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filterPrivacy="1" updateLinks="always" codeName="ThisWorkbook" hidePivotFieldList="1" defaultThemeVersion="124226"/>
  <xr:revisionPtr revIDLastSave="1" documentId="8_{3E7657BC-B6DF-47BF-B469-CD3D328034AF}" xr6:coauthVersionLast="47" xr6:coauthVersionMax="47" xr10:uidLastSave="{EC5724B3-CF53-4864-83BA-CA3937E11853}"/>
  <bookViews>
    <workbookView xWindow="-120" yWindow="-120" windowWidth="29040" windowHeight="15720" tabRatio="805" xr2:uid="{7B9D9AAB-0B85-40DD-901A-93F43D3C5DD8}"/>
  </bookViews>
  <sheets>
    <sheet name="D-2-1 Scorecard Targets" sheetId="63" r:id="rId1"/>
    <sheet name="D-2-2 4 Yr Budgets" sheetId="78" r:id="rId2"/>
    <sheet name="D-2-2 Budget" sheetId="60" r:id="rId3"/>
    <sheet name="D-3-1 TRC &amp; PAC" sheetId="61" r:id="rId4"/>
    <sheet name="D-3-1 $ m3" sheetId="70" r:id="rId5"/>
    <sheet name="PAC Table" sheetId="95" r:id="rId6"/>
    <sheet name="All Measure &amp; TRC+ Calc" sheetId="39" r:id="rId7"/>
    <sheet name="Budget" sheetId="99" r:id="rId8"/>
    <sheet name="Summary - $ &amp; m3" sheetId="37" r:id="rId9"/>
    <sheet name="Summary - TRC" sheetId="41" r:id="rId10"/>
    <sheet name="Summary - PAC" sheetId="42" r:id="rId11"/>
    <sheet name="Summary - CI LargeSmall" sheetId="65" state="hidden" r:id="rId12"/>
    <sheet name="2027 Avoided Costs" sheetId="50" r:id="rId13"/>
  </sheets>
  <definedNames>
    <definedName name="_xlnm._FilterDatabase" localSheetId="7" hidden="1">Budget!$A$1:$E$289</definedName>
    <definedName name="EGIcarbonAC">'2027 Avoided Costs'!$H$13:$J$42</definedName>
    <definedName name="EGIcarbonRates">'2027 Avoided Costs'!$I$5:$J$7</definedName>
    <definedName name="EGIelecAC">'2027 Avoided Costs'!$P$13:$T$42</definedName>
    <definedName name="EGIgasAC">'2027 Avoided Costs'!$B$13:$F$42</definedName>
    <definedName name="EGIsummerkwAC">'2027 Avoided Costs'!$V$13:$Z$42</definedName>
    <definedName name="EGIwaterAC">'2027 Avoided Costs'!$L$13:$N$42</definedName>
    <definedName name="EGIwinterkwAC">'2027 Avoided Costs'!$AB$13:$AF$47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5" i="63" l="1"/>
  <c r="I70" i="63"/>
  <c r="I69" i="63"/>
  <c r="I67" i="63"/>
  <c r="I66" i="63" s="1"/>
  <c r="I55" i="63"/>
  <c r="I50" i="63"/>
  <c r="I49" i="63"/>
  <c r="I47" i="63"/>
  <c r="I46" i="63" s="1"/>
  <c r="I35" i="63"/>
  <c r="I30" i="63"/>
  <c r="I29" i="63"/>
  <c r="I27" i="63"/>
  <c r="I26" i="63" s="1"/>
  <c r="I15" i="63"/>
  <c r="I10" i="63"/>
  <c r="I9" i="63"/>
  <c r="I7" i="63"/>
  <c r="I6" i="63" s="1"/>
  <c r="H351" i="39" l="1"/>
  <c r="H350" i="39"/>
  <c r="H349" i="39"/>
  <c r="H348" i="39"/>
  <c r="H347" i="39"/>
  <c r="H346" i="39"/>
  <c r="H345" i="39"/>
  <c r="H344" i="39"/>
  <c r="H343" i="39"/>
  <c r="H342" i="39"/>
  <c r="H341" i="39"/>
  <c r="H340" i="39"/>
  <c r="H339" i="39"/>
  <c r="H338" i="39"/>
  <c r="H337" i="39"/>
  <c r="H336" i="39"/>
  <c r="H335" i="39"/>
  <c r="H334" i="39"/>
  <c r="H333" i="39"/>
  <c r="H332" i="39"/>
  <c r="H331" i="39"/>
  <c r="H330" i="39"/>
  <c r="H329" i="39"/>
  <c r="H328" i="39"/>
  <c r="H327" i="39"/>
  <c r="H326" i="39"/>
  <c r="H325" i="39"/>
  <c r="H324" i="39"/>
  <c r="H323" i="39"/>
  <c r="H322" i="39"/>
  <c r="H321" i="39"/>
  <c r="H320" i="39"/>
  <c r="H319" i="39"/>
  <c r="H318" i="39"/>
  <c r="H317" i="39"/>
  <c r="H316" i="39"/>
  <c r="H315" i="39"/>
  <c r="H314" i="39"/>
  <c r="H313" i="39"/>
  <c r="H312" i="39"/>
  <c r="H311" i="39"/>
  <c r="H310" i="39"/>
  <c r="H309" i="39"/>
  <c r="H308" i="39"/>
  <c r="H307" i="39"/>
  <c r="H306" i="39"/>
  <c r="H305" i="39"/>
  <c r="H304" i="39"/>
  <c r="H303" i="39"/>
  <c r="H302" i="39"/>
  <c r="H301" i="39"/>
  <c r="H300" i="39"/>
  <c r="H299" i="39"/>
  <c r="H298" i="39"/>
  <c r="H297" i="39"/>
  <c r="H296" i="39"/>
  <c r="H295" i="39"/>
  <c r="H294" i="39"/>
  <c r="H293" i="39"/>
  <c r="H292" i="39"/>
  <c r="H291" i="39"/>
  <c r="H290" i="39"/>
  <c r="H289" i="39"/>
  <c r="H288" i="39"/>
  <c r="H287" i="39"/>
  <c r="H286" i="39"/>
  <c r="H285" i="39"/>
  <c r="H284" i="39"/>
  <c r="H283" i="39"/>
  <c r="H282" i="39"/>
  <c r="H281" i="39"/>
  <c r="H280" i="39"/>
  <c r="H279" i="39"/>
  <c r="H278" i="39"/>
  <c r="H277" i="39"/>
  <c r="H276" i="39"/>
  <c r="H275" i="39"/>
  <c r="H274" i="39"/>
  <c r="H273" i="39"/>
  <c r="H272" i="39"/>
  <c r="H271" i="39"/>
  <c r="H270" i="39"/>
  <c r="H269" i="39"/>
  <c r="H268" i="39"/>
  <c r="H267" i="39"/>
  <c r="H266" i="39"/>
  <c r="H265" i="39"/>
  <c r="H264" i="39"/>
  <c r="H263" i="39"/>
  <c r="H262" i="39"/>
  <c r="H261" i="39"/>
  <c r="H260" i="39"/>
  <c r="H259" i="39"/>
  <c r="H258" i="39"/>
  <c r="H257" i="39"/>
  <c r="H256" i="39"/>
  <c r="H255" i="39"/>
  <c r="H254" i="39"/>
  <c r="H253" i="39"/>
  <c r="H252" i="39"/>
  <c r="H251" i="39"/>
  <c r="H250" i="39"/>
  <c r="H249" i="39"/>
  <c r="H248" i="39"/>
  <c r="H247" i="39"/>
  <c r="H246" i="39"/>
  <c r="H245" i="39"/>
  <c r="H244" i="39"/>
  <c r="H243" i="39"/>
  <c r="H242" i="39"/>
  <c r="H241" i="39"/>
  <c r="H240" i="39"/>
  <c r="H239" i="39"/>
  <c r="H238" i="39"/>
  <c r="H237" i="39"/>
  <c r="H236" i="39"/>
  <c r="H235" i="39"/>
  <c r="H234" i="39"/>
  <c r="H233" i="39"/>
  <c r="H232" i="39"/>
  <c r="H231" i="39"/>
  <c r="H230" i="39"/>
  <c r="H229" i="39"/>
  <c r="H228" i="39"/>
  <c r="H227" i="39"/>
  <c r="H226" i="39"/>
  <c r="H225" i="39"/>
  <c r="H224" i="39"/>
  <c r="H223" i="39"/>
  <c r="H222" i="39"/>
  <c r="H221" i="39"/>
  <c r="H220" i="39"/>
  <c r="H219" i="39"/>
  <c r="H218" i="39"/>
  <c r="H217" i="39"/>
  <c r="H216" i="39"/>
  <c r="H215" i="39"/>
  <c r="H214" i="39"/>
  <c r="H213" i="39"/>
  <c r="H212" i="39"/>
  <c r="H211" i="39"/>
  <c r="H210" i="39"/>
  <c r="H209" i="39"/>
  <c r="H208" i="39"/>
  <c r="H207" i="39"/>
  <c r="H206" i="39"/>
  <c r="H205" i="39"/>
  <c r="H204" i="39"/>
  <c r="H203" i="39"/>
  <c r="H202" i="39"/>
  <c r="H201" i="39"/>
  <c r="H200" i="39"/>
  <c r="H199" i="39"/>
  <c r="H198" i="39"/>
  <c r="H197" i="39"/>
  <c r="H196" i="39"/>
  <c r="H195" i="39"/>
  <c r="H194" i="39"/>
  <c r="H193" i="39"/>
  <c r="H192" i="39"/>
  <c r="H191" i="39"/>
  <c r="H190" i="39"/>
  <c r="H189" i="39"/>
  <c r="H188" i="39"/>
  <c r="H187" i="39"/>
  <c r="H186" i="39"/>
  <c r="H185" i="39"/>
  <c r="H184" i="39"/>
  <c r="H183" i="39"/>
  <c r="H182" i="39"/>
  <c r="H181" i="39"/>
  <c r="H180" i="39"/>
  <c r="H179" i="39"/>
  <c r="H178" i="39"/>
  <c r="H177" i="39"/>
  <c r="H176" i="39"/>
  <c r="H175" i="39"/>
  <c r="H174" i="39"/>
  <c r="H173" i="39"/>
  <c r="H172" i="39"/>
  <c r="H171" i="39"/>
  <c r="H170" i="39"/>
  <c r="H169" i="39"/>
  <c r="H168" i="39"/>
  <c r="H167" i="39"/>
  <c r="H166" i="39"/>
  <c r="H165" i="39"/>
  <c r="H164" i="39"/>
  <c r="H163" i="39"/>
  <c r="H162" i="39"/>
  <c r="H161" i="39"/>
  <c r="H160" i="39"/>
  <c r="H159" i="39"/>
  <c r="H158" i="39"/>
  <c r="H157" i="39"/>
  <c r="H156" i="39"/>
  <c r="H155" i="39"/>
  <c r="H154" i="39"/>
  <c r="H153" i="39"/>
  <c r="H152" i="39"/>
  <c r="H151" i="39"/>
  <c r="H150" i="39"/>
  <c r="H149" i="39"/>
  <c r="H148" i="39"/>
  <c r="H147" i="39"/>
  <c r="H146" i="39"/>
  <c r="H145" i="39"/>
  <c r="H144" i="39"/>
  <c r="H143" i="39"/>
  <c r="H142" i="39"/>
  <c r="H141" i="39"/>
  <c r="H140" i="39"/>
  <c r="H139" i="39"/>
  <c r="H138" i="39"/>
  <c r="H137" i="39"/>
  <c r="H136" i="39"/>
  <c r="H135" i="39"/>
  <c r="H134" i="39"/>
  <c r="H133" i="39"/>
  <c r="H132" i="39"/>
  <c r="H131" i="39"/>
  <c r="H130" i="39"/>
  <c r="H129" i="39"/>
  <c r="H128" i="39"/>
  <c r="H127" i="39"/>
  <c r="H126" i="39"/>
  <c r="H125" i="39"/>
  <c r="H124" i="39"/>
  <c r="H123" i="39"/>
  <c r="H122" i="39"/>
  <c r="H121" i="39"/>
  <c r="H120" i="39"/>
  <c r="H119" i="39"/>
  <c r="H118" i="39"/>
  <c r="H117" i="39"/>
  <c r="H116" i="39"/>
  <c r="H115" i="39"/>
  <c r="H114" i="39"/>
  <c r="H113" i="39"/>
  <c r="H112" i="39"/>
  <c r="H111" i="39"/>
  <c r="H110" i="39"/>
  <c r="H109" i="39"/>
  <c r="H108" i="39"/>
  <c r="H107" i="39"/>
  <c r="H106" i="39"/>
  <c r="H105" i="39"/>
  <c r="H104" i="39"/>
  <c r="H103" i="39"/>
  <c r="H102" i="39"/>
  <c r="H101" i="39"/>
  <c r="H100" i="39"/>
  <c r="H99" i="39"/>
  <c r="H98" i="39"/>
  <c r="H97" i="39"/>
  <c r="H96" i="39"/>
  <c r="H95" i="39"/>
  <c r="H94" i="39"/>
  <c r="H93" i="39"/>
  <c r="H92" i="39"/>
  <c r="H91" i="39"/>
  <c r="H90" i="39"/>
  <c r="H89" i="39"/>
  <c r="H88" i="39"/>
  <c r="H87" i="39"/>
  <c r="H86" i="39"/>
  <c r="H85" i="39"/>
  <c r="H84" i="39"/>
  <c r="H83" i="39"/>
  <c r="H82" i="39"/>
  <c r="H81" i="39"/>
  <c r="H80" i="39"/>
  <c r="H79" i="39"/>
  <c r="H78" i="39"/>
  <c r="H77" i="39"/>
  <c r="H76" i="39"/>
  <c r="H75" i="39"/>
  <c r="H74" i="39"/>
  <c r="H73" i="39"/>
  <c r="H72" i="39"/>
  <c r="H71" i="39"/>
  <c r="H70" i="39"/>
  <c r="H69" i="39"/>
  <c r="H68" i="39"/>
  <c r="H67" i="39"/>
  <c r="H66" i="39"/>
  <c r="H65" i="39"/>
  <c r="H64" i="39"/>
  <c r="H63" i="39"/>
  <c r="H62" i="39"/>
  <c r="H61" i="39"/>
  <c r="H60" i="39"/>
  <c r="H59" i="39"/>
  <c r="H58" i="39"/>
  <c r="H57" i="39"/>
  <c r="H56" i="39"/>
  <c r="H55" i="39"/>
  <c r="H54" i="39"/>
  <c r="H53" i="39"/>
  <c r="H52" i="39"/>
  <c r="H51" i="39"/>
  <c r="H50" i="39"/>
  <c r="H49" i="39"/>
  <c r="H48" i="39"/>
  <c r="H47" i="39"/>
  <c r="H46" i="39"/>
  <c r="H45" i="39"/>
  <c r="H44" i="39"/>
  <c r="H43" i="39"/>
  <c r="H42" i="39"/>
  <c r="H41" i="39"/>
  <c r="H40" i="39"/>
  <c r="H39" i="39"/>
  <c r="H38" i="39"/>
  <c r="H37" i="39"/>
  <c r="H36" i="39"/>
  <c r="H35" i="39"/>
  <c r="H34" i="39"/>
  <c r="H33" i="39"/>
  <c r="H32" i="39"/>
  <c r="H31" i="39"/>
  <c r="H30" i="39"/>
  <c r="H29" i="39"/>
  <c r="H28" i="39"/>
  <c r="H27" i="39"/>
  <c r="H26" i="39"/>
  <c r="H25" i="39"/>
  <c r="H24" i="39"/>
  <c r="H23" i="39"/>
  <c r="H22" i="39"/>
  <c r="H21" i="39"/>
  <c r="H20" i="39"/>
  <c r="H19" i="39"/>
  <c r="H18" i="39"/>
  <c r="H17" i="39"/>
  <c r="H16" i="39"/>
  <c r="H15" i="39"/>
  <c r="H14" i="39"/>
  <c r="H13" i="39"/>
  <c r="H12" i="39"/>
  <c r="H11" i="39"/>
  <c r="H10" i="39"/>
  <c r="H9" i="39"/>
  <c r="L180" i="41" l="1"/>
  <c r="K180" i="41"/>
  <c r="J180" i="41"/>
  <c r="I180" i="41"/>
  <c r="H180" i="41"/>
  <c r="G180" i="41"/>
  <c r="F180" i="41"/>
  <c r="E180" i="41"/>
  <c r="D180" i="41"/>
  <c r="L132" i="41"/>
  <c r="K132" i="41"/>
  <c r="J132" i="41"/>
  <c r="I132" i="41"/>
  <c r="H132" i="41"/>
  <c r="G132" i="41"/>
  <c r="F132" i="41"/>
  <c r="E132" i="41"/>
  <c r="D132" i="41"/>
  <c r="L84" i="41"/>
  <c r="K84" i="41"/>
  <c r="J84" i="41"/>
  <c r="I84" i="41"/>
  <c r="H84" i="41"/>
  <c r="G84" i="41"/>
  <c r="F84" i="41"/>
  <c r="E84" i="41"/>
  <c r="D84" i="41"/>
  <c r="L36" i="41"/>
  <c r="K36" i="41"/>
  <c r="J36" i="41"/>
  <c r="I36" i="41"/>
  <c r="H36" i="41"/>
  <c r="G36" i="41"/>
  <c r="F36" i="41"/>
  <c r="E36" i="41"/>
  <c r="D36" i="41"/>
  <c r="F181" i="42"/>
  <c r="E181" i="42"/>
  <c r="D181" i="42"/>
  <c r="F133" i="42"/>
  <c r="E133" i="42"/>
  <c r="D133" i="42"/>
  <c r="F85" i="42"/>
  <c r="E85" i="42"/>
  <c r="D85" i="42"/>
  <c r="F37" i="42"/>
  <c r="E37" i="42"/>
  <c r="D37" i="42"/>
  <c r="H189" i="42"/>
  <c r="G189" i="42"/>
  <c r="H188" i="42"/>
  <c r="G188" i="42"/>
  <c r="H187" i="42"/>
  <c r="G187" i="42"/>
  <c r="H186" i="42"/>
  <c r="G186" i="42"/>
  <c r="H185" i="42"/>
  <c r="G185" i="42"/>
  <c r="H184" i="42"/>
  <c r="G184" i="42"/>
  <c r="H183" i="42"/>
  <c r="G183" i="42"/>
  <c r="H182" i="42"/>
  <c r="G182" i="42"/>
  <c r="H180" i="42"/>
  <c r="G180" i="42"/>
  <c r="H179" i="42"/>
  <c r="G179" i="42"/>
  <c r="H177" i="42"/>
  <c r="G177" i="42"/>
  <c r="H176" i="42"/>
  <c r="G176" i="42"/>
  <c r="H175" i="42"/>
  <c r="G175" i="42"/>
  <c r="H173" i="42"/>
  <c r="G173" i="42"/>
  <c r="H172" i="42"/>
  <c r="G172" i="42"/>
  <c r="H171" i="42"/>
  <c r="G171" i="42"/>
  <c r="H170" i="42"/>
  <c r="G170" i="42"/>
  <c r="H168" i="42"/>
  <c r="G168" i="42"/>
  <c r="H167" i="42"/>
  <c r="G167" i="42"/>
  <c r="H166" i="42"/>
  <c r="G166" i="42"/>
  <c r="H165" i="42"/>
  <c r="G165" i="42"/>
  <c r="H164" i="42"/>
  <c r="G164" i="42"/>
  <c r="H163" i="42"/>
  <c r="G163" i="42"/>
  <c r="H162" i="42"/>
  <c r="G162" i="42"/>
  <c r="H161" i="42"/>
  <c r="G161" i="42"/>
  <c r="H160" i="42"/>
  <c r="G160" i="42"/>
  <c r="H158" i="42"/>
  <c r="G158" i="42"/>
  <c r="H157" i="42"/>
  <c r="G157" i="42"/>
  <c r="H156" i="42"/>
  <c r="G156" i="42"/>
  <c r="H155" i="42"/>
  <c r="G155" i="42"/>
  <c r="H154" i="42"/>
  <c r="G154" i="42"/>
  <c r="H153" i="42"/>
  <c r="G153" i="42"/>
  <c r="H152" i="42"/>
  <c r="G152" i="42"/>
  <c r="H141" i="42"/>
  <c r="G141" i="42"/>
  <c r="H140" i="42"/>
  <c r="G140" i="42"/>
  <c r="H139" i="42"/>
  <c r="G139" i="42"/>
  <c r="H138" i="42"/>
  <c r="G138" i="42"/>
  <c r="H137" i="42"/>
  <c r="G137" i="42"/>
  <c r="H136" i="42"/>
  <c r="G136" i="42"/>
  <c r="H135" i="42"/>
  <c r="G135" i="42"/>
  <c r="H134" i="42"/>
  <c r="G134" i="42"/>
  <c r="H132" i="42"/>
  <c r="G132" i="42"/>
  <c r="H131" i="42"/>
  <c r="G131" i="42"/>
  <c r="H129" i="42"/>
  <c r="G129" i="42"/>
  <c r="H128" i="42"/>
  <c r="G128" i="42"/>
  <c r="H127" i="42"/>
  <c r="G127" i="42"/>
  <c r="H125" i="42"/>
  <c r="G125" i="42"/>
  <c r="H124" i="42"/>
  <c r="G124" i="42"/>
  <c r="H123" i="42"/>
  <c r="G123" i="42"/>
  <c r="H122" i="42"/>
  <c r="G122" i="42"/>
  <c r="H120" i="42"/>
  <c r="G120" i="42"/>
  <c r="H119" i="42"/>
  <c r="G119" i="42"/>
  <c r="H118" i="42"/>
  <c r="G118" i="42"/>
  <c r="H117" i="42"/>
  <c r="G117" i="42"/>
  <c r="H116" i="42"/>
  <c r="G116" i="42"/>
  <c r="H115" i="42"/>
  <c r="G115" i="42"/>
  <c r="H114" i="42"/>
  <c r="G114" i="42"/>
  <c r="H113" i="42"/>
  <c r="G113" i="42"/>
  <c r="H112" i="42"/>
  <c r="G112" i="42"/>
  <c r="H110" i="42"/>
  <c r="G110" i="42"/>
  <c r="H109" i="42"/>
  <c r="G109" i="42"/>
  <c r="H108" i="42"/>
  <c r="G108" i="42"/>
  <c r="H107" i="42"/>
  <c r="G107" i="42"/>
  <c r="H106" i="42"/>
  <c r="G106" i="42"/>
  <c r="H105" i="42"/>
  <c r="G105" i="42"/>
  <c r="H104" i="42"/>
  <c r="G104" i="42"/>
  <c r="H93" i="42"/>
  <c r="G93" i="42"/>
  <c r="H92" i="42"/>
  <c r="G92" i="42"/>
  <c r="H91" i="42"/>
  <c r="G91" i="42"/>
  <c r="H90" i="42"/>
  <c r="G90" i="42"/>
  <c r="H89" i="42"/>
  <c r="G89" i="42"/>
  <c r="H88" i="42"/>
  <c r="G88" i="42"/>
  <c r="H87" i="42"/>
  <c r="G87" i="42"/>
  <c r="H86" i="42"/>
  <c r="G86" i="42"/>
  <c r="H84" i="42"/>
  <c r="G84" i="42"/>
  <c r="H83" i="42"/>
  <c r="G83" i="42"/>
  <c r="H81" i="42"/>
  <c r="G81" i="42"/>
  <c r="H80" i="42"/>
  <c r="G80" i="42"/>
  <c r="H79" i="42"/>
  <c r="G79" i="42"/>
  <c r="H77" i="42"/>
  <c r="G77" i="42"/>
  <c r="H76" i="42"/>
  <c r="G76" i="42"/>
  <c r="H75" i="42"/>
  <c r="G75" i="42"/>
  <c r="H74" i="42"/>
  <c r="G74" i="42"/>
  <c r="H72" i="42"/>
  <c r="G72" i="42"/>
  <c r="H71" i="42"/>
  <c r="G71" i="42"/>
  <c r="H70" i="42"/>
  <c r="G70" i="42"/>
  <c r="H69" i="42"/>
  <c r="G69" i="42"/>
  <c r="H68" i="42"/>
  <c r="G68" i="42"/>
  <c r="H67" i="42"/>
  <c r="G67" i="42"/>
  <c r="H66" i="42"/>
  <c r="G66" i="42"/>
  <c r="H65" i="42"/>
  <c r="G65" i="42"/>
  <c r="H64" i="42"/>
  <c r="G64" i="42"/>
  <c r="H62" i="42"/>
  <c r="G62" i="42"/>
  <c r="H61" i="42"/>
  <c r="G61" i="42"/>
  <c r="H60" i="42"/>
  <c r="G60" i="42"/>
  <c r="H59" i="42"/>
  <c r="G59" i="42"/>
  <c r="H58" i="42"/>
  <c r="G58" i="42"/>
  <c r="H57" i="42"/>
  <c r="G57" i="42"/>
  <c r="H56" i="42"/>
  <c r="G56" i="42"/>
  <c r="H45" i="42"/>
  <c r="G45" i="42"/>
  <c r="H44" i="42"/>
  <c r="G44" i="42"/>
  <c r="H43" i="42"/>
  <c r="G43" i="42"/>
  <c r="H42" i="42"/>
  <c r="G42" i="42"/>
  <c r="H41" i="42"/>
  <c r="G41" i="42"/>
  <c r="H40" i="42"/>
  <c r="G40" i="42"/>
  <c r="H39" i="42"/>
  <c r="G39" i="42"/>
  <c r="H38" i="42"/>
  <c r="G38" i="42"/>
  <c r="H36" i="42"/>
  <c r="G36" i="42"/>
  <c r="H35" i="42"/>
  <c r="G35" i="42"/>
  <c r="H33" i="42"/>
  <c r="G33" i="42"/>
  <c r="H32" i="42"/>
  <c r="G32" i="42"/>
  <c r="H31" i="42"/>
  <c r="G31" i="42"/>
  <c r="H29" i="42"/>
  <c r="G29" i="42"/>
  <c r="H28" i="42"/>
  <c r="G28" i="42"/>
  <c r="H27" i="42"/>
  <c r="G27" i="42"/>
  <c r="H26" i="42"/>
  <c r="G26" i="42"/>
  <c r="H24" i="42"/>
  <c r="G24" i="42"/>
  <c r="H23" i="42"/>
  <c r="G23" i="42"/>
  <c r="H22" i="42"/>
  <c r="G22" i="42"/>
  <c r="H21" i="42"/>
  <c r="G21" i="42"/>
  <c r="H20" i="42"/>
  <c r="G20" i="42"/>
  <c r="H19" i="42"/>
  <c r="G19" i="42"/>
  <c r="H18" i="42"/>
  <c r="G18" i="42"/>
  <c r="H17" i="42"/>
  <c r="G17" i="42"/>
  <c r="H16" i="42"/>
  <c r="G16" i="42"/>
  <c r="H14" i="42"/>
  <c r="G14" i="42"/>
  <c r="H13" i="42"/>
  <c r="G13" i="42"/>
  <c r="H12" i="42"/>
  <c r="G12" i="42"/>
  <c r="H11" i="42"/>
  <c r="G11" i="42"/>
  <c r="H10" i="42"/>
  <c r="G10" i="42"/>
  <c r="H9" i="42"/>
  <c r="G9" i="42"/>
  <c r="H8" i="42"/>
  <c r="G8" i="42"/>
  <c r="U8" i="37"/>
  <c r="U9" i="37"/>
  <c r="U10" i="37"/>
  <c r="U11" i="37"/>
  <c r="U12" i="37"/>
  <c r="U13" i="37"/>
  <c r="U14" i="37"/>
  <c r="U15" i="37"/>
  <c r="U16" i="37"/>
  <c r="U17" i="37"/>
  <c r="U18" i="37"/>
  <c r="U19" i="37"/>
  <c r="U20" i="37"/>
  <c r="U21" i="37"/>
  <c r="U22" i="37"/>
  <c r="U23" i="37"/>
  <c r="U24" i="37"/>
  <c r="U25" i="37"/>
  <c r="U26" i="37"/>
  <c r="U27" i="37"/>
  <c r="U28" i="37"/>
  <c r="U29" i="37"/>
  <c r="U30" i="37"/>
  <c r="U31" i="37"/>
  <c r="U32" i="37"/>
  <c r="U33" i="37"/>
  <c r="U34" i="37"/>
  <c r="U35" i="37"/>
  <c r="U36" i="37"/>
  <c r="U37" i="37"/>
  <c r="U38" i="37"/>
  <c r="U39" i="37"/>
  <c r="U40" i="37"/>
  <c r="U41" i="37"/>
  <c r="U42" i="37"/>
  <c r="U43" i="37"/>
  <c r="U44" i="37"/>
  <c r="U45" i="37"/>
  <c r="U46" i="37"/>
  <c r="U47" i="37"/>
  <c r="U48" i="37"/>
  <c r="U49" i="37"/>
  <c r="U50" i="37"/>
  <c r="U51" i="37"/>
  <c r="U52" i="37"/>
  <c r="U53" i="37"/>
  <c r="U54" i="37"/>
  <c r="U55" i="37"/>
  <c r="U56" i="37"/>
  <c r="U57" i="37"/>
  <c r="U58" i="37"/>
  <c r="U59" i="37"/>
  <c r="U60" i="37"/>
  <c r="U61" i="37"/>
  <c r="U62" i="37"/>
  <c r="U63" i="37"/>
  <c r="U64" i="37"/>
  <c r="U65" i="37"/>
  <c r="U66" i="37"/>
  <c r="U67" i="37"/>
  <c r="U68" i="37"/>
  <c r="U69" i="37"/>
  <c r="U70" i="37"/>
  <c r="U71" i="37"/>
  <c r="U72" i="37"/>
  <c r="U73" i="37"/>
  <c r="U74" i="37"/>
  <c r="U75" i="37"/>
  <c r="U76" i="37"/>
  <c r="U77" i="37"/>
  <c r="U78" i="37"/>
  <c r="U79" i="37"/>
  <c r="U80" i="37"/>
  <c r="U81" i="37"/>
  <c r="U82" i="37"/>
  <c r="U83" i="37"/>
  <c r="U84" i="37"/>
  <c r="U85" i="37"/>
  <c r="U86" i="37"/>
  <c r="U87" i="37"/>
  <c r="U88" i="37"/>
  <c r="U89" i="37"/>
  <c r="U90" i="37"/>
  <c r="U91" i="37"/>
  <c r="U92" i="37"/>
  <c r="U93" i="37"/>
  <c r="U94" i="37"/>
  <c r="U95" i="37"/>
  <c r="U96" i="37"/>
  <c r="U97" i="37"/>
  <c r="U98" i="37"/>
  <c r="U99" i="37"/>
  <c r="U100" i="37"/>
  <c r="U101" i="37"/>
  <c r="U102" i="37"/>
  <c r="U103" i="37"/>
  <c r="U104" i="37"/>
  <c r="U105" i="37"/>
  <c r="U106" i="37"/>
  <c r="U107" i="37"/>
  <c r="U108" i="37"/>
  <c r="U109" i="37"/>
  <c r="U110" i="37"/>
  <c r="U111" i="37"/>
  <c r="U112" i="37"/>
  <c r="U113" i="37"/>
  <c r="U114" i="37"/>
  <c r="U115" i="37"/>
  <c r="U116" i="37"/>
  <c r="U117" i="37"/>
  <c r="U118" i="37"/>
  <c r="U119" i="37"/>
  <c r="U120" i="37"/>
  <c r="U121" i="37"/>
  <c r="U122" i="37"/>
  <c r="U123" i="37"/>
  <c r="U124" i="37"/>
  <c r="U125" i="37"/>
  <c r="U126" i="37"/>
  <c r="U127" i="37"/>
  <c r="U128" i="37"/>
  <c r="U129" i="37"/>
  <c r="U130" i="37"/>
  <c r="U131" i="37"/>
  <c r="U132" i="37"/>
  <c r="U133" i="37"/>
  <c r="U134" i="37"/>
  <c r="U135" i="37"/>
  <c r="U136" i="37"/>
  <c r="U137" i="37"/>
  <c r="U138" i="37"/>
  <c r="U139" i="37"/>
  <c r="U140" i="37"/>
  <c r="U141" i="37"/>
  <c r="U142" i="37"/>
  <c r="U143" i="37"/>
  <c r="U144" i="37"/>
  <c r="U145" i="37"/>
  <c r="U146" i="37"/>
  <c r="U147" i="37"/>
  <c r="U148" i="37"/>
  <c r="U149" i="37"/>
  <c r="U150" i="37"/>
  <c r="U151" i="37"/>
  <c r="U152" i="37"/>
  <c r="U153" i="37"/>
  <c r="U154" i="37"/>
  <c r="U155" i="37"/>
  <c r="U156" i="37"/>
  <c r="U157" i="37"/>
  <c r="U158" i="37"/>
  <c r="U159" i="37"/>
  <c r="U160" i="37"/>
  <c r="U161" i="37"/>
  <c r="U162" i="37"/>
  <c r="U163" i="37"/>
  <c r="U164" i="37"/>
  <c r="U165" i="37"/>
  <c r="U166" i="37"/>
  <c r="U167" i="37"/>
  <c r="T8" i="37"/>
  <c r="T9" i="37"/>
  <c r="T10" i="37"/>
  <c r="T11" i="37"/>
  <c r="T12" i="37"/>
  <c r="T13" i="37"/>
  <c r="T14" i="37"/>
  <c r="T15" i="37"/>
  <c r="T16" i="37"/>
  <c r="T17" i="37"/>
  <c r="T18" i="37"/>
  <c r="T19" i="37"/>
  <c r="T20" i="37"/>
  <c r="T21" i="37"/>
  <c r="T22" i="37"/>
  <c r="T23" i="37"/>
  <c r="T24" i="37"/>
  <c r="T25" i="37"/>
  <c r="T26" i="37"/>
  <c r="T27" i="37"/>
  <c r="T28" i="37"/>
  <c r="T29" i="37"/>
  <c r="T30" i="37"/>
  <c r="T31" i="37"/>
  <c r="T32" i="37"/>
  <c r="T33" i="37"/>
  <c r="T34" i="37"/>
  <c r="T35" i="37"/>
  <c r="T36" i="37"/>
  <c r="T37" i="37"/>
  <c r="T38" i="37"/>
  <c r="T39" i="37"/>
  <c r="T40" i="37"/>
  <c r="T41" i="37"/>
  <c r="T42" i="37"/>
  <c r="T43" i="37"/>
  <c r="T44" i="37"/>
  <c r="T45" i="37"/>
  <c r="T46" i="37"/>
  <c r="T47" i="37"/>
  <c r="T48" i="37"/>
  <c r="T49" i="37"/>
  <c r="T50" i="37"/>
  <c r="T51" i="37"/>
  <c r="T52" i="37"/>
  <c r="T53" i="37"/>
  <c r="T54" i="37"/>
  <c r="T55" i="37"/>
  <c r="T56" i="37"/>
  <c r="T57" i="37"/>
  <c r="T58" i="37"/>
  <c r="T59" i="37"/>
  <c r="T60" i="37"/>
  <c r="T61" i="37"/>
  <c r="T62" i="37"/>
  <c r="T63" i="37"/>
  <c r="T64" i="37"/>
  <c r="T65" i="37"/>
  <c r="T66" i="37"/>
  <c r="T67" i="37"/>
  <c r="T68" i="37"/>
  <c r="T69" i="37"/>
  <c r="T70" i="37"/>
  <c r="T71" i="37"/>
  <c r="T72" i="37"/>
  <c r="T73" i="37"/>
  <c r="T74" i="37"/>
  <c r="T75" i="37"/>
  <c r="T76" i="37"/>
  <c r="T77" i="37"/>
  <c r="T78" i="37"/>
  <c r="T79" i="37"/>
  <c r="T80" i="37"/>
  <c r="T81" i="37"/>
  <c r="T82" i="37"/>
  <c r="T83" i="37"/>
  <c r="T84" i="37"/>
  <c r="T85" i="37"/>
  <c r="T86" i="37"/>
  <c r="T87" i="37"/>
  <c r="T88" i="37"/>
  <c r="T89" i="37"/>
  <c r="T90" i="37"/>
  <c r="T91" i="37"/>
  <c r="T92" i="37"/>
  <c r="T93" i="37"/>
  <c r="T94" i="37"/>
  <c r="T95" i="37"/>
  <c r="T96" i="37"/>
  <c r="T97" i="37"/>
  <c r="T98" i="37"/>
  <c r="T99" i="37"/>
  <c r="T100" i="37"/>
  <c r="T101" i="37"/>
  <c r="T102" i="37"/>
  <c r="T103" i="37"/>
  <c r="T104" i="37"/>
  <c r="T105" i="37"/>
  <c r="T106" i="37"/>
  <c r="T107" i="37"/>
  <c r="T108" i="37"/>
  <c r="T109" i="37"/>
  <c r="T110" i="37"/>
  <c r="T111" i="37"/>
  <c r="T112" i="37"/>
  <c r="T113" i="37"/>
  <c r="T114" i="37"/>
  <c r="T115" i="37"/>
  <c r="T116" i="37"/>
  <c r="T117" i="37"/>
  <c r="T118" i="37"/>
  <c r="T119" i="37"/>
  <c r="T120" i="37"/>
  <c r="T121" i="37"/>
  <c r="T122" i="37"/>
  <c r="T123" i="37"/>
  <c r="T124" i="37"/>
  <c r="T125" i="37"/>
  <c r="T126" i="37"/>
  <c r="T127" i="37"/>
  <c r="T128" i="37"/>
  <c r="T129" i="37"/>
  <c r="T130" i="37"/>
  <c r="T131" i="37"/>
  <c r="T132" i="37"/>
  <c r="T133" i="37"/>
  <c r="T134" i="37"/>
  <c r="T135" i="37"/>
  <c r="T136" i="37"/>
  <c r="T137" i="37"/>
  <c r="T138" i="37"/>
  <c r="T139" i="37"/>
  <c r="T140" i="37"/>
  <c r="T141" i="37"/>
  <c r="T142" i="37"/>
  <c r="T143" i="37"/>
  <c r="T144" i="37"/>
  <c r="T145" i="37"/>
  <c r="T146" i="37"/>
  <c r="T147" i="37"/>
  <c r="T148" i="37"/>
  <c r="T149" i="37"/>
  <c r="T150" i="37"/>
  <c r="T151" i="37"/>
  <c r="T152" i="37"/>
  <c r="T153" i="37"/>
  <c r="T154" i="37"/>
  <c r="T155" i="37"/>
  <c r="T156" i="37"/>
  <c r="T157" i="37"/>
  <c r="T158" i="37"/>
  <c r="T159" i="37"/>
  <c r="T160" i="37"/>
  <c r="T161" i="37"/>
  <c r="T162" i="37"/>
  <c r="T163" i="37"/>
  <c r="T164" i="37"/>
  <c r="T165" i="37"/>
  <c r="T166" i="37"/>
  <c r="T167" i="37"/>
  <c r="S8" i="37"/>
  <c r="S9" i="37"/>
  <c r="S10" i="37"/>
  <c r="S11" i="37"/>
  <c r="S12" i="37"/>
  <c r="S13" i="37"/>
  <c r="S14" i="37"/>
  <c r="S15" i="37"/>
  <c r="S16" i="37"/>
  <c r="S17" i="37"/>
  <c r="S18" i="37"/>
  <c r="S19" i="37"/>
  <c r="S20" i="37"/>
  <c r="S21" i="37"/>
  <c r="S22" i="37"/>
  <c r="S23" i="37"/>
  <c r="S24" i="37"/>
  <c r="S25" i="37"/>
  <c r="S26" i="37"/>
  <c r="S27" i="37"/>
  <c r="S28" i="37"/>
  <c r="S29" i="37"/>
  <c r="S30" i="37"/>
  <c r="S31" i="37"/>
  <c r="S32" i="37"/>
  <c r="S33" i="37"/>
  <c r="S34" i="37"/>
  <c r="S35" i="37"/>
  <c r="S36" i="37"/>
  <c r="S37" i="37"/>
  <c r="S38" i="37"/>
  <c r="S39" i="37"/>
  <c r="S40" i="37"/>
  <c r="S41" i="37"/>
  <c r="S42" i="37"/>
  <c r="S43" i="37"/>
  <c r="S44" i="37"/>
  <c r="S45" i="37"/>
  <c r="S46" i="37"/>
  <c r="S47" i="37"/>
  <c r="S48" i="37"/>
  <c r="S49" i="37"/>
  <c r="S50" i="37"/>
  <c r="S51" i="37"/>
  <c r="S52" i="37"/>
  <c r="S53" i="37"/>
  <c r="S54" i="37"/>
  <c r="S55" i="37"/>
  <c r="S56" i="37"/>
  <c r="S57" i="37"/>
  <c r="S58" i="37"/>
  <c r="S59" i="37"/>
  <c r="S60" i="37"/>
  <c r="S61" i="37"/>
  <c r="S62" i="37"/>
  <c r="S63" i="37"/>
  <c r="S64" i="37"/>
  <c r="S65" i="37"/>
  <c r="S66" i="37"/>
  <c r="S67" i="37"/>
  <c r="S68" i="37"/>
  <c r="S69" i="37"/>
  <c r="S70" i="37"/>
  <c r="S71" i="37"/>
  <c r="S72" i="37"/>
  <c r="S73" i="37"/>
  <c r="S74" i="37"/>
  <c r="S75" i="37"/>
  <c r="S76" i="37"/>
  <c r="S77" i="37"/>
  <c r="S78" i="37"/>
  <c r="S79" i="37"/>
  <c r="S80" i="37"/>
  <c r="S81" i="37"/>
  <c r="S82" i="37"/>
  <c r="S83" i="37"/>
  <c r="S84" i="37"/>
  <c r="S85" i="37"/>
  <c r="S86" i="37"/>
  <c r="S87" i="37"/>
  <c r="S88" i="37"/>
  <c r="S89" i="37"/>
  <c r="S90" i="37"/>
  <c r="S91" i="37"/>
  <c r="S92" i="37"/>
  <c r="S93" i="37"/>
  <c r="S94" i="37"/>
  <c r="S95" i="37"/>
  <c r="S96" i="37"/>
  <c r="S97" i="37"/>
  <c r="S98" i="37"/>
  <c r="S99" i="37"/>
  <c r="S100" i="37"/>
  <c r="S101" i="37"/>
  <c r="S102" i="37"/>
  <c r="S103" i="37"/>
  <c r="S104" i="37"/>
  <c r="S105" i="37"/>
  <c r="S106" i="37"/>
  <c r="S107" i="37"/>
  <c r="S108" i="37"/>
  <c r="S109" i="37"/>
  <c r="S110" i="37"/>
  <c r="S111" i="37"/>
  <c r="S112" i="37"/>
  <c r="S113" i="37"/>
  <c r="S114" i="37"/>
  <c r="S115" i="37"/>
  <c r="S116" i="37"/>
  <c r="S117" i="37"/>
  <c r="S118" i="37"/>
  <c r="S119" i="37"/>
  <c r="S120" i="37"/>
  <c r="S121" i="37"/>
  <c r="S122" i="37"/>
  <c r="S123" i="37"/>
  <c r="S124" i="37"/>
  <c r="S125" i="37"/>
  <c r="S126" i="37"/>
  <c r="S127" i="37"/>
  <c r="S128" i="37"/>
  <c r="S129" i="37"/>
  <c r="S130" i="37"/>
  <c r="S131" i="37"/>
  <c r="S132" i="37"/>
  <c r="S133" i="37"/>
  <c r="S134" i="37"/>
  <c r="S135" i="37"/>
  <c r="S136" i="37"/>
  <c r="S137" i="37"/>
  <c r="S138" i="37"/>
  <c r="S139" i="37"/>
  <c r="S140" i="37"/>
  <c r="S141" i="37"/>
  <c r="S142" i="37"/>
  <c r="S143" i="37"/>
  <c r="S144" i="37"/>
  <c r="S145" i="37"/>
  <c r="S146" i="37"/>
  <c r="S147" i="37"/>
  <c r="S148" i="37"/>
  <c r="S149" i="37"/>
  <c r="S150" i="37"/>
  <c r="S151" i="37"/>
  <c r="S152" i="37"/>
  <c r="S153" i="37"/>
  <c r="S154" i="37"/>
  <c r="S155" i="37"/>
  <c r="S156" i="37"/>
  <c r="S157" i="37"/>
  <c r="S158" i="37"/>
  <c r="S159" i="37"/>
  <c r="S160" i="37"/>
  <c r="S161" i="37"/>
  <c r="S162" i="37"/>
  <c r="S163" i="37"/>
  <c r="S164" i="37"/>
  <c r="S165" i="37"/>
  <c r="S166" i="37"/>
  <c r="S167" i="37"/>
  <c r="R8" i="37"/>
  <c r="R9" i="37"/>
  <c r="R10" i="37"/>
  <c r="R11" i="37"/>
  <c r="R12" i="37"/>
  <c r="R13" i="37"/>
  <c r="R14" i="37"/>
  <c r="R15" i="37"/>
  <c r="R16" i="37"/>
  <c r="R17" i="37"/>
  <c r="R18" i="37"/>
  <c r="R19" i="37"/>
  <c r="R20" i="37"/>
  <c r="R21" i="37"/>
  <c r="R22" i="37"/>
  <c r="R23" i="37"/>
  <c r="R24" i="37"/>
  <c r="R25" i="37"/>
  <c r="R26" i="37"/>
  <c r="R27" i="37"/>
  <c r="R28" i="37"/>
  <c r="R29" i="37"/>
  <c r="R30" i="37"/>
  <c r="R31" i="37"/>
  <c r="R32" i="37"/>
  <c r="R33" i="37"/>
  <c r="R34" i="37"/>
  <c r="R35" i="37"/>
  <c r="R36" i="37"/>
  <c r="R37" i="37"/>
  <c r="R38" i="37"/>
  <c r="R39" i="37"/>
  <c r="R40" i="37"/>
  <c r="R41" i="37"/>
  <c r="R42" i="37"/>
  <c r="R43" i="37"/>
  <c r="R44" i="37"/>
  <c r="R45" i="37"/>
  <c r="R46" i="37"/>
  <c r="R47" i="37"/>
  <c r="R48" i="37"/>
  <c r="R49" i="37"/>
  <c r="R50" i="37"/>
  <c r="R51" i="37"/>
  <c r="R52" i="37"/>
  <c r="R53" i="37"/>
  <c r="R54" i="37"/>
  <c r="R55" i="37"/>
  <c r="R56" i="37"/>
  <c r="R57" i="37"/>
  <c r="R58" i="37"/>
  <c r="R59" i="37"/>
  <c r="R60" i="37"/>
  <c r="R61" i="37"/>
  <c r="R62" i="37"/>
  <c r="R63" i="37"/>
  <c r="R64" i="37"/>
  <c r="R65" i="37"/>
  <c r="R66" i="37"/>
  <c r="R67" i="37"/>
  <c r="R68" i="37"/>
  <c r="R69" i="37"/>
  <c r="R70" i="37"/>
  <c r="R71" i="37"/>
  <c r="R72" i="37"/>
  <c r="R73" i="37"/>
  <c r="R74" i="37"/>
  <c r="R75" i="37"/>
  <c r="R76" i="37"/>
  <c r="R77" i="37"/>
  <c r="R78" i="37"/>
  <c r="R79" i="37"/>
  <c r="R80" i="37"/>
  <c r="R81" i="37"/>
  <c r="R82" i="37"/>
  <c r="R83" i="37"/>
  <c r="R84" i="37"/>
  <c r="R85" i="37"/>
  <c r="R86" i="37"/>
  <c r="R87" i="37"/>
  <c r="R88" i="37"/>
  <c r="R89" i="37"/>
  <c r="R90" i="37"/>
  <c r="R91" i="37"/>
  <c r="R92" i="37"/>
  <c r="R93" i="37"/>
  <c r="R94" i="37"/>
  <c r="R95" i="37"/>
  <c r="R96" i="37"/>
  <c r="R97" i="37"/>
  <c r="R98" i="37"/>
  <c r="R99" i="37"/>
  <c r="R100" i="37"/>
  <c r="R101" i="37"/>
  <c r="R102" i="37"/>
  <c r="R103" i="37"/>
  <c r="R104" i="37"/>
  <c r="R105" i="37"/>
  <c r="R106" i="37"/>
  <c r="R107" i="37"/>
  <c r="R108" i="37"/>
  <c r="R109" i="37"/>
  <c r="R110" i="37"/>
  <c r="R111" i="37"/>
  <c r="R112" i="37"/>
  <c r="R113" i="37"/>
  <c r="R114" i="37"/>
  <c r="R115" i="37"/>
  <c r="R116" i="37"/>
  <c r="R117" i="37"/>
  <c r="R118" i="37"/>
  <c r="R119" i="37"/>
  <c r="R120" i="37"/>
  <c r="R121" i="37"/>
  <c r="R122" i="37"/>
  <c r="R123" i="37"/>
  <c r="R124" i="37"/>
  <c r="R125" i="37"/>
  <c r="R126" i="37"/>
  <c r="R127" i="37"/>
  <c r="R128" i="37"/>
  <c r="R129" i="37"/>
  <c r="R130" i="37"/>
  <c r="R131" i="37"/>
  <c r="R132" i="37"/>
  <c r="R133" i="37"/>
  <c r="R134" i="37"/>
  <c r="R135" i="37"/>
  <c r="R136" i="37"/>
  <c r="R137" i="37"/>
  <c r="R138" i="37"/>
  <c r="R139" i="37"/>
  <c r="R140" i="37"/>
  <c r="R141" i="37"/>
  <c r="R142" i="37"/>
  <c r="R143" i="37"/>
  <c r="R144" i="37"/>
  <c r="R145" i="37"/>
  <c r="R146" i="37"/>
  <c r="R147" i="37"/>
  <c r="R148" i="37"/>
  <c r="R149" i="37"/>
  <c r="R150" i="37"/>
  <c r="R151" i="37"/>
  <c r="R152" i="37"/>
  <c r="R153" i="37"/>
  <c r="R154" i="37"/>
  <c r="R155" i="37"/>
  <c r="R156" i="37"/>
  <c r="R157" i="37"/>
  <c r="R158" i="37"/>
  <c r="R159" i="37"/>
  <c r="R160" i="37"/>
  <c r="R161" i="37"/>
  <c r="R162" i="37"/>
  <c r="R163" i="37"/>
  <c r="R164" i="37"/>
  <c r="R165" i="37"/>
  <c r="R166" i="37"/>
  <c r="R167" i="37"/>
  <c r="K351" i="39" l="1"/>
  <c r="K350" i="39"/>
  <c r="K349" i="39"/>
  <c r="K348" i="39"/>
  <c r="K347" i="39"/>
  <c r="K346" i="39"/>
  <c r="K345" i="39"/>
  <c r="K344" i="39"/>
  <c r="K343" i="39"/>
  <c r="K342" i="39"/>
  <c r="K341" i="39"/>
  <c r="K340" i="39"/>
  <c r="K339" i="39"/>
  <c r="K338" i="39"/>
  <c r="K337" i="39"/>
  <c r="K336" i="39"/>
  <c r="K335" i="39"/>
  <c r="K334" i="39"/>
  <c r="K333" i="39"/>
  <c r="K332" i="39"/>
  <c r="K331" i="39"/>
  <c r="K330" i="39"/>
  <c r="K329" i="39"/>
  <c r="K328" i="39"/>
  <c r="K327" i="39"/>
  <c r="K326" i="39"/>
  <c r="K325" i="39"/>
  <c r="K324" i="39"/>
  <c r="K323" i="39"/>
  <c r="K322" i="39"/>
  <c r="K321" i="39"/>
  <c r="K320" i="39"/>
  <c r="K319" i="39"/>
  <c r="K318" i="39"/>
  <c r="K317" i="39"/>
  <c r="K316" i="39"/>
  <c r="K315" i="39"/>
  <c r="K314" i="39"/>
  <c r="K313" i="39"/>
  <c r="K312" i="39"/>
  <c r="K311" i="39"/>
  <c r="K310" i="39"/>
  <c r="K309" i="39"/>
  <c r="K308" i="39"/>
  <c r="K307" i="39"/>
  <c r="K306" i="39"/>
  <c r="K305" i="39"/>
  <c r="K304" i="39"/>
  <c r="K303" i="39"/>
  <c r="K302" i="39"/>
  <c r="K301" i="39"/>
  <c r="K300" i="39"/>
  <c r="K299" i="39"/>
  <c r="K298" i="39"/>
  <c r="K297" i="39"/>
  <c r="K296" i="39"/>
  <c r="K295" i="39"/>
  <c r="K294" i="39"/>
  <c r="K293" i="39"/>
  <c r="K292" i="39"/>
  <c r="K291" i="39"/>
  <c r="K290" i="39"/>
  <c r="K289" i="39"/>
  <c r="K288" i="39"/>
  <c r="K287" i="39"/>
  <c r="K286" i="39"/>
  <c r="K285" i="39"/>
  <c r="K284" i="39"/>
  <c r="K283" i="39"/>
  <c r="K282" i="39"/>
  <c r="K281" i="39"/>
  <c r="K280" i="39"/>
  <c r="K279" i="39"/>
  <c r="K278" i="39"/>
  <c r="K277" i="39"/>
  <c r="K276" i="39"/>
  <c r="K275" i="39"/>
  <c r="K274" i="39"/>
  <c r="K273" i="39"/>
  <c r="K272" i="39"/>
  <c r="K271" i="39"/>
  <c r="K270" i="39"/>
  <c r="K269" i="39"/>
  <c r="K268" i="39"/>
  <c r="K267" i="39"/>
  <c r="K266" i="39"/>
  <c r="K265" i="39"/>
  <c r="K264" i="39"/>
  <c r="K263" i="39"/>
  <c r="K262" i="39"/>
  <c r="K261" i="39"/>
  <c r="K260" i="39"/>
  <c r="K259" i="39"/>
  <c r="K258" i="39"/>
  <c r="K257" i="39"/>
  <c r="K256" i="39"/>
  <c r="K255" i="39"/>
  <c r="K254" i="39"/>
  <c r="K253" i="39"/>
  <c r="K252" i="39"/>
  <c r="K251" i="39"/>
  <c r="K250" i="39"/>
  <c r="K249" i="39"/>
  <c r="K248" i="39"/>
  <c r="K247" i="39"/>
  <c r="K246" i="39"/>
  <c r="K245" i="39"/>
  <c r="K244" i="39"/>
  <c r="K243" i="39"/>
  <c r="K242" i="39"/>
  <c r="K241" i="39"/>
  <c r="K240" i="39"/>
  <c r="K239" i="39"/>
  <c r="K238" i="39"/>
  <c r="K237" i="39"/>
  <c r="K236" i="39"/>
  <c r="K235" i="39"/>
  <c r="K234" i="39"/>
  <c r="K233" i="39"/>
  <c r="K232" i="39"/>
  <c r="K231" i="39"/>
  <c r="K230" i="39"/>
  <c r="K229" i="39"/>
  <c r="K228" i="39"/>
  <c r="K227" i="39"/>
  <c r="K226" i="39"/>
  <c r="K225" i="39"/>
  <c r="K224" i="39"/>
  <c r="K223" i="39"/>
  <c r="K222" i="39"/>
  <c r="K221" i="39"/>
  <c r="K220" i="39"/>
  <c r="K219" i="39"/>
  <c r="K218" i="39"/>
  <c r="K217" i="39"/>
  <c r="K216" i="39"/>
  <c r="K215" i="39"/>
  <c r="K214" i="39"/>
  <c r="K213" i="39"/>
  <c r="K212" i="39"/>
  <c r="K211" i="39"/>
  <c r="K210" i="39"/>
  <c r="K209" i="39"/>
  <c r="K208" i="39"/>
  <c r="K207" i="39"/>
  <c r="K206" i="39"/>
  <c r="K205" i="39"/>
  <c r="K204" i="39"/>
  <c r="K203" i="39"/>
  <c r="K202" i="39"/>
  <c r="K201" i="39"/>
  <c r="K200" i="39"/>
  <c r="K199" i="39"/>
  <c r="K198" i="39"/>
  <c r="K197" i="39"/>
  <c r="K196" i="39"/>
  <c r="K195" i="39"/>
  <c r="K194" i="39"/>
  <c r="K193" i="39"/>
  <c r="K192" i="39"/>
  <c r="K191" i="39"/>
  <c r="K190" i="39"/>
  <c r="K189" i="39"/>
  <c r="K188" i="39"/>
  <c r="K187" i="39"/>
  <c r="K186" i="39"/>
  <c r="K185" i="39"/>
  <c r="K184" i="39"/>
  <c r="K183" i="39"/>
  <c r="K182" i="39"/>
  <c r="K181" i="39"/>
  <c r="K180" i="39"/>
  <c r="K179" i="39"/>
  <c r="K178" i="39"/>
  <c r="K177" i="39"/>
  <c r="K176" i="39"/>
  <c r="K175" i="39"/>
  <c r="K174" i="39"/>
  <c r="K173" i="39"/>
  <c r="K172" i="39"/>
  <c r="K171" i="39"/>
  <c r="K170" i="39"/>
  <c r="K169" i="39"/>
  <c r="K168" i="39"/>
  <c r="K167" i="39"/>
  <c r="K166" i="39"/>
  <c r="K165" i="39"/>
  <c r="K164" i="39"/>
  <c r="K163" i="39"/>
  <c r="K162" i="39"/>
  <c r="K161" i="39"/>
  <c r="K160" i="39"/>
  <c r="K159" i="39"/>
  <c r="K158" i="39"/>
  <c r="K157" i="39"/>
  <c r="K156" i="39"/>
  <c r="K155" i="39"/>
  <c r="K154" i="39"/>
  <c r="K153" i="39"/>
  <c r="K152" i="39"/>
  <c r="K151" i="39"/>
  <c r="K150" i="39"/>
  <c r="K149" i="39"/>
  <c r="K148" i="39"/>
  <c r="K147" i="39"/>
  <c r="K146" i="39"/>
  <c r="K145" i="39"/>
  <c r="K144" i="39"/>
  <c r="K143" i="39"/>
  <c r="K142" i="39"/>
  <c r="K141" i="39"/>
  <c r="K140" i="39"/>
  <c r="K139" i="39"/>
  <c r="K138" i="39"/>
  <c r="K137" i="39"/>
  <c r="K136" i="39"/>
  <c r="K135" i="39"/>
  <c r="K134" i="39"/>
  <c r="K133" i="39"/>
  <c r="K132" i="39"/>
  <c r="K131" i="39"/>
  <c r="K130" i="39"/>
  <c r="K129" i="39"/>
  <c r="K128" i="39"/>
  <c r="K127" i="39"/>
  <c r="K126" i="39"/>
  <c r="K125" i="39"/>
  <c r="K124" i="39"/>
  <c r="K123" i="39"/>
  <c r="K122" i="39"/>
  <c r="K121" i="39"/>
  <c r="K120" i="39"/>
  <c r="K119" i="39"/>
  <c r="K118" i="39"/>
  <c r="K117" i="39"/>
  <c r="K116" i="39"/>
  <c r="K115" i="39"/>
  <c r="K114" i="39"/>
  <c r="K113" i="39"/>
  <c r="K112" i="39"/>
  <c r="K111" i="39"/>
  <c r="K110" i="39"/>
  <c r="K109" i="39"/>
  <c r="K108" i="39"/>
  <c r="K107" i="39"/>
  <c r="K106" i="39"/>
  <c r="K105" i="39"/>
  <c r="K104" i="39"/>
  <c r="K103" i="39"/>
  <c r="K102" i="39"/>
  <c r="K101" i="39"/>
  <c r="K100" i="39"/>
  <c r="K99" i="39"/>
  <c r="K98" i="39"/>
  <c r="K97" i="39"/>
  <c r="K96" i="39"/>
  <c r="K95" i="39"/>
  <c r="K94" i="39"/>
  <c r="K93" i="39"/>
  <c r="K92" i="39"/>
  <c r="K91" i="39"/>
  <c r="K90" i="39"/>
  <c r="K89" i="39"/>
  <c r="K88" i="39"/>
  <c r="K87" i="39"/>
  <c r="K86" i="39"/>
  <c r="K85" i="39"/>
  <c r="K84" i="39"/>
  <c r="K83" i="39"/>
  <c r="K82" i="39"/>
  <c r="K81" i="39"/>
  <c r="K80" i="39"/>
  <c r="K79" i="39"/>
  <c r="K78" i="39"/>
  <c r="K77" i="39"/>
  <c r="K76" i="39"/>
  <c r="K75" i="39"/>
  <c r="K74" i="39"/>
  <c r="K73" i="39"/>
  <c r="K72" i="39"/>
  <c r="K71" i="39"/>
  <c r="K70" i="39"/>
  <c r="K69" i="39"/>
  <c r="K68" i="39"/>
  <c r="K67" i="39"/>
  <c r="K66" i="39"/>
  <c r="K65" i="39"/>
  <c r="K64" i="39"/>
  <c r="K63" i="39"/>
  <c r="K62" i="39"/>
  <c r="K61" i="39"/>
  <c r="K60" i="39"/>
  <c r="K59" i="39"/>
  <c r="K58" i="39"/>
  <c r="K57" i="39"/>
  <c r="K56" i="39"/>
  <c r="K55" i="39"/>
  <c r="K54" i="39"/>
  <c r="K53" i="39"/>
  <c r="K52" i="39"/>
  <c r="K51" i="39"/>
  <c r="K50" i="39"/>
  <c r="K49" i="39"/>
  <c r="K48" i="39"/>
  <c r="K47" i="39"/>
  <c r="K46" i="39"/>
  <c r="K45" i="39"/>
  <c r="K44" i="39"/>
  <c r="K43" i="39"/>
  <c r="K42" i="39"/>
  <c r="K41" i="39"/>
  <c r="K40" i="39"/>
  <c r="K39" i="39"/>
  <c r="K38" i="39"/>
  <c r="K37" i="39"/>
  <c r="K36" i="39"/>
  <c r="K35" i="39"/>
  <c r="K34" i="39"/>
  <c r="K33" i="39"/>
  <c r="K32" i="39"/>
  <c r="K31" i="39"/>
  <c r="K30" i="39"/>
  <c r="K29" i="39"/>
  <c r="K28" i="39"/>
  <c r="K27" i="39"/>
  <c r="K26" i="39"/>
  <c r="K25" i="39"/>
  <c r="K24" i="39"/>
  <c r="K23" i="39"/>
  <c r="K22" i="39"/>
  <c r="K21" i="39"/>
  <c r="K20" i="39"/>
  <c r="K19" i="39"/>
  <c r="K18" i="39"/>
  <c r="K17" i="39"/>
  <c r="K16" i="39"/>
  <c r="K15" i="39"/>
  <c r="K14" i="39"/>
  <c r="K13" i="39"/>
  <c r="K12" i="39"/>
  <c r="K11" i="39"/>
  <c r="K10" i="39"/>
  <c r="K9" i="39" l="1"/>
  <c r="AL9" i="39" l="1"/>
  <c r="AD351" i="39"/>
  <c r="AF351" i="39" s="1"/>
  <c r="AD350" i="39"/>
  <c r="AF350" i="39" s="1"/>
  <c r="AD349" i="39"/>
  <c r="AD348" i="39"/>
  <c r="AE348" i="39" s="1"/>
  <c r="AD347" i="39"/>
  <c r="AD346" i="39"/>
  <c r="AE346" i="39" s="1"/>
  <c r="AD345" i="39"/>
  <c r="AF345" i="39" s="1"/>
  <c r="AD344" i="39"/>
  <c r="AF344" i="39" s="1"/>
  <c r="AD343" i="39"/>
  <c r="AE343" i="39" s="1"/>
  <c r="AD342" i="39"/>
  <c r="AF342" i="39" s="1"/>
  <c r="AD341" i="39"/>
  <c r="AE341" i="39" s="1"/>
  <c r="AD340" i="39"/>
  <c r="AF340" i="39" s="1"/>
  <c r="AD339" i="39"/>
  <c r="AF339" i="39" s="1"/>
  <c r="AD338" i="39"/>
  <c r="AF338" i="39" s="1"/>
  <c r="AD337" i="39"/>
  <c r="AF337" i="39" s="1"/>
  <c r="AD336" i="39"/>
  <c r="AE336" i="39" s="1"/>
  <c r="AD335" i="39"/>
  <c r="AD334" i="39"/>
  <c r="AE334" i="39" s="1"/>
  <c r="AD333" i="39"/>
  <c r="AF333" i="39" s="1"/>
  <c r="AD332" i="39"/>
  <c r="AF332" i="39" s="1"/>
  <c r="AD331" i="39"/>
  <c r="AE331" i="39" s="1"/>
  <c r="AD330" i="39"/>
  <c r="AD329" i="39"/>
  <c r="AE329" i="39" s="1"/>
  <c r="AD328" i="39"/>
  <c r="AE328" i="39" s="1"/>
  <c r="AD327" i="39"/>
  <c r="AF327" i="39" s="1"/>
  <c r="AD326" i="39"/>
  <c r="AF326" i="39" s="1"/>
  <c r="AD325" i="39"/>
  <c r="AF325" i="39" s="1"/>
  <c r="AD324" i="39"/>
  <c r="AE324" i="39" s="1"/>
  <c r="AD323" i="39"/>
  <c r="AD322" i="39"/>
  <c r="AE322" i="39" s="1"/>
  <c r="AD321" i="39"/>
  <c r="AF321" i="39" s="1"/>
  <c r="AD320" i="39"/>
  <c r="AF320" i="39" s="1"/>
  <c r="AD319" i="39"/>
  <c r="AE319" i="39" s="1"/>
  <c r="AD318" i="39"/>
  <c r="AD317" i="39"/>
  <c r="AE317" i="39" s="1"/>
  <c r="AD316" i="39"/>
  <c r="AF316" i="39" s="1"/>
  <c r="AD315" i="39"/>
  <c r="AF315" i="39" s="1"/>
  <c r="AD314" i="39"/>
  <c r="AF314" i="39" s="1"/>
  <c r="AD313" i="39"/>
  <c r="AF313" i="39" s="1"/>
  <c r="AD312" i="39"/>
  <c r="AE312" i="39" s="1"/>
  <c r="AD311" i="39"/>
  <c r="AE311" i="39" s="1"/>
  <c r="AD310" i="39"/>
  <c r="AF310" i="39" s="1"/>
  <c r="AD309" i="39"/>
  <c r="AF309" i="39" s="1"/>
  <c r="AD308" i="39"/>
  <c r="AF308" i="39" s="1"/>
  <c r="AD307" i="39"/>
  <c r="AE307" i="39" s="1"/>
  <c r="AD306" i="39"/>
  <c r="AD305" i="39"/>
  <c r="AE305" i="39" s="1"/>
  <c r="AD304" i="39"/>
  <c r="AF304" i="39" s="1"/>
  <c r="AD303" i="39"/>
  <c r="AF303" i="39" s="1"/>
  <c r="AD302" i="39"/>
  <c r="AE302" i="39" s="1"/>
  <c r="AD301" i="39"/>
  <c r="AD300" i="39"/>
  <c r="AE300" i="39" s="1"/>
  <c r="AD299" i="39"/>
  <c r="AE299" i="39" s="1"/>
  <c r="AD298" i="39"/>
  <c r="AF298" i="39" s="1"/>
  <c r="AD297" i="39"/>
  <c r="AE297" i="39" s="1"/>
  <c r="AD296" i="39"/>
  <c r="AD295" i="39"/>
  <c r="AF295" i="39" s="1"/>
  <c r="AD294" i="39"/>
  <c r="AF294" i="39" s="1"/>
  <c r="AD293" i="39"/>
  <c r="AF293" i="39" s="1"/>
  <c r="AD292" i="39"/>
  <c r="AE292" i="39" s="1"/>
  <c r="AD291" i="39"/>
  <c r="AF291" i="39" s="1"/>
  <c r="AD290" i="39"/>
  <c r="AF290" i="39" s="1"/>
  <c r="AD289" i="39"/>
  <c r="AF289" i="39" s="1"/>
  <c r="AD288" i="39"/>
  <c r="AF288" i="39" s="1"/>
  <c r="AD287" i="39"/>
  <c r="AE287" i="39" s="1"/>
  <c r="AD286" i="39"/>
  <c r="AD285" i="39"/>
  <c r="AE285" i="39" s="1"/>
  <c r="AD284" i="39"/>
  <c r="AF284" i="39" s="1"/>
  <c r="AD283" i="39"/>
  <c r="AF283" i="39" s="1"/>
  <c r="AD282" i="39"/>
  <c r="AF282" i="39" s="1"/>
  <c r="AD281" i="39"/>
  <c r="AF281" i="39" s="1"/>
  <c r="AD280" i="39"/>
  <c r="AE280" i="39" s="1"/>
  <c r="AD279" i="39"/>
  <c r="AD278" i="39"/>
  <c r="AE278" i="39" s="1"/>
  <c r="AD277" i="39"/>
  <c r="AF277" i="39" s="1"/>
  <c r="AD276" i="39"/>
  <c r="AF276" i="39" s="1"/>
  <c r="AD275" i="39"/>
  <c r="AF275" i="39" s="1"/>
  <c r="AD274" i="39"/>
  <c r="AF274" i="39" s="1"/>
  <c r="AD273" i="39"/>
  <c r="AE273" i="39" s="1"/>
  <c r="AD272" i="39"/>
  <c r="AD271" i="39"/>
  <c r="AE271" i="39" s="1"/>
  <c r="AD270" i="39"/>
  <c r="AF270" i="39" s="1"/>
  <c r="AD269" i="39"/>
  <c r="AF269" i="39" s="1"/>
  <c r="AD268" i="39"/>
  <c r="AF268" i="39" s="1"/>
  <c r="AD267" i="39"/>
  <c r="AF267" i="39" s="1"/>
  <c r="AD266" i="39"/>
  <c r="AE266" i="39" s="1"/>
  <c r="AD265" i="39"/>
  <c r="AD264" i="39"/>
  <c r="AE264" i="39" s="1"/>
  <c r="AD263" i="39"/>
  <c r="AF263" i="39" s="1"/>
  <c r="AD262" i="39"/>
  <c r="AF262" i="39" s="1"/>
  <c r="AD261" i="39"/>
  <c r="AE261" i="39" s="1"/>
  <c r="AD260" i="39"/>
  <c r="AF260" i="39" s="1"/>
  <c r="AD259" i="39"/>
  <c r="AE259" i="39" s="1"/>
  <c r="AD258" i="39"/>
  <c r="AD257" i="39"/>
  <c r="AE257" i="39" s="1"/>
  <c r="AD256" i="39"/>
  <c r="AF256" i="39" s="1"/>
  <c r="AD255" i="39"/>
  <c r="AF255" i="39" s="1"/>
  <c r="AD254" i="39"/>
  <c r="AF254" i="39" s="1"/>
  <c r="AD253" i="39"/>
  <c r="AF253" i="39" s="1"/>
  <c r="AD252" i="39"/>
  <c r="AE252" i="39" s="1"/>
  <c r="AD251" i="39"/>
  <c r="AD250" i="39"/>
  <c r="AE250" i="39" s="1"/>
  <c r="AD249" i="39"/>
  <c r="AF249" i="39" s="1"/>
  <c r="AD248" i="39"/>
  <c r="AF248" i="39" s="1"/>
  <c r="AD247" i="39"/>
  <c r="AF247" i="39" s="1"/>
  <c r="AD246" i="39"/>
  <c r="AF246" i="39" s="1"/>
  <c r="AD245" i="39"/>
  <c r="AE245" i="39" s="1"/>
  <c r="AD244" i="39"/>
  <c r="AD243" i="39"/>
  <c r="AE243" i="39" s="1"/>
  <c r="AD242" i="39"/>
  <c r="AE242" i="39" s="1"/>
  <c r="AD241" i="39"/>
  <c r="AF241" i="39" s="1"/>
  <c r="AD240" i="39"/>
  <c r="AF240" i="39" s="1"/>
  <c r="AD239" i="39"/>
  <c r="AF239" i="39" s="1"/>
  <c r="AD238" i="39"/>
  <c r="AE238" i="39" s="1"/>
  <c r="AD237" i="39"/>
  <c r="AE237" i="39" s="1"/>
  <c r="AD236" i="39"/>
  <c r="AE236" i="39" s="1"/>
  <c r="AD235" i="39"/>
  <c r="AF235" i="39" s="1"/>
  <c r="AD234" i="39"/>
  <c r="AF234" i="39" s="1"/>
  <c r="AD233" i="39"/>
  <c r="AF233" i="39" s="1"/>
  <c r="AD232" i="39"/>
  <c r="AE232" i="39" s="1"/>
  <c r="AD231" i="39"/>
  <c r="AE231" i="39" s="1"/>
  <c r="AD230" i="39"/>
  <c r="AE230" i="39" s="1"/>
  <c r="AD229" i="39"/>
  <c r="AE229" i="39" s="1"/>
  <c r="AD228" i="39"/>
  <c r="AF228" i="39" s="1"/>
  <c r="AD227" i="39"/>
  <c r="AE227" i="39" s="1"/>
  <c r="AD226" i="39"/>
  <c r="AE226" i="39" s="1"/>
  <c r="AD225" i="39"/>
  <c r="AF225" i="39" s="1"/>
  <c r="AD224" i="39"/>
  <c r="AF224" i="39" s="1"/>
  <c r="AD223" i="39"/>
  <c r="AF223" i="39" s="1"/>
  <c r="AD222" i="39"/>
  <c r="AE222" i="39" s="1"/>
  <c r="AD221" i="39"/>
  <c r="AE221" i="39" s="1"/>
  <c r="AD220" i="39"/>
  <c r="AE220" i="39" s="1"/>
  <c r="AD219" i="39"/>
  <c r="AE219" i="39" s="1"/>
  <c r="AD218" i="39"/>
  <c r="AF218" i="39" s="1"/>
  <c r="AD217" i="39"/>
  <c r="AF217" i="39" s="1"/>
  <c r="AD216" i="39"/>
  <c r="AF216" i="39" s="1"/>
  <c r="AD215" i="39"/>
  <c r="AF215" i="39" s="1"/>
  <c r="AD214" i="39"/>
  <c r="AE214" i="39" s="1"/>
  <c r="AD213" i="39"/>
  <c r="AE213" i="39" s="1"/>
  <c r="AD212" i="39"/>
  <c r="AE212" i="39" s="1"/>
  <c r="AD211" i="39"/>
  <c r="AF211" i="39" s="1"/>
  <c r="AD210" i="39"/>
  <c r="AF210" i="39" s="1"/>
  <c r="AD209" i="39"/>
  <c r="AF209" i="39" s="1"/>
  <c r="AD208" i="39"/>
  <c r="AE208" i="39" s="1"/>
  <c r="AD207" i="39"/>
  <c r="AE207" i="39" s="1"/>
  <c r="AD206" i="39"/>
  <c r="AE206" i="39" s="1"/>
  <c r="AD205" i="39"/>
  <c r="AE205" i="39" s="1"/>
  <c r="AD204" i="39"/>
  <c r="AF204" i="39" s="1"/>
  <c r="AD203" i="39"/>
  <c r="AF203" i="39" s="1"/>
  <c r="AD202" i="39"/>
  <c r="AF202" i="39" s="1"/>
  <c r="AD201" i="39"/>
  <c r="AF201" i="39" s="1"/>
  <c r="AD200" i="39"/>
  <c r="AE200" i="39" s="1"/>
  <c r="AD199" i="39"/>
  <c r="AE199" i="39" s="1"/>
  <c r="AD198" i="39"/>
  <c r="AE198" i="39" s="1"/>
  <c r="AD197" i="39"/>
  <c r="AF197" i="39" s="1"/>
  <c r="AD196" i="39"/>
  <c r="AF196" i="39" s="1"/>
  <c r="AD195" i="39"/>
  <c r="AF195" i="39" s="1"/>
  <c r="AD194" i="39"/>
  <c r="AE194" i="39" s="1"/>
  <c r="AD193" i="39"/>
  <c r="AE193" i="39" s="1"/>
  <c r="AD192" i="39"/>
  <c r="AE192" i="39" s="1"/>
  <c r="AD191" i="39"/>
  <c r="AE191" i="39" s="1"/>
  <c r="AD190" i="39"/>
  <c r="AF190" i="39" s="1"/>
  <c r="AD189" i="39"/>
  <c r="AF189" i="39" s="1"/>
  <c r="AD188" i="39"/>
  <c r="AF188" i="39" s="1"/>
  <c r="AD187" i="39"/>
  <c r="AE187" i="39" s="1"/>
  <c r="AD186" i="39"/>
  <c r="AE186" i="39" s="1"/>
  <c r="AD185" i="39"/>
  <c r="AE185" i="39" s="1"/>
  <c r="AD184" i="39"/>
  <c r="AE184" i="39" s="1"/>
  <c r="AD183" i="39"/>
  <c r="AF183" i="39" s="1"/>
  <c r="AD182" i="39"/>
  <c r="AF182" i="39" s="1"/>
  <c r="AD181" i="39"/>
  <c r="AF181" i="39" s="1"/>
  <c r="AD180" i="39"/>
  <c r="AE180" i="39" s="1"/>
  <c r="AD179" i="39"/>
  <c r="AE179" i="39" s="1"/>
  <c r="AD178" i="39"/>
  <c r="AE178" i="39" s="1"/>
  <c r="AD177" i="39"/>
  <c r="AE177" i="39" s="1"/>
  <c r="AD176" i="39"/>
  <c r="AF176" i="39" s="1"/>
  <c r="AD175" i="39"/>
  <c r="AF175" i="39" s="1"/>
  <c r="AD174" i="39"/>
  <c r="AF174" i="39" s="1"/>
  <c r="AD173" i="39"/>
  <c r="AF173" i="39" s="1"/>
  <c r="AD172" i="39"/>
  <c r="AE172" i="39" s="1"/>
  <c r="AD171" i="39"/>
  <c r="AE171" i="39" s="1"/>
  <c r="AD170" i="39"/>
  <c r="AE170" i="39" s="1"/>
  <c r="AD169" i="39"/>
  <c r="AF169" i="39" s="1"/>
  <c r="AD168" i="39"/>
  <c r="AF168" i="39" s="1"/>
  <c r="AD167" i="39"/>
  <c r="AF167" i="39" s="1"/>
  <c r="AD166" i="39"/>
  <c r="AE166" i="39" s="1"/>
  <c r="AD165" i="39"/>
  <c r="AE165" i="39" s="1"/>
  <c r="AD164" i="39"/>
  <c r="AF164" i="39" s="1"/>
  <c r="AD163" i="39"/>
  <c r="AE163" i="39" s="1"/>
  <c r="AD162" i="39"/>
  <c r="AE162" i="39" s="1"/>
  <c r="AD161" i="39"/>
  <c r="AF161" i="39" s="1"/>
  <c r="AD160" i="39"/>
  <c r="AE160" i="39" s="1"/>
  <c r="AD159" i="39"/>
  <c r="AF159" i="39" s="1"/>
  <c r="AD158" i="39"/>
  <c r="AE158" i="39" s="1"/>
  <c r="AD157" i="39"/>
  <c r="AF157" i="39" s="1"/>
  <c r="AD156" i="39"/>
  <c r="AE156" i="39" s="1"/>
  <c r="AD155" i="39"/>
  <c r="AF155" i="39" s="1"/>
  <c r="AD154" i="39"/>
  <c r="AF154" i="39" s="1"/>
  <c r="AD153" i="39"/>
  <c r="AF153" i="39" s="1"/>
  <c r="AD152" i="39"/>
  <c r="AF152" i="39" s="1"/>
  <c r="AD151" i="39"/>
  <c r="AE151" i="39" s="1"/>
  <c r="AD150" i="39"/>
  <c r="AF150" i="39" s="1"/>
  <c r="AD149" i="39"/>
  <c r="AE149" i="39" s="1"/>
  <c r="AD148" i="39"/>
  <c r="AF148" i="39" s="1"/>
  <c r="AD147" i="39"/>
  <c r="AF147" i="39" s="1"/>
  <c r="AD146" i="39"/>
  <c r="AF146" i="39" s="1"/>
  <c r="AD145" i="39"/>
  <c r="AF145" i="39" s="1"/>
  <c r="AD144" i="39"/>
  <c r="AE144" i="39" s="1"/>
  <c r="AD143" i="39"/>
  <c r="AE143" i="39" s="1"/>
  <c r="AD142" i="39"/>
  <c r="AE142" i="39" s="1"/>
  <c r="AD141" i="39"/>
  <c r="AF141" i="39" s="1"/>
  <c r="AD140" i="39"/>
  <c r="AF140" i="39" s="1"/>
  <c r="AD139" i="39"/>
  <c r="AE139" i="39" s="1"/>
  <c r="AD138" i="39"/>
  <c r="AE138" i="39" s="1"/>
  <c r="AD137" i="39"/>
  <c r="AF137" i="39" s="1"/>
  <c r="AD136" i="39"/>
  <c r="AE136" i="39" s="1"/>
  <c r="AD135" i="39"/>
  <c r="AE135" i="39" s="1"/>
  <c r="AD134" i="39"/>
  <c r="AF134" i="39" s="1"/>
  <c r="AD133" i="39"/>
  <c r="AF133" i="39" s="1"/>
  <c r="AD132" i="39"/>
  <c r="AE132" i="39" s="1"/>
  <c r="AD131" i="39"/>
  <c r="AF131" i="39" s="1"/>
  <c r="AD130" i="39"/>
  <c r="AE130" i="39" s="1"/>
  <c r="AD129" i="39"/>
  <c r="AF129" i="39" s="1"/>
  <c r="AD128" i="39"/>
  <c r="AF128" i="39" s="1"/>
  <c r="AD127" i="39"/>
  <c r="AF127" i="39" s="1"/>
  <c r="AD126" i="39"/>
  <c r="AF126" i="39" s="1"/>
  <c r="AD125" i="39"/>
  <c r="AE125" i="39" s="1"/>
  <c r="AD124" i="39"/>
  <c r="AF124" i="39" s="1"/>
  <c r="AD123" i="39"/>
  <c r="AF123" i="39" s="1"/>
  <c r="AD122" i="39"/>
  <c r="AF122" i="39" s="1"/>
  <c r="AD121" i="39"/>
  <c r="AF121" i="39" s="1"/>
  <c r="AD120" i="39"/>
  <c r="AF120" i="39" s="1"/>
  <c r="AD119" i="39"/>
  <c r="AE119" i="39" s="1"/>
  <c r="AD118" i="39"/>
  <c r="AF118" i="39" s="1"/>
  <c r="AD117" i="39"/>
  <c r="AE117" i="39" s="1"/>
  <c r="AD116" i="39"/>
  <c r="AF116" i="39" s="1"/>
  <c r="AD115" i="39"/>
  <c r="AF115" i="39" s="1"/>
  <c r="AD114" i="39"/>
  <c r="AF114" i="39" s="1"/>
  <c r="AD113" i="39"/>
  <c r="AE113" i="39" s="1"/>
  <c r="AD112" i="39"/>
  <c r="AF112" i="39" s="1"/>
  <c r="AD111" i="39"/>
  <c r="AE111" i="39" s="1"/>
  <c r="AD110" i="39"/>
  <c r="AF110" i="39" s="1"/>
  <c r="AD109" i="39"/>
  <c r="AE109" i="39" s="1"/>
  <c r="AD108" i="39"/>
  <c r="AF108" i="39" s="1"/>
  <c r="AD107" i="39"/>
  <c r="AF107" i="39" s="1"/>
  <c r="AD106" i="39"/>
  <c r="AE106" i="39" s="1"/>
  <c r="AD105" i="39"/>
  <c r="AE105" i="39" s="1"/>
  <c r="AD104" i="39"/>
  <c r="AE104" i="39" s="1"/>
  <c r="AD103" i="39"/>
  <c r="AF103" i="39" s="1"/>
  <c r="AD102" i="39"/>
  <c r="AF102" i="39" s="1"/>
  <c r="AD101" i="39"/>
  <c r="AE101" i="39" s="1"/>
  <c r="AD100" i="39"/>
  <c r="AF100" i="39" s="1"/>
  <c r="AD99" i="39"/>
  <c r="AE99" i="39" s="1"/>
  <c r="AD98" i="39"/>
  <c r="AF98" i="39" s="1"/>
  <c r="AD97" i="39"/>
  <c r="AE97" i="39" s="1"/>
  <c r="AD96" i="39"/>
  <c r="AF96" i="39" s="1"/>
  <c r="AD95" i="39"/>
  <c r="AE95" i="39" s="1"/>
  <c r="AD94" i="39"/>
  <c r="AF94" i="39" s="1"/>
  <c r="AD93" i="39"/>
  <c r="AF93" i="39" s="1"/>
  <c r="AD92" i="39"/>
  <c r="AE92" i="39" s="1"/>
  <c r="AD91" i="39"/>
  <c r="AE91" i="39" s="1"/>
  <c r="AD90" i="39"/>
  <c r="AE90" i="39" s="1"/>
  <c r="AD89" i="39"/>
  <c r="AF89" i="39" s="1"/>
  <c r="AD88" i="39"/>
  <c r="AF88" i="39" s="1"/>
  <c r="AD87" i="39"/>
  <c r="AE87" i="39" s="1"/>
  <c r="AD86" i="39"/>
  <c r="AE86" i="39" s="1"/>
  <c r="AD85" i="39"/>
  <c r="AE85" i="39" s="1"/>
  <c r="AD84" i="39"/>
  <c r="AF84" i="39" s="1"/>
  <c r="AD83" i="39"/>
  <c r="AF83" i="39" s="1"/>
  <c r="AD82" i="39"/>
  <c r="AF82" i="39" s="1"/>
  <c r="AD81" i="39"/>
  <c r="AF81" i="39" s="1"/>
  <c r="AD80" i="39"/>
  <c r="AF80" i="39" s="1"/>
  <c r="AD79" i="39"/>
  <c r="AF79" i="39" s="1"/>
  <c r="AD78" i="39"/>
  <c r="AF78" i="39" s="1"/>
  <c r="AD77" i="39"/>
  <c r="AF77" i="39" s="1"/>
  <c r="AD76" i="39"/>
  <c r="AF76" i="39" s="1"/>
  <c r="AD75" i="39"/>
  <c r="AF75" i="39" s="1"/>
  <c r="AD74" i="39"/>
  <c r="AF74" i="39" s="1"/>
  <c r="AD73" i="39"/>
  <c r="AE73" i="39" s="1"/>
  <c r="AD72" i="39"/>
  <c r="AF72" i="39" s="1"/>
  <c r="AD71" i="39"/>
  <c r="AF71" i="39" s="1"/>
  <c r="AD70" i="39"/>
  <c r="AF70" i="39" s="1"/>
  <c r="AD69" i="39"/>
  <c r="AF69" i="39" s="1"/>
  <c r="AD68" i="39"/>
  <c r="AF68" i="39" s="1"/>
  <c r="AD67" i="39"/>
  <c r="AF67" i="39" s="1"/>
  <c r="AD66" i="39"/>
  <c r="AD65" i="39"/>
  <c r="AF65" i="39" s="1"/>
  <c r="AD64" i="39"/>
  <c r="AE64" i="39" s="1"/>
  <c r="AD63" i="39"/>
  <c r="AF63" i="39" s="1"/>
  <c r="AD62" i="39"/>
  <c r="AF62" i="39" s="1"/>
  <c r="AD61" i="39"/>
  <c r="AF61" i="39" s="1"/>
  <c r="AD60" i="39"/>
  <c r="AF60" i="39" s="1"/>
  <c r="AD59" i="39"/>
  <c r="AF59" i="39" s="1"/>
  <c r="AD58" i="39"/>
  <c r="AF58" i="39" s="1"/>
  <c r="AD57" i="39"/>
  <c r="AF57" i="39" s="1"/>
  <c r="AD56" i="39"/>
  <c r="AF56" i="39" s="1"/>
  <c r="AD55" i="39"/>
  <c r="AF55" i="39" s="1"/>
  <c r="AD54" i="39"/>
  <c r="AF54" i="39" s="1"/>
  <c r="AD53" i="39"/>
  <c r="AF53" i="39" s="1"/>
  <c r="AD52" i="39"/>
  <c r="AF52" i="39" s="1"/>
  <c r="AD51" i="39"/>
  <c r="AE51" i="39" s="1"/>
  <c r="AD50" i="39"/>
  <c r="AF50" i="39" s="1"/>
  <c r="AD49" i="39"/>
  <c r="AF49" i="39" s="1"/>
  <c r="AD48" i="39"/>
  <c r="AF48" i="39" s="1"/>
  <c r="AD47" i="39"/>
  <c r="AD46" i="39"/>
  <c r="AF46" i="39" s="1"/>
  <c r="AD45" i="39"/>
  <c r="AF45" i="39" s="1"/>
  <c r="AD44" i="39"/>
  <c r="AE44" i="39" s="1"/>
  <c r="AD43" i="39"/>
  <c r="AF43" i="39" s="1"/>
  <c r="AD42" i="39"/>
  <c r="AF42" i="39" s="1"/>
  <c r="AD41" i="39"/>
  <c r="AF41" i="39" s="1"/>
  <c r="AD40" i="39"/>
  <c r="AF40" i="39" s="1"/>
  <c r="AD39" i="39"/>
  <c r="AF39" i="39" s="1"/>
  <c r="AD38" i="39"/>
  <c r="AF38" i="39" s="1"/>
  <c r="AD37" i="39"/>
  <c r="AF37" i="39" s="1"/>
  <c r="AD36" i="39"/>
  <c r="AF36" i="39" s="1"/>
  <c r="AD35" i="39"/>
  <c r="AF35" i="39" s="1"/>
  <c r="AD34" i="39"/>
  <c r="AF34" i="39" s="1"/>
  <c r="AD33" i="39"/>
  <c r="AF33" i="39" s="1"/>
  <c r="AD32" i="39"/>
  <c r="AF32" i="39" s="1"/>
  <c r="AD31" i="39"/>
  <c r="AF31" i="39" s="1"/>
  <c r="AD30" i="39"/>
  <c r="AF30" i="39" s="1"/>
  <c r="AD29" i="39"/>
  <c r="AF29" i="39" s="1"/>
  <c r="AD28" i="39"/>
  <c r="AD27" i="39"/>
  <c r="AF27" i="39" s="1"/>
  <c r="AD26" i="39"/>
  <c r="AF26" i="39" s="1"/>
  <c r="AD25" i="39"/>
  <c r="AF25" i="39" s="1"/>
  <c r="AD24" i="39"/>
  <c r="AE24" i="39" s="1"/>
  <c r="AD23" i="39"/>
  <c r="AF23" i="39" s="1"/>
  <c r="AD22" i="39"/>
  <c r="AF22" i="39" s="1"/>
  <c r="AD21" i="39"/>
  <c r="AF21" i="39" s="1"/>
  <c r="AD20" i="39"/>
  <c r="AF20" i="39" s="1"/>
  <c r="AD19" i="39"/>
  <c r="AF19" i="39" s="1"/>
  <c r="AD18" i="39"/>
  <c r="AF18" i="39" s="1"/>
  <c r="AD17" i="39"/>
  <c r="AF17" i="39" s="1"/>
  <c r="AD16" i="39"/>
  <c r="AF16" i="39" s="1"/>
  <c r="AD15" i="39"/>
  <c r="AE15" i="39" s="1"/>
  <c r="AD14" i="39"/>
  <c r="AF14" i="39" s="1"/>
  <c r="AD13" i="39"/>
  <c r="AF13" i="39" s="1"/>
  <c r="AD12" i="39"/>
  <c r="AF12" i="39" s="1"/>
  <c r="AD11" i="39"/>
  <c r="AF11" i="39" s="1"/>
  <c r="AD10" i="39"/>
  <c r="AF10" i="39" s="1"/>
  <c r="AD9" i="39"/>
  <c r="AF47" i="39" l="1"/>
  <c r="AD6" i="39"/>
  <c r="AF9" i="39"/>
  <c r="AD4" i="39"/>
  <c r="AF28" i="39"/>
  <c r="AD5" i="39"/>
  <c r="AF66" i="39"/>
  <c r="AD7" i="39"/>
  <c r="AG307" i="39"/>
  <c r="BE307" i="39" a="1"/>
  <c r="BE307" i="39" s="1"/>
  <c r="AY307" i="39" a="1"/>
  <c r="AY307" i="39" s="1"/>
  <c r="AG91" i="39"/>
  <c r="BE91" i="39" a="1"/>
  <c r="BE91" i="39" s="1"/>
  <c r="AY91" i="39" a="1"/>
  <c r="AY91" i="39" s="1"/>
  <c r="AG64" i="39"/>
  <c r="BE64" i="39" a="1"/>
  <c r="BE64" i="39" s="1"/>
  <c r="AY64" i="39" a="1"/>
  <c r="AY64" i="39" s="1"/>
  <c r="AG319" i="39"/>
  <c r="BE319" i="39" a="1"/>
  <c r="BE319" i="39" s="1"/>
  <c r="AY319" i="39" a="1"/>
  <c r="AY319" i="39" s="1"/>
  <c r="AG142" i="39"/>
  <c r="BE142" i="39" a="1"/>
  <c r="BE142" i="39" s="1"/>
  <c r="AY142" i="39" a="1"/>
  <c r="AY142" i="39" s="1"/>
  <c r="AG299" i="39"/>
  <c r="BE299" i="39" a="1"/>
  <c r="BE299" i="39" s="1"/>
  <c r="AY299" i="39" a="1"/>
  <c r="AY299" i="39" s="1"/>
  <c r="AG143" i="39"/>
  <c r="BE143" i="39" a="1"/>
  <c r="BE143" i="39" s="1"/>
  <c r="AY143" i="39" a="1"/>
  <c r="AY143" i="39" s="1"/>
  <c r="AG184" i="39"/>
  <c r="BE184" i="39" a="1"/>
  <c r="BE184" i="39" s="1"/>
  <c r="AY184" i="39" a="1"/>
  <c r="AY184" i="39" s="1"/>
  <c r="AF132" i="39"/>
  <c r="AG144" i="39"/>
  <c r="BE144" i="39" a="1"/>
  <c r="BE144" i="39" s="1"/>
  <c r="AY144" i="39" a="1"/>
  <c r="AY144" i="39" s="1"/>
  <c r="AG158" i="39"/>
  <c r="BE158" i="39" a="1"/>
  <c r="BE158" i="39" s="1"/>
  <c r="AY158" i="39" a="1"/>
  <c r="AY158" i="39" s="1"/>
  <c r="AG171" i="39"/>
  <c r="BE171" i="39" a="1"/>
  <c r="BE171" i="39" s="1"/>
  <c r="AY171" i="39" a="1"/>
  <c r="AY171" i="39" s="1"/>
  <c r="AG185" i="39"/>
  <c r="BE185" i="39" a="1"/>
  <c r="BE185" i="39" s="1"/>
  <c r="AY185" i="39" a="1"/>
  <c r="AY185" i="39" s="1"/>
  <c r="AG199" i="39"/>
  <c r="BE199" i="39" a="1"/>
  <c r="BE199" i="39" s="1"/>
  <c r="AY199" i="39" a="1"/>
  <c r="AY199" i="39" s="1"/>
  <c r="AG213" i="39"/>
  <c r="BE213" i="39" a="1"/>
  <c r="BE213" i="39" s="1"/>
  <c r="AY213" i="39" a="1"/>
  <c r="AY213" i="39" s="1"/>
  <c r="AG227" i="39"/>
  <c r="BE227" i="39" a="1"/>
  <c r="BE227" i="39" s="1"/>
  <c r="AY227" i="39" a="1"/>
  <c r="AY227" i="39" s="1"/>
  <c r="AG237" i="39"/>
  <c r="BE237" i="39" a="1"/>
  <c r="BE237" i="39" s="1"/>
  <c r="AY237" i="39" a="1"/>
  <c r="AY237" i="39" s="1"/>
  <c r="AG311" i="39"/>
  <c r="BE311" i="39" a="1"/>
  <c r="BE311" i="39" s="1"/>
  <c r="AY311" i="39" a="1"/>
  <c r="AY311" i="39" s="1"/>
  <c r="AG95" i="39"/>
  <c r="BE95" i="39" a="1"/>
  <c r="BE95" i="39" s="1"/>
  <c r="AY95" i="39" a="1"/>
  <c r="AY95" i="39" s="1"/>
  <c r="AG109" i="39"/>
  <c r="BE109" i="39" a="1"/>
  <c r="BE109" i="39" s="1"/>
  <c r="AY109" i="39" a="1"/>
  <c r="AY109" i="39" s="1"/>
  <c r="AF158" i="39"/>
  <c r="AG172" i="39"/>
  <c r="BE172" i="39" a="1"/>
  <c r="BE172" i="39" s="1"/>
  <c r="AY172" i="39" a="1"/>
  <c r="AY172" i="39" s="1"/>
  <c r="AG186" i="39"/>
  <c r="BE186" i="39" a="1"/>
  <c r="BE186" i="39" s="1"/>
  <c r="AY186" i="39" a="1"/>
  <c r="AY186" i="39" s="1"/>
  <c r="AG200" i="39"/>
  <c r="BE200" i="39" a="1"/>
  <c r="BE200" i="39" s="1"/>
  <c r="AY200" i="39" a="1"/>
  <c r="AY200" i="39" s="1"/>
  <c r="AG214" i="39"/>
  <c r="BE214" i="39" a="1"/>
  <c r="BE214" i="39" s="1"/>
  <c r="AY214" i="39" a="1"/>
  <c r="AY214" i="39" s="1"/>
  <c r="AG238" i="39"/>
  <c r="BE238" i="39" a="1"/>
  <c r="BE238" i="39" s="1"/>
  <c r="AY238" i="39" a="1"/>
  <c r="AY238" i="39" s="1"/>
  <c r="AG252" i="39"/>
  <c r="BE252" i="39" a="1"/>
  <c r="BE252" i="39" s="1"/>
  <c r="AY252" i="39" a="1"/>
  <c r="AY252" i="39" s="1"/>
  <c r="AG266" i="39"/>
  <c r="BE266" i="39" a="1"/>
  <c r="BE266" i="39" s="1"/>
  <c r="AY266" i="39" a="1"/>
  <c r="AY266" i="39" s="1"/>
  <c r="AG280" i="39"/>
  <c r="BE280" i="39" a="1"/>
  <c r="BE280" i="39" s="1"/>
  <c r="AY280" i="39" a="1"/>
  <c r="AY280" i="39" s="1"/>
  <c r="AG300" i="39"/>
  <c r="BE300" i="39" a="1"/>
  <c r="BE300" i="39" s="1"/>
  <c r="AY300" i="39" a="1"/>
  <c r="AY300" i="39" s="1"/>
  <c r="AG322" i="39"/>
  <c r="BE322" i="39" a="1"/>
  <c r="BE322" i="39" s="1"/>
  <c r="AY322" i="39" a="1"/>
  <c r="AY322" i="39" s="1"/>
  <c r="AG334" i="39"/>
  <c r="BE334" i="39" a="1"/>
  <c r="BE334" i="39" s="1"/>
  <c r="AY334" i="39" a="1"/>
  <c r="AY334" i="39" s="1"/>
  <c r="AG346" i="39"/>
  <c r="BE346" i="39" a="1"/>
  <c r="BE346" i="39" s="1"/>
  <c r="AY346" i="39" a="1"/>
  <c r="AY346" i="39" s="1"/>
  <c r="AG90" i="39"/>
  <c r="BE90" i="39" a="1"/>
  <c r="BE90" i="39" s="1"/>
  <c r="AY90" i="39" a="1"/>
  <c r="AY90" i="39" s="1"/>
  <c r="BE130" i="39" a="1"/>
  <c r="BE130" i="39" s="1"/>
  <c r="AY130" i="39" a="1"/>
  <c r="AY130" i="39" s="1"/>
  <c r="AG130" i="39"/>
  <c r="AG106" i="39"/>
  <c r="BE106" i="39" a="1"/>
  <c r="BE106" i="39" s="1"/>
  <c r="AY106" i="39" a="1"/>
  <c r="AY106" i="39" s="1"/>
  <c r="AG132" i="39"/>
  <c r="BE132" i="39" a="1"/>
  <c r="BE132" i="39" s="1"/>
  <c r="AY132" i="39" a="1"/>
  <c r="AY132" i="39" s="1"/>
  <c r="AG198" i="39"/>
  <c r="BE198" i="39" a="1"/>
  <c r="BE198" i="39" s="1"/>
  <c r="AY198" i="39" a="1"/>
  <c r="AY198" i="39" s="1"/>
  <c r="AG250" i="39"/>
  <c r="BE250" i="39" a="1"/>
  <c r="BE250" i="39" s="1"/>
  <c r="AY250" i="39" a="1"/>
  <c r="AY250" i="39" s="1"/>
  <c r="AG187" i="39"/>
  <c r="BE187" i="39" a="1"/>
  <c r="BE187" i="39" s="1"/>
  <c r="AY187" i="39" a="1"/>
  <c r="AY187" i="39" s="1"/>
  <c r="AF280" i="39"/>
  <c r="AG292" i="39"/>
  <c r="BE292" i="39" a="1"/>
  <c r="BE292" i="39" s="1"/>
  <c r="AY292" i="39" a="1"/>
  <c r="AY292" i="39" s="1"/>
  <c r="AG331" i="39"/>
  <c r="BE331" i="39" a="1"/>
  <c r="BE331" i="39" s="1"/>
  <c r="AY331" i="39" a="1"/>
  <c r="AY331" i="39" s="1"/>
  <c r="AG119" i="39"/>
  <c r="BE119" i="39" a="1"/>
  <c r="BE119" i="39" s="1"/>
  <c r="AY119" i="39" a="1"/>
  <c r="AY119" i="39" s="1"/>
  <c r="AG97" i="39"/>
  <c r="BE97" i="39" a="1"/>
  <c r="BE97" i="39" s="1"/>
  <c r="AY97" i="39" a="1"/>
  <c r="AY97" i="39" s="1"/>
  <c r="AG348" i="39"/>
  <c r="BE348" i="39" a="1"/>
  <c r="BE348" i="39" s="1"/>
  <c r="AY348" i="39" a="1"/>
  <c r="AY348" i="39" s="1"/>
  <c r="AG44" i="39"/>
  <c r="BE44" i="39" a="1"/>
  <c r="BE44" i="39" s="1"/>
  <c r="AY44" i="39" a="1"/>
  <c r="AY44" i="39" s="1"/>
  <c r="AG86" i="39"/>
  <c r="BE86" i="39" a="1"/>
  <c r="BE86" i="39" s="1"/>
  <c r="AY86" i="39" a="1"/>
  <c r="AY86" i="39" s="1"/>
  <c r="AG177" i="39"/>
  <c r="BE177" i="39" a="1"/>
  <c r="BE177" i="39" s="1"/>
  <c r="AY177" i="39" a="1"/>
  <c r="AY177" i="39" s="1"/>
  <c r="AG117" i="39"/>
  <c r="BE117" i="39" a="1"/>
  <c r="BE117" i="39" s="1"/>
  <c r="AY117" i="39" a="1"/>
  <c r="AY117" i="39" s="1"/>
  <c r="AG162" i="39"/>
  <c r="BE162" i="39" a="1"/>
  <c r="BE162" i="39" s="1"/>
  <c r="AY162" i="39" a="1"/>
  <c r="AY162" i="39" s="1"/>
  <c r="AG205" i="39"/>
  <c r="BE205" i="39" a="1"/>
  <c r="BE205" i="39" s="1"/>
  <c r="AY205" i="39" a="1"/>
  <c r="AY205" i="39" s="1"/>
  <c r="AG138" i="39"/>
  <c r="BE138" i="39" a="1"/>
  <c r="BE138" i="39" s="1"/>
  <c r="AY138" i="39" a="1"/>
  <c r="AY138" i="39" s="1"/>
  <c r="AG104" i="39"/>
  <c r="BE104" i="39" a="1"/>
  <c r="BE104" i="39" s="1"/>
  <c r="AY104" i="39" a="1"/>
  <c r="AY104" i="39" s="1"/>
  <c r="AG105" i="39"/>
  <c r="BE105" i="39" a="1"/>
  <c r="BE105" i="39" s="1"/>
  <c r="AY105" i="39" a="1"/>
  <c r="AY105" i="39" s="1"/>
  <c r="AG92" i="39"/>
  <c r="BE92" i="39" a="1"/>
  <c r="BE92" i="39" s="1"/>
  <c r="AY92" i="39" a="1"/>
  <c r="AY92" i="39" s="1"/>
  <c r="AG156" i="39"/>
  <c r="BE156" i="39" a="1"/>
  <c r="BE156" i="39" s="1"/>
  <c r="AY156" i="39" a="1"/>
  <c r="AY156" i="39" s="1"/>
  <c r="AG170" i="39"/>
  <c r="BE170" i="39" a="1"/>
  <c r="BE170" i="39" s="1"/>
  <c r="AY170" i="39" a="1"/>
  <c r="AY170" i="39" s="1"/>
  <c r="AG226" i="39"/>
  <c r="BE226" i="39" a="1"/>
  <c r="BE226" i="39" s="1"/>
  <c r="AY226" i="39" a="1"/>
  <c r="AY226" i="39" s="1"/>
  <c r="AG264" i="39"/>
  <c r="BE264" i="39" a="1"/>
  <c r="BE264" i="39" s="1"/>
  <c r="AY264" i="39" a="1"/>
  <c r="AY264" i="39" s="1"/>
  <c r="AG15" i="39"/>
  <c r="BE15" i="39" a="1"/>
  <c r="BE15" i="39" s="1"/>
  <c r="AY15" i="39" a="1"/>
  <c r="AY15" i="39" s="1"/>
  <c r="AG111" i="39"/>
  <c r="BE111" i="39" a="1"/>
  <c r="BE111" i="39" s="1"/>
  <c r="AY111" i="39" a="1"/>
  <c r="AY111" i="39" s="1"/>
  <c r="AG160" i="39"/>
  <c r="BE160" i="39" a="1"/>
  <c r="BE160" i="39" s="1"/>
  <c r="AY160" i="39" a="1"/>
  <c r="AY160" i="39" s="1"/>
  <c r="AG302" i="39"/>
  <c r="BE302" i="39" a="1"/>
  <c r="BE302" i="39" s="1"/>
  <c r="AY302" i="39" a="1"/>
  <c r="AY302" i="39" s="1"/>
  <c r="AG312" i="39"/>
  <c r="BE312" i="39" a="1"/>
  <c r="BE312" i="39" s="1"/>
  <c r="AY312" i="39" a="1"/>
  <c r="AY312" i="39" s="1"/>
  <c r="AG324" i="39"/>
  <c r="BE324" i="39" a="1"/>
  <c r="BE324" i="39" s="1"/>
  <c r="AY324" i="39" a="1"/>
  <c r="AY324" i="39" s="1"/>
  <c r="AG336" i="39"/>
  <c r="BE336" i="39" a="1"/>
  <c r="BE336" i="39" s="1"/>
  <c r="AY336" i="39" a="1"/>
  <c r="AY336" i="39" s="1"/>
  <c r="AG85" i="39"/>
  <c r="BE85" i="39" a="1"/>
  <c r="BE85" i="39" s="1"/>
  <c r="AY85" i="39" a="1"/>
  <c r="AY85" i="39" s="1"/>
  <c r="AG135" i="39"/>
  <c r="BE135" i="39" a="1"/>
  <c r="BE135" i="39" s="1"/>
  <c r="AY135" i="39" a="1"/>
  <c r="AY135" i="39" s="1"/>
  <c r="AG99" i="39"/>
  <c r="BE99" i="39" a="1"/>
  <c r="BE99" i="39" s="1"/>
  <c r="AY99" i="39" a="1"/>
  <c r="AY99" i="39" s="1"/>
  <c r="AG125" i="39"/>
  <c r="BE125" i="39" a="1"/>
  <c r="BE125" i="39" s="1"/>
  <c r="AY125" i="39" a="1"/>
  <c r="AY125" i="39" s="1"/>
  <c r="AG149" i="39"/>
  <c r="BE149" i="39" a="1"/>
  <c r="BE149" i="39" s="1"/>
  <c r="AY149" i="39" a="1"/>
  <c r="AY149" i="39" s="1"/>
  <c r="AG242" i="39"/>
  <c r="BE242" i="39" a="1"/>
  <c r="BE242" i="39" s="1"/>
  <c r="AY242" i="39" a="1"/>
  <c r="AY242" i="39" s="1"/>
  <c r="AF86" i="39"/>
  <c r="AG191" i="39"/>
  <c r="BE191" i="39" a="1"/>
  <c r="BE191" i="39" s="1"/>
  <c r="AY191" i="39" a="1"/>
  <c r="AY191" i="39" s="1"/>
  <c r="AG229" i="39"/>
  <c r="AZ229" i="39" a="1"/>
  <c r="AZ229" i="39" s="1"/>
  <c r="BE229" i="39" a="1"/>
  <c r="BE229" i="39" s="1"/>
  <c r="AT229" i="39" a="1"/>
  <c r="AT229" i="39" s="1"/>
  <c r="AY229" i="39" a="1"/>
  <c r="AY229" i="39" s="1"/>
  <c r="AG257" i="39"/>
  <c r="BE257" i="39" a="1"/>
  <c r="BE257" i="39" s="1"/>
  <c r="AY257" i="39" a="1"/>
  <c r="AY257" i="39" s="1"/>
  <c r="AG87" i="39"/>
  <c r="BE87" i="39" a="1"/>
  <c r="BE87" i="39" s="1"/>
  <c r="AY87" i="39" a="1"/>
  <c r="AY87" i="39" s="1"/>
  <c r="AG151" i="39"/>
  <c r="BE151" i="39" a="1"/>
  <c r="BE151" i="39" s="1"/>
  <c r="AY151" i="39" a="1"/>
  <c r="AY151" i="39" s="1"/>
  <c r="AG178" i="39"/>
  <c r="BE178" i="39" a="1"/>
  <c r="BE178" i="39" s="1"/>
  <c r="AY178" i="39" a="1"/>
  <c r="AY178" i="39" s="1"/>
  <c r="AG206" i="39"/>
  <c r="BE206" i="39" a="1"/>
  <c r="BE206" i="39" s="1"/>
  <c r="AY206" i="39" a="1"/>
  <c r="AY206" i="39" s="1"/>
  <c r="AG220" i="39"/>
  <c r="BE220" i="39" a="1"/>
  <c r="BE220" i="39" s="1"/>
  <c r="AY220" i="39" a="1"/>
  <c r="AY220" i="39" s="1"/>
  <c r="AG285" i="39"/>
  <c r="BE285" i="39" a="1"/>
  <c r="BE285" i="39" s="1"/>
  <c r="AY285" i="39" a="1"/>
  <c r="AY285" i="39" s="1"/>
  <c r="AG328" i="39"/>
  <c r="BE328" i="39" a="1"/>
  <c r="BE328" i="39" s="1"/>
  <c r="AY328" i="39" a="1"/>
  <c r="AY328" i="39" s="1"/>
  <c r="AG139" i="39"/>
  <c r="BE139" i="39" a="1"/>
  <c r="BE139" i="39" s="1"/>
  <c r="AY139" i="39" a="1"/>
  <c r="AY139" i="39" s="1"/>
  <c r="AG165" i="39"/>
  <c r="BE165" i="39" a="1"/>
  <c r="BE165" i="39" s="1"/>
  <c r="AY165" i="39" a="1"/>
  <c r="AY165" i="39" s="1"/>
  <c r="AG179" i="39"/>
  <c r="BE179" i="39" a="1"/>
  <c r="BE179" i="39" s="1"/>
  <c r="AY179" i="39" a="1"/>
  <c r="AY179" i="39" s="1"/>
  <c r="AG193" i="39"/>
  <c r="BE193" i="39" a="1"/>
  <c r="BE193" i="39" s="1"/>
  <c r="AY193" i="39" a="1"/>
  <c r="AY193" i="39" s="1"/>
  <c r="AG207" i="39"/>
  <c r="BE207" i="39" a="1"/>
  <c r="BE207" i="39" s="1"/>
  <c r="AY207" i="39" a="1"/>
  <c r="AY207" i="39" s="1"/>
  <c r="AG221" i="39"/>
  <c r="BE221" i="39" a="1"/>
  <c r="BE221" i="39" s="1"/>
  <c r="AY221" i="39" a="1"/>
  <c r="AY221" i="39" s="1"/>
  <c r="AG231" i="39"/>
  <c r="AZ231" i="39" a="1"/>
  <c r="AZ231" i="39" s="1"/>
  <c r="BE231" i="39" a="1"/>
  <c r="BE231" i="39" s="1"/>
  <c r="AY231" i="39" a="1"/>
  <c r="AY231" i="39" s="1"/>
  <c r="AT231" i="39" a="1"/>
  <c r="AT231" i="39" s="1"/>
  <c r="AG245" i="39"/>
  <c r="BE245" i="39" a="1"/>
  <c r="BE245" i="39" s="1"/>
  <c r="AY245" i="39" a="1"/>
  <c r="AY245" i="39" s="1"/>
  <c r="AG259" i="39"/>
  <c r="BE259" i="39" a="1"/>
  <c r="BE259" i="39" s="1"/>
  <c r="AY259" i="39" a="1"/>
  <c r="AY259" i="39" s="1"/>
  <c r="AG273" i="39"/>
  <c r="BE273" i="39" a="1"/>
  <c r="BE273" i="39" s="1"/>
  <c r="AY273" i="39" a="1"/>
  <c r="AY273" i="39" s="1"/>
  <c r="AG305" i="39"/>
  <c r="BE305" i="39" a="1"/>
  <c r="BE305" i="39" s="1"/>
  <c r="AY305" i="39" a="1"/>
  <c r="AY305" i="39" s="1"/>
  <c r="AG317" i="39"/>
  <c r="BE317" i="39" a="1"/>
  <c r="BE317" i="39" s="1"/>
  <c r="AY317" i="39" a="1"/>
  <c r="AY317" i="39" s="1"/>
  <c r="AG329" i="39"/>
  <c r="BE329" i="39" a="1"/>
  <c r="BE329" i="39" s="1"/>
  <c r="AY329" i="39" a="1"/>
  <c r="AY329" i="39" s="1"/>
  <c r="AG341" i="39"/>
  <c r="BE341" i="39" a="1"/>
  <c r="BE341" i="39" s="1"/>
  <c r="AY341" i="39" a="1"/>
  <c r="AY341" i="39" s="1"/>
  <c r="AG261" i="39"/>
  <c r="BE261" i="39" a="1"/>
  <c r="BE261" i="39" s="1"/>
  <c r="AY261" i="39" a="1"/>
  <c r="AY261" i="39" s="1"/>
  <c r="AG51" i="39"/>
  <c r="BE51" i="39" a="1"/>
  <c r="BE51" i="39" s="1"/>
  <c r="AY51" i="39" a="1"/>
  <c r="AY51" i="39" s="1"/>
  <c r="AG24" i="39"/>
  <c r="BE24" i="39" a="1"/>
  <c r="BE24" i="39" s="1"/>
  <c r="AY24" i="39" a="1"/>
  <c r="AY24" i="39" s="1"/>
  <c r="AG343" i="39"/>
  <c r="BE343" i="39" a="1"/>
  <c r="BE343" i="39" s="1"/>
  <c r="AY343" i="39" a="1"/>
  <c r="AY343" i="39" s="1"/>
  <c r="AG212" i="39"/>
  <c r="BE212" i="39" a="1"/>
  <c r="BE212" i="39" s="1"/>
  <c r="AY212" i="39" a="1"/>
  <c r="AY212" i="39" s="1"/>
  <c r="AG236" i="39"/>
  <c r="BE236" i="39" a="1"/>
  <c r="BE236" i="39" s="1"/>
  <c r="AY236" i="39" a="1"/>
  <c r="AY236" i="39" s="1"/>
  <c r="AG278" i="39"/>
  <c r="BE278" i="39" a="1"/>
  <c r="BE278" i="39" s="1"/>
  <c r="AY278" i="39" a="1"/>
  <c r="AY278" i="39" s="1"/>
  <c r="AG73" i="39"/>
  <c r="BE73" i="39" a="1"/>
  <c r="BE73" i="39" s="1"/>
  <c r="AY73" i="39" a="1"/>
  <c r="AY73" i="39" s="1"/>
  <c r="AG113" i="39"/>
  <c r="BE113" i="39" a="1"/>
  <c r="BE113" i="39" s="1"/>
  <c r="AY113" i="39" a="1"/>
  <c r="AY113" i="39" s="1"/>
  <c r="AG136" i="39"/>
  <c r="BE136" i="39" a="1"/>
  <c r="BE136" i="39" s="1"/>
  <c r="AY136" i="39" a="1"/>
  <c r="AY136" i="39" s="1"/>
  <c r="AG163" i="39"/>
  <c r="BE163" i="39" a="1"/>
  <c r="BE163" i="39" s="1"/>
  <c r="AY163" i="39" a="1"/>
  <c r="AY163" i="39" s="1"/>
  <c r="AG219" i="39"/>
  <c r="BE219" i="39" a="1"/>
  <c r="BE219" i="39" s="1"/>
  <c r="AY219" i="39" a="1"/>
  <c r="AY219" i="39" s="1"/>
  <c r="AG243" i="39"/>
  <c r="BE243" i="39" a="1"/>
  <c r="BE243" i="39" s="1"/>
  <c r="AY243" i="39" a="1"/>
  <c r="AY243" i="39" s="1"/>
  <c r="AG271" i="39"/>
  <c r="BE271" i="39" a="1"/>
  <c r="BE271" i="39" s="1"/>
  <c r="AY271" i="39" a="1"/>
  <c r="AY271" i="39" s="1"/>
  <c r="AG101" i="39"/>
  <c r="BE101" i="39" a="1"/>
  <c r="BE101" i="39" s="1"/>
  <c r="AY101" i="39" a="1"/>
  <c r="AY101" i="39" s="1"/>
  <c r="AG192" i="39"/>
  <c r="BE192" i="39" a="1"/>
  <c r="BE192" i="39" s="1"/>
  <c r="AY192" i="39" a="1"/>
  <c r="AY192" i="39" s="1"/>
  <c r="AG230" i="39"/>
  <c r="BE230" i="39" a="1"/>
  <c r="BE230" i="39" s="1"/>
  <c r="AZ230" i="39" a="1"/>
  <c r="AZ230" i="39" s="1"/>
  <c r="AT230" i="39" a="1"/>
  <c r="AT230" i="39" s="1"/>
  <c r="AY230" i="39" a="1"/>
  <c r="AY230" i="39" s="1"/>
  <c r="AG166" i="39"/>
  <c r="BE166" i="39" a="1"/>
  <c r="BE166" i="39" s="1"/>
  <c r="AY166" i="39" a="1"/>
  <c r="AY166" i="39" s="1"/>
  <c r="AG180" i="39"/>
  <c r="BE180" i="39" a="1"/>
  <c r="BE180" i="39" s="1"/>
  <c r="AY180" i="39" a="1"/>
  <c r="AY180" i="39" s="1"/>
  <c r="AG194" i="39"/>
  <c r="BE194" i="39" a="1"/>
  <c r="BE194" i="39" s="1"/>
  <c r="AY194" i="39" a="1"/>
  <c r="AY194" i="39" s="1"/>
  <c r="AG208" i="39"/>
  <c r="BE208" i="39" a="1"/>
  <c r="BE208" i="39" s="1"/>
  <c r="AY208" i="39" a="1"/>
  <c r="AY208" i="39" s="1"/>
  <c r="AG222" i="39"/>
  <c r="BE222" i="39" a="1"/>
  <c r="BE222" i="39" s="1"/>
  <c r="AY222" i="39" a="1"/>
  <c r="AY222" i="39" s="1"/>
  <c r="AG232" i="39"/>
  <c r="BE232" i="39" a="1"/>
  <c r="BE232" i="39" s="1"/>
  <c r="AY232" i="39" a="1"/>
  <c r="AY232" i="39" s="1"/>
  <c r="AG287" i="39"/>
  <c r="BE287" i="39" a="1"/>
  <c r="BE287" i="39" s="1"/>
  <c r="AY287" i="39" a="1"/>
  <c r="AY287" i="39" s="1"/>
  <c r="AG297" i="39"/>
  <c r="BE297" i="39" a="1"/>
  <c r="BE297" i="39" s="1"/>
  <c r="AY297" i="39" a="1"/>
  <c r="AY297" i="39" s="1"/>
  <c r="AF187" i="39"/>
  <c r="AE50" i="39"/>
  <c r="AE126" i="39"/>
  <c r="AF64" i="39"/>
  <c r="AE228" i="39"/>
  <c r="AF206" i="39"/>
  <c r="AF142" i="39"/>
  <c r="AE31" i="39"/>
  <c r="AF44" i="39"/>
  <c r="AE211" i="39"/>
  <c r="AF334" i="39"/>
  <c r="AE62" i="39"/>
  <c r="AF85" i="39"/>
  <c r="AE290" i="39"/>
  <c r="AF179" i="39"/>
  <c r="AE204" i="39"/>
  <c r="AF213" i="39"/>
  <c r="AF242" i="39"/>
  <c r="AF299" i="39"/>
  <c r="AF346" i="39"/>
  <c r="AF328" i="39"/>
  <c r="AE66" i="39"/>
  <c r="AF172" i="39"/>
  <c r="AF245" i="39"/>
  <c r="AE9" i="39"/>
  <c r="AE57" i="39"/>
  <c r="AF135" i="39"/>
  <c r="AE235" i="39"/>
  <c r="AE310" i="39"/>
  <c r="AE246" i="39"/>
  <c r="AF259" i="39"/>
  <c r="AF208" i="39"/>
  <c r="AF311" i="39"/>
  <c r="AE37" i="39"/>
  <c r="AE175" i="39"/>
  <c r="AF186" i="39"/>
  <c r="AE303" i="39"/>
  <c r="AE107" i="39"/>
  <c r="AF130" i="39"/>
  <c r="AE20" i="39"/>
  <c r="AE80" i="39"/>
  <c r="AF109" i="39"/>
  <c r="AE121" i="39"/>
  <c r="AE129" i="39"/>
  <c r="AF199" i="39"/>
  <c r="AF250" i="39"/>
  <c r="AE291" i="39"/>
  <c r="AF331" i="39"/>
  <c r="AE69" i="39"/>
  <c r="AF87" i="39"/>
  <c r="AF271" i="39"/>
  <c r="AE340" i="39"/>
  <c r="AF51" i="39"/>
  <c r="AF160" i="39"/>
  <c r="AF180" i="39"/>
  <c r="AF227" i="39"/>
  <c r="AE283" i="39"/>
  <c r="AF348" i="39"/>
  <c r="AE13" i="39"/>
  <c r="AE52" i="39"/>
  <c r="AE82" i="39"/>
  <c r="AE201" i="39"/>
  <c r="AE262" i="39"/>
  <c r="AF24" i="39"/>
  <c r="AE45" i="39"/>
  <c r="AF90" i="39"/>
  <c r="AE124" i="39"/>
  <c r="AF192" i="39"/>
  <c r="AF220" i="39"/>
  <c r="AE293" i="39"/>
  <c r="AE315" i="39"/>
  <c r="AF73" i="39"/>
  <c r="AF15" i="39"/>
  <c r="AF165" i="39"/>
  <c r="AF185" i="39"/>
  <c r="AF221" i="39"/>
  <c r="AE256" i="39"/>
  <c r="AE288" i="39"/>
  <c r="AE38" i="39"/>
  <c r="AF91" i="39"/>
  <c r="AE137" i="39"/>
  <c r="AE173" i="39"/>
  <c r="AF193" i="39"/>
  <c r="AF200" i="39"/>
  <c r="AF230" i="39"/>
  <c r="AF237" i="39"/>
  <c r="AE281" i="39"/>
  <c r="AE295" i="39"/>
  <c r="AF322" i="39"/>
  <c r="AE27" i="39"/>
  <c r="AE76" i="39"/>
  <c r="AF151" i="39"/>
  <c r="AF166" i="39"/>
  <c r="AF207" i="39"/>
  <c r="AF214" i="39"/>
  <c r="AF266" i="39"/>
  <c r="AF273" i="39"/>
  <c r="AF317" i="39"/>
  <c r="AE22" i="39"/>
  <c r="AE34" i="39"/>
  <c r="AE58" i="39"/>
  <c r="AE71" i="39"/>
  <c r="AE93" i="39"/>
  <c r="AF101" i="39"/>
  <c r="AF138" i="39"/>
  <c r="AF144" i="39"/>
  <c r="AF194" i="39"/>
  <c r="AE215" i="39"/>
  <c r="AF231" i="39"/>
  <c r="AF238" i="39"/>
  <c r="AF252" i="39"/>
  <c r="AF324" i="39"/>
  <c r="AF336" i="39"/>
  <c r="AE16" i="39"/>
  <c r="AE29" i="39"/>
  <c r="AE41" i="39"/>
  <c r="AE65" i="39"/>
  <c r="AE78" i="39"/>
  <c r="AE83" i="39"/>
  <c r="AF111" i="39"/>
  <c r="AE133" i="39"/>
  <c r="AF139" i="39"/>
  <c r="AE145" i="39"/>
  <c r="AE153" i="39"/>
  <c r="AF162" i="39"/>
  <c r="AE169" i="39"/>
  <c r="AE189" i="39"/>
  <c r="AF222" i="39"/>
  <c r="AE239" i="39"/>
  <c r="AE260" i="39"/>
  <c r="AE276" i="39"/>
  <c r="AF319" i="39"/>
  <c r="AE325" i="39"/>
  <c r="AE342" i="39"/>
  <c r="AE10" i="39"/>
  <c r="AE59" i="39"/>
  <c r="AE103" i="39"/>
  <c r="AE128" i="39"/>
  <c r="AE176" i="39"/>
  <c r="AE183" i="39"/>
  <c r="AE203" i="39"/>
  <c r="AF232" i="39"/>
  <c r="AE254" i="39"/>
  <c r="AE269" i="39"/>
  <c r="AE338" i="39"/>
  <c r="AE23" i="39"/>
  <c r="AE36" i="39"/>
  <c r="AE48" i="39"/>
  <c r="AE72" i="39"/>
  <c r="AE89" i="39"/>
  <c r="AF95" i="39"/>
  <c r="AE190" i="39"/>
  <c r="AE197" i="39"/>
  <c r="AE217" i="39"/>
  <c r="AE248" i="39"/>
  <c r="AF285" i="39"/>
  <c r="AE320" i="39"/>
  <c r="AE332" i="39"/>
  <c r="AE351" i="39"/>
  <c r="AE17" i="39"/>
  <c r="AE123" i="39"/>
  <c r="AE141" i="39"/>
  <c r="AE164" i="39"/>
  <c r="AF261" i="39"/>
  <c r="AE270" i="39"/>
  <c r="AF278" i="39"/>
  <c r="AF307" i="39"/>
  <c r="AF312" i="39"/>
  <c r="AF343" i="39"/>
  <c r="AE30" i="39"/>
  <c r="AE43" i="39"/>
  <c r="AE55" i="39"/>
  <c r="AE79" i="39"/>
  <c r="AE147" i="39"/>
  <c r="AF171" i="39"/>
  <c r="AE218" i="39"/>
  <c r="AE225" i="39"/>
  <c r="AE241" i="39"/>
  <c r="AE249" i="39"/>
  <c r="AE255" i="39"/>
  <c r="AF292" i="39"/>
  <c r="AF302" i="39"/>
  <c r="AE327" i="39"/>
  <c r="AE333" i="39"/>
  <c r="AE339" i="39"/>
  <c r="AF97" i="39"/>
  <c r="AF105" i="39"/>
  <c r="AF178" i="39"/>
  <c r="AF287" i="39"/>
  <c r="AF297" i="39"/>
  <c r="AE344" i="39"/>
  <c r="AE12" i="39"/>
  <c r="AE19" i="39"/>
  <c r="AE26" i="39"/>
  <c r="AE33" i="39"/>
  <c r="AE40" i="39"/>
  <c r="AE47" i="39"/>
  <c r="AE54" i="39"/>
  <c r="AE61" i="39"/>
  <c r="AE68" i="39"/>
  <c r="AE75" i="39"/>
  <c r="AE110" i="39"/>
  <c r="AF117" i="39"/>
  <c r="AE140" i="39"/>
  <c r="AF156" i="39"/>
  <c r="AF264" i="39"/>
  <c r="AE274" i="39"/>
  <c r="AF279" i="39"/>
  <c r="AE279" i="39"/>
  <c r="AE284" i="39"/>
  <c r="AF305" i="39"/>
  <c r="AE313" i="39"/>
  <c r="AF318" i="39"/>
  <c r="AE318" i="39"/>
  <c r="AE94" i="39"/>
  <c r="AE98" i="39"/>
  <c r="AE102" i="39"/>
  <c r="AF106" i="39"/>
  <c r="AF136" i="39"/>
  <c r="AE148" i="39"/>
  <c r="AE152" i="39"/>
  <c r="AE174" i="39"/>
  <c r="AE188" i="39"/>
  <c r="AE202" i="39"/>
  <c r="AE216" i="39"/>
  <c r="AE240" i="39"/>
  <c r="AE289" i="39"/>
  <c r="AE326" i="39"/>
  <c r="AF265" i="39"/>
  <c r="AE265" i="39"/>
  <c r="AF306" i="39"/>
  <c r="AE306" i="39"/>
  <c r="AF347" i="39"/>
  <c r="AE347" i="39"/>
  <c r="AE114" i="39"/>
  <c r="AE118" i="39"/>
  <c r="AE122" i="39"/>
  <c r="AF125" i="39"/>
  <c r="AE157" i="39"/>
  <c r="AE161" i="39"/>
  <c r="AF170" i="39"/>
  <c r="AF184" i="39"/>
  <c r="AF198" i="39"/>
  <c r="AF212" i="39"/>
  <c r="AF226" i="39"/>
  <c r="AF236" i="39"/>
  <c r="AE275" i="39"/>
  <c r="AE314" i="39"/>
  <c r="AF251" i="39"/>
  <c r="AE251" i="39"/>
  <c r="AF296" i="39"/>
  <c r="AE296" i="39"/>
  <c r="AF335" i="39"/>
  <c r="AE335" i="39"/>
  <c r="AF99" i="39"/>
  <c r="AF149" i="39"/>
  <c r="AF286" i="39"/>
  <c r="AE286" i="39"/>
  <c r="AF323" i="39"/>
  <c r="AE323" i="39"/>
  <c r="AE108" i="39"/>
  <c r="AE112" i="39"/>
  <c r="AE115" i="39"/>
  <c r="AF119" i="39"/>
  <c r="AE247" i="39"/>
  <c r="AE294" i="39"/>
  <c r="AF349" i="39"/>
  <c r="AE349" i="39"/>
  <c r="AE14" i="39"/>
  <c r="AE21" i="39"/>
  <c r="AE28" i="39"/>
  <c r="AE35" i="39"/>
  <c r="AE42" i="39"/>
  <c r="AE49" i="39"/>
  <c r="AE56" i="39"/>
  <c r="AE63" i="39"/>
  <c r="AE70" i="39"/>
  <c r="AE77" i="39"/>
  <c r="AE96" i="39"/>
  <c r="AE100" i="39"/>
  <c r="AF104" i="39"/>
  <c r="AE150" i="39"/>
  <c r="AE154" i="39"/>
  <c r="AE167" i="39"/>
  <c r="AE181" i="39"/>
  <c r="AE195" i="39"/>
  <c r="AE209" i="39"/>
  <c r="AE223" i="39"/>
  <c r="AE233" i="39"/>
  <c r="AF257" i="39"/>
  <c r="AE267" i="39"/>
  <c r="AF272" i="39"/>
  <c r="AE272" i="39"/>
  <c r="AE277" i="39"/>
  <c r="AF300" i="39"/>
  <c r="AE308" i="39"/>
  <c r="AE316" i="39"/>
  <c r="AF341" i="39"/>
  <c r="AE81" i="39"/>
  <c r="AE84" i="39"/>
  <c r="AE88" i="39"/>
  <c r="AF92" i="39"/>
  <c r="AE127" i="39"/>
  <c r="AE131" i="39"/>
  <c r="AE134" i="39"/>
  <c r="AE146" i="39"/>
  <c r="AF163" i="39"/>
  <c r="AE282" i="39"/>
  <c r="AE321" i="39"/>
  <c r="AE350" i="39"/>
  <c r="AE11" i="39"/>
  <c r="AE18" i="39"/>
  <c r="AE25" i="39"/>
  <c r="AE32" i="39"/>
  <c r="AE39" i="39"/>
  <c r="AE46" i="39"/>
  <c r="AE53" i="39"/>
  <c r="AE60" i="39"/>
  <c r="AE67" i="39"/>
  <c r="AE74" i="39"/>
  <c r="AE116" i="39"/>
  <c r="AE120" i="39"/>
  <c r="AF143" i="39"/>
  <c r="AE155" i="39"/>
  <c r="AE159" i="39"/>
  <c r="AF177" i="39"/>
  <c r="AF191" i="39"/>
  <c r="AF205" i="39"/>
  <c r="AF219" i="39"/>
  <c r="AF229" i="39"/>
  <c r="AF243" i="39"/>
  <c r="AE253" i="39"/>
  <c r="AF258" i="39"/>
  <c r="AE258" i="39"/>
  <c r="AE263" i="39"/>
  <c r="AE298" i="39"/>
  <c r="AF301" i="39"/>
  <c r="AE301" i="39"/>
  <c r="AE304" i="39"/>
  <c r="AF329" i="39"/>
  <c r="AE337" i="39"/>
  <c r="AE345" i="39"/>
  <c r="AF113" i="39"/>
  <c r="AE168" i="39"/>
  <c r="AE182" i="39"/>
  <c r="AE196" i="39"/>
  <c r="AE210" i="39"/>
  <c r="AE224" i="39"/>
  <c r="AE234" i="39"/>
  <c r="AE268" i="39"/>
  <c r="AE309" i="39"/>
  <c r="AF244" i="39"/>
  <c r="AE244" i="39"/>
  <c r="AF330" i="39"/>
  <c r="AE330" i="39"/>
  <c r="L33" i="95"/>
  <c r="R33" i="95"/>
  <c r="X33" i="95"/>
  <c r="F33" i="95"/>
  <c r="AE7" i="39" l="1"/>
  <c r="AE5" i="39"/>
  <c r="AE6" i="39"/>
  <c r="AF7" i="39"/>
  <c r="AF5" i="39"/>
  <c r="AE4" i="39"/>
  <c r="AF4" i="39"/>
  <c r="AF6" i="39"/>
  <c r="AG223" i="39"/>
  <c r="BE223" i="39" a="1"/>
  <c r="BE223" i="39" s="1"/>
  <c r="AY223" i="39" a="1"/>
  <c r="AY223" i="39" s="1"/>
  <c r="AG274" i="39"/>
  <c r="BE274" i="39" a="1"/>
  <c r="BE274" i="39" s="1"/>
  <c r="AY274" i="39" a="1"/>
  <c r="AY274" i="39" s="1"/>
  <c r="AG217" i="39"/>
  <c r="BE217" i="39" a="1"/>
  <c r="BE217" i="39" s="1"/>
  <c r="AY217" i="39" a="1"/>
  <c r="AY217" i="39" s="1"/>
  <c r="AG34" i="39"/>
  <c r="BE34" i="39" a="1"/>
  <c r="BE34" i="39" s="1"/>
  <c r="AY34" i="39" a="1"/>
  <c r="AY34" i="39" s="1"/>
  <c r="AG316" i="39"/>
  <c r="BE316" i="39" a="1"/>
  <c r="BE316" i="39" s="1"/>
  <c r="AY316" i="39" a="1"/>
  <c r="AY316" i="39" s="1"/>
  <c r="AG102" i="39"/>
  <c r="BE102" i="39" a="1"/>
  <c r="BE102" i="39" s="1"/>
  <c r="AY102" i="39" a="1"/>
  <c r="AY102" i="39" s="1"/>
  <c r="AG128" i="39"/>
  <c r="BE128" i="39" a="1"/>
  <c r="BE128" i="39" s="1"/>
  <c r="AY128" i="39" a="1"/>
  <c r="AY128" i="39" s="1"/>
  <c r="AG211" i="39"/>
  <c r="BE211" i="39" a="1"/>
  <c r="BE211" i="39" s="1"/>
  <c r="AY211" i="39" a="1"/>
  <c r="AY211" i="39" s="1"/>
  <c r="AG224" i="39"/>
  <c r="BE224" i="39" a="1"/>
  <c r="BE224" i="39" s="1"/>
  <c r="AY224" i="39" a="1"/>
  <c r="AY224" i="39" s="1"/>
  <c r="AG298" i="39"/>
  <c r="BE298" i="39" a="1"/>
  <c r="BE298" i="39" s="1"/>
  <c r="AY298" i="39" a="1"/>
  <c r="AY298" i="39" s="1"/>
  <c r="AG350" i="39"/>
  <c r="BE350" i="39" a="1"/>
  <c r="BE350" i="39" s="1"/>
  <c r="AY350" i="39" a="1"/>
  <c r="AY350" i="39" s="1"/>
  <c r="AG167" i="39"/>
  <c r="BE167" i="39" a="1"/>
  <c r="BE167" i="39" s="1"/>
  <c r="AY167" i="39" a="1"/>
  <c r="AY167" i="39" s="1"/>
  <c r="AG21" i="39"/>
  <c r="BE21" i="39" a="1"/>
  <c r="BE21" i="39" s="1"/>
  <c r="AY21" i="39" a="1"/>
  <c r="AY21" i="39" s="1"/>
  <c r="AG98" i="39"/>
  <c r="BE98" i="39" a="1"/>
  <c r="BE98" i="39" s="1"/>
  <c r="AY98" i="39" a="1"/>
  <c r="AY98" i="39" s="1"/>
  <c r="AG218" i="39"/>
  <c r="BE218" i="39" a="1"/>
  <c r="BE218" i="39" s="1"/>
  <c r="AY218" i="39" a="1"/>
  <c r="AY218" i="39" s="1"/>
  <c r="AG141" i="39"/>
  <c r="BE141" i="39" a="1"/>
  <c r="BE141" i="39" s="1"/>
  <c r="AY141" i="39" a="1"/>
  <c r="AY141" i="39" s="1"/>
  <c r="AG89" i="39"/>
  <c r="BE89" i="39" a="1"/>
  <c r="BE89" i="39" s="1"/>
  <c r="AY89" i="39" a="1"/>
  <c r="AY89" i="39" s="1"/>
  <c r="AG103" i="39"/>
  <c r="BE103" i="39" a="1"/>
  <c r="BE103" i="39" s="1"/>
  <c r="AY103" i="39" a="1"/>
  <c r="AY103" i="39" s="1"/>
  <c r="AG145" i="39"/>
  <c r="BE145" i="39" a="1"/>
  <c r="BE145" i="39" s="1"/>
  <c r="AY145" i="39" a="1"/>
  <c r="AY145" i="39" s="1"/>
  <c r="AG315" i="39"/>
  <c r="BE315" i="39" a="1"/>
  <c r="BE315" i="39" s="1"/>
  <c r="AY315" i="39" a="1"/>
  <c r="AY315" i="39" s="1"/>
  <c r="AG13" i="39"/>
  <c r="BE13" i="39" a="1"/>
  <c r="BE13" i="39" s="1"/>
  <c r="AY13" i="39" a="1"/>
  <c r="AY13" i="39" s="1"/>
  <c r="AG291" i="39"/>
  <c r="BE291" i="39" a="1"/>
  <c r="BE291" i="39" s="1"/>
  <c r="AY291" i="39" a="1"/>
  <c r="AY291" i="39" s="1"/>
  <c r="AG175" i="39"/>
  <c r="BE175" i="39" a="1"/>
  <c r="BE175" i="39" s="1"/>
  <c r="AY175" i="39" a="1"/>
  <c r="AY175" i="39" s="1"/>
  <c r="AG241" i="39"/>
  <c r="BE241" i="39" a="1"/>
  <c r="BE241" i="39" s="1"/>
  <c r="AY241" i="39" a="1"/>
  <c r="AY241" i="39" s="1"/>
  <c r="AG234" i="39"/>
  <c r="BE234" i="39" a="1"/>
  <c r="BE234" i="39" s="1"/>
  <c r="AY234" i="39" a="1"/>
  <c r="AY234" i="39" s="1"/>
  <c r="AG301" i="39"/>
  <c r="BE301" i="39" a="1"/>
  <c r="BE301" i="39" s="1"/>
  <c r="AY301" i="39" a="1"/>
  <c r="AY301" i="39" s="1"/>
  <c r="AG190" i="39"/>
  <c r="BE190" i="39" a="1"/>
  <c r="BE190" i="39" s="1"/>
  <c r="AY190" i="39" a="1"/>
  <c r="AY190" i="39" s="1"/>
  <c r="AG82" i="39"/>
  <c r="BE82" i="39" a="1"/>
  <c r="BE82" i="39" s="1"/>
  <c r="AY82" i="39" a="1"/>
  <c r="AY82" i="39" s="1"/>
  <c r="AG120" i="39"/>
  <c r="BE120" i="39" a="1"/>
  <c r="BE120" i="39" s="1"/>
  <c r="AY120" i="39" a="1"/>
  <c r="AY120" i="39" s="1"/>
  <c r="AG150" i="39"/>
  <c r="BE150" i="39" a="1"/>
  <c r="BE150" i="39" s="1"/>
  <c r="AY150" i="39" a="1"/>
  <c r="AY150" i="39" s="1"/>
  <c r="AG147" i="39"/>
  <c r="BE147" i="39" a="1"/>
  <c r="BE147" i="39" s="1"/>
  <c r="AY147" i="39" a="1"/>
  <c r="AY147" i="39" s="1"/>
  <c r="AG48" i="39"/>
  <c r="BE48" i="39" a="1"/>
  <c r="BE48" i="39" s="1"/>
  <c r="AY48" i="39" a="1"/>
  <c r="AY48" i="39" s="1"/>
  <c r="AG10" i="39"/>
  <c r="BE10" i="39" a="1"/>
  <c r="BE10" i="39" s="1"/>
  <c r="AY10" i="39" a="1"/>
  <c r="AY10" i="39" s="1"/>
  <c r="AG215" i="39"/>
  <c r="BE215" i="39" a="1"/>
  <c r="BE215" i="39" s="1"/>
  <c r="AY215" i="39" a="1"/>
  <c r="AY215" i="39" s="1"/>
  <c r="AG293" i="39"/>
  <c r="BE293" i="39" a="1"/>
  <c r="BE293" i="39" s="1"/>
  <c r="AY293" i="39" a="1"/>
  <c r="AY293" i="39" s="1"/>
  <c r="AG49" i="39"/>
  <c r="BE49" i="39" a="1"/>
  <c r="BE49" i="39" s="1"/>
  <c r="AY49" i="39" a="1"/>
  <c r="AY49" i="39" s="1"/>
  <c r="AG148" i="39"/>
  <c r="BE148" i="39" a="1"/>
  <c r="BE148" i="39" s="1"/>
  <c r="AY148" i="39" a="1"/>
  <c r="AY148" i="39" s="1"/>
  <c r="AG262" i="39"/>
  <c r="BE262" i="39" a="1"/>
  <c r="BE262" i="39" s="1"/>
  <c r="AY262" i="39" a="1"/>
  <c r="AY262" i="39" s="1"/>
  <c r="AG18" i="39"/>
  <c r="BE18" i="39" a="1"/>
  <c r="BE18" i="39" s="1"/>
  <c r="AY18" i="39" a="1"/>
  <c r="AY18" i="39" s="1"/>
  <c r="AG321" i="39"/>
  <c r="BE321" i="39" a="1"/>
  <c r="BE321" i="39" s="1"/>
  <c r="AY321" i="39" a="1"/>
  <c r="AY321" i="39" s="1"/>
  <c r="AG196" i="39"/>
  <c r="BE196" i="39" a="1"/>
  <c r="BE196" i="39" s="1"/>
  <c r="AY196" i="39" a="1"/>
  <c r="AY196" i="39" s="1"/>
  <c r="AG263" i="39"/>
  <c r="BE263" i="39" a="1"/>
  <c r="BE263" i="39" s="1"/>
  <c r="AY263" i="39" a="1"/>
  <c r="AY263" i="39" s="1"/>
  <c r="AG282" i="39"/>
  <c r="BE282" i="39" a="1"/>
  <c r="BE282" i="39" s="1"/>
  <c r="AY282" i="39" a="1"/>
  <c r="AY282" i="39" s="1"/>
  <c r="AG308" i="39"/>
  <c r="BE308" i="39" a="1"/>
  <c r="BE308" i="39" s="1"/>
  <c r="AY308" i="39" a="1"/>
  <c r="AY308" i="39" s="1"/>
  <c r="AG349" i="39"/>
  <c r="BE349" i="39" a="1"/>
  <c r="BE349" i="39" s="1"/>
  <c r="AY349" i="39" a="1"/>
  <c r="AY349" i="39" s="1"/>
  <c r="AG289" i="39"/>
  <c r="BE289" i="39" a="1"/>
  <c r="BE289" i="39" s="1"/>
  <c r="AY289" i="39" a="1"/>
  <c r="AY289" i="39" s="1"/>
  <c r="AG110" i="39"/>
  <c r="BE110" i="39" a="1"/>
  <c r="BE110" i="39" s="1"/>
  <c r="AY110" i="39" a="1"/>
  <c r="AY110" i="39" s="1"/>
  <c r="AG123" i="39"/>
  <c r="BE123" i="39" a="1"/>
  <c r="BE123" i="39" s="1"/>
  <c r="AY123" i="39" a="1"/>
  <c r="AY123" i="39" s="1"/>
  <c r="AG133" i="39"/>
  <c r="BE133" i="39" a="1"/>
  <c r="BE133" i="39" s="1"/>
  <c r="AY133" i="39" a="1"/>
  <c r="AY133" i="39" s="1"/>
  <c r="AG182" i="39"/>
  <c r="BE182" i="39" a="1"/>
  <c r="BE182" i="39" s="1"/>
  <c r="AY182" i="39" a="1"/>
  <c r="AY182" i="39" s="1"/>
  <c r="AG258" i="39"/>
  <c r="BE258" i="39" a="1"/>
  <c r="BE258" i="39" s="1"/>
  <c r="AY258" i="39" a="1"/>
  <c r="AY258" i="39" s="1"/>
  <c r="AG116" i="39"/>
  <c r="BE116" i="39" a="1"/>
  <c r="BE116" i="39" s="1"/>
  <c r="AY116" i="39" a="1"/>
  <c r="AY116" i="39" s="1"/>
  <c r="AG335" i="39"/>
  <c r="BE335" i="39" a="1"/>
  <c r="BE335" i="39" s="1"/>
  <c r="AY335" i="39" a="1"/>
  <c r="AY335" i="39" s="1"/>
  <c r="AG161" i="39"/>
  <c r="BE161" i="39" a="1"/>
  <c r="BE161" i="39" s="1"/>
  <c r="AY161" i="39" a="1"/>
  <c r="AY161" i="39" s="1"/>
  <c r="AG240" i="39"/>
  <c r="BE240" i="39" a="1"/>
  <c r="BE240" i="39" s="1"/>
  <c r="AY240" i="39" a="1"/>
  <c r="AY240" i="39" s="1"/>
  <c r="AG318" i="39"/>
  <c r="BE318" i="39" a="1"/>
  <c r="BE318" i="39" s="1"/>
  <c r="AY318" i="39" a="1"/>
  <c r="AY318" i="39" s="1"/>
  <c r="AG75" i="39"/>
  <c r="BE75" i="39" a="1"/>
  <c r="BE75" i="39" s="1"/>
  <c r="AY75" i="39" a="1"/>
  <c r="AY75" i="39" s="1"/>
  <c r="AG79" i="39"/>
  <c r="BE79" i="39" a="1"/>
  <c r="BE79" i="39" s="1"/>
  <c r="AY79" i="39" a="1"/>
  <c r="AY79" i="39" s="1"/>
  <c r="AG36" i="39"/>
  <c r="BE36" i="39" a="1"/>
  <c r="BE36" i="39" s="1"/>
  <c r="AY36" i="39" a="1"/>
  <c r="AY36" i="39" s="1"/>
  <c r="AG342" i="39"/>
  <c r="BE342" i="39" a="1"/>
  <c r="BE342" i="39" s="1"/>
  <c r="AY342" i="39" a="1"/>
  <c r="AY342" i="39" s="1"/>
  <c r="AG137" i="39"/>
  <c r="BE137" i="39" a="1"/>
  <c r="BE137" i="39" s="1"/>
  <c r="AY137" i="39" a="1"/>
  <c r="AY137" i="39" s="1"/>
  <c r="AG283" i="39"/>
  <c r="BE283" i="39" a="1"/>
  <c r="BE283" i="39" s="1"/>
  <c r="AY283" i="39" a="1"/>
  <c r="AY283" i="39" s="1"/>
  <c r="AG129" i="39"/>
  <c r="BE129" i="39" a="1"/>
  <c r="BE129" i="39" s="1"/>
  <c r="AY129" i="39" a="1"/>
  <c r="AY129" i="39" s="1"/>
  <c r="AG84" i="39"/>
  <c r="BE84" i="39" a="1"/>
  <c r="BE84" i="39" s="1"/>
  <c r="AY84" i="39" a="1"/>
  <c r="AY84" i="39" s="1"/>
  <c r="AG108" i="39"/>
  <c r="BE108" i="39" a="1"/>
  <c r="BE108" i="39" s="1"/>
  <c r="AY108" i="39" a="1"/>
  <c r="AY108" i="39" s="1"/>
  <c r="AG275" i="39"/>
  <c r="BE275" i="39" a="1"/>
  <c r="BE275" i="39" s="1"/>
  <c r="AY275" i="39" a="1"/>
  <c r="AY275" i="39" s="1"/>
  <c r="AG26" i="39"/>
  <c r="BE26" i="39" a="1"/>
  <c r="BE26" i="39" s="1"/>
  <c r="AY26" i="39" a="1"/>
  <c r="AY26" i="39" s="1"/>
  <c r="AG255" i="39"/>
  <c r="BE255" i="39" a="1"/>
  <c r="BE255" i="39" s="1"/>
  <c r="AY255" i="39" a="1"/>
  <c r="AY255" i="39" s="1"/>
  <c r="AG203" i="39"/>
  <c r="BE203" i="39" a="1"/>
  <c r="BE203" i="39" s="1"/>
  <c r="AY203" i="39" a="1"/>
  <c r="AY203" i="39" s="1"/>
  <c r="AG189" i="39"/>
  <c r="BE189" i="39" a="1"/>
  <c r="BE189" i="39" s="1"/>
  <c r="AY189" i="39" a="1"/>
  <c r="AY189" i="39" s="1"/>
  <c r="AG281" i="39"/>
  <c r="BE281" i="39" a="1"/>
  <c r="BE281" i="39" s="1"/>
  <c r="AY281" i="39" a="1"/>
  <c r="AY281" i="39" s="1"/>
  <c r="AG107" i="39"/>
  <c r="BE107" i="39" a="1"/>
  <c r="BE107" i="39" s="1"/>
  <c r="AY107" i="39" a="1"/>
  <c r="AY107" i="39" s="1"/>
  <c r="AG35" i="39"/>
  <c r="BE35" i="39" a="1"/>
  <c r="BE35" i="39" s="1"/>
  <c r="AY35" i="39" a="1"/>
  <c r="AY35" i="39" s="1"/>
  <c r="AG176" i="39"/>
  <c r="BE176" i="39" a="1"/>
  <c r="BE176" i="39" s="1"/>
  <c r="AY176" i="39" a="1"/>
  <c r="AY176" i="39" s="1"/>
  <c r="AG9" i="39"/>
  <c r="BE9" i="39" a="1"/>
  <c r="BE9" i="39" s="1"/>
  <c r="AY9" i="39" a="1"/>
  <c r="AY9" i="39" s="1"/>
  <c r="AG28" i="39"/>
  <c r="BE28" i="39" a="1"/>
  <c r="BE28" i="39" s="1"/>
  <c r="AY28" i="39" a="1"/>
  <c r="AY28" i="39" s="1"/>
  <c r="AG12" i="39"/>
  <c r="BE12" i="39" a="1"/>
  <c r="BE12" i="39" s="1"/>
  <c r="AY12" i="39" a="1"/>
  <c r="AY12" i="39" s="1"/>
  <c r="AG155" i="39"/>
  <c r="BE155" i="39" a="1"/>
  <c r="BE155" i="39" s="1"/>
  <c r="AY155" i="39" a="1"/>
  <c r="AY155" i="39" s="1"/>
  <c r="AG286" i="39"/>
  <c r="BE286" i="39" a="1"/>
  <c r="BE286" i="39" s="1"/>
  <c r="AY286" i="39" a="1"/>
  <c r="AY286" i="39" s="1"/>
  <c r="AG140" i="39"/>
  <c r="BE140" i="39" a="1"/>
  <c r="BE140" i="39" s="1"/>
  <c r="AY140" i="39" a="1"/>
  <c r="AY140" i="39" s="1"/>
  <c r="AG225" i="39"/>
  <c r="BE225" i="39" a="1"/>
  <c r="BE225" i="39" s="1"/>
  <c r="AY225" i="39" a="1"/>
  <c r="AY225" i="39" s="1"/>
  <c r="AG164" i="39"/>
  <c r="BE164" i="39" a="1"/>
  <c r="BE164" i="39" s="1"/>
  <c r="AY164" i="39" a="1"/>
  <c r="AY164" i="39" s="1"/>
  <c r="AG153" i="39"/>
  <c r="BE153" i="39" a="1"/>
  <c r="BE153" i="39" s="1"/>
  <c r="AY153" i="39" a="1"/>
  <c r="AY153" i="39" s="1"/>
  <c r="AG326" i="39"/>
  <c r="BE326" i="39" a="1"/>
  <c r="BE326" i="39" s="1"/>
  <c r="AY326" i="39" a="1"/>
  <c r="AY326" i="39" s="1"/>
  <c r="AG168" i="39"/>
  <c r="BE168" i="39" a="1"/>
  <c r="BE168" i="39" s="1"/>
  <c r="AY168" i="39" a="1"/>
  <c r="AY168" i="39" s="1"/>
  <c r="AG146" i="39"/>
  <c r="BE146" i="39" a="1"/>
  <c r="BE146" i="39" s="1"/>
  <c r="AY146" i="39" a="1"/>
  <c r="AY146" i="39" s="1"/>
  <c r="AG157" i="39"/>
  <c r="BE157" i="39" a="1"/>
  <c r="BE157" i="39" s="1"/>
  <c r="AY157" i="39" a="1"/>
  <c r="AY157" i="39" s="1"/>
  <c r="AG17" i="39"/>
  <c r="BE17" i="39" a="1"/>
  <c r="BE17" i="39" s="1"/>
  <c r="AY17" i="39" a="1"/>
  <c r="AY17" i="39" s="1"/>
  <c r="AG325" i="39"/>
  <c r="BE325" i="39" a="1"/>
  <c r="BE325" i="39" s="1"/>
  <c r="AY325" i="39" a="1"/>
  <c r="AY325" i="39" s="1"/>
  <c r="AG83" i="39"/>
  <c r="BE83" i="39" a="1"/>
  <c r="BE83" i="39" s="1"/>
  <c r="AY83" i="39" a="1"/>
  <c r="AY83" i="39" s="1"/>
  <c r="AG121" i="39"/>
  <c r="BE121" i="39" a="1"/>
  <c r="BE121" i="39" s="1"/>
  <c r="AY121" i="39" a="1"/>
  <c r="AY121" i="39" s="1"/>
  <c r="AG134" i="39"/>
  <c r="BE134" i="39" a="1"/>
  <c r="BE134" i="39" s="1"/>
  <c r="AY134" i="39" a="1"/>
  <c r="AY134" i="39" s="1"/>
  <c r="AG294" i="39"/>
  <c r="BE294" i="39" a="1"/>
  <c r="BE294" i="39" s="1"/>
  <c r="AY294" i="39" a="1"/>
  <c r="AY294" i="39" s="1"/>
  <c r="AG216" i="39"/>
  <c r="BE216" i="39" a="1"/>
  <c r="BE216" i="39" s="1"/>
  <c r="AY216" i="39" a="1"/>
  <c r="AY216" i="39" s="1"/>
  <c r="AG339" i="39"/>
  <c r="BE339" i="39" a="1"/>
  <c r="BE339" i="39" s="1"/>
  <c r="AY339" i="39" a="1"/>
  <c r="AY339" i="39" s="1"/>
  <c r="AG351" i="39"/>
  <c r="BE351" i="39" a="1"/>
  <c r="BE351" i="39" s="1"/>
  <c r="AY351" i="39" a="1"/>
  <c r="AY351" i="39" s="1"/>
  <c r="AG38" i="39"/>
  <c r="BE38" i="39" a="1"/>
  <c r="BE38" i="39" s="1"/>
  <c r="AY38" i="39" a="1"/>
  <c r="AY38" i="39" s="1"/>
  <c r="AG25" i="39"/>
  <c r="BE25" i="39" a="1"/>
  <c r="BE25" i="39" s="1"/>
  <c r="AY25" i="39" a="1"/>
  <c r="AY25" i="39" s="1"/>
  <c r="AG11" i="39"/>
  <c r="BE11" i="39" a="1"/>
  <c r="BE11" i="39" s="1"/>
  <c r="AY11" i="39" a="1"/>
  <c r="AY11" i="39" s="1"/>
  <c r="AG277" i="39"/>
  <c r="BE277" i="39" a="1"/>
  <c r="BE277" i="39" s="1"/>
  <c r="AY277" i="39" a="1"/>
  <c r="AY277" i="39" s="1"/>
  <c r="AG68" i="39"/>
  <c r="BE68" i="39" a="1"/>
  <c r="BE68" i="39" s="1"/>
  <c r="AY68" i="39" a="1"/>
  <c r="AY68" i="39" s="1"/>
  <c r="AG55" i="39"/>
  <c r="BE55" i="39" a="1"/>
  <c r="BE55" i="39" s="1"/>
  <c r="AY55" i="39" a="1"/>
  <c r="AY55" i="39" s="1"/>
  <c r="AG23" i="39"/>
  <c r="BE23" i="39" a="1"/>
  <c r="BE23" i="39" s="1"/>
  <c r="AY23" i="39" a="1"/>
  <c r="AY23" i="39" s="1"/>
  <c r="AG228" i="39"/>
  <c r="AZ228" i="39" a="1"/>
  <c r="AZ228" i="39" s="1"/>
  <c r="BE228" i="39" a="1"/>
  <c r="BE228" i="39" s="1"/>
  <c r="AT228" i="39" a="1"/>
  <c r="AT228" i="39" s="1"/>
  <c r="AY228" i="39" a="1"/>
  <c r="AY228" i="39" s="1"/>
  <c r="AG304" i="39"/>
  <c r="BE304" i="39" a="1"/>
  <c r="BE304" i="39" s="1"/>
  <c r="AY304" i="39" a="1"/>
  <c r="AY304" i="39" s="1"/>
  <c r="AG42" i="39"/>
  <c r="BE42" i="39" a="1"/>
  <c r="BE42" i="39" s="1"/>
  <c r="AY42" i="39" a="1"/>
  <c r="AY42" i="39" s="1"/>
  <c r="AG19" i="39"/>
  <c r="BE19" i="39" a="1"/>
  <c r="BE19" i="39" s="1"/>
  <c r="AY19" i="39" a="1"/>
  <c r="AY19" i="39" s="1"/>
  <c r="AG197" i="39"/>
  <c r="BE197" i="39" a="1"/>
  <c r="BE197" i="39" s="1"/>
  <c r="AY197" i="39" a="1"/>
  <c r="AY197" i="39" s="1"/>
  <c r="AG169" i="39"/>
  <c r="BE169" i="39" a="1"/>
  <c r="BE169" i="39" s="1"/>
  <c r="AY169" i="39" a="1"/>
  <c r="AY169" i="39" s="1"/>
  <c r="AG69" i="39"/>
  <c r="BE69" i="39" a="1"/>
  <c r="BE69" i="39" s="1"/>
  <c r="AY69" i="39" a="1"/>
  <c r="AY69" i="39" s="1"/>
  <c r="AG303" i="39"/>
  <c r="BE303" i="39" a="1"/>
  <c r="BE303" i="39" s="1"/>
  <c r="AY303" i="39" a="1"/>
  <c r="AY303" i="39" s="1"/>
  <c r="AG268" i="39"/>
  <c r="BE268" i="39" a="1"/>
  <c r="BE268" i="39" s="1"/>
  <c r="AY268" i="39" a="1"/>
  <c r="AY268" i="39" s="1"/>
  <c r="AG159" i="39"/>
  <c r="BE159" i="39" a="1"/>
  <c r="BE159" i="39" s="1"/>
  <c r="AY159" i="39" a="1"/>
  <c r="AY159" i="39" s="1"/>
  <c r="AG195" i="39"/>
  <c r="BE195" i="39" a="1"/>
  <c r="BE195" i="39" s="1"/>
  <c r="AY195" i="39" a="1"/>
  <c r="AY195" i="39" s="1"/>
  <c r="AG14" i="39"/>
  <c r="BE14" i="39" a="1"/>
  <c r="BE14" i="39" s="1"/>
  <c r="AY14" i="39" a="1"/>
  <c r="AY14" i="39" s="1"/>
  <c r="AG94" i="39"/>
  <c r="BE94" i="39" a="1"/>
  <c r="BE94" i="39" s="1"/>
  <c r="AY94" i="39" a="1"/>
  <c r="AY94" i="39" s="1"/>
  <c r="AG72" i="39"/>
  <c r="BE72" i="39" a="1"/>
  <c r="BE72" i="39" s="1"/>
  <c r="AY72" i="39" a="1"/>
  <c r="AY72" i="39" s="1"/>
  <c r="AG59" i="39"/>
  <c r="BE59" i="39" a="1"/>
  <c r="BE59" i="39" s="1"/>
  <c r="AY59" i="39" a="1"/>
  <c r="AY59" i="39" s="1"/>
  <c r="AG37" i="39"/>
  <c r="BE37" i="39" a="1"/>
  <c r="BE37" i="39" s="1"/>
  <c r="AY37" i="39" a="1"/>
  <c r="AY37" i="39" s="1"/>
  <c r="AG66" i="39"/>
  <c r="BE66" i="39" a="1"/>
  <c r="BE66" i="39" s="1"/>
  <c r="AY66" i="39" a="1"/>
  <c r="AY66" i="39" s="1"/>
  <c r="AG100" i="39"/>
  <c r="BE100" i="39" a="1"/>
  <c r="BE100" i="39" s="1"/>
  <c r="AY100" i="39" a="1"/>
  <c r="AY100" i="39" s="1"/>
  <c r="AG330" i="39"/>
  <c r="BE330" i="39" a="1"/>
  <c r="BE330" i="39" s="1"/>
  <c r="AY330" i="39" a="1"/>
  <c r="AY330" i="39" s="1"/>
  <c r="AG253" i="39"/>
  <c r="BE253" i="39" a="1"/>
  <c r="BE253" i="39" s="1"/>
  <c r="AY253" i="39" a="1"/>
  <c r="AY253" i="39" s="1"/>
  <c r="AG67" i="39"/>
  <c r="BE67" i="39" a="1"/>
  <c r="BE67" i="39" s="1"/>
  <c r="AY67" i="39" a="1"/>
  <c r="AY67" i="39" s="1"/>
  <c r="AG96" i="39"/>
  <c r="BE96" i="39" a="1"/>
  <c r="BE96" i="39" s="1"/>
  <c r="AY96" i="39" a="1"/>
  <c r="AY96" i="39" s="1"/>
  <c r="AG296" i="39"/>
  <c r="BE296" i="39" a="1"/>
  <c r="BE296" i="39" s="1"/>
  <c r="AY296" i="39" a="1"/>
  <c r="AY296" i="39" s="1"/>
  <c r="AG313" i="39"/>
  <c r="BE313" i="39" a="1"/>
  <c r="BE313" i="39" s="1"/>
  <c r="AY313" i="39" a="1"/>
  <c r="AY313" i="39" s="1"/>
  <c r="AG61" i="39"/>
  <c r="BE61" i="39" a="1"/>
  <c r="BE61" i="39" s="1"/>
  <c r="AY61" i="39" a="1"/>
  <c r="AY61" i="39" s="1"/>
  <c r="AG43" i="39"/>
  <c r="BE43" i="39" a="1"/>
  <c r="BE43" i="39" s="1"/>
  <c r="AY43" i="39" a="1"/>
  <c r="AY43" i="39" s="1"/>
  <c r="AG338" i="39"/>
  <c r="BE338" i="39" a="1"/>
  <c r="BE338" i="39" s="1"/>
  <c r="AY338" i="39" a="1"/>
  <c r="AY338" i="39" s="1"/>
  <c r="AG78" i="39"/>
  <c r="BE78" i="39" a="1"/>
  <c r="BE78" i="39" s="1"/>
  <c r="AY78" i="39" a="1"/>
  <c r="AY78" i="39" s="1"/>
  <c r="AG53" i="39"/>
  <c r="BE53" i="39" a="1"/>
  <c r="BE53" i="39" s="1"/>
  <c r="AY53" i="39" a="1"/>
  <c r="AY53" i="39" s="1"/>
  <c r="AG70" i="39"/>
  <c r="BE70" i="39" a="1"/>
  <c r="BE70" i="39" s="1"/>
  <c r="AY70" i="39" a="1"/>
  <c r="AY70" i="39" s="1"/>
  <c r="AG284" i="39"/>
  <c r="BE284" i="39" a="1"/>
  <c r="BE284" i="39" s="1"/>
  <c r="AY284" i="39" a="1"/>
  <c r="AY284" i="39" s="1"/>
  <c r="AG32" i="39"/>
  <c r="BE32" i="39" a="1"/>
  <c r="BE32" i="39" s="1"/>
  <c r="AY32" i="39" a="1"/>
  <c r="AY32" i="39" s="1"/>
  <c r="AG209" i="39"/>
  <c r="BE209" i="39" a="1"/>
  <c r="BE209" i="39" s="1"/>
  <c r="AY209" i="39" a="1"/>
  <c r="AY209" i="39" s="1"/>
  <c r="AG249" i="39"/>
  <c r="BE249" i="39" a="1"/>
  <c r="BE249" i="39" s="1"/>
  <c r="AY249" i="39" a="1"/>
  <c r="AY249" i="39" s="1"/>
  <c r="AG22" i="39"/>
  <c r="BE22" i="39" a="1"/>
  <c r="BE22" i="39" s="1"/>
  <c r="AY22" i="39" a="1"/>
  <c r="AY22" i="39" s="1"/>
  <c r="AG201" i="39"/>
  <c r="BE201" i="39" a="1"/>
  <c r="BE201" i="39" s="1"/>
  <c r="AY201" i="39" a="1"/>
  <c r="AY201" i="39" s="1"/>
  <c r="AG57" i="39"/>
  <c r="BE57" i="39" a="1"/>
  <c r="BE57" i="39" s="1"/>
  <c r="AY57" i="39" a="1"/>
  <c r="AY57" i="39" s="1"/>
  <c r="AG181" i="39"/>
  <c r="BE181" i="39" a="1"/>
  <c r="BE181" i="39" s="1"/>
  <c r="AY181" i="39" a="1"/>
  <c r="AY181" i="39" s="1"/>
  <c r="AG265" i="39"/>
  <c r="BE265" i="39" a="1"/>
  <c r="BE265" i="39" s="1"/>
  <c r="AY265" i="39" a="1"/>
  <c r="AY265" i="39" s="1"/>
  <c r="AG344" i="39"/>
  <c r="BE344" i="39" a="1"/>
  <c r="BE344" i="39" s="1"/>
  <c r="AY344" i="39" a="1"/>
  <c r="AY344" i="39" s="1"/>
  <c r="AG52" i="39"/>
  <c r="BE52" i="39" a="1"/>
  <c r="BE52" i="39" s="1"/>
  <c r="AY52" i="39" a="1"/>
  <c r="AY52" i="39" s="1"/>
  <c r="AG210" i="39"/>
  <c r="BE210" i="39" a="1"/>
  <c r="BE210" i="39" s="1"/>
  <c r="AY210" i="39" a="1"/>
  <c r="AY210" i="39" s="1"/>
  <c r="AG154" i="39"/>
  <c r="BE154" i="39" a="1"/>
  <c r="BE154" i="39" s="1"/>
  <c r="AY154" i="39" a="1"/>
  <c r="AY154" i="39" s="1"/>
  <c r="AG173" i="39"/>
  <c r="BE173" i="39" a="1"/>
  <c r="BE173" i="39" s="1"/>
  <c r="AY173" i="39" a="1"/>
  <c r="AY173" i="39" s="1"/>
  <c r="AG31" i="39"/>
  <c r="BE31" i="39" a="1"/>
  <c r="BE31" i="39" s="1"/>
  <c r="AY31" i="39" a="1"/>
  <c r="AY31" i="39" s="1"/>
  <c r="AG74" i="39"/>
  <c r="BE74" i="39" a="1"/>
  <c r="BE74" i="39" s="1"/>
  <c r="AY74" i="39" a="1"/>
  <c r="AY74" i="39" s="1"/>
  <c r="AG60" i="39"/>
  <c r="BE60" i="39" a="1"/>
  <c r="BE60" i="39" s="1"/>
  <c r="AY60" i="39" a="1"/>
  <c r="AY60" i="39" s="1"/>
  <c r="AG127" i="39"/>
  <c r="BE127" i="39" a="1"/>
  <c r="BE127" i="39" s="1"/>
  <c r="AY127" i="39" a="1"/>
  <c r="AY127" i="39" s="1"/>
  <c r="AG251" i="39"/>
  <c r="BE251" i="39" a="1"/>
  <c r="BE251" i="39" s="1"/>
  <c r="AY251" i="39" a="1"/>
  <c r="AY251" i="39" s="1"/>
  <c r="AG47" i="39"/>
  <c r="BE47" i="39" a="1"/>
  <c r="BE47" i="39" s="1"/>
  <c r="AY47" i="39" a="1"/>
  <c r="AY47" i="39" s="1"/>
  <c r="AG269" i="39"/>
  <c r="BE269" i="39" a="1"/>
  <c r="BE269" i="39" s="1"/>
  <c r="AY269" i="39" a="1"/>
  <c r="AY269" i="39" s="1"/>
  <c r="AG260" i="39"/>
  <c r="BE260" i="39" a="1"/>
  <c r="BE260" i="39" s="1"/>
  <c r="AY260" i="39" a="1"/>
  <c r="AY260" i="39" s="1"/>
  <c r="AG41" i="39"/>
  <c r="BE41" i="39" a="1"/>
  <c r="BE41" i="39" s="1"/>
  <c r="AY41" i="39" a="1"/>
  <c r="AY41" i="39" s="1"/>
  <c r="AG93" i="39"/>
  <c r="BE93" i="39" a="1"/>
  <c r="BE93" i="39" s="1"/>
  <c r="AY93" i="39" a="1"/>
  <c r="AY93" i="39" s="1"/>
  <c r="AG256" i="39"/>
  <c r="BE256" i="39" a="1"/>
  <c r="BE256" i="39" s="1"/>
  <c r="AY256" i="39" a="1"/>
  <c r="AY256" i="39" s="1"/>
  <c r="AG20" i="39"/>
  <c r="BE20" i="39" a="1"/>
  <c r="BE20" i="39" s="1"/>
  <c r="AY20" i="39" a="1"/>
  <c r="AY20" i="39" s="1"/>
  <c r="AG310" i="39"/>
  <c r="BE310" i="39" a="1"/>
  <c r="BE310" i="39" s="1"/>
  <c r="AY310" i="39" a="1"/>
  <c r="AY310" i="39" s="1"/>
  <c r="AG204" i="39"/>
  <c r="BE204" i="39" a="1"/>
  <c r="BE204" i="39" s="1"/>
  <c r="AY204" i="39" a="1"/>
  <c r="AY204" i="39" s="1"/>
  <c r="AG50" i="39"/>
  <c r="BE50" i="39" a="1"/>
  <c r="BE50" i="39" s="1"/>
  <c r="AY50" i="39" a="1"/>
  <c r="AY50" i="39" s="1"/>
  <c r="AG46" i="39"/>
  <c r="BE46" i="39" a="1"/>
  <c r="BE46" i="39" s="1"/>
  <c r="AY46" i="39" a="1"/>
  <c r="AY46" i="39" s="1"/>
  <c r="AG63" i="39"/>
  <c r="BE63" i="39" a="1"/>
  <c r="BE63" i="39" s="1"/>
  <c r="AY63" i="39" a="1"/>
  <c r="AY63" i="39" s="1"/>
  <c r="AG115" i="39"/>
  <c r="BE115" i="39" a="1"/>
  <c r="BE115" i="39" s="1"/>
  <c r="AY115" i="39" a="1"/>
  <c r="AY115" i="39" s="1"/>
  <c r="AG114" i="39"/>
  <c r="BE114" i="39" a="1"/>
  <c r="BE114" i="39" s="1"/>
  <c r="AY114" i="39" a="1"/>
  <c r="AY114" i="39" s="1"/>
  <c r="AG174" i="39"/>
  <c r="BE174" i="39" a="1"/>
  <c r="BE174" i="39" s="1"/>
  <c r="AY174" i="39" a="1"/>
  <c r="AY174" i="39" s="1"/>
  <c r="AG279" i="39"/>
  <c r="BE279" i="39" a="1"/>
  <c r="BE279" i="39" s="1"/>
  <c r="AY279" i="39" a="1"/>
  <c r="AY279" i="39" s="1"/>
  <c r="AG40" i="39"/>
  <c r="BE40" i="39" a="1"/>
  <c r="BE40" i="39" s="1"/>
  <c r="AY40" i="39" a="1"/>
  <c r="AY40" i="39" s="1"/>
  <c r="AG254" i="39"/>
  <c r="BE254" i="39" a="1"/>
  <c r="BE254" i="39" s="1"/>
  <c r="AY254" i="39" a="1"/>
  <c r="AY254" i="39" s="1"/>
  <c r="AG239" i="39"/>
  <c r="BE239" i="39" a="1"/>
  <c r="BE239" i="39" s="1"/>
  <c r="AY239" i="39" a="1"/>
  <c r="AY239" i="39" s="1"/>
  <c r="AG29" i="39"/>
  <c r="BE29" i="39" a="1"/>
  <c r="BE29" i="39" s="1"/>
  <c r="AY29" i="39" a="1"/>
  <c r="AY29" i="39" s="1"/>
  <c r="AG71" i="39"/>
  <c r="BE71" i="39" a="1"/>
  <c r="BE71" i="39" s="1"/>
  <c r="AY71" i="39" a="1"/>
  <c r="AY71" i="39" s="1"/>
  <c r="AG45" i="39"/>
  <c r="BE45" i="39" a="1"/>
  <c r="BE45" i="39" s="1"/>
  <c r="AY45" i="39" a="1"/>
  <c r="AY45" i="39" s="1"/>
  <c r="AG340" i="39"/>
  <c r="BE340" i="39" a="1"/>
  <c r="BE340" i="39" s="1"/>
  <c r="AY340" i="39" a="1"/>
  <c r="AY340" i="39" s="1"/>
  <c r="AG235" i="39"/>
  <c r="BE235" i="39" a="1"/>
  <c r="BE235" i="39" s="1"/>
  <c r="AY235" i="39" a="1"/>
  <c r="AY235" i="39" s="1"/>
  <c r="AG309" i="39"/>
  <c r="BE309" i="39" a="1"/>
  <c r="BE309" i="39" s="1"/>
  <c r="AY309" i="39" a="1"/>
  <c r="AY309" i="39" s="1"/>
  <c r="AG81" i="39"/>
  <c r="BE81" i="39" a="1"/>
  <c r="BE81" i="39" s="1"/>
  <c r="AY81" i="39" a="1"/>
  <c r="AY81" i="39" s="1"/>
  <c r="AG323" i="39"/>
  <c r="BE323" i="39" a="1"/>
  <c r="BE323" i="39" s="1"/>
  <c r="AY323" i="39" a="1"/>
  <c r="AY323" i="39" s="1"/>
  <c r="AG306" i="39"/>
  <c r="BE306" i="39" a="1"/>
  <c r="BE306" i="39" s="1"/>
  <c r="AY306" i="39" a="1"/>
  <c r="AY306" i="39" s="1"/>
  <c r="AG270" i="39"/>
  <c r="BE270" i="39" a="1"/>
  <c r="BE270" i="39" s="1"/>
  <c r="AY270" i="39" a="1"/>
  <c r="AY270" i="39" s="1"/>
  <c r="AG183" i="39"/>
  <c r="BE183" i="39" a="1"/>
  <c r="BE183" i="39" s="1"/>
  <c r="AY183" i="39" a="1"/>
  <c r="AY183" i="39" s="1"/>
  <c r="AG62" i="39"/>
  <c r="BE62" i="39" a="1"/>
  <c r="BE62" i="39" s="1"/>
  <c r="AY62" i="39" a="1"/>
  <c r="AY62" i="39" s="1"/>
  <c r="AG272" i="39"/>
  <c r="BE272" i="39" a="1"/>
  <c r="BE272" i="39" s="1"/>
  <c r="AY272" i="39" a="1"/>
  <c r="AY272" i="39" s="1"/>
  <c r="AG345" i="39"/>
  <c r="BE345" i="39" a="1"/>
  <c r="BE345" i="39" s="1"/>
  <c r="AY345" i="39" a="1"/>
  <c r="AY345" i="39" s="1"/>
  <c r="AG131" i="39"/>
  <c r="BE131" i="39" a="1"/>
  <c r="BE131" i="39" s="1"/>
  <c r="AY131" i="39" a="1"/>
  <c r="AY131" i="39" s="1"/>
  <c r="AG77" i="39"/>
  <c r="BE77" i="39" a="1"/>
  <c r="BE77" i="39" s="1"/>
  <c r="AY77" i="39" a="1"/>
  <c r="AY77" i="39" s="1"/>
  <c r="AG247" i="39"/>
  <c r="BE247" i="39" a="1"/>
  <c r="BE247" i="39" s="1"/>
  <c r="AY247" i="39" a="1"/>
  <c r="AY247" i="39" s="1"/>
  <c r="AG122" i="39"/>
  <c r="BE122" i="39" a="1"/>
  <c r="BE122" i="39" s="1"/>
  <c r="AY122" i="39" a="1"/>
  <c r="AY122" i="39" s="1"/>
  <c r="AG202" i="39"/>
  <c r="BE202" i="39" a="1"/>
  <c r="BE202" i="39" s="1"/>
  <c r="AY202" i="39" a="1"/>
  <c r="AY202" i="39" s="1"/>
  <c r="AG54" i="39"/>
  <c r="BE54" i="39" a="1"/>
  <c r="BE54" i="39" s="1"/>
  <c r="AY54" i="39" a="1"/>
  <c r="AY54" i="39" s="1"/>
  <c r="AG333" i="39"/>
  <c r="BE333" i="39" a="1"/>
  <c r="BE333" i="39" s="1"/>
  <c r="AY333" i="39" a="1"/>
  <c r="AY333" i="39" s="1"/>
  <c r="AG30" i="39"/>
  <c r="BE30" i="39" a="1"/>
  <c r="BE30" i="39" s="1"/>
  <c r="AY30" i="39" a="1"/>
  <c r="AY30" i="39" s="1"/>
  <c r="AG332" i="39"/>
  <c r="BE332" i="39" a="1"/>
  <c r="BE332" i="39" s="1"/>
  <c r="AY332" i="39" a="1"/>
  <c r="AY332" i="39" s="1"/>
  <c r="AG276" i="39"/>
  <c r="BE276" i="39" a="1"/>
  <c r="BE276" i="39" s="1"/>
  <c r="AY276" i="39" a="1"/>
  <c r="AY276" i="39" s="1"/>
  <c r="AG65" i="39"/>
  <c r="BE65" i="39" a="1"/>
  <c r="BE65" i="39" s="1"/>
  <c r="AY65" i="39" a="1"/>
  <c r="AY65" i="39" s="1"/>
  <c r="AG76" i="39"/>
  <c r="BE76" i="39" a="1"/>
  <c r="BE76" i="39" s="1"/>
  <c r="AY76" i="39" a="1"/>
  <c r="AY76" i="39" s="1"/>
  <c r="AG288" i="39"/>
  <c r="BE288" i="39" a="1"/>
  <c r="BE288" i="39" s="1"/>
  <c r="AY288" i="39" a="1"/>
  <c r="AY288" i="39" s="1"/>
  <c r="AG124" i="39"/>
  <c r="BE124" i="39" a="1"/>
  <c r="BE124" i="39" s="1"/>
  <c r="AY124" i="39" a="1"/>
  <c r="AY124" i="39" s="1"/>
  <c r="AG80" i="39"/>
  <c r="BE80" i="39" a="1"/>
  <c r="BE80" i="39" s="1"/>
  <c r="AY80" i="39" a="1"/>
  <c r="AY80" i="39" s="1"/>
  <c r="AG246" i="39"/>
  <c r="BE246" i="39" a="1"/>
  <c r="BE246" i="39" s="1"/>
  <c r="AY246" i="39" a="1"/>
  <c r="AY246" i="39" s="1"/>
  <c r="AG126" i="39"/>
  <c r="BE126" i="39" a="1"/>
  <c r="BE126" i="39" s="1"/>
  <c r="AY126" i="39" a="1"/>
  <c r="AY126" i="39" s="1"/>
  <c r="AG267" i="39"/>
  <c r="BE267" i="39" a="1"/>
  <c r="BE267" i="39" s="1"/>
  <c r="AY267" i="39" a="1"/>
  <c r="AY267" i="39" s="1"/>
  <c r="AG118" i="39"/>
  <c r="BE118" i="39" a="1"/>
  <c r="BE118" i="39" s="1"/>
  <c r="AY118" i="39" a="1"/>
  <c r="AY118" i="39" s="1"/>
  <c r="AG188" i="39"/>
  <c r="BE188" i="39" a="1"/>
  <c r="BE188" i="39" s="1"/>
  <c r="AY188" i="39" a="1"/>
  <c r="AY188" i="39" s="1"/>
  <c r="AG327" i="39"/>
  <c r="BE327" i="39" a="1"/>
  <c r="BE327" i="39" s="1"/>
  <c r="AY327" i="39" a="1"/>
  <c r="AY327" i="39" s="1"/>
  <c r="AG320" i="39"/>
  <c r="BE320" i="39" a="1"/>
  <c r="BE320" i="39" s="1"/>
  <c r="AY320" i="39" a="1"/>
  <c r="AY320" i="39" s="1"/>
  <c r="AG27" i="39"/>
  <c r="BE27" i="39" a="1"/>
  <c r="BE27" i="39" s="1"/>
  <c r="AY27" i="39" a="1"/>
  <c r="AY27" i="39" s="1"/>
  <c r="AG244" i="39"/>
  <c r="BE244" i="39" a="1"/>
  <c r="BE244" i="39" s="1"/>
  <c r="AY244" i="39" a="1"/>
  <c r="AY244" i="39" s="1"/>
  <c r="AG337" i="39"/>
  <c r="BE337" i="39" a="1"/>
  <c r="BE337" i="39" s="1"/>
  <c r="AY337" i="39" a="1"/>
  <c r="AY337" i="39" s="1"/>
  <c r="AG39" i="39"/>
  <c r="BE39" i="39" a="1"/>
  <c r="BE39" i="39" s="1"/>
  <c r="AY39" i="39" a="1"/>
  <c r="AY39" i="39" s="1"/>
  <c r="AG88" i="39"/>
  <c r="BE88" i="39" a="1"/>
  <c r="BE88" i="39" s="1"/>
  <c r="AY88" i="39" a="1"/>
  <c r="AY88" i="39" s="1"/>
  <c r="AG233" i="39"/>
  <c r="BE233" i="39" a="1"/>
  <c r="BE233" i="39" s="1"/>
  <c r="AY233" i="39" a="1"/>
  <c r="AY233" i="39" s="1"/>
  <c r="AG56" i="39"/>
  <c r="BE56" i="39" a="1"/>
  <c r="BE56" i="39" s="1"/>
  <c r="AY56" i="39" a="1"/>
  <c r="AY56" i="39" s="1"/>
  <c r="AG112" i="39"/>
  <c r="BE112" i="39" a="1"/>
  <c r="BE112" i="39" s="1"/>
  <c r="AY112" i="39" a="1"/>
  <c r="AY112" i="39" s="1"/>
  <c r="AG314" i="39"/>
  <c r="BE314" i="39" a="1"/>
  <c r="BE314" i="39" s="1"/>
  <c r="AY314" i="39" a="1"/>
  <c r="AY314" i="39" s="1"/>
  <c r="AG347" i="39"/>
  <c r="BE347" i="39" a="1"/>
  <c r="BE347" i="39" s="1"/>
  <c r="AY347" i="39" a="1"/>
  <c r="AY347" i="39" s="1"/>
  <c r="AG152" i="39"/>
  <c r="BE152" i="39" a="1"/>
  <c r="BE152" i="39" s="1"/>
  <c r="AY152" i="39" a="1"/>
  <c r="AY152" i="39" s="1"/>
  <c r="AG33" i="39"/>
  <c r="BE33" i="39" a="1"/>
  <c r="BE33" i="39" s="1"/>
  <c r="AY33" i="39" a="1"/>
  <c r="AY33" i="39" s="1"/>
  <c r="AG248" i="39"/>
  <c r="BE248" i="39" a="1"/>
  <c r="BE248" i="39" s="1"/>
  <c r="AY248" i="39" a="1"/>
  <c r="AY248" i="39" s="1"/>
  <c r="AG16" i="39"/>
  <c r="BE16" i="39" a="1"/>
  <c r="BE16" i="39" s="1"/>
  <c r="AY16" i="39" a="1"/>
  <c r="AY16" i="39" s="1"/>
  <c r="AG58" i="39"/>
  <c r="BE58" i="39" a="1"/>
  <c r="BE58" i="39" s="1"/>
  <c r="AY58" i="39" a="1"/>
  <c r="AY58" i="39" s="1"/>
  <c r="AG295" i="39"/>
  <c r="BE295" i="39" a="1"/>
  <c r="BE295" i="39" s="1"/>
  <c r="AY295" i="39" a="1"/>
  <c r="AY295" i="39" s="1"/>
  <c r="AG290" i="39"/>
  <c r="BE290" i="39" a="1"/>
  <c r="BE290" i="39" s="1"/>
  <c r="AY290" i="39" a="1"/>
  <c r="AY290" i="39" s="1"/>
  <c r="BE6" i="39" l="1"/>
  <c r="AY5" i="39"/>
  <c r="AG6" i="39"/>
  <c r="AY7" i="39"/>
  <c r="AG5" i="39"/>
  <c r="AY4" i="39"/>
  <c r="AG4" i="39"/>
  <c r="AY6" i="39"/>
  <c r="BE7" i="39"/>
  <c r="BE5" i="39"/>
  <c r="AG7" i="39"/>
  <c r="BE4" i="39"/>
  <c r="X13" i="95"/>
  <c r="L13" i="95"/>
  <c r="F13" i="95"/>
  <c r="R13" i="95"/>
  <c r="L17" i="95"/>
  <c r="R17" i="95"/>
  <c r="X17" i="95"/>
  <c r="F17" i="95"/>
  <c r="X28" i="95"/>
  <c r="R28" i="95"/>
  <c r="F28" i="95"/>
  <c r="L28" i="95"/>
  <c r="X25" i="95"/>
  <c r="F25" i="95"/>
  <c r="L25" i="95"/>
  <c r="R25" i="95"/>
  <c r="X31" i="95"/>
  <c r="F31" i="95"/>
  <c r="R31" i="95"/>
  <c r="L31" i="95"/>
  <c r="X53" i="65" l="1"/>
  <c r="Y53" i="65"/>
  <c r="X43" i="65"/>
  <c r="Y43" i="65"/>
  <c r="Y44" i="65"/>
  <c r="X44" i="65"/>
  <c r="Y6" i="65"/>
  <c r="X6" i="65"/>
  <c r="X7" i="65"/>
  <c r="Y7" i="65"/>
  <c r="X30" i="65"/>
  <c r="Y30" i="65"/>
  <c r="Y31" i="65"/>
  <c r="X31" i="65"/>
  <c r="Y12" i="65"/>
  <c r="X12" i="65"/>
  <c r="X17" i="65"/>
  <c r="Y17" i="65"/>
  <c r="Y35" i="65"/>
  <c r="X35" i="65"/>
  <c r="Y57" i="65"/>
  <c r="X57" i="65"/>
  <c r="Y21" i="65"/>
  <c r="X21" i="65"/>
  <c r="Y22" i="65"/>
  <c r="X22" i="65"/>
  <c r="Y23" i="65"/>
  <c r="X23" i="65"/>
  <c r="Y24" i="65"/>
  <c r="X24" i="65"/>
  <c r="X47" i="65"/>
  <c r="Y47" i="65"/>
  <c r="Y48" i="65"/>
  <c r="X48" i="65"/>
  <c r="Y9" i="65"/>
  <c r="X9" i="65"/>
  <c r="X54" i="65"/>
  <c r="Y54" i="65"/>
  <c r="Y11" i="65"/>
  <c r="X11" i="65"/>
  <c r="Y33" i="65"/>
  <c r="X33" i="65"/>
  <c r="Y55" i="65"/>
  <c r="X55" i="65"/>
  <c r="Y56" i="65"/>
  <c r="X56" i="65"/>
  <c r="Y18" i="65"/>
  <c r="X18" i="65"/>
  <c r="Y36" i="65"/>
  <c r="X36" i="65"/>
  <c r="Y58" i="65"/>
  <c r="X58" i="65"/>
  <c r="Y5" i="65"/>
  <c r="X5" i="65"/>
  <c r="X29" i="65"/>
  <c r="Y29" i="65"/>
  <c r="X10" i="65"/>
  <c r="Y10" i="65"/>
  <c r="Y19" i="65"/>
  <c r="X19" i="65"/>
  <c r="Y41" i="65"/>
  <c r="X41" i="65"/>
  <c r="X59" i="65"/>
  <c r="Y59" i="65"/>
  <c r="X45" i="65"/>
  <c r="Y45" i="65"/>
  <c r="X46" i="65"/>
  <c r="Y46" i="65"/>
  <c r="Y8" i="65"/>
  <c r="X8" i="65"/>
  <c r="Y32" i="65"/>
  <c r="X32" i="65"/>
  <c r="X34" i="65"/>
  <c r="Y34" i="65"/>
  <c r="Y20" i="65"/>
  <c r="X20" i="65"/>
  <c r="Y42" i="65"/>
  <c r="X42" i="65"/>
  <c r="Y60" i="65"/>
  <c r="X60" i="65"/>
  <c r="D171" i="42" l="1"/>
  <c r="D124" i="42"/>
  <c r="D75" i="42"/>
  <c r="D118" i="42"/>
  <c r="D76" i="42"/>
  <c r="D119" i="42"/>
  <c r="D172" i="42"/>
  <c r="D123" i="42"/>
  <c r="D166" i="42"/>
  <c r="D70" i="42"/>
  <c r="D167" i="42"/>
  <c r="D71" i="42"/>
  <c r="E70" i="42"/>
  <c r="E123" i="42"/>
  <c r="E71" i="42"/>
  <c r="E124" i="42"/>
  <c r="E118" i="42"/>
  <c r="E166" i="42"/>
  <c r="E119" i="42"/>
  <c r="E167" i="42"/>
  <c r="E76" i="42"/>
  <c r="E75" i="42"/>
  <c r="E171" i="42"/>
  <c r="E172" i="42"/>
  <c r="P86" i="37"/>
  <c r="P154" i="37"/>
  <c r="P38" i="37"/>
  <c r="O86" i="37"/>
  <c r="O164" i="37"/>
  <c r="O87" i="37"/>
  <c r="O79" i="37"/>
  <c r="O162" i="37"/>
  <c r="P83" i="37"/>
  <c r="O34" i="37"/>
  <c r="O166" i="37"/>
  <c r="O77" i="37"/>
  <c r="O40" i="37"/>
  <c r="O38" i="37"/>
  <c r="O120" i="37"/>
  <c r="O158" i="37"/>
  <c r="O61" i="37"/>
  <c r="P157" i="37"/>
  <c r="P23" i="37"/>
  <c r="P74" i="37"/>
  <c r="P27" i="37"/>
  <c r="P162" i="37"/>
  <c r="O113" i="37"/>
  <c r="P159" i="37"/>
  <c r="P29" i="37"/>
  <c r="O141" i="37"/>
  <c r="P34" i="37"/>
  <c r="O101" i="37"/>
  <c r="P127" i="37"/>
  <c r="O121" i="37"/>
  <c r="P153" i="37"/>
  <c r="P149" i="37"/>
  <c r="O159" i="37"/>
  <c r="P103" i="37"/>
  <c r="O42" i="37"/>
  <c r="P94" i="37"/>
  <c r="O107" i="37"/>
  <c r="P134" i="37"/>
  <c r="P37" i="37"/>
  <c r="O147" i="37"/>
  <c r="P82" i="37"/>
  <c r="O33" i="37"/>
  <c r="P44" i="37"/>
  <c r="P117" i="37"/>
  <c r="P107" i="37"/>
  <c r="O167" i="37"/>
  <c r="O43" i="37"/>
  <c r="P118" i="37"/>
  <c r="O63" i="37"/>
  <c r="O85" i="37"/>
  <c r="P81" i="37"/>
  <c r="P68" i="37"/>
  <c r="O134" i="37"/>
  <c r="P123" i="37"/>
  <c r="O74" i="37"/>
  <c r="P63" i="37"/>
  <c r="O126" i="37"/>
  <c r="P121" i="37"/>
  <c r="O69" i="37"/>
  <c r="P108" i="37"/>
  <c r="P114" i="37"/>
  <c r="O47" i="37"/>
  <c r="P166" i="37"/>
  <c r="P42" i="37"/>
  <c r="O118" i="37"/>
  <c r="P109" i="37"/>
  <c r="O37" i="37"/>
  <c r="P76" i="37"/>
  <c r="O108" i="37"/>
  <c r="O163" i="37"/>
  <c r="O39" i="37"/>
  <c r="P158" i="37"/>
  <c r="P33" i="37"/>
  <c r="O103" i="37"/>
  <c r="P161" i="37"/>
  <c r="P85" i="37"/>
  <c r="O161" i="37"/>
  <c r="O21" i="37"/>
  <c r="P40" i="37"/>
  <c r="P160" i="37"/>
  <c r="O165" i="37"/>
  <c r="O123" i="37"/>
  <c r="P73" i="37"/>
  <c r="O143" i="37"/>
  <c r="O41" i="37"/>
  <c r="P148" i="37"/>
  <c r="P14" i="37"/>
  <c r="O84" i="37"/>
  <c r="P125" i="37"/>
  <c r="P79" i="37"/>
  <c r="O154" i="37"/>
  <c r="O27" i="37"/>
  <c r="P143" i="37"/>
  <c r="O82" i="37"/>
  <c r="P21" i="37"/>
  <c r="P77" i="37"/>
  <c r="O149" i="37"/>
  <c r="P36" i="37"/>
  <c r="P87" i="37"/>
  <c r="P47" i="37"/>
  <c r="P163" i="37"/>
  <c r="P39" i="37"/>
  <c r="O114" i="37"/>
  <c r="P46" i="37"/>
  <c r="O122" i="37"/>
  <c r="O29" i="37"/>
  <c r="P124" i="37"/>
  <c r="O76" i="37"/>
  <c r="P69" i="37"/>
  <c r="P67" i="37"/>
  <c r="O127" i="37"/>
  <c r="P122" i="37"/>
  <c r="O73" i="37"/>
  <c r="P61" i="37"/>
  <c r="O125" i="37"/>
  <c r="P101" i="37"/>
  <c r="O116" i="37"/>
  <c r="P116" i="37"/>
  <c r="O54" i="37"/>
  <c r="P167" i="37"/>
  <c r="P43" i="37"/>
  <c r="O119" i="37"/>
  <c r="P113" i="37"/>
  <c r="O46" i="37"/>
  <c r="P165" i="37"/>
  <c r="P41" i="37"/>
  <c r="O117" i="37"/>
  <c r="P164" i="37"/>
  <c r="P119" i="37"/>
  <c r="O67" i="37"/>
  <c r="P126" i="37"/>
  <c r="O78" i="37"/>
  <c r="O109" i="37"/>
  <c r="P80" i="37"/>
  <c r="O156" i="37"/>
  <c r="O28" i="37"/>
  <c r="P147" i="37"/>
  <c r="O83" i="37"/>
  <c r="P45" i="37"/>
  <c r="P78" i="37"/>
  <c r="O153" i="37"/>
  <c r="O23" i="37"/>
  <c r="P141" i="37"/>
  <c r="O81" i="37"/>
  <c r="P120" i="37"/>
  <c r="P54" i="37"/>
  <c r="O45" i="37"/>
  <c r="P156" i="37"/>
  <c r="P28" i="37"/>
  <c r="P84" i="37"/>
  <c r="O44" i="37"/>
  <c r="O157" i="37"/>
  <c r="O94" i="37"/>
  <c r="O80" i="37"/>
  <c r="O68" i="37"/>
  <c r="O160" i="37"/>
  <c r="O36" i="37"/>
  <c r="O148" i="37"/>
  <c r="O14" i="37"/>
  <c r="O124" i="37"/>
  <c r="F123" i="42" l="1"/>
  <c r="F75" i="42"/>
  <c r="F70" i="42"/>
  <c r="F119" i="42"/>
  <c r="F118" i="42"/>
  <c r="F167" i="42"/>
  <c r="F172" i="42"/>
  <c r="F71" i="42"/>
  <c r="F171" i="42"/>
  <c r="F124" i="42"/>
  <c r="F166" i="42"/>
  <c r="F76" i="42"/>
  <c r="L53" i="65" l="1"/>
  <c r="N53" i="65"/>
  <c r="P53" i="65"/>
  <c r="R53" i="65"/>
  <c r="T53" i="65"/>
  <c r="L54" i="65"/>
  <c r="N54" i="65"/>
  <c r="P54" i="65"/>
  <c r="R54" i="65"/>
  <c r="T54" i="65"/>
  <c r="L55" i="65"/>
  <c r="N55" i="65"/>
  <c r="P55" i="65"/>
  <c r="R55" i="65"/>
  <c r="T55" i="65"/>
  <c r="L56" i="65"/>
  <c r="N56" i="65"/>
  <c r="P56" i="65"/>
  <c r="R56" i="65"/>
  <c r="T56" i="65"/>
  <c r="L57" i="65"/>
  <c r="N57" i="65"/>
  <c r="P57" i="65"/>
  <c r="R57" i="65"/>
  <c r="T57" i="65"/>
  <c r="L58" i="65"/>
  <c r="N58" i="65"/>
  <c r="P58" i="65"/>
  <c r="R58" i="65"/>
  <c r="T58" i="65"/>
  <c r="L59" i="65"/>
  <c r="N59" i="65"/>
  <c r="P59" i="65"/>
  <c r="R59" i="65"/>
  <c r="T59" i="65"/>
  <c r="L60" i="65"/>
  <c r="N60" i="65"/>
  <c r="P60" i="65"/>
  <c r="R60" i="65"/>
  <c r="T60" i="65"/>
  <c r="L41" i="65"/>
  <c r="N41" i="65"/>
  <c r="P41" i="65"/>
  <c r="R41" i="65"/>
  <c r="T41" i="65"/>
  <c r="L42" i="65"/>
  <c r="N42" i="65"/>
  <c r="P42" i="65"/>
  <c r="R42" i="65"/>
  <c r="T42" i="65"/>
  <c r="L43" i="65"/>
  <c r="N43" i="65"/>
  <c r="P43" i="65"/>
  <c r="R43" i="65"/>
  <c r="T43" i="65"/>
  <c r="L44" i="65"/>
  <c r="N44" i="65"/>
  <c r="P44" i="65"/>
  <c r="R44" i="65"/>
  <c r="T44" i="65"/>
  <c r="L45" i="65"/>
  <c r="N45" i="65"/>
  <c r="P45" i="65"/>
  <c r="R45" i="65"/>
  <c r="T45" i="65"/>
  <c r="L46" i="65"/>
  <c r="N46" i="65"/>
  <c r="P46" i="65"/>
  <c r="R46" i="65"/>
  <c r="T46" i="65"/>
  <c r="L47" i="65"/>
  <c r="N47" i="65"/>
  <c r="P47" i="65"/>
  <c r="R47" i="65"/>
  <c r="T47" i="65"/>
  <c r="L48" i="65"/>
  <c r="N48" i="65"/>
  <c r="P48" i="65"/>
  <c r="R48" i="65"/>
  <c r="T48" i="65"/>
  <c r="L29" i="65"/>
  <c r="N29" i="65"/>
  <c r="P29" i="65"/>
  <c r="R29" i="65"/>
  <c r="T29" i="65"/>
  <c r="L30" i="65"/>
  <c r="N30" i="65"/>
  <c r="P30" i="65"/>
  <c r="R30" i="65"/>
  <c r="T30" i="65"/>
  <c r="L31" i="65"/>
  <c r="N31" i="65"/>
  <c r="P31" i="65"/>
  <c r="R31" i="65"/>
  <c r="T31" i="65"/>
  <c r="L32" i="65"/>
  <c r="N32" i="65"/>
  <c r="P32" i="65"/>
  <c r="R32" i="65"/>
  <c r="T32" i="65"/>
  <c r="L33" i="65"/>
  <c r="N33" i="65"/>
  <c r="P33" i="65"/>
  <c r="R33" i="65"/>
  <c r="T33" i="65"/>
  <c r="L34" i="65"/>
  <c r="N34" i="65"/>
  <c r="P34" i="65"/>
  <c r="R34" i="65"/>
  <c r="T34" i="65"/>
  <c r="L35" i="65"/>
  <c r="N35" i="65"/>
  <c r="P35" i="65"/>
  <c r="R35" i="65"/>
  <c r="T35" i="65"/>
  <c r="L36" i="65"/>
  <c r="N36" i="65"/>
  <c r="P36" i="65"/>
  <c r="R36" i="65"/>
  <c r="T36" i="65"/>
  <c r="L17" i="65"/>
  <c r="N17" i="65"/>
  <c r="P17" i="65"/>
  <c r="R17" i="65"/>
  <c r="T17" i="65"/>
  <c r="L18" i="65"/>
  <c r="N18" i="65"/>
  <c r="P18" i="65"/>
  <c r="R18" i="65"/>
  <c r="T18" i="65"/>
  <c r="L19" i="65"/>
  <c r="N19" i="65"/>
  <c r="P19" i="65"/>
  <c r="R19" i="65"/>
  <c r="T19" i="65"/>
  <c r="L20" i="65"/>
  <c r="N20" i="65"/>
  <c r="P20" i="65"/>
  <c r="R20" i="65"/>
  <c r="T20" i="65"/>
  <c r="L21" i="65"/>
  <c r="N21" i="65"/>
  <c r="P21" i="65"/>
  <c r="R21" i="65"/>
  <c r="T21" i="65"/>
  <c r="L22" i="65"/>
  <c r="N22" i="65"/>
  <c r="P22" i="65"/>
  <c r="R22" i="65"/>
  <c r="T22" i="65"/>
  <c r="L23" i="65"/>
  <c r="N23" i="65"/>
  <c r="P23" i="65"/>
  <c r="R23" i="65"/>
  <c r="T23" i="65"/>
  <c r="L24" i="65"/>
  <c r="N24" i="65"/>
  <c r="P24" i="65"/>
  <c r="R24" i="65"/>
  <c r="T24" i="65"/>
  <c r="L5" i="65"/>
  <c r="N5" i="65"/>
  <c r="P5" i="65"/>
  <c r="R5" i="65"/>
  <c r="T5" i="65"/>
  <c r="L6" i="65"/>
  <c r="N6" i="65"/>
  <c r="P6" i="65"/>
  <c r="R6" i="65"/>
  <c r="T6" i="65"/>
  <c r="L7" i="65"/>
  <c r="N7" i="65"/>
  <c r="P7" i="65"/>
  <c r="R7" i="65"/>
  <c r="T7" i="65"/>
  <c r="L8" i="65"/>
  <c r="N8" i="65"/>
  <c r="P8" i="65"/>
  <c r="R8" i="65"/>
  <c r="T8" i="65"/>
  <c r="L9" i="65"/>
  <c r="N9" i="65"/>
  <c r="P9" i="65"/>
  <c r="R9" i="65"/>
  <c r="T9" i="65"/>
  <c r="L10" i="65"/>
  <c r="N10" i="65"/>
  <c r="P10" i="65"/>
  <c r="R10" i="65"/>
  <c r="T10" i="65"/>
  <c r="L11" i="65"/>
  <c r="N11" i="65"/>
  <c r="P11" i="65"/>
  <c r="R11" i="65"/>
  <c r="T11" i="65"/>
  <c r="L12" i="65"/>
  <c r="N12" i="65"/>
  <c r="P12" i="65"/>
  <c r="R12" i="65"/>
  <c r="T12" i="65"/>
  <c r="AA1" i="60" l="1"/>
  <c r="T1" i="60"/>
  <c r="M1" i="60"/>
  <c r="F1" i="60"/>
  <c r="E148" i="41"/>
  <c r="F148" i="41" s="1"/>
  <c r="G148" i="41" s="1"/>
  <c r="E100" i="41"/>
  <c r="F100" i="41" s="1"/>
  <c r="E52" i="41"/>
  <c r="E4" i="41"/>
  <c r="F4" i="41" l="1"/>
  <c r="J70" i="41"/>
  <c r="I70" i="41"/>
  <c r="I118" i="41"/>
  <c r="J118" i="41"/>
  <c r="J166" i="41"/>
  <c r="I166" i="41"/>
  <c r="J75" i="41"/>
  <c r="I75" i="41"/>
  <c r="J123" i="41"/>
  <c r="I123" i="41"/>
  <c r="J117" i="41"/>
  <c r="I117" i="41"/>
  <c r="J171" i="41"/>
  <c r="I171" i="41"/>
  <c r="J122" i="41"/>
  <c r="I122" i="41"/>
  <c r="J69" i="41"/>
  <c r="I69" i="41"/>
  <c r="J165" i="41"/>
  <c r="I165" i="41"/>
  <c r="J74" i="41"/>
  <c r="I74" i="41"/>
  <c r="J170" i="41"/>
  <c r="I170" i="41"/>
  <c r="I148" i="41"/>
  <c r="J148" i="41" s="1"/>
  <c r="K148" i="41" s="1"/>
  <c r="H148" i="41"/>
  <c r="H171" i="41" s="1"/>
  <c r="U1" i="60"/>
  <c r="N1" i="60"/>
  <c r="G1" i="60"/>
  <c r="AB1" i="60"/>
  <c r="G100" i="41"/>
  <c r="H100" i="41" s="1"/>
  <c r="H117" i="41" s="1"/>
  <c r="F52" i="41"/>
  <c r="L148" i="41" l="1"/>
  <c r="M148" i="41" s="1"/>
  <c r="G4" i="41"/>
  <c r="H4" i="41" s="1"/>
  <c r="H170" i="41"/>
  <c r="H165" i="41"/>
  <c r="H122" i="41"/>
  <c r="H118" i="41"/>
  <c r="H123" i="41"/>
  <c r="H166" i="41"/>
  <c r="AC1" i="60"/>
  <c r="O1" i="60"/>
  <c r="H1" i="60"/>
  <c r="V1" i="60"/>
  <c r="I100" i="41"/>
  <c r="G52" i="41"/>
  <c r="M165" i="41" l="1"/>
  <c r="M179" i="41"/>
  <c r="M188" i="41"/>
  <c r="M178" i="41"/>
  <c r="N148" i="41"/>
  <c r="O148" i="41" s="1"/>
  <c r="P148" i="41" s="1"/>
  <c r="M171" i="41"/>
  <c r="M176" i="41"/>
  <c r="M174" i="41"/>
  <c r="M155" i="41"/>
  <c r="M175" i="41"/>
  <c r="M157" i="41"/>
  <c r="M187" i="41"/>
  <c r="M162" i="41"/>
  <c r="M170" i="41"/>
  <c r="M161" i="41"/>
  <c r="M185" i="41"/>
  <c r="M172" i="41"/>
  <c r="M184" i="41"/>
  <c r="M156" i="41"/>
  <c r="M181" i="41"/>
  <c r="M183" i="41"/>
  <c r="M182" i="41"/>
  <c r="M164" i="41"/>
  <c r="M166" i="41"/>
  <c r="M163" i="41"/>
  <c r="M186" i="41"/>
  <c r="M169" i="41"/>
  <c r="M160" i="41"/>
  <c r="M167" i="41"/>
  <c r="M159" i="41"/>
  <c r="M151" i="41"/>
  <c r="M154" i="41"/>
  <c r="M153" i="41"/>
  <c r="M152" i="41"/>
  <c r="F34" i="61"/>
  <c r="AA34" i="61"/>
  <c r="T34" i="61"/>
  <c r="M34" i="61"/>
  <c r="I4" i="41"/>
  <c r="J4" i="41" s="1"/>
  <c r="K4" i="41" s="1"/>
  <c r="H52" i="41"/>
  <c r="I22" i="41"/>
  <c r="J22" i="41"/>
  <c r="I27" i="41"/>
  <c r="J27" i="41"/>
  <c r="J21" i="41"/>
  <c r="I21" i="41"/>
  <c r="J26" i="41"/>
  <c r="I26" i="41"/>
  <c r="H27" i="41"/>
  <c r="H21" i="41"/>
  <c r="H22" i="41"/>
  <c r="H26" i="41"/>
  <c r="J100" i="41"/>
  <c r="K100" i="41" s="1"/>
  <c r="I52" i="41"/>
  <c r="L4" i="41" l="1"/>
  <c r="L100" i="41"/>
  <c r="H75" i="41"/>
  <c r="H74" i="41"/>
  <c r="H70" i="41"/>
  <c r="H69" i="41"/>
  <c r="J52" i="41"/>
  <c r="K52" i="41" s="1"/>
  <c r="D28" i="42"/>
  <c r="L52" i="41" l="1"/>
  <c r="M29" i="61"/>
  <c r="AA29" i="61"/>
  <c r="T29" i="61"/>
  <c r="F29" i="61"/>
  <c r="M14" i="61"/>
  <c r="F14" i="61"/>
  <c r="AA14" i="61"/>
  <c r="T14" i="61"/>
  <c r="T32" i="61"/>
  <c r="M32" i="61"/>
  <c r="AA32" i="61"/>
  <c r="F32" i="61"/>
  <c r="M18" i="61"/>
  <c r="F18" i="61"/>
  <c r="T18" i="61"/>
  <c r="AA18" i="61"/>
  <c r="AA26" i="61"/>
  <c r="F26" i="61"/>
  <c r="T26" i="61"/>
  <c r="M26" i="61"/>
  <c r="M100" i="41"/>
  <c r="M4" i="41"/>
  <c r="M31" i="41" l="1"/>
  <c r="M15" i="41"/>
  <c r="M44" i="41"/>
  <c r="M43" i="41"/>
  <c r="M42" i="41"/>
  <c r="M30" i="41"/>
  <c r="M13" i="41"/>
  <c r="M27" i="41"/>
  <c r="M26" i="41"/>
  <c r="M41" i="41"/>
  <c r="M28" i="41"/>
  <c r="M12" i="41"/>
  <c r="M11" i="41"/>
  <c r="M10" i="41"/>
  <c r="M9" i="41"/>
  <c r="M8" i="41"/>
  <c r="M22" i="41"/>
  <c r="M39" i="41"/>
  <c r="M25" i="41"/>
  <c r="M23" i="41"/>
  <c r="M40" i="41"/>
  <c r="M7" i="41"/>
  <c r="M21" i="41"/>
  <c r="M38" i="41"/>
  <c r="M20" i="41"/>
  <c r="M37" i="41"/>
  <c r="M35" i="41"/>
  <c r="M34" i="41"/>
  <c r="M16" i="41"/>
  <c r="M32" i="41"/>
  <c r="M19" i="41"/>
  <c r="M18" i="41"/>
  <c r="M17" i="41"/>
  <c r="M133" i="41"/>
  <c r="M115" i="41"/>
  <c r="M112" i="41"/>
  <c r="M111" i="41"/>
  <c r="M123" i="41"/>
  <c r="M139" i="41"/>
  <c r="M105" i="41"/>
  <c r="M131" i="41"/>
  <c r="M114" i="41"/>
  <c r="M138" i="41"/>
  <c r="M130" i="41"/>
  <c r="M113" i="41"/>
  <c r="M128" i="41"/>
  <c r="M127" i="41"/>
  <c r="M109" i="41"/>
  <c r="M108" i="41"/>
  <c r="M126" i="41"/>
  <c r="M124" i="41"/>
  <c r="M140" i="41"/>
  <c r="M107" i="41"/>
  <c r="M122" i="41"/>
  <c r="M106" i="41"/>
  <c r="M121" i="41"/>
  <c r="M119" i="41"/>
  <c r="M116" i="41"/>
  <c r="M104" i="41"/>
  <c r="M118" i="41"/>
  <c r="M117" i="41"/>
  <c r="M103" i="41"/>
  <c r="M137" i="41"/>
  <c r="M136" i="41"/>
  <c r="M135" i="41"/>
  <c r="M134" i="41"/>
  <c r="N100" i="41"/>
  <c r="O100" i="41" s="1"/>
  <c r="P100" i="41" s="1"/>
  <c r="M52" i="41"/>
  <c r="N4" i="41"/>
  <c r="O4" i="41" s="1"/>
  <c r="P4" i="41" s="1"/>
  <c r="M90" i="41" l="1"/>
  <c r="M73" i="41"/>
  <c r="M57" i="41"/>
  <c r="M83" i="41"/>
  <c r="M89" i="41"/>
  <c r="M71" i="41"/>
  <c r="M56" i="41"/>
  <c r="M87" i="41"/>
  <c r="M86" i="41"/>
  <c r="M67" i="41"/>
  <c r="M64" i="41"/>
  <c r="M88" i="41"/>
  <c r="M70" i="41"/>
  <c r="M55" i="41"/>
  <c r="M69" i="41"/>
  <c r="M68" i="41"/>
  <c r="M85" i="41"/>
  <c r="M66" i="41"/>
  <c r="M82" i="41"/>
  <c r="M65" i="41"/>
  <c r="M80" i="41"/>
  <c r="M79" i="41"/>
  <c r="M63" i="41"/>
  <c r="M59" i="41"/>
  <c r="M58" i="41"/>
  <c r="M76" i="41"/>
  <c r="M61" i="41"/>
  <c r="M92" i="41"/>
  <c r="M91" i="41"/>
  <c r="M60" i="41"/>
  <c r="M78" i="41"/>
  <c r="M75" i="41"/>
  <c r="M74" i="41"/>
  <c r="N52" i="41"/>
  <c r="O52" i="41" s="1"/>
  <c r="P52" i="41" s="1"/>
  <c r="D27" i="42" l="1"/>
  <c r="D23" i="42"/>
  <c r="D22" i="42"/>
  <c r="AT143" i="39" l="1" a="1"/>
  <c r="AT143" i="39" s="1"/>
  <c r="AZ158" i="39" a="1"/>
  <c r="AZ158" i="39" s="1"/>
  <c r="AT95" i="39" a="1"/>
  <c r="AT95" i="39" s="1"/>
  <c r="AZ186" i="39" a="1"/>
  <c r="AZ186" i="39" s="1"/>
  <c r="AZ187" i="39" a="1"/>
  <c r="AZ187" i="39" s="1"/>
  <c r="AT331" i="39" a="1"/>
  <c r="AT331" i="39" s="1"/>
  <c r="AT156" i="39" a="1"/>
  <c r="AT156" i="39" s="1"/>
  <c r="AT264" i="39" a="1"/>
  <c r="AT264" i="39" s="1"/>
  <c r="AZ160" i="39" a="1"/>
  <c r="AZ160" i="39" s="1"/>
  <c r="AZ324" i="39" a="1"/>
  <c r="AZ324" i="39" s="1"/>
  <c r="AT285" i="39" a="1"/>
  <c r="AT285" i="39" s="1"/>
  <c r="AT329" i="39" a="1"/>
  <c r="AT329" i="39" s="1"/>
  <c r="AT51" i="39" a="1"/>
  <c r="AT51" i="39" s="1"/>
  <c r="AZ73" i="39" a="1"/>
  <c r="AZ73" i="39" s="1"/>
  <c r="AT192" i="39" a="1"/>
  <c r="AT192" i="39" s="1"/>
  <c r="AZ222" i="39" a="1"/>
  <c r="AZ222" i="39" s="1"/>
  <c r="AZ297" i="39" a="1"/>
  <c r="AZ297" i="39" s="1"/>
  <c r="AZ328" i="39" a="1"/>
  <c r="AZ328" i="39" s="1"/>
  <c r="AZ285" i="39" a="1"/>
  <c r="AZ285" i="39" s="1"/>
  <c r="AZ51" i="39" a="1"/>
  <c r="AZ51" i="39" s="1"/>
  <c r="AZ192" i="39" a="1"/>
  <c r="AZ192" i="39" s="1"/>
  <c r="AT208" i="39" a="1"/>
  <c r="AT208" i="39" s="1"/>
  <c r="AT125" i="39" a="1"/>
  <c r="AT125" i="39" s="1"/>
  <c r="AZ165" i="39" a="1"/>
  <c r="AZ165" i="39" s="1"/>
  <c r="AT273" i="39" a="1"/>
  <c r="AT273" i="39" s="1"/>
  <c r="AZ91" i="39" a="1"/>
  <c r="AZ91" i="39" s="1"/>
  <c r="AZ142" i="39" a="1"/>
  <c r="AZ142" i="39" s="1"/>
  <c r="AT158" i="39" a="1"/>
  <c r="AT158" i="39" s="1"/>
  <c r="AZ199" i="39" a="1"/>
  <c r="AZ199" i="39" s="1"/>
  <c r="AZ237" i="39" a="1"/>
  <c r="AZ237" i="39" s="1"/>
  <c r="AZ238" i="39" a="1"/>
  <c r="AZ238" i="39" s="1"/>
  <c r="AT90" i="39" a="1"/>
  <c r="AT90" i="39" s="1"/>
  <c r="AT132" i="39" a="1"/>
  <c r="AT132" i="39" s="1"/>
  <c r="AT348" i="39" a="1"/>
  <c r="AT348" i="39" s="1"/>
  <c r="AZ205" i="39" a="1"/>
  <c r="AZ205" i="39" s="1"/>
  <c r="AT160" i="39" a="1"/>
  <c r="AT160" i="39" s="1"/>
  <c r="AZ135" i="39" a="1"/>
  <c r="AZ135" i="39" s="1"/>
  <c r="AT191" i="39" a="1"/>
  <c r="AT191" i="39" s="1"/>
  <c r="AZ87" i="39" a="1"/>
  <c r="AZ87" i="39" s="1"/>
  <c r="AZ206" i="39" a="1"/>
  <c r="AZ206" i="39" s="1"/>
  <c r="AT165" i="39" a="1"/>
  <c r="AT165" i="39" s="1"/>
  <c r="AT207" i="39" a="1"/>
  <c r="AT207" i="39" s="1"/>
  <c r="AZ245" i="39" a="1"/>
  <c r="AZ245" i="39" s="1"/>
  <c r="AZ271" i="39" a="1"/>
  <c r="AZ271" i="39" s="1"/>
  <c r="AT222" i="39" a="1"/>
  <c r="AT222" i="39" s="1"/>
  <c r="AT297" i="39" a="1"/>
  <c r="AT297" i="39" s="1"/>
  <c r="AZ266" i="39" a="1"/>
  <c r="AZ266" i="39" s="1"/>
  <c r="AZ156" i="39" a="1"/>
  <c r="AZ156" i="39" s="1"/>
  <c r="AT322" i="39" a="1"/>
  <c r="AT322" i="39" s="1"/>
  <c r="AT104" i="39" a="1"/>
  <c r="AT104" i="39" s="1"/>
  <c r="AZ180" i="39" a="1"/>
  <c r="AZ180" i="39" s="1"/>
  <c r="AT91" i="39" a="1"/>
  <c r="AT91" i="39" s="1"/>
  <c r="AT199" i="39" a="1"/>
  <c r="AT199" i="39" s="1"/>
  <c r="AZ109" i="39" a="1"/>
  <c r="AZ109" i="39" s="1"/>
  <c r="AT186" i="39" a="1"/>
  <c r="AT186" i="39" s="1"/>
  <c r="AT238" i="39" a="1"/>
  <c r="AT238" i="39" s="1"/>
  <c r="AZ280" i="39" a="1"/>
  <c r="AZ280" i="39" s="1"/>
  <c r="AT187" i="39" a="1"/>
  <c r="AT187" i="39" s="1"/>
  <c r="AZ119" i="39" a="1"/>
  <c r="AZ119" i="39" s="1"/>
  <c r="AT177" i="39" a="1"/>
  <c r="AT177" i="39" s="1"/>
  <c r="AT205" i="39" a="1"/>
  <c r="AT205" i="39" s="1"/>
  <c r="AZ105" i="39" a="1"/>
  <c r="AZ105" i="39" s="1"/>
  <c r="AZ170" i="39" a="1"/>
  <c r="AZ170" i="39" s="1"/>
  <c r="AT324" i="39" a="1"/>
  <c r="AT324" i="39" s="1"/>
  <c r="AZ149" i="39" a="1"/>
  <c r="AZ149" i="39" s="1"/>
  <c r="AT245" i="39" a="1"/>
  <c r="AT245" i="39" s="1"/>
  <c r="AZ305" i="39" a="1"/>
  <c r="AZ305" i="39" s="1"/>
  <c r="AT212" i="39" a="1"/>
  <c r="AT212" i="39" s="1"/>
  <c r="AT73" i="39" a="1"/>
  <c r="AT73" i="39" s="1"/>
  <c r="AZ163" i="39" a="1"/>
  <c r="AZ163" i="39" s="1"/>
  <c r="AT180" i="39" a="1"/>
  <c r="AT180" i="39" s="1"/>
  <c r="AT163" i="39" a="1"/>
  <c r="AT163" i="39" s="1"/>
  <c r="AT214" i="39" a="1"/>
  <c r="AT214" i="39" s="1"/>
  <c r="AZ104" i="39" a="1"/>
  <c r="AZ104" i="39" s="1"/>
  <c r="AT307" i="39" a="1"/>
  <c r="AT307" i="39" s="1"/>
  <c r="AT227" i="39" a="1"/>
  <c r="AT227" i="39" s="1"/>
  <c r="AT85" i="39" a="1"/>
  <c r="AT85" i="39" s="1"/>
  <c r="AT142" i="39" a="1"/>
  <c r="AT142" i="39" s="1"/>
  <c r="AZ184" i="39" a="1"/>
  <c r="AZ184" i="39" s="1"/>
  <c r="AT280" i="39" a="1"/>
  <c r="AT280" i="39" s="1"/>
  <c r="AZ334" i="39" a="1"/>
  <c r="AZ334" i="39" s="1"/>
  <c r="AZ130" i="39" a="1"/>
  <c r="AZ130" i="39" s="1"/>
  <c r="AT135" i="39" a="1"/>
  <c r="AT135" i="39" s="1"/>
  <c r="AT87" i="39" a="1"/>
  <c r="AT87" i="39" s="1"/>
  <c r="AZ341" i="39" a="1"/>
  <c r="AZ341" i="39" s="1"/>
  <c r="AZ171" i="39" a="1"/>
  <c r="AZ171" i="39" s="1"/>
  <c r="AT237" i="39" a="1"/>
  <c r="AT237" i="39" s="1"/>
  <c r="AT109" i="39" a="1"/>
  <c r="AT109" i="39" s="1"/>
  <c r="AT334" i="39" a="1"/>
  <c r="AT334" i="39" s="1"/>
  <c r="AT130" i="39" a="1"/>
  <c r="AT130" i="39" s="1"/>
  <c r="AT119" i="39" a="1"/>
  <c r="AT119" i="39" s="1"/>
  <c r="AZ44" i="39" a="1"/>
  <c r="AZ44" i="39" s="1"/>
  <c r="AT105" i="39" a="1"/>
  <c r="AT105" i="39" s="1"/>
  <c r="AT170" i="39" a="1"/>
  <c r="AT170" i="39" s="1"/>
  <c r="AZ15" i="39" a="1"/>
  <c r="AZ15" i="39" s="1"/>
  <c r="AT206" i="39" a="1"/>
  <c r="AT206" i="39" s="1"/>
  <c r="AZ179" i="39" a="1"/>
  <c r="AZ179" i="39" s="1"/>
  <c r="AT305" i="39" a="1"/>
  <c r="AT305" i="39" s="1"/>
  <c r="AZ24" i="39" a="1"/>
  <c r="AZ24" i="39" s="1"/>
  <c r="AT271" i="39" a="1"/>
  <c r="AT271" i="39" s="1"/>
  <c r="AZ232" i="39" a="1"/>
  <c r="AZ232" i="39" s="1"/>
  <c r="AT185" i="39" a="1"/>
  <c r="AT185" i="39" s="1"/>
  <c r="AT86" i="39" a="1"/>
  <c r="AT86" i="39" s="1"/>
  <c r="AZ329" i="39" a="1"/>
  <c r="AZ329" i="39" s="1"/>
  <c r="AZ243" i="39" a="1"/>
  <c r="AZ243" i="39" s="1"/>
  <c r="AT178" i="39" a="1"/>
  <c r="AT178" i="39" s="1"/>
  <c r="AT287" i="39" a="1"/>
  <c r="AT287" i="39" s="1"/>
  <c r="AT319" i="39" a="1"/>
  <c r="AT319" i="39" s="1"/>
  <c r="AZ191" i="39" a="1"/>
  <c r="AZ191" i="39" s="1"/>
  <c r="AT184" i="39" a="1"/>
  <c r="AT184" i="39" s="1"/>
  <c r="AZ213" i="39" a="1"/>
  <c r="AZ213" i="39" s="1"/>
  <c r="AZ200" i="39" a="1"/>
  <c r="AZ200" i="39" s="1"/>
  <c r="AZ252" i="39" a="1"/>
  <c r="AZ252" i="39" s="1"/>
  <c r="AZ198" i="39" a="1"/>
  <c r="AZ198" i="39" s="1"/>
  <c r="AT44" i="39" a="1"/>
  <c r="AT44" i="39" s="1"/>
  <c r="AZ117" i="39" a="1"/>
  <c r="AZ117" i="39" s="1"/>
  <c r="AT15" i="39" a="1"/>
  <c r="AT15" i="39" s="1"/>
  <c r="AZ302" i="39" a="1"/>
  <c r="AZ302" i="39" s="1"/>
  <c r="AZ336" i="39" a="1"/>
  <c r="AZ336" i="39" s="1"/>
  <c r="AT149" i="39" a="1"/>
  <c r="AT149" i="39" s="1"/>
  <c r="AZ151" i="39" a="1"/>
  <c r="AZ151" i="39" s="1"/>
  <c r="AT328" i="39" a="1"/>
  <c r="AT328" i="39" s="1"/>
  <c r="AT179" i="39" a="1"/>
  <c r="AT179" i="39" s="1"/>
  <c r="AZ221" i="39" a="1"/>
  <c r="AZ221" i="39" s="1"/>
  <c r="AT341" i="39" a="1"/>
  <c r="AT341" i="39" s="1"/>
  <c r="AT24" i="39" a="1"/>
  <c r="AT24" i="39" s="1"/>
  <c r="AZ236" i="39" a="1"/>
  <c r="AZ236" i="39" s="1"/>
  <c r="AZ194" i="39" a="1"/>
  <c r="AZ194" i="39" s="1"/>
  <c r="AT166" i="39" a="1"/>
  <c r="AT166" i="39" s="1"/>
  <c r="AZ90" i="39" a="1"/>
  <c r="AZ90" i="39" s="1"/>
  <c r="AT250" i="39" a="1"/>
  <c r="AT250" i="39" s="1"/>
  <c r="AZ331" i="39" a="1"/>
  <c r="AZ331" i="39" s="1"/>
  <c r="AT278" i="39" a="1"/>
  <c r="AT278" i="39" s="1"/>
  <c r="AZ64" i="39" a="1"/>
  <c r="AZ64" i="39" s="1"/>
  <c r="AZ299" i="39" a="1"/>
  <c r="AZ299" i="39" s="1"/>
  <c r="AZ300" i="39" a="1"/>
  <c r="AZ300" i="39" s="1"/>
  <c r="AT198" i="39" a="1"/>
  <c r="AT198" i="39" s="1"/>
  <c r="AZ292" i="39" a="1"/>
  <c r="AZ292" i="39" s="1"/>
  <c r="AT117" i="39" a="1"/>
  <c r="AT117" i="39" s="1"/>
  <c r="AZ138" i="39" a="1"/>
  <c r="AZ138" i="39" s="1"/>
  <c r="AT302" i="39" a="1"/>
  <c r="AT302" i="39" s="1"/>
  <c r="AZ259" i="39" a="1"/>
  <c r="AZ259" i="39" s="1"/>
  <c r="AZ317" i="39" a="1"/>
  <c r="AZ317" i="39" s="1"/>
  <c r="AT236" i="39" a="1"/>
  <c r="AT236" i="39" s="1"/>
  <c r="AZ113" i="39" a="1"/>
  <c r="AZ113" i="39" s="1"/>
  <c r="AZ219" i="39" a="1"/>
  <c r="AZ219" i="39" s="1"/>
  <c r="AZ257" i="39" a="1"/>
  <c r="AZ257" i="39" s="1"/>
  <c r="AT261" i="39" a="1"/>
  <c r="AT261" i="39" s="1"/>
  <c r="AZ208" i="39" a="1"/>
  <c r="AZ208" i="39" s="1"/>
  <c r="AZ95" i="39" a="1"/>
  <c r="AZ95" i="39" s="1"/>
  <c r="AT193" i="39" a="1"/>
  <c r="AT193" i="39" s="1"/>
  <c r="AT343" i="39" a="1"/>
  <c r="AT343" i="39" s="1"/>
  <c r="AZ136" i="39" a="1"/>
  <c r="AZ136" i="39" s="1"/>
  <c r="AZ132" i="39" a="1"/>
  <c r="AZ132" i="39" s="1"/>
  <c r="AZ212" i="39" a="1"/>
  <c r="AZ212" i="39" s="1"/>
  <c r="AT171" i="39" a="1"/>
  <c r="AT171" i="39" s="1"/>
  <c r="AT213" i="39" a="1"/>
  <c r="AT213" i="39" s="1"/>
  <c r="AZ311" i="39" a="1"/>
  <c r="AZ311" i="39" s="1"/>
  <c r="AT200" i="39" a="1"/>
  <c r="AT200" i="39" s="1"/>
  <c r="AT252" i="39" a="1"/>
  <c r="AT252" i="39" s="1"/>
  <c r="AZ97" i="39" a="1"/>
  <c r="AZ97" i="39" s="1"/>
  <c r="AT138" i="39" a="1"/>
  <c r="AT138" i="39" s="1"/>
  <c r="AZ92" i="39" a="1"/>
  <c r="AZ92" i="39" s="1"/>
  <c r="AZ226" i="39" a="1"/>
  <c r="AZ226" i="39" s="1"/>
  <c r="AT336" i="39" a="1"/>
  <c r="AT336" i="39" s="1"/>
  <c r="AZ99" i="39" a="1"/>
  <c r="AZ99" i="39" s="1"/>
  <c r="AT151" i="39" a="1"/>
  <c r="AT151" i="39" s="1"/>
  <c r="AZ220" i="39" a="1"/>
  <c r="AZ220" i="39" s="1"/>
  <c r="AZ139" i="39" a="1"/>
  <c r="AZ139" i="39" s="1"/>
  <c r="AT221" i="39" a="1"/>
  <c r="AT221" i="39" s="1"/>
  <c r="AZ261" i="39" a="1"/>
  <c r="AZ261" i="39" s="1"/>
  <c r="AZ101" i="39" a="1"/>
  <c r="AZ101" i="39" s="1"/>
  <c r="AT194" i="39" a="1"/>
  <c r="AT194" i="39" s="1"/>
  <c r="AT232" i="39" a="1"/>
  <c r="AT232" i="39" s="1"/>
  <c r="AT226" i="39" a="1"/>
  <c r="AT226" i="39" s="1"/>
  <c r="AZ287" i="39" a="1"/>
  <c r="AZ287" i="39" s="1"/>
  <c r="AZ227" i="39" a="1"/>
  <c r="AZ227" i="39" s="1"/>
  <c r="AZ207" i="39" a="1"/>
  <c r="AZ207" i="39" s="1"/>
  <c r="AT136" i="39" a="1"/>
  <c r="AT136" i="39" s="1"/>
  <c r="AT64" i="39" a="1"/>
  <c r="AT64" i="39" s="1"/>
  <c r="AT299" i="39" a="1"/>
  <c r="AT299" i="39" s="1"/>
  <c r="AT311" i="39" a="1"/>
  <c r="AT311" i="39" s="1"/>
  <c r="AT300" i="39" a="1"/>
  <c r="AT300" i="39" s="1"/>
  <c r="AZ346" i="39" a="1"/>
  <c r="AZ346" i="39" s="1"/>
  <c r="AZ106" i="39" a="1"/>
  <c r="AZ106" i="39" s="1"/>
  <c r="AT292" i="39" a="1"/>
  <c r="AT292" i="39" s="1"/>
  <c r="AZ86" i="39" a="1"/>
  <c r="AZ86" i="39" s="1"/>
  <c r="AT92" i="39" a="1"/>
  <c r="AT92" i="39" s="1"/>
  <c r="AZ111" i="39" a="1"/>
  <c r="AZ111" i="39" s="1"/>
  <c r="AZ242" i="39" a="1"/>
  <c r="AZ242" i="39" s="1"/>
  <c r="AT220" i="39" a="1"/>
  <c r="AT220" i="39" s="1"/>
  <c r="AZ193" i="39" a="1"/>
  <c r="AZ193" i="39" s="1"/>
  <c r="AT259" i="39" a="1"/>
  <c r="AT259" i="39" s="1"/>
  <c r="AT317" i="39" a="1"/>
  <c r="AT317" i="39" s="1"/>
  <c r="AZ343" i="39" a="1"/>
  <c r="AZ343" i="39" s="1"/>
  <c r="AT113" i="39" a="1"/>
  <c r="AT113" i="39" s="1"/>
  <c r="AZ162" i="39" a="1"/>
  <c r="AZ162" i="39" s="1"/>
  <c r="AT99" i="39" a="1"/>
  <c r="AT99" i="39" s="1"/>
  <c r="AT219" i="39" a="1"/>
  <c r="AT219" i="39" s="1"/>
  <c r="AT101" i="39" a="1"/>
  <c r="AT101" i="39" s="1"/>
  <c r="AZ166" i="39" a="1"/>
  <c r="AZ166" i="39" s="1"/>
  <c r="AZ322" i="39" a="1"/>
  <c r="AZ322" i="39" s="1"/>
  <c r="AZ307" i="39" a="1"/>
  <c r="AZ307" i="39" s="1"/>
  <c r="AZ144" i="39" a="1"/>
  <c r="AZ144" i="39" s="1"/>
  <c r="AZ185" i="39" a="1"/>
  <c r="AZ185" i="39" s="1"/>
  <c r="AZ172" i="39" a="1"/>
  <c r="AZ172" i="39" s="1"/>
  <c r="AT97" i="39" a="1"/>
  <c r="AT97" i="39" s="1"/>
  <c r="AT242" i="39" a="1"/>
  <c r="AT242" i="39" s="1"/>
  <c r="AZ125" i="39" a="1"/>
  <c r="AZ125" i="39" s="1"/>
  <c r="AT257" i="39" a="1"/>
  <c r="AT257" i="39" s="1"/>
  <c r="AT266" i="39" a="1"/>
  <c r="AT266" i="39" s="1"/>
  <c r="AZ348" i="39" a="1"/>
  <c r="AZ348" i="39" s="1"/>
  <c r="AZ177" i="39" a="1"/>
  <c r="AZ177" i="39" s="1"/>
  <c r="AT243" i="39" a="1"/>
  <c r="AT243" i="39" s="1"/>
  <c r="AZ319" i="39" a="1"/>
  <c r="AZ319" i="39" s="1"/>
  <c r="AT144" i="39" a="1"/>
  <c r="AT144" i="39" s="1"/>
  <c r="AT172" i="39" a="1"/>
  <c r="AT172" i="39" s="1"/>
  <c r="AZ214" i="39" a="1"/>
  <c r="AZ214" i="39" s="1"/>
  <c r="AT346" i="39" a="1"/>
  <c r="AT346" i="39" s="1"/>
  <c r="AZ250" i="39" a="1"/>
  <c r="AZ250" i="39" s="1"/>
  <c r="AT111" i="39" a="1"/>
  <c r="AT111" i="39" s="1"/>
  <c r="AZ312" i="39" a="1"/>
  <c r="AZ312" i="39" s="1"/>
  <c r="AZ85" i="39" a="1"/>
  <c r="AZ85" i="39" s="1"/>
  <c r="AZ178" i="39" a="1"/>
  <c r="AZ178" i="39" s="1"/>
  <c r="AT139" i="39" a="1"/>
  <c r="AT139" i="39" s="1"/>
  <c r="AZ273" i="39" a="1"/>
  <c r="AZ273" i="39" s="1"/>
  <c r="AZ278" i="39" a="1"/>
  <c r="AZ278" i="39" s="1"/>
  <c r="AT106" i="39" a="1"/>
  <c r="AT106" i="39" s="1"/>
  <c r="AT312" i="39" a="1"/>
  <c r="AT312" i="39" s="1"/>
  <c r="AT162" i="39" a="1"/>
  <c r="AT162" i="39" s="1"/>
  <c r="AZ264" i="39" a="1"/>
  <c r="AZ264" i="39" s="1"/>
  <c r="AZ143" i="39" a="1"/>
  <c r="AZ143" i="39" s="1"/>
  <c r="AZ21" i="39" a="1"/>
  <c r="AZ21" i="39" s="1"/>
  <c r="AT13" i="39" a="1"/>
  <c r="AT13" i="39" s="1"/>
  <c r="AZ190" i="39" a="1"/>
  <c r="AZ190" i="39" s="1"/>
  <c r="AT262" i="39" a="1"/>
  <c r="AT262" i="39" s="1"/>
  <c r="AZ196" i="39" a="1"/>
  <c r="AZ196" i="39" s="1"/>
  <c r="AT133" i="39" a="1"/>
  <c r="AT133" i="39" s="1"/>
  <c r="AT116" i="39" a="1"/>
  <c r="AT116" i="39" s="1"/>
  <c r="AZ79" i="39" a="1"/>
  <c r="AZ79" i="39" s="1"/>
  <c r="AT129" i="39" a="1"/>
  <c r="AT129" i="39" s="1"/>
  <c r="AT275" i="39" a="1"/>
  <c r="AT275" i="39" s="1"/>
  <c r="AZ203" i="39" a="1"/>
  <c r="AZ203" i="39" s="1"/>
  <c r="AT12" i="39" a="1"/>
  <c r="AT12" i="39" s="1"/>
  <c r="AT140" i="39" a="1"/>
  <c r="AT140" i="39" s="1"/>
  <c r="AZ146" i="39" a="1"/>
  <c r="AZ146" i="39" s="1"/>
  <c r="AT121" i="39" a="1"/>
  <c r="AT121" i="39" s="1"/>
  <c r="AT216" i="39" a="1"/>
  <c r="AT216" i="39" s="1"/>
  <c r="AT304" i="39" a="1"/>
  <c r="AT304" i="39" s="1"/>
  <c r="AT330" i="39" a="1"/>
  <c r="AT330" i="39" s="1"/>
  <c r="AT70" i="39" a="1"/>
  <c r="AT70" i="39" s="1"/>
  <c r="AZ201" i="39" a="1"/>
  <c r="AZ201" i="39" s="1"/>
  <c r="AT60" i="39" a="1"/>
  <c r="AT60" i="39" s="1"/>
  <c r="AT63" i="39" a="1"/>
  <c r="AT63" i="39" s="1"/>
  <c r="AZ254" i="39" a="1"/>
  <c r="AZ254" i="39" s="1"/>
  <c r="AT81" i="39" a="1"/>
  <c r="AT81" i="39" s="1"/>
  <c r="AT122" i="39" a="1"/>
  <c r="AT122" i="39" s="1"/>
  <c r="AT333" i="39" a="1"/>
  <c r="AT333" i="39" s="1"/>
  <c r="AZ288" i="39" a="1"/>
  <c r="AZ288" i="39" s="1"/>
  <c r="AT327" i="39" a="1"/>
  <c r="AT327" i="39" s="1"/>
  <c r="AZ244" i="39" a="1"/>
  <c r="AZ244" i="39" s="1"/>
  <c r="AZ88" i="39" a="1"/>
  <c r="AZ88" i="39" s="1"/>
  <c r="AZ277" i="39" a="1"/>
  <c r="AZ277" i="39" s="1"/>
  <c r="AZ23" i="39" a="1"/>
  <c r="AZ23" i="39" s="1"/>
  <c r="AT197" i="39" a="1"/>
  <c r="AT197" i="39" s="1"/>
  <c r="AT303" i="39" a="1"/>
  <c r="AT303" i="39" s="1"/>
  <c r="AZ195" i="39" a="1"/>
  <c r="AZ195" i="39" s="1"/>
  <c r="AT209" i="39" a="1"/>
  <c r="AT209" i="39" s="1"/>
  <c r="AT201" i="39" a="1"/>
  <c r="AT201" i="39" s="1"/>
  <c r="AZ265" i="39" a="1"/>
  <c r="AZ265" i="39" s="1"/>
  <c r="AZ210" i="39" a="1"/>
  <c r="AZ210" i="39" s="1"/>
  <c r="AT174" i="39" a="1"/>
  <c r="AT174" i="39" s="1"/>
  <c r="AT270" i="39" a="1"/>
  <c r="AT270" i="39" s="1"/>
  <c r="AZ272" i="39" a="1"/>
  <c r="AZ272" i="39" s="1"/>
  <c r="AZ77" i="39" a="1"/>
  <c r="AZ77" i="39" s="1"/>
  <c r="AZ274" i="39" a="1"/>
  <c r="AZ274" i="39" s="1"/>
  <c r="AZ316" i="39" a="1"/>
  <c r="AZ316" i="39" s="1"/>
  <c r="AT298" i="39" a="1"/>
  <c r="AT298" i="39" s="1"/>
  <c r="AT21" i="39" a="1"/>
  <c r="AT21" i="39" s="1"/>
  <c r="AZ141" i="39" a="1"/>
  <c r="AZ141" i="39" s="1"/>
  <c r="AZ145" i="39" a="1"/>
  <c r="AZ145" i="39" s="1"/>
  <c r="AT241" i="39" a="1"/>
  <c r="AT241" i="39" s="1"/>
  <c r="AZ150" i="39" a="1"/>
  <c r="AZ150" i="39" s="1"/>
  <c r="AZ10" i="39" a="1"/>
  <c r="AZ10" i="39" s="1"/>
  <c r="AZ308" i="39" a="1"/>
  <c r="AZ308" i="39" s="1"/>
  <c r="AZ110" i="39" a="1"/>
  <c r="AZ110" i="39" s="1"/>
  <c r="AZ137" i="39" a="1"/>
  <c r="AZ137" i="39" s="1"/>
  <c r="AZ107" i="39" a="1"/>
  <c r="AZ107" i="39" s="1"/>
  <c r="AZ61" i="39" a="1"/>
  <c r="AZ61" i="39" s="1"/>
  <c r="AT47" i="39" a="1"/>
  <c r="AT47" i="39" s="1"/>
  <c r="AZ41" i="39" a="1"/>
  <c r="AZ41" i="39" s="1"/>
  <c r="AZ20" i="39" a="1"/>
  <c r="AZ20" i="39" s="1"/>
  <c r="AZ71" i="39" a="1"/>
  <c r="AZ71" i="39" s="1"/>
  <c r="AT274" i="39" a="1"/>
  <c r="AT274" i="39" s="1"/>
  <c r="AT141" i="39" a="1"/>
  <c r="AT141" i="39" s="1"/>
  <c r="AZ291" i="39" a="1"/>
  <c r="AZ291" i="39" s="1"/>
  <c r="AT190" i="39" a="1"/>
  <c r="AT190" i="39" s="1"/>
  <c r="AT150" i="39" a="1"/>
  <c r="AT150" i="39" s="1"/>
  <c r="AZ49" i="39" a="1"/>
  <c r="AZ49" i="39" s="1"/>
  <c r="AT196" i="39" a="1"/>
  <c r="AT196" i="39" s="1"/>
  <c r="AT308" i="39" a="1"/>
  <c r="AT308" i="39" s="1"/>
  <c r="AT240" i="39" a="1"/>
  <c r="AT240" i="39" s="1"/>
  <c r="AT203" i="39" a="1"/>
  <c r="AT203" i="39" s="1"/>
  <c r="AZ9" i="39" a="1"/>
  <c r="AZ9" i="39" s="1"/>
  <c r="AT153" i="39" a="1"/>
  <c r="AT153" i="39" s="1"/>
  <c r="AZ325" i="39" a="1"/>
  <c r="AZ325" i="39" s="1"/>
  <c r="AT38" i="39" a="1"/>
  <c r="AT38" i="39" s="1"/>
  <c r="AT277" i="39" a="1"/>
  <c r="AT277" i="39" s="1"/>
  <c r="AZ42" i="39" a="1"/>
  <c r="AZ42" i="39" s="1"/>
  <c r="AT195" i="39" a="1"/>
  <c r="AT195" i="39" s="1"/>
  <c r="AZ72" i="39" a="1"/>
  <c r="AZ72" i="39" s="1"/>
  <c r="AT96" i="39" a="1"/>
  <c r="AT96" i="39" s="1"/>
  <c r="AT61" i="39" a="1"/>
  <c r="AT61" i="39" s="1"/>
  <c r="AZ78" i="39" a="1"/>
  <c r="AZ78" i="39" s="1"/>
  <c r="AZ284" i="39" a="1"/>
  <c r="AZ284" i="39" s="1"/>
  <c r="AT265" i="39" a="1"/>
  <c r="AT265" i="39" s="1"/>
  <c r="AZ235" i="39" a="1"/>
  <c r="AZ235" i="39" s="1"/>
  <c r="AT276" i="39" a="1"/>
  <c r="AT276" i="39" s="1"/>
  <c r="AT244" i="39" a="1"/>
  <c r="AT244" i="39" s="1"/>
  <c r="AT88" i="39" a="1"/>
  <c r="AT88" i="39" s="1"/>
  <c r="AZ152" i="39" a="1"/>
  <c r="AZ152" i="39" s="1"/>
  <c r="AT114" i="39" a="1"/>
  <c r="AT114" i="39" s="1"/>
  <c r="AZ62" i="39" a="1"/>
  <c r="AZ62" i="39" s="1"/>
  <c r="AT39" i="39" a="1"/>
  <c r="AT39" i="39" s="1"/>
  <c r="AT176" i="39" a="1"/>
  <c r="AT176" i="39" s="1"/>
  <c r="AZ298" i="39" a="1"/>
  <c r="AZ298" i="39" s="1"/>
  <c r="AT347" i="39" a="1"/>
  <c r="AT347" i="39" s="1"/>
  <c r="AZ246" i="39" a="1"/>
  <c r="AZ246" i="39" s="1"/>
  <c r="AZ211" i="39" a="1"/>
  <c r="AZ211" i="39" s="1"/>
  <c r="AZ350" i="39" a="1"/>
  <c r="AZ350" i="39" s="1"/>
  <c r="AZ234" i="39" a="1"/>
  <c r="AZ234" i="39" s="1"/>
  <c r="AT10" i="39" a="1"/>
  <c r="AT10" i="39" s="1"/>
  <c r="AT110" i="39" a="1"/>
  <c r="AT110" i="39" s="1"/>
  <c r="AZ182" i="39" a="1"/>
  <c r="AZ182" i="39" s="1"/>
  <c r="AT79" i="39" a="1"/>
  <c r="AT79" i="39" s="1"/>
  <c r="AZ84" i="39" a="1"/>
  <c r="AZ84" i="39" s="1"/>
  <c r="AZ26" i="39" a="1"/>
  <c r="AZ26" i="39" s="1"/>
  <c r="AT107" i="39" a="1"/>
  <c r="AT107" i="39" s="1"/>
  <c r="AZ155" i="39" a="1"/>
  <c r="AZ155" i="39" s="1"/>
  <c r="AZ225" i="39" a="1"/>
  <c r="AZ225" i="39" s="1"/>
  <c r="AT146" i="39" a="1"/>
  <c r="AT146" i="39" s="1"/>
  <c r="AZ134" i="39" a="1"/>
  <c r="AZ134" i="39" s="1"/>
  <c r="AZ339" i="39" a="1"/>
  <c r="AZ339" i="39" s="1"/>
  <c r="AT72" i="39" a="1"/>
  <c r="AT72" i="39" s="1"/>
  <c r="AZ66" i="39" a="1"/>
  <c r="AZ66" i="39" s="1"/>
  <c r="AT78" i="39" a="1"/>
  <c r="AT78" i="39" s="1"/>
  <c r="AZ249" i="39" a="1"/>
  <c r="AZ249" i="39" s="1"/>
  <c r="AT210" i="39" a="1"/>
  <c r="AT210" i="39" s="1"/>
  <c r="AZ31" i="39" a="1"/>
  <c r="AZ31" i="39" s="1"/>
  <c r="AT41" i="39" a="1"/>
  <c r="AT41" i="39" s="1"/>
  <c r="AT20" i="39" a="1"/>
  <c r="AT20" i="39" s="1"/>
  <c r="AZ50" i="39" a="1"/>
  <c r="AZ50" i="39" s="1"/>
  <c r="AZ115" i="39" a="1"/>
  <c r="AZ115" i="39" s="1"/>
  <c r="AT254" i="39" a="1"/>
  <c r="AT254" i="39" s="1"/>
  <c r="AZ323" i="39" a="1"/>
  <c r="AZ323" i="39" s="1"/>
  <c r="AT272" i="39" a="1"/>
  <c r="AT272" i="39" s="1"/>
  <c r="AZ202" i="39" a="1"/>
  <c r="AZ202" i="39" s="1"/>
  <c r="AZ30" i="39" a="1"/>
  <c r="AZ30" i="39" s="1"/>
  <c r="AT288" i="39" a="1"/>
  <c r="AT288" i="39" s="1"/>
  <c r="AT246" i="39" a="1"/>
  <c r="AT246" i="39" s="1"/>
  <c r="AZ118" i="39" a="1"/>
  <c r="AZ118" i="39" s="1"/>
  <c r="AT112" i="39" a="1"/>
  <c r="AT112" i="39" s="1"/>
  <c r="AZ16" i="39" a="1"/>
  <c r="AZ16" i="39" s="1"/>
  <c r="AZ93" i="39" a="1"/>
  <c r="AZ93" i="39" s="1"/>
  <c r="AT50" i="39" a="1"/>
  <c r="AT50" i="39" s="1"/>
  <c r="AT30" i="39" a="1"/>
  <c r="AT30" i="39" s="1"/>
  <c r="AT320" i="39" a="1"/>
  <c r="AT320" i="39" s="1"/>
  <c r="AZ337" i="39" a="1"/>
  <c r="AZ337" i="39" s="1"/>
  <c r="AT152" i="39" a="1"/>
  <c r="AT152" i="39" s="1"/>
  <c r="AT32" i="39" a="1"/>
  <c r="AT32" i="39" s="1"/>
  <c r="AZ293" i="39" a="1"/>
  <c r="AZ293" i="39" s="1"/>
  <c r="AT282" i="39" a="1"/>
  <c r="AT282" i="39" s="1"/>
  <c r="AZ133" i="39" a="1"/>
  <c r="AZ133" i="39" s="1"/>
  <c r="AZ197" i="39" a="1"/>
  <c r="AZ197" i="39" s="1"/>
  <c r="AZ209" i="39" a="1"/>
  <c r="AZ209" i="39" s="1"/>
  <c r="AZ60" i="39" a="1"/>
  <c r="AZ60" i="39" s="1"/>
  <c r="AT293" i="39" a="1"/>
  <c r="AT293" i="39" s="1"/>
  <c r="AT342" i="39" a="1"/>
  <c r="AT342" i="39" s="1"/>
  <c r="AZ303" i="39" a="1"/>
  <c r="AZ303" i="39" s="1"/>
  <c r="AZ81" i="39" a="1"/>
  <c r="AZ81" i="39" s="1"/>
  <c r="AT56" i="39" a="1"/>
  <c r="AT56" i="39" s="1"/>
  <c r="AZ295" i="39" a="1"/>
  <c r="AZ295" i="39" s="1"/>
  <c r="AT316" i="39" a="1"/>
  <c r="AT316" i="39" s="1"/>
  <c r="AZ98" i="39" a="1"/>
  <c r="AZ98" i="39" s="1"/>
  <c r="AT145" i="39" a="1"/>
  <c r="AT145" i="39" s="1"/>
  <c r="AT291" i="39" a="1"/>
  <c r="AT291" i="39" s="1"/>
  <c r="AZ18" i="39" a="1"/>
  <c r="AZ18" i="39" s="1"/>
  <c r="AZ263" i="39" a="1"/>
  <c r="AZ263" i="39" s="1"/>
  <c r="AT182" i="39" a="1"/>
  <c r="AT182" i="39" s="1"/>
  <c r="AZ335" i="39" a="1"/>
  <c r="AZ335" i="39" s="1"/>
  <c r="AT137" i="39" a="1"/>
  <c r="AT137" i="39" s="1"/>
  <c r="AZ189" i="39" a="1"/>
  <c r="AZ189" i="39" s="1"/>
  <c r="AT9" i="39" a="1"/>
  <c r="AT9" i="39" s="1"/>
  <c r="AZ326" i="39" a="1"/>
  <c r="AZ326" i="39" s="1"/>
  <c r="AT325" i="39" a="1"/>
  <c r="AT325" i="39" s="1"/>
  <c r="AZ25" i="39" a="1"/>
  <c r="AZ25" i="39" s="1"/>
  <c r="AT23" i="39" a="1"/>
  <c r="AT23" i="39" s="1"/>
  <c r="AT42" i="39" a="1"/>
  <c r="AT42" i="39" s="1"/>
  <c r="AZ169" i="39" a="1"/>
  <c r="AZ169" i="39" s="1"/>
  <c r="AT66" i="39" a="1"/>
  <c r="AT66" i="39" s="1"/>
  <c r="AZ253" i="39" a="1"/>
  <c r="AZ253" i="39" s="1"/>
  <c r="AZ296" i="39" a="1"/>
  <c r="AZ296" i="39" s="1"/>
  <c r="AZ57" i="39" a="1"/>
  <c r="AZ57" i="39" s="1"/>
  <c r="AT31" i="39" a="1"/>
  <c r="AT31" i="39" s="1"/>
  <c r="AZ127" i="39" a="1"/>
  <c r="AZ127" i="39" s="1"/>
  <c r="AZ269" i="39" a="1"/>
  <c r="AZ269" i="39" s="1"/>
  <c r="AZ279" i="39" a="1"/>
  <c r="AZ279" i="39" s="1"/>
  <c r="AT71" i="39" a="1"/>
  <c r="AT71" i="39" s="1"/>
  <c r="AT235" i="39" a="1"/>
  <c r="AT235" i="39" s="1"/>
  <c r="AZ183" i="39" a="1"/>
  <c r="AZ183" i="39" s="1"/>
  <c r="AT77" i="39" a="1"/>
  <c r="AT77" i="39" s="1"/>
  <c r="AT202" i="39" a="1"/>
  <c r="AT202" i="39" s="1"/>
  <c r="AZ65" i="39" a="1"/>
  <c r="AZ65" i="39" s="1"/>
  <c r="AT118" i="39" a="1"/>
  <c r="AT118" i="39" s="1"/>
  <c r="AZ320" i="39" a="1"/>
  <c r="AZ320" i="39" s="1"/>
  <c r="AZ345" i="39" a="1"/>
  <c r="AZ345" i="39" s="1"/>
  <c r="AZ290" i="39" a="1"/>
  <c r="AZ290" i="39" s="1"/>
  <c r="AT55" i="39" a="1"/>
  <c r="AT55" i="39" s="1"/>
  <c r="AZ37" i="39" a="1"/>
  <c r="AZ37" i="39" s="1"/>
  <c r="AZ240" i="39" a="1"/>
  <c r="AZ240" i="39" s="1"/>
  <c r="AZ275" i="39" a="1"/>
  <c r="AZ275" i="39" s="1"/>
  <c r="AT204" i="39" a="1"/>
  <c r="AT204" i="39" s="1"/>
  <c r="AT340" i="39" a="1"/>
  <c r="AT340" i="39" s="1"/>
  <c r="AT295" i="39" a="1"/>
  <c r="AT295" i="39" s="1"/>
  <c r="AT211" i="39" a="1"/>
  <c r="AT211" i="39" s="1"/>
  <c r="AT350" i="39" a="1"/>
  <c r="AT350" i="39" s="1"/>
  <c r="AZ82" i="39" a="1"/>
  <c r="AZ82" i="39" s="1"/>
  <c r="AT49" i="39" a="1"/>
  <c r="AT49" i="39" s="1"/>
  <c r="AZ318" i="39" a="1"/>
  <c r="AZ318" i="39" s="1"/>
  <c r="AZ36" i="39" a="1"/>
  <c r="AZ36" i="39" s="1"/>
  <c r="AT84" i="39" a="1"/>
  <c r="AT84" i="39" s="1"/>
  <c r="AZ35" i="39" a="1"/>
  <c r="AZ35" i="39" s="1"/>
  <c r="AT155" i="39" a="1"/>
  <c r="AT155" i="39" s="1"/>
  <c r="AZ157" i="39" a="1"/>
  <c r="AZ157" i="39" s="1"/>
  <c r="AT134" i="39" a="1"/>
  <c r="AT134" i="39" s="1"/>
  <c r="AT339" i="39" a="1"/>
  <c r="AT339" i="39" s="1"/>
  <c r="AZ68" i="39" a="1"/>
  <c r="AZ68" i="39" s="1"/>
  <c r="AT169" i="39" a="1"/>
  <c r="AT169" i="39" s="1"/>
  <c r="AZ268" i="39" a="1"/>
  <c r="AZ268" i="39" s="1"/>
  <c r="AZ14" i="39" a="1"/>
  <c r="AZ14" i="39" s="1"/>
  <c r="AT284" i="39" a="1"/>
  <c r="AT284" i="39" s="1"/>
  <c r="AT249" i="39" a="1"/>
  <c r="AT249" i="39" s="1"/>
  <c r="AZ344" i="39" a="1"/>
  <c r="AZ344" i="39" s="1"/>
  <c r="AZ52" i="39" a="1"/>
  <c r="AZ52" i="39" s="1"/>
  <c r="AT74" i="39" a="1"/>
  <c r="AT74" i="39" s="1"/>
  <c r="AZ260" i="39" a="1"/>
  <c r="AZ260" i="39" s="1"/>
  <c r="AT46" i="39" a="1"/>
  <c r="AT46" i="39" s="1"/>
  <c r="AZ29" i="39" a="1"/>
  <c r="AZ29" i="39" s="1"/>
  <c r="AT94" i="39" a="1"/>
  <c r="AT94" i="39" s="1"/>
  <c r="AZ241" i="39" a="1"/>
  <c r="AZ241" i="39" s="1"/>
  <c r="AT29" i="39" a="1"/>
  <c r="AT29" i="39" s="1"/>
  <c r="AZ270" i="39" a="1"/>
  <c r="AZ270" i="39" s="1"/>
  <c r="AZ276" i="39" a="1"/>
  <c r="AZ276" i="39" s="1"/>
  <c r="AZ217" i="39" a="1"/>
  <c r="AZ217" i="39" s="1"/>
  <c r="AT98" i="39" a="1"/>
  <c r="AT98" i="39" s="1"/>
  <c r="AZ89" i="39" a="1"/>
  <c r="AZ89" i="39" s="1"/>
  <c r="AT234" i="39" a="1"/>
  <c r="AT234" i="39" s="1"/>
  <c r="AZ147" i="39" a="1"/>
  <c r="AZ147" i="39" s="1"/>
  <c r="AZ215" i="39" a="1"/>
  <c r="AZ215" i="39" s="1"/>
  <c r="AT18" i="39" a="1"/>
  <c r="AT18" i="39" s="1"/>
  <c r="AZ349" i="39" a="1"/>
  <c r="AZ349" i="39" s="1"/>
  <c r="AZ123" i="39" a="1"/>
  <c r="AZ123" i="39" s="1"/>
  <c r="AT335" i="39" a="1"/>
  <c r="AT335" i="39" s="1"/>
  <c r="AT318" i="39" a="1"/>
  <c r="AT318" i="39" s="1"/>
  <c r="AT26" i="39" a="1"/>
  <c r="AT26" i="39" s="1"/>
  <c r="AZ28" i="39" a="1"/>
  <c r="AZ28" i="39" s="1"/>
  <c r="AT225" i="39" a="1"/>
  <c r="AT225" i="39" s="1"/>
  <c r="AT268" i="39" a="1"/>
  <c r="AT268" i="39" s="1"/>
  <c r="AZ59" i="39" a="1"/>
  <c r="AZ59" i="39" s="1"/>
  <c r="AT253" i="39" a="1"/>
  <c r="AT253" i="39" s="1"/>
  <c r="AT296" i="39" a="1"/>
  <c r="AT296" i="39" s="1"/>
  <c r="AZ43" i="39" a="1"/>
  <c r="AZ43" i="39" s="1"/>
  <c r="AT57" i="39" a="1"/>
  <c r="AT57" i="39" s="1"/>
  <c r="AZ154" i="39" a="1"/>
  <c r="AZ154" i="39" s="1"/>
  <c r="AT127" i="39" a="1"/>
  <c r="AT127" i="39" s="1"/>
  <c r="AZ310" i="39" a="1"/>
  <c r="AZ310" i="39" s="1"/>
  <c r="AT115" i="39" a="1"/>
  <c r="AT115" i="39" s="1"/>
  <c r="AZ239" i="39" a="1"/>
  <c r="AZ239" i="39" s="1"/>
  <c r="AZ45" i="39" a="1"/>
  <c r="AZ45" i="39" s="1"/>
  <c r="AT323" i="39" a="1"/>
  <c r="AT323" i="39" s="1"/>
  <c r="AZ124" i="39" a="1"/>
  <c r="AZ124" i="39" s="1"/>
  <c r="AT337" i="39" a="1"/>
  <c r="AT337" i="39" s="1"/>
  <c r="AZ233" i="39" a="1"/>
  <c r="AZ233" i="39" s="1"/>
  <c r="AZ314" i="39" a="1"/>
  <c r="AZ314" i="39" s="1"/>
  <c r="AT16" i="39" a="1"/>
  <c r="AT16" i="39" s="1"/>
  <c r="AZ58" i="39" a="1"/>
  <c r="AZ58" i="39" s="1"/>
  <c r="AT188" i="39" a="1"/>
  <c r="AT188" i="39" s="1"/>
  <c r="AT33" i="39" a="1"/>
  <c r="AT33" i="39" s="1"/>
  <c r="AZ17" i="39" a="1"/>
  <c r="AZ17" i="39" s="1"/>
  <c r="AT294" i="39" a="1"/>
  <c r="AT294" i="39" s="1"/>
  <c r="AZ55" i="39" a="1"/>
  <c r="AZ55" i="39" s="1"/>
  <c r="AT19" i="39" a="1"/>
  <c r="AT19" i="39" s="1"/>
  <c r="AT69" i="39" a="1"/>
  <c r="AT69" i="39" s="1"/>
  <c r="AZ159" i="39" a="1"/>
  <c r="AZ159" i="39" s="1"/>
  <c r="AT100" i="39" a="1"/>
  <c r="AT100" i="39" s="1"/>
  <c r="AT306" i="39" a="1"/>
  <c r="AT306" i="39" s="1"/>
  <c r="AZ56" i="39" a="1"/>
  <c r="AZ56" i="39" s="1"/>
  <c r="AT34" i="39" a="1"/>
  <c r="AT34" i="39" s="1"/>
  <c r="AT48" i="39" a="1"/>
  <c r="AT48" i="39" s="1"/>
  <c r="AZ140" i="39" a="1"/>
  <c r="AZ140" i="39" s="1"/>
  <c r="AZ122" i="39" a="1"/>
  <c r="AZ122" i="39" s="1"/>
  <c r="AZ333" i="39" a="1"/>
  <c r="AZ333" i="39" s="1"/>
  <c r="AT80" i="39" a="1"/>
  <c r="AT80" i="39" s="1"/>
  <c r="AZ216" i="39" a="1"/>
  <c r="AZ216" i="39" s="1"/>
  <c r="AZ63" i="39" a="1"/>
  <c r="AZ63" i="39" s="1"/>
  <c r="AT131" i="39" a="1"/>
  <c r="AT131" i="39" s="1"/>
  <c r="AT217" i="39" a="1"/>
  <c r="AT217" i="39" s="1"/>
  <c r="AZ102" i="39" a="1"/>
  <c r="AZ102" i="39" s="1"/>
  <c r="AT89" i="39" a="1"/>
  <c r="AT89" i="39" s="1"/>
  <c r="AZ315" i="39" a="1"/>
  <c r="AZ315" i="39" s="1"/>
  <c r="AZ175" i="39" a="1"/>
  <c r="AZ175" i="39" s="1"/>
  <c r="AT82" i="39" a="1"/>
  <c r="AT82" i="39" s="1"/>
  <c r="AT147" i="39" a="1"/>
  <c r="AT147" i="39" s="1"/>
  <c r="AZ148" i="39" a="1"/>
  <c r="AZ148" i="39" s="1"/>
  <c r="AT263" i="39" a="1"/>
  <c r="AT263" i="39" s="1"/>
  <c r="AZ258" i="39" a="1"/>
  <c r="AZ258" i="39" s="1"/>
  <c r="AT36" i="39" a="1"/>
  <c r="AT36" i="39" s="1"/>
  <c r="AZ283" i="39" a="1"/>
  <c r="AZ283" i="39" s="1"/>
  <c r="AZ108" i="39" a="1"/>
  <c r="AZ108" i="39" s="1"/>
  <c r="AT189" i="39" a="1"/>
  <c r="AT189" i="39" s="1"/>
  <c r="AT326" i="39" a="1"/>
  <c r="AT326" i="39" s="1"/>
  <c r="AT157" i="39" a="1"/>
  <c r="AT157" i="39" s="1"/>
  <c r="AZ83" i="39" a="1"/>
  <c r="AZ83" i="39" s="1"/>
  <c r="AT25" i="39" a="1"/>
  <c r="AT25" i="39" s="1"/>
  <c r="AZ19" i="39" a="1"/>
  <c r="AZ19" i="39" s="1"/>
  <c r="AT14" i="39" a="1"/>
  <c r="AT14" i="39" s="1"/>
  <c r="AZ100" i="39" a="1"/>
  <c r="AZ100" i="39" s="1"/>
  <c r="AT43" i="39" a="1"/>
  <c r="AT43" i="39" s="1"/>
  <c r="AZ53" i="39" a="1"/>
  <c r="AZ53" i="39" s="1"/>
  <c r="AZ32" i="39" a="1"/>
  <c r="AZ32" i="39" s="1"/>
  <c r="AT344" i="39" a="1"/>
  <c r="AT344" i="39" s="1"/>
  <c r="AT269" i="39" a="1"/>
  <c r="AT269" i="39" s="1"/>
  <c r="AT279" i="39" a="1"/>
  <c r="AT279" i="39" s="1"/>
  <c r="AT239" i="39" a="1"/>
  <c r="AT239" i="39" s="1"/>
  <c r="AZ309" i="39" a="1"/>
  <c r="AZ309" i="39" s="1"/>
  <c r="AT183" i="39" a="1"/>
  <c r="AT183" i="39" s="1"/>
  <c r="AT345" i="39" a="1"/>
  <c r="AT345" i="39" s="1"/>
  <c r="AZ247" i="39" a="1"/>
  <c r="AZ247" i="39" s="1"/>
  <c r="AZ54" i="39" a="1"/>
  <c r="AZ54" i="39" s="1"/>
  <c r="AT65" i="39" a="1"/>
  <c r="AT65" i="39" s="1"/>
  <c r="AT124" i="39" a="1"/>
  <c r="AT124" i="39" s="1"/>
  <c r="AZ126" i="39" a="1"/>
  <c r="AZ126" i="39" s="1"/>
  <c r="AT233" i="39" a="1"/>
  <c r="AT233" i="39" s="1"/>
  <c r="AZ33" i="39" a="1"/>
  <c r="AZ33" i="39" s="1"/>
  <c r="AT290" i="39" a="1"/>
  <c r="AT290" i="39" s="1"/>
  <c r="AZ39" i="39" a="1"/>
  <c r="AZ39" i="39" s="1"/>
  <c r="AZ40" i="39" a="1"/>
  <c r="AZ40" i="39" s="1"/>
  <c r="AZ347" i="39" a="1"/>
  <c r="AZ347" i="39" s="1"/>
  <c r="AT58" i="39" a="1"/>
  <c r="AT58" i="39" s="1"/>
  <c r="AZ12" i="39" a="1"/>
  <c r="AZ12" i="39" s="1"/>
  <c r="AT168" i="39" a="1"/>
  <c r="AT168" i="39" s="1"/>
  <c r="AT128" i="39" a="1"/>
  <c r="AT128" i="39" s="1"/>
  <c r="AZ262" i="39" a="1"/>
  <c r="AZ262" i="39" s="1"/>
  <c r="AZ96" i="39" a="1"/>
  <c r="AZ96" i="39" s="1"/>
  <c r="AT102" i="39" a="1"/>
  <c r="AT102" i="39" s="1"/>
  <c r="AZ224" i="39" a="1"/>
  <c r="AZ224" i="39" s="1"/>
  <c r="AZ167" i="39" a="1"/>
  <c r="AZ167" i="39" s="1"/>
  <c r="AT315" i="39" a="1"/>
  <c r="AT315" i="39" s="1"/>
  <c r="AT349" i="39" a="1"/>
  <c r="AT349" i="39" s="1"/>
  <c r="AT123" i="39" a="1"/>
  <c r="AT123" i="39" s="1"/>
  <c r="AT283" i="39" a="1"/>
  <c r="AT283" i="39" s="1"/>
  <c r="AZ255" i="39" a="1"/>
  <c r="AZ255" i="39" s="1"/>
  <c r="AT35" i="39" a="1"/>
  <c r="AT35" i="39" s="1"/>
  <c r="AT28" i="39" a="1"/>
  <c r="AT28" i="39" s="1"/>
  <c r="AZ286" i="39" a="1"/>
  <c r="AZ286" i="39" s="1"/>
  <c r="AZ164" i="39" a="1"/>
  <c r="AZ164" i="39" s="1"/>
  <c r="AT83" i="39" a="1"/>
  <c r="AT83" i="39" s="1"/>
  <c r="AZ294" i="39" a="1"/>
  <c r="AZ294" i="39" s="1"/>
  <c r="AT68" i="39" a="1"/>
  <c r="AT68" i="39" s="1"/>
  <c r="AZ69" i="39" a="1"/>
  <c r="AZ69" i="39" s="1"/>
  <c r="AT59" i="39" a="1"/>
  <c r="AT59" i="39" s="1"/>
  <c r="AT154" i="39" a="1"/>
  <c r="AT154" i="39" s="1"/>
  <c r="AZ74" i="39" a="1"/>
  <c r="AZ74" i="39" s="1"/>
  <c r="AZ251" i="39" a="1"/>
  <c r="AZ251" i="39" s="1"/>
  <c r="AT93" i="39" a="1"/>
  <c r="AT93" i="39" s="1"/>
  <c r="AZ46" i="39" a="1"/>
  <c r="AZ46" i="39" s="1"/>
  <c r="AZ114" i="39" a="1"/>
  <c r="AZ114" i="39" s="1"/>
  <c r="AT45" i="39" a="1"/>
  <c r="AT45" i="39" s="1"/>
  <c r="AZ306" i="39" a="1"/>
  <c r="AZ306" i="39" s="1"/>
  <c r="AT126" i="39" a="1"/>
  <c r="AT126" i="39" s="1"/>
  <c r="AZ188" i="39" a="1"/>
  <c r="AZ188" i="39" s="1"/>
  <c r="AZ27" i="39" a="1"/>
  <c r="AZ27" i="39" s="1"/>
  <c r="AT314" i="39" a="1"/>
  <c r="AT314" i="39" s="1"/>
  <c r="AT218" i="39" a="1"/>
  <c r="AT218" i="39" s="1"/>
  <c r="AT289" i="39" a="1"/>
  <c r="AT289" i="39" s="1"/>
  <c r="AZ116" i="39" a="1"/>
  <c r="AZ116" i="39" s="1"/>
  <c r="AZ330" i="39" a="1"/>
  <c r="AZ330" i="39" s="1"/>
  <c r="AT181" i="39" a="1"/>
  <c r="AT181" i="39" s="1"/>
  <c r="AT256" i="39" a="1"/>
  <c r="AT256" i="39" s="1"/>
  <c r="AT40" i="39" a="1"/>
  <c r="AT40" i="39" s="1"/>
  <c r="AT37" i="39" a="1"/>
  <c r="AT37" i="39" s="1"/>
  <c r="AT338" i="39" a="1"/>
  <c r="AT338" i="39" s="1"/>
  <c r="AT52" i="39" a="1"/>
  <c r="AT52" i="39" s="1"/>
  <c r="AT173" i="39" a="1"/>
  <c r="AT173" i="39" s="1"/>
  <c r="AZ47" i="39" a="1"/>
  <c r="AZ47" i="39" s="1"/>
  <c r="AZ223" i="39" a="1"/>
  <c r="AZ223" i="39" s="1"/>
  <c r="AT224" i="39" a="1"/>
  <c r="AT224" i="39" s="1"/>
  <c r="AZ301" i="39" a="1"/>
  <c r="AZ301" i="39" s="1"/>
  <c r="AZ120" i="39" a="1"/>
  <c r="AZ120" i="39" s="1"/>
  <c r="AT215" i="39" a="1"/>
  <c r="AT215" i="39" s="1"/>
  <c r="AZ321" i="39" a="1"/>
  <c r="AZ321" i="39" s="1"/>
  <c r="AZ282" i="39" a="1"/>
  <c r="AZ282" i="39" s="1"/>
  <c r="AT258" i="39" a="1"/>
  <c r="AT258" i="39" s="1"/>
  <c r="AZ161" i="39" a="1"/>
  <c r="AZ161" i="39" s="1"/>
  <c r="AT108" i="39" a="1"/>
  <c r="AT108" i="39" s="1"/>
  <c r="AT286" i="39" a="1"/>
  <c r="AT286" i="39" s="1"/>
  <c r="AZ168" i="39" a="1"/>
  <c r="AZ168" i="39" s="1"/>
  <c r="AZ351" i="39" a="1"/>
  <c r="AZ351" i="39" s="1"/>
  <c r="AZ11" i="39" a="1"/>
  <c r="AZ11" i="39" s="1"/>
  <c r="AZ67" i="39" a="1"/>
  <c r="AZ67" i="39" s="1"/>
  <c r="AZ313" i="39" a="1"/>
  <c r="AZ313" i="39" s="1"/>
  <c r="AT53" i="39" a="1"/>
  <c r="AT53" i="39" s="1"/>
  <c r="AZ22" i="39" a="1"/>
  <c r="AZ22" i="39" s="1"/>
  <c r="AZ181" i="39" a="1"/>
  <c r="AZ181" i="39" s="1"/>
  <c r="AT310" i="39" a="1"/>
  <c r="AT310" i="39" s="1"/>
  <c r="AT309" i="39" a="1"/>
  <c r="AT309" i="39" s="1"/>
  <c r="AT247" i="39" a="1"/>
  <c r="AT247" i="39" s="1"/>
  <c r="AT54" i="39" a="1"/>
  <c r="AT54" i="39" s="1"/>
  <c r="AZ332" i="39" a="1"/>
  <c r="AZ332" i="39" s="1"/>
  <c r="AZ76" i="39" a="1"/>
  <c r="AZ76" i="39" s="1"/>
  <c r="AZ94" i="39" a="1"/>
  <c r="AZ94" i="39" s="1"/>
  <c r="AT62" i="39" a="1"/>
  <c r="AT62" i="39" s="1"/>
  <c r="AZ112" i="39" a="1"/>
  <c r="AZ112" i="39" s="1"/>
  <c r="AT248" i="39" a="1"/>
  <c r="AT248" i="39" s="1"/>
  <c r="AT167" i="39" a="1"/>
  <c r="AT167" i="39" s="1"/>
  <c r="AZ218" i="39" a="1"/>
  <c r="AZ218" i="39" s="1"/>
  <c r="AZ103" i="39" a="1"/>
  <c r="AZ103" i="39" s="1"/>
  <c r="AT175" i="39" a="1"/>
  <c r="AT175" i="39" s="1"/>
  <c r="AZ48" i="39" a="1"/>
  <c r="AZ48" i="39" s="1"/>
  <c r="AT148" i="39" a="1"/>
  <c r="AT148" i="39" s="1"/>
  <c r="AT321" i="39" a="1"/>
  <c r="AT321" i="39" s="1"/>
  <c r="AZ75" i="39" a="1"/>
  <c r="AZ75" i="39" s="1"/>
  <c r="AT255" i="39" a="1"/>
  <c r="AT255" i="39" s="1"/>
  <c r="AZ281" i="39" a="1"/>
  <c r="AZ281" i="39" s="1"/>
  <c r="AZ176" i="39" a="1"/>
  <c r="AZ176" i="39" s="1"/>
  <c r="AT27" i="39" a="1"/>
  <c r="AT27" i="39" s="1"/>
  <c r="AT103" i="39" a="1"/>
  <c r="AT103" i="39" s="1"/>
  <c r="AZ70" i="39" a="1"/>
  <c r="AZ70" i="39" s="1"/>
  <c r="AT260" i="39" a="1"/>
  <c r="AT260" i="39" s="1"/>
  <c r="AZ327" i="39" a="1"/>
  <c r="AZ327" i="39" s="1"/>
  <c r="AZ153" i="39" a="1"/>
  <c r="AZ153" i="39" s="1"/>
  <c r="AT267" i="39" a="1"/>
  <c r="AT267" i="39" s="1"/>
  <c r="AZ248" i="39" a="1"/>
  <c r="AZ248" i="39" s="1"/>
  <c r="AT223" i="39" a="1"/>
  <c r="AT223" i="39" s="1"/>
  <c r="AZ34" i="39" a="1"/>
  <c r="AZ34" i="39" s="1"/>
  <c r="AZ128" i="39" a="1"/>
  <c r="AZ128" i="39" s="1"/>
  <c r="AZ13" i="39" a="1"/>
  <c r="AZ13" i="39" s="1"/>
  <c r="AT301" i="39" a="1"/>
  <c r="AT301" i="39" s="1"/>
  <c r="AT120" i="39" a="1"/>
  <c r="AT120" i="39" s="1"/>
  <c r="AZ289" i="39" a="1"/>
  <c r="AZ289" i="39" s="1"/>
  <c r="AT161" i="39" a="1"/>
  <c r="AT161" i="39" s="1"/>
  <c r="AT75" i="39" a="1"/>
  <c r="AT75" i="39" s="1"/>
  <c r="AZ342" i="39" a="1"/>
  <c r="AZ342" i="39" s="1"/>
  <c r="AZ129" i="39" a="1"/>
  <c r="AZ129" i="39" s="1"/>
  <c r="AT281" i="39" a="1"/>
  <c r="AT281" i="39" s="1"/>
  <c r="AT164" i="39" a="1"/>
  <c r="AT164" i="39" s="1"/>
  <c r="AZ121" i="39" a="1"/>
  <c r="AZ121" i="39" s="1"/>
  <c r="AT351" i="39" a="1"/>
  <c r="AT351" i="39" s="1"/>
  <c r="AT11" i="39" a="1"/>
  <c r="AT11" i="39" s="1"/>
  <c r="AZ304" i="39" a="1"/>
  <c r="AZ304" i="39" s="1"/>
  <c r="AT67" i="39" a="1"/>
  <c r="AT67" i="39" s="1"/>
  <c r="AZ338" i="39" a="1"/>
  <c r="AZ338" i="39" s="1"/>
  <c r="AT22" i="39" a="1"/>
  <c r="AT22" i="39" s="1"/>
  <c r="AZ173" i="39" a="1"/>
  <c r="AZ173" i="39" s="1"/>
  <c r="AT251" i="39" a="1"/>
  <c r="AT251" i="39" s="1"/>
  <c r="AZ256" i="39" a="1"/>
  <c r="AZ256" i="39" s="1"/>
  <c r="AZ204" i="39" a="1"/>
  <c r="AZ204" i="39" s="1"/>
  <c r="AZ340" i="39" a="1"/>
  <c r="AZ340" i="39" s="1"/>
  <c r="AZ131" i="39" a="1"/>
  <c r="AZ131" i="39" s="1"/>
  <c r="AT332" i="39" a="1"/>
  <c r="AT332" i="39" s="1"/>
  <c r="AZ80" i="39" a="1"/>
  <c r="AZ80" i="39" s="1"/>
  <c r="AZ267" i="39" a="1"/>
  <c r="AZ267" i="39" s="1"/>
  <c r="AT17" i="39" a="1"/>
  <c r="AT17" i="39" s="1"/>
  <c r="AT159" i="39" a="1"/>
  <c r="AT159" i="39" s="1"/>
  <c r="AT313" i="39" a="1"/>
  <c r="AT313" i="39" s="1"/>
  <c r="AT76" i="39" a="1"/>
  <c r="AT76" i="39" s="1"/>
  <c r="AZ38" i="39" a="1"/>
  <c r="AZ38" i="39" s="1"/>
  <c r="AZ174" i="39" a="1"/>
  <c r="AZ174" i="39" s="1"/>
  <c r="AZ4" i="39" l="1"/>
  <c r="AT6" i="39"/>
  <c r="AZ7" i="39"/>
  <c r="AT7" i="39"/>
  <c r="AZ6" i="39"/>
  <c r="AT5" i="39"/>
  <c r="AZ5" i="39"/>
  <c r="AT4" i="39"/>
  <c r="F130" i="37"/>
  <c r="F10" i="37"/>
  <c r="F50" i="37"/>
  <c r="F90" i="37"/>
  <c r="AS112" i="39"/>
  <c r="BJ25" i="39" a="1"/>
  <c r="BJ25" i="39" s="1"/>
  <c r="BJ39" i="39" a="1"/>
  <c r="BJ39" i="39" s="1"/>
  <c r="BJ53" i="39" a="1"/>
  <c r="BJ53" i="39" s="1"/>
  <c r="BJ67" i="39" a="1"/>
  <c r="BJ67" i="39" s="1"/>
  <c r="BJ94" i="39" a="1"/>
  <c r="BJ94" i="39" s="1"/>
  <c r="BJ160" i="39" a="1"/>
  <c r="BJ160" i="39" s="1"/>
  <c r="BJ188" i="39" a="1"/>
  <c r="BJ188" i="39" s="1"/>
  <c r="BJ202" i="39" a="1"/>
  <c r="BJ202" i="39" s="1"/>
  <c r="BJ240" i="39" a="1"/>
  <c r="BJ240" i="39" s="1"/>
  <c r="BJ254" i="39" a="1"/>
  <c r="BJ254" i="39" s="1"/>
  <c r="BJ350" i="39" a="1"/>
  <c r="BJ350" i="39" s="1"/>
  <c r="BJ18" i="39" a="1"/>
  <c r="BJ18" i="39" s="1"/>
  <c r="BJ98" i="39" a="1"/>
  <c r="BJ98" i="39" s="1"/>
  <c r="BJ150" i="39" a="1"/>
  <c r="BJ150" i="39" s="1"/>
  <c r="BJ164" i="39" a="1"/>
  <c r="BJ164" i="39" s="1"/>
  <c r="BJ192" i="39" a="1"/>
  <c r="BJ192" i="39" s="1"/>
  <c r="BJ22" i="39" a="1"/>
  <c r="BJ22" i="39" s="1"/>
  <c r="BJ48" i="39" a="1"/>
  <c r="BJ48" i="39" s="1"/>
  <c r="BJ197" i="39" a="1"/>
  <c r="BJ197" i="39" s="1"/>
  <c r="BJ263" i="39" a="1"/>
  <c r="BJ263" i="39" s="1"/>
  <c r="BJ277" i="39" a="1"/>
  <c r="BJ277" i="39" s="1"/>
  <c r="BJ345" i="39" a="1"/>
  <c r="BJ345" i="39" s="1"/>
  <c r="BJ13" i="39" a="1"/>
  <c r="BJ13" i="39" s="1"/>
  <c r="BJ49" i="39" a="1"/>
  <c r="BJ49" i="39" s="1"/>
  <c r="BJ198" i="39" a="1"/>
  <c r="BJ198" i="39" s="1"/>
  <c r="BJ226" i="39" a="1"/>
  <c r="BJ226" i="39" s="1"/>
  <c r="BJ278" i="39" a="1"/>
  <c r="BJ278" i="39" s="1"/>
  <c r="BJ300" i="39" a="1"/>
  <c r="BJ300" i="39" s="1"/>
  <c r="BJ346" i="39" a="1"/>
  <c r="BJ346" i="39" s="1"/>
  <c r="BJ14" i="39" a="1"/>
  <c r="BJ14" i="39" s="1"/>
  <c r="BJ50" i="39" a="1"/>
  <c r="BJ50" i="39" s="1"/>
  <c r="BJ199" i="39" a="1"/>
  <c r="BJ199" i="39" s="1"/>
  <c r="BJ227" i="39" a="1"/>
  <c r="BJ227" i="39" s="1"/>
  <c r="BJ279" i="39" a="1"/>
  <c r="BJ279" i="39" s="1"/>
  <c r="BJ301" i="39" a="1"/>
  <c r="BJ301" i="39" s="1"/>
  <c r="BJ15" i="39" a="1"/>
  <c r="BJ15" i="39" s="1"/>
  <c r="BJ26" i="39" a="1"/>
  <c r="BJ26" i="39" s="1"/>
  <c r="BJ40" i="39" a="1"/>
  <c r="BJ40" i="39" s="1"/>
  <c r="BJ54" i="39" a="1"/>
  <c r="BJ54" i="39" s="1"/>
  <c r="BJ68" i="39" a="1"/>
  <c r="BJ68" i="39" s="1"/>
  <c r="BJ95" i="39" a="1"/>
  <c r="BJ95" i="39" s="1"/>
  <c r="BJ134" i="39" a="1"/>
  <c r="BJ134" i="39" s="1"/>
  <c r="BJ161" i="39" a="1"/>
  <c r="BJ161" i="39" s="1"/>
  <c r="BJ189" i="39" a="1"/>
  <c r="BJ189" i="39" s="1"/>
  <c r="BJ203" i="39" a="1"/>
  <c r="BJ203" i="39" s="1"/>
  <c r="BJ241" i="39" a="1"/>
  <c r="BJ241" i="39" s="1"/>
  <c r="BJ255" i="39" a="1"/>
  <c r="BJ255" i="39" s="1"/>
  <c r="BJ269" i="39" a="1"/>
  <c r="BJ269" i="39" s="1"/>
  <c r="BJ351" i="39" a="1"/>
  <c r="BJ351" i="39" s="1"/>
  <c r="BJ19" i="39" a="1"/>
  <c r="BJ19" i="39" s="1"/>
  <c r="BJ286" i="39" a="1"/>
  <c r="BJ286" i="39" s="1"/>
  <c r="BJ27" i="39" a="1"/>
  <c r="BJ27" i="39" s="1"/>
  <c r="BJ41" i="39" a="1"/>
  <c r="BJ41" i="39" s="1"/>
  <c r="BJ55" i="39" a="1"/>
  <c r="BJ55" i="39" s="1"/>
  <c r="BJ96" i="39" a="1"/>
  <c r="BJ96" i="39" s="1"/>
  <c r="BJ135" i="39" a="1"/>
  <c r="BJ135" i="39" s="1"/>
  <c r="BJ148" i="39" a="1"/>
  <c r="BJ148" i="39" s="1"/>
  <c r="BJ162" i="39" a="1"/>
  <c r="BJ162" i="39" s="1"/>
  <c r="BJ190" i="39" a="1"/>
  <c r="BJ190" i="39" s="1"/>
  <c r="BJ204" i="39" a="1"/>
  <c r="BJ204" i="39" s="1"/>
  <c r="BJ242" i="39" a="1"/>
  <c r="BJ242" i="39" s="1"/>
  <c r="BJ256" i="39" a="1"/>
  <c r="BJ256" i="39" s="1"/>
  <c r="BJ304" i="39" a="1"/>
  <c r="BJ304" i="39" s="1"/>
  <c r="BJ20" i="39" a="1"/>
  <c r="BJ20" i="39" s="1"/>
  <c r="BJ43" i="39" a="1"/>
  <c r="BJ43" i="39" s="1"/>
  <c r="BJ296" i="39" a="1"/>
  <c r="BJ296" i="39" s="1"/>
  <c r="BJ170" i="39" a="1"/>
  <c r="BJ170" i="39" s="1"/>
  <c r="BJ28" i="39" a="1"/>
  <c r="BJ28" i="39" s="1"/>
  <c r="BJ42" i="39" a="1"/>
  <c r="BJ42" i="39" s="1"/>
  <c r="BJ56" i="39" a="1"/>
  <c r="BJ56" i="39" s="1"/>
  <c r="BJ97" i="39" a="1"/>
  <c r="BJ97" i="39" s="1"/>
  <c r="BJ163" i="39" a="1"/>
  <c r="BJ163" i="39" s="1"/>
  <c r="BJ191" i="39" a="1"/>
  <c r="BJ191" i="39" s="1"/>
  <c r="BJ205" i="39" a="1"/>
  <c r="BJ205" i="39" s="1"/>
  <c r="BJ243" i="39" a="1"/>
  <c r="BJ243" i="39" s="1"/>
  <c r="BJ257" i="39" a="1"/>
  <c r="BJ257" i="39" s="1"/>
  <c r="BJ285" i="39" a="1"/>
  <c r="BJ285" i="39" s="1"/>
  <c r="BJ21" i="39" a="1"/>
  <c r="BJ21" i="39" s="1"/>
  <c r="BJ29" i="39" a="1"/>
  <c r="BJ29" i="39" s="1"/>
  <c r="BJ206" i="39" a="1"/>
  <c r="BJ206" i="39" s="1"/>
  <c r="BJ272" i="39" a="1"/>
  <c r="BJ272" i="39" s="1"/>
  <c r="BJ89" i="39" a="1"/>
  <c r="BJ89" i="39" s="1"/>
  <c r="BJ156" i="39" a="1"/>
  <c r="BJ156" i="39" s="1"/>
  <c r="BJ30" i="39" a="1"/>
  <c r="BJ30" i="39" s="1"/>
  <c r="BJ44" i="39" a="1"/>
  <c r="BJ44" i="39" s="1"/>
  <c r="BJ99" i="39" a="1"/>
  <c r="BJ99" i="39" s="1"/>
  <c r="BJ138" i="39" a="1"/>
  <c r="BJ138" i="39" s="1"/>
  <c r="BJ193" i="39" a="1"/>
  <c r="BJ193" i="39" s="1"/>
  <c r="BJ207" i="39" a="1"/>
  <c r="BJ207" i="39" s="1"/>
  <c r="BJ273" i="39" a="1"/>
  <c r="BJ273" i="39" s="1"/>
  <c r="BJ287" i="39" a="1"/>
  <c r="BJ287" i="39" s="1"/>
  <c r="BJ297" i="39" a="1"/>
  <c r="BJ297" i="39" s="1"/>
  <c r="BJ23" i="39" a="1"/>
  <c r="BJ23" i="39" s="1"/>
  <c r="BJ31" i="39" a="1"/>
  <c r="BJ31" i="39" s="1"/>
  <c r="BJ45" i="39" a="1"/>
  <c r="BJ45" i="39" s="1"/>
  <c r="BJ59" i="39" a="1"/>
  <c r="BJ59" i="39" s="1"/>
  <c r="BJ166" i="39" a="1"/>
  <c r="BJ166" i="39" s="1"/>
  <c r="BJ194" i="39" a="1"/>
  <c r="BJ194" i="39" s="1"/>
  <c r="BJ260" i="39" a="1"/>
  <c r="BJ260" i="39" s="1"/>
  <c r="BJ274" i="39" a="1"/>
  <c r="BJ274" i="39" s="1"/>
  <c r="BJ298" i="39" a="1"/>
  <c r="BJ298" i="39" s="1"/>
  <c r="BJ10" i="39" a="1"/>
  <c r="BJ10" i="39" s="1"/>
  <c r="BJ24" i="39" a="1"/>
  <c r="BJ24" i="39" s="1"/>
  <c r="BJ47" i="39" a="1"/>
  <c r="BJ47" i="39" s="1"/>
  <c r="BJ32" i="39" a="1"/>
  <c r="BJ32" i="39" s="1"/>
  <c r="BJ46" i="39" a="1"/>
  <c r="BJ46" i="39" s="1"/>
  <c r="BJ140" i="39" a="1"/>
  <c r="BJ140" i="39" s="1"/>
  <c r="BJ167" i="39" a="1"/>
  <c r="BJ167" i="39" s="1"/>
  <c r="BJ195" i="39" a="1"/>
  <c r="BJ195" i="39" s="1"/>
  <c r="BJ209" i="39" a="1"/>
  <c r="BJ209" i="39" s="1"/>
  <c r="BJ261" i="39" a="1"/>
  <c r="BJ261" i="39" s="1"/>
  <c r="BJ275" i="39" a="1"/>
  <c r="BJ275" i="39" s="1"/>
  <c r="BJ299" i="39" a="1"/>
  <c r="BJ299" i="39" s="1"/>
  <c r="BJ11" i="39" a="1"/>
  <c r="BJ11" i="39" s="1"/>
  <c r="BJ33" i="39" a="1"/>
  <c r="BJ33" i="39" s="1"/>
  <c r="BJ88" i="39" a="1"/>
  <c r="BJ88" i="39" s="1"/>
  <c r="BJ154" i="39" a="1"/>
  <c r="BJ154" i="39" s="1"/>
  <c r="BJ196" i="39" a="1"/>
  <c r="BJ196" i="39" s="1"/>
  <c r="BJ210" i="39" a="1"/>
  <c r="BJ210" i="39" s="1"/>
  <c r="BJ224" i="39" a="1"/>
  <c r="BJ224" i="39" s="1"/>
  <c r="BJ276" i="39" a="1"/>
  <c r="BJ276" i="39" s="1"/>
  <c r="BJ344" i="39" a="1"/>
  <c r="BJ344" i="39" s="1"/>
  <c r="BJ12" i="39" a="1"/>
  <c r="BJ12" i="39" s="1"/>
  <c r="BJ34" i="39" a="1"/>
  <c r="BJ34" i="39" s="1"/>
  <c r="BJ155" i="39" a="1"/>
  <c r="BJ155" i="39" s="1"/>
  <c r="BJ211" i="39" a="1"/>
  <c r="BJ211" i="39" s="1"/>
  <c r="BJ225" i="39" a="1"/>
  <c r="BJ225" i="39" s="1"/>
  <c r="BJ35" i="39" a="1"/>
  <c r="BJ35" i="39" s="1"/>
  <c r="BJ90" i="39" a="1"/>
  <c r="BJ90" i="39" s="1"/>
  <c r="BJ36" i="39" a="1"/>
  <c r="BJ36" i="39" s="1"/>
  <c r="BJ64" i="39" a="1"/>
  <c r="BJ64" i="39" s="1"/>
  <c r="BJ91" i="39" a="1"/>
  <c r="BJ91" i="39" s="1"/>
  <c r="BJ157" i="39" a="1"/>
  <c r="BJ157" i="39" s="1"/>
  <c r="BJ265" i="39" a="1"/>
  <c r="BJ265" i="39" s="1"/>
  <c r="BJ347" i="39" a="1"/>
  <c r="BJ347" i="39" s="1"/>
  <c r="BJ37" i="39" a="1"/>
  <c r="BJ37" i="39" s="1"/>
  <c r="BJ16" i="39" a="1"/>
  <c r="BJ16" i="39" s="1"/>
  <c r="BJ267" i="39" a="1"/>
  <c r="BJ267" i="39" s="1"/>
  <c r="BJ201" i="39" a="1"/>
  <c r="BJ201" i="39" s="1"/>
  <c r="BJ38" i="39" a="1"/>
  <c r="BJ38" i="39" s="1"/>
  <c r="BJ17" i="39" a="1"/>
  <c r="BJ17" i="39" s="1"/>
  <c r="BJ51" i="39" a="1"/>
  <c r="BJ51" i="39" s="1"/>
  <c r="BJ144" i="39" a="1"/>
  <c r="BJ144" i="39" s="1"/>
  <c r="BJ52" i="39" a="1"/>
  <c r="BJ52" i="39" s="1"/>
  <c r="BJ145" i="39" a="1"/>
  <c r="BJ145" i="39" s="1"/>
  <c r="BJ65" i="39" a="1"/>
  <c r="BJ65" i="39" s="1"/>
  <c r="BJ158" i="39" a="1"/>
  <c r="BJ158" i="39" s="1"/>
  <c r="BJ348" i="39" a="1"/>
  <c r="BJ348" i="39" s="1"/>
  <c r="BJ66" i="39" a="1"/>
  <c r="BJ66" i="39" s="1"/>
  <c r="BJ159" i="39" a="1"/>
  <c r="BJ159" i="39" s="1"/>
  <c r="BJ172" i="39" a="1"/>
  <c r="BJ172" i="39" s="1"/>
  <c r="BJ92" i="39" a="1"/>
  <c r="BJ92" i="39" s="1"/>
  <c r="BJ280" i="39" a="1"/>
  <c r="BJ280" i="39" s="1"/>
  <c r="BJ349" i="39" a="1"/>
  <c r="BJ349" i="39" s="1"/>
  <c r="BJ93" i="39" a="1"/>
  <c r="BJ93" i="39" s="1"/>
  <c r="BJ200" i="39" a="1"/>
  <c r="BJ200" i="39" s="1"/>
  <c r="BJ302" i="39" a="1"/>
  <c r="BJ302" i="39" s="1"/>
  <c r="BJ303" i="39" a="1"/>
  <c r="BJ303" i="39" s="1"/>
  <c r="AP30" i="39"/>
  <c r="AO339" i="39"/>
  <c r="AO340" i="39"/>
  <c r="AO338" i="39"/>
  <c r="AO345" i="39"/>
  <c r="AO350" i="39"/>
  <c r="AO341" i="39"/>
  <c r="AO351" i="39"/>
  <c r="AO342" i="39"/>
  <c r="AO347" i="39"/>
  <c r="AO348" i="39"/>
  <c r="AO343" i="39"/>
  <c r="AO344" i="39"/>
  <c r="AO337" i="39"/>
  <c r="AO346" i="39"/>
  <c r="AO349" i="39"/>
  <c r="AN350" i="39"/>
  <c r="AN339" i="39"/>
  <c r="AN351" i="39"/>
  <c r="AN340" i="39"/>
  <c r="AN345" i="39"/>
  <c r="AN338" i="39"/>
  <c r="AN342" i="39"/>
  <c r="AN344" i="39"/>
  <c r="AN343" i="39"/>
  <c r="AN347" i="39"/>
  <c r="AN337" i="39"/>
  <c r="AN349" i="39"/>
  <c r="AN341" i="39"/>
  <c r="AN346" i="39"/>
  <c r="AN348" i="39"/>
  <c r="AN318" i="39"/>
  <c r="AN328" i="39"/>
  <c r="AN323" i="39"/>
  <c r="AN333" i="39"/>
  <c r="AN330" i="39"/>
  <c r="AN335" i="39"/>
  <c r="AN322" i="39"/>
  <c r="AN320" i="39"/>
  <c r="AN325" i="39"/>
  <c r="AN327" i="39"/>
  <c r="AN332" i="39"/>
  <c r="AN329" i="39"/>
  <c r="AN319" i="39"/>
  <c r="AN324" i="39"/>
  <c r="AN321" i="39"/>
  <c r="AN336" i="39"/>
  <c r="AN326" i="39"/>
  <c r="AN334" i="39"/>
  <c r="AN331" i="39"/>
  <c r="AO319" i="39"/>
  <c r="AO321" i="39"/>
  <c r="AO324" i="39"/>
  <c r="AO326" i="39"/>
  <c r="AO331" i="39"/>
  <c r="AO328" i="39"/>
  <c r="AO336" i="39"/>
  <c r="AO333" i="39"/>
  <c r="AO322" i="39"/>
  <c r="AO334" i="39"/>
  <c r="AO318" i="39"/>
  <c r="AO323" i="39"/>
  <c r="AO330" i="39"/>
  <c r="AO329" i="39"/>
  <c r="AO335" i="39"/>
  <c r="AO320" i="39"/>
  <c r="AO325" i="39"/>
  <c r="AO327" i="39"/>
  <c r="AO332" i="39"/>
  <c r="AO312" i="39"/>
  <c r="AO315" i="39"/>
  <c r="AO313" i="39"/>
  <c r="AO316" i="39"/>
  <c r="AO317" i="39"/>
  <c r="AO314" i="39"/>
  <c r="AO310" i="39"/>
  <c r="AO311" i="39"/>
  <c r="AN309" i="39"/>
  <c r="AN310" i="39"/>
  <c r="AN312" i="39"/>
  <c r="AN313" i="39"/>
  <c r="AN311" i="39"/>
  <c r="AN314" i="39"/>
  <c r="AN317" i="39"/>
  <c r="AN315" i="39"/>
  <c r="AN316" i="39"/>
  <c r="AO309" i="39"/>
  <c r="AN303" i="39"/>
  <c r="AN306" i="39"/>
  <c r="AN304" i="39"/>
  <c r="AN305" i="39"/>
  <c r="AN307" i="39"/>
  <c r="AN308" i="39"/>
  <c r="AO305" i="39"/>
  <c r="AO304" i="39"/>
  <c r="AO307" i="39"/>
  <c r="AO303" i="39"/>
  <c r="AO308" i="39"/>
  <c r="AO306" i="39"/>
  <c r="AO300" i="39"/>
  <c r="AO301" i="39"/>
  <c r="AO302" i="39"/>
  <c r="AN300" i="39"/>
  <c r="AN302" i="39"/>
  <c r="AN301" i="39"/>
  <c r="AN293" i="39"/>
  <c r="AN298" i="39"/>
  <c r="AN297" i="39"/>
  <c r="AN296" i="39"/>
  <c r="AN294" i="39"/>
  <c r="AN299" i="39"/>
  <c r="AN295" i="39"/>
  <c r="AO297" i="39"/>
  <c r="AO293" i="39"/>
  <c r="AO296" i="39"/>
  <c r="AO298" i="39"/>
  <c r="AO294" i="39"/>
  <c r="AO299" i="39"/>
  <c r="AO295" i="39"/>
  <c r="AN287" i="39"/>
  <c r="AN292" i="39"/>
  <c r="AO287" i="39"/>
  <c r="AO292" i="39"/>
  <c r="AN288" i="39"/>
  <c r="AO288" i="39"/>
  <c r="AN289" i="39"/>
  <c r="AO289" i="39"/>
  <c r="AN290" i="39"/>
  <c r="AO290" i="39"/>
  <c r="AN291" i="39"/>
  <c r="AO291" i="39"/>
  <c r="AO285" i="39"/>
  <c r="AO286" i="39"/>
  <c r="AN285" i="39"/>
  <c r="AN286" i="39"/>
  <c r="AN282" i="39"/>
  <c r="AN281" i="39"/>
  <c r="AN279" i="39"/>
  <c r="AN280" i="39"/>
  <c r="AN283" i="39"/>
  <c r="AN284" i="39"/>
  <c r="AO284" i="39"/>
  <c r="AO282" i="39"/>
  <c r="AO281" i="39"/>
  <c r="AO279" i="39"/>
  <c r="AO280" i="39"/>
  <c r="AO283" i="39"/>
  <c r="AN11" i="39"/>
  <c r="AN108" i="39"/>
  <c r="AN202" i="39"/>
  <c r="AN41" i="39"/>
  <c r="AN155" i="39"/>
  <c r="AN19" i="39"/>
  <c r="AN115" i="39"/>
  <c r="AN244" i="39"/>
  <c r="AN72" i="39"/>
  <c r="AN22" i="39"/>
  <c r="AN227" i="39"/>
  <c r="AN28" i="39"/>
  <c r="AN206" i="39"/>
  <c r="AN71" i="39"/>
  <c r="AN93" i="39"/>
  <c r="AN125" i="39"/>
  <c r="AN271" i="39"/>
  <c r="AN52" i="39"/>
  <c r="AN200" i="39"/>
  <c r="AN201" i="39"/>
  <c r="AN212" i="39"/>
  <c r="AN149" i="39"/>
  <c r="AN141" i="39"/>
  <c r="AN245" i="39"/>
  <c r="AN257" i="39"/>
  <c r="AN35" i="39"/>
  <c r="AN273" i="39"/>
  <c r="AN243" i="39"/>
  <c r="AN272" i="39"/>
  <c r="AN153" i="39"/>
  <c r="AN242" i="39"/>
  <c r="AN197" i="39"/>
  <c r="AN151" i="39"/>
  <c r="AN278" i="39"/>
  <c r="AN15" i="39"/>
  <c r="AN187" i="39"/>
  <c r="AN65" i="39"/>
  <c r="AN44" i="39"/>
  <c r="AN205" i="39"/>
  <c r="AN14" i="39"/>
  <c r="AN267" i="39"/>
  <c r="AN107" i="39"/>
  <c r="AN87" i="39"/>
  <c r="AN18" i="39"/>
  <c r="AN114" i="39"/>
  <c r="AN209" i="39"/>
  <c r="AN234" i="39"/>
  <c r="AN48" i="39"/>
  <c r="AN169" i="39"/>
  <c r="AN13" i="39"/>
  <c r="AN26" i="39"/>
  <c r="AN122" i="39"/>
  <c r="AN253" i="39"/>
  <c r="AN111" i="39"/>
  <c r="AN165" i="39"/>
  <c r="AN105" i="39"/>
  <c r="AN136" i="39"/>
  <c r="AN66" i="39"/>
  <c r="AN64" i="39"/>
  <c r="AN222" i="39"/>
  <c r="AN158" i="39"/>
  <c r="AN192" i="39"/>
  <c r="AN85" i="39"/>
  <c r="AN142" i="39"/>
  <c r="AN42" i="39"/>
  <c r="AN126" i="39"/>
  <c r="AN276" i="39"/>
  <c r="AN172" i="39"/>
  <c r="AN132" i="39"/>
  <c r="AN193" i="39"/>
  <c r="AN116" i="39"/>
  <c r="AN182" i="39"/>
  <c r="AN199" i="39"/>
  <c r="AN25" i="39"/>
  <c r="AN121" i="39"/>
  <c r="AN216" i="39"/>
  <c r="AN241" i="39"/>
  <c r="AN55" i="39"/>
  <c r="AN183" i="39"/>
  <c r="AN96" i="39"/>
  <c r="AN33" i="39"/>
  <c r="AN128" i="39"/>
  <c r="AN120" i="39"/>
  <c r="AN265" i="39"/>
  <c r="AN100" i="39"/>
  <c r="AN80" i="39"/>
  <c r="AN236" i="39"/>
  <c r="AN221" i="39"/>
  <c r="AN213" i="39"/>
  <c r="AN255" i="39"/>
  <c r="AN69" i="39"/>
  <c r="AN47" i="39"/>
  <c r="AN50" i="39"/>
  <c r="AN78" i="39"/>
  <c r="AN166" i="39"/>
  <c r="AN21" i="39"/>
  <c r="AN156" i="39"/>
  <c r="AN251" i="39"/>
  <c r="AN60" i="39"/>
  <c r="AN68" i="39"/>
  <c r="AN274" i="39"/>
  <c r="AN252" i="39"/>
  <c r="AN57" i="39"/>
  <c r="AN137" i="39"/>
  <c r="AN203" i="39"/>
  <c r="AN73" i="39"/>
  <c r="AN145" i="39"/>
  <c r="AN174" i="39"/>
  <c r="AN235" i="39"/>
  <c r="AN219" i="39"/>
  <c r="AN104" i="39"/>
  <c r="AN84" i="39"/>
  <c r="AN181" i="39"/>
  <c r="AN249" i="39"/>
  <c r="AN32" i="39"/>
  <c r="AN127" i="39"/>
  <c r="AN223" i="39"/>
  <c r="AN248" i="39"/>
  <c r="AN62" i="39"/>
  <c r="AN190" i="39"/>
  <c r="AN123" i="39"/>
  <c r="AN40" i="39"/>
  <c r="AN134" i="39"/>
  <c r="AN131" i="39"/>
  <c r="AN139" i="39"/>
  <c r="AN112" i="39"/>
  <c r="AN91" i="39"/>
  <c r="AN258" i="39"/>
  <c r="AN264" i="39"/>
  <c r="AN229" i="39"/>
  <c r="AN97" i="39"/>
  <c r="AN239" i="39"/>
  <c r="AN39" i="39"/>
  <c r="AN204" i="39"/>
  <c r="AN113" i="39"/>
  <c r="AN89" i="39"/>
  <c r="AN161" i="39"/>
  <c r="AN150" i="39"/>
  <c r="AN268" i="39"/>
  <c r="AN157" i="39"/>
  <c r="AN46" i="39"/>
  <c r="AN140" i="39"/>
  <c r="AN233" i="39"/>
  <c r="AN262" i="39"/>
  <c r="AN76" i="39"/>
  <c r="AN225" i="39"/>
  <c r="AN162" i="39"/>
  <c r="AN54" i="39"/>
  <c r="AN147" i="39"/>
  <c r="AN92" i="39"/>
  <c r="AN124" i="39"/>
  <c r="AN159" i="39"/>
  <c r="AN144" i="39"/>
  <c r="AN29" i="39"/>
  <c r="AN178" i="39"/>
  <c r="AN99" i="39"/>
  <c r="AN106" i="39"/>
  <c r="AN250" i="39"/>
  <c r="AN56" i="39"/>
  <c r="AN130" i="39"/>
  <c r="AN260" i="39"/>
  <c r="AN230" i="39"/>
  <c r="AN146" i="39"/>
  <c r="AN240" i="39"/>
  <c r="AN269" i="39"/>
  <c r="AN83" i="39"/>
  <c r="AN228" i="39"/>
  <c r="AN176" i="39"/>
  <c r="AN61" i="39"/>
  <c r="AN154" i="39"/>
  <c r="AN10" i="39"/>
  <c r="AN266" i="39"/>
  <c r="AN117" i="39"/>
  <c r="AN247" i="39"/>
  <c r="AN16" i="39"/>
  <c r="AN98" i="39"/>
  <c r="AN214" i="39"/>
  <c r="AN36" i="39"/>
  <c r="AN129" i="39"/>
  <c r="AN53" i="39"/>
  <c r="AN81" i="39"/>
  <c r="AN24" i="39"/>
  <c r="AN275" i="39"/>
  <c r="AN95" i="39"/>
  <c r="AN67" i="39"/>
  <c r="AN160" i="39"/>
  <c r="AN254" i="39"/>
  <c r="AN103" i="39"/>
  <c r="AN256" i="39"/>
  <c r="AN211" i="39"/>
  <c r="AN75" i="39"/>
  <c r="AN168" i="39"/>
  <c r="AN184" i="39"/>
  <c r="AN237" i="39"/>
  <c r="AN163" i="39"/>
  <c r="AN143" i="39"/>
  <c r="AN226" i="39"/>
  <c r="AN152" i="39"/>
  <c r="AN133" i="39"/>
  <c r="AN31" i="39"/>
  <c r="AN45" i="39"/>
  <c r="AN74" i="39"/>
  <c r="AN167" i="39"/>
  <c r="AN261" i="39"/>
  <c r="AN110" i="39"/>
  <c r="AN263" i="39"/>
  <c r="AN218" i="39"/>
  <c r="AN82" i="39"/>
  <c r="AN175" i="39"/>
  <c r="AN186" i="39"/>
  <c r="AN23" i="39"/>
  <c r="AN164" i="39"/>
  <c r="AN207" i="39"/>
  <c r="AN138" i="39"/>
  <c r="AN277" i="39"/>
  <c r="AN88" i="39"/>
  <c r="AN51" i="39"/>
  <c r="AN77" i="39"/>
  <c r="AN20" i="39"/>
  <c r="AN101" i="39"/>
  <c r="AN79" i="39"/>
  <c r="AN194" i="39"/>
  <c r="AN38" i="39"/>
  <c r="AN220" i="39"/>
  <c r="AN118" i="39"/>
  <c r="AN86" i="39"/>
  <c r="AN215" i="39"/>
  <c r="AN170" i="39"/>
  <c r="AN246" i="39"/>
  <c r="AN109" i="39"/>
  <c r="AN148" i="39"/>
  <c r="AN173" i="39"/>
  <c r="AN191" i="39"/>
  <c r="AN188" i="39"/>
  <c r="AN90" i="39"/>
  <c r="AN37" i="39"/>
  <c r="AN102" i="39"/>
  <c r="AN135" i="39"/>
  <c r="AN17" i="39"/>
  <c r="AN177" i="39"/>
  <c r="AN70" i="39"/>
  <c r="AN195" i="39"/>
  <c r="AN210" i="39"/>
  <c r="AN196" i="39"/>
  <c r="AN217" i="39"/>
  <c r="AN270" i="39"/>
  <c r="AN59" i="39"/>
  <c r="AN238" i="39"/>
  <c r="AN43" i="39"/>
  <c r="AN119" i="39"/>
  <c r="AN171" i="39"/>
  <c r="AN231" i="39"/>
  <c r="AN208" i="39"/>
  <c r="AN224" i="39"/>
  <c r="AN12" i="39"/>
  <c r="AN232" i="39"/>
  <c r="AN198" i="39"/>
  <c r="AN180" i="39"/>
  <c r="AN27" i="39"/>
  <c r="AN30" i="39"/>
  <c r="AN189" i="39"/>
  <c r="AN259" i="39"/>
  <c r="AN49" i="39"/>
  <c r="AN179" i="39"/>
  <c r="AN185" i="39"/>
  <c r="AN58" i="39"/>
  <c r="AN34" i="39"/>
  <c r="AN63" i="39"/>
  <c r="AN94" i="39"/>
  <c r="AO41" i="39"/>
  <c r="AO101" i="39"/>
  <c r="AO195" i="39"/>
  <c r="AO262" i="39"/>
  <c r="AO19" i="39"/>
  <c r="AO115" i="39"/>
  <c r="AO210" i="39"/>
  <c r="AO99" i="39"/>
  <c r="AO79" i="39"/>
  <c r="AO58" i="39"/>
  <c r="AO218" i="39"/>
  <c r="AO207" i="39"/>
  <c r="AO237" i="39"/>
  <c r="AO222" i="39"/>
  <c r="AO64" i="39"/>
  <c r="AO137" i="39"/>
  <c r="AO242" i="39"/>
  <c r="AO179" i="39"/>
  <c r="AO127" i="39"/>
  <c r="AO139" i="39"/>
  <c r="AO120" i="39"/>
  <c r="AO44" i="39"/>
  <c r="AO16" i="39"/>
  <c r="AO56" i="39"/>
  <c r="AO106" i="39"/>
  <c r="AO155" i="39"/>
  <c r="AO243" i="39"/>
  <c r="AO119" i="39"/>
  <c r="AO77" i="39"/>
  <c r="AO146" i="39"/>
  <c r="AO22" i="39"/>
  <c r="AO199" i="39"/>
  <c r="AO271" i="39"/>
  <c r="AO30" i="39"/>
  <c r="AO276" i="39"/>
  <c r="AO167" i="39"/>
  <c r="AO228" i="39"/>
  <c r="AO268" i="39"/>
  <c r="AO11" i="39"/>
  <c r="AO108" i="39"/>
  <c r="AO202" i="39"/>
  <c r="AO26" i="39"/>
  <c r="AO122" i="39"/>
  <c r="AO217" i="39"/>
  <c r="AO111" i="39"/>
  <c r="AO90" i="39"/>
  <c r="AO232" i="39"/>
  <c r="AO70" i="39"/>
  <c r="AO215" i="39"/>
  <c r="AO186" i="39"/>
  <c r="AO80" i="39"/>
  <c r="AO246" i="39"/>
  <c r="AO248" i="39"/>
  <c r="AO211" i="39"/>
  <c r="AO230" i="39"/>
  <c r="AO76" i="39"/>
  <c r="AO221" i="39"/>
  <c r="AO32" i="39"/>
  <c r="AO234" i="39"/>
  <c r="AO100" i="39"/>
  <c r="AO225" i="39"/>
  <c r="AO238" i="39"/>
  <c r="AO192" i="39"/>
  <c r="AO165" i="39"/>
  <c r="AO273" i="39"/>
  <c r="AO184" i="39"/>
  <c r="AO65" i="39"/>
  <c r="AO81" i="39"/>
  <c r="AO18" i="39"/>
  <c r="AO114" i="39"/>
  <c r="AO209" i="39"/>
  <c r="AO33" i="39"/>
  <c r="AO128" i="39"/>
  <c r="AO224" i="39"/>
  <c r="AO92" i="39"/>
  <c r="AO130" i="39"/>
  <c r="AO244" i="39"/>
  <c r="AO219" i="39"/>
  <c r="AO227" i="39"/>
  <c r="AO91" i="39"/>
  <c r="AO31" i="39"/>
  <c r="AO258" i="39"/>
  <c r="AO144" i="39"/>
  <c r="AO180" i="39"/>
  <c r="AO73" i="39"/>
  <c r="AO239" i="39"/>
  <c r="AO229" i="39"/>
  <c r="AO223" i="39"/>
  <c r="AO141" i="39"/>
  <c r="AO265" i="39"/>
  <c r="AO135" i="39"/>
  <c r="AO250" i="39"/>
  <c r="AO132" i="39"/>
  <c r="AO259" i="39"/>
  <c r="AO213" i="39"/>
  <c r="AO53" i="39"/>
  <c r="AO240" i="39"/>
  <c r="AO161" i="39"/>
  <c r="AO51" i="39"/>
  <c r="AO125" i="39"/>
  <c r="AO55" i="39"/>
  <c r="AO176" i="39"/>
  <c r="AO204" i="39"/>
  <c r="AO169" i="39"/>
  <c r="AO174" i="39"/>
  <c r="AO95" i="39"/>
  <c r="AO69" i="39"/>
  <c r="AO25" i="39"/>
  <c r="AO121" i="39"/>
  <c r="AO216" i="39"/>
  <c r="AO40" i="39"/>
  <c r="AO134" i="39"/>
  <c r="AO274" i="39"/>
  <c r="AO104" i="39"/>
  <c r="AO253" i="39"/>
  <c r="AO267" i="39"/>
  <c r="AO235" i="39"/>
  <c r="AO103" i="39"/>
  <c r="AO245" i="39"/>
  <c r="AO138" i="39"/>
  <c r="AO124" i="39"/>
  <c r="AO270" i="39"/>
  <c r="AO156" i="39"/>
  <c r="AO84" i="39"/>
  <c r="AO260" i="39"/>
  <c r="AO263" i="39"/>
  <c r="AO191" i="39"/>
  <c r="AO251" i="39"/>
  <c r="AO47" i="39"/>
  <c r="AO159" i="39"/>
  <c r="AO96" i="39"/>
  <c r="AO212" i="39"/>
  <c r="AO123" i="39"/>
  <c r="AO187" i="39"/>
  <c r="AO149" i="39"/>
  <c r="AO198" i="39"/>
  <c r="AO143" i="39"/>
  <c r="AO272" i="39"/>
  <c r="AO157" i="39"/>
  <c r="AO182" i="39"/>
  <c r="AO163" i="39"/>
  <c r="AO13" i="39"/>
  <c r="AO39" i="39"/>
  <c r="AO54" i="39"/>
  <c r="AO147" i="39"/>
  <c r="AO241" i="39"/>
  <c r="AO150" i="39"/>
  <c r="AO183" i="39"/>
  <c r="AO131" i="39"/>
  <c r="AO277" i="39"/>
  <c r="AO110" i="39"/>
  <c r="AO112" i="39"/>
  <c r="AO256" i="39"/>
  <c r="AO266" i="39"/>
  <c r="AO78" i="39"/>
  <c r="AO117" i="39"/>
  <c r="AO86" i="39"/>
  <c r="AO46" i="39"/>
  <c r="AO140" i="39"/>
  <c r="AO233" i="39"/>
  <c r="AO61" i="39"/>
  <c r="AO154" i="39"/>
  <c r="AO162" i="39"/>
  <c r="AO231" i="39"/>
  <c r="AO37" i="39"/>
  <c r="AO278" i="39"/>
  <c r="AO68" i="39"/>
  <c r="AO59" i="39"/>
  <c r="AO264" i="39"/>
  <c r="AO74" i="39"/>
  <c r="AO261" i="39"/>
  <c r="AO88" i="39"/>
  <c r="AO173" i="39"/>
  <c r="AO17" i="39"/>
  <c r="AO142" i="39"/>
  <c r="AO57" i="39"/>
  <c r="AO158" i="39"/>
  <c r="AO189" i="39"/>
  <c r="AO255" i="39"/>
  <c r="AO60" i="39"/>
  <c r="AO153" i="39"/>
  <c r="AO247" i="39"/>
  <c r="AO75" i="39"/>
  <c r="AO168" i="39"/>
  <c r="AO35" i="39"/>
  <c r="AO164" i="39"/>
  <c r="AO10" i="39"/>
  <c r="AO71" i="39"/>
  <c r="AO66" i="39"/>
  <c r="AO24" i="39"/>
  <c r="AO28" i="39"/>
  <c r="AO5" i="39" s="1"/>
  <c r="AO177" i="39"/>
  <c r="AO63" i="39"/>
  <c r="AO208" i="39"/>
  <c r="AO171" i="39"/>
  <c r="AO136" i="39"/>
  <c r="AO20" i="39"/>
  <c r="AO118" i="39"/>
  <c r="AO89" i="39"/>
  <c r="AO145" i="39"/>
  <c r="AO43" i="39"/>
  <c r="AO269" i="39"/>
  <c r="AO67" i="39"/>
  <c r="AO160" i="39"/>
  <c r="AO254" i="39"/>
  <c r="AO82" i="39"/>
  <c r="AO175" i="39"/>
  <c r="AO45" i="39"/>
  <c r="AO193" i="39"/>
  <c r="AO21" i="39"/>
  <c r="AO172" i="39"/>
  <c r="AO83" i="39"/>
  <c r="AO252" i="39"/>
  <c r="AO151" i="39"/>
  <c r="AO113" i="39"/>
  <c r="AO14" i="39"/>
  <c r="AO38" i="39"/>
  <c r="AO220" i="39"/>
  <c r="AO98" i="39"/>
  <c r="AO188" i="39"/>
  <c r="AO126" i="39"/>
  <c r="AO148" i="39"/>
  <c r="AO93" i="39"/>
  <c r="AO107" i="39"/>
  <c r="AO197" i="39"/>
  <c r="AO50" i="39"/>
  <c r="AO87" i="39"/>
  <c r="AO257" i="39"/>
  <c r="AO275" i="39"/>
  <c r="AO205" i="39"/>
  <c r="AO201" i="39"/>
  <c r="AO249" i="39"/>
  <c r="AO133" i="39"/>
  <c r="AO102" i="39"/>
  <c r="AO72" i="39"/>
  <c r="AO97" i="39"/>
  <c r="AO214" i="39"/>
  <c r="AO49" i="39"/>
  <c r="AO23" i="39"/>
  <c r="AO36" i="39"/>
  <c r="AO29" i="39"/>
  <c r="AO34" i="39"/>
  <c r="AO166" i="39"/>
  <c r="AO178" i="39"/>
  <c r="AO190" i="39"/>
  <c r="AO226" i="39"/>
  <c r="AO152" i="39"/>
  <c r="AO105" i="39"/>
  <c r="AO170" i="39"/>
  <c r="AO129" i="39"/>
  <c r="AO206" i="39"/>
  <c r="AO62" i="39"/>
  <c r="AO194" i="39"/>
  <c r="AO85" i="39"/>
  <c r="AO185" i="39"/>
  <c r="AO116" i="39"/>
  <c r="AO236" i="39"/>
  <c r="AO15" i="39"/>
  <c r="AO52" i="39"/>
  <c r="AO12" i="39"/>
  <c r="AO48" i="39"/>
  <c r="AO200" i="39"/>
  <c r="AO181" i="39"/>
  <c r="AO42" i="39"/>
  <c r="AO94" i="39"/>
  <c r="AO27" i="39"/>
  <c r="AO109" i="39"/>
  <c r="AO196" i="39"/>
  <c r="AO203" i="39"/>
  <c r="AJ285" i="39"/>
  <c r="AQ285" i="39"/>
  <c r="AI16" i="39"/>
  <c r="AI24" i="39"/>
  <c r="AI32" i="39"/>
  <c r="AI40" i="39"/>
  <c r="AI48" i="39"/>
  <c r="AI56" i="39"/>
  <c r="AI64" i="39"/>
  <c r="AI72" i="39"/>
  <c r="AI80" i="39"/>
  <c r="AI87" i="39"/>
  <c r="AI95" i="39"/>
  <c r="AI103" i="39"/>
  <c r="AI111" i="39"/>
  <c r="AI118" i="39"/>
  <c r="AI125" i="39"/>
  <c r="AI133" i="39"/>
  <c r="AI140" i="39"/>
  <c r="AI17" i="39"/>
  <c r="AI25" i="39"/>
  <c r="AI33" i="39"/>
  <c r="AI41" i="39"/>
  <c r="AI49" i="39"/>
  <c r="AI57" i="39"/>
  <c r="AI65" i="39"/>
  <c r="AI73" i="39"/>
  <c r="AI81" i="39"/>
  <c r="AI88" i="39"/>
  <c r="AI96" i="39"/>
  <c r="AI104" i="39"/>
  <c r="AI112" i="39"/>
  <c r="AI119" i="39"/>
  <c r="AI126" i="39"/>
  <c r="AI10" i="39"/>
  <c r="AI18" i="39"/>
  <c r="AI26" i="39"/>
  <c r="AI34" i="39"/>
  <c r="AI42" i="39"/>
  <c r="AI50" i="39"/>
  <c r="AI58" i="39"/>
  <c r="AI66" i="39"/>
  <c r="AI74" i="39"/>
  <c r="AI82" i="39"/>
  <c r="AI89" i="39"/>
  <c r="AI97" i="39"/>
  <c r="AI105" i="39"/>
  <c r="AI113" i="39"/>
  <c r="AI120" i="39"/>
  <c r="AI127" i="39"/>
  <c r="AI134" i="39"/>
  <c r="AI11" i="39"/>
  <c r="AI19" i="39"/>
  <c r="AI27" i="39"/>
  <c r="AI35" i="39"/>
  <c r="AI43" i="39"/>
  <c r="AI51" i="39"/>
  <c r="AI59" i="39"/>
  <c r="AI67" i="39"/>
  <c r="AI75" i="39"/>
  <c r="AI83" i="39"/>
  <c r="AI90" i="39"/>
  <c r="AI98" i="39"/>
  <c r="AI106" i="39"/>
  <c r="AI121" i="39"/>
  <c r="AI128" i="39"/>
  <c r="AI135" i="39"/>
  <c r="AI12" i="39"/>
  <c r="AI20" i="39"/>
  <c r="AI28" i="39"/>
  <c r="AI36" i="39"/>
  <c r="AI44" i="39"/>
  <c r="AI52" i="39"/>
  <c r="AI60" i="39"/>
  <c r="AI68" i="39"/>
  <c r="AI76" i="39"/>
  <c r="AI91" i="39"/>
  <c r="AI99" i="39"/>
  <c r="AI107" i="39"/>
  <c r="AI114" i="39"/>
  <c r="AI122" i="39"/>
  <c r="AI129" i="39"/>
  <c r="AI136" i="39"/>
  <c r="AI15" i="39"/>
  <c r="AI38" i="39"/>
  <c r="AI61" i="39"/>
  <c r="AI79" i="39"/>
  <c r="AI101" i="39"/>
  <c r="AI123" i="39"/>
  <c r="AI139" i="39"/>
  <c r="AI147" i="39"/>
  <c r="AI155" i="39"/>
  <c r="AI163" i="39"/>
  <c r="AI171" i="39"/>
  <c r="AI179" i="39"/>
  <c r="AI187" i="39"/>
  <c r="AI195" i="39"/>
  <c r="AI203" i="39"/>
  <c r="AI211" i="39"/>
  <c r="AI219" i="39"/>
  <c r="AI227" i="39"/>
  <c r="AI231" i="39"/>
  <c r="AI239" i="39"/>
  <c r="AI247" i="39"/>
  <c r="AI255" i="39"/>
  <c r="AI263" i="39"/>
  <c r="AI271" i="39"/>
  <c r="AI279" i="39"/>
  <c r="AI287" i="39"/>
  <c r="AI293" i="39"/>
  <c r="AI299" i="39"/>
  <c r="AI311" i="39"/>
  <c r="AI317" i="39"/>
  <c r="AI323" i="39"/>
  <c r="AI331" i="39"/>
  <c r="AI23" i="39"/>
  <c r="AI46" i="39"/>
  <c r="AI69" i="39"/>
  <c r="AI86" i="39"/>
  <c r="AI109" i="39"/>
  <c r="AI130" i="39"/>
  <c r="AI143" i="39"/>
  <c r="AI150" i="39"/>
  <c r="AI158" i="39"/>
  <c r="AI166" i="39"/>
  <c r="AI174" i="39"/>
  <c r="AI182" i="39"/>
  <c r="AI190" i="39"/>
  <c r="AI198" i="39"/>
  <c r="AI206" i="39"/>
  <c r="AI214" i="39"/>
  <c r="AI222" i="39"/>
  <c r="AI234" i="39"/>
  <c r="AI242" i="39"/>
  <c r="AI250" i="39"/>
  <c r="AI258" i="39"/>
  <c r="AI266" i="39"/>
  <c r="AI274" i="39"/>
  <c r="AI282" i="39"/>
  <c r="AI290" i="39"/>
  <c r="AI300" i="39"/>
  <c r="AI306" i="39"/>
  <c r="AI312" i="39"/>
  <c r="AI320" i="39"/>
  <c r="AI326" i="39"/>
  <c r="AI332" i="39"/>
  <c r="AI29" i="39"/>
  <c r="AI47" i="39"/>
  <c r="AI70" i="39"/>
  <c r="AI92" i="39"/>
  <c r="AI110" i="39"/>
  <c r="AI131" i="39"/>
  <c r="AI151" i="39"/>
  <c r="AI159" i="39"/>
  <c r="AI167" i="39"/>
  <c r="AI175" i="39"/>
  <c r="AI183" i="39"/>
  <c r="AI191" i="39"/>
  <c r="AI199" i="39"/>
  <c r="AI207" i="39"/>
  <c r="AI215" i="39"/>
  <c r="AI223" i="39"/>
  <c r="AI235" i="39"/>
  <c r="AI243" i="39"/>
  <c r="AI251" i="39"/>
  <c r="AI259" i="39"/>
  <c r="AI267" i="39"/>
  <c r="AI275" i="39"/>
  <c r="AI283" i="39"/>
  <c r="AI291" i="39"/>
  <c r="AI31" i="39"/>
  <c r="AI63" i="39"/>
  <c r="AI100" i="39"/>
  <c r="AI132" i="39"/>
  <c r="AI148" i="39"/>
  <c r="AI161" i="39"/>
  <c r="AI173" i="39"/>
  <c r="AI186" i="39"/>
  <c r="AI200" i="39"/>
  <c r="AI212" i="39"/>
  <c r="AI225" i="39"/>
  <c r="AI233" i="39"/>
  <c r="AI246" i="39"/>
  <c r="AI260" i="39"/>
  <c r="AI272" i="39"/>
  <c r="AI285" i="39"/>
  <c r="AI295" i="39"/>
  <c r="AI303" i="39"/>
  <c r="AI321" i="39"/>
  <c r="AI329" i="39"/>
  <c r="AI337" i="39"/>
  <c r="AI343" i="39"/>
  <c r="AI351" i="39"/>
  <c r="AH16" i="39"/>
  <c r="AH24" i="39"/>
  <c r="AH32" i="39"/>
  <c r="AH40" i="39"/>
  <c r="AH48" i="39"/>
  <c r="AH56" i="39"/>
  <c r="AH64" i="39"/>
  <c r="AH72" i="39"/>
  <c r="AH80" i="39"/>
  <c r="AH87" i="39"/>
  <c r="AH95" i="39"/>
  <c r="AH103" i="39"/>
  <c r="AH111" i="39"/>
  <c r="AH118" i="39"/>
  <c r="AH125" i="39"/>
  <c r="AH133" i="39"/>
  <c r="AH140" i="39"/>
  <c r="AH147" i="39"/>
  <c r="AH155" i="39"/>
  <c r="AH163" i="39"/>
  <c r="AH171" i="39"/>
  <c r="AH179" i="39"/>
  <c r="AH187" i="39"/>
  <c r="AH195" i="39"/>
  <c r="AH203" i="39"/>
  <c r="AH211" i="39"/>
  <c r="AH219" i="39"/>
  <c r="AH227" i="39"/>
  <c r="AH231" i="39"/>
  <c r="AH239" i="39"/>
  <c r="AH247" i="39"/>
  <c r="AH255" i="39"/>
  <c r="AH263" i="39"/>
  <c r="AH271" i="39"/>
  <c r="AH279" i="39"/>
  <c r="AH287" i="39"/>
  <c r="AH293" i="39"/>
  <c r="AH299" i="39"/>
  <c r="AH311" i="39"/>
  <c r="AH317" i="39"/>
  <c r="AH323" i="39"/>
  <c r="AH331" i="39"/>
  <c r="AH337" i="39"/>
  <c r="AH343" i="39"/>
  <c r="AH351" i="39"/>
  <c r="AH17" i="39"/>
  <c r="AH25" i="39"/>
  <c r="AH33" i="39"/>
  <c r="AH41" i="39"/>
  <c r="AH49" i="39"/>
  <c r="AH57" i="39"/>
  <c r="AH65" i="39"/>
  <c r="AH73" i="39"/>
  <c r="AH81" i="39"/>
  <c r="AH88" i="39"/>
  <c r="AH96" i="39"/>
  <c r="AH104" i="39"/>
  <c r="AH112" i="39"/>
  <c r="AH119" i="39"/>
  <c r="AH126" i="39"/>
  <c r="AH141" i="39"/>
  <c r="AH148" i="39"/>
  <c r="AH156" i="39"/>
  <c r="AH164" i="39"/>
  <c r="AH172" i="39"/>
  <c r="AH180" i="39"/>
  <c r="AH188" i="39"/>
  <c r="AH196" i="39"/>
  <c r="AH204" i="39"/>
  <c r="AH212" i="39"/>
  <c r="AH220" i="39"/>
  <c r="AH232" i="39"/>
  <c r="AH248" i="39"/>
  <c r="AH256" i="39"/>
  <c r="AH264" i="39"/>
  <c r="AH272" i="39"/>
  <c r="AH280" i="39"/>
  <c r="AH288" i="39"/>
  <c r="AH294" i="39"/>
  <c r="AH304" i="39"/>
  <c r="AH318" i="39"/>
  <c r="AH324" i="39"/>
  <c r="AH338" i="39"/>
  <c r="AH344" i="39"/>
  <c r="AI37" i="39"/>
  <c r="AI71" i="39"/>
  <c r="AI102" i="39"/>
  <c r="AI137" i="39"/>
  <c r="AI149" i="39"/>
  <c r="AI162" i="39"/>
  <c r="AI176" i="39"/>
  <c r="AI188" i="39"/>
  <c r="AI201" i="39"/>
  <c r="AI213" i="39"/>
  <c r="AI226" i="39"/>
  <c r="AI236" i="39"/>
  <c r="AI248" i="39"/>
  <c r="AI261" i="39"/>
  <c r="AI273" i="39"/>
  <c r="AI286" i="39"/>
  <c r="AI296" i="39"/>
  <c r="AI330" i="39"/>
  <c r="AI338" i="39"/>
  <c r="AI344" i="39"/>
  <c r="AI13" i="39"/>
  <c r="AI45" i="39"/>
  <c r="AI78" i="39"/>
  <c r="AI115" i="39"/>
  <c r="AI141" i="39"/>
  <c r="AI153" i="39"/>
  <c r="AI165" i="39"/>
  <c r="AI178" i="39"/>
  <c r="AI192" i="39"/>
  <c r="AI204" i="39"/>
  <c r="AI217" i="39"/>
  <c r="AI238" i="39"/>
  <c r="AI252" i="39"/>
  <c r="AI264" i="39"/>
  <c r="AI277" i="39"/>
  <c r="AI289" i="39"/>
  <c r="AI298" i="39"/>
  <c r="AI305" i="39"/>
  <c r="AI314" i="39"/>
  <c r="AI322" i="39"/>
  <c r="AI340" i="39"/>
  <c r="AI346" i="39"/>
  <c r="AH11" i="39"/>
  <c r="AH19" i="39"/>
  <c r="AH27" i="39"/>
  <c r="AH35" i="39"/>
  <c r="AH43" i="39"/>
  <c r="AH51" i="39"/>
  <c r="AH59" i="39"/>
  <c r="AH67" i="39"/>
  <c r="AH75" i="39"/>
  <c r="AH83" i="39"/>
  <c r="AH90" i="39"/>
  <c r="AH98" i="39"/>
  <c r="AH106" i="39"/>
  <c r="AH121" i="39"/>
  <c r="AH128" i="39"/>
  <c r="AH135" i="39"/>
  <c r="AH143" i="39"/>
  <c r="AH150" i="39"/>
  <c r="AH158" i="39"/>
  <c r="AH166" i="39"/>
  <c r="AH174" i="39"/>
  <c r="AH182" i="39"/>
  <c r="AH190" i="39"/>
  <c r="AH198" i="39"/>
  <c r="AH206" i="39"/>
  <c r="AH214" i="39"/>
  <c r="AH222" i="39"/>
  <c r="AH234" i="39"/>
  <c r="AH242" i="39"/>
  <c r="AH250" i="39"/>
  <c r="AH258" i="39"/>
  <c r="AH266" i="39"/>
  <c r="AH274" i="39"/>
  <c r="AH282" i="39"/>
  <c r="AH290" i="39"/>
  <c r="AH300" i="39"/>
  <c r="AH306" i="39"/>
  <c r="AH312" i="39"/>
  <c r="AH320" i="39"/>
  <c r="AH326" i="39"/>
  <c r="AH332" i="39"/>
  <c r="AH340" i="39"/>
  <c r="AH346" i="39"/>
  <c r="AI14" i="39"/>
  <c r="AI53" i="39"/>
  <c r="AI84" i="39"/>
  <c r="AI116" i="39"/>
  <c r="AI142" i="39"/>
  <c r="AI154" i="39"/>
  <c r="AI168" i="39"/>
  <c r="AI180" i="39"/>
  <c r="AI193" i="39"/>
  <c r="AI205" i="39"/>
  <c r="AI218" i="39"/>
  <c r="AI228" i="39"/>
  <c r="AI240" i="39"/>
  <c r="AI253" i="39"/>
  <c r="AI265" i="39"/>
  <c r="AI278" i="39"/>
  <c r="AI307" i="39"/>
  <c r="AI315" i="39"/>
  <c r="AI324" i="39"/>
  <c r="AI333" i="39"/>
  <c r="AI341" i="39"/>
  <c r="AI347" i="39"/>
  <c r="AH12" i="39"/>
  <c r="AH20" i="39"/>
  <c r="AH28" i="39"/>
  <c r="AH36" i="39"/>
  <c r="AH44" i="39"/>
  <c r="AH52" i="39"/>
  <c r="AH60" i="39"/>
  <c r="AH68" i="39"/>
  <c r="AH76" i="39"/>
  <c r="AH91" i="39"/>
  <c r="AH99" i="39"/>
  <c r="AH107" i="39"/>
  <c r="AH114" i="39"/>
  <c r="AH122" i="39"/>
  <c r="AH129" i="39"/>
  <c r="AH136" i="39"/>
  <c r="AH151" i="39"/>
  <c r="AH159" i="39"/>
  <c r="AH167" i="39"/>
  <c r="AH175" i="39"/>
  <c r="AH183" i="39"/>
  <c r="AH191" i="39"/>
  <c r="AH199" i="39"/>
  <c r="AH207" i="39"/>
  <c r="AH215" i="39"/>
  <c r="AH223" i="39"/>
  <c r="AH235" i="39"/>
  <c r="AH243" i="39"/>
  <c r="AH251" i="39"/>
  <c r="AH259" i="39"/>
  <c r="AH267" i="39"/>
  <c r="AH275" i="39"/>
  <c r="AH283" i="39"/>
  <c r="AH291" i="39"/>
  <c r="AH301" i="39"/>
  <c r="AH307" i="39"/>
  <c r="AH313" i="39"/>
  <c r="AH321" i="39"/>
  <c r="AH327" i="39"/>
  <c r="AH333" i="39"/>
  <c r="AH341" i="39"/>
  <c r="AH347" i="39"/>
  <c r="AI21" i="39"/>
  <c r="AI54" i="39"/>
  <c r="AI85" i="39"/>
  <c r="AI117" i="39"/>
  <c r="AI144" i="39"/>
  <c r="AI30" i="39"/>
  <c r="AI160" i="39"/>
  <c r="AI185" i="39"/>
  <c r="AI210" i="39"/>
  <c r="AI232" i="39"/>
  <c r="AI257" i="39"/>
  <c r="AI284" i="39"/>
  <c r="AI302" i="39"/>
  <c r="AI319" i="39"/>
  <c r="AI336" i="39"/>
  <c r="AI350" i="39"/>
  <c r="AH22" i="39"/>
  <c r="AH38" i="39"/>
  <c r="AH54" i="39"/>
  <c r="AH70" i="39"/>
  <c r="AH85" i="39"/>
  <c r="AH101" i="39"/>
  <c r="AH116" i="39"/>
  <c r="AH131" i="39"/>
  <c r="AH145" i="39"/>
  <c r="AH161" i="39"/>
  <c r="AH177" i="39"/>
  <c r="AH193" i="39"/>
  <c r="AH209" i="39"/>
  <c r="AH225" i="39"/>
  <c r="AH237" i="39"/>
  <c r="AH252" i="39"/>
  <c r="AH268" i="39"/>
  <c r="AH284" i="39"/>
  <c r="AH296" i="39"/>
  <c r="AH308" i="39"/>
  <c r="AH334" i="39"/>
  <c r="AH348" i="39"/>
  <c r="AI138" i="39"/>
  <c r="AI194" i="39"/>
  <c r="AI241" i="39"/>
  <c r="AI325" i="39"/>
  <c r="AH10" i="39"/>
  <c r="AH42" i="39"/>
  <c r="AH74" i="39"/>
  <c r="AH105" i="39"/>
  <c r="AH134" i="39"/>
  <c r="AH165" i="39"/>
  <c r="AH197" i="39"/>
  <c r="AH270" i="39"/>
  <c r="AH298" i="39"/>
  <c r="AH322" i="39"/>
  <c r="AH350" i="39"/>
  <c r="AI244" i="39"/>
  <c r="AI309" i="39"/>
  <c r="AH29" i="39"/>
  <c r="AH77" i="39"/>
  <c r="AH123" i="39"/>
  <c r="AH152" i="39"/>
  <c r="AH200" i="39"/>
  <c r="AH228" i="39"/>
  <c r="AH273" i="39"/>
  <c r="AI229" i="39"/>
  <c r="AI334" i="39"/>
  <c r="AH34" i="39"/>
  <c r="AH113" i="39"/>
  <c r="AH189" i="39"/>
  <c r="AH262" i="39"/>
  <c r="AH330" i="39"/>
  <c r="AI108" i="39"/>
  <c r="AI256" i="39"/>
  <c r="AI349" i="39"/>
  <c r="AH53" i="39"/>
  <c r="AH115" i="39"/>
  <c r="AH192" i="39"/>
  <c r="AH236" i="39"/>
  <c r="AH281" i="39"/>
  <c r="AH345" i="39"/>
  <c r="AI39" i="39"/>
  <c r="AI124" i="39"/>
  <c r="AI164" i="39"/>
  <c r="AI189" i="39"/>
  <c r="AI216" i="39"/>
  <c r="AI237" i="39"/>
  <c r="AI262" i="39"/>
  <c r="AI288" i="39"/>
  <c r="AI304" i="39"/>
  <c r="AI339" i="39"/>
  <c r="AH23" i="39"/>
  <c r="AH39" i="39"/>
  <c r="AH55" i="39"/>
  <c r="AH71" i="39"/>
  <c r="AH86" i="39"/>
  <c r="AH102" i="39"/>
  <c r="AH117" i="39"/>
  <c r="AH132" i="39"/>
  <c r="AH146" i="39"/>
  <c r="AH162" i="39"/>
  <c r="AH178" i="39"/>
  <c r="AH194" i="39"/>
  <c r="AH210" i="39"/>
  <c r="AH226" i="39"/>
  <c r="AH238" i="39"/>
  <c r="AH253" i="39"/>
  <c r="AH269" i="39"/>
  <c r="AH285" i="39"/>
  <c r="AH297" i="39"/>
  <c r="AH309" i="39"/>
  <c r="AH335" i="39"/>
  <c r="AH349" i="39"/>
  <c r="AI169" i="39"/>
  <c r="AI220" i="39"/>
  <c r="AI268" i="39"/>
  <c r="AI308" i="39"/>
  <c r="AH26" i="39"/>
  <c r="AH58" i="39"/>
  <c r="AH89" i="39"/>
  <c r="AH120" i="39"/>
  <c r="AH149" i="39"/>
  <c r="AH181" i="39"/>
  <c r="AH213" i="39"/>
  <c r="AH240" i="39"/>
  <c r="AH286" i="39"/>
  <c r="AH310" i="39"/>
  <c r="AH336" i="39"/>
  <c r="AI269" i="39"/>
  <c r="AI327" i="39"/>
  <c r="AH13" i="39"/>
  <c r="AH61" i="39"/>
  <c r="AH108" i="39"/>
  <c r="AH137" i="39"/>
  <c r="AH184" i="39"/>
  <c r="AH216" i="39"/>
  <c r="AH257" i="39"/>
  <c r="AH339" i="39"/>
  <c r="AI208" i="39"/>
  <c r="AH82" i="39"/>
  <c r="AH142" i="39"/>
  <c r="AH221" i="39"/>
  <c r="AH292" i="39"/>
  <c r="AH342" i="39"/>
  <c r="AI157" i="39"/>
  <c r="AI281" i="39"/>
  <c r="AH21" i="39"/>
  <c r="AH100" i="39"/>
  <c r="AH176" i="39"/>
  <c r="AH265" i="39"/>
  <c r="AH319" i="39"/>
  <c r="AI55" i="39"/>
  <c r="AH254" i="39"/>
  <c r="AH92" i="39"/>
  <c r="AH241" i="39"/>
  <c r="AH325" i="39"/>
  <c r="AI156" i="39"/>
  <c r="AI280" i="39"/>
  <c r="AH18" i="39"/>
  <c r="AH97" i="39"/>
  <c r="AH173" i="39"/>
  <c r="AH246" i="39"/>
  <c r="AI209" i="39"/>
  <c r="AI318" i="39"/>
  <c r="AH84" i="39"/>
  <c r="AH160" i="39"/>
  <c r="AH249" i="39"/>
  <c r="AI62" i="39"/>
  <c r="AI145" i="39"/>
  <c r="AI170" i="39"/>
  <c r="AI196" i="39"/>
  <c r="AI221" i="39"/>
  <c r="AI292" i="39"/>
  <c r="AH45" i="39"/>
  <c r="AH168" i="39"/>
  <c r="AH289" i="39"/>
  <c r="AI94" i="39"/>
  <c r="AI254" i="39"/>
  <c r="AI316" i="39"/>
  <c r="AH50" i="39"/>
  <c r="AH127" i="39"/>
  <c r="AH205" i="39"/>
  <c r="AH278" i="39"/>
  <c r="AI184" i="39"/>
  <c r="AI301" i="39"/>
  <c r="AH69" i="39"/>
  <c r="AH144" i="39"/>
  <c r="AH224" i="39"/>
  <c r="AH305" i="39"/>
  <c r="AI77" i="39"/>
  <c r="AI146" i="39"/>
  <c r="AI172" i="39"/>
  <c r="AI197" i="39"/>
  <c r="AI224" i="39"/>
  <c r="AI245" i="39"/>
  <c r="AI270" i="39"/>
  <c r="AI294" i="39"/>
  <c r="AI310" i="39"/>
  <c r="AI328" i="39"/>
  <c r="AI342" i="39"/>
  <c r="AH14" i="39"/>
  <c r="AH30" i="39"/>
  <c r="AH46" i="39"/>
  <c r="AH62" i="39"/>
  <c r="AH78" i="39"/>
  <c r="AH93" i="39"/>
  <c r="AH109" i="39"/>
  <c r="AH138" i="39"/>
  <c r="AH153" i="39"/>
  <c r="AH169" i="39"/>
  <c r="AH185" i="39"/>
  <c r="AH201" i="39"/>
  <c r="AH217" i="39"/>
  <c r="AH229" i="39"/>
  <c r="AH244" i="39"/>
  <c r="AH260" i="39"/>
  <c r="AH276" i="39"/>
  <c r="AH302" i="39"/>
  <c r="AH314" i="39"/>
  <c r="AH328" i="39"/>
  <c r="AI93" i="39"/>
  <c r="AI152" i="39"/>
  <c r="AI177" i="39"/>
  <c r="AI202" i="39"/>
  <c r="AI249" i="39"/>
  <c r="AI276" i="39"/>
  <c r="AI297" i="39"/>
  <c r="AI313" i="39"/>
  <c r="AI345" i="39"/>
  <c r="AH15" i="39"/>
  <c r="AH31" i="39"/>
  <c r="AH47" i="39"/>
  <c r="AH63" i="39"/>
  <c r="AH79" i="39"/>
  <c r="AH94" i="39"/>
  <c r="AH110" i="39"/>
  <c r="AH124" i="39"/>
  <c r="AH139" i="39"/>
  <c r="AH154" i="39"/>
  <c r="AH170" i="39"/>
  <c r="AH186" i="39"/>
  <c r="AH202" i="39"/>
  <c r="AH218" i="39"/>
  <c r="AH230" i="39"/>
  <c r="AH245" i="39"/>
  <c r="AH261" i="39"/>
  <c r="AH277" i="39"/>
  <c r="AH303" i="39"/>
  <c r="AH315" i="39"/>
  <c r="AH329" i="39"/>
  <c r="AI181" i="39"/>
  <c r="AI348" i="39"/>
  <c r="AH66" i="39"/>
  <c r="AH157" i="39"/>
  <c r="AH233" i="39"/>
  <c r="AH316" i="39"/>
  <c r="AI22" i="39"/>
  <c r="AI230" i="39"/>
  <c r="AI335" i="39"/>
  <c r="AH37" i="39"/>
  <c r="AH130" i="39"/>
  <c r="AH208" i="39"/>
  <c r="AH295" i="39"/>
  <c r="AM16" i="39"/>
  <c r="AM24" i="39"/>
  <c r="AM32" i="39"/>
  <c r="AM17" i="39"/>
  <c r="AM25" i="39"/>
  <c r="AM33" i="39"/>
  <c r="AM10" i="39"/>
  <c r="AM18" i="39"/>
  <c r="AM26" i="39"/>
  <c r="AM34" i="39"/>
  <c r="AM11" i="39"/>
  <c r="AM19" i="39"/>
  <c r="AM27" i="39"/>
  <c r="AM35" i="39"/>
  <c r="AM12" i="39"/>
  <c r="AM20" i="39"/>
  <c r="AM28" i="39"/>
  <c r="AM23" i="39"/>
  <c r="AM40" i="39"/>
  <c r="AM48" i="39"/>
  <c r="AM56" i="39"/>
  <c r="AM64" i="39"/>
  <c r="AM72" i="39"/>
  <c r="AM80" i="39"/>
  <c r="AM87" i="39"/>
  <c r="AM95" i="39"/>
  <c r="AM103" i="39"/>
  <c r="AM111" i="39"/>
  <c r="AM118" i="39"/>
  <c r="AM125" i="39"/>
  <c r="AM133" i="39"/>
  <c r="AM140" i="39"/>
  <c r="AM147" i="39"/>
  <c r="AM155" i="39"/>
  <c r="AM163" i="39"/>
  <c r="AM171" i="39"/>
  <c r="AM179" i="39"/>
  <c r="AM187" i="39"/>
  <c r="AM195" i="39"/>
  <c r="AM203" i="39"/>
  <c r="AM211" i="39"/>
  <c r="AM219" i="39"/>
  <c r="AM227" i="39"/>
  <c r="AM231" i="39"/>
  <c r="AM239" i="39"/>
  <c r="AM247" i="39"/>
  <c r="AM255" i="39"/>
  <c r="AM263" i="39"/>
  <c r="AM271" i="39"/>
  <c r="AM279" i="39"/>
  <c r="AM287" i="39"/>
  <c r="AM293" i="39"/>
  <c r="AM299" i="39"/>
  <c r="AM311" i="39"/>
  <c r="AM317" i="39"/>
  <c r="AM323" i="39"/>
  <c r="AM331" i="39"/>
  <c r="AM337" i="39"/>
  <c r="AM343" i="39"/>
  <c r="AM351" i="39"/>
  <c r="AL16" i="39"/>
  <c r="AL24" i="39"/>
  <c r="AL32" i="39"/>
  <c r="AL40" i="39"/>
  <c r="AL48" i="39"/>
  <c r="AL56" i="39"/>
  <c r="AL64" i="39"/>
  <c r="AL72" i="39"/>
  <c r="AL80" i="39"/>
  <c r="AL87" i="39"/>
  <c r="AL95" i="39"/>
  <c r="AL103" i="39"/>
  <c r="AL111" i="39"/>
  <c r="AL118" i="39"/>
  <c r="AL125" i="39"/>
  <c r="AL133" i="39"/>
  <c r="AL140" i="39"/>
  <c r="AL147" i="39"/>
  <c r="AL155" i="39"/>
  <c r="AL163" i="39"/>
  <c r="AL171" i="39"/>
  <c r="AL179" i="39"/>
  <c r="AL187" i="39"/>
  <c r="AL195" i="39"/>
  <c r="AL203" i="39"/>
  <c r="AL211" i="39"/>
  <c r="AL219" i="39"/>
  <c r="AL227" i="39"/>
  <c r="AL231" i="39"/>
  <c r="AL239" i="39"/>
  <c r="AL247" i="39"/>
  <c r="AL255" i="39"/>
  <c r="AL263" i="39"/>
  <c r="AL271" i="39"/>
  <c r="AL279" i="39"/>
  <c r="AL287" i="39"/>
  <c r="AL293" i="39"/>
  <c r="AL299" i="39"/>
  <c r="AL311" i="39"/>
  <c r="AL317" i="39"/>
  <c r="AL323" i="39"/>
  <c r="AL331" i="39"/>
  <c r="AL337" i="39"/>
  <c r="AL343" i="39"/>
  <c r="AL351" i="39"/>
  <c r="AM29" i="39"/>
  <c r="AM41" i="39"/>
  <c r="AM49" i="39"/>
  <c r="AM57" i="39"/>
  <c r="AM65" i="39"/>
  <c r="AM73" i="39"/>
  <c r="AM81" i="39"/>
  <c r="AM88" i="39"/>
  <c r="AM96" i="39"/>
  <c r="AM104" i="39"/>
  <c r="AM112" i="39"/>
  <c r="AM119" i="39"/>
  <c r="AM126" i="39"/>
  <c r="AM141" i="39"/>
  <c r="AM148" i="39"/>
  <c r="AM156" i="39"/>
  <c r="AM164" i="39"/>
  <c r="AM172" i="39"/>
  <c r="AM180" i="39"/>
  <c r="AM188" i="39"/>
  <c r="AM196" i="39"/>
  <c r="AM204" i="39"/>
  <c r="AM212" i="39"/>
  <c r="AM220" i="39"/>
  <c r="AM232" i="39"/>
  <c r="AM240" i="39"/>
  <c r="AM248" i="39"/>
  <c r="AM256" i="39"/>
  <c r="AM264" i="39"/>
  <c r="AM272" i="39"/>
  <c r="AM280" i="39"/>
  <c r="AM288" i="39"/>
  <c r="AM294" i="39"/>
  <c r="AM304" i="39"/>
  <c r="AM318" i="39"/>
  <c r="AM324" i="39"/>
  <c r="AM338" i="39"/>
  <c r="AM344" i="39"/>
  <c r="AL17" i="39"/>
  <c r="AL25" i="39"/>
  <c r="AL33" i="39"/>
  <c r="AL41" i="39"/>
  <c r="AL49" i="39"/>
  <c r="AL57" i="39"/>
  <c r="AL65" i="39"/>
  <c r="AL73" i="39"/>
  <c r="AL81" i="39"/>
  <c r="AL88" i="39"/>
  <c r="AL96" i="39"/>
  <c r="AL104" i="39"/>
  <c r="AL112" i="39"/>
  <c r="AL119" i="39"/>
  <c r="AL126" i="39"/>
  <c r="AL141" i="39"/>
  <c r="AL148" i="39"/>
  <c r="AL156" i="39"/>
  <c r="AL164" i="39"/>
  <c r="AL172" i="39"/>
  <c r="AL180" i="39"/>
  <c r="AL188" i="39"/>
  <c r="AL196" i="39"/>
  <c r="AL204" i="39"/>
  <c r="AL212" i="39"/>
  <c r="AL220" i="39"/>
  <c r="AL232" i="39"/>
  <c r="AL240" i="39"/>
  <c r="AL248" i="39"/>
  <c r="AL256" i="39"/>
  <c r="AL264" i="39"/>
  <c r="AL272" i="39"/>
  <c r="AL280" i="39"/>
  <c r="AL288" i="39"/>
  <c r="AL294" i="39"/>
  <c r="AL304" i="39"/>
  <c r="AL318" i="39"/>
  <c r="AL324" i="39"/>
  <c r="AL338" i="39"/>
  <c r="AL344" i="39"/>
  <c r="AM30" i="39"/>
  <c r="AM42" i="39"/>
  <c r="AM50" i="39"/>
  <c r="AM58" i="39"/>
  <c r="AM66" i="39"/>
  <c r="AM74" i="39"/>
  <c r="AM82" i="39"/>
  <c r="AM89" i="39"/>
  <c r="AM97" i="39"/>
  <c r="AM105" i="39"/>
  <c r="AM113" i="39"/>
  <c r="AM120" i="39"/>
  <c r="AM127" i="39"/>
  <c r="AM134" i="39"/>
  <c r="AM142" i="39"/>
  <c r="AM149" i="39"/>
  <c r="AM157" i="39"/>
  <c r="AM165" i="39"/>
  <c r="AM173" i="39"/>
  <c r="AM181" i="39"/>
  <c r="AM189" i="39"/>
  <c r="AM197" i="39"/>
  <c r="AM205" i="39"/>
  <c r="AM213" i="39"/>
  <c r="AM221" i="39"/>
  <c r="AM233" i="39"/>
  <c r="AM241" i="39"/>
  <c r="AM249" i="39"/>
  <c r="AM257" i="39"/>
  <c r="AM265" i="39"/>
  <c r="AM273" i="39"/>
  <c r="AM281" i="39"/>
  <c r="AM289" i="39"/>
  <c r="AM295" i="39"/>
  <c r="AM305" i="39"/>
  <c r="AM319" i="39"/>
  <c r="AM325" i="39"/>
  <c r="AM339" i="39"/>
  <c r="AM345" i="39"/>
  <c r="AL10" i="39"/>
  <c r="AL18" i="39"/>
  <c r="AL26" i="39"/>
  <c r="AL34" i="39"/>
  <c r="AL42" i="39"/>
  <c r="AL50" i="39"/>
  <c r="AL58" i="39"/>
  <c r="AL66" i="39"/>
  <c r="AL7" i="39" s="1"/>
  <c r="AL74" i="39"/>
  <c r="AL82" i="39"/>
  <c r="AL89" i="39"/>
  <c r="AL97" i="39"/>
  <c r="AL105" i="39"/>
  <c r="AL113" i="39"/>
  <c r="AL120" i="39"/>
  <c r="AL127" i="39"/>
  <c r="AL134" i="39"/>
  <c r="AL142" i="39"/>
  <c r="AL149" i="39"/>
  <c r="AL157" i="39"/>
  <c r="AL165" i="39"/>
  <c r="AL173" i="39"/>
  <c r="AL181" i="39"/>
  <c r="AL189" i="39"/>
  <c r="AL197" i="39"/>
  <c r="AL205" i="39"/>
  <c r="AL213" i="39"/>
  <c r="AL221" i="39"/>
  <c r="AL233" i="39"/>
  <c r="AL241" i="39"/>
  <c r="AL249" i="39"/>
  <c r="AL257" i="39"/>
  <c r="AL265" i="39"/>
  <c r="AL273" i="39"/>
  <c r="AL281" i="39"/>
  <c r="AL289" i="39"/>
  <c r="AL295" i="39"/>
  <c r="AL305" i="39"/>
  <c r="AL319" i="39"/>
  <c r="AL325" i="39"/>
  <c r="AL339" i="39"/>
  <c r="AL345" i="39"/>
  <c r="AM13" i="39"/>
  <c r="AM31" i="39"/>
  <c r="AM43" i="39"/>
  <c r="AM51" i="39"/>
  <c r="AM59" i="39"/>
  <c r="AM67" i="39"/>
  <c r="AM75" i="39"/>
  <c r="AM83" i="39"/>
  <c r="AM90" i="39"/>
  <c r="AM98" i="39"/>
  <c r="AM106" i="39"/>
  <c r="AM121" i="39"/>
  <c r="AM128" i="39"/>
  <c r="AM135" i="39"/>
  <c r="AM143" i="39"/>
  <c r="AM150" i="39"/>
  <c r="AM158" i="39"/>
  <c r="AM166" i="39"/>
  <c r="AM174" i="39"/>
  <c r="AM182" i="39"/>
  <c r="AM190" i="39"/>
  <c r="AM198" i="39"/>
  <c r="AM206" i="39"/>
  <c r="AM214" i="39"/>
  <c r="AM222" i="39"/>
  <c r="AM234" i="39"/>
  <c r="AM242" i="39"/>
  <c r="AM250" i="39"/>
  <c r="AM258" i="39"/>
  <c r="AM266" i="39"/>
  <c r="AM274" i="39"/>
  <c r="AM282" i="39"/>
  <c r="AM290" i="39"/>
  <c r="AM300" i="39"/>
  <c r="AM306" i="39"/>
  <c r="AM312" i="39"/>
  <c r="AM320" i="39"/>
  <c r="AM326" i="39"/>
  <c r="AM332" i="39"/>
  <c r="AM340" i="39"/>
  <c r="AM346" i="39"/>
  <c r="AL11" i="39"/>
  <c r="AL19" i="39"/>
  <c r="AL27" i="39"/>
  <c r="AL35" i="39"/>
  <c r="AL43" i="39"/>
  <c r="AL51" i="39"/>
  <c r="AL59" i="39"/>
  <c r="AL67" i="39"/>
  <c r="AL75" i="39"/>
  <c r="AL83" i="39"/>
  <c r="AL90" i="39"/>
  <c r="AL98" i="39"/>
  <c r="AL106" i="39"/>
  <c r="AL121" i="39"/>
  <c r="AL128" i="39"/>
  <c r="AL135" i="39"/>
  <c r="AL143" i="39"/>
  <c r="AL150" i="39"/>
  <c r="AL158" i="39"/>
  <c r="AL166" i="39"/>
  <c r="AL174" i="39"/>
  <c r="AL182" i="39"/>
  <c r="AL190" i="39"/>
  <c r="AL198" i="39"/>
  <c r="AL206" i="39"/>
  <c r="AL214" i="39"/>
  <c r="AL222" i="39"/>
  <c r="AL234" i="39"/>
  <c r="AL242" i="39"/>
  <c r="AL250" i="39"/>
  <c r="AL258" i="39"/>
  <c r="AL266" i="39"/>
  <c r="AL274" i="39"/>
  <c r="AL282" i="39"/>
  <c r="AL290" i="39"/>
  <c r="AL300" i="39"/>
  <c r="AL306" i="39"/>
  <c r="AL312" i="39"/>
  <c r="AL320" i="39"/>
  <c r="AL326" i="39"/>
  <c r="AL332" i="39"/>
  <c r="AL340" i="39"/>
  <c r="AL346" i="39"/>
  <c r="AM14" i="39"/>
  <c r="AM36" i="39"/>
  <c r="AM44" i="39"/>
  <c r="AM52" i="39"/>
  <c r="AM60" i="39"/>
  <c r="AM68" i="39"/>
  <c r="AM76" i="39"/>
  <c r="AM91" i="39"/>
  <c r="AM99" i="39"/>
  <c r="AM107" i="39"/>
  <c r="AM114" i="39"/>
  <c r="AM122" i="39"/>
  <c r="AM129" i="39"/>
  <c r="AM136" i="39"/>
  <c r="AM151" i="39"/>
  <c r="AM159" i="39"/>
  <c r="AM167" i="39"/>
  <c r="AM175" i="39"/>
  <c r="AM183" i="39"/>
  <c r="AM191" i="39"/>
  <c r="AM199" i="39"/>
  <c r="AM207" i="39"/>
  <c r="AM215" i="39"/>
  <c r="AM223" i="39"/>
  <c r="AM235" i="39"/>
  <c r="AM243" i="39"/>
  <c r="AM251" i="39"/>
  <c r="AM259" i="39"/>
  <c r="AM267" i="39"/>
  <c r="AM275" i="39"/>
  <c r="AM283" i="39"/>
  <c r="AM291" i="39"/>
  <c r="AM301" i="39"/>
  <c r="AM307" i="39"/>
  <c r="AM313" i="39"/>
  <c r="AM321" i="39"/>
  <c r="AM327" i="39"/>
  <c r="AM333" i="39"/>
  <c r="AM341" i="39"/>
  <c r="AM347" i="39"/>
  <c r="AL12" i="39"/>
  <c r="AL20" i="39"/>
  <c r="AL28" i="39"/>
  <c r="AL36" i="39"/>
  <c r="AL44" i="39"/>
  <c r="AL52" i="39"/>
  <c r="AL60" i="39"/>
  <c r="AL68" i="39"/>
  <c r="AL76" i="39"/>
  <c r="AL91" i="39"/>
  <c r="AL99" i="39"/>
  <c r="AL107" i="39"/>
  <c r="AL114" i="39"/>
  <c r="AL122" i="39"/>
  <c r="AL129" i="39"/>
  <c r="AL136" i="39"/>
  <c r="AL151" i="39"/>
  <c r="AL159" i="39"/>
  <c r="AL167" i="39"/>
  <c r="AL175" i="39"/>
  <c r="AL183" i="39"/>
  <c r="AL191" i="39"/>
  <c r="AL199" i="39"/>
  <c r="AL207" i="39"/>
  <c r="AL215" i="39"/>
  <c r="AL223" i="39"/>
  <c r="AL235" i="39"/>
  <c r="AL243" i="39"/>
  <c r="AL251" i="39"/>
  <c r="AL259" i="39"/>
  <c r="AL267" i="39"/>
  <c r="AL275" i="39"/>
  <c r="AL283" i="39"/>
  <c r="AL291" i="39"/>
  <c r="AL301" i="39"/>
  <c r="AL307" i="39"/>
  <c r="AL313" i="39"/>
  <c r="AL321" i="39"/>
  <c r="AL327" i="39"/>
  <c r="AL333" i="39"/>
  <c r="AL341" i="39"/>
  <c r="AL347" i="39"/>
  <c r="AM21" i="39"/>
  <c r="AM53" i="39"/>
  <c r="AM71" i="39"/>
  <c r="AM22" i="39"/>
  <c r="AM54" i="39"/>
  <c r="AM77" i="39"/>
  <c r="AM94" i="39"/>
  <c r="AM116" i="39"/>
  <c r="AM137" i="39"/>
  <c r="AM154" i="39"/>
  <c r="AM177" i="39"/>
  <c r="AM200" i="39"/>
  <c r="AM218" i="39"/>
  <c r="AM237" i="39"/>
  <c r="AM260" i="39"/>
  <c r="AM278" i="39"/>
  <c r="AM297" i="39"/>
  <c r="AM314" i="39"/>
  <c r="AM330" i="39"/>
  <c r="AM349" i="39"/>
  <c r="AL23" i="39"/>
  <c r="AL46" i="39"/>
  <c r="AL69" i="39"/>
  <c r="AL86" i="39"/>
  <c r="AL109" i="39"/>
  <c r="AL130" i="39"/>
  <c r="AL146" i="39"/>
  <c r="AL169" i="39"/>
  <c r="AL192" i="39"/>
  <c r="AL210" i="39"/>
  <c r="AL229" i="39"/>
  <c r="AL252" i="39"/>
  <c r="AL270" i="39"/>
  <c r="AL308" i="39"/>
  <c r="AL322" i="39"/>
  <c r="AM37" i="39"/>
  <c r="AM55" i="39"/>
  <c r="AM78" i="39"/>
  <c r="AM39" i="39"/>
  <c r="AM62" i="39"/>
  <c r="AM84" i="39"/>
  <c r="AM102" i="39"/>
  <c r="AM144" i="39"/>
  <c r="AM162" i="39"/>
  <c r="AM185" i="39"/>
  <c r="AM208" i="39"/>
  <c r="AM226" i="39"/>
  <c r="AM245" i="39"/>
  <c r="AM268" i="39"/>
  <c r="AM286" i="39"/>
  <c r="AM303" i="39"/>
  <c r="AM336" i="39"/>
  <c r="AL13" i="39"/>
  <c r="AL31" i="39"/>
  <c r="AL54" i="39"/>
  <c r="AL77" i="39"/>
  <c r="AL94" i="39"/>
  <c r="AL116" i="39"/>
  <c r="AL137" i="39"/>
  <c r="AL154" i="39"/>
  <c r="AL177" i="39"/>
  <c r="AL200" i="39"/>
  <c r="AL218" i="39"/>
  <c r="AL237" i="39"/>
  <c r="AL260" i="39"/>
  <c r="AL278" i="39"/>
  <c r="AL297" i="39"/>
  <c r="AL314" i="39"/>
  <c r="AL330" i="39"/>
  <c r="AL349" i="39"/>
  <c r="AM45" i="39"/>
  <c r="AM63" i="39"/>
  <c r="AM85" i="39"/>
  <c r="AM108" i="39"/>
  <c r="AM124" i="39"/>
  <c r="AM145" i="39"/>
  <c r="AM168" i="39"/>
  <c r="AM186" i="39"/>
  <c r="AM209" i="39"/>
  <c r="AM228" i="39"/>
  <c r="AM246" i="39"/>
  <c r="AM269" i="39"/>
  <c r="AL14" i="39"/>
  <c r="AL37" i="39"/>
  <c r="AL55" i="39"/>
  <c r="AL78" i="39"/>
  <c r="AL100" i="39"/>
  <c r="AL117" i="39"/>
  <c r="AL138" i="39"/>
  <c r="AL160" i="39"/>
  <c r="AL178" i="39"/>
  <c r="AL201" i="39"/>
  <c r="AL224" i="39"/>
  <c r="AL238" i="39"/>
  <c r="AL261" i="39"/>
  <c r="AL284" i="39"/>
  <c r="AL298" i="39"/>
  <c r="AL315" i="39"/>
  <c r="AL334" i="39"/>
  <c r="AL350" i="39"/>
  <c r="AM61" i="39"/>
  <c r="AM101" i="39"/>
  <c r="AM132" i="39"/>
  <c r="AM169" i="39"/>
  <c r="AM201" i="39"/>
  <c r="AM230" i="39"/>
  <c r="AM262" i="39"/>
  <c r="AM296" i="39"/>
  <c r="AM322" i="39"/>
  <c r="AM350" i="39"/>
  <c r="AL15" i="39"/>
  <c r="AL47" i="39"/>
  <c r="AL84" i="39"/>
  <c r="AL115" i="39"/>
  <c r="AL145" i="39"/>
  <c r="AL184" i="39"/>
  <c r="AL216" i="39"/>
  <c r="AL245" i="39"/>
  <c r="AL277" i="39"/>
  <c r="AL335" i="39"/>
  <c r="AM69" i="39"/>
  <c r="AM109" i="39"/>
  <c r="AM138" i="39"/>
  <c r="AM170" i="39"/>
  <c r="AM202" i="39"/>
  <c r="AM236" i="39"/>
  <c r="AM270" i="39"/>
  <c r="AM298" i="39"/>
  <c r="AM328" i="39"/>
  <c r="AL21" i="39"/>
  <c r="AL53" i="39"/>
  <c r="AL85" i="39"/>
  <c r="AL123" i="39"/>
  <c r="AL152" i="39"/>
  <c r="AL185" i="39"/>
  <c r="AL217" i="39"/>
  <c r="AL246" i="39"/>
  <c r="AL285" i="39"/>
  <c r="AL309" i="39"/>
  <c r="AL336" i="39"/>
  <c r="AM70" i="39"/>
  <c r="AM110" i="39"/>
  <c r="AM139" i="39"/>
  <c r="AM176" i="39"/>
  <c r="AM210" i="39"/>
  <c r="AM238" i="39"/>
  <c r="AM276" i="39"/>
  <c r="AM302" i="39"/>
  <c r="AM329" i="39"/>
  <c r="AL22" i="39"/>
  <c r="AL61" i="39"/>
  <c r="AL92" i="39"/>
  <c r="AL153" i="39"/>
  <c r="AL186" i="39"/>
  <c r="AL225" i="39"/>
  <c r="AL253" i="39"/>
  <c r="AL286" i="39"/>
  <c r="AL310" i="39"/>
  <c r="AM15" i="39"/>
  <c r="AM86" i="39"/>
  <c r="AM117" i="39"/>
  <c r="AM152" i="39"/>
  <c r="AM184" i="39"/>
  <c r="AM217" i="39"/>
  <c r="AM252" i="39"/>
  <c r="AM284" i="39"/>
  <c r="AM309" i="39"/>
  <c r="AM335" i="39"/>
  <c r="AL30" i="39"/>
  <c r="AL63" i="39"/>
  <c r="AL101" i="39"/>
  <c r="AL131" i="39"/>
  <c r="AL162" i="39"/>
  <c r="AL194" i="39"/>
  <c r="AL228" i="39"/>
  <c r="AL262" i="39"/>
  <c r="AL292" i="39"/>
  <c r="AL348" i="39"/>
  <c r="AM38" i="39"/>
  <c r="AM92" i="39"/>
  <c r="AM123" i="39"/>
  <c r="AM153" i="39"/>
  <c r="AM192" i="39"/>
  <c r="AM224" i="39"/>
  <c r="AM253" i="39"/>
  <c r="AM285" i="39"/>
  <c r="AM310" i="39"/>
  <c r="AL38" i="39"/>
  <c r="AL70" i="39"/>
  <c r="AL102" i="39"/>
  <c r="AL132" i="39"/>
  <c r="AL168" i="39"/>
  <c r="AL202" i="39"/>
  <c r="AL230" i="39"/>
  <c r="AL268" i="39"/>
  <c r="AL296" i="39"/>
  <c r="AM46" i="39"/>
  <c r="AM93" i="39"/>
  <c r="AM130" i="39"/>
  <c r="AM160" i="39"/>
  <c r="AM193" i="39"/>
  <c r="AM225" i="39"/>
  <c r="AM254" i="39"/>
  <c r="AM315" i="39"/>
  <c r="AM342" i="39"/>
  <c r="AL39" i="39"/>
  <c r="AL71" i="39"/>
  <c r="AL108" i="39"/>
  <c r="AL139" i="39"/>
  <c r="AL170" i="39"/>
  <c r="AL208" i="39"/>
  <c r="AL236" i="39"/>
  <c r="AL269" i="39"/>
  <c r="AL302" i="39"/>
  <c r="AL328" i="39"/>
  <c r="AM146" i="39"/>
  <c r="AM277" i="39"/>
  <c r="AL62" i="39"/>
  <c r="AL193" i="39"/>
  <c r="AL316" i="39"/>
  <c r="AM308" i="39"/>
  <c r="AL93" i="39"/>
  <c r="AL342" i="39"/>
  <c r="AL176" i="39"/>
  <c r="AM161" i="39"/>
  <c r="AM292" i="39"/>
  <c r="AL79" i="39"/>
  <c r="AL209" i="39"/>
  <c r="AL329" i="39"/>
  <c r="AM178" i="39"/>
  <c r="AL226" i="39"/>
  <c r="AL244" i="39"/>
  <c r="AM131" i="39"/>
  <c r="AL45" i="39"/>
  <c r="AM244" i="39"/>
  <c r="AL29" i="39"/>
  <c r="AM47" i="39"/>
  <c r="AM194" i="39"/>
  <c r="AM316" i="39"/>
  <c r="AL110" i="39"/>
  <c r="AM115" i="39"/>
  <c r="AL161" i="39"/>
  <c r="AM261" i="39"/>
  <c r="AL303" i="39"/>
  <c r="AM79" i="39"/>
  <c r="AM216" i="39"/>
  <c r="AM334" i="39"/>
  <c r="AL124" i="39"/>
  <c r="AL254" i="39"/>
  <c r="AM100" i="39"/>
  <c r="AM229" i="39"/>
  <c r="AM348" i="39"/>
  <c r="AL144" i="39"/>
  <c r="AL276" i="39"/>
  <c r="AA351" i="39"/>
  <c r="AC351" i="39" s="1"/>
  <c r="AA343" i="39"/>
  <c r="AC343" i="39" s="1"/>
  <c r="AA337" i="39"/>
  <c r="AC337" i="39" s="1"/>
  <c r="AA331" i="39"/>
  <c r="AC331" i="39" s="1"/>
  <c r="AA323" i="39"/>
  <c r="AC323" i="39" s="1"/>
  <c r="AA317" i="39"/>
  <c r="AC317" i="39" s="1"/>
  <c r="AA311" i="39"/>
  <c r="AC311" i="39" s="1"/>
  <c r="AA299" i="39"/>
  <c r="AC299" i="39" s="1"/>
  <c r="AA293" i="39"/>
  <c r="AC293" i="39" s="1"/>
  <c r="AA287" i="39"/>
  <c r="AC287" i="39" s="1"/>
  <c r="AA279" i="39"/>
  <c r="AC279" i="39" s="1"/>
  <c r="AA271" i="39"/>
  <c r="AC271" i="39" s="1"/>
  <c r="AA263" i="39"/>
  <c r="AC263" i="39" s="1"/>
  <c r="AA255" i="39"/>
  <c r="AC255" i="39" s="1"/>
  <c r="AA247" i="39"/>
  <c r="AC247" i="39" s="1"/>
  <c r="AA239" i="39"/>
  <c r="AC239" i="39" s="1"/>
  <c r="AA231" i="39"/>
  <c r="AC231" i="39" s="1"/>
  <c r="AA227" i="39"/>
  <c r="AC227" i="39" s="1"/>
  <c r="AA219" i="39"/>
  <c r="AC219" i="39" s="1"/>
  <c r="AA211" i="39"/>
  <c r="AC211" i="39" s="1"/>
  <c r="AA203" i="39"/>
  <c r="AC203" i="39" s="1"/>
  <c r="AA195" i="39"/>
  <c r="AC195" i="39" s="1"/>
  <c r="AA187" i="39"/>
  <c r="AC187" i="39" s="1"/>
  <c r="AA179" i="39"/>
  <c r="AC179" i="39" s="1"/>
  <c r="AA350" i="39"/>
  <c r="AC350" i="39" s="1"/>
  <c r="AA342" i="39"/>
  <c r="AC342" i="39" s="1"/>
  <c r="AA336" i="39"/>
  <c r="AC336" i="39" s="1"/>
  <c r="AA330" i="39"/>
  <c r="AC330" i="39" s="1"/>
  <c r="AA322" i="39"/>
  <c r="AC322" i="39" s="1"/>
  <c r="AA316" i="39"/>
  <c r="AC316" i="39" s="1"/>
  <c r="AA310" i="39"/>
  <c r="AC310" i="39" s="1"/>
  <c r="AA298" i="39"/>
  <c r="AC298" i="39" s="1"/>
  <c r="AA292" i="39"/>
  <c r="AC292" i="39" s="1"/>
  <c r="AA286" i="39"/>
  <c r="AC286" i="39" s="1"/>
  <c r="AA278" i="39"/>
  <c r="AC278" i="39" s="1"/>
  <c r="AA270" i="39"/>
  <c r="AC270" i="39" s="1"/>
  <c r="AA262" i="39"/>
  <c r="AC262" i="39" s="1"/>
  <c r="AA254" i="39"/>
  <c r="AC254" i="39" s="1"/>
  <c r="AA246" i="39"/>
  <c r="AC246" i="39" s="1"/>
  <c r="AA238" i="39"/>
  <c r="AC238" i="39" s="1"/>
  <c r="AA230" i="39"/>
  <c r="AC230" i="39" s="1"/>
  <c r="AA226" i="39"/>
  <c r="AC226" i="39" s="1"/>
  <c r="AA218" i="39"/>
  <c r="AC218" i="39" s="1"/>
  <c r="AA210" i="39"/>
  <c r="AC210" i="39" s="1"/>
  <c r="AA202" i="39"/>
  <c r="AC202" i="39" s="1"/>
  <c r="AA194" i="39"/>
  <c r="AC194" i="39" s="1"/>
  <c r="AA186" i="39"/>
  <c r="AC186" i="39" s="1"/>
  <c r="AA349" i="39"/>
  <c r="AC349" i="39" s="1"/>
  <c r="AA335" i="39"/>
  <c r="AC335" i="39" s="1"/>
  <c r="AA329" i="39"/>
  <c r="AC329" i="39" s="1"/>
  <c r="AA315" i="39"/>
  <c r="AC315" i="39" s="1"/>
  <c r="AA309" i="39"/>
  <c r="AC309" i="39" s="1"/>
  <c r="AA303" i="39"/>
  <c r="AC303" i="39" s="1"/>
  <c r="AA297" i="39"/>
  <c r="AC297" i="39" s="1"/>
  <c r="AA285" i="39"/>
  <c r="AC285" i="39" s="1"/>
  <c r="AA277" i="39"/>
  <c r="AC277" i="39" s="1"/>
  <c r="AA269" i="39"/>
  <c r="AC269" i="39" s="1"/>
  <c r="AA261" i="39"/>
  <c r="AC261" i="39" s="1"/>
  <c r="AA253" i="39"/>
  <c r="AC253" i="39" s="1"/>
  <c r="AA245" i="39"/>
  <c r="AC245" i="39" s="1"/>
  <c r="AA237" i="39"/>
  <c r="AC237" i="39" s="1"/>
  <c r="AA229" i="39"/>
  <c r="AC229" i="39" s="1"/>
  <c r="AA225" i="39"/>
  <c r="AC225" i="39" s="1"/>
  <c r="AA217" i="39"/>
  <c r="AC217" i="39" s="1"/>
  <c r="AA209" i="39"/>
  <c r="AC209" i="39" s="1"/>
  <c r="AA201" i="39"/>
  <c r="AC201" i="39" s="1"/>
  <c r="AA193" i="39"/>
  <c r="AC193" i="39" s="1"/>
  <c r="AA185" i="39"/>
  <c r="AC185" i="39" s="1"/>
  <c r="AA348" i="39"/>
  <c r="AC348" i="39" s="1"/>
  <c r="AA334" i="39"/>
  <c r="AC334" i="39" s="1"/>
  <c r="AA328" i="39"/>
  <c r="AC328" i="39" s="1"/>
  <c r="AA314" i="39"/>
  <c r="AC314" i="39" s="1"/>
  <c r="AA308" i="39"/>
  <c r="AC308" i="39" s="1"/>
  <c r="AA302" i="39"/>
  <c r="AC302" i="39" s="1"/>
  <c r="AA296" i="39"/>
  <c r="AC296" i="39" s="1"/>
  <c r="AA284" i="39"/>
  <c r="AC284" i="39" s="1"/>
  <c r="AA276" i="39"/>
  <c r="AC276" i="39" s="1"/>
  <c r="AA268" i="39"/>
  <c r="AC268" i="39" s="1"/>
  <c r="AA260" i="39"/>
  <c r="AC260" i="39" s="1"/>
  <c r="AA252" i="39"/>
  <c r="AC252" i="39" s="1"/>
  <c r="AA244" i="39"/>
  <c r="AC244" i="39" s="1"/>
  <c r="AA236" i="39"/>
  <c r="AC236" i="39" s="1"/>
  <c r="AA228" i="39"/>
  <c r="AC228" i="39" s="1"/>
  <c r="AA224" i="39"/>
  <c r="AC224" i="39" s="1"/>
  <c r="AA216" i="39"/>
  <c r="AC216" i="39" s="1"/>
  <c r="AA208" i="39"/>
  <c r="AC208" i="39" s="1"/>
  <c r="AA200" i="39"/>
  <c r="AC200" i="39" s="1"/>
  <c r="AA192" i="39"/>
  <c r="AC192" i="39" s="1"/>
  <c r="AA184" i="39"/>
  <c r="AC184" i="39" s="1"/>
  <c r="AA347" i="39"/>
  <c r="AC347" i="39" s="1"/>
  <c r="AA341" i="39"/>
  <c r="AC341" i="39" s="1"/>
  <c r="AA333" i="39"/>
  <c r="AC333" i="39" s="1"/>
  <c r="AA327" i="39"/>
  <c r="AC327" i="39" s="1"/>
  <c r="AA321" i="39"/>
  <c r="AC321" i="39" s="1"/>
  <c r="AA313" i="39"/>
  <c r="AC313" i="39" s="1"/>
  <c r="AA307" i="39"/>
  <c r="AC307" i="39" s="1"/>
  <c r="AA301" i="39"/>
  <c r="AC301" i="39" s="1"/>
  <c r="AA291" i="39"/>
  <c r="AC291" i="39" s="1"/>
  <c r="AA283" i="39"/>
  <c r="AC283" i="39" s="1"/>
  <c r="AA275" i="39"/>
  <c r="AC275" i="39" s="1"/>
  <c r="AA267" i="39"/>
  <c r="AC267" i="39" s="1"/>
  <c r="AA259" i="39"/>
  <c r="AC259" i="39" s="1"/>
  <c r="AA251" i="39"/>
  <c r="AC251" i="39" s="1"/>
  <c r="AA243" i="39"/>
  <c r="AC243" i="39" s="1"/>
  <c r="AA235" i="39"/>
  <c r="AC235" i="39" s="1"/>
  <c r="AA223" i="39"/>
  <c r="AC223" i="39" s="1"/>
  <c r="AA215" i="39"/>
  <c r="AC215" i="39" s="1"/>
  <c r="AA207" i="39"/>
  <c r="AC207" i="39" s="1"/>
  <c r="AA199" i="39"/>
  <c r="AC199" i="39" s="1"/>
  <c r="AA191" i="39"/>
  <c r="AC191" i="39" s="1"/>
  <c r="AA183" i="39"/>
  <c r="AC183" i="39" s="1"/>
  <c r="AA346" i="39"/>
  <c r="AC346" i="39" s="1"/>
  <c r="AA280" i="39"/>
  <c r="AC280" i="39" s="1"/>
  <c r="AA257" i="39"/>
  <c r="AC257" i="39" s="1"/>
  <c r="AA234" i="39"/>
  <c r="AC234" i="39" s="1"/>
  <c r="AA220" i="39"/>
  <c r="AC220" i="39" s="1"/>
  <c r="AA197" i="39"/>
  <c r="AC197" i="39" s="1"/>
  <c r="AA178" i="39"/>
  <c r="AC178" i="39" s="1"/>
  <c r="AA170" i="39"/>
  <c r="AC170" i="39" s="1"/>
  <c r="AA162" i="39"/>
  <c r="AC162" i="39" s="1"/>
  <c r="AA154" i="39"/>
  <c r="AC154" i="39" s="1"/>
  <c r="AA146" i="39"/>
  <c r="AC146" i="39" s="1"/>
  <c r="AA139" i="39"/>
  <c r="AC139" i="39" s="1"/>
  <c r="AA132" i="39"/>
  <c r="AC132" i="39" s="1"/>
  <c r="AA124" i="39"/>
  <c r="AC124" i="39" s="1"/>
  <c r="AA117" i="39"/>
  <c r="AC117" i="39" s="1"/>
  <c r="AA110" i="39"/>
  <c r="AC110" i="39" s="1"/>
  <c r="AA102" i="39"/>
  <c r="AC102" i="39" s="1"/>
  <c r="AA94" i="39"/>
  <c r="AC94" i="39" s="1"/>
  <c r="AA86" i="39"/>
  <c r="AC86" i="39" s="1"/>
  <c r="AA79" i="39"/>
  <c r="AC79" i="39" s="1"/>
  <c r="AA71" i="39"/>
  <c r="AC71" i="39" s="1"/>
  <c r="AA63" i="39"/>
  <c r="AC63" i="39" s="1"/>
  <c r="AA55" i="39"/>
  <c r="AC55" i="39" s="1"/>
  <c r="AA47" i="39"/>
  <c r="AC47" i="39" s="1"/>
  <c r="AA39" i="39"/>
  <c r="AC39" i="39" s="1"/>
  <c r="AA31" i="39"/>
  <c r="AC31" i="39" s="1"/>
  <c r="AA23" i="39"/>
  <c r="AC23" i="39" s="1"/>
  <c r="AA15" i="39"/>
  <c r="AC15" i="39" s="1"/>
  <c r="Z346" i="39"/>
  <c r="AB346" i="39" s="1"/>
  <c r="Z340" i="39"/>
  <c r="AB340" i="39" s="1"/>
  <c r="Z332" i="39"/>
  <c r="AB332" i="39" s="1"/>
  <c r="Z326" i="39"/>
  <c r="AB326" i="39" s="1"/>
  <c r="Z320" i="39"/>
  <c r="AB320" i="39" s="1"/>
  <c r="Z312" i="39"/>
  <c r="AB312" i="39" s="1"/>
  <c r="Z306" i="39"/>
  <c r="AB306" i="39" s="1"/>
  <c r="Z300" i="39"/>
  <c r="AB300" i="39" s="1"/>
  <c r="Z290" i="39"/>
  <c r="AB290" i="39" s="1"/>
  <c r="Z282" i="39"/>
  <c r="AB282" i="39" s="1"/>
  <c r="Z274" i="39"/>
  <c r="AB274" i="39" s="1"/>
  <c r="Z266" i="39"/>
  <c r="AB266" i="39" s="1"/>
  <c r="Z258" i="39"/>
  <c r="AB258" i="39" s="1"/>
  <c r="Z250" i="39"/>
  <c r="AB250" i="39" s="1"/>
  <c r="Z242" i="39"/>
  <c r="AB242" i="39" s="1"/>
  <c r="Z234" i="39"/>
  <c r="AB234" i="39" s="1"/>
  <c r="Z222" i="39"/>
  <c r="AB222" i="39" s="1"/>
  <c r="Z214" i="39"/>
  <c r="AB214" i="39" s="1"/>
  <c r="Z206" i="39"/>
  <c r="AB206" i="39" s="1"/>
  <c r="Z198" i="39"/>
  <c r="AB198" i="39" s="1"/>
  <c r="Z190" i="39"/>
  <c r="AB190" i="39" s="1"/>
  <c r="Z182" i="39"/>
  <c r="AB182" i="39" s="1"/>
  <c r="Z174" i="39"/>
  <c r="AB174" i="39" s="1"/>
  <c r="Z166" i="39"/>
  <c r="AB166" i="39" s="1"/>
  <c r="Z158" i="39"/>
  <c r="AB158" i="39" s="1"/>
  <c r="Z150" i="39"/>
  <c r="AB150" i="39" s="1"/>
  <c r="Z143" i="39"/>
  <c r="AB143" i="39" s="1"/>
  <c r="Z135" i="39"/>
  <c r="AB135" i="39" s="1"/>
  <c r="Z128" i="39"/>
  <c r="AB128" i="39" s="1"/>
  <c r="Z121" i="39"/>
  <c r="AB121" i="39" s="1"/>
  <c r="Z106" i="39"/>
  <c r="AB106" i="39" s="1"/>
  <c r="Z98" i="39"/>
  <c r="AB98" i="39" s="1"/>
  <c r="Z90" i="39"/>
  <c r="AB90" i="39" s="1"/>
  <c r="Z83" i="39"/>
  <c r="AB83" i="39" s="1"/>
  <c r="Z75" i="39"/>
  <c r="AB75" i="39" s="1"/>
  <c r="Z67" i="39"/>
  <c r="AB67" i="39" s="1"/>
  <c r="Z59" i="39"/>
  <c r="AB59" i="39" s="1"/>
  <c r="Z51" i="39"/>
  <c r="AB51" i="39" s="1"/>
  <c r="Z43" i="39"/>
  <c r="AB43" i="39" s="1"/>
  <c r="Z35" i="39"/>
  <c r="AB35" i="39" s="1"/>
  <c r="Z27" i="39"/>
  <c r="AB27" i="39" s="1"/>
  <c r="Z19" i="39"/>
  <c r="AB19" i="39" s="1"/>
  <c r="Z11" i="39"/>
  <c r="AB11" i="39" s="1"/>
  <c r="AA345" i="39"/>
  <c r="AC345" i="39" s="1"/>
  <c r="AA326" i="39"/>
  <c r="AC326" i="39" s="1"/>
  <c r="AA295" i="39"/>
  <c r="AC295" i="39" s="1"/>
  <c r="AA274" i="39"/>
  <c r="AC274" i="39" s="1"/>
  <c r="AA256" i="39"/>
  <c r="AC256" i="39" s="1"/>
  <c r="AA233" i="39"/>
  <c r="AC233" i="39" s="1"/>
  <c r="AA214" i="39"/>
  <c r="AC214" i="39" s="1"/>
  <c r="AA196" i="39"/>
  <c r="AC196" i="39" s="1"/>
  <c r="AA177" i="39"/>
  <c r="AC177" i="39" s="1"/>
  <c r="AA169" i="39"/>
  <c r="AC169" i="39" s="1"/>
  <c r="AA161" i="39"/>
  <c r="AC161" i="39" s="1"/>
  <c r="AA153" i="39"/>
  <c r="AC153" i="39" s="1"/>
  <c r="AA145" i="39"/>
  <c r="AC145" i="39" s="1"/>
  <c r="AA138" i="39"/>
  <c r="AC138" i="39" s="1"/>
  <c r="AA131" i="39"/>
  <c r="AC131" i="39" s="1"/>
  <c r="AA116" i="39"/>
  <c r="AC116" i="39" s="1"/>
  <c r="AA109" i="39"/>
  <c r="AC109" i="39" s="1"/>
  <c r="AA101" i="39"/>
  <c r="AC101" i="39" s="1"/>
  <c r="AA93" i="39"/>
  <c r="AC93" i="39" s="1"/>
  <c r="AA85" i="39"/>
  <c r="AC85" i="39" s="1"/>
  <c r="AA78" i="39"/>
  <c r="AC78" i="39" s="1"/>
  <c r="AA70" i="39"/>
  <c r="AC70" i="39" s="1"/>
  <c r="AA62" i="39"/>
  <c r="AC62" i="39" s="1"/>
  <c r="AA54" i="39"/>
  <c r="AC54" i="39" s="1"/>
  <c r="AA46" i="39"/>
  <c r="AC46" i="39" s="1"/>
  <c r="AA38" i="39"/>
  <c r="AC38" i="39" s="1"/>
  <c r="AA30" i="39"/>
  <c r="AC30" i="39" s="1"/>
  <c r="AA22" i="39"/>
  <c r="AC22" i="39" s="1"/>
  <c r="AA14" i="39"/>
  <c r="AC14" i="39" s="1"/>
  <c r="Z345" i="39"/>
  <c r="AB345" i="39" s="1"/>
  <c r="Z339" i="39"/>
  <c r="AB339" i="39" s="1"/>
  <c r="Z325" i="39"/>
  <c r="AB325" i="39" s="1"/>
  <c r="Z319" i="39"/>
  <c r="AB319" i="39" s="1"/>
  <c r="Z305" i="39"/>
  <c r="AB305" i="39" s="1"/>
  <c r="Z295" i="39"/>
  <c r="AB295" i="39" s="1"/>
  <c r="Z289" i="39"/>
  <c r="AB289" i="39" s="1"/>
  <c r="Z281" i="39"/>
  <c r="AB281" i="39" s="1"/>
  <c r="Z273" i="39"/>
  <c r="AB273" i="39" s="1"/>
  <c r="Z265" i="39"/>
  <c r="AB265" i="39" s="1"/>
  <c r="Z257" i="39"/>
  <c r="AB257" i="39" s="1"/>
  <c r="Z249" i="39"/>
  <c r="AB249" i="39" s="1"/>
  <c r="Z241" i="39"/>
  <c r="AB241" i="39" s="1"/>
  <c r="Z233" i="39"/>
  <c r="AB233" i="39" s="1"/>
  <c r="Z221" i="39"/>
  <c r="AB221" i="39" s="1"/>
  <c r="Z213" i="39"/>
  <c r="AB213" i="39" s="1"/>
  <c r="Z205" i="39"/>
  <c r="AB205" i="39" s="1"/>
  <c r="Z197" i="39"/>
  <c r="AB197" i="39" s="1"/>
  <c r="Z189" i="39"/>
  <c r="AB189" i="39" s="1"/>
  <c r="Z181" i="39"/>
  <c r="AB181" i="39" s="1"/>
  <c r="Z173" i="39"/>
  <c r="AB173" i="39" s="1"/>
  <c r="Z165" i="39"/>
  <c r="AB165" i="39" s="1"/>
  <c r="Z157" i="39"/>
  <c r="AB157" i="39" s="1"/>
  <c r="Z149" i="39"/>
  <c r="AB149" i="39" s="1"/>
  <c r="Z142" i="39"/>
  <c r="AB142" i="39" s="1"/>
  <c r="Z134" i="39"/>
  <c r="AB134" i="39" s="1"/>
  <c r="Z127" i="39"/>
  <c r="AB127" i="39" s="1"/>
  <c r="Z120" i="39"/>
  <c r="AB120" i="39" s="1"/>
  <c r="Z113" i="39"/>
  <c r="AB113" i="39" s="1"/>
  <c r="Z105" i="39"/>
  <c r="AB105" i="39" s="1"/>
  <c r="Z97" i="39"/>
  <c r="AB97" i="39" s="1"/>
  <c r="Z89" i="39"/>
  <c r="AB89" i="39" s="1"/>
  <c r="Z82" i="39"/>
  <c r="AB82" i="39" s="1"/>
  <c r="Z74" i="39"/>
  <c r="AB74" i="39" s="1"/>
  <c r="Z66" i="39"/>
  <c r="Z58" i="39"/>
  <c r="AB58" i="39" s="1"/>
  <c r="Z50" i="39"/>
  <c r="AB50" i="39" s="1"/>
  <c r="Z42" i="39"/>
  <c r="AB42" i="39" s="1"/>
  <c r="Z34" i="39"/>
  <c r="AB34" i="39" s="1"/>
  <c r="Z26" i="39"/>
  <c r="AB26" i="39" s="1"/>
  <c r="Z18" i="39"/>
  <c r="AB18" i="39" s="1"/>
  <c r="Z10" i="39"/>
  <c r="AB10" i="39" s="1"/>
  <c r="AA344" i="39"/>
  <c r="AC344" i="39" s="1"/>
  <c r="AA325" i="39"/>
  <c r="AC325" i="39" s="1"/>
  <c r="AA306" i="39"/>
  <c r="AC306" i="39" s="1"/>
  <c r="AA294" i="39"/>
  <c r="AC294" i="39" s="1"/>
  <c r="AA273" i="39"/>
  <c r="AC273" i="39" s="1"/>
  <c r="AA250" i="39"/>
  <c r="AC250" i="39" s="1"/>
  <c r="AA232" i="39"/>
  <c r="AC232" i="39" s="1"/>
  <c r="AA213" i="39"/>
  <c r="AC213" i="39" s="1"/>
  <c r="AA190" i="39"/>
  <c r="AC190" i="39" s="1"/>
  <c r="AA176" i="39"/>
  <c r="AC176" i="39" s="1"/>
  <c r="AA168" i="39"/>
  <c r="AC168" i="39" s="1"/>
  <c r="AA160" i="39"/>
  <c r="AC160" i="39" s="1"/>
  <c r="AA152" i="39"/>
  <c r="AC152" i="39" s="1"/>
  <c r="AA144" i="39"/>
  <c r="AC144" i="39" s="1"/>
  <c r="AA137" i="39"/>
  <c r="AC137" i="39" s="1"/>
  <c r="AA130" i="39"/>
  <c r="AC130" i="39" s="1"/>
  <c r="AA123" i="39"/>
  <c r="AC123" i="39" s="1"/>
  <c r="AA115" i="39"/>
  <c r="AC115" i="39" s="1"/>
  <c r="AA108" i="39"/>
  <c r="AC108" i="39" s="1"/>
  <c r="AA100" i="39"/>
  <c r="AC100" i="39" s="1"/>
  <c r="AA92" i="39"/>
  <c r="AC92" i="39" s="1"/>
  <c r="AA84" i="39"/>
  <c r="AC84" i="39" s="1"/>
  <c r="AA77" i="39"/>
  <c r="AC77" i="39" s="1"/>
  <c r="AA69" i="39"/>
  <c r="AC69" i="39" s="1"/>
  <c r="AA61" i="39"/>
  <c r="AC61" i="39" s="1"/>
  <c r="AA53" i="39"/>
  <c r="AC53" i="39" s="1"/>
  <c r="AA45" i="39"/>
  <c r="AC45" i="39" s="1"/>
  <c r="AA37" i="39"/>
  <c r="AC37" i="39" s="1"/>
  <c r="AA29" i="39"/>
  <c r="AC29" i="39" s="1"/>
  <c r="AA21" i="39"/>
  <c r="AC21" i="39" s="1"/>
  <c r="AA13" i="39"/>
  <c r="AC13" i="39" s="1"/>
  <c r="Z344" i="39"/>
  <c r="AB344" i="39" s="1"/>
  <c r="Z338" i="39"/>
  <c r="AB338" i="39" s="1"/>
  <c r="Z324" i="39"/>
  <c r="AB324" i="39" s="1"/>
  <c r="Z318" i="39"/>
  <c r="AB318" i="39" s="1"/>
  <c r="Z304" i="39"/>
  <c r="AB304" i="39" s="1"/>
  <c r="Z294" i="39"/>
  <c r="AB294" i="39" s="1"/>
  <c r="Z288" i="39"/>
  <c r="AB288" i="39" s="1"/>
  <c r="Z280" i="39"/>
  <c r="AB280" i="39" s="1"/>
  <c r="Z272" i="39"/>
  <c r="AB272" i="39" s="1"/>
  <c r="Z264" i="39"/>
  <c r="AB264" i="39" s="1"/>
  <c r="Z256" i="39"/>
  <c r="AB256" i="39" s="1"/>
  <c r="Z248" i="39"/>
  <c r="AB248" i="39" s="1"/>
  <c r="Z240" i="39"/>
  <c r="AB240" i="39" s="1"/>
  <c r="Z232" i="39"/>
  <c r="AB232" i="39" s="1"/>
  <c r="Z220" i="39"/>
  <c r="AB220" i="39" s="1"/>
  <c r="Z212" i="39"/>
  <c r="AB212" i="39" s="1"/>
  <c r="Z204" i="39"/>
  <c r="AB204" i="39" s="1"/>
  <c r="Z196" i="39"/>
  <c r="AB196" i="39" s="1"/>
  <c r="Z188" i="39"/>
  <c r="AB188" i="39" s="1"/>
  <c r="Z180" i="39"/>
  <c r="AB180" i="39" s="1"/>
  <c r="Z172" i="39"/>
  <c r="AB172" i="39" s="1"/>
  <c r="Z164" i="39"/>
  <c r="AB164" i="39" s="1"/>
  <c r="Z156" i="39"/>
  <c r="AB156" i="39" s="1"/>
  <c r="Z148" i="39"/>
  <c r="AB148" i="39" s="1"/>
  <c r="Z141" i="39"/>
  <c r="AB141" i="39" s="1"/>
  <c r="AA340" i="39"/>
  <c r="AC340" i="39" s="1"/>
  <c r="AA324" i="39"/>
  <c r="AC324" i="39" s="1"/>
  <c r="AA305" i="39"/>
  <c r="AC305" i="39" s="1"/>
  <c r="AA290" i="39"/>
  <c r="AC290" i="39" s="1"/>
  <c r="AA272" i="39"/>
  <c r="AC272" i="39" s="1"/>
  <c r="AA249" i="39"/>
  <c r="AC249" i="39" s="1"/>
  <c r="AA212" i="39"/>
  <c r="AC212" i="39" s="1"/>
  <c r="AA189" i="39"/>
  <c r="AC189" i="39" s="1"/>
  <c r="AA175" i="39"/>
  <c r="AC175" i="39" s="1"/>
  <c r="AA167" i="39"/>
  <c r="AC167" i="39" s="1"/>
  <c r="AA159" i="39"/>
  <c r="AC159" i="39" s="1"/>
  <c r="AA151" i="39"/>
  <c r="AC151" i="39" s="1"/>
  <c r="AA136" i="39"/>
  <c r="AC136" i="39" s="1"/>
  <c r="AA129" i="39"/>
  <c r="AC129" i="39" s="1"/>
  <c r="AA122" i="39"/>
  <c r="AC122" i="39" s="1"/>
  <c r="AA114" i="39"/>
  <c r="AC114" i="39" s="1"/>
  <c r="AA107" i="39"/>
  <c r="AC107" i="39" s="1"/>
  <c r="AA99" i="39"/>
  <c r="AC99" i="39" s="1"/>
  <c r="AA91" i="39"/>
  <c r="AC91" i="39" s="1"/>
  <c r="AA76" i="39"/>
  <c r="AC76" i="39" s="1"/>
  <c r="AA68" i="39"/>
  <c r="AC68" i="39" s="1"/>
  <c r="AA60" i="39"/>
  <c r="AC60" i="39" s="1"/>
  <c r="AA52" i="39"/>
  <c r="AC52" i="39" s="1"/>
  <c r="AA44" i="39"/>
  <c r="AC44" i="39" s="1"/>
  <c r="AA36" i="39"/>
  <c r="AC36" i="39" s="1"/>
  <c r="AA28" i="39"/>
  <c r="AC28" i="39" s="1"/>
  <c r="AA20" i="39"/>
  <c r="AC20" i="39" s="1"/>
  <c r="AA12" i="39"/>
  <c r="AC12" i="39" s="1"/>
  <c r="Z351" i="39"/>
  <c r="AB351" i="39" s="1"/>
  <c r="Z343" i="39"/>
  <c r="AB343" i="39" s="1"/>
  <c r="Z337" i="39"/>
  <c r="AB337" i="39" s="1"/>
  <c r="Z331" i="39"/>
  <c r="AB331" i="39" s="1"/>
  <c r="Z323" i="39"/>
  <c r="AB323" i="39" s="1"/>
  <c r="Z317" i="39"/>
  <c r="AB317" i="39" s="1"/>
  <c r="Z311" i="39"/>
  <c r="AB311" i="39" s="1"/>
  <c r="Z299" i="39"/>
  <c r="AB299" i="39" s="1"/>
  <c r="Z293" i="39"/>
  <c r="AB293" i="39" s="1"/>
  <c r="Z287" i="39"/>
  <c r="AB287" i="39" s="1"/>
  <c r="Z279" i="39"/>
  <c r="AB279" i="39" s="1"/>
  <c r="Z271" i="39"/>
  <c r="AB271" i="39" s="1"/>
  <c r="Z263" i="39"/>
  <c r="AB263" i="39" s="1"/>
  <c r="Z255" i="39"/>
  <c r="AB255" i="39" s="1"/>
  <c r="Z247" i="39"/>
  <c r="AB247" i="39" s="1"/>
  <c r="Z239" i="39"/>
  <c r="AB239" i="39" s="1"/>
  <c r="Z231" i="39"/>
  <c r="AB231" i="39" s="1"/>
  <c r="Z227" i="39"/>
  <c r="AB227" i="39" s="1"/>
  <c r="Z219" i="39"/>
  <c r="AB219" i="39" s="1"/>
  <c r="Z211" i="39"/>
  <c r="AB211" i="39" s="1"/>
  <c r="Z203" i="39"/>
  <c r="AB203" i="39" s="1"/>
  <c r="Z195" i="39"/>
  <c r="AB195" i="39" s="1"/>
  <c r="Z187" i="39"/>
  <c r="AB187" i="39" s="1"/>
  <c r="Z179" i="39"/>
  <c r="AB179" i="39" s="1"/>
  <c r="Z171" i="39"/>
  <c r="AB171" i="39" s="1"/>
  <c r="Z163" i="39"/>
  <c r="AB163" i="39" s="1"/>
  <c r="Z155" i="39"/>
  <c r="AB155" i="39" s="1"/>
  <c r="Z147" i="39"/>
  <c r="AB147" i="39" s="1"/>
  <c r="Z140" i="39"/>
  <c r="AB140" i="39" s="1"/>
  <c r="Z133" i="39"/>
  <c r="AB133" i="39" s="1"/>
  <c r="Z125" i="39"/>
  <c r="AB125" i="39" s="1"/>
  <c r="Z118" i="39"/>
  <c r="AB118" i="39" s="1"/>
  <c r="Z111" i="39"/>
  <c r="AB111" i="39" s="1"/>
  <c r="Z103" i="39"/>
  <c r="AB103" i="39" s="1"/>
  <c r="Z95" i="39"/>
  <c r="AB95" i="39" s="1"/>
  <c r="Z87" i="39"/>
  <c r="AB87" i="39" s="1"/>
  <c r="Z80" i="39"/>
  <c r="AB80" i="39" s="1"/>
  <c r="Z72" i="39"/>
  <c r="AB72" i="39" s="1"/>
  <c r="Z64" i="39"/>
  <c r="AB64" i="39" s="1"/>
  <c r="Z56" i="39"/>
  <c r="AB56" i="39" s="1"/>
  <c r="Z48" i="39"/>
  <c r="AB48" i="39" s="1"/>
  <c r="Z40" i="39"/>
  <c r="AB40" i="39" s="1"/>
  <c r="Z32" i="39"/>
  <c r="AB32" i="39" s="1"/>
  <c r="Z24" i="39"/>
  <c r="AB24" i="39" s="1"/>
  <c r="Z16" i="39"/>
  <c r="AB16" i="39" s="1"/>
  <c r="AA320" i="39"/>
  <c r="AC320" i="39" s="1"/>
  <c r="AA289" i="39"/>
  <c r="AC289" i="39" s="1"/>
  <c r="AA248" i="39"/>
  <c r="AC248" i="39" s="1"/>
  <c r="AA206" i="39"/>
  <c r="AC206" i="39" s="1"/>
  <c r="AA174" i="39"/>
  <c r="AC174" i="39" s="1"/>
  <c r="AA158" i="39"/>
  <c r="AC158" i="39" s="1"/>
  <c r="AA143" i="39"/>
  <c r="AC143" i="39" s="1"/>
  <c r="AA128" i="39"/>
  <c r="AC128" i="39" s="1"/>
  <c r="AA98" i="39"/>
  <c r="AC98" i="39" s="1"/>
  <c r="AA83" i="39"/>
  <c r="AC83" i="39" s="1"/>
  <c r="AA67" i="39"/>
  <c r="AC67" i="39" s="1"/>
  <c r="AA51" i="39"/>
  <c r="AC51" i="39" s="1"/>
  <c r="AA35" i="39"/>
  <c r="AC35" i="39" s="1"/>
  <c r="AA19" i="39"/>
  <c r="AC19" i="39" s="1"/>
  <c r="Z347" i="39"/>
  <c r="AB347" i="39" s="1"/>
  <c r="Z333" i="39"/>
  <c r="AB333" i="39" s="1"/>
  <c r="Z321" i="39"/>
  <c r="AB321" i="39" s="1"/>
  <c r="Z307" i="39"/>
  <c r="AB307" i="39" s="1"/>
  <c r="Z283" i="39"/>
  <c r="AB283" i="39" s="1"/>
  <c r="Z267" i="39"/>
  <c r="AB267" i="39" s="1"/>
  <c r="Z251" i="39"/>
  <c r="AB251" i="39" s="1"/>
  <c r="Z235" i="39"/>
  <c r="AB235" i="39" s="1"/>
  <c r="Z223" i="39"/>
  <c r="AB223" i="39" s="1"/>
  <c r="Z207" i="39"/>
  <c r="AB207" i="39" s="1"/>
  <c r="Z191" i="39"/>
  <c r="AB191" i="39" s="1"/>
  <c r="Z175" i="39"/>
  <c r="AB175" i="39" s="1"/>
  <c r="Z159" i="39"/>
  <c r="AB159" i="39" s="1"/>
  <c r="Z129" i="39"/>
  <c r="AB129" i="39" s="1"/>
  <c r="Z116" i="39"/>
  <c r="AB116" i="39" s="1"/>
  <c r="Z104" i="39"/>
  <c r="AB104" i="39" s="1"/>
  <c r="Z92" i="39"/>
  <c r="AB92" i="39" s="1"/>
  <c r="Z79" i="39"/>
  <c r="AB79" i="39" s="1"/>
  <c r="Z68" i="39"/>
  <c r="AB68" i="39" s="1"/>
  <c r="Z54" i="39"/>
  <c r="AB54" i="39" s="1"/>
  <c r="Z41" i="39"/>
  <c r="AB41" i="39" s="1"/>
  <c r="Z29" i="39"/>
  <c r="AB29" i="39" s="1"/>
  <c r="Z15" i="39"/>
  <c r="AB15" i="39" s="1"/>
  <c r="AA319" i="39"/>
  <c r="AC319" i="39" s="1"/>
  <c r="AA288" i="39"/>
  <c r="AC288" i="39" s="1"/>
  <c r="AA242" i="39"/>
  <c r="AC242" i="39" s="1"/>
  <c r="AA205" i="39"/>
  <c r="AC205" i="39" s="1"/>
  <c r="AA173" i="39"/>
  <c r="AC173" i="39" s="1"/>
  <c r="AA157" i="39"/>
  <c r="AC157" i="39" s="1"/>
  <c r="AA142" i="39"/>
  <c r="AC142" i="39" s="1"/>
  <c r="AA127" i="39"/>
  <c r="AC127" i="39" s="1"/>
  <c r="AA113" i="39"/>
  <c r="AC113" i="39" s="1"/>
  <c r="AA97" i="39"/>
  <c r="AC97" i="39" s="1"/>
  <c r="AA82" i="39"/>
  <c r="AC82" i="39" s="1"/>
  <c r="AA66" i="39"/>
  <c r="AC66" i="39" s="1"/>
  <c r="AA50" i="39"/>
  <c r="AC50" i="39" s="1"/>
  <c r="AA34" i="39"/>
  <c r="AC34" i="39" s="1"/>
  <c r="AA18" i="39"/>
  <c r="AC18" i="39" s="1"/>
  <c r="Z342" i="39"/>
  <c r="AB342" i="39" s="1"/>
  <c r="Z330" i="39"/>
  <c r="AB330" i="39" s="1"/>
  <c r="Z316" i="39"/>
  <c r="AB316" i="39" s="1"/>
  <c r="Z292" i="39"/>
  <c r="AB292" i="39" s="1"/>
  <c r="Z278" i="39"/>
  <c r="AB278" i="39" s="1"/>
  <c r="Z262" i="39"/>
  <c r="AB262" i="39" s="1"/>
  <c r="Z246" i="39"/>
  <c r="AB246" i="39" s="1"/>
  <c r="Z230" i="39"/>
  <c r="AB230" i="39" s="1"/>
  <c r="Z218" i="39"/>
  <c r="AB218" i="39" s="1"/>
  <c r="Z202" i="39"/>
  <c r="AB202" i="39" s="1"/>
  <c r="Z186" i="39"/>
  <c r="AB186" i="39" s="1"/>
  <c r="Z170" i="39"/>
  <c r="AB170" i="39" s="1"/>
  <c r="Z154" i="39"/>
  <c r="AB154" i="39" s="1"/>
  <c r="Z139" i="39"/>
  <c r="AB139" i="39" s="1"/>
  <c r="Z126" i="39"/>
  <c r="AB126" i="39" s="1"/>
  <c r="Z115" i="39"/>
  <c r="AB115" i="39" s="1"/>
  <c r="Z102" i="39"/>
  <c r="AB102" i="39" s="1"/>
  <c r="Z91" i="39"/>
  <c r="AB91" i="39" s="1"/>
  <c r="Z78" i="39"/>
  <c r="AB78" i="39" s="1"/>
  <c r="Z65" i="39"/>
  <c r="AB65" i="39" s="1"/>
  <c r="Z53" i="39"/>
  <c r="AB53" i="39" s="1"/>
  <c r="Z39" i="39"/>
  <c r="AB39" i="39" s="1"/>
  <c r="Z28" i="39"/>
  <c r="Z14" i="39"/>
  <c r="AB14" i="39" s="1"/>
  <c r="AA318" i="39"/>
  <c r="AC318" i="39" s="1"/>
  <c r="AA282" i="39"/>
  <c r="AC282" i="39" s="1"/>
  <c r="AA241" i="39"/>
  <c r="AC241" i="39" s="1"/>
  <c r="AA204" i="39"/>
  <c r="AC204" i="39" s="1"/>
  <c r="AA172" i="39"/>
  <c r="AC172" i="39" s="1"/>
  <c r="AA156" i="39"/>
  <c r="AC156" i="39" s="1"/>
  <c r="AA141" i="39"/>
  <c r="AC141" i="39" s="1"/>
  <c r="AA126" i="39"/>
  <c r="AC126" i="39" s="1"/>
  <c r="AA112" i="39"/>
  <c r="AC112" i="39" s="1"/>
  <c r="AA96" i="39"/>
  <c r="AC96" i="39" s="1"/>
  <c r="AA81" i="39"/>
  <c r="AC81" i="39" s="1"/>
  <c r="AA65" i="39"/>
  <c r="AC65" i="39" s="1"/>
  <c r="AA49" i="39"/>
  <c r="AC49" i="39" s="1"/>
  <c r="AA33" i="39"/>
  <c r="AC33" i="39" s="1"/>
  <c r="AA17" i="39"/>
  <c r="AC17" i="39" s="1"/>
  <c r="Z329" i="39"/>
  <c r="AB329" i="39" s="1"/>
  <c r="Z315" i="39"/>
  <c r="AB315" i="39" s="1"/>
  <c r="Z303" i="39"/>
  <c r="AB303" i="39" s="1"/>
  <c r="Z277" i="39"/>
  <c r="AB277" i="39" s="1"/>
  <c r="Z261" i="39"/>
  <c r="AB261" i="39" s="1"/>
  <c r="Z245" i="39"/>
  <c r="AB245" i="39" s="1"/>
  <c r="Z229" i="39"/>
  <c r="AB229" i="39" s="1"/>
  <c r="Z217" i="39"/>
  <c r="AB217" i="39" s="1"/>
  <c r="Z201" i="39"/>
  <c r="AB201" i="39" s="1"/>
  <c r="Z185" i="39"/>
  <c r="AB185" i="39" s="1"/>
  <c r="Z169" i="39"/>
  <c r="AB169" i="39" s="1"/>
  <c r="Z153" i="39"/>
  <c r="AB153" i="39" s="1"/>
  <c r="Z138" i="39"/>
  <c r="AB138" i="39" s="1"/>
  <c r="Z124" i="39"/>
  <c r="AB124" i="39" s="1"/>
  <c r="Z114" i="39"/>
  <c r="AB114" i="39" s="1"/>
  <c r="Z101" i="39"/>
  <c r="AB101" i="39" s="1"/>
  <c r="Z88" i="39"/>
  <c r="AB88" i="39" s="1"/>
  <c r="Z77" i="39"/>
  <c r="AB77" i="39" s="1"/>
  <c r="Z63" i="39"/>
  <c r="AB63" i="39" s="1"/>
  <c r="Z52" i="39"/>
  <c r="AB52" i="39" s="1"/>
  <c r="Z38" i="39"/>
  <c r="AB38" i="39" s="1"/>
  <c r="Z25" i="39"/>
  <c r="AB25" i="39" s="1"/>
  <c r="Z13" i="39"/>
  <c r="AB13" i="39" s="1"/>
  <c r="AA312" i="39"/>
  <c r="AC312" i="39" s="1"/>
  <c r="AA281" i="39"/>
  <c r="AC281" i="39" s="1"/>
  <c r="AA240" i="39"/>
  <c r="AC240" i="39" s="1"/>
  <c r="AA198" i="39"/>
  <c r="AC198" i="39" s="1"/>
  <c r="AA171" i="39"/>
  <c r="AC171" i="39" s="1"/>
  <c r="AA155" i="39"/>
  <c r="AC155" i="39" s="1"/>
  <c r="AA140" i="39"/>
  <c r="AC140" i="39" s="1"/>
  <c r="AA125" i="39"/>
  <c r="AC125" i="39" s="1"/>
  <c r="AA111" i="39"/>
  <c r="AC111" i="39" s="1"/>
  <c r="AA95" i="39"/>
  <c r="AC95" i="39" s="1"/>
  <c r="AA80" i="39"/>
  <c r="AC80" i="39" s="1"/>
  <c r="AA64" i="39"/>
  <c r="AC64" i="39" s="1"/>
  <c r="AA48" i="39"/>
  <c r="AC48" i="39" s="1"/>
  <c r="AA32" i="39"/>
  <c r="AC32" i="39" s="1"/>
  <c r="AA16" i="39"/>
  <c r="AC16" i="39" s="1"/>
  <c r="Z328" i="39"/>
  <c r="AB328" i="39" s="1"/>
  <c r="Z314" i="39"/>
  <c r="AB314" i="39" s="1"/>
  <c r="Z302" i="39"/>
  <c r="AB302" i="39" s="1"/>
  <c r="Z276" i="39"/>
  <c r="AB276" i="39" s="1"/>
  <c r="Z260" i="39"/>
  <c r="AB260" i="39" s="1"/>
  <c r="Z244" i="39"/>
  <c r="AB244" i="39" s="1"/>
  <c r="Z228" i="39"/>
  <c r="AB228" i="39" s="1"/>
  <c r="Z216" i="39"/>
  <c r="AB216" i="39" s="1"/>
  <c r="Z200" i="39"/>
  <c r="AB200" i="39" s="1"/>
  <c r="Z184" i="39"/>
  <c r="AB184" i="39" s="1"/>
  <c r="Z168" i="39"/>
  <c r="AB168" i="39" s="1"/>
  <c r="Z152" i="39"/>
  <c r="AB152" i="39" s="1"/>
  <c r="Z137" i="39"/>
  <c r="AB137" i="39" s="1"/>
  <c r="Z112" i="39"/>
  <c r="AB112" i="39" s="1"/>
  <c r="Z100" i="39"/>
  <c r="AB100" i="39" s="1"/>
  <c r="Z86" i="39"/>
  <c r="AB86" i="39" s="1"/>
  <c r="Z76" i="39"/>
  <c r="AB76" i="39" s="1"/>
  <c r="Z62" i="39"/>
  <c r="AB62" i="39" s="1"/>
  <c r="Z49" i="39"/>
  <c r="AB49" i="39" s="1"/>
  <c r="Z37" i="39"/>
  <c r="AB37" i="39" s="1"/>
  <c r="Z23" i="39"/>
  <c r="AB23" i="39" s="1"/>
  <c r="Z12" i="39"/>
  <c r="AB12" i="39" s="1"/>
  <c r="AA339" i="39"/>
  <c r="AC339" i="39" s="1"/>
  <c r="AA304" i="39"/>
  <c r="AC304" i="39" s="1"/>
  <c r="AA266" i="39"/>
  <c r="AC266" i="39" s="1"/>
  <c r="AA188" i="39"/>
  <c r="AC188" i="39" s="1"/>
  <c r="AA166" i="39"/>
  <c r="AC166" i="39" s="1"/>
  <c r="AA150" i="39"/>
  <c r="AC150" i="39" s="1"/>
  <c r="AA135" i="39"/>
  <c r="AC135" i="39" s="1"/>
  <c r="AA121" i="39"/>
  <c r="AC121" i="39" s="1"/>
  <c r="AA106" i="39"/>
  <c r="AC106" i="39" s="1"/>
  <c r="AA90" i="39"/>
  <c r="AC90" i="39" s="1"/>
  <c r="AA75" i="39"/>
  <c r="AC75" i="39" s="1"/>
  <c r="AA59" i="39"/>
  <c r="AC59" i="39" s="1"/>
  <c r="AA43" i="39"/>
  <c r="AC43" i="39" s="1"/>
  <c r="AA27" i="39"/>
  <c r="AC27" i="39" s="1"/>
  <c r="AA11" i="39"/>
  <c r="AC11" i="39" s="1"/>
  <c r="Z341" i="39"/>
  <c r="AB341" i="39" s="1"/>
  <c r="Z327" i="39"/>
  <c r="AB327" i="39" s="1"/>
  <c r="Z313" i="39"/>
  <c r="AB313" i="39" s="1"/>
  <c r="Z301" i="39"/>
  <c r="AB301" i="39" s="1"/>
  <c r="Z291" i="39"/>
  <c r="AB291" i="39" s="1"/>
  <c r="Z275" i="39"/>
  <c r="AB275" i="39" s="1"/>
  <c r="Z259" i="39"/>
  <c r="AB259" i="39" s="1"/>
  <c r="Z243" i="39"/>
  <c r="AB243" i="39" s="1"/>
  <c r="Z215" i="39"/>
  <c r="AB215" i="39" s="1"/>
  <c r="Z199" i="39"/>
  <c r="AB199" i="39" s="1"/>
  <c r="Z183" i="39"/>
  <c r="AB183" i="39" s="1"/>
  <c r="Z167" i="39"/>
  <c r="AB167" i="39" s="1"/>
  <c r="Z151" i="39"/>
  <c r="AB151" i="39" s="1"/>
  <c r="AA265" i="39"/>
  <c r="AC265" i="39" s="1"/>
  <c r="AA180" i="39"/>
  <c r="AC180" i="39" s="1"/>
  <c r="AA89" i="39"/>
  <c r="AC89" i="39" s="1"/>
  <c r="AA56" i="39"/>
  <c r="AC56" i="39" s="1"/>
  <c r="Z334" i="39"/>
  <c r="AB334" i="39" s="1"/>
  <c r="Z297" i="39"/>
  <c r="AB297" i="39" s="1"/>
  <c r="Z254" i="39"/>
  <c r="AB254" i="39" s="1"/>
  <c r="Z224" i="39"/>
  <c r="AB224" i="39" s="1"/>
  <c r="Z177" i="39"/>
  <c r="AB177" i="39" s="1"/>
  <c r="Z136" i="39"/>
  <c r="AB136" i="39" s="1"/>
  <c r="Z110" i="39"/>
  <c r="AB110" i="39" s="1"/>
  <c r="Z85" i="39"/>
  <c r="AB85" i="39" s="1"/>
  <c r="Z61" i="39"/>
  <c r="AB61" i="39" s="1"/>
  <c r="Z36" i="39"/>
  <c r="AB36" i="39" s="1"/>
  <c r="Z284" i="39"/>
  <c r="AB284" i="39" s="1"/>
  <c r="Z123" i="39"/>
  <c r="AB123" i="39" s="1"/>
  <c r="Z47" i="39"/>
  <c r="Z270" i="39"/>
  <c r="AB270" i="39" s="1"/>
  <c r="Z308" i="39"/>
  <c r="AB308" i="39" s="1"/>
  <c r="AA264" i="39"/>
  <c r="AC264" i="39" s="1"/>
  <c r="AA165" i="39"/>
  <c r="AC165" i="39" s="1"/>
  <c r="AA133" i="39"/>
  <c r="AC133" i="39" s="1"/>
  <c r="AA88" i="39"/>
  <c r="AC88" i="39" s="1"/>
  <c r="AA42" i="39"/>
  <c r="AC42" i="39" s="1"/>
  <c r="Z322" i="39"/>
  <c r="AB322" i="39" s="1"/>
  <c r="Z296" i="39"/>
  <c r="AB296" i="39" s="1"/>
  <c r="Z253" i="39"/>
  <c r="AB253" i="39" s="1"/>
  <c r="Z210" i="39"/>
  <c r="AB210" i="39" s="1"/>
  <c r="Z176" i="39"/>
  <c r="AB176" i="39" s="1"/>
  <c r="Z132" i="39"/>
  <c r="AB132" i="39" s="1"/>
  <c r="Z109" i="39"/>
  <c r="AB109" i="39" s="1"/>
  <c r="Z84" i="39"/>
  <c r="AB84" i="39" s="1"/>
  <c r="Z60" i="39"/>
  <c r="AB60" i="39" s="1"/>
  <c r="Z33" i="39"/>
  <c r="AB33" i="39" s="1"/>
  <c r="Z160" i="39"/>
  <c r="AB160" i="39" s="1"/>
  <c r="AA300" i="39"/>
  <c r="AC300" i="39" s="1"/>
  <c r="AA148" i="39"/>
  <c r="AC148" i="39" s="1"/>
  <c r="AA72" i="39"/>
  <c r="AC72" i="39" s="1"/>
  <c r="Z348" i="39"/>
  <c r="AB348" i="39" s="1"/>
  <c r="Z146" i="39"/>
  <c r="AB146" i="39" s="1"/>
  <c r="Z96" i="39"/>
  <c r="AB96" i="39" s="1"/>
  <c r="Z46" i="39"/>
  <c r="AB46" i="39" s="1"/>
  <c r="AA182" i="39"/>
  <c r="AC182" i="39" s="1"/>
  <c r="AA147" i="39"/>
  <c r="AC147" i="39" s="1"/>
  <c r="AA58" i="39"/>
  <c r="AC58" i="39" s="1"/>
  <c r="Z269" i="39"/>
  <c r="AB269" i="39" s="1"/>
  <c r="Z145" i="39"/>
  <c r="AB145" i="39" s="1"/>
  <c r="Z94" i="39"/>
  <c r="AB94" i="39" s="1"/>
  <c r="Z45" i="39"/>
  <c r="AB45" i="39" s="1"/>
  <c r="AA57" i="39"/>
  <c r="AC57" i="39" s="1"/>
  <c r="Z93" i="39"/>
  <c r="AB93" i="39" s="1"/>
  <c r="Z17" i="39"/>
  <c r="AB17" i="39" s="1"/>
  <c r="AA338" i="39"/>
  <c r="AC338" i="39" s="1"/>
  <c r="AA258" i="39"/>
  <c r="AC258" i="39" s="1"/>
  <c r="AA164" i="39"/>
  <c r="AC164" i="39" s="1"/>
  <c r="AA120" i="39"/>
  <c r="AC120" i="39" s="1"/>
  <c r="AA87" i="39"/>
  <c r="AC87" i="39" s="1"/>
  <c r="AA41" i="39"/>
  <c r="AC41" i="39" s="1"/>
  <c r="Z286" i="39"/>
  <c r="AB286" i="39" s="1"/>
  <c r="Z252" i="39"/>
  <c r="AB252" i="39" s="1"/>
  <c r="Z209" i="39"/>
  <c r="AB209" i="39" s="1"/>
  <c r="Z162" i="39"/>
  <c r="AB162" i="39" s="1"/>
  <c r="Z131" i="39"/>
  <c r="AB131" i="39" s="1"/>
  <c r="Z108" i="39"/>
  <c r="AB108" i="39" s="1"/>
  <c r="Z57" i="39"/>
  <c r="AB57" i="39" s="1"/>
  <c r="Z31" i="39"/>
  <c r="AB31" i="39" s="1"/>
  <c r="Z236" i="39"/>
  <c r="AB236" i="39" s="1"/>
  <c r="Z192" i="39"/>
  <c r="AB192" i="39" s="1"/>
  <c r="AA134" i="39"/>
  <c r="AC134" i="39" s="1"/>
  <c r="Z298" i="39"/>
  <c r="AB298" i="39" s="1"/>
  <c r="Z178" i="39"/>
  <c r="AB178" i="39" s="1"/>
  <c r="Z117" i="39"/>
  <c r="AB117" i="39" s="1"/>
  <c r="Z69" i="39"/>
  <c r="AB69" i="39" s="1"/>
  <c r="AA332" i="39"/>
  <c r="AC332" i="39" s="1"/>
  <c r="AA163" i="39"/>
  <c r="AC163" i="39" s="1"/>
  <c r="AA119" i="39"/>
  <c r="AC119" i="39" s="1"/>
  <c r="AA74" i="39"/>
  <c r="AC74" i="39" s="1"/>
  <c r="AA40" i="39"/>
  <c r="AC40" i="39" s="1"/>
  <c r="Z350" i="39"/>
  <c r="AB350" i="39" s="1"/>
  <c r="Z285" i="39"/>
  <c r="AB285" i="39" s="1"/>
  <c r="Z238" i="39"/>
  <c r="AB238" i="39" s="1"/>
  <c r="Z208" i="39"/>
  <c r="AB208" i="39" s="1"/>
  <c r="Z161" i="39"/>
  <c r="AB161" i="39" s="1"/>
  <c r="Z130" i="39"/>
  <c r="AB130" i="39" s="1"/>
  <c r="Z107" i="39"/>
  <c r="AB107" i="39" s="1"/>
  <c r="Z81" i="39"/>
  <c r="AB81" i="39" s="1"/>
  <c r="Z55" i="39"/>
  <c r="AB55" i="39" s="1"/>
  <c r="Z30" i="39"/>
  <c r="AB30" i="39" s="1"/>
  <c r="AA222" i="39"/>
  <c r="AC222" i="39" s="1"/>
  <c r="AA73" i="39"/>
  <c r="AC73" i="39" s="1"/>
  <c r="Z349" i="39"/>
  <c r="AB349" i="39" s="1"/>
  <c r="Z237" i="39"/>
  <c r="AB237" i="39" s="1"/>
  <c r="Z99" i="39"/>
  <c r="AB99" i="39" s="1"/>
  <c r="Z22" i="39"/>
  <c r="AB22" i="39" s="1"/>
  <c r="Z21" i="39"/>
  <c r="AB21" i="39" s="1"/>
  <c r="AA104" i="39"/>
  <c r="AC104" i="39" s="1"/>
  <c r="AA24" i="39"/>
  <c r="AC24" i="39" s="1"/>
  <c r="Z226" i="39"/>
  <c r="AB226" i="39" s="1"/>
  <c r="Z119" i="39"/>
  <c r="AB119" i="39" s="1"/>
  <c r="Z70" i="39"/>
  <c r="AB70" i="39" s="1"/>
  <c r="Z20" i="39"/>
  <c r="AB20" i="39" s="1"/>
  <c r="Z225" i="39"/>
  <c r="AB225" i="39" s="1"/>
  <c r="AA149" i="39"/>
  <c r="AC149" i="39" s="1"/>
  <c r="AA118" i="39"/>
  <c r="AC118" i="39" s="1"/>
  <c r="AA26" i="39"/>
  <c r="AC26" i="39" s="1"/>
  <c r="Z310" i="39"/>
  <c r="AB310" i="39" s="1"/>
  <c r="Z194" i="39"/>
  <c r="AB194" i="39" s="1"/>
  <c r="Z73" i="39"/>
  <c r="AB73" i="39" s="1"/>
  <c r="AA221" i="39"/>
  <c r="AC221" i="39" s="1"/>
  <c r="AA105" i="39"/>
  <c r="AC105" i="39" s="1"/>
  <c r="AA25" i="39"/>
  <c r="AC25" i="39" s="1"/>
  <c r="Z309" i="39"/>
  <c r="AB309" i="39" s="1"/>
  <c r="Z193" i="39"/>
  <c r="AB193" i="39" s="1"/>
  <c r="Z122" i="39"/>
  <c r="AB122" i="39" s="1"/>
  <c r="Z71" i="39"/>
  <c r="AB71" i="39" s="1"/>
  <c r="Z336" i="39"/>
  <c r="AB336" i="39" s="1"/>
  <c r="AA181" i="39"/>
  <c r="AC181" i="39" s="1"/>
  <c r="AA103" i="39"/>
  <c r="AC103" i="39" s="1"/>
  <c r="AA10" i="39"/>
  <c r="AC10" i="39" s="1"/>
  <c r="Z335" i="39"/>
  <c r="AB335" i="39" s="1"/>
  <c r="Z268" i="39"/>
  <c r="AB268" i="39" s="1"/>
  <c r="Z144" i="39"/>
  <c r="AB144" i="39" s="1"/>
  <c r="Z44" i="39"/>
  <c r="AB44" i="39" s="1"/>
  <c r="E23" i="65"/>
  <c r="F23" i="65" s="1"/>
  <c r="E35" i="65"/>
  <c r="F35" i="65" s="1"/>
  <c r="E11" i="65"/>
  <c r="F11" i="65" s="1"/>
  <c r="E59" i="65"/>
  <c r="F59" i="65" s="1"/>
  <c r="E47" i="65"/>
  <c r="F47" i="65" s="1"/>
  <c r="E171" i="41"/>
  <c r="E170" i="41"/>
  <c r="F165" i="41"/>
  <c r="K123" i="41"/>
  <c r="K122" i="41"/>
  <c r="G75" i="41"/>
  <c r="D171" i="41"/>
  <c r="D170" i="41"/>
  <c r="E165" i="41"/>
  <c r="K117" i="41"/>
  <c r="F75" i="41"/>
  <c r="F74" i="41"/>
  <c r="D165" i="41"/>
  <c r="G123" i="41"/>
  <c r="G122" i="41"/>
  <c r="E75" i="41"/>
  <c r="F123" i="41"/>
  <c r="F122" i="41"/>
  <c r="G117" i="41"/>
  <c r="K171" i="41"/>
  <c r="K170" i="41"/>
  <c r="E123" i="41"/>
  <c r="E122" i="41"/>
  <c r="F117" i="41"/>
  <c r="G171" i="41"/>
  <c r="G170" i="41"/>
  <c r="D117" i="41"/>
  <c r="K75" i="41"/>
  <c r="F171" i="41"/>
  <c r="F170" i="41"/>
  <c r="G165" i="41"/>
  <c r="E74" i="41"/>
  <c r="D69" i="41"/>
  <c r="E117" i="41"/>
  <c r="D74" i="41"/>
  <c r="K27" i="41"/>
  <c r="K26" i="41"/>
  <c r="K165" i="41"/>
  <c r="K21" i="41"/>
  <c r="D123" i="41"/>
  <c r="K69" i="41"/>
  <c r="G27" i="41"/>
  <c r="G26" i="41"/>
  <c r="F27" i="41"/>
  <c r="F26" i="41"/>
  <c r="G21" i="41"/>
  <c r="D21" i="41"/>
  <c r="D122" i="41"/>
  <c r="D75" i="41"/>
  <c r="K74" i="41"/>
  <c r="G69" i="41"/>
  <c r="E27" i="41"/>
  <c r="E26" i="41"/>
  <c r="F21" i="41"/>
  <c r="F69" i="41"/>
  <c r="D27" i="41"/>
  <c r="D26" i="41"/>
  <c r="E21" i="41"/>
  <c r="G74" i="41"/>
  <c r="E69" i="41"/>
  <c r="H148" i="37"/>
  <c r="H108" i="37"/>
  <c r="H68" i="37"/>
  <c r="H28" i="37"/>
  <c r="L108" i="37"/>
  <c r="M68" i="37"/>
  <c r="G148" i="37"/>
  <c r="G68" i="37"/>
  <c r="I148" i="37"/>
  <c r="I108" i="37"/>
  <c r="I68" i="37"/>
  <c r="I28" i="37"/>
  <c r="L148" i="37"/>
  <c r="L68" i="37"/>
  <c r="L28" i="37"/>
  <c r="F108" i="37"/>
  <c r="F68" i="37"/>
  <c r="N28" i="37"/>
  <c r="J148" i="37"/>
  <c r="J108" i="37"/>
  <c r="J68" i="37"/>
  <c r="J28" i="37"/>
  <c r="M148" i="37"/>
  <c r="N148" i="37"/>
  <c r="N108" i="37"/>
  <c r="G28" i="37"/>
  <c r="K148" i="37"/>
  <c r="K108" i="37"/>
  <c r="K68" i="37"/>
  <c r="K28" i="37"/>
  <c r="M108" i="37"/>
  <c r="M28" i="37"/>
  <c r="F148" i="37"/>
  <c r="N68" i="37"/>
  <c r="F28" i="37"/>
  <c r="G108" i="37"/>
  <c r="M147" i="37"/>
  <c r="M149" i="37"/>
  <c r="M107" i="37"/>
  <c r="M67" i="37"/>
  <c r="M27" i="37"/>
  <c r="J149" i="37"/>
  <c r="J67" i="37"/>
  <c r="F147" i="37"/>
  <c r="N147" i="37"/>
  <c r="F149" i="37"/>
  <c r="N149" i="37"/>
  <c r="F107" i="37"/>
  <c r="N107" i="37"/>
  <c r="F67" i="37"/>
  <c r="N67" i="37"/>
  <c r="F27" i="37"/>
  <c r="N27" i="37"/>
  <c r="I147" i="37"/>
  <c r="I107" i="37"/>
  <c r="G147" i="37"/>
  <c r="G149" i="37"/>
  <c r="G107" i="37"/>
  <c r="G67" i="37"/>
  <c r="G27" i="37"/>
  <c r="I67" i="37"/>
  <c r="J147" i="37"/>
  <c r="H147" i="37"/>
  <c r="H149" i="37"/>
  <c r="H107" i="37"/>
  <c r="H67" i="37"/>
  <c r="H27" i="37"/>
  <c r="I149" i="37"/>
  <c r="J107" i="37"/>
  <c r="I27" i="37"/>
  <c r="J27" i="37"/>
  <c r="K147" i="37"/>
  <c r="K149" i="37"/>
  <c r="K107" i="37"/>
  <c r="K67" i="37"/>
  <c r="K27" i="37"/>
  <c r="L147" i="37"/>
  <c r="L149" i="37"/>
  <c r="L107" i="37"/>
  <c r="L67" i="37"/>
  <c r="L27" i="37"/>
  <c r="E28" i="42"/>
  <c r="F129" i="37"/>
  <c r="L134" i="37"/>
  <c r="F137" i="37"/>
  <c r="F140" i="37"/>
  <c r="L141" i="37"/>
  <c r="H143" i="37"/>
  <c r="F144" i="37"/>
  <c r="F150" i="37"/>
  <c r="H153" i="37"/>
  <c r="F154" i="37"/>
  <c r="N154" i="37"/>
  <c r="J156" i="37"/>
  <c r="F157" i="37"/>
  <c r="N157" i="37"/>
  <c r="L158" i="37"/>
  <c r="J159" i="37"/>
  <c r="H160" i="37"/>
  <c r="F161" i="37"/>
  <c r="N161" i="37"/>
  <c r="L162" i="37"/>
  <c r="J163" i="37"/>
  <c r="M134" i="37"/>
  <c r="M141" i="37"/>
  <c r="I143" i="37"/>
  <c r="I153" i="37"/>
  <c r="G154" i="37"/>
  <c r="K156" i="37"/>
  <c r="G157" i="37"/>
  <c r="M158" i="37"/>
  <c r="K159" i="37"/>
  <c r="I160" i="37"/>
  <c r="G161" i="37"/>
  <c r="M162" i="37"/>
  <c r="K163" i="37"/>
  <c r="I164" i="37"/>
  <c r="G165" i="37"/>
  <c r="M166" i="37"/>
  <c r="K167" i="37"/>
  <c r="M94" i="37"/>
  <c r="M101" i="37"/>
  <c r="I103" i="37"/>
  <c r="F131" i="37"/>
  <c r="F134" i="37"/>
  <c r="N134" i="37"/>
  <c r="F138" i="37"/>
  <c r="F141" i="37"/>
  <c r="N141" i="37"/>
  <c r="J143" i="37"/>
  <c r="F145" i="37"/>
  <c r="F151" i="37"/>
  <c r="J153" i="37"/>
  <c r="H154" i="37"/>
  <c r="F155" i="37"/>
  <c r="L156" i="37"/>
  <c r="G134" i="37"/>
  <c r="G141" i="37"/>
  <c r="K143" i="37"/>
  <c r="K153" i="37"/>
  <c r="I154" i="37"/>
  <c r="M156" i="37"/>
  <c r="I157" i="37"/>
  <c r="G158" i="37"/>
  <c r="M159" i="37"/>
  <c r="K160" i="37"/>
  <c r="I161" i="37"/>
  <c r="G162" i="37"/>
  <c r="M163" i="37"/>
  <c r="K164" i="37"/>
  <c r="I165" i="37"/>
  <c r="G166" i="37"/>
  <c r="M167" i="37"/>
  <c r="G94" i="37"/>
  <c r="F132" i="37"/>
  <c r="H134" i="37"/>
  <c r="H141" i="37"/>
  <c r="F142" i="37"/>
  <c r="L143" i="37"/>
  <c r="F146" i="37"/>
  <c r="I134" i="37"/>
  <c r="I141" i="37"/>
  <c r="M143" i="37"/>
  <c r="M153" i="37"/>
  <c r="K154" i="37"/>
  <c r="G156" i="37"/>
  <c r="K157" i="37"/>
  <c r="I158" i="37"/>
  <c r="G159" i="37"/>
  <c r="M160" i="37"/>
  <c r="K161" i="37"/>
  <c r="I162" i="37"/>
  <c r="G163" i="37"/>
  <c r="M164" i="37"/>
  <c r="K165" i="37"/>
  <c r="I166" i="37"/>
  <c r="G167" i="37"/>
  <c r="I94" i="37"/>
  <c r="I101" i="37"/>
  <c r="M103" i="37"/>
  <c r="M109" i="37"/>
  <c r="F128" i="37"/>
  <c r="F133" i="37"/>
  <c r="J134" i="37"/>
  <c r="F136" i="37"/>
  <c r="F139" i="37"/>
  <c r="J141" i="37"/>
  <c r="F143" i="37"/>
  <c r="N143" i="37"/>
  <c r="F153" i="37"/>
  <c r="N153" i="37"/>
  <c r="L154" i="37"/>
  <c r="H156" i="37"/>
  <c r="L157" i="37"/>
  <c r="J158" i="37"/>
  <c r="H159" i="37"/>
  <c r="F160" i="37"/>
  <c r="N160" i="37"/>
  <c r="L161" i="37"/>
  <c r="J162" i="37"/>
  <c r="H163" i="37"/>
  <c r="F164" i="37"/>
  <c r="N164" i="37"/>
  <c r="L165" i="37"/>
  <c r="J166" i="37"/>
  <c r="H167" i="37"/>
  <c r="F88" i="37"/>
  <c r="F93" i="37"/>
  <c r="J94" i="37"/>
  <c r="F96" i="37"/>
  <c r="F152" i="37"/>
  <c r="M154" i="37"/>
  <c r="H158" i="37"/>
  <c r="L163" i="37"/>
  <c r="F165" i="37"/>
  <c r="K166" i="37"/>
  <c r="N167" i="37"/>
  <c r="N94" i="37"/>
  <c r="L101" i="37"/>
  <c r="L103" i="37"/>
  <c r="I109" i="37"/>
  <c r="K113" i="37"/>
  <c r="I114" i="37"/>
  <c r="M116" i="37"/>
  <c r="I117" i="37"/>
  <c r="G118" i="37"/>
  <c r="M119" i="37"/>
  <c r="K120" i="37"/>
  <c r="I121" i="37"/>
  <c r="G122" i="37"/>
  <c r="M123" i="37"/>
  <c r="K124" i="37"/>
  <c r="I125" i="37"/>
  <c r="G126" i="37"/>
  <c r="M127" i="37"/>
  <c r="G54" i="37"/>
  <c r="G61" i="37"/>
  <c r="K63" i="37"/>
  <c r="K69" i="37"/>
  <c r="K73" i="37"/>
  <c r="I74" i="37"/>
  <c r="M76" i="37"/>
  <c r="I77" i="37"/>
  <c r="G78" i="37"/>
  <c r="M79" i="37"/>
  <c r="K80" i="37"/>
  <c r="I81" i="37"/>
  <c r="G82" i="37"/>
  <c r="M83" i="37"/>
  <c r="K84" i="37"/>
  <c r="I85" i="37"/>
  <c r="G86" i="37"/>
  <c r="M87" i="37"/>
  <c r="G14" i="37"/>
  <c r="G21" i="37"/>
  <c r="K158" i="37"/>
  <c r="G160" i="37"/>
  <c r="F162" i="37"/>
  <c r="N163" i="37"/>
  <c r="H165" i="37"/>
  <c r="L166" i="37"/>
  <c r="N101" i="37"/>
  <c r="N103" i="37"/>
  <c r="J109" i="37"/>
  <c r="F112" i="37"/>
  <c r="L113" i="37"/>
  <c r="J114" i="37"/>
  <c r="F116" i="37"/>
  <c r="N116" i="37"/>
  <c r="J117" i="37"/>
  <c r="H118" i="37"/>
  <c r="F119" i="37"/>
  <c r="N119" i="37"/>
  <c r="L120" i="37"/>
  <c r="J121" i="37"/>
  <c r="H122" i="37"/>
  <c r="F123" i="37"/>
  <c r="N123" i="37"/>
  <c r="L124" i="37"/>
  <c r="J125" i="37"/>
  <c r="H126" i="37"/>
  <c r="F127" i="37"/>
  <c r="N127" i="37"/>
  <c r="F52" i="37"/>
  <c r="H54" i="37"/>
  <c r="H61" i="37"/>
  <c r="F62" i="37"/>
  <c r="L63" i="37"/>
  <c r="F66" i="37"/>
  <c r="L69" i="37"/>
  <c r="F72" i="37"/>
  <c r="L73" i="37"/>
  <c r="J74" i="37"/>
  <c r="F76" i="37"/>
  <c r="N76" i="37"/>
  <c r="J77" i="37"/>
  <c r="H78" i="37"/>
  <c r="F79" i="37"/>
  <c r="N79" i="37"/>
  <c r="L80" i="37"/>
  <c r="J81" i="37"/>
  <c r="H82" i="37"/>
  <c r="F83" i="37"/>
  <c r="N83" i="37"/>
  <c r="L84" i="37"/>
  <c r="J85" i="37"/>
  <c r="H86" i="37"/>
  <c r="F87" i="37"/>
  <c r="N87" i="37"/>
  <c r="F12" i="37"/>
  <c r="H14" i="37"/>
  <c r="H21" i="37"/>
  <c r="F22" i="37"/>
  <c r="L23" i="37"/>
  <c r="F26" i="37"/>
  <c r="L29" i="37"/>
  <c r="F32" i="37"/>
  <c r="L33" i="37"/>
  <c r="J34" i="37"/>
  <c r="F36" i="37"/>
  <c r="N36" i="37"/>
  <c r="K134" i="37"/>
  <c r="K141" i="37"/>
  <c r="N158" i="37"/>
  <c r="J160" i="37"/>
  <c r="H162" i="37"/>
  <c r="J165" i="37"/>
  <c r="N166" i="37"/>
  <c r="K109" i="37"/>
  <c r="M113" i="37"/>
  <c r="K114" i="37"/>
  <c r="G116" i="37"/>
  <c r="K117" i="37"/>
  <c r="I118" i="37"/>
  <c r="G119" i="37"/>
  <c r="M120" i="37"/>
  <c r="K121" i="37"/>
  <c r="I122" i="37"/>
  <c r="G123" i="37"/>
  <c r="M124" i="37"/>
  <c r="K125" i="37"/>
  <c r="I126" i="37"/>
  <c r="G127" i="37"/>
  <c r="I54" i="37"/>
  <c r="I61" i="37"/>
  <c r="M63" i="37"/>
  <c r="M69" i="37"/>
  <c r="M73" i="37"/>
  <c r="K74" i="37"/>
  <c r="G76" i="37"/>
  <c r="K77" i="37"/>
  <c r="I78" i="37"/>
  <c r="G79" i="37"/>
  <c r="M80" i="37"/>
  <c r="K81" i="37"/>
  <c r="I82" i="37"/>
  <c r="G83" i="37"/>
  <c r="M84" i="37"/>
  <c r="K85" i="37"/>
  <c r="I86" i="37"/>
  <c r="G87" i="37"/>
  <c r="I14" i="37"/>
  <c r="I21" i="37"/>
  <c r="M23" i="37"/>
  <c r="M29" i="37"/>
  <c r="M33" i="37"/>
  <c r="K34" i="37"/>
  <c r="H157" i="37"/>
  <c r="L160" i="37"/>
  <c r="K162" i="37"/>
  <c r="G164" i="37"/>
  <c r="M165" i="37"/>
  <c r="F92" i="37"/>
  <c r="F99" i="37"/>
  <c r="F100" i="37"/>
  <c r="F101" i="37"/>
  <c r="F102" i="37"/>
  <c r="F103" i="37"/>
  <c r="F104" i="37"/>
  <c r="F105" i="37"/>
  <c r="L109" i="37"/>
  <c r="F113" i="37"/>
  <c r="N113" i="37"/>
  <c r="L114" i="37"/>
  <c r="H116" i="37"/>
  <c r="L117" i="37"/>
  <c r="J118" i="37"/>
  <c r="H119" i="37"/>
  <c r="F120" i="37"/>
  <c r="N120" i="37"/>
  <c r="L121" i="37"/>
  <c r="J122" i="37"/>
  <c r="H123" i="37"/>
  <c r="F124" i="37"/>
  <c r="N124" i="37"/>
  <c r="L125" i="37"/>
  <c r="J126" i="37"/>
  <c r="H127" i="37"/>
  <c r="F48" i="37"/>
  <c r="F53" i="37"/>
  <c r="J54" i="37"/>
  <c r="F56" i="37"/>
  <c r="F59" i="37"/>
  <c r="J61" i="37"/>
  <c r="F63" i="37"/>
  <c r="N63" i="37"/>
  <c r="F69" i="37"/>
  <c r="N69" i="37"/>
  <c r="F73" i="37"/>
  <c r="N73" i="37"/>
  <c r="L74" i="37"/>
  <c r="H76" i="37"/>
  <c r="L77" i="37"/>
  <c r="J78" i="37"/>
  <c r="H79" i="37"/>
  <c r="F80" i="37"/>
  <c r="N80" i="37"/>
  <c r="L81" i="37"/>
  <c r="J82" i="37"/>
  <c r="H83" i="37"/>
  <c r="F84" i="37"/>
  <c r="N84" i="37"/>
  <c r="L85" i="37"/>
  <c r="J86" i="37"/>
  <c r="H87" i="37"/>
  <c r="F8" i="37"/>
  <c r="F13" i="37"/>
  <c r="J14" i="37"/>
  <c r="F16" i="37"/>
  <c r="F19" i="37"/>
  <c r="J21" i="37"/>
  <c r="F23" i="37"/>
  <c r="N23" i="37"/>
  <c r="F29" i="37"/>
  <c r="N29" i="37"/>
  <c r="F33" i="37"/>
  <c r="N33" i="37"/>
  <c r="L34" i="37"/>
  <c r="H36" i="37"/>
  <c r="G153" i="37"/>
  <c r="J157" i="37"/>
  <c r="F159" i="37"/>
  <c r="N162" i="37"/>
  <c r="H164" i="37"/>
  <c r="N165" i="37"/>
  <c r="F167" i="37"/>
  <c r="F94" i="37"/>
  <c r="G101" i="37"/>
  <c r="G103" i="37"/>
  <c r="F106" i="37"/>
  <c r="N109" i="37"/>
  <c r="G113" i="37"/>
  <c r="M114" i="37"/>
  <c r="I116" i="37"/>
  <c r="M117" i="37"/>
  <c r="K118" i="37"/>
  <c r="I119" i="37"/>
  <c r="G120" i="37"/>
  <c r="M121" i="37"/>
  <c r="K122" i="37"/>
  <c r="I123" i="37"/>
  <c r="G124" i="37"/>
  <c r="M125" i="37"/>
  <c r="K126" i="37"/>
  <c r="I127" i="37"/>
  <c r="K54" i="37"/>
  <c r="K61" i="37"/>
  <c r="G63" i="37"/>
  <c r="G69" i="37"/>
  <c r="G73" i="37"/>
  <c r="M74" i="37"/>
  <c r="I76" i="37"/>
  <c r="M77" i="37"/>
  <c r="K78" i="37"/>
  <c r="I79" i="37"/>
  <c r="G80" i="37"/>
  <c r="M81" i="37"/>
  <c r="K82" i="37"/>
  <c r="I83" i="37"/>
  <c r="G84" i="37"/>
  <c r="M85" i="37"/>
  <c r="K86" i="37"/>
  <c r="I87" i="37"/>
  <c r="K14" i="37"/>
  <c r="K21" i="37"/>
  <c r="L153" i="37"/>
  <c r="F156" i="37"/>
  <c r="M157" i="37"/>
  <c r="I159" i="37"/>
  <c r="H161" i="37"/>
  <c r="J164" i="37"/>
  <c r="I167" i="37"/>
  <c r="F91" i="37"/>
  <c r="H94" i="37"/>
  <c r="F98" i="37"/>
  <c r="H101" i="37"/>
  <c r="H103" i="37"/>
  <c r="F109" i="37"/>
  <c r="H113" i="37"/>
  <c r="F114" i="37"/>
  <c r="N114" i="37"/>
  <c r="J116" i="37"/>
  <c r="F117" i="37"/>
  <c r="N117" i="37"/>
  <c r="L118" i="37"/>
  <c r="J119" i="37"/>
  <c r="H120" i="37"/>
  <c r="F121" i="37"/>
  <c r="N121" i="37"/>
  <c r="L122" i="37"/>
  <c r="J123" i="37"/>
  <c r="H124" i="37"/>
  <c r="F125" i="37"/>
  <c r="N125" i="37"/>
  <c r="L126" i="37"/>
  <c r="J127" i="37"/>
  <c r="F49" i="37"/>
  <c r="L54" i="37"/>
  <c r="F57" i="37"/>
  <c r="F60" i="37"/>
  <c r="L61" i="37"/>
  <c r="H63" i="37"/>
  <c r="F64" i="37"/>
  <c r="H69" i="37"/>
  <c r="F70" i="37"/>
  <c r="H73" i="37"/>
  <c r="F74" i="37"/>
  <c r="N74" i="37"/>
  <c r="J76" i="37"/>
  <c r="F77" i="37"/>
  <c r="N77" i="37"/>
  <c r="L78" i="37"/>
  <c r="J79" i="37"/>
  <c r="H80" i="37"/>
  <c r="F81" i="37"/>
  <c r="N81" i="37"/>
  <c r="L82" i="37"/>
  <c r="J83" i="37"/>
  <c r="H84" i="37"/>
  <c r="F85" i="37"/>
  <c r="N85" i="37"/>
  <c r="L86" i="37"/>
  <c r="J87" i="37"/>
  <c r="F9" i="37"/>
  <c r="L14" i="37"/>
  <c r="F17" i="37"/>
  <c r="F20" i="37"/>
  <c r="L21" i="37"/>
  <c r="H23" i="37"/>
  <c r="F24" i="37"/>
  <c r="H29" i="37"/>
  <c r="F30" i="37"/>
  <c r="H33" i="37"/>
  <c r="F34" i="37"/>
  <c r="N34" i="37"/>
  <c r="G143" i="37"/>
  <c r="I156" i="37"/>
  <c r="L159" i="37"/>
  <c r="J161" i="37"/>
  <c r="F163" i="37"/>
  <c r="L164" i="37"/>
  <c r="F166" i="37"/>
  <c r="J167" i="37"/>
  <c r="K94" i="37"/>
  <c r="F97" i="37"/>
  <c r="J101" i="37"/>
  <c r="J103" i="37"/>
  <c r="G109" i="37"/>
  <c r="F110" i="37"/>
  <c r="I113" i="37"/>
  <c r="G114" i="37"/>
  <c r="K116" i="37"/>
  <c r="G117" i="37"/>
  <c r="M118" i="37"/>
  <c r="K119" i="37"/>
  <c r="I120" i="37"/>
  <c r="G121" i="37"/>
  <c r="M122" i="37"/>
  <c r="K123" i="37"/>
  <c r="I124" i="37"/>
  <c r="G125" i="37"/>
  <c r="M126" i="37"/>
  <c r="K127" i="37"/>
  <c r="M54" i="37"/>
  <c r="M61" i="37"/>
  <c r="I63" i="37"/>
  <c r="I69" i="37"/>
  <c r="I73" i="37"/>
  <c r="G74" i="37"/>
  <c r="K76" i="37"/>
  <c r="G77" i="37"/>
  <c r="M78" i="37"/>
  <c r="K79" i="37"/>
  <c r="I80" i="37"/>
  <c r="G81" i="37"/>
  <c r="M82" i="37"/>
  <c r="K83" i="37"/>
  <c r="I84" i="37"/>
  <c r="G85" i="37"/>
  <c r="M86" i="37"/>
  <c r="K87" i="37"/>
  <c r="M14" i="37"/>
  <c r="M21" i="37"/>
  <c r="I23" i="37"/>
  <c r="I29" i="37"/>
  <c r="I33" i="37"/>
  <c r="G34" i="37"/>
  <c r="K36" i="37"/>
  <c r="G37" i="37"/>
  <c r="J154" i="37"/>
  <c r="N156" i="37"/>
  <c r="F158" i="37"/>
  <c r="N159" i="37"/>
  <c r="M161" i="37"/>
  <c r="I163" i="37"/>
  <c r="H166" i="37"/>
  <c r="L167" i="37"/>
  <c r="F89" i="37"/>
  <c r="L94" i="37"/>
  <c r="K101" i="37"/>
  <c r="K103" i="37"/>
  <c r="H109" i="37"/>
  <c r="F111" i="37"/>
  <c r="J113" i="37"/>
  <c r="H114" i="37"/>
  <c r="F115" i="37"/>
  <c r="L116" i="37"/>
  <c r="H117" i="37"/>
  <c r="F118" i="37"/>
  <c r="N118" i="37"/>
  <c r="L119" i="37"/>
  <c r="J120" i="37"/>
  <c r="H121" i="37"/>
  <c r="F122" i="37"/>
  <c r="N122" i="37"/>
  <c r="L123" i="37"/>
  <c r="J124" i="37"/>
  <c r="H125" i="37"/>
  <c r="F126" i="37"/>
  <c r="N126" i="37"/>
  <c r="L127" i="37"/>
  <c r="F51" i="37"/>
  <c r="F54" i="37"/>
  <c r="N54" i="37"/>
  <c r="F58" i="37"/>
  <c r="J69" i="37"/>
  <c r="L76" i="37"/>
  <c r="N78" i="37"/>
  <c r="F82" i="37"/>
  <c r="L37" i="37"/>
  <c r="J38" i="37"/>
  <c r="H39" i="37"/>
  <c r="F40" i="37"/>
  <c r="N40" i="37"/>
  <c r="L41" i="37"/>
  <c r="J42" i="37"/>
  <c r="H43" i="37"/>
  <c r="F44" i="37"/>
  <c r="N44" i="37"/>
  <c r="L45" i="37"/>
  <c r="J46" i="37"/>
  <c r="H47" i="37"/>
  <c r="J73" i="37"/>
  <c r="N82" i="37"/>
  <c r="F86" i="37"/>
  <c r="H34" i="37"/>
  <c r="M37" i="37"/>
  <c r="K38" i="37"/>
  <c r="I39" i="37"/>
  <c r="G40" i="37"/>
  <c r="M41" i="37"/>
  <c r="K42" i="37"/>
  <c r="I43" i="37"/>
  <c r="G44" i="37"/>
  <c r="M45" i="37"/>
  <c r="K46" i="37"/>
  <c r="I47" i="37"/>
  <c r="F61" i="37"/>
  <c r="L79" i="37"/>
  <c r="N86" i="37"/>
  <c r="F11" i="37"/>
  <c r="I34" i="37"/>
  <c r="G36" i="37"/>
  <c r="N37" i="37"/>
  <c r="L38" i="37"/>
  <c r="J39" i="37"/>
  <c r="H40" i="37"/>
  <c r="F41" i="37"/>
  <c r="N41" i="37"/>
  <c r="L42" i="37"/>
  <c r="J43" i="37"/>
  <c r="H44" i="37"/>
  <c r="F45" i="37"/>
  <c r="N45" i="37"/>
  <c r="L46" i="37"/>
  <c r="J47" i="37"/>
  <c r="N61" i="37"/>
  <c r="F65" i="37"/>
  <c r="H74" i="37"/>
  <c r="L83" i="37"/>
  <c r="F14" i="37"/>
  <c r="G23" i="37"/>
  <c r="F25" i="37"/>
  <c r="M34" i="37"/>
  <c r="I36" i="37"/>
  <c r="F37" i="37"/>
  <c r="M38" i="37"/>
  <c r="K39" i="37"/>
  <c r="I40" i="37"/>
  <c r="G41" i="37"/>
  <c r="M42" i="37"/>
  <c r="K43" i="37"/>
  <c r="I44" i="37"/>
  <c r="G45" i="37"/>
  <c r="M46" i="37"/>
  <c r="K47" i="37"/>
  <c r="F71" i="37"/>
  <c r="J80" i="37"/>
  <c r="L87" i="37"/>
  <c r="N14" i="37"/>
  <c r="F18" i="37"/>
  <c r="J23" i="37"/>
  <c r="G29" i="37"/>
  <c r="F31" i="37"/>
  <c r="J36" i="37"/>
  <c r="H37" i="37"/>
  <c r="F38" i="37"/>
  <c r="N38" i="37"/>
  <c r="L39" i="37"/>
  <c r="J40" i="37"/>
  <c r="H41" i="37"/>
  <c r="F42" i="37"/>
  <c r="N42" i="37"/>
  <c r="L43" i="37"/>
  <c r="J44" i="37"/>
  <c r="H45" i="37"/>
  <c r="F46" i="37"/>
  <c r="N46" i="37"/>
  <c r="L47" i="37"/>
  <c r="F75" i="37"/>
  <c r="H77" i="37"/>
  <c r="J84" i="37"/>
  <c r="F21" i="37"/>
  <c r="K23" i="37"/>
  <c r="J29" i="37"/>
  <c r="G33" i="37"/>
  <c r="F35" i="37"/>
  <c r="L36" i="37"/>
  <c r="I37" i="37"/>
  <c r="G38" i="37"/>
  <c r="M39" i="37"/>
  <c r="K40" i="37"/>
  <c r="I41" i="37"/>
  <c r="G42" i="37"/>
  <c r="M43" i="37"/>
  <c r="K44" i="37"/>
  <c r="I45" i="37"/>
  <c r="G46" i="37"/>
  <c r="M47" i="37"/>
  <c r="H81" i="37"/>
  <c r="N21" i="37"/>
  <c r="K29" i="37"/>
  <c r="J33" i="37"/>
  <c r="M36" i="37"/>
  <c r="J37" i="37"/>
  <c r="H38" i="37"/>
  <c r="F39" i="37"/>
  <c r="N39" i="37"/>
  <c r="L40" i="37"/>
  <c r="J41" i="37"/>
  <c r="H42" i="37"/>
  <c r="F43" i="37"/>
  <c r="N43" i="37"/>
  <c r="L44" i="37"/>
  <c r="J45" i="37"/>
  <c r="H46" i="37"/>
  <c r="F47" i="37"/>
  <c r="N47" i="37"/>
  <c r="J63" i="37"/>
  <c r="F78" i="37"/>
  <c r="H85" i="37"/>
  <c r="K33" i="37"/>
  <c r="K37" i="37"/>
  <c r="I38" i="37"/>
  <c r="G39" i="37"/>
  <c r="M40" i="37"/>
  <c r="K41" i="37"/>
  <c r="I42" i="37"/>
  <c r="G43" i="37"/>
  <c r="M44" i="37"/>
  <c r="K45" i="37"/>
  <c r="I46" i="37"/>
  <c r="G47" i="37"/>
  <c r="AM7" i="39" l="1"/>
  <c r="AB66" i="39"/>
  <c r="AB7" i="39" s="1"/>
  <c r="Z7" i="39"/>
  <c r="AB47" i="39"/>
  <c r="AB6" i="39" s="1"/>
  <c r="Z6" i="39"/>
  <c r="AN6" i="39"/>
  <c r="AI5" i="39"/>
  <c r="AI7" i="39"/>
  <c r="AO6" i="39"/>
  <c r="AH7" i="39"/>
  <c r="AL5" i="39"/>
  <c r="AL4" i="39"/>
  <c r="AC5" i="39"/>
  <c r="AA5" i="39"/>
  <c r="AH6" i="39"/>
  <c r="AN5" i="39"/>
  <c r="AL6" i="39"/>
  <c r="AN7" i="39"/>
  <c r="AO7" i="39"/>
  <c r="AC7" i="39"/>
  <c r="AA7" i="39"/>
  <c r="AM6" i="39"/>
  <c r="AH5" i="39"/>
  <c r="AI6" i="39"/>
  <c r="AM5" i="39"/>
  <c r="AB28" i="39"/>
  <c r="AB5" i="39" s="1"/>
  <c r="Z5" i="39"/>
  <c r="AC6" i="39"/>
  <c r="AA6" i="39"/>
  <c r="BK276" i="39"/>
  <c r="BK23" i="39"/>
  <c r="BK43" i="39"/>
  <c r="BK286" i="39"/>
  <c r="BK13" i="39"/>
  <c r="BK347" i="39"/>
  <c r="BK140" i="39"/>
  <c r="BK29" i="39"/>
  <c r="BK348" i="39"/>
  <c r="BK265" i="39"/>
  <c r="BK46" i="39"/>
  <c r="BK21" i="39"/>
  <c r="BK15" i="39"/>
  <c r="BK345" i="39"/>
  <c r="BK202" i="39"/>
  <c r="BK240" i="39"/>
  <c r="BK20" i="39"/>
  <c r="BK19" i="39"/>
  <c r="BK158" i="39"/>
  <c r="BK157" i="39"/>
  <c r="BK210" i="39"/>
  <c r="BK287" i="39"/>
  <c r="BK285" i="39"/>
  <c r="BK304" i="39"/>
  <c r="BK351" i="39"/>
  <c r="BK277" i="39"/>
  <c r="BK188" i="39"/>
  <c r="BK47" i="39"/>
  <c r="BK257" i="39"/>
  <c r="BK279" i="39"/>
  <c r="BK263" i="39"/>
  <c r="BK91" i="39"/>
  <c r="BK160" i="39"/>
  <c r="BK145" i="39"/>
  <c r="BK64" i="39"/>
  <c r="BK154" i="39"/>
  <c r="BK24" i="39"/>
  <c r="BK207" i="39"/>
  <c r="BK243" i="39"/>
  <c r="BK242" i="39"/>
  <c r="BK255" i="39"/>
  <c r="D179" i="42"/>
  <c r="BK227" i="39"/>
  <c r="BK197" i="39"/>
  <c r="BK94" i="39"/>
  <c r="BK66" i="39"/>
  <c r="BK303" i="39"/>
  <c r="BK52" i="39"/>
  <c r="BK36" i="39"/>
  <c r="BK88" i="39"/>
  <c r="BK10" i="39"/>
  <c r="BK193" i="39"/>
  <c r="BK205" i="39"/>
  <c r="BK204" i="39"/>
  <c r="BK241" i="39"/>
  <c r="BK199" i="39"/>
  <c r="BK48" i="39"/>
  <c r="BK67" i="39"/>
  <c r="BK301" i="39"/>
  <c r="BK65" i="39"/>
  <c r="BK302" i="39"/>
  <c r="BK144" i="39"/>
  <c r="BK90" i="39"/>
  <c r="BK33" i="39"/>
  <c r="BK298" i="39"/>
  <c r="BK138" i="39"/>
  <c r="BK191" i="39"/>
  <c r="BK190" i="39"/>
  <c r="BK203" i="39"/>
  <c r="BK50" i="39"/>
  <c r="BK22" i="39"/>
  <c r="BK53" i="39"/>
  <c r="BK273" i="39"/>
  <c r="BK200" i="39"/>
  <c r="BK51" i="39"/>
  <c r="BK35" i="39"/>
  <c r="BK11" i="39"/>
  <c r="BK274" i="39"/>
  <c r="BK99" i="39"/>
  <c r="BK163" i="39"/>
  <c r="BK162" i="39"/>
  <c r="BK189" i="39"/>
  <c r="BK14" i="39"/>
  <c r="BK192" i="39"/>
  <c r="BK39" i="39"/>
  <c r="BK26" i="39"/>
  <c r="BK256" i="39"/>
  <c r="BK93" i="39"/>
  <c r="BK17" i="39"/>
  <c r="D83" i="42"/>
  <c r="BK225" i="39"/>
  <c r="BK299" i="39"/>
  <c r="BK260" i="39"/>
  <c r="BK44" i="39"/>
  <c r="BK97" i="39"/>
  <c r="BK148" i="39"/>
  <c r="BK161" i="39"/>
  <c r="BK346" i="39"/>
  <c r="BK164" i="39"/>
  <c r="BK25" i="39"/>
  <c r="BK196" i="39"/>
  <c r="BK349" i="39"/>
  <c r="BK38" i="39"/>
  <c r="BK211" i="39"/>
  <c r="BK275" i="39"/>
  <c r="BK194" i="39"/>
  <c r="BK30" i="39"/>
  <c r="BK56" i="39"/>
  <c r="BK135" i="39"/>
  <c r="BK134" i="39"/>
  <c r="BK300" i="39"/>
  <c r="BK150" i="39"/>
  <c r="BK297" i="39"/>
  <c r="BK32" i="39"/>
  <c r="BK280" i="39"/>
  <c r="BK201" i="39"/>
  <c r="BK155" i="39"/>
  <c r="BK261" i="39"/>
  <c r="BK166" i="39"/>
  <c r="BK156" i="39"/>
  <c r="BK42" i="39"/>
  <c r="BK96" i="39"/>
  <c r="BK95" i="39"/>
  <c r="BK278" i="39"/>
  <c r="BK98" i="39"/>
  <c r="BK92" i="39"/>
  <c r="BK267" i="39"/>
  <c r="BK34" i="39"/>
  <c r="BK209" i="39"/>
  <c r="BK59" i="39"/>
  <c r="BK89" i="39"/>
  <c r="BK55" i="39"/>
  <c r="BK68" i="39"/>
  <c r="D131" i="42"/>
  <c r="BK226" i="39"/>
  <c r="BK18" i="39"/>
  <c r="D35" i="42"/>
  <c r="BK224" i="39"/>
  <c r="BK269" i="39"/>
  <c r="BK172" i="39"/>
  <c r="BK16" i="39"/>
  <c r="BK12" i="39"/>
  <c r="BK195" i="39"/>
  <c r="BK45" i="39"/>
  <c r="BK272" i="39"/>
  <c r="BK170" i="39"/>
  <c r="BK41" i="39"/>
  <c r="BK54" i="39"/>
  <c r="BK198" i="39"/>
  <c r="BK350" i="39"/>
  <c r="BK159" i="39"/>
  <c r="BK37" i="39"/>
  <c r="BK344" i="39"/>
  <c r="BK167" i="39"/>
  <c r="BK31" i="39"/>
  <c r="BK206" i="39"/>
  <c r="BK296" i="39"/>
  <c r="BK27" i="39"/>
  <c r="BK40" i="39"/>
  <c r="BK49" i="39"/>
  <c r="BK254" i="39"/>
  <c r="L21" i="41"/>
  <c r="L117" i="41"/>
  <c r="L75" i="41"/>
  <c r="L165" i="41"/>
  <c r="L26" i="41"/>
  <c r="L74" i="41"/>
  <c r="L27" i="41"/>
  <c r="L170" i="41"/>
  <c r="L171" i="41"/>
  <c r="L69" i="41"/>
  <c r="L122" i="41"/>
  <c r="L123" i="41"/>
  <c r="BC292" i="39" a="1"/>
  <c r="BC292" i="39" s="1"/>
  <c r="AW292" i="39" a="1"/>
  <c r="AW292" i="39" s="1"/>
  <c r="BC160" i="39" a="1"/>
  <c r="BC160" i="39" s="1"/>
  <c r="AW160" i="39" a="1"/>
  <c r="AW160" i="39" s="1"/>
  <c r="BC117" i="39" a="1"/>
  <c r="BC117" i="39" s="1"/>
  <c r="AW117" i="39" a="1"/>
  <c r="AW117" i="39" s="1"/>
  <c r="BC329" i="39" a="1"/>
  <c r="BC329" i="39" s="1"/>
  <c r="AW329" i="39" a="1"/>
  <c r="AW329" i="39" s="1"/>
  <c r="BC69" i="39" a="1"/>
  <c r="BC69" i="39" s="1"/>
  <c r="AW69" i="39" a="1"/>
  <c r="AW69" i="39" s="1"/>
  <c r="BC296" i="39" a="1"/>
  <c r="BC296" i="39" s="1"/>
  <c r="AW296" i="39" a="1"/>
  <c r="AW296" i="39" s="1"/>
  <c r="BC144" i="39" a="1"/>
  <c r="BC144" i="39" s="1"/>
  <c r="AW144" i="39" a="1"/>
  <c r="AW144" i="39" s="1"/>
  <c r="BC314" i="39" a="1"/>
  <c r="BC314" i="39" s="1"/>
  <c r="AW314" i="39" a="1"/>
  <c r="AW314" i="39" s="1"/>
  <c r="BC22" i="39" a="1"/>
  <c r="BC22" i="39" s="1"/>
  <c r="AW22" i="39" a="1"/>
  <c r="AW22" i="39" s="1"/>
  <c r="BC307" i="39" a="1"/>
  <c r="BC307" i="39" s="1"/>
  <c r="AW307" i="39" a="1"/>
  <c r="AW307" i="39" s="1"/>
  <c r="BC207" i="39" a="1"/>
  <c r="BC207" i="39" s="1"/>
  <c r="AW207" i="39" a="1"/>
  <c r="AW207" i="39" s="1"/>
  <c r="BC99" i="39" a="1"/>
  <c r="BC99" i="39" s="1"/>
  <c r="AW99" i="39" a="1"/>
  <c r="AW99" i="39" s="1"/>
  <c r="BC346" i="39" a="1"/>
  <c r="BC346" i="39" s="1"/>
  <c r="AW346" i="39" a="1"/>
  <c r="AW346" i="39" s="1"/>
  <c r="BC250" i="39" a="1"/>
  <c r="BC250" i="39" s="1"/>
  <c r="AW250" i="39" a="1"/>
  <c r="AW250" i="39" s="1"/>
  <c r="BC143" i="39" a="1"/>
  <c r="BC143" i="39" s="1"/>
  <c r="AW143" i="39" a="1"/>
  <c r="AW143" i="39" s="1"/>
  <c r="BC31" i="39" a="1"/>
  <c r="BC31" i="39" s="1"/>
  <c r="AW31" i="39" a="1"/>
  <c r="AW31" i="39" s="1"/>
  <c r="BC295" i="39" a="1"/>
  <c r="BC295" i="39" s="1"/>
  <c r="AW295" i="39" a="1"/>
  <c r="AW295" i="39" s="1"/>
  <c r="BC189" i="39" a="1"/>
  <c r="BC189" i="39" s="1"/>
  <c r="AW189" i="39" a="1"/>
  <c r="AW189" i="39" s="1"/>
  <c r="BC82" i="39" a="1"/>
  <c r="BC82" i="39" s="1"/>
  <c r="AW82" i="39" a="1"/>
  <c r="AW82" i="39" s="1"/>
  <c r="BC318" i="39" a="1"/>
  <c r="BC318" i="39" s="1"/>
  <c r="AW318" i="39" a="1"/>
  <c r="AW318" i="39" s="1"/>
  <c r="BC220" i="39" a="1"/>
  <c r="BC220" i="39" s="1"/>
  <c r="AW220" i="39" a="1"/>
  <c r="AW220" i="39" s="1"/>
  <c r="BC112" i="39" a="1"/>
  <c r="BC112" i="39" s="1"/>
  <c r="AW112" i="39" a="1"/>
  <c r="AW112" i="39" s="1"/>
  <c r="BC263" i="39" a="1"/>
  <c r="BC263" i="39" s="1"/>
  <c r="AW263" i="39" a="1"/>
  <c r="AW263" i="39" s="1"/>
  <c r="BC155" i="39" a="1"/>
  <c r="BC155" i="39" s="1"/>
  <c r="AW155" i="39" a="1"/>
  <c r="AW155" i="39" s="1"/>
  <c r="BC48" i="39" a="1"/>
  <c r="BC48" i="39" s="1"/>
  <c r="AW48" i="39" a="1"/>
  <c r="AW48" i="39" s="1"/>
  <c r="BC33" i="39" a="1"/>
  <c r="BC33" i="39" s="1"/>
  <c r="AW33" i="39" a="1"/>
  <c r="AW33" i="39" s="1"/>
  <c r="BB345" i="39" a="1"/>
  <c r="BB345" i="39" s="1"/>
  <c r="AV345" i="39" a="1"/>
  <c r="AV345" i="39" s="1"/>
  <c r="BB172" i="39" a="1"/>
  <c r="BB172" i="39" s="1"/>
  <c r="AV172" i="39" a="1"/>
  <c r="AV172" i="39" s="1"/>
  <c r="BB254" i="39" a="1"/>
  <c r="BB254" i="39" s="1"/>
  <c r="AV254" i="39" a="1"/>
  <c r="AV254" i="39" s="1"/>
  <c r="BB169" i="39" a="1"/>
  <c r="BB169" i="39" s="1"/>
  <c r="AV169" i="39" a="1"/>
  <c r="AV169" i="39" s="1"/>
  <c r="BB262" i="39" a="1"/>
  <c r="BB262" i="39" s="1"/>
  <c r="AV262" i="39" a="1"/>
  <c r="AV262" i="39" s="1"/>
  <c r="BB256" i="39" a="1"/>
  <c r="BB256" i="39" s="1"/>
  <c r="AV256" i="39" a="1"/>
  <c r="AV256" i="39" s="1"/>
  <c r="BB30" i="39" a="1"/>
  <c r="BB30" i="39" s="1"/>
  <c r="AV30" i="39" a="1"/>
  <c r="AV30" i="39" s="1"/>
  <c r="BB315" i="39" a="1"/>
  <c r="BB315" i="39" s="1"/>
  <c r="AV315" i="39" a="1"/>
  <c r="AV315" i="39" s="1"/>
  <c r="BB154" i="39" a="1"/>
  <c r="BB154" i="39" s="1"/>
  <c r="AV154" i="39" a="1"/>
  <c r="AV154" i="39" s="1"/>
  <c r="BB314" i="39" a="1"/>
  <c r="BB314" i="39" s="1"/>
  <c r="AV314" i="39" a="1"/>
  <c r="AV314" i="39" s="1"/>
  <c r="BB153" i="39" a="1"/>
  <c r="BB153" i="39" s="1"/>
  <c r="AV153" i="39" a="1"/>
  <c r="AV153" i="39" s="1"/>
  <c r="BB261" i="39" a="1"/>
  <c r="BB261" i="39" s="1"/>
  <c r="AV261" i="39" a="1"/>
  <c r="AV261" i="39" s="1"/>
  <c r="BB295" i="39" a="1"/>
  <c r="BB295" i="39" s="1"/>
  <c r="AV295" i="39" a="1"/>
  <c r="AV295" i="39" s="1"/>
  <c r="BB100" i="39" a="1"/>
  <c r="BB100" i="39" s="1"/>
  <c r="AV100" i="39" a="1"/>
  <c r="AV100" i="39" s="1"/>
  <c r="BB215" i="39" a="1"/>
  <c r="BB215" i="39" s="1"/>
  <c r="AV215" i="39" a="1"/>
  <c r="AV215" i="39" s="1"/>
  <c r="BB47" i="39" a="1"/>
  <c r="BB47" i="39" s="1"/>
  <c r="AV47" i="39" a="1"/>
  <c r="AV47" i="39" s="1"/>
  <c r="BB250" i="39" a="1"/>
  <c r="BB250" i="39" s="1"/>
  <c r="AV250" i="39" a="1"/>
  <c r="AV250" i="39" s="1"/>
  <c r="BB143" i="39" a="1"/>
  <c r="BB143" i="39" s="1"/>
  <c r="AV143" i="39" a="1"/>
  <c r="AV143" i="39" s="1"/>
  <c r="BB287" i="39" a="1"/>
  <c r="BB287" i="39" s="1"/>
  <c r="AV287" i="39" a="1"/>
  <c r="AV287" i="39" s="1"/>
  <c r="BB179" i="39" a="1"/>
  <c r="BB179" i="39" s="1"/>
  <c r="AV179" i="39" a="1"/>
  <c r="AV179" i="39" s="1"/>
  <c r="BB122" i="39" a="1"/>
  <c r="BB122" i="39" s="1"/>
  <c r="AV122" i="39" a="1"/>
  <c r="AV122" i="39" s="1"/>
  <c r="BB12" i="39" a="1"/>
  <c r="BB12" i="39" s="1"/>
  <c r="AV12" i="39" a="1"/>
  <c r="AV12" i="39" s="1"/>
  <c r="BB35" i="39" a="1"/>
  <c r="BB35" i="39" s="1"/>
  <c r="AV35" i="39" a="1"/>
  <c r="AV35" i="39" s="1"/>
  <c r="BB58" i="39" a="1"/>
  <c r="BB58" i="39" s="1"/>
  <c r="AV58" i="39" a="1"/>
  <c r="AV58" i="39" s="1"/>
  <c r="BB81" i="39" a="1"/>
  <c r="BB81" i="39" s="1"/>
  <c r="AV81" i="39" a="1"/>
  <c r="AV81" i="39" s="1"/>
  <c r="BB103" i="39" a="1"/>
  <c r="BB103" i="39" s="1"/>
  <c r="AV103" i="39" a="1"/>
  <c r="AV103" i="39" s="1"/>
  <c r="BD48" i="39" a="1"/>
  <c r="BD48" i="39" s="1"/>
  <c r="AX48" i="39" a="1"/>
  <c r="AX48" i="39" s="1"/>
  <c r="BD152" i="39" a="1"/>
  <c r="BD152" i="39" s="1"/>
  <c r="AX152" i="39" a="1"/>
  <c r="AX152" i="39" s="1"/>
  <c r="BD102" i="39" a="1"/>
  <c r="BD102" i="39" s="1"/>
  <c r="AX102" i="39" a="1"/>
  <c r="AX102" i="39" s="1"/>
  <c r="BD148" i="39" a="1"/>
  <c r="BD148" i="39" s="1"/>
  <c r="AX148" i="39" a="1"/>
  <c r="AX148" i="39" s="1"/>
  <c r="BD45" i="39" a="1"/>
  <c r="BD45" i="39" s="1"/>
  <c r="AX45" i="39" a="1"/>
  <c r="AX45" i="39" s="1"/>
  <c r="BD208" i="39" a="1"/>
  <c r="BD208" i="39" s="1"/>
  <c r="AX208" i="39" a="1"/>
  <c r="AX208" i="39" s="1"/>
  <c r="BD60" i="39" a="1"/>
  <c r="BD60" i="39" s="1"/>
  <c r="AX60" i="39" a="1"/>
  <c r="AX60" i="39" s="1"/>
  <c r="BD278" i="39" a="1"/>
  <c r="BD278" i="39" s="1"/>
  <c r="AX278" i="39" a="1"/>
  <c r="AX278" i="39" s="1"/>
  <c r="BD112" i="39" a="1"/>
  <c r="BD112" i="39" s="1"/>
  <c r="AX112" i="39" a="1"/>
  <c r="AX112" i="39" s="1"/>
  <c r="BD182" i="39" a="1"/>
  <c r="BD182" i="39" s="1"/>
  <c r="AX182" i="39" a="1"/>
  <c r="AX182" i="39" s="1"/>
  <c r="BD263" i="39" a="1"/>
  <c r="BD263" i="39" s="1"/>
  <c r="AX263" i="39" a="1"/>
  <c r="AX263" i="39" s="1"/>
  <c r="BD51" i="39" a="1"/>
  <c r="BD51" i="39" s="1"/>
  <c r="AX51" i="39" a="1"/>
  <c r="AX51" i="39" s="1"/>
  <c r="BD239" i="39" a="1"/>
  <c r="BD239" i="39" s="1"/>
  <c r="AX239" i="39" a="1"/>
  <c r="AX239" i="39" s="1"/>
  <c r="BD128" i="39" a="1"/>
  <c r="BD128" i="39" s="1"/>
  <c r="AX128" i="39" a="1"/>
  <c r="AX128" i="39" s="1"/>
  <c r="BD234" i="39" a="1"/>
  <c r="BD234" i="39" s="1"/>
  <c r="AX234" i="39" a="1"/>
  <c r="AX234" i="39" s="1"/>
  <c r="BD111" i="39" a="1"/>
  <c r="BD111" i="39" s="1"/>
  <c r="AX111" i="39" a="1"/>
  <c r="AX111" i="39" s="1"/>
  <c r="BD22" i="39" a="1"/>
  <c r="BD22" i="39" s="1"/>
  <c r="AX22" i="39" a="1"/>
  <c r="AX22" i="39" s="1"/>
  <c r="BD242" i="39" a="1"/>
  <c r="BD242" i="39" s="1"/>
  <c r="AX242" i="39" a="1"/>
  <c r="AX242" i="39" s="1"/>
  <c r="BD262" i="39" a="1"/>
  <c r="BD262" i="39" s="1"/>
  <c r="AX262" i="39" a="1"/>
  <c r="AX262" i="39" s="1"/>
  <c r="BD351" i="39" a="1"/>
  <c r="BD351" i="39" s="1"/>
  <c r="AX351" i="39" a="1"/>
  <c r="AX351" i="39" s="1"/>
  <c r="BC316" i="39" a="1"/>
  <c r="BC316" i="39" s="1"/>
  <c r="AW316" i="39" a="1"/>
  <c r="AW316" i="39" s="1"/>
  <c r="BC161" i="39" a="1"/>
  <c r="BC161" i="39" s="1"/>
  <c r="AW161" i="39" a="1"/>
  <c r="AW161" i="39" s="1"/>
  <c r="BC130" i="39" a="1"/>
  <c r="BC130" i="39" s="1"/>
  <c r="AW130" i="39" a="1"/>
  <c r="AW130" i="39" s="1"/>
  <c r="BC310" i="39" a="1"/>
  <c r="BC310" i="39" s="1"/>
  <c r="AW310" i="39" a="1"/>
  <c r="AW310" i="39" s="1"/>
  <c r="BC86" i="39" a="1"/>
  <c r="BC86" i="39" s="1"/>
  <c r="AW86" i="39" a="1"/>
  <c r="AW86" i="39" s="1"/>
  <c r="BC302" i="39" a="1"/>
  <c r="BC302" i="39" s="1"/>
  <c r="AW302" i="39" a="1"/>
  <c r="AW302" i="39" s="1"/>
  <c r="BC262" i="39" a="1"/>
  <c r="BC262" i="39" s="1"/>
  <c r="AW262" i="39" a="1"/>
  <c r="AW262" i="39" s="1"/>
  <c r="BC297" i="39" a="1"/>
  <c r="BC297" i="39" s="1"/>
  <c r="AW297" i="39" a="1"/>
  <c r="AW297" i="39" s="1"/>
  <c r="BC71" i="39" a="1"/>
  <c r="BC71" i="39" s="1"/>
  <c r="AW71" i="39" a="1"/>
  <c r="AW71" i="39" s="1"/>
  <c r="BC301" i="39" a="1"/>
  <c r="BC301" i="39" s="1"/>
  <c r="AW301" i="39" a="1"/>
  <c r="AW301" i="39" s="1"/>
  <c r="BC199" i="39" a="1"/>
  <c r="BC199" i="39" s="1"/>
  <c r="AW199" i="39" a="1"/>
  <c r="AW199" i="39" s="1"/>
  <c r="BC91" i="39" a="1"/>
  <c r="BC91" i="39" s="1"/>
  <c r="AW91" i="39" a="1"/>
  <c r="AW91" i="39" s="1"/>
  <c r="BC340" i="39" a="1"/>
  <c r="BC340" i="39" s="1"/>
  <c r="AW340" i="39" a="1"/>
  <c r="AW340" i="39" s="1"/>
  <c r="BC242" i="39" a="1"/>
  <c r="BC242" i="39" s="1"/>
  <c r="AW242" i="39" a="1"/>
  <c r="AW242" i="39" s="1"/>
  <c r="BC135" i="39" a="1"/>
  <c r="BC135" i="39" s="1"/>
  <c r="AW135" i="39" a="1"/>
  <c r="AW135" i="39" s="1"/>
  <c r="BC13" i="39" a="1"/>
  <c r="BC13" i="39" s="1"/>
  <c r="AW13" i="39" a="1"/>
  <c r="AW13" i="39" s="1"/>
  <c r="BC289" i="39" a="1"/>
  <c r="BC289" i="39" s="1"/>
  <c r="AW289" i="39" a="1"/>
  <c r="AW289" i="39" s="1"/>
  <c r="BC181" i="39" a="1"/>
  <c r="BC181" i="39" s="1"/>
  <c r="AW181" i="39" a="1"/>
  <c r="AW181" i="39" s="1"/>
  <c r="BC74" i="39" a="1"/>
  <c r="BC74" i="39" s="1"/>
  <c r="AW74" i="39" a="1"/>
  <c r="AW74" i="39" s="1"/>
  <c r="BC212" i="39" a="1"/>
  <c r="BC212" i="39" s="1"/>
  <c r="AW212" i="39" a="1"/>
  <c r="AW212" i="39" s="1"/>
  <c r="BC104" i="39" a="1"/>
  <c r="BC104" i="39" s="1"/>
  <c r="AW104" i="39" a="1"/>
  <c r="AW104" i="39" s="1"/>
  <c r="BC351" i="39" a="1"/>
  <c r="BC351" i="39" s="1"/>
  <c r="AW351" i="39" a="1"/>
  <c r="AW351" i="39" s="1"/>
  <c r="BC255" i="39" a="1"/>
  <c r="BC255" i="39" s="1"/>
  <c r="AW255" i="39" a="1"/>
  <c r="AW255" i="39" s="1"/>
  <c r="BC147" i="39" a="1"/>
  <c r="BC147" i="39" s="1"/>
  <c r="AW147" i="39" a="1"/>
  <c r="AW147" i="39" s="1"/>
  <c r="BC40" i="39" a="1"/>
  <c r="BC40" i="39" s="1"/>
  <c r="AW40" i="39" a="1"/>
  <c r="AW40" i="39" s="1"/>
  <c r="BC25" i="39" a="1"/>
  <c r="BC25" i="39" s="1"/>
  <c r="AW25" i="39" a="1"/>
  <c r="AW25" i="39" s="1"/>
  <c r="BB146" i="39" a="1"/>
  <c r="BB146" i="39" s="1"/>
  <c r="AV146" i="39" a="1"/>
  <c r="AV146" i="39" s="1"/>
  <c r="BB94" i="39" a="1"/>
  <c r="BB94" i="39" s="1"/>
  <c r="AV94" i="39" a="1"/>
  <c r="AV94" i="39" s="1"/>
  <c r="BB55" i="39" a="1"/>
  <c r="BB55" i="39" s="1"/>
  <c r="AV55" i="39" a="1"/>
  <c r="AV55" i="39" s="1"/>
  <c r="BB208" i="39" a="1"/>
  <c r="BB208" i="39" s="1"/>
  <c r="AV208" i="39" a="1"/>
  <c r="AV208" i="39" s="1"/>
  <c r="BB237" i="39" a="1"/>
  <c r="BB237" i="39" s="1"/>
  <c r="AV237" i="39" a="1"/>
  <c r="AV237" i="39" s="1"/>
  <c r="BB108" i="39" a="1"/>
  <c r="BB108" i="39" s="1"/>
  <c r="AV108" i="39" a="1"/>
  <c r="AV108" i="39" s="1"/>
  <c r="BB144" i="39" a="1"/>
  <c r="BB144" i="39" s="1"/>
  <c r="AV144" i="39" a="1"/>
  <c r="AV144" i="39" s="1"/>
  <c r="BB307" i="39" a="1"/>
  <c r="BB307" i="39" s="1"/>
  <c r="AV307" i="39" a="1"/>
  <c r="AV307" i="39" s="1"/>
  <c r="BB142" i="39" a="1"/>
  <c r="BB142" i="39" s="1"/>
  <c r="AV142" i="39" a="1"/>
  <c r="AV142" i="39" s="1"/>
  <c r="BB305" i="39" a="1"/>
  <c r="BB305" i="39" s="1"/>
  <c r="AV305" i="39" a="1"/>
  <c r="AV305" i="39" s="1"/>
  <c r="BB141" i="39" a="1"/>
  <c r="BB141" i="39" s="1"/>
  <c r="AV141" i="39" a="1"/>
  <c r="AV141" i="39" s="1"/>
  <c r="BB248" i="39" a="1"/>
  <c r="BB248" i="39" s="1"/>
  <c r="AV248" i="39" a="1"/>
  <c r="AV248" i="39" s="1"/>
  <c r="BB285" i="39" a="1"/>
  <c r="BB285" i="39" s="1"/>
  <c r="AV285" i="39" a="1"/>
  <c r="AV285" i="39" s="1"/>
  <c r="BB63" i="39" a="1"/>
  <c r="BB63" i="39" s="1"/>
  <c r="AV63" i="39" a="1"/>
  <c r="AV63" i="39" s="1"/>
  <c r="BB207" i="39" a="1"/>
  <c r="BB207" i="39" s="1"/>
  <c r="AV207" i="39" a="1"/>
  <c r="AV207" i="39" s="1"/>
  <c r="BB29" i="39" a="1"/>
  <c r="BB29" i="39" s="1"/>
  <c r="AV29" i="39" a="1"/>
  <c r="AV29" i="39" s="1"/>
  <c r="BB242" i="39" a="1"/>
  <c r="BB242" i="39" s="1"/>
  <c r="AV242" i="39" a="1"/>
  <c r="AV242" i="39" s="1"/>
  <c r="BB130" i="39" a="1"/>
  <c r="BB130" i="39" s="1"/>
  <c r="AV130" i="39" a="1"/>
  <c r="AV130" i="39" s="1"/>
  <c r="BB279" i="39" a="1"/>
  <c r="BB279" i="39" s="1"/>
  <c r="AV279" i="39" a="1"/>
  <c r="AV279" i="39" s="1"/>
  <c r="BB171" i="39" a="1"/>
  <c r="BB171" i="39" s="1"/>
  <c r="AV171" i="39" a="1"/>
  <c r="AV171" i="39" s="1"/>
  <c r="BB114" i="39" a="1"/>
  <c r="BB114" i="39" s="1"/>
  <c r="AV114" i="39" a="1"/>
  <c r="AV114" i="39" s="1"/>
  <c r="BB135" i="39" a="1"/>
  <c r="BB135" i="39" s="1"/>
  <c r="AV135" i="39" a="1"/>
  <c r="AV135" i="39" s="1"/>
  <c r="BB27" i="39" a="1"/>
  <c r="BB27" i="39" s="1"/>
  <c r="AV27" i="39" a="1"/>
  <c r="AV27" i="39" s="1"/>
  <c r="BB50" i="39" a="1"/>
  <c r="BB50" i="39" s="1"/>
  <c r="AV50" i="39" a="1"/>
  <c r="AV50" i="39" s="1"/>
  <c r="BB73" i="39" a="1"/>
  <c r="BB73" i="39" s="1"/>
  <c r="AV73" i="39" a="1"/>
  <c r="AV73" i="39" s="1"/>
  <c r="BB95" i="39" a="1"/>
  <c r="BB95" i="39" s="1"/>
  <c r="AV95" i="39" a="1"/>
  <c r="AV95" i="39" s="1"/>
  <c r="BD12" i="39" a="1"/>
  <c r="BD12" i="39" s="1"/>
  <c r="AX12" i="39" a="1"/>
  <c r="AX12" i="39" s="1"/>
  <c r="BD226" i="39" a="1"/>
  <c r="BD226" i="39" s="1"/>
  <c r="AX226" i="39" a="1"/>
  <c r="AX226" i="39" s="1"/>
  <c r="BD133" i="39" a="1"/>
  <c r="BD133" i="39" s="1"/>
  <c r="AX133" i="39" a="1"/>
  <c r="AX133" i="39" s="1"/>
  <c r="BD126" i="39" a="1"/>
  <c r="BD126" i="39" s="1"/>
  <c r="AX126" i="39" a="1"/>
  <c r="AX126" i="39" s="1"/>
  <c r="BD175" i="39" a="1"/>
  <c r="BD175" i="39" s="1"/>
  <c r="AX175" i="39" a="1"/>
  <c r="AX175" i="39" s="1"/>
  <c r="BD63" i="39" a="1"/>
  <c r="BD63" i="39" s="1"/>
  <c r="AX63" i="39" a="1"/>
  <c r="AX63" i="39" s="1"/>
  <c r="BD255" i="39" a="1"/>
  <c r="BD255" i="39" s="1"/>
  <c r="AX255" i="39" a="1"/>
  <c r="AX255" i="39" s="1"/>
  <c r="BD37" i="39" a="1"/>
  <c r="BD37" i="39" s="1"/>
  <c r="AX37" i="39" a="1"/>
  <c r="AX37" i="39" s="1"/>
  <c r="BD110" i="39" a="1"/>
  <c r="BD110" i="39" s="1"/>
  <c r="AX110" i="39" a="1"/>
  <c r="AX110" i="39" s="1"/>
  <c r="BD157" i="39" a="1"/>
  <c r="BD157" i="39" s="1"/>
  <c r="AX157" i="39" a="1"/>
  <c r="AX157" i="39" s="1"/>
  <c r="BD260" i="39" a="1"/>
  <c r="BD260" i="39" s="1"/>
  <c r="AX260" i="39" a="1"/>
  <c r="AX260" i="39" s="1"/>
  <c r="BD134" i="39" a="1"/>
  <c r="BD134" i="39" s="1"/>
  <c r="AX134" i="39" a="1"/>
  <c r="AX134" i="39" s="1"/>
  <c r="BD161" i="39" a="1"/>
  <c r="BD161" i="39" s="1"/>
  <c r="AX161" i="39" a="1"/>
  <c r="AX161" i="39" s="1"/>
  <c r="BD73" i="39" a="1"/>
  <c r="BD73" i="39" s="1"/>
  <c r="AX73" i="39" a="1"/>
  <c r="AX73" i="39" s="1"/>
  <c r="BD33" i="39" a="1"/>
  <c r="BD33" i="39" s="1"/>
  <c r="AX33" i="39" a="1"/>
  <c r="AX33" i="39" s="1"/>
  <c r="BD32" i="39" a="1"/>
  <c r="BD32" i="39" s="1"/>
  <c r="AX32" i="39" a="1"/>
  <c r="AX32" i="39" s="1"/>
  <c r="BD217" i="39" a="1"/>
  <c r="BD217" i="39" s="1"/>
  <c r="AX217" i="39" a="1"/>
  <c r="AX217" i="39" s="1"/>
  <c r="BD146" i="39" a="1"/>
  <c r="BD146" i="39" s="1"/>
  <c r="AX146" i="39" a="1"/>
  <c r="AX146" i="39" s="1"/>
  <c r="BD137" i="39" a="1"/>
  <c r="BD137" i="39" s="1"/>
  <c r="AX137" i="39" a="1"/>
  <c r="AX137" i="39" s="1"/>
  <c r="BD195" i="39" a="1"/>
  <c r="BD195" i="39" s="1"/>
  <c r="AX195" i="39" a="1"/>
  <c r="AX195" i="39" s="1"/>
  <c r="BD291" i="39" a="1"/>
  <c r="BD291" i="39" s="1"/>
  <c r="AX291" i="39" a="1"/>
  <c r="AX291" i="39" s="1"/>
  <c r="BD295" i="39" a="1"/>
  <c r="BD295" i="39" s="1"/>
  <c r="AX295" i="39" a="1"/>
  <c r="AX295" i="39" s="1"/>
  <c r="BD306" i="39" a="1"/>
  <c r="BD306" i="39" s="1"/>
  <c r="AX306" i="39" a="1"/>
  <c r="AX306" i="39" s="1"/>
  <c r="BD331" i="39" a="1"/>
  <c r="BD331" i="39" s="1"/>
  <c r="AX331" i="39" a="1"/>
  <c r="AX331" i="39" s="1"/>
  <c r="BD341" i="39" a="1"/>
  <c r="BD341" i="39" s="1"/>
  <c r="AX341" i="39" a="1"/>
  <c r="AX341" i="39" s="1"/>
  <c r="BC348" i="39" a="1"/>
  <c r="BC348" i="39" s="1"/>
  <c r="AW348" i="39" a="1"/>
  <c r="AW348" i="39" s="1"/>
  <c r="BC194" i="39" a="1"/>
  <c r="BC194" i="39" s="1"/>
  <c r="AW194" i="39" a="1"/>
  <c r="AW194" i="39" s="1"/>
  <c r="BC93" i="39" a="1"/>
  <c r="BC93" i="39" s="1"/>
  <c r="AW93" i="39" a="1"/>
  <c r="AW93" i="39" s="1"/>
  <c r="BC285" i="39" a="1"/>
  <c r="BC285" i="39" s="1"/>
  <c r="AW285" i="39" a="1"/>
  <c r="AW285" i="39" s="1"/>
  <c r="BC15" i="39" a="1"/>
  <c r="BC15" i="39" s="1"/>
  <c r="AW15" i="39" a="1"/>
  <c r="AW15" i="39" s="1"/>
  <c r="BC276" i="39" a="1"/>
  <c r="BC276" i="39" s="1"/>
  <c r="AW276" i="39" a="1"/>
  <c r="AW276" i="39" s="1"/>
  <c r="BC230" i="39" a="1"/>
  <c r="BC230" i="39" s="1"/>
  <c r="AW230" i="39" a="1"/>
  <c r="AW230" i="39" s="1"/>
  <c r="BC269" i="39" a="1"/>
  <c r="BC269" i="39" s="1"/>
  <c r="AW269" i="39" a="1"/>
  <c r="AW269" i="39" s="1"/>
  <c r="BC102" i="39" a="1"/>
  <c r="BC102" i="39" s="1"/>
  <c r="AW102" i="39" a="1"/>
  <c r="AW102" i="39" s="1"/>
  <c r="BC278" i="39" a="1"/>
  <c r="BC278" i="39" s="1"/>
  <c r="AW278" i="39" a="1"/>
  <c r="AW278" i="39" s="1"/>
  <c r="BC53" i="39" a="1"/>
  <c r="BC53" i="39" s="1"/>
  <c r="AW53" i="39" a="1"/>
  <c r="AW53" i="39" s="1"/>
  <c r="BC191" i="39" a="1"/>
  <c r="BC191" i="39" s="1"/>
  <c r="AW191" i="39" a="1"/>
  <c r="AW191" i="39" s="1"/>
  <c r="BC332" i="39" a="1"/>
  <c r="BC332" i="39" s="1"/>
  <c r="AW332" i="39" a="1"/>
  <c r="AW332" i="39" s="1"/>
  <c r="BC234" i="39" a="1"/>
  <c r="BC234" i="39" s="1"/>
  <c r="AW234" i="39" a="1"/>
  <c r="AW234" i="39" s="1"/>
  <c r="BC128" i="39" a="1"/>
  <c r="BC128" i="39" s="1"/>
  <c r="AW128" i="39" a="1"/>
  <c r="AW128" i="39" s="1"/>
  <c r="BC281" i="39" a="1"/>
  <c r="BC281" i="39" s="1"/>
  <c r="AW281" i="39" a="1"/>
  <c r="AW281" i="39" s="1"/>
  <c r="BC173" i="39" a="1"/>
  <c r="BC173" i="39" s="1"/>
  <c r="AW173" i="39" a="1"/>
  <c r="AW173" i="39" s="1"/>
  <c r="BC66" i="39" a="1"/>
  <c r="BC66" i="39" s="1"/>
  <c r="AW66" i="39" a="1"/>
  <c r="AW66" i="39" s="1"/>
  <c r="BC304" i="39" a="1"/>
  <c r="BC304" i="39" s="1"/>
  <c r="AW304" i="39" a="1"/>
  <c r="AW304" i="39" s="1"/>
  <c r="BC204" i="39" a="1"/>
  <c r="BC204" i="39" s="1"/>
  <c r="AW204" i="39" a="1"/>
  <c r="AW204" i="39" s="1"/>
  <c r="BC96" i="39" a="1"/>
  <c r="BC96" i="39" s="1"/>
  <c r="AW96" i="39" a="1"/>
  <c r="AW96" i="39" s="1"/>
  <c r="BC343" i="39" a="1"/>
  <c r="BC343" i="39" s="1"/>
  <c r="AW343" i="39" a="1"/>
  <c r="AW343" i="39" s="1"/>
  <c r="BC247" i="39" a="1"/>
  <c r="BC247" i="39" s="1"/>
  <c r="AW247" i="39" a="1"/>
  <c r="AW247" i="39" s="1"/>
  <c r="BC140" i="39" a="1"/>
  <c r="BC140" i="39" s="1"/>
  <c r="AW140" i="39" a="1"/>
  <c r="AW140" i="39" s="1"/>
  <c r="BC23" i="39" a="1"/>
  <c r="BC23" i="39" s="1"/>
  <c r="AW23" i="39" a="1"/>
  <c r="AW23" i="39" s="1"/>
  <c r="BC17" i="39" a="1"/>
  <c r="BC17" i="39" s="1"/>
  <c r="AW17" i="39" a="1"/>
  <c r="AW17" i="39" s="1"/>
  <c r="BB313" i="39" a="1"/>
  <c r="BB313" i="39" s="1"/>
  <c r="AV313" i="39" a="1"/>
  <c r="AV313" i="39" s="1"/>
  <c r="BB77" i="39" a="1"/>
  <c r="BB77" i="39" s="1"/>
  <c r="AV77" i="39" a="1"/>
  <c r="AV77" i="39" s="1"/>
  <c r="BB318" i="39" a="1"/>
  <c r="BB318" i="39" s="1"/>
  <c r="AV318" i="39" a="1"/>
  <c r="AV318" i="39" s="1"/>
  <c r="BB216" i="39" a="1"/>
  <c r="BB216" i="39" s="1"/>
  <c r="AV216" i="39" a="1"/>
  <c r="AV216" i="39" s="1"/>
  <c r="BB117" i="39" a="1"/>
  <c r="BB117" i="39" s="1"/>
  <c r="AV117" i="39" a="1"/>
  <c r="AV117" i="39" s="1"/>
  <c r="BB116" i="39" a="1"/>
  <c r="BB116" i="39" s="1"/>
  <c r="AV116" i="39" a="1"/>
  <c r="AV116" i="39" s="1"/>
  <c r="BB298" i="39" a="1"/>
  <c r="BB298" i="39" s="1"/>
  <c r="AV298" i="39" a="1"/>
  <c r="AV298" i="39" s="1"/>
  <c r="BB115" i="39" a="1"/>
  <c r="BB115" i="39" s="1"/>
  <c r="AV115" i="39" a="1"/>
  <c r="AV115" i="39" s="1"/>
  <c r="BB236" i="39" a="1"/>
  <c r="BB236" i="39" s="1"/>
  <c r="AV236" i="39" a="1"/>
  <c r="AV236" i="39" s="1"/>
  <c r="BB272" i="39" a="1"/>
  <c r="BB272" i="39" s="1"/>
  <c r="AV272" i="39" a="1"/>
  <c r="AV272" i="39" s="1"/>
  <c r="BB31" i="39" a="1"/>
  <c r="BB31" i="39" s="1"/>
  <c r="AV31" i="39" a="1"/>
  <c r="AV31" i="39" s="1"/>
  <c r="BB199" i="39" a="1"/>
  <c r="BB199" i="39" s="1"/>
  <c r="AV199" i="39" a="1"/>
  <c r="AV199" i="39" s="1"/>
  <c r="BB332" i="39" a="1"/>
  <c r="BB332" i="39" s="1"/>
  <c r="AV332" i="39" a="1"/>
  <c r="AV332" i="39" s="1"/>
  <c r="BB234" i="39" a="1"/>
  <c r="BB234" i="39" s="1"/>
  <c r="AV234" i="39" a="1"/>
  <c r="AV234" i="39" s="1"/>
  <c r="BB109" i="39" a="1"/>
  <c r="BB109" i="39" s="1"/>
  <c r="AV109" i="39" a="1"/>
  <c r="AV109" i="39" s="1"/>
  <c r="BB271" i="39" a="1"/>
  <c r="BB271" i="39" s="1"/>
  <c r="AV271" i="39" a="1"/>
  <c r="AV271" i="39" s="1"/>
  <c r="BB163" i="39" a="1"/>
  <c r="BB163" i="39" s="1"/>
  <c r="AV163" i="39" a="1"/>
  <c r="AV163" i="39" s="1"/>
  <c r="BB107" i="39" a="1"/>
  <c r="BB107" i="39" s="1"/>
  <c r="AV107" i="39" a="1"/>
  <c r="AV107" i="39" s="1"/>
  <c r="BB128" i="39" a="1"/>
  <c r="BB128" i="39" s="1"/>
  <c r="AV128" i="39" a="1"/>
  <c r="AV128" i="39" s="1"/>
  <c r="BB19" i="39" a="1"/>
  <c r="BB19" i="39" s="1"/>
  <c r="AV19" i="39" a="1"/>
  <c r="AV19" i="39" s="1"/>
  <c r="BB42" i="39" a="1"/>
  <c r="BB42" i="39" s="1"/>
  <c r="AV42" i="39" a="1"/>
  <c r="AV42" i="39" s="1"/>
  <c r="BB65" i="39" a="1"/>
  <c r="BB65" i="39" s="1"/>
  <c r="AV65" i="39" a="1"/>
  <c r="AV65" i="39" s="1"/>
  <c r="BB87" i="39" a="1"/>
  <c r="BB87" i="39" s="1"/>
  <c r="AV87" i="39" a="1"/>
  <c r="AV87" i="39" s="1"/>
  <c r="BD52" i="39" a="1"/>
  <c r="BD52" i="39" s="1"/>
  <c r="AX52" i="39" a="1"/>
  <c r="AX52" i="39" s="1"/>
  <c r="BD190" i="39" a="1"/>
  <c r="BD190" i="39" s="1"/>
  <c r="AX190" i="39" a="1"/>
  <c r="AX190" i="39" s="1"/>
  <c r="BD249" i="39" a="1"/>
  <c r="BD249" i="39" s="1"/>
  <c r="AX249" i="39" a="1"/>
  <c r="AX249" i="39" s="1"/>
  <c r="BD188" i="39" a="1"/>
  <c r="BD188" i="39" s="1"/>
  <c r="AX188" i="39" a="1"/>
  <c r="AX188" i="39" s="1"/>
  <c r="BD82" i="39" a="1"/>
  <c r="BD82" i="39" s="1"/>
  <c r="AX82" i="39" a="1"/>
  <c r="AX82" i="39" s="1"/>
  <c r="BD177" i="39" a="1"/>
  <c r="BD177" i="39" s="1"/>
  <c r="AX177" i="39" a="1"/>
  <c r="AX177" i="39" s="1"/>
  <c r="BD189" i="39" a="1"/>
  <c r="BD189" i="39" s="1"/>
  <c r="AX189" i="39" a="1"/>
  <c r="AX189" i="39" s="1"/>
  <c r="BD231" i="39" a="1"/>
  <c r="BD231" i="39" s="1"/>
  <c r="AX231" i="39" a="1"/>
  <c r="AX231" i="39" s="1"/>
  <c r="BD277" i="39" a="1"/>
  <c r="BD277" i="39" s="1"/>
  <c r="AX277" i="39" a="1"/>
  <c r="AX277" i="39" s="1"/>
  <c r="BD272" i="39" a="1"/>
  <c r="BD272" i="39" s="1"/>
  <c r="AX272" i="39" a="1"/>
  <c r="AX272" i="39" s="1"/>
  <c r="BD84" i="39" a="1"/>
  <c r="BD84" i="39" s="1"/>
  <c r="AX84" i="39" a="1"/>
  <c r="AX84" i="39" s="1"/>
  <c r="BD40" i="39" a="1"/>
  <c r="BD40" i="39" s="1"/>
  <c r="AX40" i="39" a="1"/>
  <c r="AX40" i="39" s="1"/>
  <c r="BD240" i="39" a="1"/>
  <c r="BD240" i="39" s="1"/>
  <c r="AX240" i="39" a="1"/>
  <c r="AX240" i="39" s="1"/>
  <c r="BD180" i="39" a="1"/>
  <c r="BD180" i="39" s="1"/>
  <c r="AX180" i="39" a="1"/>
  <c r="AX180" i="39" s="1"/>
  <c r="BD209" i="39" a="1"/>
  <c r="BD209" i="39" s="1"/>
  <c r="AX209" i="39" a="1"/>
  <c r="AX209" i="39" s="1"/>
  <c r="BD221" i="39" a="1"/>
  <c r="BD221" i="39" s="1"/>
  <c r="AX221" i="39" a="1"/>
  <c r="AX221" i="39" s="1"/>
  <c r="BD122" i="39" a="1"/>
  <c r="BD122" i="39" s="1"/>
  <c r="AX122" i="39" a="1"/>
  <c r="AX122" i="39" s="1"/>
  <c r="BD77" i="39" a="1"/>
  <c r="BD77" i="39" s="1"/>
  <c r="AX77" i="39" a="1"/>
  <c r="AX77" i="39" s="1"/>
  <c r="BD64" i="39" a="1"/>
  <c r="BD64" i="39" s="1"/>
  <c r="AX64" i="39" a="1"/>
  <c r="AX64" i="39" s="1"/>
  <c r="BD101" i="39" a="1"/>
  <c r="BD101" i="39" s="1"/>
  <c r="AX101" i="39" a="1"/>
  <c r="AX101" i="39" s="1"/>
  <c r="BD283" i="39" a="1"/>
  <c r="BD283" i="39" s="1"/>
  <c r="AX283" i="39" a="1"/>
  <c r="AX283" i="39" s="1"/>
  <c r="BD299" i="39" a="1"/>
  <c r="BD299" i="39" s="1"/>
  <c r="AX299" i="39" a="1"/>
  <c r="AX299" i="39" s="1"/>
  <c r="BD308" i="39" a="1"/>
  <c r="BD308" i="39" s="1"/>
  <c r="AX308" i="39" a="1"/>
  <c r="AX308" i="39" s="1"/>
  <c r="BD311" i="39" a="1"/>
  <c r="BD311" i="39" s="1"/>
  <c r="AX311" i="39" a="1"/>
  <c r="AX311" i="39" s="1"/>
  <c r="BD325" i="39" a="1"/>
  <c r="BD325" i="39" s="1"/>
  <c r="AX325" i="39" a="1"/>
  <c r="AX325" i="39" s="1"/>
  <c r="BD326" i="39" a="1"/>
  <c r="BD326" i="39" s="1"/>
  <c r="AX326" i="39" a="1"/>
  <c r="AX326" i="39" s="1"/>
  <c r="BD350" i="39" a="1"/>
  <c r="BD350" i="39" s="1"/>
  <c r="AX350" i="39" a="1"/>
  <c r="AX350" i="39" s="1"/>
  <c r="BC229" i="39" a="1"/>
  <c r="BC229" i="39" s="1"/>
  <c r="AW229" i="39" a="1"/>
  <c r="AW229" i="39" s="1"/>
  <c r="BC47" i="39" a="1"/>
  <c r="BC47" i="39" s="1"/>
  <c r="AW47" i="39" a="1"/>
  <c r="AW47" i="39" s="1"/>
  <c r="BC46" i="39" a="1"/>
  <c r="BC46" i="39" s="1"/>
  <c r="AW46" i="39" a="1"/>
  <c r="AW46" i="39" s="1"/>
  <c r="BC253" i="39" a="1"/>
  <c r="BC253" i="39" s="1"/>
  <c r="AW253" i="39" a="1"/>
  <c r="AW253" i="39" s="1"/>
  <c r="BC238" i="39" a="1"/>
  <c r="BC238" i="39" s="1"/>
  <c r="AW238" i="39" a="1"/>
  <c r="AW238" i="39" s="1"/>
  <c r="BC201" i="39" a="1"/>
  <c r="BC201" i="39" s="1"/>
  <c r="AW201" i="39" a="1"/>
  <c r="AW201" i="39" s="1"/>
  <c r="BC246" i="39" a="1"/>
  <c r="BC246" i="39" s="1"/>
  <c r="AW246" i="39" a="1"/>
  <c r="AW246" i="39" s="1"/>
  <c r="BC84" i="39" a="1"/>
  <c r="BC84" i="39" s="1"/>
  <c r="AW84" i="39" a="1"/>
  <c r="AW84" i="39" s="1"/>
  <c r="BC260" i="39" a="1"/>
  <c r="BC260" i="39" s="1"/>
  <c r="AW260" i="39" a="1"/>
  <c r="AW260" i="39" s="1"/>
  <c r="BC21" i="39" a="1"/>
  <c r="BC21" i="39" s="1"/>
  <c r="AW21" i="39" a="1"/>
  <c r="AW21" i="39" s="1"/>
  <c r="BC291" i="39" a="1"/>
  <c r="BC291" i="39" s="1"/>
  <c r="AW291" i="39" a="1"/>
  <c r="AW291" i="39" s="1"/>
  <c r="BC183" i="39" a="1"/>
  <c r="BC183" i="39" s="1"/>
  <c r="AW183" i="39" a="1"/>
  <c r="AW183" i="39" s="1"/>
  <c r="BC76" i="39" a="1"/>
  <c r="BC76" i="39" s="1"/>
  <c r="AW76" i="39" a="1"/>
  <c r="AW76" i="39" s="1"/>
  <c r="BC326" i="39" a="1"/>
  <c r="BC326" i="39" s="1"/>
  <c r="AW326" i="39" a="1"/>
  <c r="AW326" i="39" s="1"/>
  <c r="BC121" i="39" a="1"/>
  <c r="BC121" i="39" s="1"/>
  <c r="AW121" i="39" a="1"/>
  <c r="AW121" i="39" s="1"/>
  <c r="BC273" i="39" a="1"/>
  <c r="BC273" i="39" s="1"/>
  <c r="AW273" i="39" a="1"/>
  <c r="AW273" i="39" s="1"/>
  <c r="BC165" i="39" a="1"/>
  <c r="BC165" i="39" s="1"/>
  <c r="AW165" i="39" a="1"/>
  <c r="AW165" i="39" s="1"/>
  <c r="BC58" i="39" a="1"/>
  <c r="BC58" i="39" s="1"/>
  <c r="AW58" i="39" a="1"/>
  <c r="AW58" i="39" s="1"/>
  <c r="BC196" i="39" a="1"/>
  <c r="BC196" i="39" s="1"/>
  <c r="AW196" i="39" a="1"/>
  <c r="AW196" i="39" s="1"/>
  <c r="BC88" i="39" a="1"/>
  <c r="BC88" i="39" s="1"/>
  <c r="AW88" i="39" a="1"/>
  <c r="AW88" i="39" s="1"/>
  <c r="BC337" i="39" a="1"/>
  <c r="BC337" i="39" s="1"/>
  <c r="AW337" i="39" a="1"/>
  <c r="AW337" i="39" s="1"/>
  <c r="BC239" i="39" a="1"/>
  <c r="BC239" i="39" s="1"/>
  <c r="AW239" i="39" a="1"/>
  <c r="AW239" i="39" s="1"/>
  <c r="BC133" i="39" a="1"/>
  <c r="BC133" i="39" s="1"/>
  <c r="AW133" i="39" a="1"/>
  <c r="AW133" i="39" s="1"/>
  <c r="BC28" i="39" a="1"/>
  <c r="BC28" i="39" s="1"/>
  <c r="AW28" i="39" a="1"/>
  <c r="AW28" i="39" s="1"/>
  <c r="BC32" i="39" a="1"/>
  <c r="BC32" i="39" s="1"/>
  <c r="AW32" i="39" a="1"/>
  <c r="AW32" i="39" s="1"/>
  <c r="BB348" i="39" a="1"/>
  <c r="BB348" i="39" s="1"/>
  <c r="AV348" i="39" a="1"/>
  <c r="AV348" i="39" s="1"/>
  <c r="BB297" i="39" a="1"/>
  <c r="BB297" i="39" s="1"/>
  <c r="AV297" i="39" a="1"/>
  <c r="AV297" i="39" s="1"/>
  <c r="BB209" i="39" a="1"/>
  <c r="BB209" i="39" s="1"/>
  <c r="AV209" i="39" a="1"/>
  <c r="AV209" i="39" s="1"/>
  <c r="BB189" i="39" a="1"/>
  <c r="BB189" i="39" s="1"/>
  <c r="AV189" i="39" a="1"/>
  <c r="AV189" i="39" s="1"/>
  <c r="BB309" i="39" a="1"/>
  <c r="BB309" i="39" s="1"/>
  <c r="AV309" i="39" a="1"/>
  <c r="AV309" i="39" s="1"/>
  <c r="BB325" i="39" a="1"/>
  <c r="BB325" i="39" s="1"/>
  <c r="AV325" i="39" a="1"/>
  <c r="AV325" i="39" s="1"/>
  <c r="BB350" i="39" a="1"/>
  <c r="BB350" i="39" s="1"/>
  <c r="AV350" i="39" a="1"/>
  <c r="AV350" i="39" s="1"/>
  <c r="BB85" i="39" a="1"/>
  <c r="BB85" i="39" s="1"/>
  <c r="AV85" i="39" a="1"/>
  <c r="AV85" i="39" s="1"/>
  <c r="BB84" i="39" a="1"/>
  <c r="BB84" i="39" s="1"/>
  <c r="AV84" i="39" a="1"/>
  <c r="AV84" i="39" s="1"/>
  <c r="BB289" i="39" a="1"/>
  <c r="BB289" i="39" s="1"/>
  <c r="AV289" i="39" a="1"/>
  <c r="AV289" i="39" s="1"/>
  <c r="BB78" i="39" a="1"/>
  <c r="BB78" i="39" s="1"/>
  <c r="AV78" i="39" a="1"/>
  <c r="AV78" i="39" s="1"/>
  <c r="BB226" i="39" a="1"/>
  <c r="BB226" i="39" s="1"/>
  <c r="AV226" i="39" a="1"/>
  <c r="AV226" i="39" s="1"/>
  <c r="BB260" i="39" a="1"/>
  <c r="BB260" i="39" s="1"/>
  <c r="AV260" i="39" a="1"/>
  <c r="AV260" i="39" s="1"/>
  <c r="BB191" i="39" a="1"/>
  <c r="BB191" i="39" s="1"/>
  <c r="AV191" i="39" a="1"/>
  <c r="AV191" i="39" s="1"/>
  <c r="BB326" i="39" a="1"/>
  <c r="BB326" i="39" s="1"/>
  <c r="AV326" i="39" a="1"/>
  <c r="AV326" i="39" s="1"/>
  <c r="BB86" i="39" a="1"/>
  <c r="BB86" i="39" s="1"/>
  <c r="AV86" i="39" a="1"/>
  <c r="AV86" i="39" s="1"/>
  <c r="BB263" i="39" a="1"/>
  <c r="BB263" i="39" s="1"/>
  <c r="AV263" i="39" a="1"/>
  <c r="AV263" i="39" s="1"/>
  <c r="BB155" i="39" a="1"/>
  <c r="BB155" i="39" s="1"/>
  <c r="AV155" i="39" a="1"/>
  <c r="AV155" i="39" s="1"/>
  <c r="BB99" i="39" a="1"/>
  <c r="BB99" i="39" s="1"/>
  <c r="AV99" i="39" a="1"/>
  <c r="AV99" i="39" s="1"/>
  <c r="BB121" i="39" a="1"/>
  <c r="BB121" i="39" s="1"/>
  <c r="AV121" i="39" a="1"/>
  <c r="AV121" i="39" s="1"/>
  <c r="BB11" i="39" a="1"/>
  <c r="BB11" i="39" s="1"/>
  <c r="AV11" i="39" a="1"/>
  <c r="AV11" i="39" s="1"/>
  <c r="BB34" i="39" a="1"/>
  <c r="BB34" i="39" s="1"/>
  <c r="AV34" i="39" a="1"/>
  <c r="AV34" i="39" s="1"/>
  <c r="BB57" i="39" a="1"/>
  <c r="BB57" i="39" s="1"/>
  <c r="AV57" i="39" a="1"/>
  <c r="AV57" i="39" s="1"/>
  <c r="BB80" i="39" a="1"/>
  <c r="BB80" i="39" s="1"/>
  <c r="AV80" i="39" a="1"/>
  <c r="AV80" i="39" s="1"/>
  <c r="BD15" i="39" a="1"/>
  <c r="BD15" i="39" s="1"/>
  <c r="AX15" i="39" a="1"/>
  <c r="AX15" i="39" s="1"/>
  <c r="BD178" i="39" a="1"/>
  <c r="BD178" i="39" s="1"/>
  <c r="AX178" i="39" a="1"/>
  <c r="AX178" i="39" s="1"/>
  <c r="BD201" i="39" a="1"/>
  <c r="BD201" i="39" s="1"/>
  <c r="AX201" i="39" a="1"/>
  <c r="AX201" i="39" s="1"/>
  <c r="BD98" i="39" a="1"/>
  <c r="BD98" i="39" s="1"/>
  <c r="AX98" i="39" a="1"/>
  <c r="AX98" i="39" s="1"/>
  <c r="BD254" i="39" a="1"/>
  <c r="BD254" i="39" s="1"/>
  <c r="AX254" i="39" a="1"/>
  <c r="AX254" i="39" s="1"/>
  <c r="BD28" i="39" a="1"/>
  <c r="BD28" i="39" s="1"/>
  <c r="AX28" i="39" a="1"/>
  <c r="AX28" i="39" s="1"/>
  <c r="BD158" i="39" a="1"/>
  <c r="BD158" i="39" s="1"/>
  <c r="AX158" i="39" a="1"/>
  <c r="AX158" i="39" s="1"/>
  <c r="BD162" i="39" a="1"/>
  <c r="BD162" i="39" s="1"/>
  <c r="AX162" i="39" a="1"/>
  <c r="AX162" i="39" s="1"/>
  <c r="BD131" i="39" a="1"/>
  <c r="BD131" i="39" s="1"/>
  <c r="AX131" i="39" a="1"/>
  <c r="AX131" i="39" s="1"/>
  <c r="BD143" i="39" a="1"/>
  <c r="BD143" i="39" s="1"/>
  <c r="AX143" i="39" a="1"/>
  <c r="AX143" i="39" s="1"/>
  <c r="BD156" i="39" a="1"/>
  <c r="BD156" i="39" s="1"/>
  <c r="AX156" i="39" a="1"/>
  <c r="AX156" i="39" s="1"/>
  <c r="BD216" i="39" a="1"/>
  <c r="BD216" i="39" s="1"/>
  <c r="AX216" i="39" a="1"/>
  <c r="AX216" i="39" s="1"/>
  <c r="BD53" i="39" a="1"/>
  <c r="BD53" i="39" s="1"/>
  <c r="AX53" i="39" a="1"/>
  <c r="AX53" i="39" s="1"/>
  <c r="BD144" i="39" a="1"/>
  <c r="BD144" i="39" s="1"/>
  <c r="AX144" i="39" a="1"/>
  <c r="AX144" i="39" s="1"/>
  <c r="BD114" i="39" a="1"/>
  <c r="BD114" i="39" s="1"/>
  <c r="AX114" i="39" a="1"/>
  <c r="AX114" i="39" s="1"/>
  <c r="BD76" i="39" a="1"/>
  <c r="BD76" i="39" s="1"/>
  <c r="AX76" i="39" a="1"/>
  <c r="AX76" i="39" s="1"/>
  <c r="BD26" i="39" a="1"/>
  <c r="BD26" i="39" s="1"/>
  <c r="AX26" i="39" a="1"/>
  <c r="AX26" i="39" s="1"/>
  <c r="BD119" i="39" a="1"/>
  <c r="BD119" i="39" s="1"/>
  <c r="AX119" i="39" a="1"/>
  <c r="AX119" i="39" s="1"/>
  <c r="BD222" i="39" a="1"/>
  <c r="BD222" i="39" s="1"/>
  <c r="AX222" i="39" a="1"/>
  <c r="AX222" i="39" s="1"/>
  <c r="BD41" i="39" a="1"/>
  <c r="BD41" i="39" s="1"/>
  <c r="AX41" i="39" a="1"/>
  <c r="AX41" i="39" s="1"/>
  <c r="BD280" i="39" a="1"/>
  <c r="BD280" i="39" s="1"/>
  <c r="AX280" i="39" a="1"/>
  <c r="AX280" i="39" s="1"/>
  <c r="BD294" i="39" a="1"/>
  <c r="BD294" i="39" s="1"/>
  <c r="AX294" i="39" a="1"/>
  <c r="AX294" i="39" s="1"/>
  <c r="BD303" i="39" a="1"/>
  <c r="BD303" i="39" s="1"/>
  <c r="AX303" i="39" a="1"/>
  <c r="AX303" i="39" s="1"/>
  <c r="BD309" i="39" a="1"/>
  <c r="BD309" i="39" s="1"/>
  <c r="AX309" i="39" a="1"/>
  <c r="AX309" i="39" s="1"/>
  <c r="BD310" i="39" a="1"/>
  <c r="BD310" i="39" s="1"/>
  <c r="AX310" i="39" a="1"/>
  <c r="AX310" i="39" s="1"/>
  <c r="BD320" i="39" a="1"/>
  <c r="BD320" i="39" s="1"/>
  <c r="AX320" i="39" a="1"/>
  <c r="AX320" i="39" s="1"/>
  <c r="BD324" i="39" a="1"/>
  <c r="BD324" i="39" s="1"/>
  <c r="AX324" i="39" a="1"/>
  <c r="AX324" i="39" s="1"/>
  <c r="BD345" i="39" a="1"/>
  <c r="BD345" i="39" s="1"/>
  <c r="AX345" i="39" a="1"/>
  <c r="AX345" i="39" s="1"/>
  <c r="BC100" i="39" a="1"/>
  <c r="BC100" i="39" s="1"/>
  <c r="AW100" i="39" a="1"/>
  <c r="AW100" i="39" s="1"/>
  <c r="BC224" i="39" a="1"/>
  <c r="BC224" i="39" s="1"/>
  <c r="AW224" i="39" a="1"/>
  <c r="AW224" i="39" s="1"/>
  <c r="BC210" i="39" a="1"/>
  <c r="BC210" i="39" s="1"/>
  <c r="AW210" i="39" a="1"/>
  <c r="AW210" i="39" s="1"/>
  <c r="BC169" i="39" a="1"/>
  <c r="BC169" i="39" s="1"/>
  <c r="AW169" i="39" a="1"/>
  <c r="AW169" i="39" s="1"/>
  <c r="BC228" i="39" a="1"/>
  <c r="BC228" i="39" s="1"/>
  <c r="AW228" i="39" a="1"/>
  <c r="AW228" i="39" s="1"/>
  <c r="G12" i="41" s="1"/>
  <c r="BC336" i="39" a="1"/>
  <c r="BC336" i="39" s="1"/>
  <c r="AW336" i="39" a="1"/>
  <c r="AW336" i="39" s="1"/>
  <c r="BC62" i="39" a="1"/>
  <c r="BC62" i="39" s="1"/>
  <c r="AW62" i="39" a="1"/>
  <c r="AW62" i="39" s="1"/>
  <c r="BC237" i="39" a="1"/>
  <c r="BC237" i="39" s="1"/>
  <c r="AW237" i="39" a="1"/>
  <c r="AW237" i="39" s="1"/>
  <c r="BC283" i="39" a="1"/>
  <c r="BC283" i="39" s="1"/>
  <c r="AW283" i="39" a="1"/>
  <c r="AW283" i="39" s="1"/>
  <c r="BC175" i="39" a="1"/>
  <c r="BC175" i="39" s="1"/>
  <c r="AW175" i="39" a="1"/>
  <c r="AW175" i="39" s="1"/>
  <c r="BC68" i="39" a="1"/>
  <c r="BC68" i="39" s="1"/>
  <c r="AW68" i="39" a="1"/>
  <c r="AW68" i="39" s="1"/>
  <c r="BC320" i="39" a="1"/>
  <c r="BC320" i="39" s="1"/>
  <c r="AW320" i="39" a="1"/>
  <c r="AW320" i="39" s="1"/>
  <c r="BC222" i="39" a="1"/>
  <c r="BC222" i="39" s="1"/>
  <c r="AW222" i="39" a="1"/>
  <c r="AW222" i="39" s="1"/>
  <c r="BC265" i="39" a="1"/>
  <c r="BC265" i="39" s="1"/>
  <c r="AW265" i="39" a="1"/>
  <c r="AW265" i="39" s="1"/>
  <c r="BC157" i="39" a="1"/>
  <c r="BC157" i="39" s="1"/>
  <c r="AW157" i="39" a="1"/>
  <c r="AW157" i="39" s="1"/>
  <c r="BC50" i="39" a="1"/>
  <c r="BC50" i="39" s="1"/>
  <c r="AW50" i="39" a="1"/>
  <c r="AW50" i="39" s="1"/>
  <c r="BC294" i="39" a="1"/>
  <c r="BC294" i="39" s="1"/>
  <c r="AW294" i="39" a="1"/>
  <c r="AW294" i="39" s="1"/>
  <c r="BC188" i="39" a="1"/>
  <c r="BC188" i="39" s="1"/>
  <c r="AW188" i="39" a="1"/>
  <c r="AW188" i="39" s="1"/>
  <c r="BC81" i="39" a="1"/>
  <c r="BC81" i="39" s="1"/>
  <c r="AW81" i="39" a="1"/>
  <c r="AW81" i="39" s="1"/>
  <c r="BC331" i="39" a="1"/>
  <c r="BC331" i="39" s="1"/>
  <c r="AW331" i="39" a="1"/>
  <c r="AW331" i="39" s="1"/>
  <c r="BC231" i="39" a="1"/>
  <c r="BC231" i="39" s="1"/>
  <c r="AW231" i="39" a="1"/>
  <c r="AW231" i="39" s="1"/>
  <c r="BC125" i="39" a="1"/>
  <c r="BC125" i="39" s="1"/>
  <c r="AW125" i="39" a="1"/>
  <c r="AW125" i="39" s="1"/>
  <c r="BC20" i="39" a="1"/>
  <c r="BC20" i="39" s="1"/>
  <c r="AW20" i="39" a="1"/>
  <c r="AW20" i="39" s="1"/>
  <c r="BC24" i="39" a="1"/>
  <c r="BC24" i="39" s="1"/>
  <c r="AW24" i="39" a="1"/>
  <c r="AW24" i="39" s="1"/>
  <c r="BB181" i="39" a="1"/>
  <c r="BB181" i="39" s="1"/>
  <c r="AV181" i="39" a="1"/>
  <c r="AV181" i="39" s="1"/>
  <c r="BB276" i="39" a="1"/>
  <c r="BB276" i="39" s="1"/>
  <c r="AV276" i="39" a="1"/>
  <c r="AV276" i="39" s="1"/>
  <c r="BB164" i="39" a="1"/>
  <c r="BB164" i="39" s="1"/>
  <c r="AV164" i="39" a="1"/>
  <c r="AV164" i="39" s="1"/>
  <c r="BB244" i="39" a="1"/>
  <c r="BB244" i="39" s="1"/>
  <c r="AV244" i="39" a="1"/>
  <c r="AV244" i="39" s="1"/>
  <c r="BB336" i="39" a="1"/>
  <c r="BB336" i="39" s="1"/>
  <c r="AV336" i="39" a="1"/>
  <c r="AV336" i="39" s="1"/>
  <c r="BB54" i="39" a="1"/>
  <c r="BB54" i="39" s="1"/>
  <c r="AV54" i="39" a="1"/>
  <c r="AV54" i="39" s="1"/>
  <c r="BB278" i="39" a="1"/>
  <c r="BB278" i="39" s="1"/>
  <c r="AV278" i="39" a="1"/>
  <c r="AV278" i="39" s="1"/>
  <c r="BB53" i="39" a="1"/>
  <c r="BB53" i="39" s="1"/>
  <c r="AV53" i="39" a="1"/>
  <c r="AV53" i="39" s="1"/>
  <c r="BB277" i="39" a="1"/>
  <c r="BB277" i="39" s="1"/>
  <c r="AV277" i="39" a="1"/>
  <c r="AV277" i="39" s="1"/>
  <c r="BB45" i="39" a="1"/>
  <c r="BB45" i="39" s="1"/>
  <c r="AV45" i="39" a="1"/>
  <c r="AV45" i="39" s="1"/>
  <c r="BB213" i="39" a="1"/>
  <c r="BB213" i="39" s="1"/>
  <c r="AV213" i="39" a="1"/>
  <c r="AV213" i="39" s="1"/>
  <c r="BB246" i="39" a="1"/>
  <c r="BB246" i="39" s="1"/>
  <c r="AV246" i="39" a="1"/>
  <c r="AV246" i="39" s="1"/>
  <c r="BB291" i="39" a="1"/>
  <c r="BB291" i="39" s="1"/>
  <c r="AV291" i="39" a="1"/>
  <c r="AV291" i="39" s="1"/>
  <c r="BB183" i="39" a="1"/>
  <c r="BB183" i="39" s="1"/>
  <c r="AV183" i="39" a="1"/>
  <c r="AV183" i="39" s="1"/>
  <c r="BB320" i="39" a="1"/>
  <c r="BB320" i="39" s="1"/>
  <c r="AV320" i="39" a="1"/>
  <c r="AV320" i="39" s="1"/>
  <c r="BB222" i="39" a="1"/>
  <c r="BB222" i="39" s="1"/>
  <c r="AV222" i="39" a="1"/>
  <c r="AV222" i="39" s="1"/>
  <c r="BB69" i="39" a="1"/>
  <c r="BB69" i="39" s="1"/>
  <c r="AV69" i="39" a="1"/>
  <c r="AV69" i="39" s="1"/>
  <c r="BB255" i="39" a="1"/>
  <c r="BB255" i="39" s="1"/>
  <c r="AV255" i="39" a="1"/>
  <c r="AV255" i="39" s="1"/>
  <c r="BB147" i="39" a="1"/>
  <c r="BB147" i="39" s="1"/>
  <c r="AV147" i="39" a="1"/>
  <c r="AV147" i="39" s="1"/>
  <c r="BB91" i="39" a="1"/>
  <c r="BB91" i="39" s="1"/>
  <c r="AV91" i="39" a="1"/>
  <c r="AV91" i="39" s="1"/>
  <c r="BB134" i="39" a="1"/>
  <c r="BB134" i="39" s="1"/>
  <c r="AV134" i="39" a="1"/>
  <c r="AV134" i="39" s="1"/>
  <c r="BB26" i="39" a="1"/>
  <c r="BB26" i="39" s="1"/>
  <c r="AV26" i="39" a="1"/>
  <c r="AV26" i="39" s="1"/>
  <c r="BB49" i="39" a="1"/>
  <c r="BB49" i="39" s="1"/>
  <c r="AV49" i="39" a="1"/>
  <c r="AV49" i="39" s="1"/>
  <c r="BB72" i="39" a="1"/>
  <c r="BB72" i="39" s="1"/>
  <c r="AV72" i="39" a="1"/>
  <c r="AV72" i="39" s="1"/>
  <c r="BD236" i="39" a="1"/>
  <c r="BD236" i="39" s="1"/>
  <c r="AX236" i="39" a="1"/>
  <c r="AX236" i="39" s="1"/>
  <c r="BD166" i="39" a="1"/>
  <c r="BD166" i="39" s="1"/>
  <c r="AX166" i="39" a="1"/>
  <c r="AX166" i="39" s="1"/>
  <c r="BD220" i="39" a="1"/>
  <c r="BD220" i="39" s="1"/>
  <c r="AX220" i="39" a="1"/>
  <c r="AX220" i="39" s="1"/>
  <c r="BD160" i="39" a="1"/>
  <c r="BD160" i="39" s="1"/>
  <c r="AX160" i="39" a="1"/>
  <c r="AX160" i="39" s="1"/>
  <c r="BD24" i="39" a="1"/>
  <c r="BD24" i="39" s="1"/>
  <c r="AX24" i="39" a="1"/>
  <c r="AX24" i="39" s="1"/>
  <c r="BD57" i="39" a="1"/>
  <c r="BD57" i="39" s="1"/>
  <c r="AX57" i="39" a="1"/>
  <c r="AX57" i="39" s="1"/>
  <c r="BD154" i="39" a="1"/>
  <c r="BD154" i="39" s="1"/>
  <c r="AX154" i="39" a="1"/>
  <c r="AX154" i="39" s="1"/>
  <c r="BD183" i="39" a="1"/>
  <c r="BD183" i="39" s="1"/>
  <c r="AX183" i="39" a="1"/>
  <c r="AX183" i="39" s="1"/>
  <c r="BD198" i="39" a="1"/>
  <c r="BD198" i="39" s="1"/>
  <c r="AX198" i="39" a="1"/>
  <c r="AX198" i="39" s="1"/>
  <c r="BD270" i="39" a="1"/>
  <c r="BD270" i="39" s="1"/>
  <c r="AX270" i="39" a="1"/>
  <c r="AX270" i="39" s="1"/>
  <c r="BD121" i="39" a="1"/>
  <c r="BD121" i="39" s="1"/>
  <c r="AX121" i="39" a="1"/>
  <c r="AX121" i="39" s="1"/>
  <c r="BD213" i="39" a="1"/>
  <c r="BD213" i="39" s="1"/>
  <c r="AX213" i="39" a="1"/>
  <c r="AX213" i="39" s="1"/>
  <c r="BD258" i="39" a="1"/>
  <c r="BD258" i="39" s="1"/>
  <c r="AX258" i="39" a="1"/>
  <c r="AX258" i="39" s="1"/>
  <c r="BD18" i="39" a="1"/>
  <c r="BD18" i="39" s="1"/>
  <c r="AX18" i="39" a="1"/>
  <c r="AX18" i="39" s="1"/>
  <c r="BD230" i="39" a="1"/>
  <c r="BD230" i="39" s="1"/>
  <c r="AX230" i="39" a="1"/>
  <c r="AX230" i="39" s="1"/>
  <c r="H108" i="41" s="1"/>
  <c r="BD202" i="39" a="1"/>
  <c r="BD202" i="39" s="1"/>
  <c r="AX202" i="39" a="1"/>
  <c r="AX202" i="39" s="1"/>
  <c r="BD243" i="39" a="1"/>
  <c r="BD243" i="39" s="1"/>
  <c r="AX243" i="39" a="1"/>
  <c r="AX243" i="39" s="1"/>
  <c r="BD237" i="39" a="1"/>
  <c r="BD237" i="39" s="1"/>
  <c r="AX237" i="39" a="1"/>
  <c r="AX237" i="39" s="1"/>
  <c r="BD279" i="39" a="1"/>
  <c r="BD279" i="39" s="1"/>
  <c r="AX279" i="39" a="1"/>
  <c r="AX279" i="39" s="1"/>
  <c r="BD290" i="39" a="1"/>
  <c r="BD290" i="39" s="1"/>
  <c r="AX290" i="39" a="1"/>
  <c r="AX290" i="39" s="1"/>
  <c r="BD298" i="39" a="1"/>
  <c r="BD298" i="39" s="1"/>
  <c r="AX298" i="39" a="1"/>
  <c r="AX298" i="39" s="1"/>
  <c r="BD307" i="39" a="1"/>
  <c r="BD307" i="39" s="1"/>
  <c r="AX307" i="39" a="1"/>
  <c r="AX307" i="39" s="1"/>
  <c r="BD314" i="39" a="1"/>
  <c r="BD314" i="39" s="1"/>
  <c r="AX314" i="39" a="1"/>
  <c r="AX314" i="39" s="1"/>
  <c r="BD335" i="39" a="1"/>
  <c r="BD335" i="39" s="1"/>
  <c r="AX335" i="39" a="1"/>
  <c r="AX335" i="39" s="1"/>
  <c r="BD321" i="39" a="1"/>
  <c r="BD321" i="39" s="1"/>
  <c r="AX321" i="39" a="1"/>
  <c r="AX321" i="39" s="1"/>
  <c r="BD349" i="39" a="1"/>
  <c r="BD349" i="39" s="1"/>
  <c r="AX349" i="39" a="1"/>
  <c r="AX349" i="39" s="1"/>
  <c r="BD338" i="39" a="1"/>
  <c r="BD338" i="39" s="1"/>
  <c r="AX338" i="39" a="1"/>
  <c r="AX338" i="39" s="1"/>
  <c r="BC244" i="39" a="1"/>
  <c r="BC244" i="39" s="1"/>
  <c r="AW244" i="39" a="1"/>
  <c r="AW244" i="39" s="1"/>
  <c r="BC192" i="39" a="1"/>
  <c r="BC192" i="39" s="1"/>
  <c r="AW192" i="39" a="1"/>
  <c r="AW192" i="39" s="1"/>
  <c r="BC176" i="39" a="1"/>
  <c r="BC176" i="39" s="1"/>
  <c r="AW176" i="39" a="1"/>
  <c r="AW176" i="39" s="1"/>
  <c r="BC132" i="39" a="1"/>
  <c r="BC132" i="39" s="1"/>
  <c r="AW132" i="39" a="1"/>
  <c r="AW132" i="39" s="1"/>
  <c r="BC209" i="39" a="1"/>
  <c r="BC209" i="39" s="1"/>
  <c r="AW209" i="39" a="1"/>
  <c r="AW209" i="39" s="1"/>
  <c r="BC39" i="39" a="1"/>
  <c r="BC39" i="39" s="1"/>
  <c r="AW39" i="39" a="1"/>
  <c r="AW39" i="39" s="1"/>
  <c r="BC218" i="39" a="1"/>
  <c r="BC218" i="39" s="1"/>
  <c r="AW218" i="39" a="1"/>
  <c r="AW218" i="39" s="1"/>
  <c r="BC275" i="39" a="1"/>
  <c r="BC275" i="39" s="1"/>
  <c r="AW275" i="39" a="1"/>
  <c r="AW275" i="39" s="1"/>
  <c r="BC167" i="39" a="1"/>
  <c r="BC167" i="39" s="1"/>
  <c r="AW167" i="39" a="1"/>
  <c r="AW167" i="39" s="1"/>
  <c r="BC60" i="39" a="1"/>
  <c r="BC60" i="39" s="1"/>
  <c r="AW60" i="39" a="1"/>
  <c r="AW60" i="39" s="1"/>
  <c r="BC312" i="39" a="1"/>
  <c r="BC312" i="39" s="1"/>
  <c r="AW312" i="39" a="1"/>
  <c r="AW312" i="39" s="1"/>
  <c r="BC214" i="39" a="1"/>
  <c r="BC214" i="39" s="1"/>
  <c r="AW214" i="39" a="1"/>
  <c r="AW214" i="39" s="1"/>
  <c r="BC106" i="39" a="1"/>
  <c r="BC106" i="39" s="1"/>
  <c r="AW106" i="39" a="1"/>
  <c r="AW106" i="39" s="1"/>
  <c r="BC257" i="39" a="1"/>
  <c r="BC257" i="39" s="1"/>
  <c r="AW257" i="39" a="1"/>
  <c r="AW257" i="39" s="1"/>
  <c r="BC149" i="39" a="1"/>
  <c r="BC149" i="39" s="1"/>
  <c r="AW149" i="39" a="1"/>
  <c r="AW149" i="39" s="1"/>
  <c r="BC42" i="39" a="1"/>
  <c r="BC42" i="39" s="1"/>
  <c r="AW42" i="39" a="1"/>
  <c r="AW42" i="39" s="1"/>
  <c r="BC288" i="39" a="1"/>
  <c r="BC288" i="39" s="1"/>
  <c r="AW288" i="39" a="1"/>
  <c r="AW288" i="39" s="1"/>
  <c r="BC180" i="39" a="1"/>
  <c r="BC180" i="39" s="1"/>
  <c r="AW180" i="39" a="1"/>
  <c r="AW180" i="39" s="1"/>
  <c r="BC73" i="39" a="1"/>
  <c r="BC73" i="39" s="1"/>
  <c r="AW73" i="39" a="1"/>
  <c r="AW73" i="39" s="1"/>
  <c r="BC323" i="39" a="1"/>
  <c r="BC323" i="39" s="1"/>
  <c r="AW323" i="39" a="1"/>
  <c r="AW323" i="39" s="1"/>
  <c r="BC227" i="39" a="1"/>
  <c r="BC227" i="39" s="1"/>
  <c r="AW227" i="39" a="1"/>
  <c r="AW227" i="39" s="1"/>
  <c r="BC118" i="39" a="1"/>
  <c r="BC118" i="39" s="1"/>
  <c r="AW118" i="39" a="1"/>
  <c r="AW118" i="39" s="1"/>
  <c r="BC12" i="39" a="1"/>
  <c r="BC12" i="39" s="1"/>
  <c r="AW12" i="39" a="1"/>
  <c r="AW12" i="39" s="1"/>
  <c r="BC16" i="39" a="1"/>
  <c r="BC16" i="39" s="1"/>
  <c r="AW16" i="39" a="1"/>
  <c r="AW16" i="39" s="1"/>
  <c r="BB249" i="39" a="1"/>
  <c r="BB249" i="39" s="1"/>
  <c r="AV249" i="39" a="1"/>
  <c r="AV249" i="39" s="1"/>
  <c r="BB124" i="39" a="1"/>
  <c r="BB124" i="39" s="1"/>
  <c r="AV124" i="39" a="1"/>
  <c r="AV124" i="39" s="1"/>
  <c r="BB241" i="39" a="1"/>
  <c r="BB241" i="39" s="1"/>
  <c r="AV241" i="39" a="1"/>
  <c r="AV241" i="39" s="1"/>
  <c r="BB319" i="39" a="1"/>
  <c r="BB319" i="39" s="1"/>
  <c r="AV319" i="39" a="1"/>
  <c r="AV319" i="39" s="1"/>
  <c r="BB21" i="39" a="1"/>
  <c r="BB21" i="39" s="1"/>
  <c r="AV21" i="39" a="1"/>
  <c r="AV21" i="39" s="1"/>
  <c r="BB265" i="39" a="1"/>
  <c r="BB265" i="39" s="1"/>
  <c r="AV265" i="39" a="1"/>
  <c r="AV265" i="39" s="1"/>
  <c r="BB14" i="39" a="1"/>
  <c r="BB14" i="39" s="1"/>
  <c r="AV14" i="39" a="1"/>
  <c r="AV14" i="39" s="1"/>
  <c r="BB264" i="39" a="1"/>
  <c r="BB264" i="39" s="1"/>
  <c r="AV264" i="39" a="1"/>
  <c r="AV264" i="39" s="1"/>
  <c r="BB13" i="39" a="1"/>
  <c r="BB13" i="39" s="1"/>
  <c r="AV13" i="39" a="1"/>
  <c r="AV13" i="39" s="1"/>
  <c r="BB201" i="39" a="1"/>
  <c r="BB201" i="39" s="1"/>
  <c r="AV201" i="39" a="1"/>
  <c r="AV201" i="39" s="1"/>
  <c r="BB233" i="39" a="1"/>
  <c r="BB233" i="39" s="1"/>
  <c r="AV233" i="39" a="1"/>
  <c r="AV233" i="39" s="1"/>
  <c r="BB283" i="39" a="1"/>
  <c r="BB283" i="39" s="1"/>
  <c r="AV283" i="39" a="1"/>
  <c r="AV283" i="39" s="1"/>
  <c r="BB175" i="39" a="1"/>
  <c r="BB175" i="39" s="1"/>
  <c r="AV175" i="39" a="1"/>
  <c r="AV175" i="39" s="1"/>
  <c r="BB312" i="39" a="1"/>
  <c r="BB312" i="39" s="1"/>
  <c r="AV312" i="39" a="1"/>
  <c r="AV312" i="39" s="1"/>
  <c r="BB214" i="39" a="1"/>
  <c r="BB214" i="39" s="1"/>
  <c r="AV214" i="39" a="1"/>
  <c r="AV214" i="39" s="1"/>
  <c r="BB46" i="39" a="1"/>
  <c r="BB46" i="39" s="1"/>
  <c r="AV46" i="39" a="1"/>
  <c r="AV46" i="39" s="1"/>
  <c r="BB247" i="39" a="1"/>
  <c r="BB247" i="39" s="1"/>
  <c r="AV247" i="39" a="1"/>
  <c r="AV247" i="39" s="1"/>
  <c r="BB139" i="39" a="1"/>
  <c r="BB139" i="39" s="1"/>
  <c r="AV139" i="39" a="1"/>
  <c r="AV139" i="39" s="1"/>
  <c r="BB106" i="39" a="1"/>
  <c r="BB106" i="39" s="1"/>
  <c r="AV106" i="39" a="1"/>
  <c r="AV106" i="39" s="1"/>
  <c r="BB127" i="39" a="1"/>
  <c r="BB127" i="39" s="1"/>
  <c r="AV127" i="39" a="1"/>
  <c r="AV127" i="39" s="1"/>
  <c r="BB18" i="39" a="1"/>
  <c r="BB18" i="39" s="1"/>
  <c r="AV18" i="39" a="1"/>
  <c r="AV18" i="39" s="1"/>
  <c r="BB41" i="39" a="1"/>
  <c r="BB41" i="39" s="1"/>
  <c r="AV41" i="39" a="1"/>
  <c r="AV41" i="39" s="1"/>
  <c r="BB64" i="39" a="1"/>
  <c r="BB64" i="39" s="1"/>
  <c r="AV64" i="39" a="1"/>
  <c r="AV64" i="39" s="1"/>
  <c r="BD116" i="39" a="1"/>
  <c r="BD116" i="39" s="1"/>
  <c r="AX116" i="39" a="1"/>
  <c r="AX116" i="39" s="1"/>
  <c r="BD34" i="39" a="1"/>
  <c r="BD34" i="39" s="1"/>
  <c r="AX34" i="39" a="1"/>
  <c r="AX34" i="39" s="1"/>
  <c r="BD205" i="39" a="1"/>
  <c r="BD205" i="39" s="1"/>
  <c r="AX205" i="39" a="1"/>
  <c r="AX205" i="39" s="1"/>
  <c r="BD38" i="39" a="1"/>
  <c r="BD38" i="39" s="1"/>
  <c r="AX38" i="39" a="1"/>
  <c r="AX38" i="39" s="1"/>
  <c r="BD67" i="39" a="1"/>
  <c r="BD67" i="39" s="1"/>
  <c r="AX67" i="39" a="1"/>
  <c r="AX67" i="39" s="1"/>
  <c r="BD66" i="39" a="1"/>
  <c r="BD66" i="39" s="1"/>
  <c r="AX66" i="39" a="1"/>
  <c r="AX66" i="39" s="1"/>
  <c r="BD142" i="39" a="1"/>
  <c r="BD142" i="39" s="1"/>
  <c r="AX142" i="39" a="1"/>
  <c r="AX142" i="39" s="1"/>
  <c r="BD61" i="39" a="1"/>
  <c r="BD61" i="39" s="1"/>
  <c r="AX61" i="39" a="1"/>
  <c r="AX61" i="39" s="1"/>
  <c r="BD150" i="39" a="1"/>
  <c r="BD150" i="39" s="1"/>
  <c r="AX150" i="39" a="1"/>
  <c r="AX150" i="39" s="1"/>
  <c r="BD149" i="39" a="1"/>
  <c r="BD149" i="39" s="1"/>
  <c r="AX149" i="39" a="1"/>
  <c r="AX149" i="39" s="1"/>
  <c r="BD124" i="39" a="1"/>
  <c r="BD124" i="39" s="1"/>
  <c r="AX124" i="39" a="1"/>
  <c r="AX124" i="39" s="1"/>
  <c r="BD25" i="39" a="1"/>
  <c r="BD25" i="39" s="1"/>
  <c r="AX25" i="39" a="1"/>
  <c r="AX25" i="39" s="1"/>
  <c r="BD259" i="39" a="1"/>
  <c r="BD259" i="39" s="1"/>
  <c r="AX259" i="39" a="1"/>
  <c r="AX259" i="39" s="1"/>
  <c r="BD81" i="39" a="1"/>
  <c r="BD81" i="39" s="1"/>
  <c r="AX81" i="39" a="1"/>
  <c r="AX81" i="39" s="1"/>
  <c r="BD211" i="39" a="1"/>
  <c r="BD211" i="39" s="1"/>
  <c r="AX211" i="39" a="1"/>
  <c r="AX211" i="39" s="1"/>
  <c r="BD108" i="39" a="1"/>
  <c r="BD108" i="39" s="1"/>
  <c r="AX108" i="39" a="1"/>
  <c r="AX108" i="39" s="1"/>
  <c r="BD155" i="39" a="1"/>
  <c r="BD155" i="39" s="1"/>
  <c r="AX155" i="39" a="1"/>
  <c r="AX155" i="39" s="1"/>
  <c r="BD207" i="39" a="1"/>
  <c r="BD207" i="39" s="1"/>
  <c r="AX207" i="39" a="1"/>
  <c r="AX207" i="39" s="1"/>
  <c r="BD281" i="39" a="1"/>
  <c r="BD281" i="39" s="1"/>
  <c r="AX281" i="39" a="1"/>
  <c r="AX281" i="39" s="1"/>
  <c r="BD296" i="39" a="1"/>
  <c r="BD296" i="39" s="1"/>
  <c r="AX296" i="39" a="1"/>
  <c r="AX296" i="39" s="1"/>
  <c r="BD304" i="39" a="1"/>
  <c r="BD304" i="39" s="1"/>
  <c r="AX304" i="39" a="1"/>
  <c r="AX304" i="39" s="1"/>
  <c r="BD317" i="39" a="1"/>
  <c r="BD317" i="39" s="1"/>
  <c r="AX317" i="39" a="1"/>
  <c r="AX317" i="39" s="1"/>
  <c r="BD329" i="39" a="1"/>
  <c r="BD329" i="39" s="1"/>
  <c r="AX329" i="39" a="1"/>
  <c r="AX329" i="39" s="1"/>
  <c r="BD319" i="39" a="1"/>
  <c r="BD319" i="39" s="1"/>
  <c r="AX319" i="39" a="1"/>
  <c r="AX319" i="39" s="1"/>
  <c r="BD346" i="39" a="1"/>
  <c r="BD346" i="39" s="1"/>
  <c r="AX346" i="39" a="1"/>
  <c r="AX346" i="39" s="1"/>
  <c r="BD340" i="39" a="1"/>
  <c r="BD340" i="39" s="1"/>
  <c r="AX340" i="39" a="1"/>
  <c r="AX340" i="39" s="1"/>
  <c r="BC308" i="39" a="1"/>
  <c r="BC308" i="39" s="1"/>
  <c r="AW308" i="39" a="1"/>
  <c r="AW308" i="39" s="1"/>
  <c r="BC153" i="39" a="1"/>
  <c r="BC153" i="39" s="1"/>
  <c r="AW153" i="39" a="1"/>
  <c r="AW153" i="39" s="1"/>
  <c r="BC139" i="39" a="1"/>
  <c r="BC139" i="39" s="1"/>
  <c r="AW139" i="39" a="1"/>
  <c r="AW139" i="39" s="1"/>
  <c r="BC328" i="39" a="1"/>
  <c r="BC328" i="39" s="1"/>
  <c r="AW328" i="39" a="1"/>
  <c r="AW328" i="39" s="1"/>
  <c r="BC101" i="39" a="1"/>
  <c r="BC101" i="39" s="1"/>
  <c r="AW101" i="39" a="1"/>
  <c r="AW101" i="39" s="1"/>
  <c r="BC186" i="39" a="1"/>
  <c r="BC186" i="39" s="1"/>
  <c r="AW186" i="39" a="1"/>
  <c r="AW186" i="39" s="1"/>
  <c r="BC303" i="39" a="1"/>
  <c r="BC303" i="39" s="1"/>
  <c r="AW303" i="39" a="1"/>
  <c r="AW303" i="39" s="1"/>
  <c r="BC78" i="39" a="1"/>
  <c r="BC78" i="39" s="1"/>
  <c r="AW78" i="39" a="1"/>
  <c r="AW78" i="39" s="1"/>
  <c r="BC200" i="39" a="1"/>
  <c r="BC200" i="39" s="1"/>
  <c r="AW200" i="39" a="1"/>
  <c r="AW200" i="39" s="1"/>
  <c r="BC267" i="39" a="1"/>
  <c r="BC267" i="39" s="1"/>
  <c r="AW267" i="39" a="1"/>
  <c r="AW267" i="39" s="1"/>
  <c r="BC159" i="39" a="1"/>
  <c r="BC159" i="39" s="1"/>
  <c r="AW159" i="39" a="1"/>
  <c r="AW159" i="39" s="1"/>
  <c r="BC52" i="39" a="1"/>
  <c r="BC52" i="39" s="1"/>
  <c r="AW52" i="39" a="1"/>
  <c r="AW52" i="39" s="1"/>
  <c r="BC306" i="39" a="1"/>
  <c r="BC306" i="39" s="1"/>
  <c r="AW306" i="39" a="1"/>
  <c r="AW306" i="39" s="1"/>
  <c r="BC206" i="39" a="1"/>
  <c r="BC206" i="39" s="1"/>
  <c r="AW206" i="39" a="1"/>
  <c r="AW206" i="39" s="1"/>
  <c r="BC98" i="39" a="1"/>
  <c r="BC98" i="39" s="1"/>
  <c r="AW98" i="39" a="1"/>
  <c r="AW98" i="39" s="1"/>
  <c r="BC345" i="39" a="1"/>
  <c r="BC345" i="39" s="1"/>
  <c r="AW345" i="39" a="1"/>
  <c r="AW345" i="39" s="1"/>
  <c r="BC249" i="39" a="1"/>
  <c r="BC249" i="39" s="1"/>
  <c r="AW249" i="39" a="1"/>
  <c r="AW249" i="39" s="1"/>
  <c r="BC142" i="39" a="1"/>
  <c r="BC142" i="39" s="1"/>
  <c r="AW142" i="39" a="1"/>
  <c r="AW142" i="39" s="1"/>
  <c r="BC30" i="39" a="1"/>
  <c r="BC30" i="39" s="1"/>
  <c r="AW30" i="39" a="1"/>
  <c r="AW30" i="39" s="1"/>
  <c r="BC280" i="39" a="1"/>
  <c r="BC280" i="39" s="1"/>
  <c r="AW280" i="39" a="1"/>
  <c r="AW280" i="39" s="1"/>
  <c r="BC172" i="39" a="1"/>
  <c r="BC172" i="39" s="1"/>
  <c r="AW172" i="39" a="1"/>
  <c r="AW172" i="39" s="1"/>
  <c r="BC65" i="39" a="1"/>
  <c r="BC65" i="39" s="1"/>
  <c r="AW65" i="39" a="1"/>
  <c r="AW65" i="39" s="1"/>
  <c r="BC317" i="39" a="1"/>
  <c r="BC317" i="39" s="1"/>
  <c r="AW317" i="39" a="1"/>
  <c r="AW317" i="39" s="1"/>
  <c r="BC219" i="39" a="1"/>
  <c r="BC219" i="39" s="1"/>
  <c r="AW219" i="39" a="1"/>
  <c r="AW219" i="39" s="1"/>
  <c r="BC111" i="39" a="1"/>
  <c r="BC111" i="39" s="1"/>
  <c r="AW111" i="39" a="1"/>
  <c r="AW111" i="39" s="1"/>
  <c r="BC35" i="39" a="1"/>
  <c r="BC35" i="39" s="1"/>
  <c r="AW35" i="39" a="1"/>
  <c r="AW35" i="39" s="1"/>
  <c r="BB342" i="39" a="1"/>
  <c r="BB342" i="39" s="1"/>
  <c r="AV342" i="39" a="1"/>
  <c r="AV342" i="39" s="1"/>
  <c r="BB292" i="39" a="1"/>
  <c r="BB292" i="39" s="1"/>
  <c r="AV292" i="39" a="1"/>
  <c r="AV292" i="39" s="1"/>
  <c r="BB39" i="39" a="1"/>
  <c r="BB39" i="39" s="1"/>
  <c r="AV39" i="39" a="1"/>
  <c r="AV39" i="39" s="1"/>
  <c r="BB194" i="39" a="1"/>
  <c r="BB194" i="39" s="1"/>
  <c r="AV194" i="39" a="1"/>
  <c r="AV194" i="39" s="1"/>
  <c r="BB302" i="39" a="1"/>
  <c r="BB302" i="39" s="1"/>
  <c r="AV302" i="39" a="1"/>
  <c r="AV302" i="39" s="1"/>
  <c r="BB253" i="39" a="1"/>
  <c r="BB253" i="39" s="1"/>
  <c r="AV253" i="39" a="1"/>
  <c r="AV253" i="39" s="1"/>
  <c r="BB252" i="39" a="1"/>
  <c r="BB252" i="39" s="1"/>
  <c r="AV252" i="39" a="1"/>
  <c r="AV252" i="39" s="1"/>
  <c r="BB344" i="39" a="1"/>
  <c r="BB344" i="39" s="1"/>
  <c r="AV344" i="39" a="1"/>
  <c r="AV344" i="39" s="1"/>
  <c r="BB188" i="39" a="1"/>
  <c r="BB188" i="39" s="1"/>
  <c r="AV188" i="39" a="1"/>
  <c r="AV188" i="39" s="1"/>
  <c r="BB225" i="39" a="1"/>
  <c r="BB225" i="39" s="1"/>
  <c r="AV225" i="39" a="1"/>
  <c r="AV225" i="39" s="1"/>
  <c r="BB275" i="39" a="1"/>
  <c r="BB275" i="39" s="1"/>
  <c r="AV275" i="39" a="1"/>
  <c r="AV275" i="39" s="1"/>
  <c r="BB167" i="39" a="1"/>
  <c r="BB167" i="39" s="1"/>
  <c r="AV167" i="39" a="1"/>
  <c r="AV167" i="39" s="1"/>
  <c r="BB306" i="39" a="1"/>
  <c r="BB306" i="39" s="1"/>
  <c r="AV306" i="39" a="1"/>
  <c r="AV306" i="39" s="1"/>
  <c r="BB206" i="39" a="1"/>
  <c r="BB206" i="39" s="1"/>
  <c r="AV206" i="39" a="1"/>
  <c r="AV206" i="39" s="1"/>
  <c r="BB23" i="39" a="1"/>
  <c r="BB23" i="39" s="1"/>
  <c r="AV23" i="39" a="1"/>
  <c r="AV23" i="39" s="1"/>
  <c r="BB239" i="39" a="1"/>
  <c r="BB239" i="39" s="1"/>
  <c r="AV239" i="39" a="1"/>
  <c r="AV239" i="39" s="1"/>
  <c r="BB123" i="39" a="1"/>
  <c r="BB123" i="39" s="1"/>
  <c r="AV123" i="39" a="1"/>
  <c r="AV123" i="39" s="1"/>
  <c r="BB76" i="39" a="1"/>
  <c r="BB76" i="39" s="1"/>
  <c r="AV76" i="39" a="1"/>
  <c r="AV76" i="39" s="1"/>
  <c r="BB98" i="39" a="1"/>
  <c r="BB98" i="39" s="1"/>
  <c r="AV98" i="39" a="1"/>
  <c r="AV98" i="39" s="1"/>
  <c r="BB120" i="39" a="1"/>
  <c r="BB120" i="39" s="1"/>
  <c r="AV120" i="39" a="1"/>
  <c r="AV120" i="39" s="1"/>
  <c r="BB10" i="39" a="1"/>
  <c r="BB10" i="39" s="1"/>
  <c r="AV10" i="39" a="1"/>
  <c r="AV10" i="39" s="1"/>
  <c r="BB33" i="39" a="1"/>
  <c r="BB33" i="39" s="1"/>
  <c r="AV33" i="39" a="1"/>
  <c r="AV33" i="39" s="1"/>
  <c r="BB56" i="39" a="1"/>
  <c r="BB56" i="39" s="1"/>
  <c r="AV56" i="39" a="1"/>
  <c r="AV56" i="39" s="1"/>
  <c r="BD203" i="39" a="1"/>
  <c r="BD203" i="39" s="1"/>
  <c r="AX203" i="39" a="1"/>
  <c r="AX203" i="39" s="1"/>
  <c r="BD185" i="39" a="1"/>
  <c r="BD185" i="39" s="1"/>
  <c r="AX185" i="39" a="1"/>
  <c r="AX185" i="39" s="1"/>
  <c r="BD29" i="39" a="1"/>
  <c r="BD29" i="39" s="1"/>
  <c r="AX29" i="39" a="1"/>
  <c r="AX29" i="39" s="1"/>
  <c r="BD275" i="39" a="1"/>
  <c r="BD275" i="39" s="1"/>
  <c r="AX275" i="39" a="1"/>
  <c r="AX275" i="39" s="1"/>
  <c r="BD14" i="39" a="1"/>
  <c r="BD14" i="39" s="1"/>
  <c r="AX14" i="39" a="1"/>
  <c r="AX14" i="39" s="1"/>
  <c r="BD269" i="39" a="1"/>
  <c r="BD269" i="39" s="1"/>
  <c r="AX269" i="39" a="1"/>
  <c r="AX269" i="39" s="1"/>
  <c r="BD71" i="39" a="1"/>
  <c r="BD71" i="39" s="1"/>
  <c r="AX71" i="39" a="1"/>
  <c r="AX71" i="39" s="1"/>
  <c r="BD17" i="39" a="1"/>
  <c r="BD17" i="39" s="1"/>
  <c r="AX17" i="39" a="1"/>
  <c r="AX17" i="39" s="1"/>
  <c r="BD233" i="39" a="1"/>
  <c r="BD233" i="39" s="1"/>
  <c r="AX233" i="39" a="1"/>
  <c r="AX233" i="39" s="1"/>
  <c r="BD241" i="39" a="1"/>
  <c r="BD241" i="39" s="1"/>
  <c r="AX241" i="39" a="1"/>
  <c r="AX241" i="39" s="1"/>
  <c r="BD187" i="39" a="1"/>
  <c r="BD187" i="39" s="1"/>
  <c r="AX187" i="39" a="1"/>
  <c r="AX187" i="39" s="1"/>
  <c r="BD138" i="39" a="1"/>
  <c r="BD138" i="39" s="1"/>
  <c r="AX138" i="39" a="1"/>
  <c r="AX138" i="39" s="1"/>
  <c r="BD69" i="39" a="1"/>
  <c r="BD69" i="39" s="1"/>
  <c r="AX69" i="39" a="1"/>
  <c r="AX69" i="39" s="1"/>
  <c r="BD132" i="39" a="1"/>
  <c r="BD132" i="39" s="1"/>
  <c r="AX132" i="39" a="1"/>
  <c r="AX132" i="39" s="1"/>
  <c r="BD31" i="39" a="1"/>
  <c r="BD31" i="39" s="1"/>
  <c r="AX31" i="39" a="1"/>
  <c r="AX31" i="39" s="1"/>
  <c r="BD65" i="39" a="1"/>
  <c r="BD65" i="39" s="1"/>
  <c r="AX65" i="39" a="1"/>
  <c r="AX65" i="39" s="1"/>
  <c r="BD248" i="39" a="1"/>
  <c r="BD248" i="39" s="1"/>
  <c r="AX248" i="39" a="1"/>
  <c r="AX248" i="39" s="1"/>
  <c r="BD11" i="39" a="1"/>
  <c r="BD11" i="39" s="1"/>
  <c r="AX11" i="39" a="1"/>
  <c r="AX11" i="39" s="1"/>
  <c r="BD106" i="39" a="1"/>
  <c r="BD106" i="39" s="1"/>
  <c r="AX106" i="39" a="1"/>
  <c r="AX106" i="39" s="1"/>
  <c r="BD218" i="39" a="1"/>
  <c r="BD218" i="39" s="1"/>
  <c r="AX218" i="39" a="1"/>
  <c r="AX218" i="39" s="1"/>
  <c r="BD282" i="39" a="1"/>
  <c r="BD282" i="39" s="1"/>
  <c r="AX282" i="39" a="1"/>
  <c r="AX282" i="39" s="1"/>
  <c r="BD289" i="39" a="1"/>
  <c r="BD289" i="39" s="1"/>
  <c r="AX289" i="39" a="1"/>
  <c r="AX289" i="39" s="1"/>
  <c r="BD293" i="39" a="1"/>
  <c r="BD293" i="39" s="1"/>
  <c r="AX293" i="39" a="1"/>
  <c r="AX293" i="39" s="1"/>
  <c r="BD316" i="39" a="1"/>
  <c r="BD316" i="39" s="1"/>
  <c r="AX316" i="39" a="1"/>
  <c r="AX316" i="39" s="1"/>
  <c r="BD330" i="39" a="1"/>
  <c r="BD330" i="39" s="1"/>
  <c r="AX330" i="39" a="1"/>
  <c r="AX330" i="39" s="1"/>
  <c r="BD337" i="39" a="1"/>
  <c r="BD337" i="39" s="1"/>
  <c r="AX337" i="39" a="1"/>
  <c r="AX337" i="39" s="1"/>
  <c r="BD339" i="39" a="1"/>
  <c r="BD339" i="39" s="1"/>
  <c r="AX339" i="39" a="1"/>
  <c r="AX339" i="39" s="1"/>
  <c r="BD313" i="39" a="1"/>
  <c r="BD313" i="39" s="1"/>
  <c r="AX313" i="39" a="1"/>
  <c r="AX313" i="39" s="1"/>
  <c r="BD323" i="39" a="1"/>
  <c r="BD323" i="39" s="1"/>
  <c r="AX323" i="39" a="1"/>
  <c r="AX323" i="39" s="1"/>
  <c r="BD344" i="39" a="1"/>
  <c r="BD344" i="39" s="1"/>
  <c r="AX344" i="39" a="1"/>
  <c r="AX344" i="39" s="1"/>
  <c r="BC216" i="39" a="1"/>
  <c r="BC216" i="39" s="1"/>
  <c r="AW216" i="39" a="1"/>
  <c r="AW216" i="39" s="1"/>
  <c r="BC342" i="39" a="1"/>
  <c r="BC342" i="39" s="1"/>
  <c r="AW342" i="39" a="1"/>
  <c r="AW342" i="39" s="1"/>
  <c r="BC92" i="39" a="1"/>
  <c r="BC92" i="39" s="1"/>
  <c r="AW92" i="39" a="1"/>
  <c r="AW92" i="39" s="1"/>
  <c r="BC309" i="39" a="1"/>
  <c r="BC309" i="39" s="1"/>
  <c r="AW309" i="39" a="1"/>
  <c r="AW309" i="39" s="1"/>
  <c r="BC70" i="39" a="1"/>
  <c r="BC70" i="39" s="1"/>
  <c r="AW70" i="39" a="1"/>
  <c r="AW70" i="39" s="1"/>
  <c r="BC270" i="39" a="1"/>
  <c r="BC270" i="39" s="1"/>
  <c r="AW270" i="39" a="1"/>
  <c r="AW270" i="39" s="1"/>
  <c r="BC145" i="39" a="1"/>
  <c r="BC145" i="39" s="1"/>
  <c r="AW145" i="39" a="1"/>
  <c r="AW145" i="39" s="1"/>
  <c r="BC268" i="39" a="1"/>
  <c r="BC268" i="39" s="1"/>
  <c r="AW268" i="39" a="1"/>
  <c r="AW268" i="39" s="1"/>
  <c r="BC37" i="39" a="1"/>
  <c r="BC37" i="39" s="1"/>
  <c r="AW37" i="39" a="1"/>
  <c r="AW37" i="39" s="1"/>
  <c r="BC154" i="39" a="1"/>
  <c r="BC154" i="39" s="1"/>
  <c r="AW154" i="39" a="1"/>
  <c r="AW154" i="39" s="1"/>
  <c r="BC347" i="39" a="1"/>
  <c r="BC347" i="39" s="1"/>
  <c r="AW347" i="39" a="1"/>
  <c r="AW347" i="39" s="1"/>
  <c r="BC251" i="39" a="1"/>
  <c r="BC251" i="39" s="1"/>
  <c r="AW251" i="39" a="1"/>
  <c r="AW251" i="39" s="1"/>
  <c r="BC36" i="39" a="1"/>
  <c r="BC36" i="39" s="1"/>
  <c r="AW36" i="39" a="1"/>
  <c r="AW36" i="39" s="1"/>
  <c r="BC190" i="39" a="1"/>
  <c r="BC190" i="39" s="1"/>
  <c r="AW190" i="39" a="1"/>
  <c r="AW190" i="39" s="1"/>
  <c r="BC83" i="39" a="1"/>
  <c r="BC83" i="39" s="1"/>
  <c r="AW83" i="39" a="1"/>
  <c r="AW83" i="39" s="1"/>
  <c r="BC233" i="39" a="1"/>
  <c r="BC233" i="39" s="1"/>
  <c r="AW233" i="39" a="1"/>
  <c r="AW233" i="39" s="1"/>
  <c r="BC127" i="39" a="1"/>
  <c r="BC127" i="39" s="1"/>
  <c r="AW127" i="39" a="1"/>
  <c r="AW127" i="39" s="1"/>
  <c r="BC264" i="39" a="1"/>
  <c r="BC264" i="39" s="1"/>
  <c r="AW264" i="39" a="1"/>
  <c r="AW264" i="39" s="1"/>
  <c r="BC156" i="39" a="1"/>
  <c r="BC156" i="39" s="1"/>
  <c r="AW156" i="39" a="1"/>
  <c r="AW156" i="39" s="1"/>
  <c r="BC49" i="39" a="1"/>
  <c r="BC49" i="39" s="1"/>
  <c r="AW49" i="39" a="1"/>
  <c r="AW49" i="39" s="1"/>
  <c r="BC203" i="39" a="1"/>
  <c r="BC203" i="39" s="1"/>
  <c r="AW203" i="39" a="1"/>
  <c r="AW203" i="39" s="1"/>
  <c r="BC95" i="39" a="1"/>
  <c r="BC95" i="39" s="1"/>
  <c r="AW95" i="39" a="1"/>
  <c r="AW95" i="39" s="1"/>
  <c r="BC19" i="39" a="1"/>
  <c r="BC19" i="39" s="1"/>
  <c r="AW19" i="39" a="1"/>
  <c r="AW19" i="39" s="1"/>
  <c r="BB177" i="39" a="1"/>
  <c r="BB177" i="39" s="1"/>
  <c r="AV177" i="39" a="1"/>
  <c r="AV177" i="39" s="1"/>
  <c r="BB310" i="39" a="1"/>
  <c r="BB310" i="39" s="1"/>
  <c r="AV310" i="39" a="1"/>
  <c r="AV310" i="39" s="1"/>
  <c r="BB184" i="39" a="1"/>
  <c r="BB184" i="39" s="1"/>
  <c r="AV184" i="39" a="1"/>
  <c r="AV184" i="39" s="1"/>
  <c r="BB196" i="39" a="1"/>
  <c r="BB196" i="39" s="1"/>
  <c r="AV196" i="39" a="1"/>
  <c r="AV196" i="39" s="1"/>
  <c r="BB157" i="39" a="1"/>
  <c r="BB157" i="39" s="1"/>
  <c r="AV157" i="39" a="1"/>
  <c r="AV157" i="39" s="1"/>
  <c r="BB229" i="39" a="1"/>
  <c r="BB229" i="39" s="1"/>
  <c r="AV229" i="39" a="1"/>
  <c r="AV229" i="39" s="1"/>
  <c r="BB257" i="39" a="1"/>
  <c r="BB257" i="39" s="1"/>
  <c r="AV257" i="39" a="1"/>
  <c r="AV257" i="39" s="1"/>
  <c r="BB228" i="39" a="1"/>
  <c r="BB228" i="39" s="1"/>
  <c r="AV228" i="39" a="1"/>
  <c r="AV228" i="39" s="1"/>
  <c r="BB330" i="39" a="1"/>
  <c r="BB330" i="39" s="1"/>
  <c r="AV330" i="39" a="1"/>
  <c r="AV330" i="39" s="1"/>
  <c r="BB162" i="39" a="1"/>
  <c r="BB162" i="39" s="1"/>
  <c r="AV162" i="39" a="1"/>
  <c r="AV162" i="39" s="1"/>
  <c r="BB343" i="39" a="1"/>
  <c r="BB343" i="39" s="1"/>
  <c r="AV343" i="39" a="1"/>
  <c r="AV343" i="39" s="1"/>
  <c r="BB200" i="39" a="1"/>
  <c r="BB200" i="39" s="1"/>
  <c r="AV200" i="39" a="1"/>
  <c r="AV200" i="39" s="1"/>
  <c r="BB259" i="39" a="1"/>
  <c r="BB259" i="39" s="1"/>
  <c r="AV259" i="39" a="1"/>
  <c r="AV259" i="39" s="1"/>
  <c r="BB151" i="39" a="1"/>
  <c r="BB151" i="39" s="1"/>
  <c r="AV151" i="39" a="1"/>
  <c r="AV151" i="39" s="1"/>
  <c r="BB190" i="39" a="1"/>
  <c r="BB190" i="39" s="1"/>
  <c r="AV190" i="39" a="1"/>
  <c r="AV190" i="39" s="1"/>
  <c r="BB323" i="39" a="1"/>
  <c r="BB323" i="39" s="1"/>
  <c r="AV323" i="39" a="1"/>
  <c r="AV323" i="39" s="1"/>
  <c r="BB227" i="39" a="1"/>
  <c r="BB227" i="39" s="1"/>
  <c r="AV227" i="39" a="1"/>
  <c r="AV227" i="39" s="1"/>
  <c r="BB79" i="39" a="1"/>
  <c r="BB79" i="39" s="1"/>
  <c r="AV79" i="39" a="1"/>
  <c r="AV79" i="39" s="1"/>
  <c r="BB60" i="39" a="1"/>
  <c r="BB60" i="39" s="1"/>
  <c r="AV60" i="39" a="1"/>
  <c r="AV60" i="39" s="1"/>
  <c r="BB83" i="39" a="1"/>
  <c r="BB83" i="39" s="1"/>
  <c r="AV83" i="39" a="1"/>
  <c r="AV83" i="39" s="1"/>
  <c r="BB105" i="39" a="1"/>
  <c r="BB105" i="39" s="1"/>
  <c r="AV105" i="39" a="1"/>
  <c r="AV105" i="39" s="1"/>
  <c r="BB126" i="39" a="1"/>
  <c r="BB126" i="39" s="1"/>
  <c r="AV126" i="39" a="1"/>
  <c r="AV126" i="39" s="1"/>
  <c r="BB17" i="39" a="1"/>
  <c r="BB17" i="39" s="1"/>
  <c r="AV17" i="39" a="1"/>
  <c r="AV17" i="39" s="1"/>
  <c r="BB40" i="39" a="1"/>
  <c r="BB40" i="39" s="1"/>
  <c r="AV40" i="39" a="1"/>
  <c r="AV40" i="39" s="1"/>
  <c r="BD109" i="39" a="1"/>
  <c r="BD109" i="39" s="1"/>
  <c r="AX109" i="39" a="1"/>
  <c r="AX109" i="39" s="1"/>
  <c r="BD194" i="39" a="1"/>
  <c r="BD194" i="39" s="1"/>
  <c r="AX194" i="39" a="1"/>
  <c r="AX194" i="39" s="1"/>
  <c r="BD23" i="39" a="1"/>
  <c r="BD23" i="39" s="1"/>
  <c r="AX23" i="39" a="1"/>
  <c r="AX23" i="39" s="1"/>
  <c r="BD151" i="39" a="1"/>
  <c r="BD151" i="39" s="1"/>
  <c r="AX151" i="39" a="1"/>
  <c r="AX151" i="39" s="1"/>
  <c r="BD145" i="39" a="1"/>
  <c r="BD145" i="39" s="1"/>
  <c r="AX145" i="39" a="1"/>
  <c r="AX145" i="39" s="1"/>
  <c r="BD164" i="39" a="1"/>
  <c r="BD164" i="39" s="1"/>
  <c r="AX164" i="39" a="1"/>
  <c r="AX164" i="39" s="1"/>
  <c r="BD88" i="39" a="1"/>
  <c r="BD88" i="39" s="1"/>
  <c r="AX88" i="39" a="1"/>
  <c r="AX88" i="39" s="1"/>
  <c r="BD46" i="39" a="1"/>
  <c r="BD46" i="39" s="1"/>
  <c r="AX46" i="39" a="1"/>
  <c r="AX46" i="39" s="1"/>
  <c r="BD54" i="39" a="1"/>
  <c r="BD54" i="39" s="1"/>
  <c r="AX54" i="39" a="1"/>
  <c r="AX54" i="39" s="1"/>
  <c r="BD212" i="39" a="1"/>
  <c r="BD212" i="39" s="1"/>
  <c r="AX212" i="39" a="1"/>
  <c r="AX212" i="39" s="1"/>
  <c r="BD103" i="39" a="1"/>
  <c r="BD103" i="39" s="1"/>
  <c r="AX103" i="39" a="1"/>
  <c r="AX103" i="39" s="1"/>
  <c r="BD174" i="39" a="1"/>
  <c r="BD174" i="39" s="1"/>
  <c r="AX174" i="39" a="1"/>
  <c r="AX174" i="39" s="1"/>
  <c r="BD250" i="39" a="1"/>
  <c r="BD250" i="39" s="1"/>
  <c r="AX250" i="39" a="1"/>
  <c r="AX250" i="39" s="1"/>
  <c r="BD227" i="39" a="1"/>
  <c r="BD227" i="39" s="1"/>
  <c r="AX227" i="39" a="1"/>
  <c r="AX227" i="39" s="1"/>
  <c r="BD273" i="39" a="1"/>
  <c r="BD273" i="39" s="1"/>
  <c r="AX273" i="39" a="1"/>
  <c r="AX273" i="39" s="1"/>
  <c r="BD80" i="39" a="1"/>
  <c r="BD80" i="39" s="1"/>
  <c r="AX80" i="39" a="1"/>
  <c r="AX80" i="39" s="1"/>
  <c r="BD228" i="39" a="1"/>
  <c r="BD228" i="39" s="1"/>
  <c r="AX228" i="39" a="1"/>
  <c r="AX228" i="39" s="1"/>
  <c r="BD16" i="39" a="1"/>
  <c r="BD16" i="39" s="1"/>
  <c r="AX16" i="39" a="1"/>
  <c r="AX16" i="39" s="1"/>
  <c r="BD58" i="39" a="1"/>
  <c r="BD58" i="39" s="1"/>
  <c r="AX58" i="39" a="1"/>
  <c r="AX58" i="39" s="1"/>
  <c r="BD288" i="39" a="1"/>
  <c r="BD288" i="39" s="1"/>
  <c r="AX288" i="39" a="1"/>
  <c r="AX288" i="39" s="1"/>
  <c r="BD297" i="39" a="1"/>
  <c r="BD297" i="39" s="1"/>
  <c r="AX297" i="39" a="1"/>
  <c r="AX297" i="39" s="1"/>
  <c r="BD305" i="39" a="1"/>
  <c r="BD305" i="39" s="1"/>
  <c r="AX305" i="39" a="1"/>
  <c r="AX305" i="39" s="1"/>
  <c r="BD315" i="39" a="1"/>
  <c r="BD315" i="39" s="1"/>
  <c r="AX315" i="39" a="1"/>
  <c r="AX315" i="39" s="1"/>
  <c r="BD318" i="39" a="1"/>
  <c r="BD318" i="39" s="1"/>
  <c r="AX318" i="39" a="1"/>
  <c r="AX318" i="39" s="1"/>
  <c r="BC334" i="39" a="1"/>
  <c r="BC334" i="39" s="1"/>
  <c r="AW334" i="39" a="1"/>
  <c r="AW334" i="39" s="1"/>
  <c r="BC335" i="39" a="1"/>
  <c r="BC335" i="39" s="1"/>
  <c r="AW335" i="39" a="1"/>
  <c r="AW335" i="39" s="1"/>
  <c r="BC298" i="39" a="1"/>
  <c r="BC298" i="39" s="1"/>
  <c r="AW298" i="39" a="1"/>
  <c r="AW298" i="39" s="1"/>
  <c r="BC61" i="39" a="1"/>
  <c r="BC61" i="39" s="1"/>
  <c r="AW61" i="39" a="1"/>
  <c r="AW61" i="39" s="1"/>
  <c r="BC168" i="39" a="1"/>
  <c r="BC168" i="39" s="1"/>
  <c r="AW168" i="39" a="1"/>
  <c r="AW168" i="39" s="1"/>
  <c r="BC286" i="39" a="1"/>
  <c r="BC286" i="39" s="1"/>
  <c r="AW286" i="39" a="1"/>
  <c r="AW286" i="39" s="1"/>
  <c r="BC151" i="39" a="1"/>
  <c r="BC151" i="39" s="1"/>
  <c r="AW151" i="39" a="1"/>
  <c r="AW151" i="39" s="1"/>
  <c r="BC198" i="39" a="1"/>
  <c r="BC198" i="39" s="1"/>
  <c r="AW198" i="39" a="1"/>
  <c r="AW198" i="39" s="1"/>
  <c r="BC339" i="39" a="1"/>
  <c r="BC339" i="39" s="1"/>
  <c r="AW339" i="39" a="1"/>
  <c r="AW339" i="39" s="1"/>
  <c r="BC134" i="39" a="1"/>
  <c r="BC134" i="39" s="1"/>
  <c r="AW134" i="39" a="1"/>
  <c r="AW134" i="39" s="1"/>
  <c r="BC272" i="39" a="1"/>
  <c r="BC272" i="39" s="1"/>
  <c r="AW272" i="39" a="1"/>
  <c r="AW272" i="39" s="1"/>
  <c r="BC57" i="39" a="1"/>
  <c r="BC57" i="39" s="1"/>
  <c r="AW57" i="39" a="1"/>
  <c r="AW57" i="39" s="1"/>
  <c r="BC311" i="39" a="1"/>
  <c r="BC311" i="39" s="1"/>
  <c r="AW311" i="39" a="1"/>
  <c r="AW311" i="39" s="1"/>
  <c r="BC103" i="39" a="1"/>
  <c r="BC103" i="39" s="1"/>
  <c r="AW103" i="39" a="1"/>
  <c r="AW103" i="39" s="1"/>
  <c r="BB202" i="39" a="1"/>
  <c r="BB202" i="39" s="1"/>
  <c r="AV202" i="39" a="1"/>
  <c r="AV202" i="39" s="1"/>
  <c r="BB328" i="39" a="1"/>
  <c r="BB328" i="39" s="1"/>
  <c r="AV328" i="39" a="1"/>
  <c r="AV328" i="39" s="1"/>
  <c r="BB301" i="39" a="1"/>
  <c r="BB301" i="39" s="1"/>
  <c r="AV301" i="39" a="1"/>
  <c r="AV301" i="39" s="1"/>
  <c r="BB334" i="39" a="1"/>
  <c r="BB334" i="39" s="1"/>
  <c r="AV334" i="39" a="1"/>
  <c r="AV334" i="39" s="1"/>
  <c r="BB138" i="39" a="1"/>
  <c r="BB138" i="39" s="1"/>
  <c r="AV138" i="39" a="1"/>
  <c r="AV138" i="39" s="1"/>
  <c r="BB240" i="39" a="1"/>
  <c r="BB240" i="39" s="1"/>
  <c r="AV240" i="39" a="1"/>
  <c r="AV240" i="39" s="1"/>
  <c r="BB338" i="39" a="1"/>
  <c r="BB338" i="39" s="1"/>
  <c r="AV338" i="39" a="1"/>
  <c r="AV338" i="39" s="1"/>
  <c r="BB351" i="39" a="1"/>
  <c r="BB351" i="39" s="1"/>
  <c r="AV351" i="39" a="1"/>
  <c r="AV351" i="39" s="1"/>
  <c r="BB267" i="39" a="1"/>
  <c r="BB267" i="39" s="1"/>
  <c r="AV267" i="39" a="1"/>
  <c r="AV267" i="39" s="1"/>
  <c r="BB300" i="39" a="1"/>
  <c r="BB300" i="39" s="1"/>
  <c r="AV300" i="39" a="1"/>
  <c r="AV300" i="39" s="1"/>
  <c r="BB331" i="39" a="1"/>
  <c r="BB331" i="39" s="1"/>
  <c r="AV331" i="39" a="1"/>
  <c r="AV331" i="39" s="1"/>
  <c r="BB101" i="39" a="1"/>
  <c r="BB101" i="39" s="1"/>
  <c r="AV101" i="39" a="1"/>
  <c r="AV101" i="39" s="1"/>
  <c r="BB90" i="39" a="1"/>
  <c r="BB90" i="39" s="1"/>
  <c r="AV90" i="39" a="1"/>
  <c r="AV90" i="39" s="1"/>
  <c r="BB48" i="39" a="1"/>
  <c r="BB48" i="39" s="1"/>
  <c r="AV48" i="39" a="1"/>
  <c r="AV48" i="39" s="1"/>
  <c r="BD85" i="39" a="1"/>
  <c r="BD85" i="39" s="1"/>
  <c r="AX85" i="39" a="1"/>
  <c r="AX85" i="39" s="1"/>
  <c r="BD257" i="39" a="1"/>
  <c r="BD257" i="39" s="1"/>
  <c r="AX257" i="39" a="1"/>
  <c r="AX257" i="39" s="1"/>
  <c r="BD43" i="39" a="1"/>
  <c r="BD43" i="39" s="1"/>
  <c r="AX43" i="39" a="1"/>
  <c r="AX43" i="39" s="1"/>
  <c r="BD173" i="39" a="1"/>
  <c r="BD173" i="39" s="1"/>
  <c r="AX173" i="39" a="1"/>
  <c r="AX173" i="39" s="1"/>
  <c r="BD147" i="39" a="1"/>
  <c r="BD147" i="39" s="1"/>
  <c r="AX147" i="39" a="1"/>
  <c r="AX147" i="39" s="1"/>
  <c r="BD245" i="39" a="1"/>
  <c r="BD245" i="39" s="1"/>
  <c r="AX245" i="39" a="1"/>
  <c r="AX245" i="39" s="1"/>
  <c r="BD184" i="39" a="1"/>
  <c r="BD184" i="39" s="1"/>
  <c r="AX184" i="39" a="1"/>
  <c r="AX184" i="39" s="1"/>
  <c r="BD268" i="39" a="1"/>
  <c r="BD268" i="39" s="1"/>
  <c r="AX268" i="39" a="1"/>
  <c r="AX268" i="39" s="1"/>
  <c r="BD284" i="39" a="1"/>
  <c r="BD284" i="39" s="1"/>
  <c r="AX284" i="39" a="1"/>
  <c r="AX284" i="39" s="1"/>
  <c r="BC79" i="39" a="1"/>
  <c r="BC79" i="39" s="1"/>
  <c r="AW79" i="39" a="1"/>
  <c r="AW79" i="39" s="1"/>
  <c r="BC315" i="39" a="1"/>
  <c r="BC315" i="39" s="1"/>
  <c r="AW315" i="39" a="1"/>
  <c r="AW315" i="39" s="1"/>
  <c r="BC38" i="39" a="1"/>
  <c r="BC38" i="39" s="1"/>
  <c r="AW38" i="39" a="1"/>
  <c r="AW38" i="39" s="1"/>
  <c r="BC284" i="39" a="1"/>
  <c r="BC284" i="39" s="1"/>
  <c r="AW284" i="39" a="1"/>
  <c r="AW284" i="39" s="1"/>
  <c r="BC236" i="39" a="1"/>
  <c r="BC236" i="39" s="1"/>
  <c r="AW236" i="39" a="1"/>
  <c r="AW236" i="39" s="1"/>
  <c r="BC124" i="39" a="1"/>
  <c r="BC124" i="39" s="1"/>
  <c r="AW124" i="39" a="1"/>
  <c r="AW124" i="39" s="1"/>
  <c r="BC245" i="39" a="1"/>
  <c r="BC245" i="39" s="1"/>
  <c r="AW245" i="39" a="1"/>
  <c r="AW245" i="39" s="1"/>
  <c r="BC137" i="39" a="1"/>
  <c r="BC137" i="39" s="1"/>
  <c r="AW137" i="39" a="1"/>
  <c r="AW137" i="39" s="1"/>
  <c r="BC341" i="39" a="1"/>
  <c r="BC341" i="39" s="1"/>
  <c r="AW341" i="39" a="1"/>
  <c r="AW341" i="39" s="1"/>
  <c r="BC243" i="39" a="1"/>
  <c r="BC243" i="39" s="1"/>
  <c r="AW243" i="39" a="1"/>
  <c r="AW243" i="39" s="1"/>
  <c r="BC136" i="39" a="1"/>
  <c r="BC136" i="39" s="1"/>
  <c r="AW136" i="39" a="1"/>
  <c r="AW136" i="39" s="1"/>
  <c r="BC14" i="39" a="1"/>
  <c r="BC14" i="39" s="1"/>
  <c r="AW14" i="39" a="1"/>
  <c r="AW14" i="39" s="1"/>
  <c r="BC290" i="39" a="1"/>
  <c r="BC290" i="39" s="1"/>
  <c r="AW290" i="39" a="1"/>
  <c r="AW290" i="39" s="1"/>
  <c r="BC182" i="39" a="1"/>
  <c r="BC182" i="39" s="1"/>
  <c r="AW182" i="39" a="1"/>
  <c r="AW182" i="39" s="1"/>
  <c r="BC75" i="39" a="1"/>
  <c r="BC75" i="39" s="1"/>
  <c r="AW75" i="39" a="1"/>
  <c r="AW75" i="39" s="1"/>
  <c r="BC325" i="39" a="1"/>
  <c r="BC325" i="39" s="1"/>
  <c r="AW325" i="39" a="1"/>
  <c r="AW325" i="39" s="1"/>
  <c r="BC120" i="39" a="1"/>
  <c r="BC120" i="39" s="1"/>
  <c r="AW120" i="39" a="1"/>
  <c r="AW120" i="39" s="1"/>
  <c r="BC256" i="39" a="1"/>
  <c r="BC256" i="39" s="1"/>
  <c r="AW256" i="39" a="1"/>
  <c r="AW256" i="39" s="1"/>
  <c r="BC148" i="39" a="1"/>
  <c r="BC148" i="39" s="1"/>
  <c r="AW148" i="39" a="1"/>
  <c r="AW148" i="39" s="1"/>
  <c r="BC41" i="39" a="1"/>
  <c r="BC41" i="39" s="1"/>
  <c r="AW41" i="39" a="1"/>
  <c r="AW41" i="39" s="1"/>
  <c r="BC299" i="39" a="1"/>
  <c r="BC299" i="39" s="1"/>
  <c r="AW299" i="39" a="1"/>
  <c r="AW299" i="39" s="1"/>
  <c r="BC195" i="39" a="1"/>
  <c r="BC195" i="39" s="1"/>
  <c r="AW195" i="39" a="1"/>
  <c r="AW195" i="39" s="1"/>
  <c r="BC87" i="39" a="1"/>
  <c r="BC87" i="39" s="1"/>
  <c r="AW87" i="39" a="1"/>
  <c r="AW87" i="39" s="1"/>
  <c r="BC11" i="39" a="1"/>
  <c r="BC11" i="39" s="1"/>
  <c r="AW11" i="39" a="1"/>
  <c r="AW11" i="39" s="1"/>
  <c r="BB152" i="39" a="1"/>
  <c r="BB152" i="39" s="1"/>
  <c r="AV152" i="39" a="1"/>
  <c r="AV152" i="39" s="1"/>
  <c r="BB294" i="39" a="1"/>
  <c r="BB294" i="39" s="1"/>
  <c r="AV294" i="39" a="1"/>
  <c r="AV294" i="39" s="1"/>
  <c r="BB170" i="39" a="1"/>
  <c r="BB170" i="39" s="1"/>
  <c r="AV170" i="39" a="1"/>
  <c r="AV170" i="39" s="1"/>
  <c r="BB280" i="39" a="1"/>
  <c r="BB280" i="39" s="1"/>
  <c r="AV280" i="39" a="1"/>
  <c r="AV280" i="39" s="1"/>
  <c r="BB232" i="39" a="1"/>
  <c r="BB232" i="39" s="1"/>
  <c r="AV232" i="39" a="1"/>
  <c r="AV232" i="39" s="1"/>
  <c r="BB218" i="39" a="1"/>
  <c r="BB218" i="39" s="1"/>
  <c r="AV218" i="39" a="1"/>
  <c r="AV218" i="39" s="1"/>
  <c r="BB217" i="39" a="1"/>
  <c r="BB217" i="39" s="1"/>
  <c r="AV217" i="39" a="1"/>
  <c r="AV217" i="39" s="1"/>
  <c r="BB149" i="39" a="1"/>
  <c r="BB149" i="39" s="1"/>
  <c r="AV149" i="39" a="1"/>
  <c r="AV149" i="39" s="1"/>
  <c r="BB337" i="39" a="1"/>
  <c r="BB337" i="39" s="1"/>
  <c r="AV337" i="39" a="1"/>
  <c r="AV337" i="39" s="1"/>
  <c r="BB186" i="39" a="1"/>
  <c r="BB186" i="39" s="1"/>
  <c r="AV186" i="39" a="1"/>
  <c r="AV186" i="39" s="1"/>
  <c r="BB251" i="39" a="1"/>
  <c r="BB251" i="39" s="1"/>
  <c r="AV251" i="39" a="1"/>
  <c r="AV251" i="39" s="1"/>
  <c r="BB290" i="39" a="1"/>
  <c r="BB290" i="39" s="1"/>
  <c r="AV290" i="39" a="1"/>
  <c r="AV290" i="39" s="1"/>
  <c r="BB182" i="39" a="1"/>
  <c r="BB182" i="39" s="1"/>
  <c r="AV182" i="39" a="1"/>
  <c r="AV182" i="39" s="1"/>
  <c r="BB317" i="39" a="1"/>
  <c r="BB317" i="39" s="1"/>
  <c r="AV317" i="39" a="1"/>
  <c r="AV317" i="39" s="1"/>
  <c r="BB219" i="39" a="1"/>
  <c r="BB219" i="39" s="1"/>
  <c r="AV219" i="39" a="1"/>
  <c r="AV219" i="39" s="1"/>
  <c r="BB61" i="39" a="1"/>
  <c r="BB61" i="39" s="1"/>
  <c r="AV61" i="39" a="1"/>
  <c r="AV61" i="39" s="1"/>
  <c r="BB52" i="39" a="1"/>
  <c r="BB52" i="39" s="1"/>
  <c r="AV52" i="39" a="1"/>
  <c r="AV52" i="39" s="1"/>
  <c r="BB75" i="39" a="1"/>
  <c r="BB75" i="39" s="1"/>
  <c r="AV75" i="39" a="1"/>
  <c r="AV75" i="39" s="1"/>
  <c r="BB97" i="39" a="1"/>
  <c r="BB97" i="39" s="1"/>
  <c r="AV97" i="39" a="1"/>
  <c r="AV97" i="39" s="1"/>
  <c r="BB119" i="39" a="1"/>
  <c r="BB119" i="39" s="1"/>
  <c r="AV119" i="39" a="1"/>
  <c r="AV119" i="39" s="1"/>
  <c r="BB140" i="39" a="1"/>
  <c r="BB140" i="39" s="1"/>
  <c r="AV140" i="39" a="1"/>
  <c r="AV140" i="39" s="1"/>
  <c r="BB32" i="39" a="1"/>
  <c r="BB32" i="39" s="1"/>
  <c r="AV32" i="39" a="1"/>
  <c r="AV32" i="39" s="1"/>
  <c r="BD27" i="39" a="1"/>
  <c r="BD27" i="39" s="1"/>
  <c r="AX27" i="39" a="1"/>
  <c r="AX27" i="39" s="1"/>
  <c r="BD62" i="39" a="1"/>
  <c r="BD62" i="39" s="1"/>
  <c r="AX62" i="39" a="1"/>
  <c r="AX62" i="39" s="1"/>
  <c r="BD49" i="39" a="1"/>
  <c r="BD49" i="39" s="1"/>
  <c r="AX49" i="39" a="1"/>
  <c r="AX49" i="39" s="1"/>
  <c r="BD87" i="39" a="1"/>
  <c r="BD87" i="39" s="1"/>
  <c r="AX87" i="39" a="1"/>
  <c r="AX87" i="39" s="1"/>
  <c r="BD252" i="39" a="1"/>
  <c r="BD252" i="39" s="1"/>
  <c r="AX252" i="39" a="1"/>
  <c r="AX252" i="39" s="1"/>
  <c r="BD89" i="39" a="1"/>
  <c r="BD89" i="39" s="1"/>
  <c r="AX89" i="39" a="1"/>
  <c r="AX89" i="39" s="1"/>
  <c r="BD35" i="39" a="1"/>
  <c r="BD35" i="39" s="1"/>
  <c r="AX35" i="39" a="1"/>
  <c r="AX35" i="39" s="1"/>
  <c r="BD261" i="39" a="1"/>
  <c r="BD261" i="39" s="1"/>
  <c r="AX261" i="39" a="1"/>
  <c r="AX261" i="39" s="1"/>
  <c r="BD86" i="39" a="1"/>
  <c r="BD86" i="39" s="1"/>
  <c r="AX86" i="39" a="1"/>
  <c r="AX86" i="39" s="1"/>
  <c r="BD96" i="39" a="1"/>
  <c r="BD96" i="39" s="1"/>
  <c r="AX96" i="39" a="1"/>
  <c r="AX96" i="39" s="1"/>
  <c r="BD235" i="39" a="1"/>
  <c r="BD235" i="39" s="1"/>
  <c r="AX235" i="39" a="1"/>
  <c r="AX235" i="39" s="1"/>
  <c r="BD169" i="39" a="1"/>
  <c r="BD169" i="39" s="1"/>
  <c r="AX169" i="39" a="1"/>
  <c r="AX169" i="39" s="1"/>
  <c r="BD135" i="39" a="1"/>
  <c r="BD135" i="39" s="1"/>
  <c r="AX135" i="39" a="1"/>
  <c r="AX135" i="39" s="1"/>
  <c r="BD219" i="39" a="1"/>
  <c r="BD219" i="39" s="1"/>
  <c r="AX219" i="39" a="1"/>
  <c r="AX219" i="39" s="1"/>
  <c r="BD165" i="39" a="1"/>
  <c r="BD165" i="39" s="1"/>
  <c r="AX165" i="39" a="1"/>
  <c r="AX165" i="39" s="1"/>
  <c r="BD186" i="39" a="1"/>
  <c r="BD186" i="39" s="1"/>
  <c r="AX186" i="39" a="1"/>
  <c r="AX186" i="39" s="1"/>
  <c r="BD167" i="39" a="1"/>
  <c r="BD167" i="39" s="1"/>
  <c r="AX167" i="39" a="1"/>
  <c r="AX167" i="39" s="1"/>
  <c r="BD44" i="39" a="1"/>
  <c r="BD44" i="39" s="1"/>
  <c r="AX44" i="39" a="1"/>
  <c r="AX44" i="39" s="1"/>
  <c r="BD79" i="39" a="1"/>
  <c r="BD79" i="39" s="1"/>
  <c r="AX79" i="39" a="1"/>
  <c r="AX79" i="39" s="1"/>
  <c r="BD312" i="39" a="1"/>
  <c r="BD312" i="39" s="1"/>
  <c r="AX312" i="39" a="1"/>
  <c r="AX312" i="39" s="1"/>
  <c r="BD334" i="39" a="1"/>
  <c r="BD334" i="39" s="1"/>
  <c r="AX334" i="39" a="1"/>
  <c r="AX334" i="39" s="1"/>
  <c r="BD343" i="39" a="1"/>
  <c r="BD343" i="39" s="1"/>
  <c r="AX343" i="39" a="1"/>
  <c r="AX343" i="39" s="1"/>
  <c r="BC178" i="39" a="1"/>
  <c r="BC178" i="39" s="1"/>
  <c r="AW178" i="39" a="1"/>
  <c r="AW178" i="39" s="1"/>
  <c r="BC277" i="39" a="1"/>
  <c r="BC277" i="39" s="1"/>
  <c r="AW277" i="39" a="1"/>
  <c r="AW277" i="39" s="1"/>
  <c r="BC252" i="39" a="1"/>
  <c r="BC252" i="39" s="1"/>
  <c r="AW252" i="39" a="1"/>
  <c r="AW252" i="39" s="1"/>
  <c r="BC202" i="39" a="1"/>
  <c r="BC202" i="39" s="1"/>
  <c r="AW202" i="39" a="1"/>
  <c r="AW202" i="39" s="1"/>
  <c r="BC108" i="39" a="1"/>
  <c r="BC108" i="39" s="1"/>
  <c r="AW108" i="39" a="1"/>
  <c r="AW108" i="39" s="1"/>
  <c r="BC226" i="39" a="1"/>
  <c r="BC226" i="39" s="1"/>
  <c r="AW226" i="39" a="1"/>
  <c r="AW226" i="39" s="1"/>
  <c r="BC116" i="39" a="1"/>
  <c r="BC116" i="39" s="1"/>
  <c r="AW116" i="39" a="1"/>
  <c r="AW116" i="39" s="1"/>
  <c r="BC333" i="39" a="1"/>
  <c r="BC333" i="39" s="1"/>
  <c r="AW333" i="39" a="1"/>
  <c r="AW333" i="39" s="1"/>
  <c r="BC235" i="39" a="1"/>
  <c r="BC235" i="39" s="1"/>
  <c r="AW235" i="39" a="1"/>
  <c r="AW235" i="39" s="1"/>
  <c r="BC129" i="39" a="1"/>
  <c r="BC129" i="39" s="1"/>
  <c r="AW129" i="39" a="1"/>
  <c r="AW129" i="39" s="1"/>
  <c r="BC282" i="39" a="1"/>
  <c r="BC282" i="39" s="1"/>
  <c r="AW282" i="39" a="1"/>
  <c r="AW282" i="39" s="1"/>
  <c r="BC174" i="39" a="1"/>
  <c r="BC174" i="39" s="1"/>
  <c r="AW174" i="39" a="1"/>
  <c r="AW174" i="39" s="1"/>
  <c r="BC67" i="39" a="1"/>
  <c r="BC67" i="39" s="1"/>
  <c r="AW67" i="39" a="1"/>
  <c r="AW67" i="39" s="1"/>
  <c r="BC319" i="39" a="1"/>
  <c r="BC319" i="39" s="1"/>
  <c r="AW319" i="39" a="1"/>
  <c r="AW319" i="39" s="1"/>
  <c r="BC221" i="39" a="1"/>
  <c r="BC221" i="39" s="1"/>
  <c r="AW221" i="39" a="1"/>
  <c r="AW221" i="39" s="1"/>
  <c r="BC113" i="39" a="1"/>
  <c r="BC113" i="39" s="1"/>
  <c r="AW113" i="39" a="1"/>
  <c r="AW113" i="39" s="1"/>
  <c r="BC344" i="39" a="1"/>
  <c r="BC344" i="39" s="1"/>
  <c r="AW344" i="39" a="1"/>
  <c r="AW344" i="39" s="1"/>
  <c r="BC248" i="39" a="1"/>
  <c r="BC248" i="39" s="1"/>
  <c r="AW248" i="39" a="1"/>
  <c r="AW248" i="39" s="1"/>
  <c r="BC141" i="39" a="1"/>
  <c r="BC141" i="39" s="1"/>
  <c r="AW141" i="39" a="1"/>
  <c r="AW141" i="39" s="1"/>
  <c r="BC29" i="39" a="1"/>
  <c r="BC29" i="39" s="1"/>
  <c r="AW29" i="39" a="1"/>
  <c r="AW29" i="39" s="1"/>
  <c r="BC293" i="39" a="1"/>
  <c r="BC293" i="39" s="1"/>
  <c r="AW293" i="39" a="1"/>
  <c r="AW293" i="39" s="1"/>
  <c r="BC187" i="39" a="1"/>
  <c r="BC187" i="39" s="1"/>
  <c r="AW187" i="39" a="1"/>
  <c r="AW187" i="39" s="1"/>
  <c r="BC80" i="39" a="1"/>
  <c r="BC80" i="39" s="1"/>
  <c r="AW80" i="39" a="1"/>
  <c r="AW80" i="39" s="1"/>
  <c r="BC34" i="39" a="1"/>
  <c r="BC34" i="39" s="1"/>
  <c r="AW34" i="39" a="1"/>
  <c r="AW34" i="39" s="1"/>
  <c r="BB335" i="39" a="1"/>
  <c r="BB335" i="39" s="1"/>
  <c r="AV335" i="39" a="1"/>
  <c r="AV335" i="39" s="1"/>
  <c r="BB93" i="39" a="1"/>
  <c r="BB93" i="39" s="1"/>
  <c r="AV93" i="39" a="1"/>
  <c r="AV93" i="39" s="1"/>
  <c r="BB270" i="39" a="1"/>
  <c r="BB270" i="39" s="1"/>
  <c r="AV270" i="39" a="1"/>
  <c r="AV270" i="39" s="1"/>
  <c r="BB145" i="39" a="1"/>
  <c r="BB145" i="39" s="1"/>
  <c r="AV145" i="39" a="1"/>
  <c r="AV145" i="39" s="1"/>
  <c r="BB156" i="39" a="1"/>
  <c r="BB156" i="39" s="1"/>
  <c r="AV156" i="39" a="1"/>
  <c r="AV156" i="39" s="1"/>
  <c r="BB339" i="39" a="1"/>
  <c r="BB339" i="39" s="1"/>
  <c r="AV339" i="39" a="1"/>
  <c r="AV339" i="39" s="1"/>
  <c r="BB210" i="39" a="1"/>
  <c r="BB210" i="39" s="1"/>
  <c r="AV210" i="39" a="1"/>
  <c r="AV210" i="39" s="1"/>
  <c r="BB347" i="39" a="1"/>
  <c r="BB347" i="39" s="1"/>
  <c r="AV347" i="39" a="1"/>
  <c r="AV347" i="39" s="1"/>
  <c r="BB205" i="39" a="1"/>
  <c r="BB205" i="39" s="1"/>
  <c r="AV205" i="39" a="1"/>
  <c r="AV205" i="39" s="1"/>
  <c r="BB346" i="39" a="1"/>
  <c r="BB346" i="39" s="1"/>
  <c r="AV346" i="39" a="1"/>
  <c r="AV346" i="39" s="1"/>
  <c r="BB204" i="39" a="1"/>
  <c r="BB204" i="39" s="1"/>
  <c r="AV204" i="39" a="1"/>
  <c r="AV204" i="39" s="1"/>
  <c r="BB137" i="39" a="1"/>
  <c r="BB137" i="39" s="1"/>
  <c r="AV137" i="39" a="1"/>
  <c r="AV137" i="39" s="1"/>
  <c r="BB329" i="39" a="1"/>
  <c r="BB329" i="39" s="1"/>
  <c r="AV329" i="39" a="1"/>
  <c r="AV329" i="39" s="1"/>
  <c r="BB173" i="39" a="1"/>
  <c r="BB173" i="39" s="1"/>
  <c r="AV173" i="39" a="1"/>
  <c r="AV173" i="39" s="1"/>
  <c r="BB243" i="39" a="1"/>
  <c r="BB243" i="39" s="1"/>
  <c r="AV243" i="39" a="1"/>
  <c r="AV243" i="39" s="1"/>
  <c r="BB131" i="39" a="1"/>
  <c r="BB131" i="39" s="1"/>
  <c r="AV131" i="39" a="1"/>
  <c r="AV131" i="39" s="1"/>
  <c r="BB282" i="39" a="1"/>
  <c r="BB282" i="39" s="1"/>
  <c r="AV282" i="39" a="1"/>
  <c r="AV282" i="39" s="1"/>
  <c r="BB174" i="39" a="1"/>
  <c r="BB174" i="39" s="1"/>
  <c r="AV174" i="39" a="1"/>
  <c r="AV174" i="39" s="1"/>
  <c r="BB311" i="39" a="1"/>
  <c r="BB311" i="39" s="1"/>
  <c r="AV311" i="39" a="1"/>
  <c r="AV311" i="39" s="1"/>
  <c r="BB211" i="39" a="1"/>
  <c r="BB211" i="39" s="1"/>
  <c r="AV211" i="39" a="1"/>
  <c r="AV211" i="39" s="1"/>
  <c r="BB38" i="39" a="1"/>
  <c r="BB38" i="39" s="1"/>
  <c r="AV38" i="39" a="1"/>
  <c r="AV38" i="39" s="1"/>
  <c r="BB44" i="39" a="1"/>
  <c r="BB44" i="39" s="1"/>
  <c r="AV44" i="39" a="1"/>
  <c r="AV44" i="39" s="1"/>
  <c r="BB67" i="39" a="1"/>
  <c r="BB67" i="39" s="1"/>
  <c r="AV67" i="39" a="1"/>
  <c r="AV67" i="39" s="1"/>
  <c r="BB89" i="39" a="1"/>
  <c r="BB89" i="39" s="1"/>
  <c r="AV89" i="39" a="1"/>
  <c r="AV89" i="39" s="1"/>
  <c r="BB112" i="39" a="1"/>
  <c r="BB112" i="39" s="1"/>
  <c r="AV112" i="39" a="1"/>
  <c r="AV112" i="39" s="1"/>
  <c r="BB133" i="39" a="1"/>
  <c r="BB133" i="39" s="1"/>
  <c r="AV133" i="39" a="1"/>
  <c r="AV133" i="39" s="1"/>
  <c r="BB24" i="39" a="1"/>
  <c r="BB24" i="39" s="1"/>
  <c r="AV24" i="39" a="1"/>
  <c r="AV24" i="39" s="1"/>
  <c r="BD94" i="39" a="1"/>
  <c r="BD94" i="39" s="1"/>
  <c r="AX94" i="39" a="1"/>
  <c r="AX94" i="39" s="1"/>
  <c r="BD206" i="39" a="1"/>
  <c r="BD206" i="39" s="1"/>
  <c r="AX206" i="39" a="1"/>
  <c r="AX206" i="39" s="1"/>
  <c r="BD214" i="39" a="1"/>
  <c r="BD214" i="39" s="1"/>
  <c r="AX214" i="39" a="1"/>
  <c r="AX214" i="39" s="1"/>
  <c r="BD50" i="39" a="1"/>
  <c r="BD50" i="39" s="1"/>
  <c r="AX50" i="39" a="1"/>
  <c r="AX50" i="39" s="1"/>
  <c r="BD83" i="39" a="1"/>
  <c r="BD83" i="39" s="1"/>
  <c r="AX83" i="39" a="1"/>
  <c r="AX83" i="39" s="1"/>
  <c r="BD118" i="39" a="1"/>
  <c r="BD118" i="39" s="1"/>
  <c r="AX118" i="39" a="1"/>
  <c r="AX118" i="39" s="1"/>
  <c r="BD168" i="39" a="1"/>
  <c r="BD168" i="39" s="1"/>
  <c r="AX168" i="39" a="1"/>
  <c r="AX168" i="39" s="1"/>
  <c r="BD74" i="39" a="1"/>
  <c r="BD74" i="39" s="1"/>
  <c r="AX74" i="39" a="1"/>
  <c r="AX74" i="39" s="1"/>
  <c r="BD117" i="39" a="1"/>
  <c r="BD117" i="39" s="1"/>
  <c r="AX117" i="39" a="1"/>
  <c r="AX117" i="39" s="1"/>
  <c r="BD159" i="39" a="1"/>
  <c r="BD159" i="39" s="1"/>
  <c r="AX159" i="39" a="1"/>
  <c r="AX159" i="39" s="1"/>
  <c r="BD267" i="39" a="1"/>
  <c r="BD267" i="39" s="1"/>
  <c r="AX267" i="39" a="1"/>
  <c r="AX267" i="39" s="1"/>
  <c r="BD204" i="39" a="1"/>
  <c r="BD204" i="39" s="1"/>
  <c r="AX204" i="39" a="1"/>
  <c r="AX204" i="39" s="1"/>
  <c r="BD265" i="39" a="1"/>
  <c r="BD265" i="39" s="1"/>
  <c r="AX265" i="39" a="1"/>
  <c r="AX265" i="39" s="1"/>
  <c r="BD244" i="39" a="1"/>
  <c r="BD244" i="39" s="1"/>
  <c r="AX244" i="39" a="1"/>
  <c r="AX244" i="39" s="1"/>
  <c r="BD192" i="39" a="1"/>
  <c r="BD192" i="39" s="1"/>
  <c r="AX192" i="39" a="1"/>
  <c r="AX192" i="39" s="1"/>
  <c r="BD215" i="39" a="1"/>
  <c r="BD215" i="39" s="1"/>
  <c r="AX215" i="39" a="1"/>
  <c r="AX215" i="39" s="1"/>
  <c r="BD276" i="39" a="1"/>
  <c r="BD276" i="39" s="1"/>
  <c r="AX276" i="39" a="1"/>
  <c r="AX276" i="39" s="1"/>
  <c r="BD120" i="39" a="1"/>
  <c r="BD120" i="39" s="1"/>
  <c r="AX120" i="39" a="1"/>
  <c r="AX120" i="39" s="1"/>
  <c r="BD99" i="39" a="1"/>
  <c r="BD99" i="39" s="1"/>
  <c r="AX99" i="39" a="1"/>
  <c r="AX99" i="39" s="1"/>
  <c r="BD292" i="39" a="1"/>
  <c r="BD292" i="39" s="1"/>
  <c r="AX292" i="39" a="1"/>
  <c r="AX292" i="39" s="1"/>
  <c r="BD322" i="39" a="1"/>
  <c r="BD322" i="39" s="1"/>
  <c r="AX322" i="39" a="1"/>
  <c r="AX322" i="39" s="1"/>
  <c r="BC131" i="39" a="1"/>
  <c r="BC131" i="39" s="1"/>
  <c r="AW131" i="39" a="1"/>
  <c r="AW131" i="39" s="1"/>
  <c r="BC123" i="39" a="1"/>
  <c r="BC123" i="39" s="1"/>
  <c r="AW123" i="39" a="1"/>
  <c r="AW123" i="39" s="1"/>
  <c r="BC110" i="39" a="1"/>
  <c r="BC110" i="39" s="1"/>
  <c r="AW110" i="39" a="1"/>
  <c r="AW110" i="39" s="1"/>
  <c r="BC55" i="39" a="1"/>
  <c r="BC55" i="39" s="1"/>
  <c r="AW55" i="39" a="1"/>
  <c r="AW55" i="39" s="1"/>
  <c r="BC177" i="39" a="1"/>
  <c r="BC177" i="39" s="1"/>
  <c r="AW177" i="39" a="1"/>
  <c r="AW177" i="39" s="1"/>
  <c r="BC259" i="39" a="1"/>
  <c r="BC259" i="39" s="1"/>
  <c r="AW259" i="39" a="1"/>
  <c r="AW259" i="39" s="1"/>
  <c r="BC44" i="39" a="1"/>
  <c r="BC44" i="39" s="1"/>
  <c r="AW44" i="39" a="1"/>
  <c r="AW44" i="39" s="1"/>
  <c r="BC300" i="39" a="1"/>
  <c r="BC300" i="39" s="1"/>
  <c r="AW300" i="39" a="1"/>
  <c r="AW300" i="39" s="1"/>
  <c r="BC90" i="39" a="1"/>
  <c r="BC90" i="39" s="1"/>
  <c r="AW90" i="39" a="1"/>
  <c r="AW90" i="39" s="1"/>
  <c r="BC241" i="39" a="1"/>
  <c r="BC241" i="39" s="1"/>
  <c r="AW241" i="39" a="1"/>
  <c r="AW241" i="39" s="1"/>
  <c r="BC164" i="39" a="1"/>
  <c r="BC164" i="39" s="1"/>
  <c r="AW164" i="39" a="1"/>
  <c r="AW164" i="39" s="1"/>
  <c r="BC211" i="39" a="1"/>
  <c r="BC211" i="39" s="1"/>
  <c r="AW211" i="39" a="1"/>
  <c r="AW211" i="39" s="1"/>
  <c r="BC27" i="39" a="1"/>
  <c r="BC27" i="39" s="1"/>
  <c r="AW27" i="39" a="1"/>
  <c r="AW27" i="39" s="1"/>
  <c r="BB221" i="39" a="1"/>
  <c r="BB221" i="39" s="1"/>
  <c r="AV221" i="39" a="1"/>
  <c r="AV221" i="39" s="1"/>
  <c r="BB281" i="39" a="1"/>
  <c r="BB281" i="39" s="1"/>
  <c r="AV281" i="39" a="1"/>
  <c r="AV281" i="39" s="1"/>
  <c r="BB284" i="39" a="1"/>
  <c r="BB284" i="39" s="1"/>
  <c r="AV284" i="39" a="1"/>
  <c r="AV284" i="39" s="1"/>
  <c r="BB238" i="39" a="1"/>
  <c r="BB238" i="39" s="1"/>
  <c r="AV238" i="39" a="1"/>
  <c r="AV238" i="39" s="1"/>
  <c r="BB176" i="39" a="1"/>
  <c r="BB176" i="39" s="1"/>
  <c r="AV176" i="39" a="1"/>
  <c r="AV176" i="39" s="1"/>
  <c r="BB212" i="39" a="1"/>
  <c r="BB212" i="39" s="1"/>
  <c r="AV212" i="39" a="1"/>
  <c r="AV212" i="39" s="1"/>
  <c r="BB159" i="39" a="1"/>
  <c r="BB159" i="39" s="1"/>
  <c r="AV159" i="39" a="1"/>
  <c r="AV159" i="39" s="1"/>
  <c r="BB198" i="39" a="1"/>
  <c r="BB198" i="39" s="1"/>
  <c r="AV198" i="39" a="1"/>
  <c r="AV198" i="39" s="1"/>
  <c r="BB231" i="39" a="1"/>
  <c r="BB231" i="39" s="1"/>
  <c r="AV231" i="39" a="1"/>
  <c r="AV231" i="39" s="1"/>
  <c r="BB68" i="39" a="1"/>
  <c r="BB68" i="39" s="1"/>
  <c r="AV68" i="39" a="1"/>
  <c r="AV68" i="39" s="1"/>
  <c r="BB113" i="39" a="1"/>
  <c r="BB113" i="39" s="1"/>
  <c r="AV113" i="39" a="1"/>
  <c r="AV113" i="39" s="1"/>
  <c r="BB25" i="39" a="1"/>
  <c r="BB25" i="39" s="1"/>
  <c r="AV25" i="39" a="1"/>
  <c r="AV25" i="39" s="1"/>
  <c r="BD196" i="39" a="1"/>
  <c r="BD196" i="39" s="1"/>
  <c r="AX196" i="39" a="1"/>
  <c r="AX196" i="39" s="1"/>
  <c r="BD36" i="39" a="1"/>
  <c r="BD36" i="39" s="1"/>
  <c r="AX36" i="39" a="1"/>
  <c r="AX36" i="39" s="1"/>
  <c r="BD113" i="39" a="1"/>
  <c r="BD113" i="39" s="1"/>
  <c r="AX113" i="39" a="1"/>
  <c r="AX113" i="39" s="1"/>
  <c r="BD10" i="39" a="1"/>
  <c r="BD10" i="39" s="1"/>
  <c r="AX10" i="39" a="1"/>
  <c r="AX10" i="39" s="1"/>
  <c r="BD140" i="39" a="1"/>
  <c r="BD140" i="39" s="1"/>
  <c r="AX140" i="39" a="1"/>
  <c r="AX140" i="39" s="1"/>
  <c r="BD123" i="39" a="1"/>
  <c r="BD123" i="39" s="1"/>
  <c r="AX123" i="39" a="1"/>
  <c r="AX123" i="39" s="1"/>
  <c r="BD95" i="39" a="1"/>
  <c r="BD95" i="39" s="1"/>
  <c r="AX95" i="39" a="1"/>
  <c r="AX95" i="39" s="1"/>
  <c r="BD91" i="39" a="1"/>
  <c r="BD91" i="39" s="1"/>
  <c r="AX91" i="39" a="1"/>
  <c r="AX91" i="39" s="1"/>
  <c r="BD246" i="39" a="1"/>
  <c r="BD246" i="39" s="1"/>
  <c r="AX246" i="39" a="1"/>
  <c r="AX246" i="39" s="1"/>
  <c r="BD56" i="39" a="1"/>
  <c r="BD56" i="39" s="1"/>
  <c r="AX56" i="39" a="1"/>
  <c r="AX56" i="39" s="1"/>
  <c r="BC261" i="39" a="1"/>
  <c r="BC261" i="39" s="1"/>
  <c r="AW261" i="39" a="1"/>
  <c r="AW261" i="39" s="1"/>
  <c r="BC146" i="39" a="1"/>
  <c r="BC146" i="39" s="1"/>
  <c r="AW146" i="39" a="1"/>
  <c r="AW146" i="39" s="1"/>
  <c r="BC254" i="39" a="1"/>
  <c r="BC254" i="39" s="1"/>
  <c r="AW254" i="39" a="1"/>
  <c r="AW254" i="39" s="1"/>
  <c r="BC217" i="39" a="1"/>
  <c r="BC217" i="39" s="1"/>
  <c r="AW217" i="39" a="1"/>
  <c r="AW217" i="39" s="1"/>
  <c r="BC170" i="39" a="1"/>
  <c r="BC170" i="39" s="1"/>
  <c r="AW170" i="39" a="1"/>
  <c r="AW170" i="39" s="1"/>
  <c r="BC85" i="39" a="1"/>
  <c r="BC85" i="39" s="1"/>
  <c r="AW85" i="39" a="1"/>
  <c r="AW85" i="39" s="1"/>
  <c r="BC208" i="39" a="1"/>
  <c r="BC208" i="39" s="1"/>
  <c r="AW208" i="39" a="1"/>
  <c r="AW208" i="39" s="1"/>
  <c r="BC94" i="39" a="1"/>
  <c r="BC94" i="39" s="1"/>
  <c r="AW94" i="39" a="1"/>
  <c r="AW94" i="39" s="1"/>
  <c r="BC327" i="39" a="1"/>
  <c r="BC327" i="39" s="1"/>
  <c r="AW327" i="39" a="1"/>
  <c r="AW327" i="39" s="1"/>
  <c r="BC122" i="39" a="1"/>
  <c r="BC122" i="39" s="1"/>
  <c r="AW122" i="39" a="1"/>
  <c r="AW122" i="39" s="1"/>
  <c r="BC274" i="39" a="1"/>
  <c r="BC274" i="39" s="1"/>
  <c r="AW274" i="39" a="1"/>
  <c r="AW274" i="39" s="1"/>
  <c r="BC166" i="39" a="1"/>
  <c r="BC166" i="39" s="1"/>
  <c r="AW166" i="39" a="1"/>
  <c r="AW166" i="39" s="1"/>
  <c r="BC59" i="39" a="1"/>
  <c r="BC59" i="39" s="1"/>
  <c r="AW59" i="39" a="1"/>
  <c r="AW59" i="39" s="1"/>
  <c r="BC213" i="39" a="1"/>
  <c r="BC213" i="39" s="1"/>
  <c r="AW213" i="39" a="1"/>
  <c r="AW213" i="39" s="1"/>
  <c r="BC105" i="39" a="1"/>
  <c r="BC105" i="39" s="1"/>
  <c r="AW105" i="39" a="1"/>
  <c r="AW105" i="39" s="1"/>
  <c r="BC338" i="39" a="1"/>
  <c r="BC338" i="39" s="1"/>
  <c r="AW338" i="39" a="1"/>
  <c r="AW338" i="39" s="1"/>
  <c r="BC240" i="39" a="1"/>
  <c r="BC240" i="39" s="1"/>
  <c r="AW240" i="39" a="1"/>
  <c r="AW240" i="39" s="1"/>
  <c r="BC287" i="39" a="1"/>
  <c r="BC287" i="39" s="1"/>
  <c r="AW287" i="39" a="1"/>
  <c r="AW287" i="39" s="1"/>
  <c r="BC179" i="39" a="1"/>
  <c r="BC179" i="39" s="1"/>
  <c r="AW179" i="39" a="1"/>
  <c r="AW179" i="39" s="1"/>
  <c r="BC72" i="39" a="1"/>
  <c r="BC72" i="39" s="1"/>
  <c r="AW72" i="39" a="1"/>
  <c r="AW72" i="39" s="1"/>
  <c r="BC26" i="39" a="1"/>
  <c r="BC26" i="39" s="1"/>
  <c r="AW26" i="39" a="1"/>
  <c r="AW26" i="39" s="1"/>
  <c r="BB230" i="39" a="1"/>
  <c r="BB230" i="39" s="1"/>
  <c r="AV230" i="39" a="1"/>
  <c r="AV230" i="39" s="1"/>
  <c r="BB245" i="39" a="1"/>
  <c r="BB245" i="39" s="1"/>
  <c r="AV245" i="39" a="1"/>
  <c r="AV245" i="39" s="1"/>
  <c r="BB62" i="39" a="1"/>
  <c r="BB62" i="39" s="1"/>
  <c r="AV62" i="39" a="1"/>
  <c r="AV62" i="39" s="1"/>
  <c r="BB327" i="39" a="1"/>
  <c r="BB327" i="39" s="1"/>
  <c r="AV327" i="39" a="1"/>
  <c r="AV327" i="39" s="1"/>
  <c r="BB308" i="39" a="1"/>
  <c r="BB308" i="39" s="1"/>
  <c r="AV308" i="39" a="1"/>
  <c r="AV308" i="39" s="1"/>
  <c r="BB185" i="39" a="1"/>
  <c r="BB185" i="39" s="1"/>
  <c r="AV185" i="39" a="1"/>
  <c r="AV185" i="39" s="1"/>
  <c r="BB341" i="39" a="1"/>
  <c r="BB341" i="39" s="1"/>
  <c r="AV341" i="39" a="1"/>
  <c r="AV341" i="39" s="1"/>
  <c r="BB193" i="39" a="1"/>
  <c r="BB193" i="39" s="1"/>
  <c r="AV193" i="39" a="1"/>
  <c r="AV193" i="39" s="1"/>
  <c r="BB340" i="39" a="1"/>
  <c r="BB340" i="39" s="1"/>
  <c r="AV340" i="39" a="1"/>
  <c r="AV340" i="39" s="1"/>
  <c r="BB192" i="39" a="1"/>
  <c r="BB192" i="39" s="1"/>
  <c r="AV192" i="39" a="1"/>
  <c r="AV192" i="39" s="1"/>
  <c r="BB296" i="39" a="1"/>
  <c r="BB296" i="39" s="1"/>
  <c r="AV296" i="39" a="1"/>
  <c r="AV296" i="39" s="1"/>
  <c r="BB102" i="39" a="1"/>
  <c r="BB102" i="39" s="1"/>
  <c r="AV102" i="39" a="1"/>
  <c r="AV102" i="39" s="1"/>
  <c r="BB321" i="39" a="1"/>
  <c r="BB321" i="39" s="1"/>
  <c r="AV321" i="39" a="1"/>
  <c r="AV321" i="39" s="1"/>
  <c r="BB161" i="39" a="1"/>
  <c r="BB161" i="39" s="1"/>
  <c r="AV161" i="39" a="1"/>
  <c r="AV161" i="39" s="1"/>
  <c r="BB235" i="39" a="1"/>
  <c r="BB235" i="39" s="1"/>
  <c r="AV235" i="39" a="1"/>
  <c r="AV235" i="39" s="1"/>
  <c r="BB110" i="39" a="1"/>
  <c r="BB110" i="39" s="1"/>
  <c r="AV110" i="39" a="1"/>
  <c r="AV110" i="39" s="1"/>
  <c r="BB274" i="39" a="1"/>
  <c r="BB274" i="39" s="1"/>
  <c r="AV274" i="39" a="1"/>
  <c r="AV274" i="39" s="1"/>
  <c r="BB166" i="39" a="1"/>
  <c r="BB166" i="39" s="1"/>
  <c r="AV166" i="39" a="1"/>
  <c r="AV166" i="39" s="1"/>
  <c r="BB203" i="39" a="1"/>
  <c r="BB203" i="39" s="1"/>
  <c r="AV203" i="39" a="1"/>
  <c r="AV203" i="39" s="1"/>
  <c r="BB15" i="39" a="1"/>
  <c r="BB15" i="39" s="1"/>
  <c r="AV15" i="39" a="1"/>
  <c r="AV15" i="39" s="1"/>
  <c r="BB36" i="39" a="1"/>
  <c r="BB36" i="39" s="1"/>
  <c r="AV36" i="39" a="1"/>
  <c r="AV36" i="39" s="1"/>
  <c r="BB59" i="39" a="1"/>
  <c r="BB59" i="39" s="1"/>
  <c r="AV59" i="39" a="1"/>
  <c r="AV59" i="39" s="1"/>
  <c r="BB82" i="39" a="1"/>
  <c r="BB82" i="39" s="1"/>
  <c r="AV82" i="39" a="1"/>
  <c r="AV82" i="39" s="1"/>
  <c r="BB104" i="39" a="1"/>
  <c r="BB104" i="39" s="1"/>
  <c r="AV104" i="39" a="1"/>
  <c r="AV104" i="39" s="1"/>
  <c r="BB125" i="39" a="1"/>
  <c r="BB125" i="39" s="1"/>
  <c r="AV125" i="39" a="1"/>
  <c r="AV125" i="39" s="1"/>
  <c r="BB16" i="39" a="1"/>
  <c r="BB16" i="39" s="1"/>
  <c r="AV16" i="39" a="1"/>
  <c r="AV16" i="39" s="1"/>
  <c r="BD42" i="39" a="1"/>
  <c r="BD42" i="39" s="1"/>
  <c r="AX42" i="39" a="1"/>
  <c r="AX42" i="39" s="1"/>
  <c r="BD129" i="39" a="1"/>
  <c r="BD129" i="39" s="1"/>
  <c r="AX129" i="39" a="1"/>
  <c r="AX129" i="39" s="1"/>
  <c r="BD97" i="39" a="1"/>
  <c r="BD97" i="39" s="1"/>
  <c r="AX97" i="39" a="1"/>
  <c r="AX97" i="39" s="1"/>
  <c r="BD197" i="39" a="1"/>
  <c r="BD197" i="39" s="1"/>
  <c r="AX197" i="39" a="1"/>
  <c r="AX197" i="39" s="1"/>
  <c r="BD172" i="39" a="1"/>
  <c r="BD172" i="39" s="1"/>
  <c r="AX172" i="39" a="1"/>
  <c r="AX172" i="39" s="1"/>
  <c r="BD20" i="39" a="1"/>
  <c r="BD20" i="39" s="1"/>
  <c r="AX20" i="39" a="1"/>
  <c r="AX20" i="39" s="1"/>
  <c r="BD75" i="39" a="1"/>
  <c r="BD75" i="39" s="1"/>
  <c r="AX75" i="39" a="1"/>
  <c r="AX75" i="39" s="1"/>
  <c r="BD264" i="39" a="1"/>
  <c r="BD264" i="39" s="1"/>
  <c r="AX264" i="39" a="1"/>
  <c r="AX264" i="39" s="1"/>
  <c r="BD78" i="39" a="1"/>
  <c r="BD78" i="39" s="1"/>
  <c r="AX78" i="39" a="1"/>
  <c r="AX78" i="39" s="1"/>
  <c r="BD39" i="39" a="1"/>
  <c r="BD39" i="39" s="1"/>
  <c r="AX39" i="39" a="1"/>
  <c r="AX39" i="39" s="1"/>
  <c r="BD47" i="39" a="1"/>
  <c r="BD47" i="39" s="1"/>
  <c r="AX47" i="39" a="1"/>
  <c r="AX47" i="39" s="1"/>
  <c r="BD253" i="39" a="1"/>
  <c r="BD253" i="39" s="1"/>
  <c r="AX253" i="39" a="1"/>
  <c r="AX253" i="39" s="1"/>
  <c r="BD176" i="39" a="1"/>
  <c r="BD176" i="39" s="1"/>
  <c r="AX176" i="39" a="1"/>
  <c r="AX176" i="39" s="1"/>
  <c r="BD141" i="39" a="1"/>
  <c r="BD141" i="39" s="1"/>
  <c r="AX141" i="39" a="1"/>
  <c r="AX141" i="39" s="1"/>
  <c r="BD130" i="39" a="1"/>
  <c r="BD130" i="39" s="1"/>
  <c r="AX130" i="39" a="1"/>
  <c r="AX130" i="39" s="1"/>
  <c r="BD238" i="39" a="1"/>
  <c r="BD238" i="39" s="1"/>
  <c r="AX238" i="39" a="1"/>
  <c r="AX238" i="39" s="1"/>
  <c r="BD70" i="39" a="1"/>
  <c r="BD70" i="39" s="1"/>
  <c r="AX70" i="39" a="1"/>
  <c r="AX70" i="39" s="1"/>
  <c r="BD30" i="39" a="1"/>
  <c r="BD30" i="39" s="1"/>
  <c r="AX30" i="39" a="1"/>
  <c r="AX30" i="39" s="1"/>
  <c r="BD139" i="39" a="1"/>
  <c r="BD139" i="39" s="1"/>
  <c r="AX139" i="39" a="1"/>
  <c r="AX139" i="39" s="1"/>
  <c r="BD210" i="39" a="1"/>
  <c r="BD210" i="39" s="1"/>
  <c r="AX210" i="39" a="1"/>
  <c r="AX210" i="39" s="1"/>
  <c r="BD287" i="39" a="1"/>
  <c r="BD287" i="39" s="1"/>
  <c r="AX287" i="39" a="1"/>
  <c r="AX287" i="39" s="1"/>
  <c r="BD302" i="39" a="1"/>
  <c r="BD302" i="39" s="1"/>
  <c r="AX302" i="39" a="1"/>
  <c r="AX302" i="39" s="1"/>
  <c r="BD333" i="39" a="1"/>
  <c r="BD333" i="39" s="1"/>
  <c r="AX333" i="39" a="1"/>
  <c r="AX333" i="39" s="1"/>
  <c r="BD348" i="39" a="1"/>
  <c r="BD348" i="39" s="1"/>
  <c r="AX348" i="39" a="1"/>
  <c r="AX348" i="39" s="1"/>
  <c r="BC225" i="39" a="1"/>
  <c r="BC225" i="39" s="1"/>
  <c r="AW225" i="39" a="1"/>
  <c r="AW225" i="39" s="1"/>
  <c r="BC184" i="39" a="1"/>
  <c r="BC184" i="39" s="1"/>
  <c r="AW184" i="39" a="1"/>
  <c r="AW184" i="39" s="1"/>
  <c r="BC138" i="39" a="1"/>
  <c r="BC138" i="39" s="1"/>
  <c r="AW138" i="39" a="1"/>
  <c r="AW138" i="39" s="1"/>
  <c r="BC350" i="39" a="1"/>
  <c r="BC350" i="39" s="1"/>
  <c r="AW350" i="39" a="1"/>
  <c r="AW350" i="39" s="1"/>
  <c r="BC63" i="39" a="1"/>
  <c r="BC63" i="39" s="1"/>
  <c r="AW63" i="39" a="1"/>
  <c r="AW63" i="39" s="1"/>
  <c r="BC185" i="39" a="1"/>
  <c r="BC185" i="39" s="1"/>
  <c r="AW185" i="39" a="1"/>
  <c r="AW185" i="39" s="1"/>
  <c r="BC349" i="39" a="1"/>
  <c r="BC349" i="39" s="1"/>
  <c r="AW349" i="39" a="1"/>
  <c r="AW349" i="39" s="1"/>
  <c r="BC77" i="39" a="1"/>
  <c r="BC77" i="39" s="1"/>
  <c r="AW77" i="39" a="1"/>
  <c r="AW77" i="39" s="1"/>
  <c r="BC321" i="39" a="1"/>
  <c r="BC321" i="39" s="1"/>
  <c r="AW321" i="39" a="1"/>
  <c r="AW321" i="39" s="1"/>
  <c r="BC223" i="39" a="1"/>
  <c r="BC223" i="39" s="1"/>
  <c r="AW223" i="39" a="1"/>
  <c r="AW223" i="39" s="1"/>
  <c r="BC114" i="39" a="1"/>
  <c r="BC114" i="39" s="1"/>
  <c r="AW114" i="39" a="1"/>
  <c r="AW114" i="39" s="1"/>
  <c r="BC266" i="39" a="1"/>
  <c r="BC266" i="39" s="1"/>
  <c r="AW266" i="39" a="1"/>
  <c r="AW266" i="39" s="1"/>
  <c r="BC158" i="39" a="1"/>
  <c r="BC158" i="39" s="1"/>
  <c r="AW158" i="39" a="1"/>
  <c r="AW158" i="39" s="1"/>
  <c r="BC51" i="39" a="1"/>
  <c r="BC51" i="39" s="1"/>
  <c r="AW51" i="39" a="1"/>
  <c r="AW51" i="39" s="1"/>
  <c r="BC305" i="39" a="1"/>
  <c r="BC305" i="39" s="1"/>
  <c r="AW305" i="39" a="1"/>
  <c r="AW305" i="39" s="1"/>
  <c r="BC205" i="39" a="1"/>
  <c r="BC205" i="39" s="1"/>
  <c r="AW205" i="39" a="1"/>
  <c r="AW205" i="39" s="1"/>
  <c r="BC97" i="39" a="1"/>
  <c r="BC97" i="39" s="1"/>
  <c r="AW97" i="39" a="1"/>
  <c r="AW97" i="39" s="1"/>
  <c r="BC232" i="39" a="1"/>
  <c r="BC232" i="39" s="1"/>
  <c r="AW232" i="39" a="1"/>
  <c r="AW232" i="39" s="1"/>
  <c r="BC126" i="39" a="1"/>
  <c r="BC126" i="39" s="1"/>
  <c r="AW126" i="39" a="1"/>
  <c r="AW126" i="39" s="1"/>
  <c r="BC279" i="39" a="1"/>
  <c r="BC279" i="39" s="1"/>
  <c r="AW279" i="39" a="1"/>
  <c r="AW279" i="39" s="1"/>
  <c r="BC171" i="39" a="1"/>
  <c r="BC171" i="39" s="1"/>
  <c r="AW171" i="39" a="1"/>
  <c r="AW171" i="39" s="1"/>
  <c r="BC64" i="39" a="1"/>
  <c r="BC64" i="39" s="1"/>
  <c r="AW64" i="39" a="1"/>
  <c r="AW64" i="39" s="1"/>
  <c r="BC18" i="39" a="1"/>
  <c r="BC18" i="39" s="1"/>
  <c r="AW18" i="39" a="1"/>
  <c r="AW18" i="39" s="1"/>
  <c r="BB22" i="39" a="1"/>
  <c r="BB22" i="39" s="1"/>
  <c r="AV22" i="39" a="1"/>
  <c r="AV22" i="39" s="1"/>
  <c r="BB224" i="39" a="1"/>
  <c r="BB224" i="39" s="1"/>
  <c r="AV224" i="39" a="1"/>
  <c r="AV224" i="39" s="1"/>
  <c r="BB269" i="39" a="1"/>
  <c r="BB269" i="39" s="1"/>
  <c r="AV269" i="39" a="1"/>
  <c r="AV269" i="39" s="1"/>
  <c r="BB268" i="39" a="1"/>
  <c r="BB268" i="39" s="1"/>
  <c r="AV268" i="39" a="1"/>
  <c r="AV268" i="39" s="1"/>
  <c r="BB304" i="39" a="1"/>
  <c r="BB304" i="39" s="1"/>
  <c r="AV304" i="39" a="1"/>
  <c r="AV304" i="39" s="1"/>
  <c r="BB160" i="39" a="1"/>
  <c r="BB160" i="39" s="1"/>
  <c r="AV160" i="39" a="1"/>
  <c r="AV160" i="39" s="1"/>
  <c r="BB333" i="39" a="1"/>
  <c r="BB333" i="39" s="1"/>
  <c r="AV333" i="39" a="1"/>
  <c r="AV333" i="39" s="1"/>
  <c r="BB180" i="39" a="1"/>
  <c r="BB180" i="39" s="1"/>
  <c r="AV180" i="39" a="1"/>
  <c r="AV180" i="39" s="1"/>
  <c r="BB178" i="39" a="1"/>
  <c r="BB178" i="39" s="1"/>
  <c r="AV178" i="39" a="1"/>
  <c r="AV178" i="39" s="1"/>
  <c r="BB286" i="39" a="1"/>
  <c r="BB286" i="39" s="1"/>
  <c r="AV286" i="39" a="1"/>
  <c r="AV286" i="39" s="1"/>
  <c r="BB71" i="39" a="1"/>
  <c r="BB71" i="39" s="1"/>
  <c r="AV71" i="39" a="1"/>
  <c r="AV71" i="39" s="1"/>
  <c r="BB148" i="39" a="1"/>
  <c r="BB148" i="39" s="1"/>
  <c r="AV148" i="39" a="1"/>
  <c r="AV148" i="39" s="1"/>
  <c r="BB92" i="39" a="1"/>
  <c r="BB92" i="39" s="1"/>
  <c r="AV92" i="39" a="1"/>
  <c r="AV92" i="39" s="1"/>
  <c r="BB266" i="39" a="1"/>
  <c r="BB266" i="39" s="1"/>
  <c r="AV266" i="39" a="1"/>
  <c r="AV266" i="39" s="1"/>
  <c r="BB158" i="39" a="1"/>
  <c r="BB158" i="39" s="1"/>
  <c r="AV158" i="39" a="1"/>
  <c r="AV158" i="39" s="1"/>
  <c r="BB299" i="39" a="1"/>
  <c r="BB299" i="39" s="1"/>
  <c r="AV299" i="39" a="1"/>
  <c r="AV299" i="39" s="1"/>
  <c r="BB195" i="39" a="1"/>
  <c r="BB195" i="39" s="1"/>
  <c r="AV195" i="39" a="1"/>
  <c r="AV195" i="39" s="1"/>
  <c r="BB136" i="39" a="1"/>
  <c r="BB136" i="39" s="1"/>
  <c r="AV136" i="39" a="1"/>
  <c r="AV136" i="39" s="1"/>
  <c r="BB28" i="39" a="1"/>
  <c r="BB28" i="39" s="1"/>
  <c r="AV28" i="39" a="1"/>
  <c r="AV28" i="39" s="1"/>
  <c r="BB51" i="39" a="1"/>
  <c r="BB51" i="39" s="1"/>
  <c r="AV51" i="39" a="1"/>
  <c r="AV51" i="39" s="1"/>
  <c r="BB74" i="39" a="1"/>
  <c r="BB74" i="39" s="1"/>
  <c r="AV74" i="39" a="1"/>
  <c r="AV74" i="39" s="1"/>
  <c r="BB96" i="39" a="1"/>
  <c r="BB96" i="39" s="1"/>
  <c r="AV96" i="39" a="1"/>
  <c r="AV96" i="39" s="1"/>
  <c r="BB118" i="39" a="1"/>
  <c r="BB118" i="39" s="1"/>
  <c r="AV118" i="39" a="1"/>
  <c r="AV118" i="39" s="1"/>
  <c r="BD181" i="39" a="1"/>
  <c r="BD181" i="39" s="1"/>
  <c r="AX181" i="39" a="1"/>
  <c r="AX181" i="39" s="1"/>
  <c r="BD170" i="39" a="1"/>
  <c r="BD170" i="39" s="1"/>
  <c r="AX170" i="39" a="1"/>
  <c r="AX170" i="39" s="1"/>
  <c r="BD107" i="39" a="1"/>
  <c r="BD107" i="39" s="1"/>
  <c r="AX107" i="39" a="1"/>
  <c r="AX107" i="39" s="1"/>
  <c r="BD21" i="39" a="1"/>
  <c r="BD21" i="39" s="1"/>
  <c r="AX21" i="39" a="1"/>
  <c r="AX21" i="39" s="1"/>
  <c r="BD136" i="39" a="1"/>
  <c r="BD136" i="39" s="1"/>
  <c r="AX136" i="39" a="1"/>
  <c r="AX136" i="39" s="1"/>
  <c r="BD247" i="39" a="1"/>
  <c r="BD247" i="39" s="1"/>
  <c r="AX247" i="39" a="1"/>
  <c r="AX247" i="39" s="1"/>
  <c r="BD59" i="39" a="1"/>
  <c r="BD59" i="39" s="1"/>
  <c r="AX59" i="39" a="1"/>
  <c r="AX59" i="39" s="1"/>
  <c r="BD266" i="39" a="1"/>
  <c r="BD266" i="39" s="1"/>
  <c r="AX266" i="39" a="1"/>
  <c r="AX266" i="39" s="1"/>
  <c r="BD13" i="39" a="1"/>
  <c r="BD13" i="39" s="1"/>
  <c r="AX13" i="39" a="1"/>
  <c r="AX13" i="39" s="1"/>
  <c r="BD251" i="39" a="1"/>
  <c r="BD251" i="39" s="1"/>
  <c r="AX251" i="39" a="1"/>
  <c r="AX251" i="39" s="1"/>
  <c r="BD104" i="39" a="1"/>
  <c r="BD104" i="39" s="1"/>
  <c r="AX104" i="39" a="1"/>
  <c r="AX104" i="39" s="1"/>
  <c r="BD55" i="39" a="1"/>
  <c r="BD55" i="39" s="1"/>
  <c r="AX55" i="39" a="1"/>
  <c r="AX55" i="39" s="1"/>
  <c r="BD223" i="39" a="1"/>
  <c r="BD223" i="39" s="1"/>
  <c r="AX223" i="39" a="1"/>
  <c r="AX223" i="39" s="1"/>
  <c r="BD92" i="39" a="1"/>
  <c r="BD92" i="39" s="1"/>
  <c r="AX92" i="39" a="1"/>
  <c r="AX92" i="39" s="1"/>
  <c r="BD225" i="39" a="1"/>
  <c r="BD225" i="39" s="1"/>
  <c r="AX225" i="39" a="1"/>
  <c r="AX225" i="39" s="1"/>
  <c r="BD232" i="39" a="1"/>
  <c r="BD232" i="39" s="1"/>
  <c r="AX232" i="39" a="1"/>
  <c r="AX232" i="39" s="1"/>
  <c r="BD271" i="39" a="1"/>
  <c r="BD271" i="39" s="1"/>
  <c r="AX271" i="39" a="1"/>
  <c r="AX271" i="39" s="1"/>
  <c r="BD127" i="39" a="1"/>
  <c r="BD127" i="39" s="1"/>
  <c r="AX127" i="39" a="1"/>
  <c r="AX127" i="39" s="1"/>
  <c r="BD115" i="39" a="1"/>
  <c r="BD115" i="39" s="1"/>
  <c r="AX115" i="39" a="1"/>
  <c r="AX115" i="39" s="1"/>
  <c r="BD286" i="39" a="1"/>
  <c r="BD286" i="39" s="1"/>
  <c r="AX286" i="39" a="1"/>
  <c r="AX286" i="39" s="1"/>
  <c r="BD301" i="39" a="1"/>
  <c r="BD301" i="39" s="1"/>
  <c r="AX301" i="39" a="1"/>
  <c r="AX301" i="39" s="1"/>
  <c r="BD332" i="39" a="1"/>
  <c r="BD332" i="39" s="1"/>
  <c r="AX332" i="39" a="1"/>
  <c r="AX332" i="39" s="1"/>
  <c r="BD336" i="39" a="1"/>
  <c r="BD336" i="39" s="1"/>
  <c r="AX336" i="39" a="1"/>
  <c r="AX336" i="39" s="1"/>
  <c r="BD347" i="39" a="1"/>
  <c r="BD347" i="39" s="1"/>
  <c r="AX347" i="39" a="1"/>
  <c r="AX347" i="39" s="1"/>
  <c r="BC115" i="39" a="1"/>
  <c r="BC115" i="39" s="1"/>
  <c r="AW115" i="39" a="1"/>
  <c r="AW115" i="39" s="1"/>
  <c r="BC193" i="39" a="1"/>
  <c r="BC193" i="39" s="1"/>
  <c r="AW193" i="39" a="1"/>
  <c r="AW193" i="39" s="1"/>
  <c r="BC152" i="39" a="1"/>
  <c r="BC152" i="39" s="1"/>
  <c r="AW152" i="39" a="1"/>
  <c r="AW152" i="39" s="1"/>
  <c r="BC109" i="39" a="1"/>
  <c r="BC109" i="39" s="1"/>
  <c r="AW109" i="39" a="1"/>
  <c r="AW109" i="39" s="1"/>
  <c r="BC322" i="39" a="1"/>
  <c r="BC322" i="39" s="1"/>
  <c r="AW322" i="39" a="1"/>
  <c r="AW322" i="39" s="1"/>
  <c r="BC45" i="39" a="1"/>
  <c r="BC45" i="39" s="1"/>
  <c r="AW45" i="39" a="1"/>
  <c r="AW45" i="39" s="1"/>
  <c r="BC162" i="39" a="1"/>
  <c r="BC162" i="39" s="1"/>
  <c r="AW162" i="39" a="1"/>
  <c r="AW162" i="39" s="1"/>
  <c r="BC330" i="39" a="1"/>
  <c r="BC330" i="39" s="1"/>
  <c r="AW330" i="39" a="1"/>
  <c r="AW330" i="39" s="1"/>
  <c r="BC54" i="39" a="1"/>
  <c r="BC54" i="39" s="1"/>
  <c r="AW54" i="39" a="1"/>
  <c r="AW54" i="39" s="1"/>
  <c r="BC313" i="39" a="1"/>
  <c r="BC313" i="39" s="1"/>
  <c r="AW313" i="39" a="1"/>
  <c r="AW313" i="39" s="1"/>
  <c r="BC215" i="39" a="1"/>
  <c r="BC215" i="39" s="1"/>
  <c r="AW215" i="39" a="1"/>
  <c r="AW215" i="39" s="1"/>
  <c r="BC107" i="39" a="1"/>
  <c r="BC107" i="39" s="1"/>
  <c r="AW107" i="39" a="1"/>
  <c r="AW107" i="39" s="1"/>
  <c r="BC258" i="39" a="1"/>
  <c r="BC258" i="39" s="1"/>
  <c r="AW258" i="39" a="1"/>
  <c r="AW258" i="39" s="1"/>
  <c r="BC150" i="39" a="1"/>
  <c r="BC150" i="39" s="1"/>
  <c r="AW150" i="39" a="1"/>
  <c r="AW150" i="39" s="1"/>
  <c r="BC43" i="39" a="1"/>
  <c r="BC43" i="39" s="1"/>
  <c r="AW43" i="39" a="1"/>
  <c r="AW43" i="39" s="1"/>
  <c r="BC197" i="39" a="1"/>
  <c r="BC197" i="39" s="1"/>
  <c r="AW197" i="39" a="1"/>
  <c r="AW197" i="39" s="1"/>
  <c r="BC89" i="39" a="1"/>
  <c r="BC89" i="39" s="1"/>
  <c r="AW89" i="39" a="1"/>
  <c r="AW89" i="39" s="1"/>
  <c r="BC324" i="39" a="1"/>
  <c r="BC324" i="39" s="1"/>
  <c r="AW324" i="39" a="1"/>
  <c r="AW324" i="39" s="1"/>
  <c r="BC119" i="39" a="1"/>
  <c r="BC119" i="39" s="1"/>
  <c r="AW119" i="39" a="1"/>
  <c r="AW119" i="39" s="1"/>
  <c r="BC271" i="39" a="1"/>
  <c r="BC271" i="39" s="1"/>
  <c r="AW271" i="39" a="1"/>
  <c r="AW271" i="39" s="1"/>
  <c r="BC163" i="39" a="1"/>
  <c r="BC163" i="39" s="1"/>
  <c r="AW163" i="39" a="1"/>
  <c r="AW163" i="39" s="1"/>
  <c r="BC56" i="39" a="1"/>
  <c r="BC56" i="39" s="1"/>
  <c r="AW56" i="39" a="1"/>
  <c r="AW56" i="39" s="1"/>
  <c r="BC10" i="39" a="1"/>
  <c r="BC10" i="39" s="1"/>
  <c r="AW10" i="39" a="1"/>
  <c r="AW10" i="39" s="1"/>
  <c r="BB197" i="39" a="1"/>
  <c r="BB197" i="39" s="1"/>
  <c r="AV197" i="39" a="1"/>
  <c r="AV197" i="39" s="1"/>
  <c r="BB316" i="39" a="1"/>
  <c r="BB316" i="39" s="1"/>
  <c r="AV316" i="39" a="1"/>
  <c r="AV316" i="39" s="1"/>
  <c r="BB220" i="39" a="1"/>
  <c r="BB220" i="39" s="1"/>
  <c r="AV220" i="39" a="1"/>
  <c r="AV220" i="39" s="1"/>
  <c r="BB288" i="39" a="1"/>
  <c r="BB288" i="39" s="1"/>
  <c r="AV288" i="39" a="1"/>
  <c r="AV288" i="39" s="1"/>
  <c r="BB349" i="39" a="1"/>
  <c r="BB349" i="39" s="1"/>
  <c r="AV349" i="39" a="1"/>
  <c r="AV349" i="39" s="1"/>
  <c r="BB324" i="39" a="1"/>
  <c r="BB324" i="39" s="1"/>
  <c r="AV324" i="39" a="1"/>
  <c r="AV324" i="39" s="1"/>
  <c r="BB168" i="39" a="1"/>
  <c r="BB168" i="39" s="1"/>
  <c r="AV168" i="39" a="1"/>
  <c r="AV168" i="39" s="1"/>
  <c r="BB322" i="39" a="1"/>
  <c r="BB322" i="39" s="1"/>
  <c r="AV322" i="39" a="1"/>
  <c r="AV322" i="39" s="1"/>
  <c r="BB165" i="39" a="1"/>
  <c r="BB165" i="39" s="1"/>
  <c r="AV165" i="39" a="1"/>
  <c r="AV165" i="39" s="1"/>
  <c r="BB273" i="39" a="1"/>
  <c r="BB273" i="39" s="1"/>
  <c r="AV273" i="39" a="1"/>
  <c r="AV273" i="39" s="1"/>
  <c r="BB37" i="39" a="1"/>
  <c r="BB37" i="39" s="1"/>
  <c r="AV37" i="39" a="1"/>
  <c r="AV37" i="39" s="1"/>
  <c r="BB303" i="39" a="1"/>
  <c r="BB303" i="39" s="1"/>
  <c r="AV303" i="39" a="1"/>
  <c r="AV303" i="39" s="1"/>
  <c r="BB132" i="39" a="1"/>
  <c r="BB132" i="39" s="1"/>
  <c r="AV132" i="39" a="1"/>
  <c r="AV132" i="39" s="1"/>
  <c r="BB223" i="39" a="1"/>
  <c r="BB223" i="39" s="1"/>
  <c r="AV223" i="39" a="1"/>
  <c r="AV223" i="39" s="1"/>
  <c r="BB70" i="39" a="1"/>
  <c r="BB70" i="39" s="1"/>
  <c r="AV70" i="39" a="1"/>
  <c r="AV70" i="39" s="1"/>
  <c r="BB258" i="39" a="1"/>
  <c r="BB258" i="39" s="1"/>
  <c r="AV258" i="39" a="1"/>
  <c r="AV258" i="39" s="1"/>
  <c r="BB150" i="39" a="1"/>
  <c r="BB150" i="39" s="1"/>
  <c r="AV150" i="39" a="1"/>
  <c r="AV150" i="39" s="1"/>
  <c r="BB293" i="39" a="1"/>
  <c r="BB293" i="39" s="1"/>
  <c r="AV293" i="39" a="1"/>
  <c r="AV293" i="39" s="1"/>
  <c r="BB187" i="39" a="1"/>
  <c r="BB187" i="39" s="1"/>
  <c r="AV187" i="39" a="1"/>
  <c r="AV187" i="39" s="1"/>
  <c r="BB129" i="39" a="1"/>
  <c r="BB129" i="39" s="1"/>
  <c r="AV129" i="39" a="1"/>
  <c r="AV129" i="39" s="1"/>
  <c r="BB20" i="39" a="1"/>
  <c r="BB20" i="39" s="1"/>
  <c r="AV20" i="39" a="1"/>
  <c r="AV20" i="39" s="1"/>
  <c r="BB43" i="39" a="1"/>
  <c r="BB43" i="39" s="1"/>
  <c r="AV43" i="39" a="1"/>
  <c r="AV43" i="39" s="1"/>
  <c r="BB66" i="39" a="1"/>
  <c r="BB66" i="39" s="1"/>
  <c r="AV66" i="39" a="1"/>
  <c r="AV66" i="39" s="1"/>
  <c r="BB88" i="39" a="1"/>
  <c r="BB88" i="39" s="1"/>
  <c r="AV88" i="39" a="1"/>
  <c r="AV88" i="39" s="1"/>
  <c r="BB111" i="39" a="1"/>
  <c r="BB111" i="39" s="1"/>
  <c r="AV111" i="39" a="1"/>
  <c r="AV111" i="39" s="1"/>
  <c r="BD200" i="39" a="1"/>
  <c r="BD200" i="39" s="1"/>
  <c r="AX200" i="39" a="1"/>
  <c r="AX200" i="39" s="1"/>
  <c r="BD105" i="39" a="1"/>
  <c r="BD105" i="39" s="1"/>
  <c r="AX105" i="39" a="1"/>
  <c r="AX105" i="39" s="1"/>
  <c r="BD72" i="39" a="1"/>
  <c r="BD72" i="39" s="1"/>
  <c r="AX72" i="39" a="1"/>
  <c r="AX72" i="39" s="1"/>
  <c r="BD93" i="39" a="1"/>
  <c r="BD93" i="39" s="1"/>
  <c r="AX93" i="39" a="1"/>
  <c r="AX93" i="39" s="1"/>
  <c r="BD193" i="39" a="1"/>
  <c r="BD193" i="39" s="1"/>
  <c r="AX193" i="39" a="1"/>
  <c r="AX193" i="39" s="1"/>
  <c r="BD171" i="39" a="1"/>
  <c r="BD171" i="39" s="1"/>
  <c r="AX171" i="39" a="1"/>
  <c r="AX171" i="39" s="1"/>
  <c r="BD153" i="39" a="1"/>
  <c r="BD153" i="39" s="1"/>
  <c r="AX153" i="39" a="1"/>
  <c r="AX153" i="39" s="1"/>
  <c r="BD68" i="39" a="1"/>
  <c r="BD68" i="39" s="1"/>
  <c r="AX68" i="39" a="1"/>
  <c r="AX68" i="39" s="1"/>
  <c r="BD256" i="39" a="1"/>
  <c r="BD256" i="39" s="1"/>
  <c r="AX256" i="39" a="1"/>
  <c r="AX256" i="39" s="1"/>
  <c r="BD163" i="39" a="1"/>
  <c r="BD163" i="39" s="1"/>
  <c r="AX163" i="39" a="1"/>
  <c r="AX163" i="39" s="1"/>
  <c r="BD191" i="39" a="1"/>
  <c r="BD191" i="39" s="1"/>
  <c r="AX191" i="39" a="1"/>
  <c r="AX191" i="39" s="1"/>
  <c r="BD274" i="39" a="1"/>
  <c r="BD274" i="39" s="1"/>
  <c r="AX274" i="39" a="1"/>
  <c r="AX274" i="39" s="1"/>
  <c r="BD125" i="39" a="1"/>
  <c r="BD125" i="39" s="1"/>
  <c r="AX125" i="39" a="1"/>
  <c r="AX125" i="39" s="1"/>
  <c r="BD229" i="39" a="1"/>
  <c r="BD229" i="39" s="1"/>
  <c r="AX229" i="39" a="1"/>
  <c r="AX229" i="39" s="1"/>
  <c r="BD224" i="39" a="1"/>
  <c r="BD224" i="39" s="1"/>
  <c r="AX224" i="39" a="1"/>
  <c r="AX224" i="39" s="1"/>
  <c r="BD100" i="39" a="1"/>
  <c r="BD100" i="39" s="1"/>
  <c r="AX100" i="39" a="1"/>
  <c r="AX100" i="39" s="1"/>
  <c r="BD90" i="39" a="1"/>
  <c r="BD90" i="39" s="1"/>
  <c r="AX90" i="39" a="1"/>
  <c r="AX90" i="39" s="1"/>
  <c r="BD199" i="39" a="1"/>
  <c r="BD199" i="39" s="1"/>
  <c r="AX199" i="39" a="1"/>
  <c r="AX199" i="39" s="1"/>
  <c r="BD179" i="39" a="1"/>
  <c r="BD179" i="39" s="1"/>
  <c r="AX179" i="39" a="1"/>
  <c r="AX179" i="39" s="1"/>
  <c r="BD19" i="39" a="1"/>
  <c r="BD19" i="39" s="1"/>
  <c r="AX19" i="39" a="1"/>
  <c r="AX19" i="39" s="1"/>
  <c r="BD285" i="39" a="1"/>
  <c r="BD285" i="39" s="1"/>
  <c r="AX285" i="39" a="1"/>
  <c r="AX285" i="39" s="1"/>
  <c r="BD300" i="39" a="1"/>
  <c r="BD300" i="39" s="1"/>
  <c r="AX300" i="39" a="1"/>
  <c r="AX300" i="39" s="1"/>
  <c r="BD327" i="39" a="1"/>
  <c r="BD327" i="39" s="1"/>
  <c r="AX327" i="39" a="1"/>
  <c r="AX327" i="39" s="1"/>
  <c r="BD328" i="39" a="1"/>
  <c r="BD328" i="39" s="1"/>
  <c r="AX328" i="39" a="1"/>
  <c r="AX328" i="39" s="1"/>
  <c r="BD342" i="39" a="1"/>
  <c r="BD342" i="39" s="1"/>
  <c r="AX342" i="39" a="1"/>
  <c r="AX342" i="39" s="1"/>
  <c r="D156" i="42"/>
  <c r="D20" i="42"/>
  <c r="D21" i="42"/>
  <c r="D114" i="42"/>
  <c r="D59" i="42"/>
  <c r="D64" i="42"/>
  <c r="D165" i="42"/>
  <c r="D105" i="42"/>
  <c r="D153" i="42"/>
  <c r="D69" i="42"/>
  <c r="D117" i="42"/>
  <c r="D127" i="42"/>
  <c r="BJ266" i="39" a="1"/>
  <c r="BJ266" i="39" s="1"/>
  <c r="BJ264" i="39" a="1"/>
  <c r="BJ264" i="39" s="1"/>
  <c r="BK264" i="39" s="1"/>
  <c r="BJ268" i="39" a="1"/>
  <c r="BJ268" i="39" s="1"/>
  <c r="BJ262" i="39" a="1"/>
  <c r="BJ262" i="39" s="1"/>
  <c r="BK262" i="39" s="1"/>
  <c r="J10" i="37"/>
  <c r="I90" i="37"/>
  <c r="I10" i="37"/>
  <c r="G90" i="37"/>
  <c r="G50" i="37"/>
  <c r="K90" i="37"/>
  <c r="I130" i="37"/>
  <c r="K10" i="37"/>
  <c r="G10" i="37"/>
  <c r="K130" i="37"/>
  <c r="K50" i="37"/>
  <c r="I50" i="37"/>
  <c r="G130" i="37"/>
  <c r="L50" i="37"/>
  <c r="J50" i="37"/>
  <c r="J130" i="37"/>
  <c r="L130" i="37"/>
  <c r="J90" i="37"/>
  <c r="L10" i="37"/>
  <c r="L90" i="37"/>
  <c r="V23" i="65"/>
  <c r="W23" i="65" s="1"/>
  <c r="AO9" i="39"/>
  <c r="AO4" i="39" s="1"/>
  <c r="AN9" i="39"/>
  <c r="AN4" i="39" s="1"/>
  <c r="BJ9" i="39" a="1"/>
  <c r="BJ9" i="39" s="1"/>
  <c r="V59" i="65"/>
  <c r="W59" i="65" s="1"/>
  <c r="AI9" i="39"/>
  <c r="AI4" i="39" s="1"/>
  <c r="AH9" i="39"/>
  <c r="AH4" i="39" s="1"/>
  <c r="AM9" i="39"/>
  <c r="AM4" i="39" s="1"/>
  <c r="K15" i="37"/>
  <c r="V47" i="65"/>
  <c r="W47" i="65" s="1"/>
  <c r="AA9" i="39"/>
  <c r="AC9" i="39" s="1"/>
  <c r="Z9" i="39"/>
  <c r="F55" i="37"/>
  <c r="F3" i="37" s="1"/>
  <c r="F95" i="37"/>
  <c r="F4" i="37" s="1"/>
  <c r="F135" i="37"/>
  <c r="F5" i="37" s="1"/>
  <c r="F15" i="37"/>
  <c r="F2" i="37" s="1"/>
  <c r="V35" i="65"/>
  <c r="W35" i="65" s="1"/>
  <c r="V11" i="65"/>
  <c r="W11" i="65" s="1"/>
  <c r="O65" i="37"/>
  <c r="O105" i="37"/>
  <c r="O145" i="37"/>
  <c r="L31" i="37"/>
  <c r="L22" i="37"/>
  <c r="G118" i="41"/>
  <c r="K133" i="37"/>
  <c r="K93" i="37"/>
  <c r="K31" i="37"/>
  <c r="K71" i="37"/>
  <c r="K53" i="37"/>
  <c r="K35" i="37"/>
  <c r="L111" i="37"/>
  <c r="G22" i="41"/>
  <c r="K115" i="37"/>
  <c r="L155" i="37"/>
  <c r="K155" i="37"/>
  <c r="L93" i="37"/>
  <c r="L13" i="37"/>
  <c r="L75" i="37"/>
  <c r="K102" i="37"/>
  <c r="L142" i="37"/>
  <c r="L151" i="37"/>
  <c r="L133" i="37"/>
  <c r="K22" i="37"/>
  <c r="K75" i="37"/>
  <c r="L12" i="37"/>
  <c r="L102" i="37"/>
  <c r="K13" i="37"/>
  <c r="K48" i="37"/>
  <c r="L35" i="37"/>
  <c r="K151" i="37"/>
  <c r="K62" i="37"/>
  <c r="L115" i="37"/>
  <c r="L71" i="37"/>
  <c r="K142" i="37"/>
  <c r="K111" i="37"/>
  <c r="L53" i="37"/>
  <c r="G166" i="41"/>
  <c r="G70" i="41"/>
  <c r="L62" i="37"/>
  <c r="F28" i="42"/>
  <c r="L88" i="37"/>
  <c r="K12" i="37"/>
  <c r="L139" i="37"/>
  <c r="K20" i="37"/>
  <c r="L52" i="37"/>
  <c r="K128" i="37"/>
  <c r="K104" i="37"/>
  <c r="K129" i="37"/>
  <c r="L135" i="37"/>
  <c r="L150" i="37"/>
  <c r="K139" i="37"/>
  <c r="K132" i="37"/>
  <c r="L70" i="37"/>
  <c r="L146" i="37"/>
  <c r="K144" i="37"/>
  <c r="K91" i="37"/>
  <c r="L60" i="37"/>
  <c r="L106" i="37"/>
  <c r="K88" i="37"/>
  <c r="K8" i="37"/>
  <c r="L129" i="37"/>
  <c r="K106" i="37"/>
  <c r="K72" i="37"/>
  <c r="L20" i="37"/>
  <c r="K92" i="37"/>
  <c r="K97" i="37"/>
  <c r="L100" i="37"/>
  <c r="K59" i="37"/>
  <c r="L89" i="37"/>
  <c r="L25" i="37"/>
  <c r="L91" i="37"/>
  <c r="K17" i="37"/>
  <c r="K98" i="37"/>
  <c r="L92" i="37"/>
  <c r="K110" i="37"/>
  <c r="L51" i="37"/>
  <c r="L58" i="37"/>
  <c r="L55" i="37"/>
  <c r="K89" i="37"/>
  <c r="K66" i="37"/>
  <c r="L112" i="37"/>
  <c r="K51" i="37"/>
  <c r="K30" i="37"/>
  <c r="K57" i="37"/>
  <c r="L48" i="37"/>
  <c r="L18" i="37"/>
  <c r="L110" i="37"/>
  <c r="K19" i="37"/>
  <c r="K100" i="37"/>
  <c r="L19" i="37"/>
  <c r="K55" i="37"/>
  <c r="L137" i="37"/>
  <c r="K105" i="37"/>
  <c r="K25" i="37"/>
  <c r="K96" i="37"/>
  <c r="L8" i="37"/>
  <c r="L65" i="37"/>
  <c r="K136" i="37"/>
  <c r="L66" i="37"/>
  <c r="L144" i="37"/>
  <c r="K18" i="37"/>
  <c r="L57" i="37"/>
  <c r="K70" i="37"/>
  <c r="L95" i="37"/>
  <c r="K24" i="37"/>
  <c r="K112" i="37"/>
  <c r="K152" i="37"/>
  <c r="K11" i="37"/>
  <c r="K95" i="37"/>
  <c r="L99" i="37"/>
  <c r="L96" i="37"/>
  <c r="L104" i="37"/>
  <c r="L152" i="37"/>
  <c r="L11" i="37"/>
  <c r="L128" i="37"/>
  <c r="L97" i="37"/>
  <c r="K16" i="37"/>
  <c r="K135" i="37"/>
  <c r="L140" i="37"/>
  <c r="K9" i="37"/>
  <c r="K56" i="37"/>
  <c r="K52" i="37"/>
  <c r="L131" i="37"/>
  <c r="L132" i="37"/>
  <c r="L24" i="37"/>
  <c r="L9" i="37"/>
  <c r="L56" i="37"/>
  <c r="K58" i="37"/>
  <c r="L26" i="37"/>
  <c r="L72" i="37"/>
  <c r="K146" i="37"/>
  <c r="K150" i="37"/>
  <c r="K60" i="37"/>
  <c r="L17" i="37"/>
  <c r="K26" i="37"/>
  <c r="L98" i="37"/>
  <c r="K137" i="37"/>
  <c r="L105" i="37"/>
  <c r="L136" i="37"/>
  <c r="L59" i="37"/>
  <c r="K64" i="37"/>
  <c r="K99" i="37"/>
  <c r="L16" i="37"/>
  <c r="K32" i="37"/>
  <c r="K138" i="37"/>
  <c r="K140" i="37"/>
  <c r="K131" i="37"/>
  <c r="L30" i="37"/>
  <c r="K49" i="37"/>
  <c r="K145" i="37"/>
  <c r="L64" i="37"/>
  <c r="K65" i="37"/>
  <c r="L32" i="37"/>
  <c r="L138" i="37"/>
  <c r="L49" i="37"/>
  <c r="L145" i="37"/>
  <c r="BD6" i="39" l="1"/>
  <c r="AB9" i="39"/>
  <c r="AB4" i="39" s="1"/>
  <c r="Z4" i="39"/>
  <c r="BB5" i="39"/>
  <c r="AC4" i="39"/>
  <c r="AA4" i="39"/>
  <c r="AX5" i="39"/>
  <c r="AV6" i="39"/>
  <c r="BK28" i="39"/>
  <c r="BC6" i="39"/>
  <c r="BD5" i="39"/>
  <c r="BB6" i="39"/>
  <c r="AX6" i="39"/>
  <c r="AW7" i="39"/>
  <c r="BC7" i="39"/>
  <c r="AV7" i="39"/>
  <c r="BD7" i="39"/>
  <c r="BB7" i="39"/>
  <c r="AW5" i="39"/>
  <c r="BC5" i="39"/>
  <c r="AV5" i="39"/>
  <c r="AX7" i="39"/>
  <c r="AW6" i="39"/>
  <c r="D60" i="42"/>
  <c r="BK268" i="39"/>
  <c r="D12" i="42"/>
  <c r="BK266" i="39"/>
  <c r="D16" i="42"/>
  <c r="BK9" i="39"/>
  <c r="H153" i="41"/>
  <c r="G57" i="41"/>
  <c r="G105" i="41"/>
  <c r="G153" i="41"/>
  <c r="G9" i="41"/>
  <c r="F105" i="41"/>
  <c r="BB9" i="39" a="1"/>
  <c r="BB9" i="39" s="1"/>
  <c r="BB4" i="39" s="1"/>
  <c r="AV9" i="39" a="1"/>
  <c r="AV9" i="39" s="1"/>
  <c r="AV4" i="39" s="1"/>
  <c r="BD9" i="39" a="1"/>
  <c r="BD9" i="39" s="1"/>
  <c r="BD4" i="39" s="1"/>
  <c r="AX9" i="39" a="1"/>
  <c r="AX9" i="39" s="1"/>
  <c r="BC9" i="39" a="1"/>
  <c r="BC9" i="39" s="1"/>
  <c r="BC4" i="39" s="1"/>
  <c r="AW9" i="39" a="1"/>
  <c r="AW9" i="39" s="1"/>
  <c r="D11" i="42"/>
  <c r="H57" i="41"/>
  <c r="F153" i="41"/>
  <c r="H105" i="41"/>
  <c r="F57" i="41"/>
  <c r="F9" i="41"/>
  <c r="H9" i="41"/>
  <c r="G130" i="41"/>
  <c r="G129" i="41" s="1"/>
  <c r="V74" i="37"/>
  <c r="G7" i="41"/>
  <c r="G178" i="41"/>
  <c r="G177" i="41" s="1"/>
  <c r="G10" i="41"/>
  <c r="L15" i="37"/>
  <c r="L2" i="37" s="1"/>
  <c r="G11" i="41"/>
  <c r="F11" i="41"/>
  <c r="F12" i="41"/>
  <c r="H7" i="41"/>
  <c r="F7" i="41"/>
  <c r="H11" i="41"/>
  <c r="F10" i="41"/>
  <c r="G8" i="41"/>
  <c r="H12" i="41"/>
  <c r="H8" i="41"/>
  <c r="F8" i="41"/>
  <c r="H10" i="41"/>
  <c r="H178" i="41"/>
  <c r="H177" i="41" s="1"/>
  <c r="G34" i="41"/>
  <c r="G33" i="41" s="1"/>
  <c r="G82" i="41"/>
  <c r="G81" i="41" s="1"/>
  <c r="H60" i="41"/>
  <c r="H163" i="41"/>
  <c r="H115" i="41"/>
  <c r="H130" i="41"/>
  <c r="H129" i="41" s="1"/>
  <c r="H34" i="41"/>
  <c r="H33" i="41" s="1"/>
  <c r="H82" i="41"/>
  <c r="H81" i="41" s="1"/>
  <c r="H156" i="41"/>
  <c r="H155" i="41"/>
  <c r="H55" i="41"/>
  <c r="H107" i="41"/>
  <c r="H151" i="41"/>
  <c r="H121" i="41"/>
  <c r="H120" i="41" s="1"/>
  <c r="H78" i="41"/>
  <c r="H103" i="41"/>
  <c r="H25" i="41"/>
  <c r="H24" i="41" s="1"/>
  <c r="H59" i="41"/>
  <c r="H79" i="41"/>
  <c r="H104" i="41"/>
  <c r="H65" i="41"/>
  <c r="H30" i="41"/>
  <c r="H160" i="41"/>
  <c r="H162" i="41"/>
  <c r="H16" i="41"/>
  <c r="H152" i="41"/>
  <c r="H126" i="41"/>
  <c r="H56" i="41"/>
  <c r="H73" i="41"/>
  <c r="H72" i="41" s="1"/>
  <c r="H106" i="41"/>
  <c r="H58" i="41"/>
  <c r="H31" i="41"/>
  <c r="H174" i="41"/>
  <c r="H68" i="41"/>
  <c r="H113" i="41"/>
  <c r="H161" i="41"/>
  <c r="H20" i="41"/>
  <c r="H112" i="41"/>
  <c r="H18" i="41"/>
  <c r="H66" i="41"/>
  <c r="H169" i="41"/>
  <c r="H168" i="41" s="1"/>
  <c r="H19" i="41"/>
  <c r="H63" i="41"/>
  <c r="H111" i="41"/>
  <c r="H64" i="41"/>
  <c r="H159" i="41"/>
  <c r="H114" i="41"/>
  <c r="H154" i="41"/>
  <c r="H17" i="41"/>
  <c r="H127" i="41"/>
  <c r="H175" i="41"/>
  <c r="H164" i="41"/>
  <c r="H116" i="41"/>
  <c r="H67" i="41"/>
  <c r="G108" i="41"/>
  <c r="G60" i="41"/>
  <c r="G156" i="41"/>
  <c r="G151" i="41"/>
  <c r="G115" i="41"/>
  <c r="G107" i="41"/>
  <c r="G169" i="41"/>
  <c r="G168" i="41" s="1"/>
  <c r="G116" i="41"/>
  <c r="G68" i="41"/>
  <c r="G67" i="41"/>
  <c r="G154" i="41"/>
  <c r="G59" i="41"/>
  <c r="G58" i="41"/>
  <c r="G163" i="41"/>
  <c r="G73" i="41"/>
  <c r="G72" i="41" s="1"/>
  <c r="G164" i="41"/>
  <c r="G126" i="41"/>
  <c r="G112" i="41"/>
  <c r="G20" i="41"/>
  <c r="G121" i="41"/>
  <c r="G120" i="41" s="1"/>
  <c r="G104" i="41"/>
  <c r="G25" i="41"/>
  <c r="G24" i="41" s="1"/>
  <c r="G152" i="41"/>
  <c r="G18" i="41"/>
  <c r="G106" i="41"/>
  <c r="G111" i="41"/>
  <c r="G56" i="41"/>
  <c r="G114" i="41"/>
  <c r="G16" i="41"/>
  <c r="G78" i="41"/>
  <c r="G159" i="41"/>
  <c r="G174" i="41"/>
  <c r="G19" i="41"/>
  <c r="G162" i="41"/>
  <c r="G55" i="41"/>
  <c r="G30" i="41"/>
  <c r="G155" i="41"/>
  <c r="G175" i="41"/>
  <c r="G65" i="41"/>
  <c r="G64" i="41"/>
  <c r="G66" i="41"/>
  <c r="G31" i="41"/>
  <c r="G79" i="41"/>
  <c r="G113" i="41"/>
  <c r="G160" i="41"/>
  <c r="G127" i="41"/>
  <c r="G17" i="41"/>
  <c r="G103" i="41"/>
  <c r="G63" i="41"/>
  <c r="G161" i="41"/>
  <c r="P145" i="37"/>
  <c r="P105" i="37"/>
  <c r="P65" i="37"/>
  <c r="L5" i="37"/>
  <c r="K2" i="37"/>
  <c r="L3" i="37"/>
  <c r="K4" i="37"/>
  <c r="K5" i="37"/>
  <c r="L4" i="37"/>
  <c r="K3" i="37"/>
  <c r="N188" i="41"/>
  <c r="N92" i="41"/>
  <c r="N140" i="41"/>
  <c r="H15" i="41" l="1"/>
  <c r="H14" i="41" s="1"/>
  <c r="AX4" i="39"/>
  <c r="G15" i="41"/>
  <c r="G14" i="41" s="1"/>
  <c r="AW4" i="39"/>
  <c r="H125" i="41"/>
  <c r="G125" i="41"/>
  <c r="O140" i="41"/>
  <c r="P140" i="41"/>
  <c r="O188" i="41"/>
  <c r="P188" i="41"/>
  <c r="O92" i="41"/>
  <c r="P92" i="41"/>
  <c r="V40" i="37"/>
  <c r="V46" i="37"/>
  <c r="V39" i="37"/>
  <c r="V163" i="37"/>
  <c r="V125" i="37"/>
  <c r="V86" i="37"/>
  <c r="V85" i="37"/>
  <c r="V69" i="37"/>
  <c r="W159" i="37"/>
  <c r="V143" i="37"/>
  <c r="W119" i="37"/>
  <c r="V166" i="37"/>
  <c r="V119" i="37"/>
  <c r="V77" i="37"/>
  <c r="V162" i="37"/>
  <c r="X79" i="37"/>
  <c r="V167" i="37"/>
  <c r="V116" i="37"/>
  <c r="V82" i="37"/>
  <c r="V83" i="37"/>
  <c r="V79" i="37"/>
  <c r="V87" i="37"/>
  <c r="V126" i="37"/>
  <c r="V80" i="37"/>
  <c r="V165" i="37"/>
  <c r="V154" i="37"/>
  <c r="V76" i="37"/>
  <c r="X167" i="37"/>
  <c r="W167" i="37"/>
  <c r="V121" i="37"/>
  <c r="V44" i="37"/>
  <c r="V124" i="37"/>
  <c r="V127" i="37"/>
  <c r="V37" i="37"/>
  <c r="V157" i="37"/>
  <c r="V109" i="37"/>
  <c r="W79" i="37"/>
  <c r="I45" i="42"/>
  <c r="K45" i="42" s="1"/>
  <c r="W87" i="37"/>
  <c r="N44" i="41"/>
  <c r="V159" i="37"/>
  <c r="V164" i="37"/>
  <c r="V29" i="37"/>
  <c r="X87" i="37"/>
  <c r="V156" i="37"/>
  <c r="V84" i="37"/>
  <c r="V161" i="37"/>
  <c r="V113" i="37"/>
  <c r="V123" i="37"/>
  <c r="V153" i="37"/>
  <c r="V120" i="37"/>
  <c r="X127" i="37"/>
  <c r="V160" i="37"/>
  <c r="V149" i="37"/>
  <c r="X159" i="37"/>
  <c r="V117" i="37"/>
  <c r="X119" i="37"/>
  <c r="V73" i="37"/>
  <c r="X73" i="37"/>
  <c r="W127" i="37"/>
  <c r="W113" i="37"/>
  <c r="V63" i="37"/>
  <c r="V122" i="37"/>
  <c r="W153" i="37"/>
  <c r="V114" i="37"/>
  <c r="V103" i="37"/>
  <c r="X113" i="37"/>
  <c r="V81" i="37"/>
  <c r="W73" i="37"/>
  <c r="X153" i="37"/>
  <c r="I93" i="42"/>
  <c r="I189" i="42"/>
  <c r="I141" i="42"/>
  <c r="G85" i="42"/>
  <c r="G133" i="42"/>
  <c r="G181" i="42"/>
  <c r="H150" i="41"/>
  <c r="H102" i="41"/>
  <c r="H77" i="41"/>
  <c r="H54" i="41"/>
  <c r="H29" i="41"/>
  <c r="H110" i="41"/>
  <c r="H158" i="41"/>
  <c r="H62" i="41"/>
  <c r="H173" i="41"/>
  <c r="G150" i="41"/>
  <c r="G29" i="41"/>
  <c r="G77" i="41"/>
  <c r="G102" i="41"/>
  <c r="G173" i="41"/>
  <c r="G110" i="41"/>
  <c r="G54" i="41"/>
  <c r="G158" i="41"/>
  <c r="G62" i="41"/>
  <c r="G37" i="42"/>
  <c r="J141" i="42" l="1"/>
  <c r="K141" i="42"/>
  <c r="J189" i="42"/>
  <c r="K189" i="42"/>
  <c r="J93" i="42"/>
  <c r="K93" i="42"/>
  <c r="H189" i="41"/>
  <c r="G189" i="41"/>
  <c r="G141" i="41"/>
  <c r="H141" i="41"/>
  <c r="G93" i="41"/>
  <c r="H93" i="41"/>
  <c r="O44" i="41"/>
  <c r="P44" i="41"/>
  <c r="V33" i="37"/>
  <c r="W47" i="37"/>
  <c r="I184" i="42"/>
  <c r="N183" i="41"/>
  <c r="I136" i="42"/>
  <c r="N135" i="41"/>
  <c r="X42" i="37"/>
  <c r="I88" i="42"/>
  <c r="N87" i="41"/>
  <c r="I40" i="42"/>
  <c r="N39" i="41"/>
  <c r="X39" i="37"/>
  <c r="V36" i="37"/>
  <c r="W39" i="37"/>
  <c r="V41" i="37"/>
  <c r="V47" i="37"/>
  <c r="V34" i="37"/>
  <c r="V42" i="37"/>
  <c r="V43" i="37"/>
  <c r="V45" i="37"/>
  <c r="X33" i="37"/>
  <c r="V23" i="37"/>
  <c r="X47" i="37"/>
  <c r="W33" i="37"/>
  <c r="I91" i="42"/>
  <c r="I137" i="42"/>
  <c r="I77" i="42"/>
  <c r="K77" i="42" s="1"/>
  <c r="Q29" i="61" s="1"/>
  <c r="I173" i="42"/>
  <c r="K173" i="42" s="1"/>
  <c r="AE29" i="61" s="1"/>
  <c r="I92" i="42"/>
  <c r="I129" i="42"/>
  <c r="K129" i="42" s="1"/>
  <c r="X18" i="61" s="1"/>
  <c r="I138" i="42"/>
  <c r="I62" i="42"/>
  <c r="K62" i="42" s="1"/>
  <c r="Q14" i="61" s="1"/>
  <c r="I132" i="42"/>
  <c r="K132" i="42" s="1"/>
  <c r="X32" i="61" s="1"/>
  <c r="I90" i="42"/>
  <c r="I168" i="42"/>
  <c r="K168" i="42" s="1"/>
  <c r="AE26" i="61" s="1"/>
  <c r="I135" i="42"/>
  <c r="I125" i="42"/>
  <c r="K125" i="42" s="1"/>
  <c r="X29" i="61" s="1"/>
  <c r="I120" i="42"/>
  <c r="K120" i="42" s="1"/>
  <c r="X26" i="61" s="1"/>
  <c r="I180" i="42"/>
  <c r="K180" i="42" s="1"/>
  <c r="AE32" i="61" s="1"/>
  <c r="I183" i="42"/>
  <c r="I72" i="42"/>
  <c r="K72" i="42" s="1"/>
  <c r="Q26" i="61" s="1"/>
  <c r="I139" i="42"/>
  <c r="I185" i="42"/>
  <c r="I177" i="42"/>
  <c r="K177" i="42" s="1"/>
  <c r="AE18" i="61" s="1"/>
  <c r="I158" i="42"/>
  <c r="K158" i="42" s="1"/>
  <c r="AE14" i="61" s="1"/>
  <c r="I140" i="42"/>
  <c r="I81" i="42"/>
  <c r="K81" i="42" s="1"/>
  <c r="Q18" i="61" s="1"/>
  <c r="I186" i="42"/>
  <c r="I110" i="42"/>
  <c r="K110" i="42" s="1"/>
  <c r="X14" i="61" s="1"/>
  <c r="I84" i="42"/>
  <c r="K84" i="42" s="1"/>
  <c r="Q32" i="61" s="1"/>
  <c r="I89" i="42"/>
  <c r="I187" i="42"/>
  <c r="I87" i="42"/>
  <c r="I188" i="42"/>
  <c r="J45" i="42"/>
  <c r="N182" i="41"/>
  <c r="N184" i="41"/>
  <c r="N136" i="41"/>
  <c r="N138" i="41"/>
  <c r="N38" i="41"/>
  <c r="N86" i="41"/>
  <c r="N185" i="41"/>
  <c r="N88" i="41"/>
  <c r="I41" i="42"/>
  <c r="K41" i="42" s="1"/>
  <c r="N187" i="41"/>
  <c r="N42" i="41"/>
  <c r="I39" i="42"/>
  <c r="K39" i="42" s="1"/>
  <c r="N91" i="41"/>
  <c r="N41" i="41"/>
  <c r="N137" i="41"/>
  <c r="I43" i="42"/>
  <c r="K43" i="42" s="1"/>
  <c r="N186" i="41"/>
  <c r="N139" i="41"/>
  <c r="N40" i="41"/>
  <c r="N90" i="41"/>
  <c r="I44" i="42"/>
  <c r="K44" i="42" s="1"/>
  <c r="N134" i="41"/>
  <c r="N89" i="41"/>
  <c r="N43" i="41"/>
  <c r="I42" i="42"/>
  <c r="K42" i="42" s="1"/>
  <c r="X74" i="37"/>
  <c r="L17" i="70" s="1"/>
  <c r="X154" i="37"/>
  <c r="Z17" i="70" s="1"/>
  <c r="W23" i="37"/>
  <c r="W69" i="37"/>
  <c r="W103" i="37"/>
  <c r="W149" i="37"/>
  <c r="W34" i="37"/>
  <c r="W29" i="37"/>
  <c r="W63" i="37"/>
  <c r="X109" i="37"/>
  <c r="S32" i="70" s="1"/>
  <c r="X114" i="37"/>
  <c r="S17" i="70" s="1"/>
  <c r="W143" i="37"/>
  <c r="I29" i="42"/>
  <c r="K29" i="42" s="1"/>
  <c r="J29" i="61" s="1"/>
  <c r="I24" i="42"/>
  <c r="K24" i="42" s="1"/>
  <c r="J26" i="61" s="1"/>
  <c r="I33" i="42"/>
  <c r="I36" i="42"/>
  <c r="J136" i="42" l="1"/>
  <c r="K136" i="42"/>
  <c r="J184" i="42"/>
  <c r="K184" i="42"/>
  <c r="J187" i="42"/>
  <c r="K187" i="42"/>
  <c r="J138" i="42"/>
  <c r="K138" i="42"/>
  <c r="J137" i="42"/>
  <c r="K137" i="42"/>
  <c r="J188" i="42"/>
  <c r="K188" i="42"/>
  <c r="J89" i="42"/>
  <c r="K89" i="42"/>
  <c r="J90" i="42"/>
  <c r="K90" i="42"/>
  <c r="J183" i="42"/>
  <c r="K183" i="42"/>
  <c r="J186" i="42"/>
  <c r="K186" i="42"/>
  <c r="J140" i="42"/>
  <c r="K140" i="42"/>
  <c r="J139" i="42"/>
  <c r="K139" i="42"/>
  <c r="J40" i="42"/>
  <c r="K40" i="42"/>
  <c r="J185" i="42"/>
  <c r="K185" i="42"/>
  <c r="J87" i="42"/>
  <c r="K87" i="42"/>
  <c r="J135" i="42"/>
  <c r="K135" i="42"/>
  <c r="J92" i="42"/>
  <c r="K92" i="42"/>
  <c r="J91" i="42"/>
  <c r="K91" i="42"/>
  <c r="J88" i="42"/>
  <c r="K88" i="42"/>
  <c r="O139" i="41"/>
  <c r="P139" i="41"/>
  <c r="O186" i="41"/>
  <c r="P186" i="41"/>
  <c r="O185" i="41"/>
  <c r="P185" i="41"/>
  <c r="O187" i="41"/>
  <c r="P187" i="41"/>
  <c r="O135" i="41"/>
  <c r="P135" i="41"/>
  <c r="O134" i="41"/>
  <c r="P134" i="41"/>
  <c r="O137" i="41"/>
  <c r="P137" i="41"/>
  <c r="O136" i="41"/>
  <c r="P136" i="41"/>
  <c r="O183" i="41"/>
  <c r="P183" i="41"/>
  <c r="O184" i="41"/>
  <c r="P184" i="41"/>
  <c r="O182" i="41"/>
  <c r="P182" i="41"/>
  <c r="O138" i="41"/>
  <c r="P138" i="41"/>
  <c r="O38" i="41"/>
  <c r="P38" i="41"/>
  <c r="O41" i="41"/>
  <c r="P41" i="41"/>
  <c r="O91" i="41"/>
  <c r="P91" i="41"/>
  <c r="O39" i="41"/>
  <c r="P39" i="41"/>
  <c r="O88" i="41"/>
  <c r="P88" i="41"/>
  <c r="O89" i="41"/>
  <c r="P89" i="41"/>
  <c r="O87" i="41"/>
  <c r="P87" i="41"/>
  <c r="O42" i="41"/>
  <c r="P42" i="41"/>
  <c r="O90" i="41"/>
  <c r="P90" i="41"/>
  <c r="O43" i="41"/>
  <c r="P43" i="41"/>
  <c r="O40" i="41"/>
  <c r="P40" i="41"/>
  <c r="O86" i="41"/>
  <c r="P86" i="41"/>
  <c r="G17" i="95"/>
  <c r="K33" i="42"/>
  <c r="J18" i="61" s="1"/>
  <c r="G31" i="95"/>
  <c r="K36" i="42"/>
  <c r="J32" i="61" s="1"/>
  <c r="V10" i="37"/>
  <c r="I154" i="42"/>
  <c r="I58" i="42"/>
  <c r="W90" i="37"/>
  <c r="V90" i="37"/>
  <c r="X90" i="37"/>
  <c r="S9" i="70" s="1"/>
  <c r="X10" i="37"/>
  <c r="E9" i="70" s="1"/>
  <c r="I106" i="42"/>
  <c r="I10" i="42"/>
  <c r="X130" i="37"/>
  <c r="Z9" i="70" s="1"/>
  <c r="W10" i="37"/>
  <c r="X50" i="37"/>
  <c r="L9" i="70" s="1"/>
  <c r="V130" i="37"/>
  <c r="W130" i="37"/>
  <c r="W50" i="37"/>
  <c r="V50" i="37"/>
  <c r="I155" i="42"/>
  <c r="Y10" i="95" s="1"/>
  <c r="W42" i="37"/>
  <c r="X162" i="37"/>
  <c r="W162" i="37"/>
  <c r="W122" i="37"/>
  <c r="X122" i="37"/>
  <c r="X82" i="37"/>
  <c r="W82" i="37"/>
  <c r="I176" i="42"/>
  <c r="Y16" i="95" s="1"/>
  <c r="I115" i="42"/>
  <c r="S22" i="95" s="1"/>
  <c r="I166" i="42"/>
  <c r="K166" i="42" s="1"/>
  <c r="I118" i="42"/>
  <c r="K118" i="42" s="1"/>
  <c r="I119" i="42"/>
  <c r="K119" i="42" s="1"/>
  <c r="I165" i="42"/>
  <c r="Y24" i="95" s="1"/>
  <c r="I153" i="42"/>
  <c r="Y8" i="95" s="1"/>
  <c r="I57" i="42"/>
  <c r="M8" i="95" s="1"/>
  <c r="I108" i="42"/>
  <c r="S11" i="95" s="1"/>
  <c r="I172" i="42"/>
  <c r="K172" i="42" s="1"/>
  <c r="H159" i="42"/>
  <c r="H121" i="42"/>
  <c r="I75" i="42"/>
  <c r="K75" i="42" s="1"/>
  <c r="H78" i="42"/>
  <c r="I113" i="42"/>
  <c r="S20" i="95" s="1"/>
  <c r="I65" i="42"/>
  <c r="M20" i="95" s="1"/>
  <c r="I109" i="42"/>
  <c r="S12" i="95" s="1"/>
  <c r="I107" i="42"/>
  <c r="S10" i="95" s="1"/>
  <c r="H126" i="42"/>
  <c r="I105" i="42"/>
  <c r="S8" i="95" s="1"/>
  <c r="H169" i="42"/>
  <c r="I171" i="42"/>
  <c r="K171" i="42" s="1"/>
  <c r="I59" i="42"/>
  <c r="M10" i="95" s="1"/>
  <c r="I60" i="42"/>
  <c r="M11" i="95" s="1"/>
  <c r="H174" i="42"/>
  <c r="I167" i="42"/>
  <c r="K167" i="42" s="1"/>
  <c r="I116" i="42"/>
  <c r="S23" i="95" s="1"/>
  <c r="I69" i="42"/>
  <c r="M24" i="95" s="1"/>
  <c r="I124" i="42"/>
  <c r="K124" i="42" s="1"/>
  <c r="I114" i="42"/>
  <c r="S21" i="95" s="1"/>
  <c r="I156" i="42"/>
  <c r="Y11" i="95" s="1"/>
  <c r="H130" i="42"/>
  <c r="J72" i="42"/>
  <c r="J125" i="42"/>
  <c r="J168" i="42"/>
  <c r="I79" i="42"/>
  <c r="G78" i="42"/>
  <c r="I70" i="42"/>
  <c r="K70" i="42" s="1"/>
  <c r="I170" i="42"/>
  <c r="Y27" i="95" s="1"/>
  <c r="G169" i="42"/>
  <c r="J81" i="42"/>
  <c r="M17" i="95"/>
  <c r="H63" i="42"/>
  <c r="I66" i="42"/>
  <c r="M21" i="95" s="1"/>
  <c r="J132" i="42"/>
  <c r="S31" i="95"/>
  <c r="I76" i="42"/>
  <c r="K76" i="42" s="1"/>
  <c r="I157" i="42"/>
  <c r="Y12" i="95" s="1"/>
  <c r="H82" i="42"/>
  <c r="I67" i="42"/>
  <c r="M22" i="95" s="1"/>
  <c r="H181" i="42"/>
  <c r="I182" i="42"/>
  <c r="K182" i="42" s="1"/>
  <c r="I61" i="42"/>
  <c r="M12" i="95" s="1"/>
  <c r="H111" i="42"/>
  <c r="I127" i="42"/>
  <c r="G126" i="42"/>
  <c r="I163" i="42"/>
  <c r="Y22" i="95" s="1"/>
  <c r="I152" i="42"/>
  <c r="G151" i="42"/>
  <c r="G178" i="42"/>
  <c r="I179" i="42"/>
  <c r="I68" i="42"/>
  <c r="M23" i="95" s="1"/>
  <c r="I83" i="42"/>
  <c r="G82" i="42"/>
  <c r="I123" i="42"/>
  <c r="K123" i="42" s="1"/>
  <c r="I104" i="42"/>
  <c r="G103" i="42"/>
  <c r="H103" i="42"/>
  <c r="H85" i="42"/>
  <c r="I86" i="42"/>
  <c r="K86" i="42" s="1"/>
  <c r="I74" i="42"/>
  <c r="G73" i="42"/>
  <c r="I160" i="42"/>
  <c r="Y19" i="95" s="1"/>
  <c r="G159" i="42"/>
  <c r="J180" i="42"/>
  <c r="Y31" i="95"/>
  <c r="I162" i="42"/>
  <c r="Y21" i="95" s="1"/>
  <c r="H151" i="42"/>
  <c r="J120" i="42"/>
  <c r="G121" i="42"/>
  <c r="I122" i="42"/>
  <c r="I71" i="42"/>
  <c r="K71" i="42" s="1"/>
  <c r="J158" i="42"/>
  <c r="Y13" i="95"/>
  <c r="I175" i="42"/>
  <c r="G174" i="42"/>
  <c r="H178" i="42"/>
  <c r="I56" i="42"/>
  <c r="G55" i="42"/>
  <c r="J62" i="42"/>
  <c r="M13" i="95"/>
  <c r="J173" i="42"/>
  <c r="J110" i="42"/>
  <c r="S13" i="95"/>
  <c r="H133" i="42"/>
  <c r="I134" i="42"/>
  <c r="K134" i="42" s="1"/>
  <c r="I64" i="42"/>
  <c r="G63" i="42"/>
  <c r="I117" i="42"/>
  <c r="S24" i="95" s="1"/>
  <c r="J84" i="42"/>
  <c r="M31" i="95"/>
  <c r="J177" i="42"/>
  <c r="Y17" i="95"/>
  <c r="I164" i="42"/>
  <c r="H55" i="42"/>
  <c r="I161" i="42"/>
  <c r="Y20" i="95" s="1"/>
  <c r="I80" i="42"/>
  <c r="M16" i="95" s="1"/>
  <c r="H73" i="42"/>
  <c r="J77" i="42"/>
  <c r="I112" i="42"/>
  <c r="G111" i="42"/>
  <c r="I131" i="42"/>
  <c r="G130" i="42"/>
  <c r="J129" i="42"/>
  <c r="S17" i="95"/>
  <c r="I128" i="42"/>
  <c r="S16" i="95" s="1"/>
  <c r="V100" i="37"/>
  <c r="M14" i="41"/>
  <c r="S2" i="37"/>
  <c r="M54" i="41"/>
  <c r="J33" i="42"/>
  <c r="J24" i="42"/>
  <c r="J42" i="42"/>
  <c r="J41" i="42"/>
  <c r="J43" i="42"/>
  <c r="J29" i="42"/>
  <c r="J39" i="42"/>
  <c r="J44" i="42"/>
  <c r="J36" i="42"/>
  <c r="N13" i="41"/>
  <c r="N32" i="41"/>
  <c r="N61" i="41"/>
  <c r="N176" i="41"/>
  <c r="N75" i="41"/>
  <c r="N122" i="41"/>
  <c r="N80" i="41"/>
  <c r="N131" i="41"/>
  <c r="N21" i="41"/>
  <c r="N109" i="41"/>
  <c r="N26" i="41"/>
  <c r="N170" i="41"/>
  <c r="N69" i="41"/>
  <c r="N157" i="41"/>
  <c r="N71" i="41"/>
  <c r="N35" i="41"/>
  <c r="N23" i="41"/>
  <c r="N117" i="41"/>
  <c r="N74" i="41"/>
  <c r="N171" i="41"/>
  <c r="N119" i="41"/>
  <c r="N165" i="41"/>
  <c r="N76" i="41"/>
  <c r="N167" i="41"/>
  <c r="N124" i="41"/>
  <c r="N83" i="41"/>
  <c r="N179" i="41"/>
  <c r="N27" i="41"/>
  <c r="N123" i="41"/>
  <c r="N28" i="41"/>
  <c r="N172" i="41"/>
  <c r="N128" i="41"/>
  <c r="H15" i="42"/>
  <c r="H11" i="65"/>
  <c r="I11" i="65"/>
  <c r="I47" i="65"/>
  <c r="H47" i="65"/>
  <c r="H59" i="65"/>
  <c r="I59" i="65"/>
  <c r="I23" i="65"/>
  <c r="H23" i="65"/>
  <c r="I35" i="65"/>
  <c r="H35" i="65"/>
  <c r="G15" i="42"/>
  <c r="V67" i="37"/>
  <c r="V147" i="37"/>
  <c r="V89" i="37"/>
  <c r="V55" i="37"/>
  <c r="V104" i="37"/>
  <c r="V135" i="37"/>
  <c r="V101" i="37"/>
  <c r="V75" i="37"/>
  <c r="V59" i="37"/>
  <c r="V139" i="37"/>
  <c r="V105" i="37"/>
  <c r="V155" i="37"/>
  <c r="V96" i="37"/>
  <c r="V51" i="37"/>
  <c r="V14" i="37"/>
  <c r="V146" i="37"/>
  <c r="V112" i="37"/>
  <c r="V131" i="37"/>
  <c r="V8" i="37"/>
  <c r="W12" i="37"/>
  <c r="V12" i="37"/>
  <c r="V66" i="37"/>
  <c r="V32" i="37"/>
  <c r="V16" i="37"/>
  <c r="V128" i="37"/>
  <c r="V141" i="37"/>
  <c r="V57" i="37"/>
  <c r="V9" i="37"/>
  <c r="V148" i="37"/>
  <c r="V91" i="37"/>
  <c r="V60" i="37"/>
  <c r="V22" i="37"/>
  <c r="V107" i="37"/>
  <c r="V97" i="37"/>
  <c r="V150" i="37"/>
  <c r="V62" i="37"/>
  <c r="V28" i="37"/>
  <c r="V110" i="37"/>
  <c r="V78" i="37"/>
  <c r="V137" i="37"/>
  <c r="V49" i="37"/>
  <c r="V19" i="37"/>
  <c r="V94" i="37"/>
  <c r="V138" i="37"/>
  <c r="V25" i="37"/>
  <c r="V144" i="37"/>
  <c r="V106" i="37"/>
  <c r="V72" i="37"/>
  <c r="V56" i="37"/>
  <c r="V18" i="37"/>
  <c r="V54" i="37"/>
  <c r="W111" i="37"/>
  <c r="V111" i="37"/>
  <c r="W31" i="37"/>
  <c r="V31" i="37"/>
  <c r="V88" i="37"/>
  <c r="V108" i="37"/>
  <c r="V58" i="37"/>
  <c r="V24" i="37"/>
  <c r="V48" i="37"/>
  <c r="V129" i="37"/>
  <c r="V99" i="37"/>
  <c r="V65" i="37"/>
  <c r="V93" i="37"/>
  <c r="V142" i="37"/>
  <c r="W151" i="37"/>
  <c r="V151" i="37"/>
  <c r="W132" i="37"/>
  <c r="V132" i="37"/>
  <c r="W71" i="37"/>
  <c r="V71" i="37"/>
  <c r="W52" i="37"/>
  <c r="V52" i="37"/>
  <c r="V21" i="37"/>
  <c r="V140" i="37"/>
  <c r="V102" i="37"/>
  <c r="V68" i="37"/>
  <c r="V11" i="37"/>
  <c r="V35" i="37"/>
  <c r="V133" i="37"/>
  <c r="V158" i="37"/>
  <c r="V30" i="37"/>
  <c r="V145" i="37"/>
  <c r="V95" i="37"/>
  <c r="V61" i="37"/>
  <c r="V134" i="37"/>
  <c r="V53" i="37"/>
  <c r="V20" i="37"/>
  <c r="W92" i="37"/>
  <c r="V92" i="37"/>
  <c r="V118" i="37"/>
  <c r="V70" i="37"/>
  <c r="V38" i="37"/>
  <c r="V17" i="37"/>
  <c r="V152" i="37"/>
  <c r="V136" i="37"/>
  <c r="V98" i="37"/>
  <c r="V64" i="37"/>
  <c r="V26" i="37"/>
  <c r="V115" i="37"/>
  <c r="V27" i="37"/>
  <c r="V13" i="37"/>
  <c r="X165" i="37"/>
  <c r="W165" i="37"/>
  <c r="X85" i="37"/>
  <c r="W85" i="37"/>
  <c r="W166" i="37"/>
  <c r="X166" i="37"/>
  <c r="G13" i="78" s="1"/>
  <c r="X86" i="37"/>
  <c r="E13" i="78" s="1"/>
  <c r="W86" i="37"/>
  <c r="W126" i="37"/>
  <c r="X126" i="37"/>
  <c r="F13" i="78" s="1"/>
  <c r="W45" i="37"/>
  <c r="X45" i="37"/>
  <c r="W125" i="37"/>
  <c r="X125" i="37"/>
  <c r="W46" i="37"/>
  <c r="X46" i="37"/>
  <c r="D13" i="78" s="1"/>
  <c r="N37" i="41"/>
  <c r="M36" i="41"/>
  <c r="X120" i="37"/>
  <c r="W120" i="37"/>
  <c r="W163" i="37"/>
  <c r="X163" i="37"/>
  <c r="X41" i="37"/>
  <c r="W41" i="37"/>
  <c r="W81" i="37"/>
  <c r="X81" i="37"/>
  <c r="M84" i="41"/>
  <c r="N85" i="41"/>
  <c r="W40" i="37"/>
  <c r="X40" i="37"/>
  <c r="E36" i="70" s="1"/>
  <c r="X83" i="37"/>
  <c r="W83" i="37"/>
  <c r="N133" i="41"/>
  <c r="M132" i="41"/>
  <c r="X80" i="37"/>
  <c r="W80" i="37"/>
  <c r="X123" i="37"/>
  <c r="W123" i="37"/>
  <c r="N181" i="41"/>
  <c r="M180" i="41"/>
  <c r="X44" i="37"/>
  <c r="W44" i="37"/>
  <c r="W160" i="37"/>
  <c r="X160" i="37"/>
  <c r="H37" i="42"/>
  <c r="I38" i="42"/>
  <c r="K38" i="42" s="1"/>
  <c r="W84" i="37"/>
  <c r="X84" i="37"/>
  <c r="X164" i="37"/>
  <c r="W164" i="37"/>
  <c r="X124" i="37"/>
  <c r="W124" i="37"/>
  <c r="X161" i="37"/>
  <c r="W161" i="37"/>
  <c r="W121" i="37"/>
  <c r="X121" i="37"/>
  <c r="X43" i="37"/>
  <c r="W43" i="37"/>
  <c r="W157" i="37"/>
  <c r="W37" i="37"/>
  <c r="W36" i="37"/>
  <c r="X117" i="37"/>
  <c r="X116" i="37"/>
  <c r="S35" i="70" s="1"/>
  <c r="X156" i="37"/>
  <c r="Z35" i="70" s="1"/>
  <c r="W77" i="37"/>
  <c r="W76" i="37"/>
  <c r="W115" i="37"/>
  <c r="I23" i="42"/>
  <c r="I31" i="42"/>
  <c r="G15" i="95" s="1"/>
  <c r="I35" i="42"/>
  <c r="W14" i="37"/>
  <c r="W54" i="37"/>
  <c r="X34" i="37"/>
  <c r="E17" i="70" s="1"/>
  <c r="X94" i="37"/>
  <c r="S13" i="70" s="1"/>
  <c r="W74" i="37"/>
  <c r="I32" i="42"/>
  <c r="G16" i="95" s="1"/>
  <c r="I14" i="42"/>
  <c r="X134" i="37"/>
  <c r="Z13" i="70" s="1"/>
  <c r="W131" i="37"/>
  <c r="I13" i="42"/>
  <c r="G12" i="95" s="1"/>
  <c r="W114" i="37"/>
  <c r="W11" i="37"/>
  <c r="M33" i="41"/>
  <c r="I18" i="42"/>
  <c r="G21" i="95" s="1"/>
  <c r="G25" i="42"/>
  <c r="U5" i="37"/>
  <c r="R4" i="37"/>
  <c r="R5" i="37"/>
  <c r="T3" i="37"/>
  <c r="T2" i="37"/>
  <c r="U4" i="37"/>
  <c r="G34" i="42"/>
  <c r="R2" i="37"/>
  <c r="S4" i="37"/>
  <c r="T5" i="37"/>
  <c r="S5" i="37"/>
  <c r="U2" i="37"/>
  <c r="U3" i="37"/>
  <c r="T4" i="37"/>
  <c r="R3" i="37"/>
  <c r="S3" i="37"/>
  <c r="I22" i="42"/>
  <c r="I9" i="42"/>
  <c r="G8" i="95" s="1"/>
  <c r="I19" i="42"/>
  <c r="G22" i="95" s="1"/>
  <c r="X29" i="37"/>
  <c r="E32" i="70" s="1"/>
  <c r="W107" i="37"/>
  <c r="W129" i="37"/>
  <c r="H7" i="42"/>
  <c r="X149" i="37"/>
  <c r="Z32" i="70" s="1"/>
  <c r="X60" i="37"/>
  <c r="L24" i="70" s="1"/>
  <c r="I17" i="42"/>
  <c r="G20" i="95" s="1"/>
  <c r="X103" i="37"/>
  <c r="S27" i="70" s="1"/>
  <c r="I20" i="42"/>
  <c r="G23" i="95" s="1"/>
  <c r="W17" i="37"/>
  <c r="I26" i="42"/>
  <c r="G27" i="95" s="1"/>
  <c r="X77" i="37"/>
  <c r="W140" i="37"/>
  <c r="W97" i="37"/>
  <c r="I28" i="42"/>
  <c r="K28" i="42" s="1"/>
  <c r="W22" i="37"/>
  <c r="W75" i="37"/>
  <c r="W35" i="37"/>
  <c r="W154" i="37"/>
  <c r="X23" i="37"/>
  <c r="E27" i="70" s="1"/>
  <c r="W94" i="37"/>
  <c r="X14" i="37"/>
  <c r="E13" i="70" s="1"/>
  <c r="X63" i="37"/>
  <c r="L27" i="70" s="1"/>
  <c r="X151" i="37"/>
  <c r="X139" i="37"/>
  <c r="Z23" i="70" s="1"/>
  <c r="W128" i="37"/>
  <c r="W110" i="37"/>
  <c r="W99" i="37"/>
  <c r="W88" i="37"/>
  <c r="W19" i="37"/>
  <c r="X67" i="37"/>
  <c r="L30" i="70" s="1"/>
  <c r="X51" i="37"/>
  <c r="L10" i="70" s="1"/>
  <c r="W38" i="37"/>
  <c r="W138" i="37"/>
  <c r="X36" i="37"/>
  <c r="E35" i="70" s="1"/>
  <c r="G30" i="42"/>
  <c r="X55" i="37"/>
  <c r="L19" i="70" s="1"/>
  <c r="W112" i="37"/>
  <c r="X112" i="37"/>
  <c r="S16" i="70" s="1"/>
  <c r="X38" i="37"/>
  <c r="W136" i="37"/>
  <c r="W147" i="37"/>
  <c r="W49" i="37"/>
  <c r="X78" i="37"/>
  <c r="I27" i="42"/>
  <c r="X13" i="37"/>
  <c r="E12" i="70" s="1"/>
  <c r="W57" i="37"/>
  <c r="W93" i="37"/>
  <c r="X97" i="37"/>
  <c r="S21" i="70" s="1"/>
  <c r="X152" i="37"/>
  <c r="Z16" i="70" s="1"/>
  <c r="M120" i="41"/>
  <c r="I12" i="42"/>
  <c r="G11" i="95" s="1"/>
  <c r="M129" i="41"/>
  <c r="W61" i="37"/>
  <c r="X140" i="37"/>
  <c r="Z24" i="70" s="1"/>
  <c r="M77" i="41"/>
  <c r="W117" i="37"/>
  <c r="X70" i="37"/>
  <c r="L15" i="70" s="1"/>
  <c r="X91" i="37"/>
  <c r="S10" i="70" s="1"/>
  <c r="X17" i="37"/>
  <c r="E21" i="70" s="1"/>
  <c r="W55" i="37"/>
  <c r="X71" i="37"/>
  <c r="W152" i="37"/>
  <c r="W70" i="37"/>
  <c r="W53" i="37"/>
  <c r="G7" i="42"/>
  <c r="W105" i="37"/>
  <c r="H30" i="42"/>
  <c r="H25" i="42"/>
  <c r="X92" i="37"/>
  <c r="S11" i="70" s="1"/>
  <c r="X37" i="37"/>
  <c r="W91" i="37"/>
  <c r="W32" i="37"/>
  <c r="M177" i="41"/>
  <c r="I21" i="42"/>
  <c r="G24" i="95" s="1"/>
  <c r="W139" i="37"/>
  <c r="W156" i="37"/>
  <c r="X135" i="37"/>
  <c r="Z19" i="70" s="1"/>
  <c r="I11" i="42"/>
  <c r="G10" i="95" s="1"/>
  <c r="W134" i="37"/>
  <c r="M168" i="41"/>
  <c r="M24" i="41"/>
  <c r="M125" i="41"/>
  <c r="M6" i="41"/>
  <c r="M62" i="41"/>
  <c r="M81" i="41"/>
  <c r="W106" i="37"/>
  <c r="X53" i="37"/>
  <c r="L12" i="70" s="1"/>
  <c r="W13" i="37"/>
  <c r="X89" i="37"/>
  <c r="S8" i="70" s="1"/>
  <c r="M72" i="41"/>
  <c r="M173" i="41"/>
  <c r="X61" i="37"/>
  <c r="L25" i="70" s="1"/>
  <c r="W28" i="37"/>
  <c r="M102" i="41"/>
  <c r="X136" i="37"/>
  <c r="Z20" i="70" s="1"/>
  <c r="M110" i="41"/>
  <c r="M29" i="41"/>
  <c r="M150" i="41"/>
  <c r="X57" i="37"/>
  <c r="L21" i="70" s="1"/>
  <c r="M158" i="41"/>
  <c r="H34" i="42"/>
  <c r="W89" i="37"/>
  <c r="X93" i="37"/>
  <c r="S12" i="70" s="1"/>
  <c r="X108" i="37"/>
  <c r="S31" i="70" s="1"/>
  <c r="X9" i="37"/>
  <c r="E8" i="70" s="1"/>
  <c r="W133" i="37"/>
  <c r="W95" i="37"/>
  <c r="W24" i="37"/>
  <c r="X68" i="37"/>
  <c r="L31" i="70" s="1"/>
  <c r="W148" i="37"/>
  <c r="X143" i="37"/>
  <c r="Z27" i="70" s="1"/>
  <c r="W116" i="37"/>
  <c r="W51" i="37"/>
  <c r="W68" i="37"/>
  <c r="X106" i="37"/>
  <c r="X31" i="37"/>
  <c r="X54" i="37"/>
  <c r="L13" i="70" s="1"/>
  <c r="W96" i="37"/>
  <c r="X148" i="37"/>
  <c r="Z31" i="70" s="1"/>
  <c r="X28" i="37"/>
  <c r="E31" i="70" s="1"/>
  <c r="W108" i="37"/>
  <c r="W98" i="37"/>
  <c r="W48" i="37"/>
  <c r="W56" i="37"/>
  <c r="W20" i="37"/>
  <c r="W150" i="37"/>
  <c r="X118" i="37"/>
  <c r="W59" i="37"/>
  <c r="X88" i="37"/>
  <c r="S7" i="70" s="1"/>
  <c r="X128" i="37"/>
  <c r="Z7" i="70" s="1"/>
  <c r="X111" i="37"/>
  <c r="X49" i="37"/>
  <c r="L8" i="70" s="1"/>
  <c r="X96" i="37"/>
  <c r="S20" i="70" s="1"/>
  <c r="W67" i="37"/>
  <c r="X155" i="37"/>
  <c r="Z34" i="70" s="1"/>
  <c r="X32" i="37"/>
  <c r="E16" i="70" s="1"/>
  <c r="W72" i="37"/>
  <c r="W26" i="37"/>
  <c r="X56" i="37"/>
  <c r="L20" i="70" s="1"/>
  <c r="W8" i="37"/>
  <c r="X35" i="37"/>
  <c r="E34" i="70" s="1"/>
  <c r="X102" i="37"/>
  <c r="S26" i="70" s="1"/>
  <c r="X26" i="37"/>
  <c r="X8" i="37"/>
  <c r="E7" i="70" s="1"/>
  <c r="X99" i="37"/>
  <c r="S23" i="70" s="1"/>
  <c r="X157" i="37"/>
  <c r="X69" i="37"/>
  <c r="L32" i="70" s="1"/>
  <c r="X72" i="37"/>
  <c r="L16" i="70" s="1"/>
  <c r="X21" i="37"/>
  <c r="E25" i="70" s="1"/>
  <c r="X133" i="37"/>
  <c r="Z12" i="70" s="1"/>
  <c r="X138" i="37"/>
  <c r="Z22" i="70" s="1"/>
  <c r="X20" i="37"/>
  <c r="E24" i="70" s="1"/>
  <c r="W78" i="37"/>
  <c r="X105" i="37"/>
  <c r="X137" i="37"/>
  <c r="Z21" i="70" s="1"/>
  <c r="X18" i="37"/>
  <c r="E22" i="70" s="1"/>
  <c r="W9" i="37"/>
  <c r="X104" i="37"/>
  <c r="S29" i="70" s="1"/>
  <c r="X30" i="37"/>
  <c r="E15" i="70" s="1"/>
  <c r="W144" i="37"/>
  <c r="W64" i="37"/>
  <c r="W135" i="37"/>
  <c r="X146" i="37"/>
  <c r="W146" i="37"/>
  <c r="W16" i="37"/>
  <c r="X150" i="37"/>
  <c r="Z15" i="70" s="1"/>
  <c r="W102" i="37"/>
  <c r="W158" i="37"/>
  <c r="X65" i="37"/>
  <c r="X48" i="37"/>
  <c r="L7" i="70" s="1"/>
  <c r="X24" i="37"/>
  <c r="E29" i="70" s="1"/>
  <c r="W104" i="37"/>
  <c r="W109" i="37"/>
  <c r="X64" i="37"/>
  <c r="L29" i="70" s="1"/>
  <c r="X75" i="37"/>
  <c r="L34" i="70" s="1"/>
  <c r="X76" i="37"/>
  <c r="L35" i="70" s="1"/>
  <c r="W65" i="37"/>
  <c r="W60" i="37"/>
  <c r="X25" i="37"/>
  <c r="W118" i="37"/>
  <c r="X141" i="37"/>
  <c r="Z25" i="70" s="1"/>
  <c r="X95" i="37"/>
  <c r="S19" i="70" s="1"/>
  <c r="X19" i="37"/>
  <c r="E23" i="70" s="1"/>
  <c r="X62" i="37"/>
  <c r="L26" i="70" s="1"/>
  <c r="X107" i="37"/>
  <c r="S30" i="70" s="1"/>
  <c r="W66" i="37"/>
  <c r="W145" i="37"/>
  <c r="X132" i="37"/>
  <c r="Z11" i="70" s="1"/>
  <c r="X52" i="37"/>
  <c r="L11" i="70" s="1"/>
  <c r="W137" i="37"/>
  <c r="W30" i="37"/>
  <c r="X16" i="37"/>
  <c r="E20" i="70" s="1"/>
  <c r="X98" i="37"/>
  <c r="S22" i="70" s="1"/>
  <c r="W58" i="37"/>
  <c r="X11" i="37"/>
  <c r="E10" i="70" s="1"/>
  <c r="X110" i="37"/>
  <c r="S15" i="70" s="1"/>
  <c r="W100" i="37"/>
  <c r="X129" i="37"/>
  <c r="Z8" i="70" s="1"/>
  <c r="X147" i="37"/>
  <c r="Z30" i="70" s="1"/>
  <c r="W18" i="37"/>
  <c r="X66" i="37"/>
  <c r="X58" i="37"/>
  <c r="L22" i="70" s="1"/>
  <c r="X158" i="37"/>
  <c r="X101" i="37"/>
  <c r="S25" i="70" s="1"/>
  <c r="W21" i="37"/>
  <c r="X12" i="37"/>
  <c r="E11" i="70" s="1"/>
  <c r="X59" i="37"/>
  <c r="L23" i="70" s="1"/>
  <c r="W62" i="37"/>
  <c r="W101" i="37"/>
  <c r="X131" i="37"/>
  <c r="Z10" i="70" s="1"/>
  <c r="W155" i="37"/>
  <c r="X144" i="37"/>
  <c r="Z29" i="70" s="1"/>
  <c r="W25" i="37"/>
  <c r="X145" i="37"/>
  <c r="X115" i="37"/>
  <c r="S34" i="70" s="1"/>
  <c r="W141" i="37"/>
  <c r="X22" i="37"/>
  <c r="E26" i="70" s="1"/>
  <c r="W142" i="37"/>
  <c r="X100" i="37"/>
  <c r="S24" i="70" s="1"/>
  <c r="X142" i="37"/>
  <c r="Z26" i="70" s="1"/>
  <c r="W27" i="37"/>
  <c r="X27" i="37"/>
  <c r="E30" i="70" s="1"/>
  <c r="Z36" i="70" l="1"/>
  <c r="L36" i="70"/>
  <c r="S36" i="70"/>
  <c r="H143" i="42"/>
  <c r="G47" i="42"/>
  <c r="G143" i="42"/>
  <c r="H47" i="42"/>
  <c r="H191" i="42"/>
  <c r="H95" i="42"/>
  <c r="G95" i="42"/>
  <c r="G191" i="42"/>
  <c r="G9" i="78"/>
  <c r="V3" i="37"/>
  <c r="V4" i="37"/>
  <c r="X4" i="37"/>
  <c r="X3" i="37"/>
  <c r="V5" i="37"/>
  <c r="W4" i="37"/>
  <c r="W3" i="37"/>
  <c r="W5" i="37"/>
  <c r="X5" i="37"/>
  <c r="D9" i="78"/>
  <c r="F8" i="78"/>
  <c r="E11" i="78"/>
  <c r="G6" i="78"/>
  <c r="E6" i="78"/>
  <c r="G11" i="78"/>
  <c r="D11" i="78"/>
  <c r="E9" i="78"/>
  <c r="G7" i="78"/>
  <c r="E8" i="78"/>
  <c r="F11" i="78"/>
  <c r="E12" i="78"/>
  <c r="F9" i="78"/>
  <c r="F6" i="78"/>
  <c r="E7" i="78"/>
  <c r="G8" i="78"/>
  <c r="F7" i="78"/>
  <c r="D5" i="78"/>
  <c r="D12" i="78"/>
  <c r="D8" i="78"/>
  <c r="E5" i="78"/>
  <c r="G5" i="78"/>
  <c r="F5" i="78"/>
  <c r="F12" i="78"/>
  <c r="D6" i="78"/>
  <c r="G12" i="78"/>
  <c r="P71" i="41"/>
  <c r="P157" i="41"/>
  <c r="P37" i="41"/>
  <c r="P83" i="41"/>
  <c r="P85" i="41"/>
  <c r="P28" i="41"/>
  <c r="P109" i="41"/>
  <c r="P76" i="41"/>
  <c r="P35" i="41"/>
  <c r="P131" i="41"/>
  <c r="P181" i="41"/>
  <c r="P119" i="41"/>
  <c r="P80" i="41"/>
  <c r="P32" i="41"/>
  <c r="P179" i="41"/>
  <c r="P124" i="41"/>
  <c r="P167" i="41"/>
  <c r="P133" i="41"/>
  <c r="P128" i="41"/>
  <c r="P176" i="41"/>
  <c r="P172" i="41"/>
  <c r="P23" i="41"/>
  <c r="P61" i="41"/>
  <c r="P170" i="41"/>
  <c r="P21" i="41"/>
  <c r="P165" i="41"/>
  <c r="P75" i="41"/>
  <c r="P117" i="41"/>
  <c r="P122" i="41"/>
  <c r="P74" i="41"/>
  <c r="P69" i="41"/>
  <c r="P123" i="41"/>
  <c r="P171" i="41"/>
  <c r="P27" i="41"/>
  <c r="U17" i="95"/>
  <c r="T17" i="95"/>
  <c r="O31" i="95"/>
  <c r="N31" i="95"/>
  <c r="T31" i="95"/>
  <c r="U31" i="95"/>
  <c r="Z31" i="95"/>
  <c r="AA31" i="95"/>
  <c r="AA13" i="95"/>
  <c r="Z13" i="95"/>
  <c r="AA17" i="95"/>
  <c r="Z17" i="95"/>
  <c r="I31" i="95"/>
  <c r="H31" i="95"/>
  <c r="N17" i="95"/>
  <c r="O17" i="95"/>
  <c r="T13" i="95"/>
  <c r="U13" i="95"/>
  <c r="I17" i="95"/>
  <c r="H17" i="95"/>
  <c r="O13" i="95"/>
  <c r="N13" i="95"/>
  <c r="H94" i="42"/>
  <c r="G94" i="42"/>
  <c r="G190" i="42"/>
  <c r="H142" i="42"/>
  <c r="G142" i="42"/>
  <c r="H190" i="42"/>
  <c r="M93" i="41"/>
  <c r="M45" i="41"/>
  <c r="M141" i="41"/>
  <c r="M189" i="41"/>
  <c r="G46" i="42"/>
  <c r="H46" i="42"/>
  <c r="O26" i="41"/>
  <c r="P26" i="41"/>
  <c r="G14" i="61"/>
  <c r="P13" i="41"/>
  <c r="J166" i="42"/>
  <c r="J75" i="42"/>
  <c r="G13" i="95"/>
  <c r="K14" i="42"/>
  <c r="J14" i="61" s="1"/>
  <c r="Y28" i="95"/>
  <c r="J172" i="42"/>
  <c r="J119" i="42"/>
  <c r="Y9" i="95"/>
  <c r="M9" i="95"/>
  <c r="S9" i="95"/>
  <c r="G9" i="95"/>
  <c r="F10" i="60" a="1"/>
  <c r="F10" i="60" s="1"/>
  <c r="Z10" i="60" a="1"/>
  <c r="Z10" i="60" s="1"/>
  <c r="E10" i="60" a="1"/>
  <c r="E10" i="60" s="1"/>
  <c r="N10" i="60" a="1"/>
  <c r="N10" i="60" s="1"/>
  <c r="M10" i="60" a="1"/>
  <c r="M10" i="60" s="1"/>
  <c r="L10" i="60" a="1"/>
  <c r="L10" i="60" s="1"/>
  <c r="U10" i="60" a="1"/>
  <c r="U10" i="60" s="1"/>
  <c r="T10" i="60" a="1"/>
  <c r="T10" i="60" s="1"/>
  <c r="S10" i="60" a="1"/>
  <c r="S10" i="60" s="1"/>
  <c r="AB10" i="60" a="1"/>
  <c r="AB10" i="60" s="1"/>
  <c r="AA10" i="60" a="1"/>
  <c r="AA10" i="60" s="1"/>
  <c r="G10" i="60" a="1"/>
  <c r="G10" i="60" s="1"/>
  <c r="AB14" i="61"/>
  <c r="N32" i="61"/>
  <c r="O76" i="41"/>
  <c r="AB18" i="61"/>
  <c r="O167" i="41"/>
  <c r="N14" i="61"/>
  <c r="U18" i="61"/>
  <c r="U14" i="61"/>
  <c r="U32" i="61"/>
  <c r="AB32" i="61"/>
  <c r="N18" i="61"/>
  <c r="O41" i="60" a="1"/>
  <c r="O41" i="60" s="1"/>
  <c r="V41" i="60" a="1"/>
  <c r="V41" i="60" s="1"/>
  <c r="AC41" i="60" a="1"/>
  <c r="AC41" i="60" s="1"/>
  <c r="G32" i="61"/>
  <c r="G18" i="61"/>
  <c r="H41" i="60" a="1"/>
  <c r="H41" i="60" s="1"/>
  <c r="J118" i="42"/>
  <c r="S25" i="95"/>
  <c r="M28" i="95"/>
  <c r="J171" i="42"/>
  <c r="G28" i="95"/>
  <c r="Y25" i="95"/>
  <c r="J167" i="42"/>
  <c r="G25" i="95"/>
  <c r="I169" i="42"/>
  <c r="J124" i="42"/>
  <c r="J70" i="42"/>
  <c r="M7" i="95"/>
  <c r="I55" i="42"/>
  <c r="M15" i="95"/>
  <c r="I78" i="42"/>
  <c r="S19" i="95"/>
  <c r="I111" i="42"/>
  <c r="J182" i="42"/>
  <c r="I181" i="42"/>
  <c r="K181" i="42" s="1"/>
  <c r="AE34" i="61" s="1"/>
  <c r="M19" i="95"/>
  <c r="I63" i="42"/>
  <c r="S7" i="95"/>
  <c r="I103" i="42"/>
  <c r="S15" i="95"/>
  <c r="S14" i="95" s="1"/>
  <c r="I126" i="42"/>
  <c r="J76" i="42"/>
  <c r="J134" i="42"/>
  <c r="I133" i="42"/>
  <c r="K133" i="42" s="1"/>
  <c r="X34" i="61" s="1"/>
  <c r="I174" i="42"/>
  <c r="Y15" i="95"/>
  <c r="Y14" i="95" s="1"/>
  <c r="J123" i="42"/>
  <c r="I151" i="42"/>
  <c r="Y7" i="95"/>
  <c r="I130" i="42"/>
  <c r="S30" i="95"/>
  <c r="S29" i="95" s="1"/>
  <c r="I34" i="42"/>
  <c r="G30" i="95"/>
  <c r="I82" i="42"/>
  <c r="M30" i="95"/>
  <c r="S28" i="95"/>
  <c r="I178" i="42"/>
  <c r="Y30" i="95"/>
  <c r="Y29" i="95" s="1"/>
  <c r="J71" i="42"/>
  <c r="M27" i="95"/>
  <c r="I73" i="42"/>
  <c r="S27" i="95"/>
  <c r="I121" i="42"/>
  <c r="M25" i="95"/>
  <c r="I159" i="42"/>
  <c r="Y23" i="95"/>
  <c r="I85" i="42"/>
  <c r="K85" i="42" s="1"/>
  <c r="Q34" i="61" s="1"/>
  <c r="J86" i="42"/>
  <c r="G29" i="61"/>
  <c r="H6" i="41"/>
  <c r="G6" i="41"/>
  <c r="G45" i="41" s="1"/>
  <c r="W15" i="37"/>
  <c r="W2" i="37" s="1"/>
  <c r="X15" i="37"/>
  <c r="V15" i="37"/>
  <c r="V2" i="37" s="1"/>
  <c r="E9" i="60" a="1"/>
  <c r="E9" i="60" s="1"/>
  <c r="O131" i="41"/>
  <c r="J14" i="42"/>
  <c r="O13" i="41"/>
  <c r="O179" i="41"/>
  <c r="AB29" i="61"/>
  <c r="O35" i="41"/>
  <c r="O172" i="41"/>
  <c r="N29" i="61"/>
  <c r="U29" i="61"/>
  <c r="O61" i="41"/>
  <c r="O23" i="41"/>
  <c r="O80" i="41"/>
  <c r="O119" i="41"/>
  <c r="O21" i="41"/>
  <c r="G13" i="60" a="1"/>
  <c r="G13" i="60" s="1"/>
  <c r="E27" i="60" a="1"/>
  <c r="E27" i="60" s="1"/>
  <c r="L27" i="60" a="1"/>
  <c r="L27" i="60" s="1"/>
  <c r="U27" i="60" a="1"/>
  <c r="U27" i="60" s="1"/>
  <c r="AB30" i="60" a="1"/>
  <c r="AB30" i="60" s="1"/>
  <c r="Z12" i="60" a="1"/>
  <c r="Z12" i="60" s="1"/>
  <c r="G27" i="60" a="1"/>
  <c r="G27" i="60" s="1"/>
  <c r="L25" i="60" a="1"/>
  <c r="L25" i="60" s="1"/>
  <c r="S21" i="60" a="1"/>
  <c r="S21" i="60" s="1"/>
  <c r="AB25" i="60" a="1"/>
  <c r="AB25" i="60" s="1"/>
  <c r="AA8" i="60" a="1"/>
  <c r="AA8" i="60" s="1"/>
  <c r="L20" i="60" a="1"/>
  <c r="L20" i="60" s="1"/>
  <c r="S16" i="60" a="1"/>
  <c r="S16" i="60" s="1"/>
  <c r="V42" i="60" a="1"/>
  <c r="V42" i="60" s="1"/>
  <c r="W42" i="60" s="1"/>
  <c r="AA31" i="60" a="1"/>
  <c r="AA31" i="60" s="1"/>
  <c r="V28" i="60" a="1"/>
  <c r="V28" i="60" s="1"/>
  <c r="G22" i="60" a="1"/>
  <c r="G22" i="60" s="1"/>
  <c r="F20" i="60" a="1"/>
  <c r="F20" i="60" s="1"/>
  <c r="L16" i="60" a="1"/>
  <c r="L16" i="60" s="1"/>
  <c r="V18" i="60" a="1"/>
  <c r="V18" i="60" s="1"/>
  <c r="Z20" i="60" a="1"/>
  <c r="Z20" i="60" s="1"/>
  <c r="F16" i="60" a="1"/>
  <c r="F16" i="60" s="1"/>
  <c r="L13" i="60" a="1"/>
  <c r="L13" i="60" s="1"/>
  <c r="S8" i="60" a="1"/>
  <c r="S8" i="60" s="1"/>
  <c r="T30" i="60" a="1"/>
  <c r="T30" i="60" s="1"/>
  <c r="AA24" i="60" a="1"/>
  <c r="AA24" i="60" s="1"/>
  <c r="G9" i="60" a="1"/>
  <c r="G9" i="60" s="1"/>
  <c r="H43" i="60" a="1"/>
  <c r="H43" i="60" s="1"/>
  <c r="O33" i="60" a="1"/>
  <c r="O33" i="60" s="1"/>
  <c r="Z11" i="60" a="1"/>
  <c r="Z11" i="60" s="1"/>
  <c r="AC43" i="60" a="1"/>
  <c r="AC43" i="60" s="1"/>
  <c r="AD43" i="60" s="1"/>
  <c r="F35" i="60" a="1"/>
  <c r="F35" i="60" s="1"/>
  <c r="L31" i="60" a="1"/>
  <c r="L31" i="60" s="1"/>
  <c r="S24" i="60" a="1"/>
  <c r="S24" i="60" s="1"/>
  <c r="Z17" i="60" a="1"/>
  <c r="Z17" i="60" s="1"/>
  <c r="F21" i="60" a="1"/>
  <c r="F21" i="60" s="1"/>
  <c r="F31" i="60" a="1"/>
  <c r="F31" i="60" s="1"/>
  <c r="M31" i="60" a="1"/>
  <c r="M31" i="60" s="1"/>
  <c r="V33" i="60" a="1"/>
  <c r="V33" i="60" s="1"/>
  <c r="AC38" i="60" a="1"/>
  <c r="AC38" i="60" s="1"/>
  <c r="AA23" i="60" a="1"/>
  <c r="AA23" i="60" s="1"/>
  <c r="E32" i="60" a="1"/>
  <c r="E32" i="60" s="1"/>
  <c r="N27" i="60" a="1"/>
  <c r="N27" i="60" s="1"/>
  <c r="T26" i="60" a="1"/>
  <c r="T26" i="60" s="1"/>
  <c r="AB27" i="60" a="1"/>
  <c r="AB27" i="60" s="1"/>
  <c r="AA21" i="60" a="1"/>
  <c r="AA21" i="60" s="1"/>
  <c r="N22" i="60" a="1"/>
  <c r="N22" i="60" s="1"/>
  <c r="U17" i="60" a="1"/>
  <c r="U17" i="60" s="1"/>
  <c r="Z9" i="60" a="1"/>
  <c r="Z9" i="60" s="1"/>
  <c r="Z35" i="60" a="1"/>
  <c r="Z35" i="60" s="1"/>
  <c r="V40" i="60" a="1"/>
  <c r="V40" i="60" s="1"/>
  <c r="W40" i="60" s="1"/>
  <c r="H28" i="60" a="1"/>
  <c r="H28" i="60" s="1"/>
  <c r="H19" i="60" s="1"/>
  <c r="E23" i="60" a="1"/>
  <c r="E23" i="60" s="1"/>
  <c r="M20" i="60" a="1"/>
  <c r="M20" i="60" s="1"/>
  <c r="S25" i="60" a="1"/>
  <c r="S25" i="60" s="1"/>
  <c r="Z22" i="60" a="1"/>
  <c r="Z22" i="60" s="1"/>
  <c r="G20" i="60" a="1"/>
  <c r="G20" i="60" s="1"/>
  <c r="M16" i="60" a="1"/>
  <c r="M16" i="60" s="1"/>
  <c r="U11" i="60" a="1"/>
  <c r="U11" i="60" s="1"/>
  <c r="T32" i="60" a="1"/>
  <c r="T32" i="60" s="1"/>
  <c r="AB26" i="60" a="1"/>
  <c r="AB26" i="60" s="1"/>
  <c r="F13" i="60" a="1"/>
  <c r="F13" i="60" s="1"/>
  <c r="N9" i="60" a="1"/>
  <c r="N9" i="60" s="1"/>
  <c r="T8" i="60" a="1"/>
  <c r="T8" i="60" s="1"/>
  <c r="AB13" i="60" a="1"/>
  <c r="AB13" i="60" s="1"/>
  <c r="F27" i="60" a="1"/>
  <c r="F27" i="60" s="1"/>
  <c r="H44" i="60" a="1"/>
  <c r="H44" i="60" s="1"/>
  <c r="L35" i="60" a="1"/>
  <c r="L35" i="60" s="1"/>
  <c r="U25" i="60" a="1"/>
  <c r="U25" i="60" s="1"/>
  <c r="AB20" i="60" a="1"/>
  <c r="AB20" i="60" s="1"/>
  <c r="G26" i="60" a="1"/>
  <c r="G26" i="60" s="1"/>
  <c r="G35" i="60" a="1"/>
  <c r="G35" i="60" s="1"/>
  <c r="M35" i="60" a="1"/>
  <c r="M35" i="60" s="1"/>
  <c r="Z8" i="60" a="1"/>
  <c r="Z8" i="60" s="1"/>
  <c r="AC39" i="60" a="1"/>
  <c r="AC39" i="60" s="1"/>
  <c r="AD39" i="60" s="1"/>
  <c r="AB32" i="60" a="1"/>
  <c r="AB32" i="60" s="1"/>
  <c r="H38" i="60" a="1"/>
  <c r="H38" i="60" s="1"/>
  <c r="L32" i="60" a="1"/>
  <c r="L32" i="60" s="1"/>
  <c r="T35" i="60" a="1"/>
  <c r="T35" i="60" s="1"/>
  <c r="T34" i="60" s="1"/>
  <c r="AC33" i="60" a="1"/>
  <c r="AC33" i="60" s="1"/>
  <c r="Z31" i="60" a="1"/>
  <c r="Z31" i="60" s="1"/>
  <c r="M25" i="60" a="1"/>
  <c r="M25" i="60" s="1"/>
  <c r="T21" i="60" a="1"/>
  <c r="T21" i="60" s="1"/>
  <c r="AB12" i="60" a="1"/>
  <c r="AB12" i="60" s="1"/>
  <c r="AC40" i="60" a="1"/>
  <c r="AC40" i="60" s="1"/>
  <c r="AD40" i="60" s="1"/>
  <c r="F32" i="60" a="1"/>
  <c r="F32" i="60" s="1"/>
  <c r="G25" i="60" a="1"/>
  <c r="G25" i="60" s="1"/>
  <c r="L23" i="60" a="1"/>
  <c r="L23" i="60" s="1"/>
  <c r="S32" i="60" a="1"/>
  <c r="S32" i="60" s="1"/>
  <c r="AA26" i="60" a="1"/>
  <c r="AA26" i="60" s="1"/>
  <c r="F23" i="60" a="1"/>
  <c r="F23" i="60" s="1"/>
  <c r="N20" i="60" a="1"/>
  <c r="N20" i="60" s="1"/>
  <c r="T16" i="60" a="1"/>
  <c r="T16" i="60" s="1"/>
  <c r="V36" i="60" a="1"/>
  <c r="V36" i="60" s="1"/>
  <c r="Z30" i="60" a="1"/>
  <c r="Z30" i="60" s="1"/>
  <c r="G16" i="60" a="1"/>
  <c r="G16" i="60" s="1"/>
  <c r="M13" i="60" a="1"/>
  <c r="M13" i="60" s="1"/>
  <c r="S12" i="60" a="1"/>
  <c r="S12" i="60" s="1"/>
  <c r="AB16" i="60" a="1"/>
  <c r="AB16" i="60" s="1"/>
  <c r="L22" i="60" a="1"/>
  <c r="L22" i="60" s="1"/>
  <c r="L11" i="60" a="1"/>
  <c r="L11" i="60" s="1"/>
  <c r="O40" i="60" a="1"/>
  <c r="O40" i="60" s="1"/>
  <c r="T27" i="60" a="1"/>
  <c r="T27" i="60" s="1"/>
  <c r="Z25" i="60" a="1"/>
  <c r="Z25" i="60" s="1"/>
  <c r="F11" i="60" a="1"/>
  <c r="F11" i="60" s="1"/>
  <c r="M11" i="60" a="1"/>
  <c r="M11" i="60" s="1"/>
  <c r="O42" i="60" a="1"/>
  <c r="O42" i="60" s="1"/>
  <c r="AB11" i="60" a="1"/>
  <c r="AB11" i="60" s="1"/>
  <c r="G17" i="60" a="1"/>
  <c r="G17" i="60" s="1"/>
  <c r="E12" i="60" a="1"/>
  <c r="E12" i="60" s="1"/>
  <c r="M8" i="60" a="1"/>
  <c r="M8" i="60" s="1"/>
  <c r="N35" i="60" a="1"/>
  <c r="N35" i="60" s="1"/>
  <c r="AB8" i="60" a="1"/>
  <c r="AB8" i="60" s="1"/>
  <c r="G8" i="60" a="1"/>
  <c r="G8" i="60" s="1"/>
  <c r="O28" i="60" a="1"/>
  <c r="O28" i="60" s="1"/>
  <c r="O19" i="60" s="1"/>
  <c r="S23" i="60" a="1"/>
  <c r="S23" i="60" s="1"/>
  <c r="AC18" i="60" a="1"/>
  <c r="AC18" i="60" s="1"/>
  <c r="E8" i="60" a="1"/>
  <c r="E8" i="60" s="1"/>
  <c r="AA17" i="60" a="1"/>
  <c r="AA17" i="60" s="1"/>
  <c r="N8" i="60" a="1"/>
  <c r="N8" i="60" s="1"/>
  <c r="E30" i="60" a="1"/>
  <c r="E30" i="60" s="1"/>
  <c r="N25" i="60" a="1"/>
  <c r="N25" i="60" s="1"/>
  <c r="U35" i="60" a="1"/>
  <c r="U35" i="60" s="1"/>
  <c r="U34" i="60" s="1"/>
  <c r="AA35" i="60" a="1"/>
  <c r="AA35" i="60" s="1"/>
  <c r="AA34" i="60" s="1"/>
  <c r="E26" i="60" a="1"/>
  <c r="E26" i="60" s="1"/>
  <c r="M23" i="60" a="1"/>
  <c r="M23" i="60" s="1"/>
  <c r="S20" i="60" a="1"/>
  <c r="S20" i="60" s="1"/>
  <c r="V44" i="60" a="1"/>
  <c r="V44" i="60" s="1"/>
  <c r="W44" i="60" s="1"/>
  <c r="AB31" i="60" a="1"/>
  <c r="AB31" i="60" s="1"/>
  <c r="E21" i="60" a="1"/>
  <c r="E21" i="60" s="1"/>
  <c r="N16" i="60" a="1"/>
  <c r="N16" i="60" s="1"/>
  <c r="AA20" i="60" a="1"/>
  <c r="AA20" i="60" s="1"/>
  <c r="T17" i="60" a="1"/>
  <c r="T17" i="60" s="1"/>
  <c r="N13" i="60" a="1"/>
  <c r="N13" i="60" s="1"/>
  <c r="U8" i="60" a="1"/>
  <c r="U8" i="60" s="1"/>
  <c r="S31" i="60" a="1"/>
  <c r="S31" i="60" s="1"/>
  <c r="Z27" i="60" a="1"/>
  <c r="Z27" i="60" s="1"/>
  <c r="E22" i="60" a="1"/>
  <c r="E22" i="60" s="1"/>
  <c r="S9" i="60" a="1"/>
  <c r="S9" i="60" s="1"/>
  <c r="L8" i="60" a="1"/>
  <c r="L8" i="60" s="1"/>
  <c r="L12" i="60" a="1"/>
  <c r="L12" i="60" s="1"/>
  <c r="O44" i="60" a="1"/>
  <c r="O44" i="60" s="1"/>
  <c r="AA12" i="60" a="1"/>
  <c r="AA12" i="60" s="1"/>
  <c r="N11" i="60" a="1"/>
  <c r="N11" i="60" s="1"/>
  <c r="E20" i="60" a="1"/>
  <c r="E20" i="60" s="1"/>
  <c r="M32" i="60" a="1"/>
  <c r="M32" i="60" s="1"/>
  <c r="U24" i="60" a="1"/>
  <c r="U24" i="60" s="1"/>
  <c r="AB21" i="60" a="1"/>
  <c r="AB21" i="60" s="1"/>
  <c r="G31" i="60" a="1"/>
  <c r="G31" i="60" s="1"/>
  <c r="AA27" i="60" a="1"/>
  <c r="AA27" i="60" s="1"/>
  <c r="O14" i="60" a="1"/>
  <c r="O14" i="60" s="1"/>
  <c r="G32" i="60" a="1"/>
  <c r="G32" i="60" s="1"/>
  <c r="L30" i="60" a="1"/>
  <c r="L30" i="60" s="1"/>
  <c r="V43" i="60" a="1"/>
  <c r="V43" i="60" s="1"/>
  <c r="W43" i="60" s="1"/>
  <c r="G11" i="60" a="1"/>
  <c r="G11" i="60" s="1"/>
  <c r="F30" i="60" a="1"/>
  <c r="F30" i="60" s="1"/>
  <c r="L26" i="60" a="1"/>
  <c r="L26" i="60" s="1"/>
  <c r="U21" i="60" a="1"/>
  <c r="U21" i="60" s="1"/>
  <c r="AB9" i="60" a="1"/>
  <c r="AB9" i="60" s="1"/>
  <c r="AC42" i="60" a="1"/>
  <c r="AC42" i="60" s="1"/>
  <c r="AD42" i="60" s="1"/>
  <c r="G23" i="60" a="1"/>
  <c r="G23" i="60" s="1"/>
  <c r="L21" i="60" a="1"/>
  <c r="L21" i="60" s="1"/>
  <c r="U16" i="60" a="1"/>
  <c r="U16" i="60" s="1"/>
  <c r="AB22" i="60" a="1"/>
  <c r="AB22" i="60" s="1"/>
  <c r="E11" i="60" a="1"/>
  <c r="E11" i="60" s="1"/>
  <c r="L17" i="60" a="1"/>
  <c r="L17" i="60" s="1"/>
  <c r="T12" i="60" a="1"/>
  <c r="T12" i="60" s="1"/>
  <c r="U32" i="60" a="1"/>
  <c r="U32" i="60" s="1"/>
  <c r="AA30" i="60" a="1"/>
  <c r="AA30" i="60" s="1"/>
  <c r="F17" i="60" a="1"/>
  <c r="F17" i="60" s="1"/>
  <c r="M17" i="60" a="1"/>
  <c r="M17" i="60" s="1"/>
  <c r="U12" i="60" a="1"/>
  <c r="U12" i="60" s="1"/>
  <c r="Z21" i="60" a="1"/>
  <c r="Z21" i="60" s="1"/>
  <c r="N31" i="60" a="1"/>
  <c r="N31" i="60" s="1"/>
  <c r="H18" i="60" a="1"/>
  <c r="H18" i="60" s="1"/>
  <c r="U9" i="60" a="1"/>
  <c r="U9" i="60" s="1"/>
  <c r="AC14" i="60" a="1"/>
  <c r="AC14" i="60" s="1"/>
  <c r="O43" i="60" a="1"/>
  <c r="O43" i="60" s="1"/>
  <c r="F25" i="60" a="1"/>
  <c r="F25" i="60" s="1"/>
  <c r="O36" i="60" a="1"/>
  <c r="O36" i="60" s="1"/>
  <c r="U26" i="60" a="1"/>
  <c r="U26" i="60" s="1"/>
  <c r="Z24" i="60" a="1"/>
  <c r="Z24" i="60" s="1"/>
  <c r="N17" i="60" a="1"/>
  <c r="N17" i="60" s="1"/>
  <c r="F8" i="60" a="1"/>
  <c r="F8" i="60" s="1"/>
  <c r="H40" i="60" a="1"/>
  <c r="H40" i="60" s="1"/>
  <c r="O38" i="60" a="1"/>
  <c r="O38" i="60" s="1"/>
  <c r="AA9" i="60" a="1"/>
  <c r="AA9" i="60" s="1"/>
  <c r="H36" i="60" a="1"/>
  <c r="H36" i="60" s="1"/>
  <c r="H33" i="60" a="1"/>
  <c r="H33" i="60" s="1"/>
  <c r="M30" i="60" a="1"/>
  <c r="M30" i="60" s="1"/>
  <c r="T23" i="60" a="1"/>
  <c r="T23" i="60" s="1"/>
  <c r="AA13" i="60" a="1"/>
  <c r="AA13" i="60" s="1"/>
  <c r="G24" i="60" a="1"/>
  <c r="G24" i="60" s="1"/>
  <c r="F26" i="60" a="1"/>
  <c r="F26" i="60" s="1"/>
  <c r="N23" i="60" a="1"/>
  <c r="N23" i="60" s="1"/>
  <c r="U23" i="60" a="1"/>
  <c r="U23" i="60" s="1"/>
  <c r="AB24" i="60" a="1"/>
  <c r="AB24" i="60" s="1"/>
  <c r="E17" i="60" a="1"/>
  <c r="E17" i="60" s="1"/>
  <c r="M21" i="60" a="1"/>
  <c r="M21" i="60" s="1"/>
  <c r="S17" i="60" a="1"/>
  <c r="S17" i="60" s="1"/>
  <c r="V39" i="60" a="1"/>
  <c r="V39" i="60" s="1"/>
  <c r="W39" i="60" s="1"/>
  <c r="AA32" i="60" a="1"/>
  <c r="AA32" i="60" s="1"/>
  <c r="G21" i="60" a="1"/>
  <c r="G21" i="60" s="1"/>
  <c r="N21" i="60" a="1"/>
  <c r="N21" i="60" s="1"/>
  <c r="Z23" i="60" a="1"/>
  <c r="Z23" i="60" s="1"/>
  <c r="T24" i="60" a="1"/>
  <c r="T24" i="60" s="1"/>
  <c r="F22" i="60" a="1"/>
  <c r="F22" i="60" s="1"/>
  <c r="O18" i="60" a="1"/>
  <c r="O18" i="60" s="1"/>
  <c r="S13" i="60" a="1"/>
  <c r="S13" i="60" s="1"/>
  <c r="AB17" i="60" a="1"/>
  <c r="AB17" i="60" s="1"/>
  <c r="S26" i="60" a="1"/>
  <c r="S26" i="60" s="1"/>
  <c r="H39" i="60" a="1"/>
  <c r="H39" i="60" s="1"/>
  <c r="S11" i="60" a="1"/>
  <c r="S11" i="60" s="1"/>
  <c r="S30" i="60" a="1"/>
  <c r="S30" i="60" s="1"/>
  <c r="Z26" i="60" a="1"/>
  <c r="Z26" i="60" s="1"/>
  <c r="T9" i="60" a="1"/>
  <c r="T9" i="60" s="1"/>
  <c r="F12" i="60" a="1"/>
  <c r="F12" i="60" s="1"/>
  <c r="G12" i="60" a="1"/>
  <c r="G12" i="60" s="1"/>
  <c r="L9" i="60" a="1"/>
  <c r="L9" i="60" s="1"/>
  <c r="T11" i="60" a="1"/>
  <c r="T11" i="60" s="1"/>
  <c r="Z13" i="60" a="1"/>
  <c r="Z13" i="60" s="1"/>
  <c r="M27" i="60" a="1"/>
  <c r="M27" i="60" s="1"/>
  <c r="H42" i="60" a="1"/>
  <c r="H42" i="60" s="1"/>
  <c r="N32" i="60" a="1"/>
  <c r="N32" i="60" s="1"/>
  <c r="T25" i="60" a="1"/>
  <c r="T25" i="60" s="1"/>
  <c r="AA16" i="60" a="1"/>
  <c r="AA16" i="60" s="1"/>
  <c r="N24" i="60" a="1"/>
  <c r="N24" i="60" s="1"/>
  <c r="G30" i="60" a="1"/>
  <c r="G30" i="60" s="1"/>
  <c r="M26" i="60" a="1"/>
  <c r="M26" i="60" s="1"/>
  <c r="U30" i="60" a="1"/>
  <c r="U30" i="60" s="1"/>
  <c r="Z32" i="60" a="1"/>
  <c r="Z32" i="60" s="1"/>
  <c r="E24" i="60" a="1"/>
  <c r="E24" i="60" s="1"/>
  <c r="L24" i="60" a="1"/>
  <c r="L24" i="60" s="1"/>
  <c r="T20" i="60" a="1"/>
  <c r="T20" i="60" s="1"/>
  <c r="AA11" i="60" a="1"/>
  <c r="AA11" i="60" s="1"/>
  <c r="AC36" i="60" a="1"/>
  <c r="AC36" i="60" s="1"/>
  <c r="E13" i="60" a="1"/>
  <c r="E13" i="60" s="1"/>
  <c r="F24" i="60" a="1"/>
  <c r="F24" i="60" s="1"/>
  <c r="M24" i="60" a="1"/>
  <c r="M24" i="60" s="1"/>
  <c r="T22" i="60" a="1"/>
  <c r="T22" i="60" s="1"/>
  <c r="AA25" i="60" a="1"/>
  <c r="AA25" i="60" s="1"/>
  <c r="S35" i="60" a="1"/>
  <c r="S35" i="60" s="1"/>
  <c r="E25" i="60" a="1"/>
  <c r="E25" i="60" s="1"/>
  <c r="M22" i="60" a="1"/>
  <c r="M22" i="60" s="1"/>
  <c r="V14" i="60" a="1"/>
  <c r="V14" i="60" s="1"/>
  <c r="AB23" i="60" a="1"/>
  <c r="AB23" i="60" s="1"/>
  <c r="T31" i="60" a="1"/>
  <c r="T31" i="60" s="1"/>
  <c r="M12" i="60" a="1"/>
  <c r="M12" i="60" s="1"/>
  <c r="T13" i="60" a="1"/>
  <c r="T13" i="60" s="1"/>
  <c r="U31" i="60" a="1"/>
  <c r="U31" i="60" s="1"/>
  <c r="AC28" i="60" a="1"/>
  <c r="AC28" i="60" s="1"/>
  <c r="U22" i="60" a="1"/>
  <c r="U22" i="60" s="1"/>
  <c r="H14" i="60" a="1"/>
  <c r="H14" i="60" s="1"/>
  <c r="E16" i="60" a="1"/>
  <c r="E16" i="60" s="1"/>
  <c r="N12" i="60" a="1"/>
  <c r="N12" i="60" s="1"/>
  <c r="U13" i="60" a="1"/>
  <c r="U13" i="60" s="1"/>
  <c r="Z16" i="60" a="1"/>
  <c r="Z16" i="60" s="1"/>
  <c r="F9" i="60" a="1"/>
  <c r="F9" i="60" s="1"/>
  <c r="M9" i="60" a="1"/>
  <c r="M9" i="60" s="1"/>
  <c r="O39" i="60" a="1"/>
  <c r="O39" i="60" s="1"/>
  <c r="S27" i="60" a="1"/>
  <c r="S27" i="60" s="1"/>
  <c r="AA22" i="60" a="1"/>
  <c r="AA22" i="60" s="1"/>
  <c r="U20" i="60" a="1"/>
  <c r="U20" i="60" s="1"/>
  <c r="E35" i="60" a="1"/>
  <c r="E35" i="60" s="1"/>
  <c r="N30" i="60" a="1"/>
  <c r="N30" i="60" s="1"/>
  <c r="V38" i="60" a="1"/>
  <c r="V38" i="60" s="1"/>
  <c r="AB35" i="60" a="1"/>
  <c r="AB35" i="60" s="1"/>
  <c r="AB34" i="60" s="1"/>
  <c r="E31" i="60" a="1"/>
  <c r="E31" i="60" s="1"/>
  <c r="N26" i="60" a="1"/>
  <c r="N26" i="60" s="1"/>
  <c r="S22" i="60" a="1"/>
  <c r="S22" i="60" s="1"/>
  <c r="AC44" i="60" a="1"/>
  <c r="AC44" i="60" s="1"/>
  <c r="AD44" i="60" s="1"/>
  <c r="O27" i="41"/>
  <c r="O109" i="41"/>
  <c r="O157" i="41"/>
  <c r="O170" i="41"/>
  <c r="O74" i="41"/>
  <c r="O122" i="41"/>
  <c r="O165" i="41"/>
  <c r="O117" i="41"/>
  <c r="O83" i="41"/>
  <c r="O28" i="41"/>
  <c r="O75" i="41"/>
  <c r="O171" i="41"/>
  <c r="O69" i="41"/>
  <c r="O124" i="41"/>
  <c r="O32" i="41"/>
  <c r="O128" i="41"/>
  <c r="O123" i="41"/>
  <c r="O71" i="41"/>
  <c r="O176" i="41"/>
  <c r="I16" i="42"/>
  <c r="O37" i="41"/>
  <c r="N36" i="41"/>
  <c r="O85" i="41"/>
  <c r="N84" i="41"/>
  <c r="I37" i="42"/>
  <c r="K37" i="42" s="1"/>
  <c r="J34" i="61" s="1"/>
  <c r="J38" i="42"/>
  <c r="O133" i="41"/>
  <c r="N132" i="41"/>
  <c r="O181" i="41"/>
  <c r="N180" i="41"/>
  <c r="I30" i="42"/>
  <c r="J28" i="42"/>
  <c r="I8" i="42"/>
  <c r="I25" i="42"/>
  <c r="D7" i="78" l="1"/>
  <c r="E19" i="70"/>
  <c r="E18" i="70" s="1"/>
  <c r="I143" i="42"/>
  <c r="I191" i="42"/>
  <c r="I95" i="42"/>
  <c r="X2" i="37"/>
  <c r="P180" i="41"/>
  <c r="P132" i="41"/>
  <c r="P84" i="41"/>
  <c r="P36" i="41"/>
  <c r="O29" i="61"/>
  <c r="P29" i="61"/>
  <c r="AD32" i="61"/>
  <c r="AC32" i="61"/>
  <c r="V32" i="61"/>
  <c r="W32" i="61"/>
  <c r="V14" i="61"/>
  <c r="W14" i="61"/>
  <c r="AD29" i="61"/>
  <c r="AC29" i="61"/>
  <c r="V18" i="61"/>
  <c r="W18" i="61"/>
  <c r="P14" i="61"/>
  <c r="O14" i="61"/>
  <c r="I14" i="61"/>
  <c r="H14" i="61"/>
  <c r="I29" i="61"/>
  <c r="H29" i="61"/>
  <c r="I18" i="61"/>
  <c r="H18" i="61"/>
  <c r="AD18" i="61"/>
  <c r="AC18" i="61"/>
  <c r="I32" i="61"/>
  <c r="H32" i="61"/>
  <c r="O32" i="61"/>
  <c r="P32" i="61"/>
  <c r="AD14" i="61"/>
  <c r="AC14" i="61"/>
  <c r="W29" i="61"/>
  <c r="V29" i="61"/>
  <c r="O18" i="61"/>
  <c r="P18" i="61"/>
  <c r="I25" i="95"/>
  <c r="H25" i="95"/>
  <c r="O25" i="95"/>
  <c r="N25" i="95"/>
  <c r="AA25" i="95"/>
  <c r="Z25" i="95"/>
  <c r="U28" i="95"/>
  <c r="T28" i="95"/>
  <c r="H28" i="95"/>
  <c r="I28" i="95"/>
  <c r="AA28" i="95"/>
  <c r="Z28" i="95"/>
  <c r="O28" i="95"/>
  <c r="N28" i="95"/>
  <c r="U25" i="95"/>
  <c r="T25" i="95"/>
  <c r="I13" i="95"/>
  <c r="H13" i="95"/>
  <c r="Y26" i="95"/>
  <c r="I142" i="42"/>
  <c r="I94" i="42"/>
  <c r="I190" i="42"/>
  <c r="H45" i="41"/>
  <c r="AD41" i="60"/>
  <c r="W41" i="60"/>
  <c r="P41" i="60"/>
  <c r="Y6" i="95"/>
  <c r="S6" i="95"/>
  <c r="W10" i="60"/>
  <c r="I10" i="60"/>
  <c r="P10" i="60"/>
  <c r="AD10" i="60"/>
  <c r="D10" i="78"/>
  <c r="I42" i="60"/>
  <c r="I39" i="60"/>
  <c r="I40" i="60"/>
  <c r="G34" i="60"/>
  <c r="I44" i="60"/>
  <c r="F34" i="60"/>
  <c r="I43" i="60"/>
  <c r="I41" i="60"/>
  <c r="S18" i="95"/>
  <c r="Y18" i="95"/>
  <c r="S26" i="95"/>
  <c r="G34" i="61"/>
  <c r="G33" i="95"/>
  <c r="J133" i="42"/>
  <c r="I15" i="42"/>
  <c r="G19" i="95"/>
  <c r="N34" i="61"/>
  <c r="M33" i="95"/>
  <c r="AB34" i="61"/>
  <c r="Y33" i="95"/>
  <c r="I7" i="42"/>
  <c r="I47" i="42" s="1"/>
  <c r="G7" i="95"/>
  <c r="U34" i="61"/>
  <c r="S33" i="95"/>
  <c r="J181" i="42"/>
  <c r="J85" i="42"/>
  <c r="F14" i="78"/>
  <c r="E14" i="78"/>
  <c r="G14" i="78"/>
  <c r="E10" i="78"/>
  <c r="D14" i="78"/>
  <c r="G10" i="78"/>
  <c r="F10" i="78"/>
  <c r="M34" i="60"/>
  <c r="P40" i="60"/>
  <c r="P44" i="60"/>
  <c r="P42" i="60"/>
  <c r="P43" i="60"/>
  <c r="P39" i="60"/>
  <c r="N34" i="60"/>
  <c r="E6" i="70"/>
  <c r="E14" i="70"/>
  <c r="E28" i="70"/>
  <c r="F29" i="60"/>
  <c r="I13" i="60"/>
  <c r="I25" i="60"/>
  <c r="W27" i="60"/>
  <c r="U15" i="60"/>
  <c r="W17" i="60"/>
  <c r="AA15" i="60"/>
  <c r="N29" i="60"/>
  <c r="M29" i="60"/>
  <c r="W22" i="60"/>
  <c r="I31" i="60"/>
  <c r="AD26" i="60"/>
  <c r="AD21" i="60"/>
  <c r="AD13" i="60"/>
  <c r="G29" i="60"/>
  <c r="I17" i="60"/>
  <c r="T19" i="60"/>
  <c r="G15" i="60"/>
  <c r="U19" i="60"/>
  <c r="AD32" i="60"/>
  <c r="I9" i="60"/>
  <c r="AC7" i="60"/>
  <c r="AD14" i="60"/>
  <c r="P8" i="60"/>
  <c r="L7" i="60"/>
  <c r="AD27" i="60"/>
  <c r="I21" i="60"/>
  <c r="G7" i="60"/>
  <c r="W32" i="60"/>
  <c r="Z7" i="60"/>
  <c r="AD8" i="60"/>
  <c r="AB19" i="60"/>
  <c r="M19" i="60"/>
  <c r="W24" i="60"/>
  <c r="F19" i="60"/>
  <c r="I27" i="60"/>
  <c r="E15" i="60"/>
  <c r="I16" i="60"/>
  <c r="U29" i="60"/>
  <c r="W30" i="60"/>
  <c r="S29" i="60"/>
  <c r="F7" i="60"/>
  <c r="P21" i="60"/>
  <c r="W31" i="60"/>
  <c r="E29" i="60"/>
  <c r="I30" i="60"/>
  <c r="AD25" i="60"/>
  <c r="P23" i="60"/>
  <c r="AD31" i="60"/>
  <c r="I23" i="60"/>
  <c r="P31" i="60"/>
  <c r="T29" i="60"/>
  <c r="W21" i="60"/>
  <c r="H7" i="60"/>
  <c r="I14" i="60"/>
  <c r="W14" i="60"/>
  <c r="V7" i="60"/>
  <c r="W11" i="60"/>
  <c r="AD23" i="60"/>
  <c r="AA29" i="60"/>
  <c r="L29" i="60"/>
  <c r="P30" i="60"/>
  <c r="E19" i="60"/>
  <c r="I20" i="60"/>
  <c r="W9" i="60"/>
  <c r="U7" i="60"/>
  <c r="N7" i="60"/>
  <c r="AB7" i="60"/>
  <c r="AD30" i="60"/>
  <c r="Z29" i="60"/>
  <c r="AC29" i="60"/>
  <c r="AD33" i="60"/>
  <c r="P35" i="60"/>
  <c r="L34" i="60"/>
  <c r="I28" i="60"/>
  <c r="W26" i="60"/>
  <c r="S7" i="60"/>
  <c r="W8" i="60"/>
  <c r="W28" i="60"/>
  <c r="V19" i="60"/>
  <c r="P25" i="60"/>
  <c r="AC34" i="60"/>
  <c r="AD36" i="60"/>
  <c r="H29" i="60"/>
  <c r="I33" i="60"/>
  <c r="AD24" i="60"/>
  <c r="I18" i="60"/>
  <c r="H15" i="60"/>
  <c r="S19" i="60"/>
  <c r="W20" i="60"/>
  <c r="V34" i="60"/>
  <c r="W36" i="60"/>
  <c r="P13" i="60"/>
  <c r="AD28" i="60"/>
  <c r="AC19" i="60"/>
  <c r="P9" i="60"/>
  <c r="H34" i="60"/>
  <c r="I36" i="60"/>
  <c r="O7" i="60"/>
  <c r="P14" i="60"/>
  <c r="I8" i="60"/>
  <c r="E7" i="60"/>
  <c r="M7" i="60"/>
  <c r="P11" i="60"/>
  <c r="T15" i="60"/>
  <c r="P32" i="60"/>
  <c r="M15" i="60"/>
  <c r="Z34" i="60"/>
  <c r="AD35" i="60"/>
  <c r="I32" i="60"/>
  <c r="AD11" i="60"/>
  <c r="F15" i="60"/>
  <c r="AD12" i="60"/>
  <c r="V45" i="60"/>
  <c r="W45" i="60" s="1"/>
  <c r="W38" i="60"/>
  <c r="S34" i="60"/>
  <c r="W35" i="60"/>
  <c r="P36" i="60"/>
  <c r="O34" i="60"/>
  <c r="P17" i="60"/>
  <c r="I22" i="60"/>
  <c r="AA19" i="60"/>
  <c r="I26" i="60"/>
  <c r="AD18" i="60"/>
  <c r="AC15" i="60"/>
  <c r="I12" i="60"/>
  <c r="P22" i="60"/>
  <c r="N19" i="60"/>
  <c r="H45" i="60"/>
  <c r="I38" i="60"/>
  <c r="G19" i="60"/>
  <c r="AD9" i="60"/>
  <c r="O29" i="60"/>
  <c r="P33" i="60"/>
  <c r="Z19" i="60"/>
  <c r="AD20" i="60"/>
  <c r="W16" i="60"/>
  <c r="S15" i="60"/>
  <c r="AB29" i="60"/>
  <c r="Z15" i="60"/>
  <c r="AD16" i="60"/>
  <c r="P24" i="60"/>
  <c r="W13" i="60"/>
  <c r="O45" i="60"/>
  <c r="P38" i="60"/>
  <c r="I11" i="60"/>
  <c r="P26" i="60"/>
  <c r="P12" i="60"/>
  <c r="W23" i="60"/>
  <c r="AB15" i="60"/>
  <c r="T7" i="60"/>
  <c r="AD22" i="60"/>
  <c r="AD38" i="60"/>
  <c r="AC45" i="60"/>
  <c r="AD45" i="60" s="1"/>
  <c r="V15" i="60"/>
  <c r="W18" i="60"/>
  <c r="L19" i="60"/>
  <c r="P20" i="60"/>
  <c r="E34" i="60"/>
  <c r="I35" i="60"/>
  <c r="I24" i="60"/>
  <c r="P18" i="60"/>
  <c r="O15" i="60"/>
  <c r="N15" i="60"/>
  <c r="P28" i="60"/>
  <c r="W12" i="60"/>
  <c r="W25" i="60"/>
  <c r="V29" i="60"/>
  <c r="W33" i="60"/>
  <c r="AD17" i="60"/>
  <c r="L15" i="60"/>
  <c r="P16" i="60"/>
  <c r="AA7" i="60"/>
  <c r="P27" i="60"/>
  <c r="E33" i="70"/>
  <c r="S14" i="70"/>
  <c r="L33" i="70"/>
  <c r="S28" i="70"/>
  <c r="Z14" i="70"/>
  <c r="S18" i="70"/>
  <c r="Z33" i="70"/>
  <c r="S33" i="70"/>
  <c r="L14" i="70"/>
  <c r="L28" i="70"/>
  <c r="L18" i="70"/>
  <c r="S6" i="70"/>
  <c r="Z18" i="70"/>
  <c r="L6" i="70"/>
  <c r="Z28" i="70"/>
  <c r="Z6" i="70"/>
  <c r="J37" i="42"/>
  <c r="O84" i="41"/>
  <c r="O180" i="41"/>
  <c r="O36" i="41"/>
  <c r="O132" i="41"/>
  <c r="AC34" i="61" l="1"/>
  <c r="AD34" i="61"/>
  <c r="P34" i="61"/>
  <c r="O34" i="61"/>
  <c r="I34" i="61"/>
  <c r="H34" i="61"/>
  <c r="W34" i="61"/>
  <c r="V34" i="61"/>
  <c r="AA33" i="95"/>
  <c r="Z33" i="95"/>
  <c r="T33" i="95"/>
  <c r="U33" i="95"/>
  <c r="N33" i="95"/>
  <c r="O33" i="95"/>
  <c r="I33" i="95"/>
  <c r="H33" i="95"/>
  <c r="I46" i="42"/>
  <c r="Y32" i="95"/>
  <c r="Y34" i="95" s="1"/>
  <c r="I45" i="60"/>
  <c r="S32" i="95"/>
  <c r="S34" i="95" s="1"/>
  <c r="F15" i="78"/>
  <c r="E15" i="78"/>
  <c r="G15" i="78"/>
  <c r="D15" i="78"/>
  <c r="P45" i="60"/>
  <c r="I34" i="60"/>
  <c r="E37" i="70"/>
  <c r="T37" i="60"/>
  <c r="T46" i="60" s="1"/>
  <c r="O37" i="60"/>
  <c r="N37" i="60"/>
  <c r="M37" i="60"/>
  <c r="AD15" i="60"/>
  <c r="W34" i="60"/>
  <c r="AD34" i="60"/>
  <c r="V37" i="60"/>
  <c r="V46" i="60" s="1"/>
  <c r="AB37" i="60"/>
  <c r="AB46" i="60" s="1"/>
  <c r="P19" i="60"/>
  <c r="I19" i="60"/>
  <c r="Z37" i="60"/>
  <c r="Z46" i="60" s="1"/>
  <c r="AD7" i="60"/>
  <c r="AC37" i="60"/>
  <c r="AC46" i="60" s="1"/>
  <c r="AD19" i="60"/>
  <c r="AA37" i="60"/>
  <c r="AA46" i="60" s="1"/>
  <c r="W7" i="60"/>
  <c r="S37" i="60"/>
  <c r="S46" i="60" s="1"/>
  <c r="AD29" i="60"/>
  <c r="H37" i="60"/>
  <c r="W29" i="60"/>
  <c r="E37" i="60"/>
  <c r="I7" i="60"/>
  <c r="P29" i="60"/>
  <c r="I29" i="60"/>
  <c r="I15" i="60"/>
  <c r="G37" i="60"/>
  <c r="P15" i="60"/>
  <c r="W15" i="60"/>
  <c r="W19" i="60"/>
  <c r="P34" i="60"/>
  <c r="U37" i="60"/>
  <c r="U46" i="60" s="1"/>
  <c r="F37" i="60"/>
  <c r="P7" i="60"/>
  <c r="L37" i="60"/>
  <c r="Z37" i="70"/>
  <c r="S37" i="70"/>
  <c r="L37" i="70"/>
  <c r="F46" i="60" l="1"/>
  <c r="G46" i="60"/>
  <c r="E46" i="60"/>
  <c r="H46" i="60"/>
  <c r="O46" i="60"/>
  <c r="N46" i="60"/>
  <c r="L46" i="60"/>
  <c r="M46" i="60"/>
  <c r="W37" i="60"/>
  <c r="I37" i="60"/>
  <c r="AD46" i="60"/>
  <c r="P37" i="60"/>
  <c r="W46" i="60"/>
  <c r="AD37" i="60"/>
  <c r="I46" i="60" l="1"/>
  <c r="P46" i="60"/>
  <c r="AP62" i="39" l="1"/>
  <c r="AP87" i="39"/>
  <c r="AP173" i="39"/>
  <c r="AP175" i="39"/>
  <c r="AP201" i="39"/>
  <c r="AQ205" i="39"/>
  <c r="AP212" i="39"/>
  <c r="AP216" i="39"/>
  <c r="AP221" i="39"/>
  <c r="AP224" i="39"/>
  <c r="AQ225" i="39"/>
  <c r="AP228" i="39"/>
  <c r="AQ160" i="39"/>
  <c r="AQ173" i="39"/>
  <c r="AQ193" i="39"/>
  <c r="AQ201" i="39"/>
  <c r="AQ208" i="39"/>
  <c r="AQ212" i="39"/>
  <c r="AQ216" i="39"/>
  <c r="AQ224" i="39"/>
  <c r="AQ228" i="39"/>
  <c r="AQ120" i="39"/>
  <c r="AQ125" i="39"/>
  <c r="AQ133" i="39"/>
  <c r="AP150" i="39"/>
  <c r="AP182" i="39"/>
  <c r="AP195" i="39"/>
  <c r="AP200" i="39"/>
  <c r="AP204" i="39"/>
  <c r="AQ220" i="39"/>
  <c r="AP41" i="39"/>
  <c r="AQ74" i="39"/>
  <c r="AQ97" i="39"/>
  <c r="AQ150" i="39"/>
  <c r="AQ158" i="39"/>
  <c r="AP187" i="39"/>
  <c r="AP197" i="39"/>
  <c r="AQ200" i="39"/>
  <c r="AQ204" i="39"/>
  <c r="AQ207" i="39"/>
  <c r="AQ211" i="39"/>
  <c r="AQ227" i="39"/>
  <c r="AP86" i="39"/>
  <c r="AP174" i="39"/>
  <c r="AP180" i="39"/>
  <c r="AP192" i="39"/>
  <c r="AQ197" i="39"/>
  <c r="AQ215" i="39"/>
  <c r="AQ219" i="39"/>
  <c r="AQ65" i="39"/>
  <c r="AQ86" i="39"/>
  <c r="AP96" i="39"/>
  <c r="AP126" i="39"/>
  <c r="AQ192" i="39"/>
  <c r="AP196" i="39"/>
  <c r="AQ203" i="39"/>
  <c r="AQ20" i="39"/>
  <c r="AP61" i="39"/>
  <c r="AQ96" i="39"/>
  <c r="AQ105" i="39"/>
  <c r="AP109" i="39"/>
  <c r="AP119" i="39"/>
  <c r="AQ126" i="39"/>
  <c r="AP144" i="39"/>
  <c r="AP159" i="39"/>
  <c r="AQ196" i="39"/>
  <c r="AP213" i="39"/>
  <c r="AP217" i="39"/>
  <c r="AQ229" i="39"/>
  <c r="AP43" i="39"/>
  <c r="AQ34" i="39"/>
  <c r="AQ119" i="39"/>
  <c r="AQ140" i="39"/>
  <c r="AQ181" i="39"/>
  <c r="AQ188" i="39"/>
  <c r="AP205" i="39"/>
  <c r="AP209" i="39"/>
  <c r="AQ213" i="39"/>
  <c r="AQ217" i="39"/>
  <c r="AP225" i="39"/>
  <c r="AP232" i="39"/>
  <c r="AP236" i="39"/>
  <c r="AP237" i="39"/>
  <c r="AQ242" i="39"/>
  <c r="AQ249" i="39"/>
  <c r="AQ254" i="39"/>
  <c r="AQ255" i="39"/>
  <c r="AQ261" i="39"/>
  <c r="AQ262" i="39"/>
  <c r="AQ267" i="39"/>
  <c r="AP268" i="39"/>
  <c r="AP269" i="39"/>
  <c r="AQ275" i="39"/>
  <c r="AQ276" i="39"/>
  <c r="AQ282" i="39"/>
  <c r="AQ283" i="39"/>
  <c r="AP284" i="39"/>
  <c r="AQ288" i="39"/>
  <c r="AQ289" i="39"/>
  <c r="AQ293" i="39"/>
  <c r="AQ294" i="39"/>
  <c r="AP297" i="39"/>
  <c r="AP300" i="39"/>
  <c r="AQ304" i="39"/>
  <c r="AP305" i="39"/>
  <c r="AP314" i="39"/>
  <c r="AQ322" i="39"/>
  <c r="AQ329" i="39"/>
  <c r="AQ331" i="39"/>
  <c r="AP338" i="39"/>
  <c r="AP340" i="39"/>
  <c r="AQ342" i="39"/>
  <c r="AP347" i="39"/>
  <c r="AQ349" i="39"/>
  <c r="AQ236" i="39"/>
  <c r="AP241" i="39"/>
  <c r="AP250" i="39"/>
  <c r="AP256" i="39"/>
  <c r="AP263" i="39"/>
  <c r="AQ268" i="39"/>
  <c r="AQ269" i="39"/>
  <c r="AP270" i="39"/>
  <c r="AP277" i="39"/>
  <c r="AQ284" i="39"/>
  <c r="AP290" i="39"/>
  <c r="AP295" i="39"/>
  <c r="AQ297" i="39"/>
  <c r="AQ300" i="39"/>
  <c r="AP301" i="39"/>
  <c r="AP302" i="39"/>
  <c r="AQ305" i="39"/>
  <c r="AP309" i="39"/>
  <c r="AQ314" i="39"/>
  <c r="AP318" i="39"/>
  <c r="AP325" i="39"/>
  <c r="AP327" i="39"/>
  <c r="AP336" i="39"/>
  <c r="AQ338" i="39"/>
  <c r="AQ340" i="39"/>
  <c r="AP345" i="39"/>
  <c r="AQ347" i="39"/>
  <c r="AQ241" i="39"/>
  <c r="AP244" i="39"/>
  <c r="AP245" i="39"/>
  <c r="AQ250" i="39"/>
  <c r="AQ256" i="39"/>
  <c r="AQ263" i="39"/>
  <c r="AQ270" i="39"/>
  <c r="AQ277" i="39"/>
  <c r="AP285" i="39"/>
  <c r="AQ290" i="39"/>
  <c r="AQ295" i="39"/>
  <c r="AP298" i="39"/>
  <c r="AQ301" i="39"/>
  <c r="AQ302" i="39"/>
  <c r="AP306" i="39"/>
  <c r="AQ309" i="39"/>
  <c r="AP310" i="39"/>
  <c r="AP315" i="39"/>
  <c r="AQ318" i="39"/>
  <c r="AP319" i="39"/>
  <c r="AQ325" i="39"/>
  <c r="AQ327" i="39"/>
  <c r="AP332" i="39"/>
  <c r="AP334" i="39"/>
  <c r="AQ336" i="39"/>
  <c r="AQ345" i="39"/>
  <c r="AQ235" i="39"/>
  <c r="AQ244" i="39"/>
  <c r="AP246" i="39"/>
  <c r="AP251" i="39"/>
  <c r="AP257" i="39"/>
  <c r="AP258" i="39"/>
  <c r="AP264" i="39"/>
  <c r="AP271" i="39"/>
  <c r="AP278" i="39"/>
  <c r="AP286" i="39"/>
  <c r="AP291" i="39"/>
  <c r="AQ298" i="39"/>
  <c r="AP303" i="39"/>
  <c r="AQ306" i="39"/>
  <c r="AQ310" i="39"/>
  <c r="AP312" i="39"/>
  <c r="AQ315" i="39"/>
  <c r="AQ319" i="39"/>
  <c r="AP323" i="39"/>
  <c r="AQ332" i="39"/>
  <c r="AQ334" i="39"/>
  <c r="AP339" i="39"/>
  <c r="AP343" i="39"/>
  <c r="AP348" i="39"/>
  <c r="AP350" i="39"/>
  <c r="AQ246" i="39"/>
  <c r="AQ251" i="39"/>
  <c r="AP252" i="39"/>
  <c r="AQ257" i="39"/>
  <c r="AQ258" i="39"/>
  <c r="AP259" i="39"/>
  <c r="AQ264" i="39"/>
  <c r="AP265" i="39"/>
  <c r="AQ271" i="39"/>
  <c r="AP272" i="39"/>
  <c r="AP273" i="39"/>
  <c r="AQ278" i="39"/>
  <c r="AP279" i="39"/>
  <c r="AP280" i="39"/>
  <c r="AQ286" i="39"/>
  <c r="AQ291" i="39"/>
  <c r="AP299" i="39"/>
  <c r="AQ303" i="39"/>
  <c r="AP307" i="39"/>
  <c r="AP311" i="39"/>
  <c r="AQ312" i="39"/>
  <c r="AQ323" i="39"/>
  <c r="AP328" i="39"/>
  <c r="AP330" i="39"/>
  <c r="AP337" i="39"/>
  <c r="AQ339" i="39"/>
  <c r="AP341" i="39"/>
  <c r="AQ343" i="39"/>
  <c r="AP346" i="39"/>
  <c r="AQ348" i="39"/>
  <c r="AQ350" i="39"/>
  <c r="AP239" i="39"/>
  <c r="AQ240" i="39"/>
  <c r="AP243" i="39"/>
  <c r="AP247" i="39"/>
  <c r="AQ252" i="39"/>
  <c r="AQ259" i="39"/>
  <c r="AQ265" i="39"/>
  <c r="AP266" i="39"/>
  <c r="AQ272" i="39"/>
  <c r="AQ273" i="39"/>
  <c r="AP274" i="39"/>
  <c r="AQ279" i="39"/>
  <c r="AQ280" i="39"/>
  <c r="AP281" i="39"/>
  <c r="AP287" i="39"/>
  <c r="AQ299" i="39"/>
  <c r="AQ307" i="39"/>
  <c r="AP308" i="39"/>
  <c r="AQ311" i="39"/>
  <c r="AP313" i="39"/>
  <c r="AP316" i="39"/>
  <c r="AP320" i="39"/>
  <c r="AP326" i="39"/>
  <c r="AQ328" i="39"/>
  <c r="AQ330" i="39"/>
  <c r="AP335" i="39"/>
  <c r="AQ337" i="39"/>
  <c r="AQ341" i="39"/>
  <c r="AQ346" i="39"/>
  <c r="AP233" i="39"/>
  <c r="AQ239" i="39"/>
  <c r="AQ247" i="39"/>
  <c r="AP248" i="39"/>
  <c r="AP253" i="39"/>
  <c r="AP260" i="39"/>
  <c r="AQ266" i="39"/>
  <c r="AQ274" i="39"/>
  <c r="AQ281" i="39"/>
  <c r="AQ287" i="39"/>
  <c r="AP292" i="39"/>
  <c r="AP296" i="39"/>
  <c r="AQ308" i="39"/>
  <c r="AQ313" i="39"/>
  <c r="AQ316" i="39"/>
  <c r="AP317" i="39"/>
  <c r="AQ320" i="39"/>
  <c r="AP321" i="39"/>
  <c r="AP324" i="39"/>
  <c r="AQ326" i="39"/>
  <c r="AP333" i="39"/>
  <c r="AQ335" i="39"/>
  <c r="AP344" i="39"/>
  <c r="AP351" i="39"/>
  <c r="AQ233" i="39"/>
  <c r="AQ238" i="39"/>
  <c r="AP242" i="39"/>
  <c r="AQ248" i="39"/>
  <c r="AP249" i="39"/>
  <c r="AQ253" i="39"/>
  <c r="AP254" i="39"/>
  <c r="AP255" i="39"/>
  <c r="AQ260" i="39"/>
  <c r="AP261" i="39"/>
  <c r="AP262" i="39"/>
  <c r="AP267" i="39"/>
  <c r="AP275" i="39"/>
  <c r="AP276" i="39"/>
  <c r="AP282" i="39"/>
  <c r="AP283" i="39"/>
  <c r="AP288" i="39"/>
  <c r="AP289" i="39"/>
  <c r="AQ292" i="39"/>
  <c r="AP293" i="39"/>
  <c r="AP294" i="39"/>
  <c r="AQ296" i="39"/>
  <c r="AP304" i="39"/>
  <c r="AQ317" i="39"/>
  <c r="AQ321" i="39"/>
  <c r="AP322" i="39"/>
  <c r="AQ324" i="39"/>
  <c r="AP329" i="39"/>
  <c r="AP331" i="39"/>
  <c r="AQ333" i="39"/>
  <c r="AP342" i="39"/>
  <c r="AQ344" i="39"/>
  <c r="AP349" i="39"/>
  <c r="AQ351" i="39"/>
  <c r="AP208" i="39"/>
  <c r="AQ184" i="39"/>
  <c r="AQ159" i="39"/>
  <c r="AQ182" i="39"/>
  <c r="AQ157" i="39"/>
  <c r="AQ232" i="39"/>
  <c r="AQ231" i="39"/>
  <c r="AQ174" i="39"/>
  <c r="AQ127" i="39"/>
  <c r="AP47" i="39"/>
  <c r="AP172" i="39"/>
  <c r="AQ151" i="39"/>
  <c r="AP229" i="39"/>
  <c r="AQ223" i="39"/>
  <c r="AQ149" i="39"/>
  <c r="AQ221" i="39"/>
  <c r="AP220" i="39"/>
  <c r="AQ209" i="39"/>
  <c r="AP188" i="39"/>
  <c r="AP151" i="39"/>
  <c r="AP219" i="39"/>
  <c r="AP199" i="39"/>
  <c r="AP193" i="39"/>
  <c r="AQ166" i="39"/>
  <c r="AQ206" i="39"/>
  <c r="AQ199" i="39"/>
  <c r="AP235" i="39"/>
  <c r="AP203" i="39"/>
  <c r="AQ134" i="39"/>
  <c r="AP223" i="39"/>
  <c r="AP207" i="39"/>
  <c r="AP149" i="39"/>
  <c r="AP111" i="39"/>
  <c r="AP65" i="39"/>
  <c r="AQ214" i="39"/>
  <c r="AQ210" i="39"/>
  <c r="AP227" i="39"/>
  <c r="AP148" i="39"/>
  <c r="AP110" i="39"/>
  <c r="AP88" i="39"/>
  <c r="AQ218" i="39"/>
  <c r="AP181" i="39"/>
  <c r="AP158" i="39"/>
  <c r="AQ243" i="39"/>
  <c r="AP189" i="39"/>
  <c r="AP157" i="39"/>
  <c r="AQ226" i="39"/>
  <c r="AQ222" i="39"/>
  <c r="AQ110" i="39"/>
  <c r="AP238" i="39"/>
  <c r="AP211" i="39"/>
  <c r="AP156" i="39"/>
  <c r="AP215" i="39"/>
  <c r="AQ168" i="39"/>
  <c r="AQ141" i="39"/>
  <c r="AQ53" i="39"/>
  <c r="AQ230" i="39"/>
  <c r="AQ152" i="39"/>
  <c r="AQ103" i="39"/>
  <c r="AQ202" i="39"/>
  <c r="AQ198" i="39"/>
  <c r="AP234" i="39"/>
  <c r="AQ195" i="39"/>
  <c r="AQ95" i="39"/>
  <c r="AQ175" i="39"/>
  <c r="AP56" i="39"/>
  <c r="AP11" i="39"/>
  <c r="AP55" i="39"/>
  <c r="AQ33" i="39"/>
  <c r="AQ85" i="39"/>
  <c r="AP100" i="39"/>
  <c r="AQ73" i="39"/>
  <c r="AQ123" i="39"/>
  <c r="AP136" i="39"/>
  <c r="AP75" i="39"/>
  <c r="AQ99" i="39"/>
  <c r="AQ35" i="39"/>
  <c r="AQ121" i="39"/>
  <c r="AP134" i="39"/>
  <c r="AQ22" i="39"/>
  <c r="AP78" i="39"/>
  <c r="AP147" i="39"/>
  <c r="AQ79" i="39"/>
  <c r="AQ187" i="39"/>
  <c r="AP72" i="39"/>
  <c r="AP101" i="39"/>
  <c r="AP131" i="39"/>
  <c r="AQ170" i="39"/>
  <c r="AP185" i="39"/>
  <c r="AQ51" i="39"/>
  <c r="AP133" i="39"/>
  <c r="AQ161" i="39"/>
  <c r="AP176" i="39"/>
  <c r="AQ190" i="39"/>
  <c r="AQ19" i="39"/>
  <c r="AP23" i="39"/>
  <c r="AQ48" i="39"/>
  <c r="AQ15" i="39"/>
  <c r="AP50" i="39"/>
  <c r="AQ50" i="39"/>
  <c r="AP226" i="39"/>
  <c r="AP183" i="39"/>
  <c r="AQ24" i="39"/>
  <c r="AP48" i="39"/>
  <c r="AP29" i="39"/>
  <c r="AQ68" i="39"/>
  <c r="AQ70" i="39"/>
  <c r="AP137" i="39"/>
  <c r="AQ100" i="39"/>
  <c r="AP114" i="39"/>
  <c r="AQ55" i="39"/>
  <c r="AQ77" i="39"/>
  <c r="AP90" i="39"/>
  <c r="AQ136" i="39"/>
  <c r="AQ75" i="39"/>
  <c r="AQ98" i="39"/>
  <c r="AP113" i="39"/>
  <c r="AQ26" i="39"/>
  <c r="AP79" i="39"/>
  <c r="AQ172" i="39"/>
  <c r="AP80" i="39"/>
  <c r="AQ163" i="39"/>
  <c r="AP178" i="39"/>
  <c r="AQ189" i="39"/>
  <c r="AP102" i="39"/>
  <c r="AP132" i="39"/>
  <c r="AQ146" i="39"/>
  <c r="AP161" i="39"/>
  <c r="AQ58" i="39"/>
  <c r="AQ94" i="39"/>
  <c r="AQ139" i="39"/>
  <c r="AP152" i="39"/>
  <c r="AQ23" i="39"/>
  <c r="AP26" i="39"/>
  <c r="AP54" i="39"/>
  <c r="AP18" i="39"/>
  <c r="AQ56" i="39"/>
  <c r="AQ42" i="39"/>
  <c r="AP167" i="39"/>
  <c r="AQ63" i="39"/>
  <c r="AP210" i="39"/>
  <c r="AP165" i="39"/>
  <c r="AP49" i="39"/>
  <c r="AP10" i="39"/>
  <c r="AQ61" i="39"/>
  <c r="AP25" i="39"/>
  <c r="AQ71" i="39"/>
  <c r="AQ101" i="39"/>
  <c r="AP115" i="39"/>
  <c r="AP77" i="39"/>
  <c r="AP91" i="39"/>
  <c r="AQ137" i="39"/>
  <c r="AP57" i="39"/>
  <c r="AQ114" i="39"/>
  <c r="AP128" i="39"/>
  <c r="AP89" i="39"/>
  <c r="AQ135" i="39"/>
  <c r="AQ148" i="39"/>
  <c r="AP163" i="39"/>
  <c r="AP37" i="39"/>
  <c r="AQ112" i="39"/>
  <c r="AP154" i="39"/>
  <c r="AP116" i="39"/>
  <c r="AQ186" i="39"/>
  <c r="AQ66" i="39"/>
  <c r="AP95" i="39"/>
  <c r="AQ113" i="39"/>
  <c r="AP140" i="39"/>
  <c r="AQ177" i="39"/>
  <c r="AP24" i="39"/>
  <c r="AP27" i="39"/>
  <c r="AQ16" i="39"/>
  <c r="AQ27" i="39"/>
  <c r="AQ59" i="39"/>
  <c r="AP39" i="39"/>
  <c r="AP166" i="39"/>
  <c r="AQ237" i="39"/>
  <c r="AP214" i="39"/>
  <c r="AQ176" i="39"/>
  <c r="AP164" i="39"/>
  <c r="AQ144" i="39"/>
  <c r="AP13" i="39"/>
  <c r="AP32" i="39"/>
  <c r="AQ10" i="39"/>
  <c r="AP69" i="39"/>
  <c r="AP60" i="39"/>
  <c r="AQ78" i="39"/>
  <c r="AP92" i="39"/>
  <c r="AQ138" i="39"/>
  <c r="AQ115" i="39"/>
  <c r="AP129" i="39"/>
  <c r="AQ91" i="39"/>
  <c r="AP106" i="39"/>
  <c r="AP51" i="39"/>
  <c r="AP127" i="39"/>
  <c r="AQ47" i="39"/>
  <c r="AQ87" i="39"/>
  <c r="AQ142" i="39"/>
  <c r="AQ179" i="39"/>
  <c r="AQ80" i="39"/>
  <c r="AP117" i="39"/>
  <c r="AP138" i="39"/>
  <c r="AQ162" i="39"/>
  <c r="AP177" i="39"/>
  <c r="AP190" i="39"/>
  <c r="AP74" i="39"/>
  <c r="AQ102" i="39"/>
  <c r="AQ117" i="39"/>
  <c r="AQ153" i="39"/>
  <c r="AP168" i="39"/>
  <c r="AQ194" i="39"/>
  <c r="AQ28" i="39"/>
  <c r="AP31" i="39"/>
  <c r="AQ30" i="39"/>
  <c r="AQ12" i="39"/>
  <c r="AP36" i="39"/>
  <c r="AP231" i="39"/>
  <c r="AQ82" i="39"/>
  <c r="AQ165" i="39"/>
  <c r="AP198" i="39"/>
  <c r="AQ43" i="39"/>
  <c r="AP15" i="39"/>
  <c r="AP38" i="39"/>
  <c r="AQ13" i="39"/>
  <c r="AQ39" i="39"/>
  <c r="AP33" i="39"/>
  <c r="AP59" i="39"/>
  <c r="AQ116" i="39"/>
  <c r="AP130" i="39"/>
  <c r="AQ25" i="39"/>
  <c r="AQ92" i="39"/>
  <c r="AP107" i="39"/>
  <c r="AQ60" i="39"/>
  <c r="AP83" i="39"/>
  <c r="AQ129" i="39"/>
  <c r="AP143" i="39"/>
  <c r="AQ52" i="39"/>
  <c r="AQ90" i="39"/>
  <c r="AP105" i="39"/>
  <c r="AP68" i="39"/>
  <c r="AQ88" i="39"/>
  <c r="AQ164" i="39"/>
  <c r="AP179" i="39"/>
  <c r="AQ155" i="39"/>
  <c r="AP170" i="39"/>
  <c r="AQ46" i="39"/>
  <c r="AP81" i="39"/>
  <c r="AP139" i="39"/>
  <c r="AP153" i="39"/>
  <c r="AQ81" i="39"/>
  <c r="AP103" i="39"/>
  <c r="AP118" i="39"/>
  <c r="AQ11" i="39"/>
  <c r="AQ29" i="39"/>
  <c r="AQ38" i="39"/>
  <c r="AP34" i="39"/>
  <c r="AP70" i="39"/>
  <c r="AQ32" i="39"/>
  <c r="AP141" i="39"/>
  <c r="AQ245" i="39"/>
  <c r="AP230" i="39"/>
  <c r="AP218" i="39"/>
  <c r="AP191" i="39"/>
  <c r="AQ183" i="39"/>
  <c r="AP85" i="39"/>
  <c r="AQ118" i="39"/>
  <c r="AP16" i="39"/>
  <c r="AQ40" i="39"/>
  <c r="AP71" i="39"/>
  <c r="AP46" i="39"/>
  <c r="AP66" i="39"/>
  <c r="AQ62" i="39"/>
  <c r="AQ93" i="39"/>
  <c r="AP108" i="39"/>
  <c r="AQ31" i="39"/>
  <c r="AQ130" i="39"/>
  <c r="AQ107" i="39"/>
  <c r="AP121" i="39"/>
  <c r="AP82" i="39"/>
  <c r="AQ128" i="39"/>
  <c r="AP142" i="39"/>
  <c r="AQ89" i="39"/>
  <c r="AQ111" i="39"/>
  <c r="AP155" i="39"/>
  <c r="AP146" i="39"/>
  <c r="AP93" i="39"/>
  <c r="AQ178" i="39"/>
  <c r="AP194" i="39"/>
  <c r="AP104" i="39"/>
  <c r="AQ124" i="39"/>
  <c r="AQ169" i="39"/>
  <c r="AP184" i="39"/>
  <c r="AP19" i="39"/>
  <c r="AP40" i="39"/>
  <c r="AQ45" i="39"/>
  <c r="AQ37" i="39"/>
  <c r="AQ57" i="39"/>
  <c r="AQ234" i="39"/>
  <c r="AQ191" i="39"/>
  <c r="AQ104" i="39"/>
  <c r="AP240" i="39"/>
  <c r="AP202" i="39"/>
  <c r="AP64" i="39"/>
  <c r="AQ14" i="39"/>
  <c r="AP45" i="39"/>
  <c r="AQ72" i="39"/>
  <c r="AQ67" i="39"/>
  <c r="AQ64" i="39"/>
  <c r="AP84" i="39"/>
  <c r="AQ131" i="39"/>
  <c r="AQ36" i="39"/>
  <c r="AQ108" i="39"/>
  <c r="AP122" i="39"/>
  <c r="AP28" i="39"/>
  <c r="AP98" i="39"/>
  <c r="AQ106" i="39"/>
  <c r="AP120" i="39"/>
  <c r="AP112" i="39"/>
  <c r="AQ180" i="39"/>
  <c r="AQ171" i="39"/>
  <c r="AP186" i="39"/>
  <c r="AP94" i="39"/>
  <c r="AP124" i="39"/>
  <c r="AQ154" i="39"/>
  <c r="AP169" i="39"/>
  <c r="AP125" i="39"/>
  <c r="AQ145" i="39"/>
  <c r="AP160" i="39"/>
  <c r="AQ17" i="39"/>
  <c r="AP20" i="39"/>
  <c r="AP42" i="39"/>
  <c r="AP12" i="39"/>
  <c r="AQ41" i="39"/>
  <c r="AQ54" i="39"/>
  <c r="AQ167" i="39"/>
  <c r="AQ49" i="39"/>
  <c r="AP222" i="39"/>
  <c r="AP206" i="39"/>
  <c r="AP21" i="39"/>
  <c r="AQ21" i="39"/>
  <c r="AP67" i="39"/>
  <c r="AP52" i="39"/>
  <c r="AQ69" i="39"/>
  <c r="AP73" i="39"/>
  <c r="AQ109" i="39"/>
  <c r="AP123" i="39"/>
  <c r="AQ84" i="39"/>
  <c r="AP99" i="39"/>
  <c r="AP35" i="39"/>
  <c r="AQ122" i="39"/>
  <c r="AP135" i="39"/>
  <c r="AP63" i="39"/>
  <c r="AQ83" i="39"/>
  <c r="AP97" i="39"/>
  <c r="AQ143" i="39"/>
  <c r="AP76" i="39"/>
  <c r="AQ156" i="39"/>
  <c r="AP171" i="39"/>
  <c r="AP17" i="39"/>
  <c r="AQ76" i="39"/>
  <c r="AQ147" i="39"/>
  <c r="AP162" i="39"/>
  <c r="AP58" i="39"/>
  <c r="AP145" i="39"/>
  <c r="AQ132" i="39"/>
  <c r="AQ185" i="39"/>
  <c r="AQ18" i="39"/>
  <c r="AP22" i="39"/>
  <c r="AQ44" i="39"/>
  <c r="AP14" i="39"/>
  <c r="AP44" i="39"/>
  <c r="AP53" i="39"/>
  <c r="E22" i="42"/>
  <c r="E27" i="42"/>
  <c r="BJ283" i="39" a="1"/>
  <c r="BJ283" i="39" s="1"/>
  <c r="BK283" i="39" s="1"/>
  <c r="BJ305" i="39" a="1"/>
  <c r="BJ305" i="39" s="1"/>
  <c r="BK305" i="39" s="1"/>
  <c r="BJ327" i="39" a="1"/>
  <c r="BJ327" i="39" s="1"/>
  <c r="BK327" i="39" s="1"/>
  <c r="BJ328" i="39" a="1"/>
  <c r="BJ328" i="39" s="1"/>
  <c r="BK328" i="39" s="1"/>
  <c r="BJ337" i="39" a="1"/>
  <c r="BJ337" i="39" s="1"/>
  <c r="BK337" i="39" s="1"/>
  <c r="BJ228" i="39" a="1"/>
  <c r="BJ228" i="39" s="1"/>
  <c r="BJ281" i="39" a="1"/>
  <c r="BJ281" i="39" s="1"/>
  <c r="BK281" i="39" s="1"/>
  <c r="BJ306" i="39" a="1"/>
  <c r="BJ306" i="39" s="1"/>
  <c r="BK306" i="39" s="1"/>
  <c r="BJ295" i="39" a="1"/>
  <c r="BJ295" i="39" s="1"/>
  <c r="BK295" i="39" s="1"/>
  <c r="BJ320" i="39" a="1"/>
  <c r="BJ320" i="39" s="1"/>
  <c r="BK320" i="39" s="1"/>
  <c r="O22" i="37"/>
  <c r="O25" i="37"/>
  <c r="BJ232" i="39" a="1"/>
  <c r="BJ232" i="39" s="1"/>
  <c r="BK232" i="39" s="1"/>
  <c r="BJ236" i="39" a="1"/>
  <c r="BJ236" i="39" s="1"/>
  <c r="BK236" i="39" s="1"/>
  <c r="BJ282" i="39" a="1"/>
  <c r="BJ282" i="39" s="1"/>
  <c r="BK282" i="39" s="1"/>
  <c r="BJ176" i="39" a="1"/>
  <c r="BJ176" i="39" s="1"/>
  <c r="BK176" i="39" s="1"/>
  <c r="BJ316" i="39" a="1"/>
  <c r="BJ316" i="39" s="1"/>
  <c r="BK316" i="39" s="1"/>
  <c r="BJ288" i="39" a="1"/>
  <c r="BJ288" i="39" s="1"/>
  <c r="BK288" i="39" s="1"/>
  <c r="BJ212" i="39" a="1"/>
  <c r="BJ212" i="39" s="1"/>
  <c r="BK212" i="39" s="1"/>
  <c r="BJ340" i="39" a="1"/>
  <c r="BJ340" i="39" s="1"/>
  <c r="BK340" i="39" s="1"/>
  <c r="BJ221" i="39" a="1"/>
  <c r="BJ221" i="39" s="1"/>
  <c r="BK221" i="39" s="1"/>
  <c r="BJ284" i="39" a="1"/>
  <c r="BJ284" i="39" s="1"/>
  <c r="BK284" i="39" s="1"/>
  <c r="BJ311" i="39" a="1"/>
  <c r="BJ311" i="39" s="1"/>
  <c r="BK311" i="39" s="1"/>
  <c r="BJ342" i="39" a="1"/>
  <c r="BJ342" i="39" s="1"/>
  <c r="BK342" i="39" s="1"/>
  <c r="BJ317" i="39" a="1"/>
  <c r="BJ317" i="39" s="1"/>
  <c r="BK317" i="39" s="1"/>
  <c r="BJ292" i="39" a="1"/>
  <c r="BJ292" i="39" s="1"/>
  <c r="BK292" i="39" s="1"/>
  <c r="BJ338" i="39" a="1"/>
  <c r="BJ338" i="39" s="1"/>
  <c r="BK338" i="39" s="1"/>
  <c r="BJ339" i="39" a="1"/>
  <c r="BJ339" i="39" s="1"/>
  <c r="BK339" i="39" s="1"/>
  <c r="BJ307" i="39" a="1"/>
  <c r="BJ307" i="39" s="1"/>
  <c r="BK307" i="39" s="1"/>
  <c r="BJ152" i="39" a="1"/>
  <c r="BJ152" i="39" s="1"/>
  <c r="BK152" i="39" s="1"/>
  <c r="D8" i="42"/>
  <c r="BJ289" i="39" a="1"/>
  <c r="BJ289" i="39" s="1"/>
  <c r="BK289" i="39" s="1"/>
  <c r="BJ291" i="39" a="1"/>
  <c r="BJ291" i="39" s="1"/>
  <c r="BK291" i="39" s="1"/>
  <c r="BJ331" i="39" a="1"/>
  <c r="BJ331" i="39" s="1"/>
  <c r="BK331" i="39" s="1"/>
  <c r="BJ57" i="39" a="1"/>
  <c r="BJ57" i="39" s="1"/>
  <c r="BJ102" i="39" a="1"/>
  <c r="BJ102" i="39" s="1"/>
  <c r="BK102" i="39" s="1"/>
  <c r="BJ123" i="39" a="1"/>
  <c r="BJ123" i="39" s="1"/>
  <c r="BK123" i="39" s="1"/>
  <c r="BJ58" i="39" a="1"/>
  <c r="BJ58" i="39" s="1"/>
  <c r="BK58" i="39" s="1"/>
  <c r="BJ137" i="39" a="1"/>
  <c r="BJ137" i="39" s="1"/>
  <c r="BK137" i="39" s="1"/>
  <c r="BJ146" i="39" a="1"/>
  <c r="BJ146" i="39" s="1"/>
  <c r="BK146" i="39" s="1"/>
  <c r="BJ100" i="39" a="1"/>
  <c r="BJ100" i="39" s="1"/>
  <c r="BK100" i="39" s="1"/>
  <c r="BJ165" i="39" a="1"/>
  <c r="BJ165" i="39" s="1"/>
  <c r="BK165" i="39" s="1"/>
  <c r="BJ290" i="39" a="1"/>
  <c r="BJ290" i="39" s="1"/>
  <c r="BK290" i="39" s="1"/>
  <c r="BJ129" i="39" a="1"/>
  <c r="BJ129" i="39" s="1"/>
  <c r="BK129" i="39" s="1"/>
  <c r="BJ187" i="39" a="1"/>
  <c r="BJ187" i="39" s="1"/>
  <c r="BK187" i="39" s="1"/>
  <c r="BJ215" i="39" a="1"/>
  <c r="BJ215" i="39" s="1"/>
  <c r="BK215" i="39" s="1"/>
  <c r="BJ218" i="39" a="1"/>
  <c r="BJ218" i="39" s="1"/>
  <c r="BK218" i="39" s="1"/>
  <c r="BJ112" i="39" a="1"/>
  <c r="BJ112" i="39" s="1"/>
  <c r="BK112" i="39" s="1"/>
  <c r="Y9" i="39"/>
  <c r="Y79" i="39"/>
  <c r="Y166" i="39"/>
  <c r="Y200" i="39"/>
  <c r="Y189" i="39"/>
  <c r="Y214" i="39"/>
  <c r="Y230" i="39"/>
  <c r="Y54" i="39"/>
  <c r="Y192" i="39"/>
  <c r="Y210" i="39"/>
  <c r="Y218" i="39"/>
  <c r="Y226" i="39"/>
  <c r="Y10" i="39"/>
  <c r="Y80" i="39"/>
  <c r="Y139" i="39"/>
  <c r="Y196" i="39"/>
  <c r="Y202" i="39"/>
  <c r="Y206" i="39"/>
  <c r="Y213" i="39"/>
  <c r="Y222" i="39"/>
  <c r="Y89" i="39"/>
  <c r="Y144" i="39"/>
  <c r="Y165" i="39"/>
  <c r="Y168" i="39"/>
  <c r="Y183" i="39"/>
  <c r="Y209" i="39"/>
  <c r="Y217" i="39"/>
  <c r="Y224" i="39"/>
  <c r="Y225" i="39"/>
  <c r="Y229" i="39"/>
  <c r="Y232" i="39"/>
  <c r="Y34" i="39"/>
  <c r="Y81" i="39"/>
  <c r="Y113" i="39"/>
  <c r="Y208" i="39"/>
  <c r="Y212" i="39"/>
  <c r="Y221" i="39"/>
  <c r="Y228" i="39"/>
  <c r="Y201" i="39"/>
  <c r="Y216" i="39"/>
  <c r="Y220" i="39"/>
  <c r="Y244" i="39"/>
  <c r="Y247" i="39"/>
  <c r="Y252" i="39"/>
  <c r="Y258" i="39"/>
  <c r="Y259" i="39"/>
  <c r="Y265" i="39"/>
  <c r="Y272" i="39"/>
  <c r="Y279" i="39"/>
  <c r="Y286" i="39"/>
  <c r="Y287" i="39"/>
  <c r="Y311" i="39"/>
  <c r="Y316" i="39"/>
  <c r="Y320" i="39"/>
  <c r="Y326" i="39"/>
  <c r="Y335" i="39"/>
  <c r="Y240" i="39"/>
  <c r="Y253" i="39"/>
  <c r="Y260" i="39"/>
  <c r="Y266" i="39"/>
  <c r="Y273" i="39"/>
  <c r="Y274" i="39"/>
  <c r="Y280" i="39"/>
  <c r="Y281" i="39"/>
  <c r="Y292" i="39"/>
  <c r="Y296" i="39"/>
  <c r="Y313" i="39"/>
  <c r="Y324" i="39"/>
  <c r="Y333" i="39"/>
  <c r="Y340" i="39"/>
  <c r="Y344" i="39"/>
  <c r="Y351" i="39"/>
  <c r="Y239" i="39"/>
  <c r="Y248" i="39"/>
  <c r="Y267" i="39"/>
  <c r="Y275" i="39"/>
  <c r="Y282" i="39"/>
  <c r="Y288" i="39"/>
  <c r="Y304" i="39"/>
  <c r="Y308" i="39"/>
  <c r="Y317" i="39"/>
  <c r="Y321" i="39"/>
  <c r="Y322" i="39"/>
  <c r="Y329" i="39"/>
  <c r="Y331" i="39"/>
  <c r="Y342" i="39"/>
  <c r="Y349" i="39"/>
  <c r="Y234" i="39"/>
  <c r="Y238" i="39"/>
  <c r="Y293" i="39"/>
  <c r="Y297" i="39"/>
  <c r="Y300" i="39"/>
  <c r="Y314" i="39"/>
  <c r="Y338" i="39"/>
  <c r="Y347" i="39"/>
  <c r="Y233" i="39"/>
  <c r="Y249" i="39"/>
  <c r="Y250" i="39"/>
  <c r="Y254" i="39"/>
  <c r="Y255" i="39"/>
  <c r="Y256" i="39"/>
  <c r="Y261" i="39"/>
  <c r="Y262" i="39"/>
  <c r="Y263" i="39"/>
  <c r="Y268" i="39"/>
  <c r="Y276" i="39"/>
  <c r="Y283" i="39"/>
  <c r="Y284" i="39"/>
  <c r="Y289" i="39"/>
  <c r="Y290" i="39"/>
  <c r="Y294" i="39"/>
  <c r="Y295" i="39"/>
  <c r="Y309" i="39"/>
  <c r="Y325" i="39"/>
  <c r="Y327" i="39"/>
  <c r="Y332" i="39"/>
  <c r="Y334" i="39"/>
  <c r="Y336" i="39"/>
  <c r="Y345" i="39"/>
  <c r="Y236" i="39"/>
  <c r="Y237" i="39"/>
  <c r="Y242" i="39"/>
  <c r="Y269" i="39"/>
  <c r="Y270" i="39"/>
  <c r="Y277" i="39"/>
  <c r="Y285" i="39"/>
  <c r="Y301" i="39"/>
  <c r="Y305" i="39"/>
  <c r="Y318" i="39"/>
  <c r="Y251" i="39"/>
  <c r="Y264" i="39"/>
  <c r="Y271" i="39"/>
  <c r="Y278" i="39"/>
  <c r="Y291" i="39"/>
  <c r="Y302" i="39"/>
  <c r="Y303" i="39"/>
  <c r="Y306" i="39"/>
  <c r="Y312" i="39"/>
  <c r="Y323" i="39"/>
  <c r="Y330" i="39"/>
  <c r="Y339" i="39"/>
  <c r="Y343" i="39"/>
  <c r="Y348" i="39"/>
  <c r="Y350" i="39"/>
  <c r="Y245" i="39"/>
  <c r="Y246" i="39"/>
  <c r="Y257" i="39"/>
  <c r="Y298" i="39"/>
  <c r="Y299" i="39"/>
  <c r="Y307" i="39"/>
  <c r="Y310" i="39"/>
  <c r="Y315" i="39"/>
  <c r="Y319" i="39"/>
  <c r="Y328" i="39"/>
  <c r="Y337" i="39"/>
  <c r="Y341" i="39"/>
  <c r="Y346" i="39"/>
  <c r="Y197" i="39"/>
  <c r="Y132" i="39"/>
  <c r="Y205" i="39"/>
  <c r="Y193" i="39"/>
  <c r="Y204" i="39"/>
  <c r="Y167" i="39"/>
  <c r="Y174" i="39"/>
  <c r="Y241" i="39"/>
  <c r="Y160" i="39"/>
  <c r="Y215" i="39"/>
  <c r="Y211" i="39"/>
  <c r="Y182" i="39"/>
  <c r="Y219" i="39"/>
  <c r="Y198" i="39"/>
  <c r="Y184" i="39"/>
  <c r="Y227" i="39"/>
  <c r="Y223" i="39"/>
  <c r="Y112" i="39"/>
  <c r="Y231" i="39"/>
  <c r="Y176" i="39"/>
  <c r="Y14" i="39"/>
  <c r="Y188" i="39"/>
  <c r="Y235" i="39"/>
  <c r="Y152" i="39"/>
  <c r="Y149" i="39"/>
  <c r="Y55" i="39"/>
  <c r="Y22" i="39"/>
  <c r="Y16" i="39"/>
  <c r="Y38" i="39"/>
  <c r="Y21" i="39"/>
  <c r="Y17" i="39"/>
  <c r="Y47" i="39"/>
  <c r="Y68" i="39"/>
  <c r="Y70" i="39"/>
  <c r="Y100" i="39"/>
  <c r="Y136" i="39"/>
  <c r="Y98" i="39"/>
  <c r="Y172" i="39"/>
  <c r="Y29" i="39"/>
  <c r="Y163" i="39"/>
  <c r="Y146" i="39"/>
  <c r="Y86" i="39"/>
  <c r="Y94" i="39"/>
  <c r="Y243" i="39"/>
  <c r="Y151" i="39"/>
  <c r="Y60" i="39"/>
  <c r="Y23" i="39"/>
  <c r="Y25" i="39"/>
  <c r="Y41" i="39"/>
  <c r="Y27" i="39"/>
  <c r="Y61" i="39"/>
  <c r="Y24" i="39"/>
  <c r="Y56" i="39"/>
  <c r="Y35" i="39"/>
  <c r="Y76" i="39"/>
  <c r="Y101" i="39"/>
  <c r="Y74" i="39"/>
  <c r="Y137" i="39"/>
  <c r="Y114" i="39"/>
  <c r="Y135" i="39"/>
  <c r="Y125" i="39"/>
  <c r="Y148" i="39"/>
  <c r="Y30" i="39"/>
  <c r="Y186" i="39"/>
  <c r="Y110" i="39"/>
  <c r="Y177" i="39"/>
  <c r="Y191" i="39"/>
  <c r="Y150" i="39"/>
  <c r="Y26" i="39"/>
  <c r="Y57" i="39"/>
  <c r="Y31" i="39"/>
  <c r="Y50" i="39"/>
  <c r="Y69" i="39"/>
  <c r="Y39" i="39"/>
  <c r="Y78" i="39"/>
  <c r="Y138" i="39"/>
  <c r="Y115" i="39"/>
  <c r="Y91" i="39"/>
  <c r="Y48" i="39"/>
  <c r="Y82" i="39"/>
  <c r="Y103" i="39"/>
  <c r="Y118" i="39"/>
  <c r="Y126" i="39"/>
  <c r="Y179" i="39"/>
  <c r="Y190" i="39"/>
  <c r="Y134" i="39"/>
  <c r="Y162" i="39"/>
  <c r="Y153" i="39"/>
  <c r="Y46" i="39"/>
  <c r="Y157" i="39"/>
  <c r="Y124" i="39"/>
  <c r="Y40" i="39"/>
  <c r="Y28" i="39"/>
  <c r="Y45" i="39"/>
  <c r="Y59" i="39"/>
  <c r="Y36" i="39"/>
  <c r="Y52" i="39"/>
  <c r="Y116" i="39"/>
  <c r="Y64" i="39"/>
  <c r="Y92" i="39"/>
  <c r="Y129" i="39"/>
  <c r="Y90" i="39"/>
  <c r="Y95" i="39"/>
  <c r="Y104" i="39"/>
  <c r="Y119" i="39"/>
  <c r="Y140" i="39"/>
  <c r="Y164" i="39"/>
  <c r="Y155" i="39"/>
  <c r="Y142" i="39"/>
  <c r="Y194" i="39"/>
  <c r="Y173" i="39"/>
  <c r="Y87" i="39"/>
  <c r="Y159" i="39"/>
  <c r="Y18" i="39"/>
  <c r="Y42" i="39"/>
  <c r="Y51" i="39"/>
  <c r="Y65" i="39"/>
  <c r="Y71" i="39"/>
  <c r="Y93" i="39"/>
  <c r="Y130" i="39"/>
  <c r="Y107" i="39"/>
  <c r="Y128" i="39"/>
  <c r="Y96" i="39"/>
  <c r="Y105" i="39"/>
  <c r="Y141" i="39"/>
  <c r="Y58" i="39"/>
  <c r="Y120" i="39"/>
  <c r="Y178" i="39"/>
  <c r="Y169" i="39"/>
  <c r="Y195" i="39"/>
  <c r="Y207" i="39"/>
  <c r="Y158" i="39"/>
  <c r="Y20" i="39"/>
  <c r="Y44" i="39"/>
  <c r="Y32" i="39"/>
  <c r="Y131" i="39"/>
  <c r="Y108" i="39"/>
  <c r="Y106" i="39"/>
  <c r="Y180" i="39"/>
  <c r="Y63" i="39"/>
  <c r="Y171" i="39"/>
  <c r="Y49" i="39"/>
  <c r="Y154" i="39"/>
  <c r="Y145" i="39"/>
  <c r="Y175" i="39"/>
  <c r="Y102" i="39"/>
  <c r="Y37" i="39"/>
  <c r="Y15" i="39"/>
  <c r="Y67" i="39"/>
  <c r="Y12" i="39"/>
  <c r="Y109" i="39"/>
  <c r="Y72" i="39"/>
  <c r="Y84" i="39"/>
  <c r="Y66" i="39"/>
  <c r="Y122" i="39"/>
  <c r="Y62" i="39"/>
  <c r="Y83" i="39"/>
  <c r="Y143" i="39"/>
  <c r="Y75" i="39"/>
  <c r="Y133" i="39"/>
  <c r="Y156" i="39"/>
  <c r="Y147" i="39"/>
  <c r="Y185" i="39"/>
  <c r="Y203" i="39"/>
  <c r="Y199" i="39"/>
  <c r="Y181" i="39"/>
  <c r="Y77" i="39"/>
  <c r="Y117" i="39"/>
  <c r="Y111" i="39"/>
  <c r="Y88" i="39"/>
  <c r="Y19" i="39"/>
  <c r="Y13" i="39"/>
  <c r="Y53" i="39"/>
  <c r="Y85" i="39"/>
  <c r="Y43" i="39"/>
  <c r="Y73" i="39"/>
  <c r="Y123" i="39"/>
  <c r="Y99" i="39"/>
  <c r="Y11" i="39"/>
  <c r="Y121" i="39"/>
  <c r="Y187" i="39"/>
  <c r="Y97" i="39"/>
  <c r="Y127" i="39"/>
  <c r="Y170" i="39"/>
  <c r="Y33" i="39"/>
  <c r="Y161" i="39"/>
  <c r="AK154" i="39"/>
  <c r="AK162" i="39"/>
  <c r="AK193" i="39"/>
  <c r="AK164" i="39"/>
  <c r="AK195" i="39"/>
  <c r="AK198" i="39"/>
  <c r="AJ227" i="39"/>
  <c r="AJ231" i="39"/>
  <c r="AK85" i="39"/>
  <c r="AK197" i="39"/>
  <c r="AK207" i="39"/>
  <c r="AK211" i="39"/>
  <c r="AJ215" i="39"/>
  <c r="AK227" i="39"/>
  <c r="AK231" i="39"/>
  <c r="AK38" i="39"/>
  <c r="AJ100" i="39"/>
  <c r="AJ123" i="39"/>
  <c r="AJ130" i="39"/>
  <c r="AJ203" i="39"/>
  <c r="AK215" i="39"/>
  <c r="AJ219" i="39"/>
  <c r="AK70" i="39"/>
  <c r="AK136" i="39"/>
  <c r="AJ163" i="39"/>
  <c r="AJ199" i="39"/>
  <c r="AK203" i="39"/>
  <c r="AJ210" i="39"/>
  <c r="AJ214" i="39"/>
  <c r="AJ161" i="39"/>
  <c r="AK163" i="39"/>
  <c r="AJ190" i="39"/>
  <c r="AJ194" i="39"/>
  <c r="AK199" i="39"/>
  <c r="AK210" i="39"/>
  <c r="AK213" i="39"/>
  <c r="AK214" i="39"/>
  <c r="AK218" i="39"/>
  <c r="AK222" i="39"/>
  <c r="AJ226" i="39"/>
  <c r="AJ129" i="39"/>
  <c r="AJ137" i="39"/>
  <c r="AK188" i="39"/>
  <c r="AK190" i="39"/>
  <c r="AJ202" i="39"/>
  <c r="AK209" i="39"/>
  <c r="AK225" i="39"/>
  <c r="AK226" i="39"/>
  <c r="AK56" i="39"/>
  <c r="AK129" i="39"/>
  <c r="AJ154" i="39"/>
  <c r="AJ186" i="39"/>
  <c r="AK221" i="39"/>
  <c r="AJ241" i="39"/>
  <c r="AJ245" i="39"/>
  <c r="AK250" i="39"/>
  <c r="AK256" i="39"/>
  <c r="AK263" i="39"/>
  <c r="AK270" i="39"/>
  <c r="AK277" i="39"/>
  <c r="AK290" i="39"/>
  <c r="AK295" i="39"/>
  <c r="AJ298" i="39"/>
  <c r="AJ301" i="39"/>
  <c r="AK302" i="39"/>
  <c r="AJ306" i="39"/>
  <c r="AK309" i="39"/>
  <c r="AK318" i="39"/>
  <c r="AK325" i="39"/>
  <c r="AK327" i="39"/>
  <c r="AK332" i="39"/>
  <c r="AK334" i="39"/>
  <c r="AK336" i="39"/>
  <c r="AK345" i="39"/>
  <c r="AK244" i="39"/>
  <c r="AK245" i="39"/>
  <c r="AJ251" i="39"/>
  <c r="AJ264" i="39"/>
  <c r="AJ271" i="39"/>
  <c r="AJ278" i="39"/>
  <c r="AK285" i="39"/>
  <c r="AJ291" i="39"/>
  <c r="AK298" i="39"/>
  <c r="AJ303" i="39"/>
  <c r="AK306" i="39"/>
  <c r="AJ312" i="39"/>
  <c r="AK315" i="39"/>
  <c r="AK319" i="39"/>
  <c r="AJ323" i="39"/>
  <c r="AJ330" i="39"/>
  <c r="AJ339" i="39"/>
  <c r="AJ343" i="39"/>
  <c r="AJ348" i="39"/>
  <c r="AJ350" i="39"/>
  <c r="AK235" i="39"/>
  <c r="AJ246" i="39"/>
  <c r="AK251" i="39"/>
  <c r="AJ257" i="39"/>
  <c r="AK258" i="39"/>
  <c r="AJ259" i="39"/>
  <c r="AK264" i="39"/>
  <c r="AK271" i="39"/>
  <c r="AK278" i="39"/>
  <c r="AK286" i="39"/>
  <c r="AK291" i="39"/>
  <c r="AJ299" i="39"/>
  <c r="AK303" i="39"/>
  <c r="AJ307" i="39"/>
  <c r="AJ311" i="39"/>
  <c r="AK312" i="39"/>
  <c r="AK323" i="39"/>
  <c r="AJ328" i="39"/>
  <c r="AK330" i="39"/>
  <c r="AJ337" i="39"/>
  <c r="AK339" i="39"/>
  <c r="AJ341" i="39"/>
  <c r="AK343" i="39"/>
  <c r="AJ346" i="39"/>
  <c r="AK348" i="39"/>
  <c r="AK350" i="39"/>
  <c r="AJ240" i="39"/>
  <c r="AJ243" i="39"/>
  <c r="AJ247" i="39"/>
  <c r="AK259" i="39"/>
  <c r="AJ266" i="39"/>
  <c r="AJ272" i="39"/>
  <c r="AK273" i="39"/>
  <c r="AJ274" i="39"/>
  <c r="AJ279" i="39"/>
  <c r="AK280" i="39"/>
  <c r="AJ281" i="39"/>
  <c r="AJ287" i="39"/>
  <c r="AJ296" i="39"/>
  <c r="AK299" i="39"/>
  <c r="AK307" i="39"/>
  <c r="AK311" i="39"/>
  <c r="AK313" i="39"/>
  <c r="AJ316" i="39"/>
  <c r="AJ320" i="39"/>
  <c r="AJ326" i="39"/>
  <c r="AK328" i="39"/>
  <c r="AJ335" i="39"/>
  <c r="AK337" i="39"/>
  <c r="AK341" i="39"/>
  <c r="AK346" i="39"/>
  <c r="AJ239" i="39"/>
  <c r="AK240" i="39"/>
  <c r="AK243" i="39"/>
  <c r="AK247" i="39"/>
  <c r="AJ253" i="39"/>
  <c r="AJ260" i="39"/>
  <c r="AK266" i="39"/>
  <c r="AK274" i="39"/>
  <c r="AK281" i="39"/>
  <c r="AK287" i="39"/>
  <c r="AJ292" i="39"/>
  <c r="AK296" i="39"/>
  <c r="AK308" i="39"/>
  <c r="AK316" i="39"/>
  <c r="AK320" i="39"/>
  <c r="AJ324" i="39"/>
  <c r="AK326" i="39"/>
  <c r="AJ333" i="39"/>
  <c r="AK335" i="39"/>
  <c r="AJ340" i="39"/>
  <c r="AJ344" i="39"/>
  <c r="AJ351" i="39"/>
  <c r="AK233" i="39"/>
  <c r="AJ234" i="39"/>
  <c r="AJ248" i="39"/>
  <c r="AJ249" i="39"/>
  <c r="AK253" i="39"/>
  <c r="AJ255" i="39"/>
  <c r="AK260" i="39"/>
  <c r="AJ262" i="39"/>
  <c r="AJ267" i="39"/>
  <c r="AJ275" i="39"/>
  <c r="AJ282" i="39"/>
  <c r="AJ288" i="39"/>
  <c r="AK292" i="39"/>
  <c r="AJ304" i="39"/>
  <c r="AJ317" i="39"/>
  <c r="AJ321" i="39"/>
  <c r="AJ322" i="39"/>
  <c r="AK324" i="39"/>
  <c r="AJ329" i="39"/>
  <c r="AJ331" i="39"/>
  <c r="AK333" i="39"/>
  <c r="AK340" i="39"/>
  <c r="AJ342" i="39"/>
  <c r="AK344" i="39"/>
  <c r="AJ349" i="39"/>
  <c r="AK351" i="39"/>
  <c r="AK234" i="39"/>
  <c r="AJ238" i="39"/>
  <c r="AK242" i="39"/>
  <c r="AK249" i="39"/>
  <c r="AK255" i="39"/>
  <c r="AK262" i="39"/>
  <c r="AK267" i="39"/>
  <c r="AK275" i="39"/>
  <c r="AK282" i="39"/>
  <c r="AJ284" i="39"/>
  <c r="AK288" i="39"/>
  <c r="AK289" i="39"/>
  <c r="AJ293" i="39"/>
  <c r="AK294" i="39"/>
  <c r="AJ297" i="39"/>
  <c r="AJ300" i="39"/>
  <c r="AK304" i="39"/>
  <c r="AJ314" i="39"/>
  <c r="AK322" i="39"/>
  <c r="AK329" i="39"/>
  <c r="AK331" i="39"/>
  <c r="AJ338" i="39"/>
  <c r="AK342" i="39"/>
  <c r="AJ347" i="39"/>
  <c r="AK349" i="39"/>
  <c r="AJ237" i="39"/>
  <c r="AJ250" i="39"/>
  <c r="AJ256" i="39"/>
  <c r="AJ263" i="39"/>
  <c r="AJ268" i="39"/>
  <c r="AK269" i="39"/>
  <c r="AJ270" i="39"/>
  <c r="AJ277" i="39"/>
  <c r="AK284" i="39"/>
  <c r="AJ290" i="39"/>
  <c r="AJ295" i="39"/>
  <c r="AK297" i="39"/>
  <c r="AK300" i="39"/>
  <c r="AJ302" i="39"/>
  <c r="AJ309" i="39"/>
  <c r="AK314" i="39"/>
  <c r="AJ318" i="39"/>
  <c r="AJ325" i="39"/>
  <c r="AJ327" i="39"/>
  <c r="AJ332" i="39"/>
  <c r="AJ334" i="39"/>
  <c r="AJ336" i="39"/>
  <c r="AK338" i="39"/>
  <c r="AJ345" i="39"/>
  <c r="AK347" i="39"/>
  <c r="AK276" i="39"/>
  <c r="AK261" i="39"/>
  <c r="AK223" i="39"/>
  <c r="AK321" i="39"/>
  <c r="AK268" i="39"/>
  <c r="AJ252" i="39"/>
  <c r="AJ230" i="39"/>
  <c r="AK202" i="39"/>
  <c r="AK246" i="39"/>
  <c r="AK219" i="39"/>
  <c r="AJ319" i="39"/>
  <c r="AK310" i="39"/>
  <c r="AJ289" i="39"/>
  <c r="AJ222" i="39"/>
  <c r="AJ193" i="39"/>
  <c r="AJ283" i="39"/>
  <c r="AJ265" i="39"/>
  <c r="AK201" i="39"/>
  <c r="AJ218" i="39"/>
  <c r="AJ207" i="39"/>
  <c r="AJ308" i="39"/>
  <c r="AJ286" i="39"/>
  <c r="AJ273" i="39"/>
  <c r="AJ258" i="39"/>
  <c r="AK114" i="39"/>
  <c r="AK317" i="39"/>
  <c r="AJ305" i="39"/>
  <c r="AK248" i="39"/>
  <c r="AK217" i="39"/>
  <c r="AK194" i="39"/>
  <c r="AJ211" i="39"/>
  <c r="AJ189" i="39"/>
  <c r="AK108" i="39"/>
  <c r="AK279" i="39"/>
  <c r="AJ261" i="39"/>
  <c r="AJ223" i="39"/>
  <c r="AK305" i="39"/>
  <c r="AK283" i="39"/>
  <c r="AJ269" i="39"/>
  <c r="AK254" i="39"/>
  <c r="AJ235" i="39"/>
  <c r="AK185" i="39"/>
  <c r="AK293" i="39"/>
  <c r="AJ276" i="39"/>
  <c r="AJ146" i="39"/>
  <c r="AK230" i="39"/>
  <c r="AJ191" i="39"/>
  <c r="AJ315" i="39"/>
  <c r="AK252" i="39"/>
  <c r="AK229" i="39"/>
  <c r="AK206" i="39"/>
  <c r="AJ93" i="39"/>
  <c r="AK257" i="39"/>
  <c r="AK238" i="39"/>
  <c r="AJ114" i="39"/>
  <c r="AJ164" i="39"/>
  <c r="AJ313" i="39"/>
  <c r="AJ294" i="39"/>
  <c r="AJ280" i="39"/>
  <c r="AK265" i="39"/>
  <c r="AK205" i="39"/>
  <c r="AJ153" i="39"/>
  <c r="AK301" i="39"/>
  <c r="AK272" i="39"/>
  <c r="AK237" i="39"/>
  <c r="AK68" i="39"/>
  <c r="AJ188" i="39"/>
  <c r="AK146" i="39"/>
  <c r="AJ310" i="39"/>
  <c r="AJ254" i="39"/>
  <c r="AJ206" i="39"/>
  <c r="AK165" i="39"/>
  <c r="AJ198" i="39"/>
  <c r="AJ101" i="39"/>
  <c r="AJ116" i="39"/>
  <c r="AK224" i="39"/>
  <c r="AK220" i="39"/>
  <c r="AJ209" i="39"/>
  <c r="AK173" i="39"/>
  <c r="AJ185" i="39"/>
  <c r="AJ162" i="39"/>
  <c r="AJ145" i="39"/>
  <c r="AJ115" i="39"/>
  <c r="AJ213" i="39"/>
  <c r="AK172" i="39"/>
  <c r="AJ91" i="39"/>
  <c r="AK228" i="39"/>
  <c r="AK86" i="39"/>
  <c r="AK239" i="39"/>
  <c r="AJ229" i="39"/>
  <c r="AK181" i="39"/>
  <c r="AK171" i="39"/>
  <c r="AK62" i="39"/>
  <c r="AK236" i="39"/>
  <c r="AK232" i="39"/>
  <c r="AJ195" i="39"/>
  <c r="AJ136" i="39"/>
  <c r="AJ217" i="39"/>
  <c r="AJ197" i="39"/>
  <c r="AK180" i="39"/>
  <c r="AK170" i="39"/>
  <c r="AK109" i="39"/>
  <c r="AK204" i="39"/>
  <c r="AJ233" i="39"/>
  <c r="AJ201" i="39"/>
  <c r="AK179" i="39"/>
  <c r="AJ169" i="39"/>
  <c r="AJ142" i="39"/>
  <c r="AK208" i="39"/>
  <c r="AJ221" i="39"/>
  <c r="AJ205" i="39"/>
  <c r="AK178" i="39"/>
  <c r="AJ106" i="39"/>
  <c r="AK216" i="39"/>
  <c r="AK212" i="39"/>
  <c r="AK189" i="39"/>
  <c r="AJ180" i="39"/>
  <c r="AJ131" i="39"/>
  <c r="AJ99" i="39"/>
  <c r="AJ244" i="39"/>
  <c r="AK155" i="39"/>
  <c r="AJ138" i="39"/>
  <c r="AJ135" i="39"/>
  <c r="AK26" i="39"/>
  <c r="AK25" i="39"/>
  <c r="AK22" i="39"/>
  <c r="AK75" i="39"/>
  <c r="AJ113" i="39"/>
  <c r="AK135" i="39"/>
  <c r="AK51" i="39"/>
  <c r="AJ88" i="39"/>
  <c r="AK113" i="39"/>
  <c r="AK43" i="39"/>
  <c r="AK88" i="39"/>
  <c r="AJ125" i="39"/>
  <c r="AJ74" i="39"/>
  <c r="AJ86" i="39"/>
  <c r="AK111" i="39"/>
  <c r="AK92" i="39"/>
  <c r="AK101" i="39"/>
  <c r="AK116" i="39"/>
  <c r="AK124" i="39"/>
  <c r="AK137" i="39"/>
  <c r="AJ160" i="39"/>
  <c r="AJ151" i="39"/>
  <c r="AK176" i="39"/>
  <c r="AK159" i="39"/>
  <c r="AJ109" i="39"/>
  <c r="AK150" i="39"/>
  <c r="AK14" i="39"/>
  <c r="AJ11" i="39"/>
  <c r="AJ15" i="39"/>
  <c r="AJ19" i="39"/>
  <c r="AJ23" i="39"/>
  <c r="AJ27" i="39"/>
  <c r="AJ31" i="39"/>
  <c r="AJ35" i="39"/>
  <c r="AJ39" i="39"/>
  <c r="AJ43" i="39"/>
  <c r="AJ47" i="39"/>
  <c r="AJ51" i="39"/>
  <c r="AJ55" i="39"/>
  <c r="AJ59" i="39"/>
  <c r="AJ63" i="39"/>
  <c r="AJ67" i="39"/>
  <c r="AJ71" i="39"/>
  <c r="AJ179" i="39"/>
  <c r="AJ228" i="39"/>
  <c r="AJ216" i="39"/>
  <c r="AJ148" i="39"/>
  <c r="AK107" i="39"/>
  <c r="AK41" i="39"/>
  <c r="AK29" i="39"/>
  <c r="AJ89" i="39"/>
  <c r="AK55" i="39"/>
  <c r="AK89" i="39"/>
  <c r="AJ126" i="39"/>
  <c r="AJ103" i="39"/>
  <c r="AK126" i="39"/>
  <c r="AK39" i="39"/>
  <c r="AK87" i="39"/>
  <c r="AJ124" i="39"/>
  <c r="AK93" i="39"/>
  <c r="AK102" i="39"/>
  <c r="AK117" i="39"/>
  <c r="AK138" i="39"/>
  <c r="AK161" i="39"/>
  <c r="AK152" i="39"/>
  <c r="AK73" i="39"/>
  <c r="AJ174" i="39"/>
  <c r="AJ165" i="39"/>
  <c r="AJ242" i="39"/>
  <c r="AJ187" i="39"/>
  <c r="AJ178" i="39"/>
  <c r="AJ200" i="39"/>
  <c r="AJ177" i="39"/>
  <c r="AJ147" i="39"/>
  <c r="AJ83" i="39"/>
  <c r="AK27" i="39"/>
  <c r="AK44" i="39"/>
  <c r="AK33" i="39"/>
  <c r="AK35" i="39"/>
  <c r="AK59" i="39"/>
  <c r="AK90" i="39"/>
  <c r="AJ127" i="39"/>
  <c r="AK60" i="39"/>
  <c r="AJ104" i="39"/>
  <c r="AK127" i="39"/>
  <c r="AJ80" i="39"/>
  <c r="AK104" i="39"/>
  <c r="AJ140" i="39"/>
  <c r="AK76" i="39"/>
  <c r="AJ102" i="39"/>
  <c r="AK125" i="39"/>
  <c r="AK42" i="39"/>
  <c r="AK94" i="39"/>
  <c r="AK139" i="39"/>
  <c r="AJ176" i="39"/>
  <c r="AJ167" i="39"/>
  <c r="AJ75" i="39"/>
  <c r="AJ150" i="39"/>
  <c r="AK175" i="39"/>
  <c r="AK166" i="39"/>
  <c r="AK192" i="39"/>
  <c r="AK32" i="39"/>
  <c r="AK10" i="39"/>
  <c r="AJ12" i="39"/>
  <c r="AJ16" i="39"/>
  <c r="AJ20" i="39"/>
  <c r="AJ24" i="39"/>
  <c r="AJ28" i="39"/>
  <c r="AJ32" i="39"/>
  <c r="AJ36" i="39"/>
  <c r="AJ40" i="39"/>
  <c r="AJ44" i="39"/>
  <c r="AJ48" i="39"/>
  <c r="AJ52" i="39"/>
  <c r="AJ56" i="39"/>
  <c r="AJ60" i="39"/>
  <c r="AJ64" i="39"/>
  <c r="AJ68" i="39"/>
  <c r="AJ72" i="39"/>
  <c r="AJ220" i="39"/>
  <c r="AJ204" i="39"/>
  <c r="AK186" i="39"/>
  <c r="AK149" i="39"/>
  <c r="AK110" i="39"/>
  <c r="AK79" i="39"/>
  <c r="AK36" i="39"/>
  <c r="AK63" i="39"/>
  <c r="AK31" i="39"/>
  <c r="AJ73" i="39"/>
  <c r="AJ105" i="39"/>
  <c r="AK128" i="39"/>
  <c r="AJ81" i="39"/>
  <c r="AK105" i="39"/>
  <c r="AJ141" i="39"/>
  <c r="AK58" i="39"/>
  <c r="AK81" i="39"/>
  <c r="AJ118" i="39"/>
  <c r="AK141" i="39"/>
  <c r="AJ79" i="39"/>
  <c r="AK103" i="39"/>
  <c r="AJ139" i="39"/>
  <c r="AK130" i="39"/>
  <c r="AJ152" i="39"/>
  <c r="AK177" i="39"/>
  <c r="AK45" i="39"/>
  <c r="AK168" i="39"/>
  <c r="AK191" i="39"/>
  <c r="AK151" i="39"/>
  <c r="AJ181" i="39"/>
  <c r="AK200" i="39"/>
  <c r="AK241" i="39"/>
  <c r="AJ232" i="39"/>
  <c r="AK148" i="39"/>
  <c r="AJ128" i="39"/>
  <c r="AJ156" i="39"/>
  <c r="AK30" i="39"/>
  <c r="AK48" i="39"/>
  <c r="AK64" i="39"/>
  <c r="AK65" i="39"/>
  <c r="AJ76" i="39"/>
  <c r="AJ82" i="39"/>
  <c r="AK106" i="39"/>
  <c r="AK67" i="39"/>
  <c r="AK82" i="39"/>
  <c r="AJ119" i="39"/>
  <c r="AK23" i="39"/>
  <c r="AJ95" i="39"/>
  <c r="AK119" i="39"/>
  <c r="AK80" i="39"/>
  <c r="AJ117" i="39"/>
  <c r="AK140" i="39"/>
  <c r="AJ121" i="39"/>
  <c r="AK131" i="39"/>
  <c r="AK153" i="39"/>
  <c r="AJ144" i="39"/>
  <c r="AJ183" i="39"/>
  <c r="AJ166" i="39"/>
  <c r="AJ192" i="39"/>
  <c r="AK143" i="39"/>
  <c r="AJ157" i="39"/>
  <c r="AK182" i="39"/>
  <c r="AJ13" i="39"/>
  <c r="AJ17" i="39"/>
  <c r="AJ21" i="39"/>
  <c r="AJ25" i="39"/>
  <c r="AJ29" i="39"/>
  <c r="AJ33" i="39"/>
  <c r="AJ37" i="39"/>
  <c r="AJ41" i="39"/>
  <c r="AJ45" i="39"/>
  <c r="AJ49" i="39"/>
  <c r="AJ53" i="39"/>
  <c r="AJ57" i="39"/>
  <c r="AJ61" i="39"/>
  <c r="AJ65" i="39"/>
  <c r="AJ69" i="39"/>
  <c r="AK187" i="39"/>
  <c r="AJ184" i="39"/>
  <c r="AJ172" i="39"/>
  <c r="AK84" i="39"/>
  <c r="AJ224" i="39"/>
  <c r="AK147" i="39"/>
  <c r="AJ155" i="39"/>
  <c r="AJ92" i="39"/>
  <c r="AK11" i="39"/>
  <c r="AK49" i="39"/>
  <c r="AK13" i="39"/>
  <c r="AK16" i="39"/>
  <c r="AK40" i="39"/>
  <c r="AK66" i="39"/>
  <c r="AK77" i="39"/>
  <c r="AK83" i="39"/>
  <c r="AJ120" i="39"/>
  <c r="AK69" i="39"/>
  <c r="AJ96" i="39"/>
  <c r="AK120" i="39"/>
  <c r="AK24" i="39"/>
  <c r="AK61" i="39"/>
  <c r="AK96" i="39"/>
  <c r="AJ133" i="39"/>
  <c r="AK53" i="39"/>
  <c r="AJ94" i="39"/>
  <c r="AK118" i="39"/>
  <c r="AK72" i="39"/>
  <c r="AJ98" i="39"/>
  <c r="AK122" i="39"/>
  <c r="AK132" i="39"/>
  <c r="AK142" i="39"/>
  <c r="AJ168" i="39"/>
  <c r="AJ159" i="39"/>
  <c r="AK184" i="39"/>
  <c r="AJ143" i="39"/>
  <c r="AK167" i="39"/>
  <c r="AK158" i="39"/>
  <c r="AK196" i="39"/>
  <c r="AJ225" i="39"/>
  <c r="AJ171" i="39"/>
  <c r="AK78" i="39"/>
  <c r="AJ236" i="39"/>
  <c r="AJ208" i="39"/>
  <c r="AK157" i="39"/>
  <c r="AJ122" i="39"/>
  <c r="AJ78" i="39"/>
  <c r="AK12" i="39"/>
  <c r="AK34" i="39"/>
  <c r="AK57" i="39"/>
  <c r="AK17" i="39"/>
  <c r="AK19" i="39"/>
  <c r="AK52" i="39"/>
  <c r="AK47" i="39"/>
  <c r="AJ97" i="39"/>
  <c r="AK121" i="39"/>
  <c r="AK97" i="39"/>
  <c r="AJ111" i="39"/>
  <c r="AK95" i="39"/>
  <c r="AJ132" i="39"/>
  <c r="AJ90" i="39"/>
  <c r="AK99" i="39"/>
  <c r="AK123" i="39"/>
  <c r="AK169" i="39"/>
  <c r="AK74" i="39"/>
  <c r="AK160" i="39"/>
  <c r="AK54" i="39"/>
  <c r="AK144" i="39"/>
  <c r="AJ182" i="39"/>
  <c r="AJ196" i="39"/>
  <c r="AJ84" i="39"/>
  <c r="AJ107" i="39"/>
  <c r="AJ173" i="39"/>
  <c r="AK50" i="39"/>
  <c r="AJ10" i="39"/>
  <c r="AJ14" i="39"/>
  <c r="AJ18" i="39"/>
  <c r="AJ22" i="39"/>
  <c r="AJ26" i="39"/>
  <c r="AJ30" i="39"/>
  <c r="AJ34" i="39"/>
  <c r="AJ38" i="39"/>
  <c r="AJ42" i="39"/>
  <c r="AJ46" i="39"/>
  <c r="AJ50" i="39"/>
  <c r="AJ54" i="39"/>
  <c r="AJ58" i="39"/>
  <c r="AJ62" i="39"/>
  <c r="AJ66" i="39"/>
  <c r="AJ70" i="39"/>
  <c r="AJ170" i="39"/>
  <c r="AJ212" i="39"/>
  <c r="AK156" i="39"/>
  <c r="AK37" i="39"/>
  <c r="AK21" i="39"/>
  <c r="AK20" i="39"/>
  <c r="AK15" i="39"/>
  <c r="AK46" i="39"/>
  <c r="AJ77" i="39"/>
  <c r="AK28" i="39"/>
  <c r="AK98" i="39"/>
  <c r="AJ134" i="39"/>
  <c r="AJ112" i="39"/>
  <c r="AK134" i="39"/>
  <c r="AK71" i="39"/>
  <c r="AJ87" i="39"/>
  <c r="AK112" i="39"/>
  <c r="AJ110" i="39"/>
  <c r="AK133" i="39"/>
  <c r="AK91" i="39"/>
  <c r="AK100" i="39"/>
  <c r="AK115" i="39"/>
  <c r="AK145" i="39"/>
  <c r="AJ175" i="39"/>
  <c r="AJ158" i="39"/>
  <c r="AK183" i="39"/>
  <c r="AJ85" i="39"/>
  <c r="AJ108" i="39"/>
  <c r="AJ149" i="39"/>
  <c r="AK174" i="39"/>
  <c r="AK18" i="39"/>
  <c r="AS9" i="39"/>
  <c r="AS21" i="39"/>
  <c r="AS29" i="39"/>
  <c r="AS34" i="39"/>
  <c r="AS45" i="39"/>
  <c r="AS56" i="39"/>
  <c r="AS67" i="39"/>
  <c r="AS84" i="39"/>
  <c r="AS94" i="39"/>
  <c r="AS102" i="39"/>
  <c r="AS116" i="39"/>
  <c r="AS119" i="39"/>
  <c r="AS122" i="39"/>
  <c r="AS129" i="39"/>
  <c r="AS132" i="39"/>
  <c r="AS140" i="39"/>
  <c r="AS157" i="39"/>
  <c r="AS169" i="39"/>
  <c r="AS181" i="39"/>
  <c r="AS183" i="39"/>
  <c r="AS186" i="39"/>
  <c r="AS188" i="39"/>
  <c r="AS209" i="39"/>
  <c r="AS213" i="39"/>
  <c r="AS217" i="39"/>
  <c r="AS16" i="39"/>
  <c r="AS22" i="39"/>
  <c r="AS35" i="39"/>
  <c r="AS46" i="39"/>
  <c r="AS52" i="39"/>
  <c r="AS57" i="39"/>
  <c r="AS62" i="39"/>
  <c r="AS68" i="39"/>
  <c r="AS73" i="39"/>
  <c r="AS76" i="39"/>
  <c r="AS79" i="39"/>
  <c r="AS82" i="39"/>
  <c r="AS87" i="39"/>
  <c r="AS90" i="39"/>
  <c r="AS106" i="39"/>
  <c r="AS110" i="39"/>
  <c r="AS124" i="39"/>
  <c r="AS127" i="39"/>
  <c r="AS138" i="39"/>
  <c r="AS154" i="39"/>
  <c r="AS162" i="39"/>
  <c r="AS166" i="39"/>
  <c r="AS175" i="39"/>
  <c r="AS178" i="39"/>
  <c r="AS191" i="39"/>
  <c r="AS205" i="39"/>
  <c r="AS221" i="39"/>
  <c r="AS225" i="39"/>
  <c r="AS17" i="39"/>
  <c r="AS23" i="39"/>
  <c r="AS30" i="39"/>
  <c r="AS37" i="39"/>
  <c r="AS47" i="39"/>
  <c r="AS53" i="39"/>
  <c r="AS58" i="39"/>
  <c r="AS63" i="39"/>
  <c r="AS69" i="39"/>
  <c r="AS91" i="39"/>
  <c r="AS111" i="39"/>
  <c r="AS117" i="39"/>
  <c r="AS135" i="39"/>
  <c r="AS141" i="39"/>
  <c r="AS147" i="39"/>
  <c r="AS152" i="39"/>
  <c r="AS155" i="39"/>
  <c r="AS160" i="39"/>
  <c r="AS164" i="39"/>
  <c r="AS170" i="39"/>
  <c r="AS173" i="39"/>
  <c r="AS184" i="39"/>
  <c r="AS193" i="39"/>
  <c r="AS198" i="39"/>
  <c r="AS201" i="39"/>
  <c r="AS208" i="39"/>
  <c r="AS212" i="39"/>
  <c r="AS216" i="39"/>
  <c r="AS224" i="39"/>
  <c r="AS228" i="39"/>
  <c r="AS18" i="39"/>
  <c r="AS24" i="39"/>
  <c r="AS31" i="39"/>
  <c r="AS85" i="39"/>
  <c r="AS88" i="39"/>
  <c r="AS95" i="39"/>
  <c r="AS103" i="39"/>
  <c r="AS107" i="39"/>
  <c r="AS114" i="39"/>
  <c r="AS120" i="39"/>
  <c r="AS125" i="39"/>
  <c r="AS128" i="39"/>
  <c r="AS133" i="39"/>
  <c r="AS145" i="39"/>
  <c r="AS167" i="39"/>
  <c r="AS179" i="39"/>
  <c r="AS182" i="39"/>
  <c r="AS189" i="39"/>
  <c r="AS195" i="39"/>
  <c r="AS220" i="39"/>
  <c r="AS223" i="39"/>
  <c r="AS231" i="39"/>
  <c r="AS19" i="39"/>
  <c r="AS25" i="39"/>
  <c r="AS32" i="39"/>
  <c r="AS38" i="39"/>
  <c r="AS48" i="39"/>
  <c r="AS54" i="39"/>
  <c r="AS59" i="39"/>
  <c r="AS64" i="39"/>
  <c r="AS74" i="39"/>
  <c r="AS77" i="39"/>
  <c r="AS83" i="39"/>
  <c r="AS97" i="39"/>
  <c r="AS100" i="39"/>
  <c r="AS104" i="39"/>
  <c r="AS123" i="39"/>
  <c r="AS130" i="39"/>
  <c r="AS142" i="39"/>
  <c r="AS148" i="39"/>
  <c r="AS150" i="39"/>
  <c r="AS153" i="39"/>
  <c r="AS158" i="39"/>
  <c r="AS171" i="39"/>
  <c r="AS176" i="39"/>
  <c r="AS185" i="39"/>
  <c r="AS187" i="39"/>
  <c r="AS200" i="39"/>
  <c r="AS204" i="39"/>
  <c r="AS207" i="39"/>
  <c r="AS211" i="39"/>
  <c r="AS227" i="39"/>
  <c r="AS230" i="39"/>
  <c r="AS10" i="39"/>
  <c r="AS27" i="39"/>
  <c r="AS33" i="39"/>
  <c r="AS39" i="39"/>
  <c r="AS49" i="39"/>
  <c r="AS60" i="39"/>
  <c r="AS70" i="39"/>
  <c r="AS80" i="39"/>
  <c r="AS92" i="39"/>
  <c r="AS101" i="39"/>
  <c r="AS108" i="39"/>
  <c r="AS118" i="39"/>
  <c r="AS121" i="39"/>
  <c r="AS136" i="39"/>
  <c r="AS139" i="39"/>
  <c r="AS156" i="39"/>
  <c r="AS174" i="39"/>
  <c r="AS180" i="39"/>
  <c r="AS197" i="39"/>
  <c r="AS206" i="39"/>
  <c r="AS215" i="39"/>
  <c r="AS219" i="39"/>
  <c r="AS11" i="39"/>
  <c r="AS41" i="39"/>
  <c r="AS50" i="39"/>
  <c r="AS55" i="39"/>
  <c r="AS65" i="39"/>
  <c r="AS71" i="39"/>
  <c r="AS75" i="39"/>
  <c r="AS78" i="39"/>
  <c r="AS86" i="39"/>
  <c r="AS89" i="39"/>
  <c r="AS98" i="39"/>
  <c r="AS115" i="39"/>
  <c r="AS131" i="39"/>
  <c r="AS151" i="39"/>
  <c r="AS161" i="39"/>
  <c r="AS163" i="39"/>
  <c r="AS165" i="39"/>
  <c r="AS168" i="39"/>
  <c r="AS172" i="39"/>
  <c r="AS192" i="39"/>
  <c r="AS194" i="39"/>
  <c r="AS199" i="39"/>
  <c r="AS203" i="39"/>
  <c r="AS210" i="39"/>
  <c r="AS214" i="39"/>
  <c r="AS218" i="39"/>
  <c r="AS222" i="39"/>
  <c r="AS15" i="39"/>
  <c r="AS20" i="39"/>
  <c r="AS28" i="39"/>
  <c r="AS42" i="39"/>
  <c r="AS51" i="39"/>
  <c r="AS61" i="39"/>
  <c r="AS66" i="39"/>
  <c r="AS72" i="39"/>
  <c r="AS81" i="39"/>
  <c r="AS93" i="39"/>
  <c r="AS96" i="39"/>
  <c r="AS99" i="39"/>
  <c r="AS105" i="39"/>
  <c r="AS109" i="39"/>
  <c r="AS113" i="39"/>
  <c r="AS126" i="39"/>
  <c r="AS134" i="39"/>
  <c r="AS137" i="39"/>
  <c r="AS143" i="39"/>
  <c r="AS144" i="39"/>
  <c r="AS146" i="39"/>
  <c r="AS149" i="39"/>
  <c r="AS159" i="39"/>
  <c r="AS177" i="39"/>
  <c r="AS190" i="39"/>
  <c r="AS196" i="39"/>
  <c r="AS202" i="39"/>
  <c r="AS226" i="39"/>
  <c r="AS229" i="39"/>
  <c r="AS233" i="39"/>
  <c r="AS238" i="39"/>
  <c r="AS248" i="39"/>
  <c r="AS253" i="39"/>
  <c r="AS260" i="39"/>
  <c r="AS292" i="39"/>
  <c r="AS296" i="39"/>
  <c r="AS317" i="39"/>
  <c r="AS321" i="39"/>
  <c r="AS324" i="39"/>
  <c r="AS333" i="39"/>
  <c r="AS344" i="39"/>
  <c r="AS351" i="39"/>
  <c r="AS232" i="39"/>
  <c r="AS237" i="39"/>
  <c r="AS242" i="39"/>
  <c r="AS249" i="39"/>
  <c r="AS254" i="39"/>
  <c r="AS255" i="39"/>
  <c r="AS261" i="39"/>
  <c r="AS262" i="39"/>
  <c r="AS267" i="39"/>
  <c r="AS275" i="39"/>
  <c r="AS276" i="39"/>
  <c r="AS282" i="39"/>
  <c r="AS283" i="39"/>
  <c r="AS288" i="39"/>
  <c r="AS289" i="39"/>
  <c r="AS293" i="39"/>
  <c r="AS294" i="39"/>
  <c r="AS304" i="39"/>
  <c r="AS322" i="39"/>
  <c r="AS329" i="39"/>
  <c r="AS331" i="39"/>
  <c r="AS342" i="39"/>
  <c r="AS349" i="39"/>
  <c r="AS236" i="39"/>
  <c r="AS268" i="39"/>
  <c r="AS269" i="39"/>
  <c r="AS284" i="39"/>
  <c r="AS297" i="39"/>
  <c r="AS300" i="39"/>
  <c r="AS305" i="39"/>
  <c r="AS314" i="39"/>
  <c r="AS338" i="39"/>
  <c r="AS340" i="39"/>
  <c r="AS347" i="39"/>
  <c r="AS241" i="39"/>
  <c r="AS245" i="39"/>
  <c r="AS250" i="39"/>
  <c r="AS256" i="39"/>
  <c r="AS263" i="39"/>
  <c r="AS270" i="39"/>
  <c r="AS277" i="39"/>
  <c r="AS290" i="39"/>
  <c r="AS295" i="39"/>
  <c r="AS301" i="39"/>
  <c r="AS302" i="39"/>
  <c r="AS309" i="39"/>
  <c r="AS318" i="39"/>
  <c r="AS325" i="39"/>
  <c r="AS327" i="39"/>
  <c r="AS336" i="39"/>
  <c r="AS345" i="39"/>
  <c r="AS235" i="39"/>
  <c r="AS244" i="39"/>
  <c r="AS285" i="39"/>
  <c r="AS298" i="39"/>
  <c r="AS306" i="39"/>
  <c r="AS310" i="39"/>
  <c r="AS315" i="39"/>
  <c r="AS319" i="39"/>
  <c r="AS332" i="39"/>
  <c r="AS334" i="39"/>
  <c r="AS246" i="39"/>
  <c r="AS251" i="39"/>
  <c r="AS257" i="39"/>
  <c r="AS258" i="39"/>
  <c r="AS264" i="39"/>
  <c r="AS271" i="39"/>
  <c r="AS278" i="39"/>
  <c r="AS286" i="39"/>
  <c r="AS291" i="39"/>
  <c r="AS303" i="39"/>
  <c r="AS312" i="39"/>
  <c r="AS323" i="39"/>
  <c r="AS339" i="39"/>
  <c r="AS343" i="39"/>
  <c r="AS348" i="39"/>
  <c r="AS350" i="39"/>
  <c r="AS240" i="39"/>
  <c r="AS243" i="39"/>
  <c r="AS252" i="39"/>
  <c r="AS259" i="39"/>
  <c r="AS265" i="39"/>
  <c r="AS272" i="39"/>
  <c r="AS273" i="39"/>
  <c r="AS279" i="39"/>
  <c r="AS280" i="39"/>
  <c r="AS299" i="39"/>
  <c r="AS307" i="39"/>
  <c r="AS311" i="39"/>
  <c r="AS328" i="39"/>
  <c r="AS330" i="39"/>
  <c r="AS337" i="39"/>
  <c r="AS341" i="39"/>
  <c r="AS346" i="39"/>
  <c r="AS234" i="39"/>
  <c r="AS239" i="39"/>
  <c r="AS247" i="39"/>
  <c r="AS266" i="39"/>
  <c r="AS274" i="39"/>
  <c r="AS281" i="39"/>
  <c r="AS287" i="39"/>
  <c r="AS308" i="39"/>
  <c r="AS313" i="39"/>
  <c r="AS316" i="39"/>
  <c r="AS320" i="39"/>
  <c r="AS326" i="39"/>
  <c r="AS335" i="39"/>
  <c r="AS12" i="39"/>
  <c r="AS44" i="39"/>
  <c r="AS43" i="39"/>
  <c r="AS26" i="39"/>
  <c r="AS40" i="39"/>
  <c r="AS36" i="39"/>
  <c r="AS14" i="39"/>
  <c r="AS13" i="39"/>
  <c r="AP6" i="39" l="1"/>
  <c r="AK6" i="39"/>
  <c r="Y6" i="39"/>
  <c r="AJ5" i="39"/>
  <c r="AJ6" i="39"/>
  <c r="AP5" i="39"/>
  <c r="AQ7" i="39"/>
  <c r="Y7" i="39"/>
  <c r="AP7" i="39"/>
  <c r="Y4" i="39"/>
  <c r="BK57" i="39"/>
  <c r="AJ7" i="39"/>
  <c r="AQ5" i="39"/>
  <c r="Y5" i="39"/>
  <c r="AQ6" i="39"/>
  <c r="AK7" i="39"/>
  <c r="AK5" i="39"/>
  <c r="D13" i="42"/>
  <c r="BK228" i="39"/>
  <c r="BA297" i="39" a="1"/>
  <c r="BA297" i="39" s="1"/>
  <c r="AU297" i="39" a="1"/>
  <c r="AU297" i="39" s="1"/>
  <c r="BA37" i="39" a="1"/>
  <c r="BA37" i="39" s="1"/>
  <c r="AU37" i="39" a="1"/>
  <c r="AU37" i="39" s="1"/>
  <c r="BA118" i="39" a="1"/>
  <c r="BA118" i="39" s="1"/>
  <c r="AU118" i="39" a="1"/>
  <c r="AU118" i="39" s="1"/>
  <c r="BA182" i="39" a="1"/>
  <c r="BA182" i="39" s="1"/>
  <c r="AU182" i="39" a="1"/>
  <c r="AU182" i="39" s="1"/>
  <c r="BA111" i="39" a="1"/>
  <c r="BA111" i="39" s="1"/>
  <c r="AU111" i="39" a="1"/>
  <c r="AU111" i="39" s="1"/>
  <c r="BA246" i="39" a="1"/>
  <c r="BA246" i="39" s="1"/>
  <c r="AU246" i="39" a="1"/>
  <c r="AU246" i="39" s="1"/>
  <c r="BA195" i="39" a="1"/>
  <c r="BA195" i="39" s="1"/>
  <c r="AU195" i="39" a="1"/>
  <c r="AU195" i="39" s="1"/>
  <c r="BA174" i="39" a="1"/>
  <c r="BA174" i="39" s="1"/>
  <c r="AU174" i="39" a="1"/>
  <c r="AU174" i="39" s="1"/>
  <c r="BA112" i="39" a="1"/>
  <c r="BA112" i="39" s="1"/>
  <c r="AU112" i="39" a="1"/>
  <c r="AU112" i="39" s="1"/>
  <c r="BA156" i="39" a="1"/>
  <c r="BA156" i="39" s="1"/>
  <c r="AU156" i="39" a="1"/>
  <c r="AU156" i="39" s="1"/>
  <c r="BA74" i="39" a="1"/>
  <c r="BA74" i="39" s="1"/>
  <c r="AU74" i="39" a="1"/>
  <c r="AU74" i="39" s="1"/>
  <c r="BA52" i="39" a="1"/>
  <c r="BA52" i="39" s="1"/>
  <c r="AU52" i="39" a="1"/>
  <c r="AU52" i="39" s="1"/>
  <c r="BA196" i="39" a="1"/>
  <c r="BA196" i="39" s="1"/>
  <c r="AU196" i="39" a="1"/>
  <c r="AU196" i="39" s="1"/>
  <c r="BA16" i="39" a="1"/>
  <c r="BA16" i="39" s="1"/>
  <c r="AU16" i="39" a="1"/>
  <c r="AU16" i="39" s="1"/>
  <c r="BA23" i="39" a="1"/>
  <c r="BA23" i="39" s="1"/>
  <c r="AU23" i="39" a="1"/>
  <c r="AU23" i="39" s="1"/>
  <c r="BA148" i="39" a="1"/>
  <c r="BA148" i="39" s="1"/>
  <c r="AU148" i="39" a="1"/>
  <c r="AU148" i="39" s="1"/>
  <c r="BA79" i="39" a="1"/>
  <c r="BA79" i="39" s="1"/>
  <c r="AU79" i="39" a="1"/>
  <c r="AU79" i="39" s="1"/>
  <c r="BA60" i="39" a="1"/>
  <c r="BA60" i="39" s="1"/>
  <c r="AU60" i="39" a="1"/>
  <c r="AU60" i="39" s="1"/>
  <c r="BA165" i="39" a="1"/>
  <c r="BA165" i="39" s="1"/>
  <c r="AU165" i="39" a="1"/>
  <c r="AU165" i="39" s="1"/>
  <c r="BA279" i="39" a="1"/>
  <c r="BA279" i="39" s="1"/>
  <c r="AU279" i="39" a="1"/>
  <c r="AU279" i="39" s="1"/>
  <c r="BA202" i="39" a="1"/>
  <c r="BA202" i="39" s="1"/>
  <c r="AU202" i="39" a="1"/>
  <c r="AU202" i="39" s="1"/>
  <c r="BA282" i="39" a="1"/>
  <c r="BA282" i="39" s="1"/>
  <c r="AU282" i="39" a="1"/>
  <c r="AU282" i="39" s="1"/>
  <c r="BA333" i="39" a="1"/>
  <c r="BA333" i="39" s="1"/>
  <c r="AU333" i="39" a="1"/>
  <c r="AU333" i="39" s="1"/>
  <c r="BA266" i="39" a="1"/>
  <c r="BA266" i="39" s="1"/>
  <c r="AU266" i="39" a="1"/>
  <c r="AU266" i="39" s="1"/>
  <c r="BA339" i="39" a="1"/>
  <c r="BA339" i="39" s="1"/>
  <c r="AU339" i="39" a="1"/>
  <c r="AU339" i="39" s="1"/>
  <c r="BA291" i="39" a="1"/>
  <c r="BA291" i="39" s="1"/>
  <c r="AU291" i="39" a="1"/>
  <c r="AU291" i="39" s="1"/>
  <c r="BA285" i="39" a="1"/>
  <c r="BA285" i="39" s="1"/>
  <c r="AU285" i="39" a="1"/>
  <c r="AU285" i="39" s="1"/>
  <c r="BA318" i="39" a="1"/>
  <c r="BA318" i="39" s="1"/>
  <c r="AU318" i="39" a="1"/>
  <c r="AU318" i="39" s="1"/>
  <c r="BA231" i="39" a="1"/>
  <c r="BA231" i="39" s="1"/>
  <c r="AU231" i="39" a="1"/>
  <c r="AU231" i="39" s="1"/>
  <c r="BA164" i="39" a="1"/>
  <c r="BA164" i="39" s="1"/>
  <c r="AU164" i="39" a="1"/>
  <c r="AU164" i="39" s="1"/>
  <c r="BA31" i="39" a="1"/>
  <c r="BA31" i="39" s="1"/>
  <c r="AU31" i="39" a="1"/>
  <c r="AU31" i="39" s="1"/>
  <c r="BA256" i="39" a="1"/>
  <c r="BA256" i="39" s="1"/>
  <c r="AU256" i="39" a="1"/>
  <c r="AU256" i="39" s="1"/>
  <c r="BA169" i="39" a="1"/>
  <c r="BA169" i="39" s="1"/>
  <c r="AU169" i="39" a="1"/>
  <c r="AU169" i="39" s="1"/>
  <c r="BA19" i="39" a="1"/>
  <c r="BA19" i="39" s="1"/>
  <c r="AU19" i="39" a="1"/>
  <c r="AU19" i="39" s="1"/>
  <c r="BA158" i="39" a="1"/>
  <c r="BA158" i="39" s="1"/>
  <c r="AU158" i="39" a="1"/>
  <c r="AU158" i="39" s="1"/>
  <c r="BA53" i="39" a="1"/>
  <c r="BA53" i="39" s="1"/>
  <c r="AU53" i="39" a="1"/>
  <c r="AU53" i="39" s="1"/>
  <c r="BA13" i="39" a="1"/>
  <c r="BA13" i="39" s="1"/>
  <c r="AU13" i="39" a="1"/>
  <c r="AU13" i="39" s="1"/>
  <c r="BA143" i="39" a="1"/>
  <c r="BA143" i="39" s="1"/>
  <c r="AU143" i="39" a="1"/>
  <c r="AU143" i="39" s="1"/>
  <c r="BA141" i="39" a="1"/>
  <c r="BA141" i="39" s="1"/>
  <c r="AU141" i="39" a="1"/>
  <c r="AU141" i="39" s="1"/>
  <c r="BA110" i="39" a="1"/>
  <c r="BA110" i="39" s="1"/>
  <c r="AU110" i="39" a="1"/>
  <c r="AU110" i="39" s="1"/>
  <c r="BA14" i="39" a="1"/>
  <c r="BA14" i="39" s="1"/>
  <c r="AU14" i="39" a="1"/>
  <c r="AU14" i="39" s="1"/>
  <c r="BA208" i="39" a="1"/>
  <c r="BA208" i="39" s="1"/>
  <c r="AU208" i="39" a="1"/>
  <c r="AU208" i="39" s="1"/>
  <c r="BA230" i="39" a="1"/>
  <c r="BA230" i="39" s="1"/>
  <c r="AU230" i="39" a="1"/>
  <c r="AU230" i="39" s="1"/>
  <c r="BA108" i="39" a="1"/>
  <c r="BA108" i="39" s="1"/>
  <c r="AU108" i="39" a="1"/>
  <c r="AU108" i="39" s="1"/>
  <c r="BA284" i="39" a="1"/>
  <c r="BA284" i="39" s="1"/>
  <c r="AU284" i="39" a="1"/>
  <c r="AU284" i="39" s="1"/>
  <c r="BA331" i="39" a="1"/>
  <c r="BA331" i="39" s="1"/>
  <c r="AU331" i="39" a="1"/>
  <c r="AU331" i="39" s="1"/>
  <c r="BA275" i="39" a="1"/>
  <c r="BA275" i="39" s="1"/>
  <c r="AU275" i="39" a="1"/>
  <c r="AU275" i="39" s="1"/>
  <c r="BA326" i="39" a="1"/>
  <c r="BA326" i="39" s="1"/>
  <c r="AU326" i="39" a="1"/>
  <c r="AU326" i="39" s="1"/>
  <c r="BA273" i="39" a="1"/>
  <c r="BA273" i="39" s="1"/>
  <c r="AU273" i="39" a="1"/>
  <c r="AU273" i="39" s="1"/>
  <c r="BA286" i="39" a="1"/>
  <c r="BA286" i="39" s="1"/>
  <c r="AU286" i="39" a="1"/>
  <c r="AU286" i="39" s="1"/>
  <c r="BA309" i="39" a="1"/>
  <c r="BA309" i="39" s="1"/>
  <c r="AU309" i="39" a="1"/>
  <c r="AU309" i="39" s="1"/>
  <c r="BA221" i="39" a="1"/>
  <c r="BA221" i="39" s="1"/>
  <c r="AU221" i="39" a="1"/>
  <c r="AU221" i="39" s="1"/>
  <c r="BA222" i="39" a="1"/>
  <c r="BA222" i="39" s="1"/>
  <c r="AU222" i="39" a="1"/>
  <c r="AU222" i="39" s="1"/>
  <c r="BA203" i="39" a="1"/>
  <c r="BA203" i="39" s="1"/>
  <c r="AU203" i="39" a="1"/>
  <c r="AU203" i="39" s="1"/>
  <c r="BA193" i="39" a="1"/>
  <c r="BA193" i="39" s="1"/>
  <c r="AU193" i="39" a="1"/>
  <c r="AU193" i="39" s="1"/>
  <c r="BA20" i="39" a="1"/>
  <c r="BA20" i="39" s="1"/>
  <c r="AU20" i="39" a="1"/>
  <c r="AU20" i="39" s="1"/>
  <c r="BA80" i="39" a="1"/>
  <c r="BA80" i="39" s="1"/>
  <c r="AU80" i="39" a="1"/>
  <c r="AU80" i="39" s="1"/>
  <c r="BA119" i="39" a="1"/>
  <c r="BA119" i="39" s="1"/>
  <c r="AU119" i="39" a="1"/>
  <c r="AU119" i="39" s="1"/>
  <c r="BA127" i="39" a="1"/>
  <c r="BA127" i="39" s="1"/>
  <c r="AU127" i="39" a="1"/>
  <c r="AU127" i="39" s="1"/>
  <c r="BA25" i="39" a="1"/>
  <c r="BA25" i="39" s="1"/>
  <c r="AU25" i="39" a="1"/>
  <c r="AU25" i="39" s="1"/>
  <c r="BA205" i="39" a="1"/>
  <c r="BA205" i="39" s="1"/>
  <c r="AU205" i="39" a="1"/>
  <c r="AU205" i="39" s="1"/>
  <c r="BA288" i="39" a="1"/>
  <c r="BA288" i="39" s="1"/>
  <c r="AU288" i="39" a="1"/>
  <c r="AU288" i="39" s="1"/>
  <c r="BA328" i="39" a="1"/>
  <c r="BA328" i="39" s="1"/>
  <c r="AU328" i="39" a="1"/>
  <c r="AU328" i="39" s="1"/>
  <c r="BA160" i="39" a="1"/>
  <c r="BA160" i="39" s="1"/>
  <c r="AU160" i="39" a="1"/>
  <c r="AU160" i="39" s="1"/>
  <c r="BA265" i="39" a="1"/>
  <c r="BA265" i="39" s="1"/>
  <c r="AU265" i="39" a="1"/>
  <c r="AU265" i="39" s="1"/>
  <c r="BA71" i="39" a="1"/>
  <c r="BA71" i="39" s="1"/>
  <c r="AU71" i="39" a="1"/>
  <c r="AU71" i="39" s="1"/>
  <c r="BA123" i="39" a="1"/>
  <c r="BA123" i="39" s="1"/>
  <c r="AU123" i="39" a="1"/>
  <c r="AU123" i="39" s="1"/>
  <c r="BA17" i="39" a="1"/>
  <c r="BA17" i="39" s="1"/>
  <c r="AU17" i="39" a="1"/>
  <c r="AU17" i="39" s="1"/>
  <c r="BA49" i="39" a="1"/>
  <c r="BA49" i="39" s="1"/>
  <c r="AU49" i="39" a="1"/>
  <c r="AU49" i="39" s="1"/>
  <c r="BA82" i="39" a="1"/>
  <c r="BA82" i="39" s="1"/>
  <c r="AU82" i="39" a="1"/>
  <c r="AU82" i="39" s="1"/>
  <c r="BA241" i="39" a="1"/>
  <c r="BA241" i="39" s="1"/>
  <c r="AU241" i="39" a="1"/>
  <c r="AU241" i="39" s="1"/>
  <c r="BA149" i="39" a="1"/>
  <c r="BA149" i="39" s="1"/>
  <c r="AU149" i="39" a="1"/>
  <c r="AU149" i="39" s="1"/>
  <c r="BA90" i="39" a="1"/>
  <c r="BA90" i="39" s="1"/>
  <c r="AU90" i="39" a="1"/>
  <c r="AU90" i="39" s="1"/>
  <c r="BA89" i="39" a="1"/>
  <c r="BA89" i="39" s="1"/>
  <c r="AU89" i="39" a="1"/>
  <c r="AU89" i="39" s="1"/>
  <c r="BA150" i="39" a="1"/>
  <c r="BA150" i="39" s="1"/>
  <c r="AU150" i="39" a="1"/>
  <c r="AU150" i="39" s="1"/>
  <c r="BA155" i="39" a="1"/>
  <c r="BA155" i="39" s="1"/>
  <c r="AU155" i="39" a="1"/>
  <c r="AU155" i="39" s="1"/>
  <c r="BA329" i="39" a="1"/>
  <c r="BA329" i="39" s="1"/>
  <c r="AU329" i="39" a="1"/>
  <c r="AU329" i="39" s="1"/>
  <c r="BA267" i="39" a="1"/>
  <c r="BA267" i="39" s="1"/>
  <c r="AU267" i="39" a="1"/>
  <c r="AU267" i="39" s="1"/>
  <c r="BA260" i="39" a="1"/>
  <c r="BA260" i="39" s="1"/>
  <c r="AU260" i="39" a="1"/>
  <c r="AU260" i="39" s="1"/>
  <c r="BA313" i="39" a="1"/>
  <c r="BA313" i="39" s="1"/>
  <c r="AU313" i="39" a="1"/>
  <c r="AU313" i="39" s="1"/>
  <c r="BA278" i="39" a="1"/>
  <c r="BA278" i="39" s="1"/>
  <c r="AU278" i="39" a="1"/>
  <c r="AU278" i="39" s="1"/>
  <c r="BA218" i="39" a="1"/>
  <c r="BA218" i="39" s="1"/>
  <c r="AU218" i="39" a="1"/>
  <c r="AU218" i="39" s="1"/>
  <c r="BA227" i="39" a="1"/>
  <c r="BA227" i="39" s="1"/>
  <c r="AU227" i="39" a="1"/>
  <c r="AU227" i="39" s="1"/>
  <c r="BA162" i="39" a="1"/>
  <c r="BA162" i="39" s="1"/>
  <c r="AU162" i="39" a="1"/>
  <c r="AU162" i="39" s="1"/>
  <c r="BA144" i="39" a="1"/>
  <c r="BA144" i="39" s="1"/>
  <c r="AU144" i="39" a="1"/>
  <c r="AU144" i="39" s="1"/>
  <c r="BA77" i="39" a="1"/>
  <c r="BA77" i="39" s="1"/>
  <c r="AU77" i="39" a="1"/>
  <c r="AU77" i="39" s="1"/>
  <c r="BA166" i="39" a="1"/>
  <c r="BA166" i="39" s="1"/>
  <c r="AU166" i="39" a="1"/>
  <c r="AU166" i="39" s="1"/>
  <c r="BA101" i="39" a="1"/>
  <c r="BA101" i="39" s="1"/>
  <c r="AU101" i="39" a="1"/>
  <c r="AU101" i="39" s="1"/>
  <c r="BA228" i="39" a="1"/>
  <c r="BA228" i="39" s="1"/>
  <c r="AU228" i="39" a="1"/>
  <c r="AU228" i="39" s="1"/>
  <c r="BA305" i="39" a="1"/>
  <c r="BA305" i="39" s="1"/>
  <c r="AU305" i="39" a="1"/>
  <c r="AU305" i="39" s="1"/>
  <c r="BA300" i="39" a="1"/>
  <c r="BA300" i="39" s="1"/>
  <c r="AU300" i="39" a="1"/>
  <c r="AU300" i="39" s="1"/>
  <c r="BA344" i="39" a="1"/>
  <c r="BA344" i="39" s="1"/>
  <c r="AU344" i="39" a="1"/>
  <c r="AU344" i="39" s="1"/>
  <c r="BA343" i="39" a="1"/>
  <c r="BA343" i="39" s="1"/>
  <c r="AU343" i="39" a="1"/>
  <c r="AU343" i="39" s="1"/>
  <c r="BA327" i="39" a="1"/>
  <c r="BA327" i="39" s="1"/>
  <c r="AU327" i="39" a="1"/>
  <c r="AU327" i="39" s="1"/>
  <c r="BA134" i="39" a="1"/>
  <c r="BA134" i="39" s="1"/>
  <c r="AU134" i="39" a="1"/>
  <c r="AU134" i="39" s="1"/>
  <c r="BA99" i="39" a="1"/>
  <c r="BA99" i="39" s="1"/>
  <c r="AU99" i="39" a="1"/>
  <c r="AU99" i="39" s="1"/>
  <c r="BA57" i="39" a="1"/>
  <c r="BA57" i="39" s="1"/>
  <c r="AU57" i="39" a="1"/>
  <c r="AU57" i="39" s="1"/>
  <c r="BA167" i="39" a="1"/>
  <c r="BA167" i="39" s="1"/>
  <c r="AU167" i="39" a="1"/>
  <c r="AU167" i="39" s="1"/>
  <c r="BA96" i="39" a="1"/>
  <c r="BA96" i="39" s="1"/>
  <c r="AU96" i="39" a="1"/>
  <c r="AU96" i="39" s="1"/>
  <c r="BA11" i="39" a="1"/>
  <c r="BA11" i="39" s="1"/>
  <c r="AU11" i="39" a="1"/>
  <c r="AU11" i="39" s="1"/>
  <c r="BA67" i="39" a="1"/>
  <c r="BA67" i="39" s="1"/>
  <c r="AU67" i="39" a="1"/>
  <c r="AU67" i="39" s="1"/>
  <c r="BA200" i="39" a="1"/>
  <c r="BA200" i="39" s="1"/>
  <c r="AU200" i="39" a="1"/>
  <c r="AU200" i="39" s="1"/>
  <c r="BA81" i="39" a="1"/>
  <c r="BA81" i="39" s="1"/>
  <c r="AU81" i="39" a="1"/>
  <c r="AU81" i="39" s="1"/>
  <c r="BA186" i="39" a="1"/>
  <c r="BA186" i="39" s="1"/>
  <c r="AU186" i="39" a="1"/>
  <c r="AU186" i="39" s="1"/>
  <c r="BA139" i="39" a="1"/>
  <c r="BA139" i="39" s="1"/>
  <c r="AU139" i="39" a="1"/>
  <c r="AU139" i="39" s="1"/>
  <c r="BA59" i="39" a="1"/>
  <c r="BA59" i="39" s="1"/>
  <c r="AU59" i="39" a="1"/>
  <c r="AU59" i="39" s="1"/>
  <c r="BA73" i="39" a="1"/>
  <c r="BA73" i="39" s="1"/>
  <c r="AU73" i="39" a="1"/>
  <c r="AU73" i="39" s="1"/>
  <c r="BA55" i="39" a="1"/>
  <c r="BA55" i="39" s="1"/>
  <c r="AU55" i="39" a="1"/>
  <c r="AU55" i="39" s="1"/>
  <c r="BA88" i="39" a="1"/>
  <c r="BA88" i="39" s="1"/>
  <c r="AU88" i="39" a="1"/>
  <c r="AU88" i="39" s="1"/>
  <c r="BA232" i="39" a="1"/>
  <c r="BA232" i="39" s="1"/>
  <c r="AU232" i="39" a="1"/>
  <c r="AU232" i="39" s="1"/>
  <c r="BA201" i="39" a="1"/>
  <c r="BA201" i="39" s="1"/>
  <c r="AU201" i="39" a="1"/>
  <c r="AU201" i="39" s="1"/>
  <c r="BA268" i="39" a="1"/>
  <c r="BA268" i="39" s="1"/>
  <c r="AU268" i="39" a="1"/>
  <c r="AU268" i="39" s="1"/>
  <c r="BA322" i="39" a="1"/>
  <c r="BA322" i="39" s="1"/>
  <c r="AU322" i="39" a="1"/>
  <c r="AU322" i="39" s="1"/>
  <c r="BA262" i="39" a="1"/>
  <c r="BA262" i="39" s="1"/>
  <c r="AU262" i="39" a="1"/>
  <c r="AU262" i="39" s="1"/>
  <c r="BA320" i="39" a="1"/>
  <c r="BA320" i="39" s="1"/>
  <c r="AU320" i="39" a="1"/>
  <c r="AU320" i="39" s="1"/>
  <c r="BA247" i="39" a="1"/>
  <c r="BA247" i="39" s="1"/>
  <c r="AU247" i="39" a="1"/>
  <c r="AU247" i="39" s="1"/>
  <c r="BA311" i="39" a="1"/>
  <c r="BA311" i="39" s="1"/>
  <c r="AU311" i="39" a="1"/>
  <c r="AU311" i="39" s="1"/>
  <c r="BA330" i="39" a="1"/>
  <c r="BA330" i="39" s="1"/>
  <c r="AU330" i="39" a="1"/>
  <c r="AU330" i="39" s="1"/>
  <c r="BA271" i="39" a="1"/>
  <c r="BA271" i="39" s="1"/>
  <c r="AU271" i="39" a="1"/>
  <c r="AU271" i="39" s="1"/>
  <c r="BA302" i="39" a="1"/>
  <c r="BA302" i="39" s="1"/>
  <c r="AU302" i="39" a="1"/>
  <c r="AU302" i="39" s="1"/>
  <c r="BA214" i="39" a="1"/>
  <c r="BA214" i="39" s="1"/>
  <c r="AU214" i="39" a="1"/>
  <c r="AU214" i="39" s="1"/>
  <c r="BA154" i="39" a="1"/>
  <c r="BA154" i="39" s="1"/>
  <c r="AU154" i="39" a="1"/>
  <c r="AU154" i="39" s="1"/>
  <c r="BA47" i="39" a="1"/>
  <c r="BA47" i="39" s="1"/>
  <c r="AU47" i="39" a="1"/>
  <c r="AU47" i="39" s="1"/>
  <c r="BA103" i="39" a="1"/>
  <c r="BA103" i="39" s="1"/>
  <c r="AU103" i="39" a="1"/>
  <c r="AU103" i="39" s="1"/>
  <c r="BA26" i="39" a="1"/>
  <c r="BA26" i="39" s="1"/>
  <c r="AU26" i="39" a="1"/>
  <c r="AU26" i="39" s="1"/>
  <c r="BA38" i="39" a="1"/>
  <c r="BA38" i="39" s="1"/>
  <c r="AU38" i="39" a="1"/>
  <c r="AU38" i="39" s="1"/>
  <c r="BA183" i="39" a="1"/>
  <c r="BA183" i="39" s="1"/>
  <c r="AU183" i="39" a="1"/>
  <c r="AU183" i="39" s="1"/>
  <c r="BA34" i="39" a="1"/>
  <c r="BA34" i="39" s="1"/>
  <c r="AU34" i="39" a="1"/>
  <c r="AU34" i="39" s="1"/>
  <c r="BA61" i="39" a="1"/>
  <c r="BA61" i="39" s="1"/>
  <c r="AU61" i="39" a="1"/>
  <c r="AU61" i="39" s="1"/>
  <c r="BA106" i="39" a="1"/>
  <c r="BA106" i="39" s="1"/>
  <c r="AU106" i="39" a="1"/>
  <c r="AU106" i="39" s="1"/>
  <c r="BA58" i="39" a="1"/>
  <c r="BA58" i="39" s="1"/>
  <c r="AU58" i="39" a="1"/>
  <c r="AU58" i="39" s="1"/>
  <c r="BA94" i="39" a="1"/>
  <c r="BA94" i="39" s="1"/>
  <c r="AU94" i="39" a="1"/>
  <c r="AU94" i="39" s="1"/>
  <c r="BA35" i="39" a="1"/>
  <c r="BA35" i="39" s="1"/>
  <c r="AU35" i="39" a="1"/>
  <c r="AU35" i="39" s="1"/>
  <c r="BA152" i="39" a="1"/>
  <c r="BA152" i="39" s="1"/>
  <c r="AU152" i="39" a="1"/>
  <c r="AU152" i="39" s="1"/>
  <c r="BA159" i="39" a="1"/>
  <c r="BA159" i="39" s="1"/>
  <c r="AU159" i="39" a="1"/>
  <c r="AU159" i="39" s="1"/>
  <c r="BA43" i="39" a="1"/>
  <c r="BA43" i="39" s="1"/>
  <c r="AU43" i="39" a="1"/>
  <c r="AU43" i="39" s="1"/>
  <c r="BA236" i="39" a="1"/>
  <c r="BA236" i="39" s="1"/>
  <c r="AU236" i="39" a="1"/>
  <c r="AU236" i="39" s="1"/>
  <c r="BA146" i="39" a="1"/>
  <c r="BA146" i="39" s="1"/>
  <c r="AU146" i="39" a="1"/>
  <c r="AU146" i="39" s="1"/>
  <c r="BA293" i="39" a="1"/>
  <c r="BA293" i="39" s="1"/>
  <c r="AU293" i="39" a="1"/>
  <c r="AU293" i="39" s="1"/>
  <c r="BA194" i="39" a="1"/>
  <c r="BA194" i="39" s="1"/>
  <c r="AU194" i="39" a="1"/>
  <c r="AU194" i="39" s="1"/>
  <c r="BA269" i="39" a="1"/>
  <c r="BA269" i="39" s="1"/>
  <c r="AU269" i="39" a="1"/>
  <c r="AU269" i="39" s="1"/>
  <c r="BA255" i="39" a="1"/>
  <c r="BA255" i="39" s="1"/>
  <c r="AU255" i="39" a="1"/>
  <c r="AU255" i="39" s="1"/>
  <c r="BA324" i="39" a="1"/>
  <c r="BA324" i="39" s="1"/>
  <c r="AU324" i="39" a="1"/>
  <c r="AU324" i="39" s="1"/>
  <c r="BA253" i="39" a="1"/>
  <c r="BA253" i="39" s="1"/>
  <c r="AU253" i="39" a="1"/>
  <c r="AU253" i="39" s="1"/>
  <c r="BA316" i="39" a="1"/>
  <c r="BA316" i="39" s="1"/>
  <c r="AU316" i="39" a="1"/>
  <c r="AU316" i="39" s="1"/>
  <c r="BA243" i="39" a="1"/>
  <c r="BA243" i="39" s="1"/>
  <c r="AU243" i="39" a="1"/>
  <c r="AU243" i="39" s="1"/>
  <c r="BA307" i="39" a="1"/>
  <c r="BA307" i="39" s="1"/>
  <c r="AU307" i="39" a="1"/>
  <c r="AU307" i="39" s="1"/>
  <c r="BA259" i="39" a="1"/>
  <c r="BA259" i="39" s="1"/>
  <c r="AU259" i="39" a="1"/>
  <c r="AU259" i="39" s="1"/>
  <c r="BA264" i="39" a="1"/>
  <c r="BA264" i="39" s="1"/>
  <c r="AU264" i="39" a="1"/>
  <c r="AU264" i="39" s="1"/>
  <c r="BA129" i="39" a="1"/>
  <c r="BA129" i="39" s="1"/>
  <c r="AU129" i="39" a="1"/>
  <c r="AU129" i="39" s="1"/>
  <c r="BA213" i="39" a="1"/>
  <c r="BA213" i="39" s="1"/>
  <c r="AU213" i="39" a="1"/>
  <c r="AU213" i="39" s="1"/>
  <c r="BA136" i="39" a="1"/>
  <c r="BA136" i="39" s="1"/>
  <c r="AU136" i="39" a="1"/>
  <c r="AU136" i="39" s="1"/>
  <c r="BA211" i="39" a="1"/>
  <c r="BA211" i="39" s="1"/>
  <c r="AU211" i="39" a="1"/>
  <c r="AU211" i="39" s="1"/>
  <c r="BA121" i="39" a="1"/>
  <c r="BA121" i="39" s="1"/>
  <c r="AU121" i="39" a="1"/>
  <c r="AU121" i="39" s="1"/>
  <c r="BA130" i="39" a="1"/>
  <c r="BA130" i="39" s="1"/>
  <c r="AU130" i="39" a="1"/>
  <c r="AU130" i="39" s="1"/>
  <c r="BA180" i="39" a="1"/>
  <c r="BA180" i="39" s="1"/>
  <c r="AU180" i="39" a="1"/>
  <c r="AU180" i="39" s="1"/>
  <c r="BA289" i="39" a="1"/>
  <c r="BA289" i="39" s="1"/>
  <c r="AU289" i="39" a="1"/>
  <c r="AU289" i="39" s="1"/>
  <c r="BA188" i="39" a="1"/>
  <c r="BA188" i="39" s="1"/>
  <c r="AU188" i="39" a="1"/>
  <c r="AU188" i="39" s="1"/>
  <c r="BA133" i="39" a="1"/>
  <c r="BA133" i="39" s="1"/>
  <c r="AU133" i="39" a="1"/>
  <c r="AU133" i="39" s="1"/>
  <c r="BA66" i="39" a="1"/>
  <c r="BA66" i="39" s="1"/>
  <c r="AU66" i="39" a="1"/>
  <c r="AU66" i="39" s="1"/>
  <c r="BA175" i="39" a="1"/>
  <c r="BA175" i="39" s="1"/>
  <c r="AU175" i="39" a="1"/>
  <c r="AU175" i="39" s="1"/>
  <c r="BA335" i="39" a="1"/>
  <c r="BA335" i="39" s="1"/>
  <c r="AU335" i="39" a="1"/>
  <c r="AU335" i="39" s="1"/>
  <c r="BA126" i="39" a="1"/>
  <c r="BA126" i="39" s="1"/>
  <c r="AU126" i="39" a="1"/>
  <c r="AU126" i="39" s="1"/>
  <c r="BA50" i="39" a="1"/>
  <c r="BA50" i="39" s="1"/>
  <c r="AU50" i="39" a="1"/>
  <c r="AU50" i="39" s="1"/>
  <c r="BA12" i="39" a="1"/>
  <c r="BA12" i="39" s="1"/>
  <c r="AU12" i="39" a="1"/>
  <c r="AU12" i="39" s="1"/>
  <c r="BA184" i="39" a="1"/>
  <c r="BA184" i="39" s="1"/>
  <c r="AU184" i="39" a="1"/>
  <c r="AU184" i="39" s="1"/>
  <c r="BA24" i="39" a="1"/>
  <c r="BA24" i="39" s="1"/>
  <c r="AU24" i="39" a="1"/>
  <c r="AU24" i="39" s="1"/>
  <c r="BA151" i="39" a="1"/>
  <c r="BA151" i="39" s="1"/>
  <c r="AU151" i="39" a="1"/>
  <c r="AU151" i="39" s="1"/>
  <c r="BA42" i="39" a="1"/>
  <c r="BA42" i="39" s="1"/>
  <c r="AU42" i="39" a="1"/>
  <c r="AU42" i="39" s="1"/>
  <c r="BA33" i="39" a="1"/>
  <c r="BA33" i="39" s="1"/>
  <c r="AU33" i="39" a="1"/>
  <c r="AU33" i="39" s="1"/>
  <c r="BA161" i="39" a="1"/>
  <c r="BA161" i="39" s="1"/>
  <c r="AU161" i="39" a="1"/>
  <c r="AU161" i="39" s="1"/>
  <c r="BA176" i="39" a="1"/>
  <c r="BA176" i="39" s="1"/>
  <c r="AU176" i="39" a="1"/>
  <c r="AU176" i="39" s="1"/>
  <c r="BA113" i="39" a="1"/>
  <c r="BA113" i="39" s="1"/>
  <c r="AU113" i="39" a="1"/>
  <c r="AU113" i="39" s="1"/>
  <c r="BA179" i="39" a="1"/>
  <c r="BA179" i="39" s="1"/>
  <c r="AU179" i="39" a="1"/>
  <c r="AU179" i="39" s="1"/>
  <c r="BA62" i="39" a="1"/>
  <c r="BA62" i="39" s="1"/>
  <c r="AU62" i="39" a="1"/>
  <c r="AU62" i="39" s="1"/>
  <c r="BA217" i="39" a="1"/>
  <c r="BA217" i="39" s="1"/>
  <c r="AU217" i="39" a="1"/>
  <c r="AU217" i="39" s="1"/>
  <c r="BA321" i="39" a="1"/>
  <c r="BA321" i="39" s="1"/>
  <c r="AU321" i="39" a="1"/>
  <c r="AU321" i="39" s="1"/>
  <c r="BA249" i="39" a="1"/>
  <c r="BA249" i="39" s="1"/>
  <c r="AU249" i="39" a="1"/>
  <c r="AU249" i="39" s="1"/>
  <c r="BA240" i="39" a="1"/>
  <c r="BA240" i="39" s="1"/>
  <c r="AU240" i="39" a="1"/>
  <c r="AU240" i="39" s="1"/>
  <c r="BA323" i="39" a="1"/>
  <c r="BA323" i="39" s="1"/>
  <c r="AU323" i="39" a="1"/>
  <c r="AU323" i="39" s="1"/>
  <c r="BA319" i="39" a="1"/>
  <c r="BA319" i="39" s="1"/>
  <c r="AU319" i="39" a="1"/>
  <c r="AU319" i="39" s="1"/>
  <c r="BA245" i="39" a="1"/>
  <c r="BA245" i="39" s="1"/>
  <c r="AU245" i="39" a="1"/>
  <c r="AU245" i="39" s="1"/>
  <c r="BA56" i="39" a="1"/>
  <c r="BA56" i="39" s="1"/>
  <c r="AU56" i="39" a="1"/>
  <c r="AU56" i="39" s="1"/>
  <c r="BA210" i="39" a="1"/>
  <c r="BA210" i="39" s="1"/>
  <c r="AU210" i="39" a="1"/>
  <c r="AU210" i="39" s="1"/>
  <c r="BA70" i="39" a="1"/>
  <c r="BA70" i="39" s="1"/>
  <c r="AU70" i="39" a="1"/>
  <c r="AU70" i="39" s="1"/>
  <c r="BA207" i="39" a="1"/>
  <c r="BA207" i="39" s="1"/>
  <c r="AU207" i="39" a="1"/>
  <c r="AU207" i="39" s="1"/>
  <c r="BA78" i="39" a="1"/>
  <c r="BA78" i="39" s="1"/>
  <c r="AU78" i="39" a="1"/>
  <c r="AU78" i="39" s="1"/>
  <c r="BA87" i="39" a="1"/>
  <c r="BA87" i="39" s="1"/>
  <c r="AU87" i="39" a="1"/>
  <c r="AU87" i="39" s="1"/>
  <c r="BA287" i="39" a="1"/>
  <c r="BA287" i="39" s="1"/>
  <c r="AU287" i="39" a="1"/>
  <c r="AU287" i="39" s="1"/>
  <c r="BA40" i="39" a="1"/>
  <c r="BA40" i="39" s="1"/>
  <c r="AU40" i="39" a="1"/>
  <c r="AU40" i="39" s="1"/>
  <c r="BA338" i="39" a="1"/>
  <c r="BA338" i="39" s="1"/>
  <c r="AU338" i="39" a="1"/>
  <c r="AU338" i="39" s="1"/>
  <c r="BA98" i="39" a="1"/>
  <c r="BA98" i="39" s="1"/>
  <c r="AU98" i="39" a="1"/>
  <c r="AU98" i="39" s="1"/>
  <c r="BA95" i="39" a="1"/>
  <c r="BA95" i="39" s="1"/>
  <c r="AU95" i="39" a="1"/>
  <c r="AU95" i="39" s="1"/>
  <c r="BA120" i="39" a="1"/>
  <c r="BA120" i="39" s="1"/>
  <c r="AU120" i="39" a="1"/>
  <c r="AU120" i="39" s="1"/>
  <c r="BA147" i="39" a="1"/>
  <c r="BA147" i="39" s="1"/>
  <c r="AU147" i="39" a="1"/>
  <c r="AU147" i="39" s="1"/>
  <c r="BA153" i="39" a="1"/>
  <c r="BA153" i="39" s="1"/>
  <c r="AU153" i="39" a="1"/>
  <c r="AU153" i="39" s="1"/>
  <c r="BA191" i="39" a="1"/>
  <c r="BA191" i="39" s="1"/>
  <c r="AU191" i="39" a="1"/>
  <c r="AU191" i="39" s="1"/>
  <c r="BA105" i="39" a="1"/>
  <c r="BA105" i="39" s="1"/>
  <c r="AU105" i="39" a="1"/>
  <c r="AU105" i="39" s="1"/>
  <c r="BA125" i="39" a="1"/>
  <c r="BA125" i="39" s="1"/>
  <c r="AU125" i="39" a="1"/>
  <c r="AU125" i="39" s="1"/>
  <c r="BA44" i="39" a="1"/>
  <c r="BA44" i="39" s="1"/>
  <c r="AU44" i="39" a="1"/>
  <c r="AU44" i="39" s="1"/>
  <c r="BA138" i="39" a="1"/>
  <c r="BA138" i="39" s="1"/>
  <c r="AU138" i="39" a="1"/>
  <c r="AU138" i="39" s="1"/>
  <c r="BA29" i="39" a="1"/>
  <c r="BA29" i="39" s="1"/>
  <c r="AU29" i="39" a="1"/>
  <c r="AU29" i="39" s="1"/>
  <c r="BA171" i="39" a="1"/>
  <c r="BA171" i="39" s="1"/>
  <c r="AU171" i="39" a="1"/>
  <c r="AU171" i="39" s="1"/>
  <c r="BA68" i="39" a="1"/>
  <c r="BA68" i="39" s="1"/>
  <c r="AU68" i="39" a="1"/>
  <c r="AU68" i="39" s="1"/>
  <c r="BA238" i="39" a="1"/>
  <c r="BA238" i="39" s="1"/>
  <c r="AU238" i="39" a="1"/>
  <c r="AU238" i="39" s="1"/>
  <c r="BA185" i="39" a="1"/>
  <c r="BA185" i="39" s="1"/>
  <c r="AU185" i="39" a="1"/>
  <c r="AU185" i="39" s="1"/>
  <c r="BA248" i="39" a="1"/>
  <c r="BA248" i="39" s="1"/>
  <c r="AU248" i="39" a="1"/>
  <c r="AU248" i="39" s="1"/>
  <c r="BA223" i="39" a="1"/>
  <c r="BA223" i="39" s="1"/>
  <c r="AU223" i="39" a="1"/>
  <c r="AU223" i="39" s="1"/>
  <c r="BA304" i="39" a="1"/>
  <c r="BA304" i="39" s="1"/>
  <c r="AU304" i="39" a="1"/>
  <c r="AU304" i="39" s="1"/>
  <c r="BA242" i="39" a="1"/>
  <c r="BA242" i="39" s="1"/>
  <c r="AU242" i="39" a="1"/>
  <c r="AU242" i="39" s="1"/>
  <c r="BA308" i="39" a="1"/>
  <c r="BA308" i="39" s="1"/>
  <c r="AU308" i="39" a="1"/>
  <c r="AU308" i="39" s="1"/>
  <c r="BA258" i="39" a="1"/>
  <c r="BA258" i="39" s="1"/>
  <c r="AU258" i="39" a="1"/>
  <c r="AU258" i="39" s="1"/>
  <c r="BA315" i="39" a="1"/>
  <c r="BA315" i="39" s="1"/>
  <c r="AU315" i="39" a="1"/>
  <c r="AU315" i="39" s="1"/>
  <c r="BA244" i="39" a="1"/>
  <c r="BA244" i="39" s="1"/>
  <c r="AU244" i="39" a="1"/>
  <c r="AU244" i="39" s="1"/>
  <c r="BA295" i="39" a="1"/>
  <c r="BA295" i="39" s="1"/>
  <c r="AU295" i="39" a="1"/>
  <c r="AU295" i="39" s="1"/>
  <c r="BA226" i="39" a="1"/>
  <c r="BA226" i="39" s="1"/>
  <c r="AU226" i="39" a="1"/>
  <c r="AU226" i="39" s="1"/>
  <c r="BA199" i="39" a="1"/>
  <c r="BA199" i="39" s="1"/>
  <c r="AU199" i="39" a="1"/>
  <c r="AU199" i="39" s="1"/>
  <c r="BA197" i="39" a="1"/>
  <c r="BA197" i="39" s="1"/>
  <c r="AU197" i="39" a="1"/>
  <c r="AU197" i="39" s="1"/>
  <c r="BA22" i="39" a="1"/>
  <c r="BA22" i="39" s="1"/>
  <c r="AU22" i="39" a="1"/>
  <c r="AU22" i="39" s="1"/>
  <c r="BA21" i="39" a="1"/>
  <c r="BA21" i="39" s="1"/>
  <c r="AU21" i="39" a="1"/>
  <c r="AU21" i="39" s="1"/>
  <c r="BA72" i="39" a="1"/>
  <c r="BA72" i="39" s="1"/>
  <c r="AU72" i="39" a="1"/>
  <c r="AU72" i="39" s="1"/>
  <c r="BA92" i="39" a="1"/>
  <c r="BA92" i="39" s="1"/>
  <c r="AU92" i="39" a="1"/>
  <c r="AU92" i="39" s="1"/>
  <c r="BA342" i="39" a="1"/>
  <c r="BA342" i="39" s="1"/>
  <c r="AU342" i="39" a="1"/>
  <c r="AU342" i="39" s="1"/>
  <c r="BA281" i="39" a="1"/>
  <c r="BA281" i="39" s="1"/>
  <c r="AU281" i="39" a="1"/>
  <c r="AU281" i="39" s="1"/>
  <c r="BA250" i="39" a="1"/>
  <c r="BA250" i="39" s="1"/>
  <c r="AU250" i="39" a="1"/>
  <c r="AU250" i="39" s="1"/>
  <c r="BA18" i="39" a="1"/>
  <c r="BA18" i="39" s="1"/>
  <c r="AU18" i="39" a="1"/>
  <c r="AU18" i="39" s="1"/>
  <c r="BA36" i="39" a="1"/>
  <c r="BA36" i="39" s="1"/>
  <c r="AU36" i="39" a="1"/>
  <c r="AU36" i="39" s="1"/>
  <c r="BA172" i="39" a="1"/>
  <c r="BA172" i="39" s="1"/>
  <c r="AU172" i="39" a="1"/>
  <c r="AU172" i="39" s="1"/>
  <c r="BA340" i="39" a="1"/>
  <c r="BA340" i="39" s="1"/>
  <c r="AU340" i="39" a="1"/>
  <c r="AU340" i="39" s="1"/>
  <c r="BA145" i="39" a="1"/>
  <c r="BA145" i="39" s="1"/>
  <c r="AU145" i="39" a="1"/>
  <c r="AU145" i="39" s="1"/>
  <c r="BA28" i="39" a="1"/>
  <c r="BA28" i="39" s="1"/>
  <c r="AU28" i="39" a="1"/>
  <c r="AU28" i="39" s="1"/>
  <c r="BA131" i="39" a="1"/>
  <c r="BA131" i="39" s="1"/>
  <c r="AU131" i="39" a="1"/>
  <c r="AU131" i="39" s="1"/>
  <c r="BA65" i="39" a="1"/>
  <c r="BA65" i="39" s="1"/>
  <c r="AU65" i="39" a="1"/>
  <c r="AU65" i="39" s="1"/>
  <c r="BA168" i="39" a="1"/>
  <c r="BA168" i="39" s="1"/>
  <c r="AU168" i="39" a="1"/>
  <c r="AU168" i="39" s="1"/>
  <c r="BA27" i="39" a="1"/>
  <c r="BA27" i="39" s="1"/>
  <c r="AU27" i="39" a="1"/>
  <c r="AU27" i="39" s="1"/>
  <c r="BA117" i="39" a="1"/>
  <c r="BA117" i="39" s="1"/>
  <c r="AU117" i="39" a="1"/>
  <c r="AU117" i="39" s="1"/>
  <c r="BA41" i="39" a="1"/>
  <c r="BA41" i="39" s="1"/>
  <c r="AU41" i="39" a="1"/>
  <c r="AU41" i="39" s="1"/>
  <c r="BA51" i="39" a="1"/>
  <c r="BA51" i="39" s="1"/>
  <c r="AU51" i="39" a="1"/>
  <c r="AU51" i="39" s="1"/>
  <c r="BA181" i="39" a="1"/>
  <c r="BA181" i="39" s="1"/>
  <c r="AU181" i="39" a="1"/>
  <c r="AU181" i="39" s="1"/>
  <c r="BA173" i="39" a="1"/>
  <c r="BA173" i="39" s="1"/>
  <c r="AU173" i="39" a="1"/>
  <c r="AU173" i="39" s="1"/>
  <c r="BA237" i="39" a="1"/>
  <c r="BA237" i="39" s="1"/>
  <c r="AU237" i="39" a="1"/>
  <c r="AU237" i="39" s="1"/>
  <c r="BA257" i="39" a="1"/>
  <c r="BA257" i="39" s="1"/>
  <c r="AU257" i="39" a="1"/>
  <c r="AU257" i="39" s="1"/>
  <c r="BA261" i="39" a="1"/>
  <c r="BA261" i="39" s="1"/>
  <c r="AU261" i="39" a="1"/>
  <c r="AU261" i="39" s="1"/>
  <c r="BA314" i="39" a="1"/>
  <c r="BA314" i="39" s="1"/>
  <c r="AU314" i="39" a="1"/>
  <c r="AU314" i="39" s="1"/>
  <c r="BA346" i="39" a="1"/>
  <c r="BA346" i="39" s="1"/>
  <c r="AU346" i="39" a="1"/>
  <c r="AU346" i="39" s="1"/>
  <c r="BA312" i="39" a="1"/>
  <c r="BA312" i="39" s="1"/>
  <c r="AU312" i="39" a="1"/>
  <c r="AU312" i="39" s="1"/>
  <c r="BA345" i="39" a="1"/>
  <c r="BA345" i="39" s="1"/>
  <c r="AU345" i="39" a="1"/>
  <c r="AU345" i="39" s="1"/>
  <c r="BA290" i="39" a="1"/>
  <c r="BA290" i="39" s="1"/>
  <c r="AU290" i="39" a="1"/>
  <c r="AU290" i="39" s="1"/>
  <c r="BA225" i="39" a="1"/>
  <c r="BA225" i="39" s="1"/>
  <c r="AU225" i="39" a="1"/>
  <c r="AU225" i="39" s="1"/>
  <c r="BA219" i="39" a="1"/>
  <c r="BA219" i="39" s="1"/>
  <c r="AU219" i="39" a="1"/>
  <c r="AU219" i="39" s="1"/>
  <c r="BA157" i="39" a="1"/>
  <c r="BA157" i="39" s="1"/>
  <c r="AU157" i="39" a="1"/>
  <c r="AU157" i="39" s="1"/>
  <c r="BA142" i="39" a="1"/>
  <c r="BA142" i="39" s="1"/>
  <c r="AU142" i="39" a="1"/>
  <c r="AU142" i="39" s="1"/>
  <c r="BA69" i="39" a="1"/>
  <c r="BA69" i="39" s="1"/>
  <c r="AU69" i="39" a="1"/>
  <c r="AU69" i="39" s="1"/>
  <c r="BA84" i="39" a="1"/>
  <c r="BA84" i="39" s="1"/>
  <c r="AU84" i="39" a="1"/>
  <c r="AU84" i="39" s="1"/>
  <c r="BA64" i="39" a="1"/>
  <c r="BA64" i="39" s="1"/>
  <c r="AU64" i="39" a="1"/>
  <c r="AU64" i="39" s="1"/>
  <c r="BA45" i="39" a="1"/>
  <c r="BA45" i="39" s="1"/>
  <c r="AU45" i="39" a="1"/>
  <c r="AU45" i="39" s="1"/>
  <c r="BA128" i="39" a="1"/>
  <c r="BA128" i="39" s="1"/>
  <c r="AU128" i="39" a="1"/>
  <c r="AU128" i="39" s="1"/>
  <c r="BA10" i="39" a="1"/>
  <c r="BA10" i="39" s="1"/>
  <c r="AU10" i="39" a="1"/>
  <c r="AU10" i="39" s="1"/>
  <c r="BA76" i="39" a="1"/>
  <c r="BA76" i="39" s="1"/>
  <c r="AU76" i="39" a="1"/>
  <c r="AU76" i="39" s="1"/>
  <c r="BA102" i="39" a="1"/>
  <c r="BA102" i="39" s="1"/>
  <c r="AU102" i="39" a="1"/>
  <c r="AU102" i="39" s="1"/>
  <c r="BA107" i="39" a="1"/>
  <c r="BA107" i="39" s="1"/>
  <c r="AU107" i="39" a="1"/>
  <c r="AU107" i="39" s="1"/>
  <c r="BA137" i="39" a="1"/>
  <c r="BA137" i="39" s="1"/>
  <c r="AU137" i="39" a="1"/>
  <c r="AU137" i="39" s="1"/>
  <c r="BA135" i="39" a="1"/>
  <c r="BA135" i="39" s="1"/>
  <c r="AU135" i="39" a="1"/>
  <c r="AU135" i="39" s="1"/>
  <c r="BA189" i="39" a="1"/>
  <c r="BA189" i="39" s="1"/>
  <c r="AU189" i="39" a="1"/>
  <c r="AU189" i="39" s="1"/>
  <c r="BA204" i="39" a="1"/>
  <c r="BA204" i="39" s="1"/>
  <c r="AU204" i="39" a="1"/>
  <c r="AU204" i="39" s="1"/>
  <c r="BA272" i="39" a="1"/>
  <c r="BA272" i="39" s="1"/>
  <c r="AU272" i="39" a="1"/>
  <c r="AU272" i="39" s="1"/>
  <c r="BA254" i="39" a="1"/>
  <c r="BA254" i="39" s="1"/>
  <c r="AU254" i="39" a="1"/>
  <c r="AU254" i="39" s="1"/>
  <c r="BA276" i="39" a="1"/>
  <c r="BA276" i="39" s="1"/>
  <c r="AU276" i="39" a="1"/>
  <c r="AU276" i="39" s="1"/>
  <c r="BA234" i="39" a="1"/>
  <c r="BA234" i="39" s="1"/>
  <c r="AU234" i="39" a="1"/>
  <c r="AU234" i="39" s="1"/>
  <c r="BA233" i="39" a="1"/>
  <c r="BA233" i="39" s="1"/>
  <c r="AU233" i="39" a="1"/>
  <c r="AU233" i="39" s="1"/>
  <c r="BA299" i="39" a="1"/>
  <c r="BA299" i="39" s="1"/>
  <c r="AU299" i="39" a="1"/>
  <c r="AU299" i="39" s="1"/>
  <c r="BA350" i="39" a="1"/>
  <c r="BA350" i="39" s="1"/>
  <c r="AU350" i="39" a="1"/>
  <c r="AU350" i="39" s="1"/>
  <c r="BA251" i="39" a="1"/>
  <c r="BA251" i="39" s="1"/>
  <c r="AU251" i="39" a="1"/>
  <c r="AU251" i="39" s="1"/>
  <c r="BA306" i="39" a="1"/>
  <c r="BA306" i="39" s="1"/>
  <c r="AU306" i="39" a="1"/>
  <c r="AU306" i="39" s="1"/>
  <c r="BA336" i="39" a="1"/>
  <c r="BA336" i="39" s="1"/>
  <c r="AU336" i="39" a="1"/>
  <c r="AU336" i="39" s="1"/>
  <c r="BA277" i="39" a="1"/>
  <c r="BA277" i="39" s="1"/>
  <c r="AU277" i="39" a="1"/>
  <c r="AU277" i="39" s="1"/>
  <c r="BA209" i="39" a="1"/>
  <c r="BA209" i="39" s="1"/>
  <c r="AU209" i="39" a="1"/>
  <c r="AU209" i="39" s="1"/>
  <c r="BA215" i="39" a="1"/>
  <c r="BA215" i="39" s="1"/>
  <c r="AU215" i="39" a="1"/>
  <c r="AU215" i="39" s="1"/>
  <c r="BA85" i="39" a="1"/>
  <c r="BA85" i="39" s="1"/>
  <c r="AU85" i="39" a="1"/>
  <c r="AU85" i="39" s="1"/>
  <c r="BA198" i="39" a="1"/>
  <c r="BA198" i="39" s="1"/>
  <c r="AU198" i="39" a="1"/>
  <c r="AU198" i="39" s="1"/>
  <c r="BA115" i="39" a="1"/>
  <c r="BA115" i="39" s="1"/>
  <c r="AU115" i="39" a="1"/>
  <c r="AU115" i="39" s="1"/>
  <c r="BA46" i="39" a="1"/>
  <c r="BA46" i="39" s="1"/>
  <c r="AU46" i="39" a="1"/>
  <c r="AU46" i="39" s="1"/>
  <c r="BA132" i="39" a="1"/>
  <c r="BA132" i="39" s="1"/>
  <c r="AU132" i="39" a="1"/>
  <c r="AU132" i="39" s="1"/>
  <c r="BA140" i="39" a="1"/>
  <c r="BA140" i="39" s="1"/>
  <c r="AU140" i="39" a="1"/>
  <c r="AU140" i="39" s="1"/>
  <c r="BA48" i="39" a="1"/>
  <c r="BA48" i="39" s="1"/>
  <c r="AU48" i="39" a="1"/>
  <c r="AU48" i="39" s="1"/>
  <c r="BA177" i="39" a="1"/>
  <c r="BA177" i="39" s="1"/>
  <c r="AU177" i="39" a="1"/>
  <c r="AU177" i="39" s="1"/>
  <c r="BA32" i="39" a="1"/>
  <c r="BA32" i="39" s="1"/>
  <c r="AU32" i="39" a="1"/>
  <c r="AU32" i="39" s="1"/>
  <c r="BA93" i="39" a="1"/>
  <c r="BA93" i="39" s="1"/>
  <c r="AU93" i="39" a="1"/>
  <c r="AU93" i="39" s="1"/>
  <c r="BA124" i="39" a="1"/>
  <c r="BA124" i="39" s="1"/>
  <c r="AU124" i="39" a="1"/>
  <c r="AU124" i="39" s="1"/>
  <c r="BA212" i="39" a="1"/>
  <c r="BA212" i="39" s="1"/>
  <c r="AU212" i="39" a="1"/>
  <c r="AU212" i="39" s="1"/>
  <c r="BA109" i="39" a="1"/>
  <c r="BA109" i="39" s="1"/>
  <c r="AU109" i="39" a="1"/>
  <c r="AU109" i="39" s="1"/>
  <c r="BA239" i="39" a="1"/>
  <c r="BA239" i="39" s="1"/>
  <c r="AU239" i="39" a="1"/>
  <c r="AU239" i="39" s="1"/>
  <c r="BA220" i="39" a="1"/>
  <c r="BA220" i="39" s="1"/>
  <c r="AU220" i="39" a="1"/>
  <c r="AU220" i="39" s="1"/>
  <c r="BA206" i="39" a="1"/>
  <c r="BA206" i="39" s="1"/>
  <c r="AU206" i="39" a="1"/>
  <c r="AU206" i="39" s="1"/>
  <c r="BA317" i="39" a="1"/>
  <c r="BA317" i="39" s="1"/>
  <c r="AU317" i="39" a="1"/>
  <c r="AU317" i="39" s="1"/>
  <c r="BA310" i="39" a="1"/>
  <c r="BA310" i="39" s="1"/>
  <c r="AU310" i="39" a="1"/>
  <c r="AU310" i="39" s="1"/>
  <c r="BA294" i="39" a="1"/>
  <c r="BA294" i="39" s="1"/>
  <c r="AU294" i="39" a="1"/>
  <c r="AU294" i="39" s="1"/>
  <c r="BA351" i="39" a="1"/>
  <c r="BA351" i="39" s="1"/>
  <c r="AU351" i="39" a="1"/>
  <c r="AU351" i="39" s="1"/>
  <c r="BA296" i="39" a="1"/>
  <c r="BA296" i="39" s="1"/>
  <c r="AU296" i="39" a="1"/>
  <c r="AU296" i="39" s="1"/>
  <c r="BA341" i="39" a="1"/>
  <c r="BA341" i="39" s="1"/>
  <c r="AU341" i="39" a="1"/>
  <c r="AU341" i="39" s="1"/>
  <c r="BA348" i="39" a="1"/>
  <c r="BA348" i="39" s="1"/>
  <c r="AU348" i="39" a="1"/>
  <c r="AU348" i="39" s="1"/>
  <c r="BA334" i="39" a="1"/>
  <c r="BA334" i="39" s="1"/>
  <c r="AU334" i="39" a="1"/>
  <c r="AU334" i="39" s="1"/>
  <c r="BA270" i="39" a="1"/>
  <c r="BA270" i="39" s="1"/>
  <c r="AU270" i="39" a="1"/>
  <c r="AU270" i="39" s="1"/>
  <c r="BA163" i="39" a="1"/>
  <c r="BA163" i="39" s="1"/>
  <c r="AU163" i="39" a="1"/>
  <c r="AU163" i="39" s="1"/>
  <c r="BA91" i="39" a="1"/>
  <c r="BA91" i="39" s="1"/>
  <c r="AU91" i="39" a="1"/>
  <c r="AU91" i="39" s="1"/>
  <c r="BA187" i="39" a="1"/>
  <c r="BA187" i="39" s="1"/>
  <c r="AU187" i="39" a="1"/>
  <c r="AU187" i="39" s="1"/>
  <c r="BA252" i="39" a="1"/>
  <c r="BA252" i="39" s="1"/>
  <c r="AU252" i="39" a="1"/>
  <c r="AU252" i="39" s="1"/>
  <c r="BA54" i="39" a="1"/>
  <c r="BA54" i="39" s="1"/>
  <c r="AU54" i="39" a="1"/>
  <c r="AU54" i="39" s="1"/>
  <c r="BA63" i="39" a="1"/>
  <c r="BA63" i="39" s="1"/>
  <c r="AU63" i="39" a="1"/>
  <c r="AU63" i="39" s="1"/>
  <c r="BA39" i="39" a="1"/>
  <c r="BA39" i="39" s="1"/>
  <c r="AU39" i="39" a="1"/>
  <c r="AU39" i="39" s="1"/>
  <c r="BA178" i="39" a="1"/>
  <c r="BA178" i="39" s="1"/>
  <c r="AU178" i="39" a="1"/>
  <c r="AU178" i="39" s="1"/>
  <c r="BA280" i="39" a="1"/>
  <c r="BA280" i="39" s="1"/>
  <c r="AU280" i="39" a="1"/>
  <c r="AU280" i="39" s="1"/>
  <c r="BA325" i="39" a="1"/>
  <c r="BA325" i="39" s="1"/>
  <c r="AU325" i="39" a="1"/>
  <c r="AU325" i="39" s="1"/>
  <c r="BA274" i="39" a="1"/>
  <c r="BA274" i="39" s="1"/>
  <c r="AU274" i="39" a="1"/>
  <c r="AU274" i="39" s="1"/>
  <c r="BA100" i="39" a="1"/>
  <c r="BA100" i="39" s="1"/>
  <c r="AU100" i="39" a="1"/>
  <c r="AU100" i="39" s="1"/>
  <c r="BA15" i="39" a="1"/>
  <c r="BA15" i="39" s="1"/>
  <c r="AU15" i="39" a="1"/>
  <c r="AU15" i="39" s="1"/>
  <c r="BA97" i="39" a="1"/>
  <c r="BA97" i="39" s="1"/>
  <c r="AU97" i="39" a="1"/>
  <c r="AU97" i="39" s="1"/>
  <c r="BA122" i="39" a="1"/>
  <c r="BA122" i="39" s="1"/>
  <c r="AU122" i="39" a="1"/>
  <c r="AU122" i="39" s="1"/>
  <c r="BA83" i="39" a="1"/>
  <c r="BA83" i="39" s="1"/>
  <c r="AU83" i="39" a="1"/>
  <c r="AU83" i="39" s="1"/>
  <c r="BA30" i="39" a="1"/>
  <c r="BA30" i="39" s="1"/>
  <c r="AU30" i="39" a="1"/>
  <c r="AU30" i="39" s="1"/>
  <c r="BA192" i="39" a="1"/>
  <c r="BA192" i="39" s="1"/>
  <c r="AU192" i="39" a="1"/>
  <c r="AU192" i="39" s="1"/>
  <c r="BA104" i="39" a="1"/>
  <c r="BA104" i="39" s="1"/>
  <c r="AU104" i="39" a="1"/>
  <c r="AU104" i="39" s="1"/>
  <c r="BA116" i="39" a="1"/>
  <c r="BA116" i="39" s="1"/>
  <c r="AU116" i="39" a="1"/>
  <c r="AU116" i="39" s="1"/>
  <c r="BA75" i="39" a="1"/>
  <c r="BA75" i="39" s="1"/>
  <c r="AU75" i="39" a="1"/>
  <c r="AU75" i="39" s="1"/>
  <c r="BA216" i="39" a="1"/>
  <c r="BA216" i="39" s="1"/>
  <c r="AU216" i="39" a="1"/>
  <c r="AU216" i="39" s="1"/>
  <c r="BA170" i="39" a="1"/>
  <c r="BA170" i="39" s="1"/>
  <c r="AU170" i="39" a="1"/>
  <c r="AU170" i="39" s="1"/>
  <c r="BA86" i="39" a="1"/>
  <c r="BA86" i="39" s="1"/>
  <c r="AU86" i="39" a="1"/>
  <c r="AU86" i="39" s="1"/>
  <c r="BA224" i="39" a="1"/>
  <c r="BA224" i="39" s="1"/>
  <c r="AU224" i="39" a="1"/>
  <c r="AU224" i="39" s="1"/>
  <c r="BA301" i="39" a="1"/>
  <c r="BA301" i="39" s="1"/>
  <c r="AU301" i="39" a="1"/>
  <c r="AU301" i="39" s="1"/>
  <c r="BA229" i="39" a="1"/>
  <c r="BA229" i="39" s="1"/>
  <c r="AU229" i="39" a="1"/>
  <c r="AU229" i="39" s="1"/>
  <c r="BA283" i="39" a="1"/>
  <c r="BA283" i="39" s="1"/>
  <c r="AU283" i="39" a="1"/>
  <c r="AU283" i="39" s="1"/>
  <c r="BA114" i="39" a="1"/>
  <c r="BA114" i="39" s="1"/>
  <c r="AU114" i="39" a="1"/>
  <c r="AU114" i="39" s="1"/>
  <c r="BA347" i="39" a="1"/>
  <c r="BA347" i="39" s="1"/>
  <c r="AU347" i="39" a="1"/>
  <c r="AU347" i="39" s="1"/>
  <c r="BA349" i="39" a="1"/>
  <c r="BA349" i="39" s="1"/>
  <c r="AU349" i="39" a="1"/>
  <c r="AU349" i="39" s="1"/>
  <c r="BA292" i="39" a="1"/>
  <c r="BA292" i="39" s="1"/>
  <c r="AU292" i="39" a="1"/>
  <c r="AU292" i="39" s="1"/>
  <c r="BA337" i="39" a="1"/>
  <c r="BA337" i="39" s="1"/>
  <c r="AU337" i="39" a="1"/>
  <c r="AU337" i="39" s="1"/>
  <c r="BA303" i="39" a="1"/>
  <c r="BA303" i="39" s="1"/>
  <c r="AU303" i="39" a="1"/>
  <c r="AU303" i="39" s="1"/>
  <c r="BA235" i="39" a="1"/>
  <c r="BA235" i="39" s="1"/>
  <c r="AU235" i="39" a="1"/>
  <c r="AU235" i="39" s="1"/>
  <c r="BA298" i="39" a="1"/>
  <c r="BA298" i="39" s="1"/>
  <c r="AU298" i="39" a="1"/>
  <c r="AU298" i="39" s="1"/>
  <c r="BA332" i="39" a="1"/>
  <c r="BA332" i="39" s="1"/>
  <c r="AU332" i="39" a="1"/>
  <c r="AU332" i="39" s="1"/>
  <c r="BA263" i="39" a="1"/>
  <c r="BA263" i="39" s="1"/>
  <c r="AU263" i="39" a="1"/>
  <c r="AU263" i="39" s="1"/>
  <c r="BA190" i="39" a="1"/>
  <c r="BA190" i="39" s="1"/>
  <c r="AU190" i="39" a="1"/>
  <c r="AU190" i="39" s="1"/>
  <c r="D175" i="42"/>
  <c r="D155" i="42"/>
  <c r="D107" i="42"/>
  <c r="BJ336" i="39" a="1"/>
  <c r="BJ336" i="39" s="1"/>
  <c r="BK336" i="39" s="1"/>
  <c r="N90" i="37"/>
  <c r="K105" i="41"/>
  <c r="M90" i="37"/>
  <c r="K9" i="41"/>
  <c r="M10" i="37"/>
  <c r="N10" i="37"/>
  <c r="N130" i="37"/>
  <c r="K57" i="41"/>
  <c r="N50" i="37"/>
  <c r="K153" i="41"/>
  <c r="M130" i="37"/>
  <c r="M50" i="37"/>
  <c r="O111" i="37"/>
  <c r="BJ85" i="39" a="1"/>
  <c r="BJ85" i="39" s="1"/>
  <c r="BJ132" i="39" a="1"/>
  <c r="BJ132" i="39" s="1"/>
  <c r="BK132" i="39" s="1"/>
  <c r="O71" i="37"/>
  <c r="BJ62" i="39" a="1"/>
  <c r="BJ62" i="39" s="1"/>
  <c r="BK62" i="39" s="1"/>
  <c r="O31" i="37"/>
  <c r="BJ106" i="39" a="1"/>
  <c r="BJ106" i="39" s="1"/>
  <c r="BK106" i="39" s="1"/>
  <c r="BJ70" i="39" a="1"/>
  <c r="BJ70" i="39" s="1"/>
  <c r="BK70" i="39" s="1"/>
  <c r="O151" i="37"/>
  <c r="BJ180" i="39" a="1"/>
  <c r="BJ180" i="39" s="1"/>
  <c r="BK180" i="39" s="1"/>
  <c r="BJ246" i="39" a="1"/>
  <c r="BJ246" i="39" s="1"/>
  <c r="BK246" i="39" s="1"/>
  <c r="D56" i="42"/>
  <c r="BJ324" i="39" a="1"/>
  <c r="BJ324" i="39" s="1"/>
  <c r="BK324" i="39" s="1"/>
  <c r="BJ334" i="39" a="1"/>
  <c r="BJ334" i="39" s="1"/>
  <c r="BK334" i="39" s="1"/>
  <c r="BJ216" i="39" a="1"/>
  <c r="BJ216" i="39" s="1"/>
  <c r="BK216" i="39" s="1"/>
  <c r="BJ252" i="39" a="1"/>
  <c r="BJ252" i="39" s="1"/>
  <c r="BK252" i="39" s="1"/>
  <c r="BJ251" i="39" a="1"/>
  <c r="BJ251" i="39" s="1"/>
  <c r="BK251" i="39" s="1"/>
  <c r="BJ213" i="39" a="1"/>
  <c r="BJ213" i="39" s="1"/>
  <c r="BK213" i="39" s="1"/>
  <c r="BJ258" i="39" a="1"/>
  <c r="BJ258" i="39" s="1"/>
  <c r="BK258" i="39" s="1"/>
  <c r="BJ314" i="39" a="1"/>
  <c r="BJ314" i="39" s="1"/>
  <c r="BK314" i="39" s="1"/>
  <c r="BJ220" i="39" a="1"/>
  <c r="BJ220" i="39" s="1"/>
  <c r="BK220" i="39" s="1"/>
  <c r="BJ244" i="39" a="1"/>
  <c r="BJ244" i="39" s="1"/>
  <c r="BK244" i="39" s="1"/>
  <c r="BJ248" i="39" a="1"/>
  <c r="BJ248" i="39" s="1"/>
  <c r="BK248" i="39" s="1"/>
  <c r="J75" i="37"/>
  <c r="J155" i="37"/>
  <c r="J35" i="37"/>
  <c r="I75" i="37"/>
  <c r="N75" i="37"/>
  <c r="M75" i="37"/>
  <c r="I115" i="37"/>
  <c r="J115" i="37"/>
  <c r="M115" i="37"/>
  <c r="I155" i="37"/>
  <c r="I35" i="37"/>
  <c r="N35" i="37"/>
  <c r="N115" i="37"/>
  <c r="M155" i="37"/>
  <c r="M35" i="37"/>
  <c r="N155" i="37"/>
  <c r="O62" i="37"/>
  <c r="O142" i="37"/>
  <c r="O102" i="37"/>
  <c r="O146" i="37"/>
  <c r="O106" i="37"/>
  <c r="O26" i="37"/>
  <c r="O66" i="37"/>
  <c r="G115" i="37"/>
  <c r="G75" i="37"/>
  <c r="G155" i="37"/>
  <c r="G35" i="37"/>
  <c r="AR88" i="39"/>
  <c r="AR96" i="39"/>
  <c r="AR112" i="39"/>
  <c r="AR148" i="39"/>
  <c r="AR156" i="39"/>
  <c r="AR164" i="39"/>
  <c r="AR172" i="39"/>
  <c r="AR188" i="39"/>
  <c r="AR26" i="39"/>
  <c r="AR91" i="39"/>
  <c r="AR99" i="39"/>
  <c r="AR129" i="39"/>
  <c r="AR159" i="39"/>
  <c r="AR167" i="39"/>
  <c r="AR197" i="39"/>
  <c r="AR57" i="39"/>
  <c r="AR58" i="39"/>
  <c r="AR94" i="39"/>
  <c r="AR102" i="39"/>
  <c r="AR146" i="39"/>
  <c r="AR154" i="39"/>
  <c r="AR162" i="39"/>
  <c r="AR170" i="39"/>
  <c r="AR192" i="39"/>
  <c r="AR48" i="39"/>
  <c r="AR55" i="39"/>
  <c r="AR89" i="39"/>
  <c r="AR97" i="39"/>
  <c r="AR127" i="39"/>
  <c r="AR134" i="39"/>
  <c r="AR157" i="39"/>
  <c r="AR165" i="39"/>
  <c r="AR77" i="39"/>
  <c r="AR92" i="39"/>
  <c r="AR100" i="39"/>
  <c r="AR123" i="39"/>
  <c r="AR137" i="39"/>
  <c r="AR144" i="39"/>
  <c r="AR152" i="39"/>
  <c r="AR176" i="39"/>
  <c r="AR196" i="39"/>
  <c r="AR95" i="39"/>
  <c r="AR140" i="39"/>
  <c r="AR155" i="39"/>
  <c r="AR163" i="39"/>
  <c r="AR187" i="39"/>
  <c r="AR32" i="39"/>
  <c r="AR90" i="39"/>
  <c r="AR150" i="39"/>
  <c r="AR158" i="39"/>
  <c r="AR166" i="39"/>
  <c r="AR195" i="39"/>
  <c r="AR198" i="39"/>
  <c r="AR202" i="39"/>
  <c r="AR93" i="39"/>
  <c r="AR138" i="39"/>
  <c r="AR145" i="39"/>
  <c r="AR67" i="39"/>
  <c r="AR19" i="39"/>
  <c r="AR35" i="39"/>
  <c r="AR50" i="39"/>
  <c r="AR18" i="39"/>
  <c r="AR54" i="39"/>
  <c r="AR16" i="39"/>
  <c r="AR10" i="39"/>
  <c r="AR31" i="39"/>
  <c r="AR226" i="39"/>
  <c r="AR243" i="39"/>
  <c r="AR30" i="39"/>
  <c r="AR22" i="39"/>
  <c r="AR53" i="39"/>
  <c r="AR44" i="39"/>
  <c r="AR14" i="39"/>
  <c r="AR218" i="39"/>
  <c r="AR29" i="39"/>
  <c r="AR21" i="39"/>
  <c r="AR65" i="39"/>
  <c r="AR52" i="39"/>
  <c r="AR43" i="39"/>
  <c r="AR210" i="39"/>
  <c r="AR193" i="39"/>
  <c r="AR28" i="39"/>
  <c r="AR20" i="39"/>
  <c r="AR51" i="39"/>
  <c r="AR47" i="39"/>
  <c r="AR36" i="39"/>
  <c r="AR12" i="39"/>
  <c r="AR194" i="39"/>
  <c r="AR189" i="39"/>
  <c r="AR66" i="39"/>
  <c r="AR68" i="39"/>
  <c r="AR27" i="39"/>
  <c r="AR42" i="39"/>
  <c r="AR38" i="39"/>
  <c r="AR39" i="39"/>
  <c r="AR46" i="39"/>
  <c r="AR24" i="39"/>
  <c r="AR34" i="39"/>
  <c r="AR206" i="39"/>
  <c r="AR190" i="39"/>
  <c r="AR49" i="39"/>
  <c r="AR41" i="39"/>
  <c r="AR45" i="39"/>
  <c r="AR40" i="39"/>
  <c r="AR64" i="39"/>
  <c r="AR56" i="39"/>
  <c r="AR25" i="39"/>
  <c r="AR33" i="39"/>
  <c r="AR23" i="39"/>
  <c r="AR255" i="39"/>
  <c r="AR286" i="39"/>
  <c r="AR221" i="39"/>
  <c r="AR316" i="39"/>
  <c r="AR327" i="39"/>
  <c r="AR295" i="39"/>
  <c r="AR302" i="39"/>
  <c r="AR257" i="39"/>
  <c r="AR304" i="39"/>
  <c r="AR212" i="39"/>
  <c r="AR261" i="39"/>
  <c r="AR265" i="39"/>
  <c r="AR205" i="39"/>
  <c r="AR274" i="39"/>
  <c r="AR59" i="39"/>
  <c r="AR269" i="39"/>
  <c r="AR242" i="39"/>
  <c r="AR228" i="39"/>
  <c r="AR260" i="39"/>
  <c r="AR37" i="39"/>
  <c r="AR211" i="39"/>
  <c r="AR292" i="39"/>
  <c r="AR268" i="39"/>
  <c r="AR288" i="39"/>
  <c r="AR289" i="39"/>
  <c r="AR317" i="39"/>
  <c r="AR338" i="39"/>
  <c r="AR281" i="39"/>
  <c r="AR232" i="39"/>
  <c r="AR266" i="39"/>
  <c r="AR307" i="39"/>
  <c r="AR227" i="39"/>
  <c r="AR272" i="39"/>
  <c r="AR350" i="39"/>
  <c r="AR285" i="39"/>
  <c r="AR256" i="39"/>
  <c r="AR291" i="39"/>
  <c r="AR300" i="39"/>
  <c r="AR303" i="39"/>
  <c r="AR201" i="39"/>
  <c r="AR349" i="39"/>
  <c r="AR215" i="39"/>
  <c r="AR351" i="39"/>
  <c r="AR328" i="39"/>
  <c r="AR191" i="39"/>
  <c r="AR340" i="39"/>
  <c r="AR305" i="39"/>
  <c r="AR287" i="39"/>
  <c r="AR299" i="39"/>
  <c r="AR200" i="39"/>
  <c r="AR283" i="39"/>
  <c r="AR240" i="39"/>
  <c r="AR207" i="39"/>
  <c r="AR254" i="39"/>
  <c r="AR339" i="39"/>
  <c r="AR345" i="39"/>
  <c r="AR290" i="39"/>
  <c r="AR346" i="39"/>
  <c r="AR267" i="39"/>
  <c r="AR342" i="39"/>
  <c r="AR347" i="39"/>
  <c r="AR280" i="39"/>
  <c r="AR282" i="39"/>
  <c r="AR236" i="39"/>
  <c r="AR298" i="39"/>
  <c r="AR297" i="39"/>
  <c r="AR204" i="39"/>
  <c r="AR320" i="39"/>
  <c r="AR301" i="39"/>
  <c r="AR331" i="39"/>
  <c r="AR275" i="39"/>
  <c r="AR273" i="39"/>
  <c r="AR284" i="39"/>
  <c r="AR203" i="39"/>
  <c r="AR296" i="39"/>
  <c r="AR199" i="39"/>
  <c r="AR344" i="39"/>
  <c r="AR306" i="39"/>
  <c r="AR209" i="39"/>
  <c r="AR262" i="39"/>
  <c r="AR224" i="39"/>
  <c r="AR263" i="39"/>
  <c r="AR161" i="39"/>
  <c r="AR135" i="39"/>
  <c r="AR13" i="39"/>
  <c r="AR160" i="39"/>
  <c r="AR17" i="39"/>
  <c r="AR11" i="39"/>
  <c r="AR225" i="39"/>
  <c r="AR15" i="39"/>
  <c r="AR98" i="39"/>
  <c r="J102" i="37"/>
  <c r="V48" i="65"/>
  <c r="W48" i="65" s="1"/>
  <c r="AR279" i="39"/>
  <c r="AR241" i="39"/>
  <c r="V17" i="65"/>
  <c r="W17" i="65" s="1"/>
  <c r="AR348" i="39"/>
  <c r="V36" i="65"/>
  <c r="W36" i="65" s="1"/>
  <c r="V29" i="65"/>
  <c r="W29" i="65" s="1"/>
  <c r="AR311" i="39"/>
  <c r="V60" i="65"/>
  <c r="W60" i="65" s="1"/>
  <c r="AR278" i="39"/>
  <c r="AR277" i="39"/>
  <c r="V24" i="65"/>
  <c r="W24" i="65" s="1"/>
  <c r="AR276" i="39"/>
  <c r="F118" i="41"/>
  <c r="I62" i="37"/>
  <c r="M142" i="37"/>
  <c r="I22" i="37"/>
  <c r="G102" i="37"/>
  <c r="E22" i="41"/>
  <c r="M31" i="37"/>
  <c r="M62" i="37"/>
  <c r="I142" i="37"/>
  <c r="I102" i="37"/>
  <c r="E166" i="41"/>
  <c r="AR337" i="39"/>
  <c r="AR336" i="39"/>
  <c r="N71" i="37"/>
  <c r="V7" i="65"/>
  <c r="W7" i="65" s="1"/>
  <c r="V8" i="65"/>
  <c r="W8" i="65" s="1"/>
  <c r="V12" i="65"/>
  <c r="W12" i="65" s="1"/>
  <c r="V9" i="65"/>
  <c r="W9" i="65" s="1"/>
  <c r="V6" i="65"/>
  <c r="W6" i="65" s="1"/>
  <c r="K22" i="41"/>
  <c r="K130" i="41"/>
  <c r="V5" i="65"/>
  <c r="W5" i="65" s="1"/>
  <c r="J31" i="37"/>
  <c r="K34" i="41"/>
  <c r="K82" i="41"/>
  <c r="K178" i="41"/>
  <c r="M111" i="37"/>
  <c r="K70" i="41"/>
  <c r="K118" i="41"/>
  <c r="V10" i="65"/>
  <c r="W10" i="65" s="1"/>
  <c r="J142" i="37"/>
  <c r="H142" i="37"/>
  <c r="F166" i="41"/>
  <c r="K155" i="41"/>
  <c r="M22" i="37"/>
  <c r="J151" i="37"/>
  <c r="G142" i="37"/>
  <c r="N22" i="37"/>
  <c r="N92" i="37"/>
  <c r="H62" i="37"/>
  <c r="G62" i="37"/>
  <c r="N62" i="37"/>
  <c r="M13" i="37"/>
  <c r="N31" i="37"/>
  <c r="H102" i="37"/>
  <c r="G31" i="37"/>
  <c r="I112" i="37"/>
  <c r="J133" i="37"/>
  <c r="M72" i="37"/>
  <c r="G111" i="37"/>
  <c r="M93" i="37"/>
  <c r="I93" i="37"/>
  <c r="J62" i="37"/>
  <c r="N102" i="37"/>
  <c r="M53" i="37"/>
  <c r="G133" i="37"/>
  <c r="H71" i="37"/>
  <c r="I111" i="37"/>
  <c r="I13" i="37"/>
  <c r="N142" i="37"/>
  <c r="G13" i="37"/>
  <c r="G32" i="37"/>
  <c r="G22" i="37"/>
  <c r="F70" i="41"/>
  <c r="J32" i="37"/>
  <c r="I71" i="37"/>
  <c r="I151" i="37"/>
  <c r="N133" i="37"/>
  <c r="G93" i="37"/>
  <c r="N151" i="37"/>
  <c r="N111" i="37"/>
  <c r="G71" i="37"/>
  <c r="I152" i="37"/>
  <c r="K79" i="41"/>
  <c r="N72" i="37"/>
  <c r="E118" i="41"/>
  <c r="M71" i="37"/>
  <c r="N13" i="37"/>
  <c r="H22" i="37"/>
  <c r="G152" i="37"/>
  <c r="G151" i="37"/>
  <c r="G53" i="37"/>
  <c r="J112" i="37"/>
  <c r="I31" i="37"/>
  <c r="I133" i="37"/>
  <c r="J13" i="37"/>
  <c r="M32" i="37"/>
  <c r="N32" i="37"/>
  <c r="E70" i="41"/>
  <c r="N93" i="37"/>
  <c r="N53" i="37"/>
  <c r="M152" i="37"/>
  <c r="G112" i="37"/>
  <c r="J71" i="37"/>
  <c r="J111" i="37"/>
  <c r="J93" i="37"/>
  <c r="J53" i="37"/>
  <c r="I53" i="37"/>
  <c r="K166" i="41"/>
  <c r="K60" i="41"/>
  <c r="K127" i="41"/>
  <c r="M102" i="37"/>
  <c r="N152" i="37"/>
  <c r="G72" i="37"/>
  <c r="H31" i="37"/>
  <c r="H151" i="37"/>
  <c r="J22" i="37"/>
  <c r="J72" i="37"/>
  <c r="J152" i="37"/>
  <c r="I32" i="37"/>
  <c r="K12" i="41"/>
  <c r="M112" i="37"/>
  <c r="N112" i="37"/>
  <c r="M151" i="37"/>
  <c r="M133" i="37"/>
  <c r="H111" i="37"/>
  <c r="I72" i="37"/>
  <c r="F22" i="41"/>
  <c r="K175" i="41"/>
  <c r="K31" i="41"/>
  <c r="K108" i="41"/>
  <c r="K156" i="41"/>
  <c r="M100" i="37"/>
  <c r="K20" i="41"/>
  <c r="K19" i="41"/>
  <c r="K164" i="41"/>
  <c r="K78" i="41"/>
  <c r="K154" i="41"/>
  <c r="K115" i="41"/>
  <c r="K103" i="41"/>
  <c r="K163" i="41"/>
  <c r="K160" i="41"/>
  <c r="K107" i="41"/>
  <c r="K111" i="41"/>
  <c r="K16" i="41"/>
  <c r="K161" i="41"/>
  <c r="K116" i="41"/>
  <c r="K121" i="41"/>
  <c r="K63" i="41"/>
  <c r="K152" i="41"/>
  <c r="K59" i="41"/>
  <c r="K17" i="41"/>
  <c r="K159" i="41"/>
  <c r="K67" i="41"/>
  <c r="K106" i="41"/>
  <c r="K56" i="41"/>
  <c r="K25" i="41"/>
  <c r="K65" i="41"/>
  <c r="K126" i="41"/>
  <c r="K58" i="41"/>
  <c r="K8" i="41"/>
  <c r="K30" i="41"/>
  <c r="K55" i="41"/>
  <c r="K73" i="41"/>
  <c r="K112" i="41"/>
  <c r="K113" i="41"/>
  <c r="K114" i="41"/>
  <c r="K174" i="41"/>
  <c r="K104" i="41"/>
  <c r="K11" i="41"/>
  <c r="K68" i="41"/>
  <c r="K18" i="41"/>
  <c r="K162" i="41"/>
  <c r="K66" i="41"/>
  <c r="K10" i="41"/>
  <c r="K169" i="41"/>
  <c r="K7" i="41"/>
  <c r="K151" i="41"/>
  <c r="K64" i="41"/>
  <c r="I88" i="37"/>
  <c r="M99" i="37"/>
  <c r="N19" i="37"/>
  <c r="I52" i="37"/>
  <c r="I48" i="37"/>
  <c r="G52" i="37"/>
  <c r="G139" i="37"/>
  <c r="G59" i="37"/>
  <c r="G88" i="37"/>
  <c r="J88" i="37"/>
  <c r="M139" i="37"/>
  <c r="N88" i="37"/>
  <c r="I105" i="37"/>
  <c r="J12" i="37"/>
  <c r="J128" i="37"/>
  <c r="G89" i="37"/>
  <c r="G131" i="37"/>
  <c r="G49" i="37"/>
  <c r="G96" i="37"/>
  <c r="G100" i="37"/>
  <c r="J70" i="37"/>
  <c r="I51" i="37"/>
  <c r="J105" i="37"/>
  <c r="J145" i="37"/>
  <c r="N97" i="37"/>
  <c r="N95" i="37"/>
  <c r="N20" i="37"/>
  <c r="M136" i="37"/>
  <c r="N91" i="37"/>
  <c r="M92" i="37"/>
  <c r="N51" i="37"/>
  <c r="N128" i="37"/>
  <c r="M128" i="37"/>
  <c r="N145" i="37"/>
  <c r="M104" i="37"/>
  <c r="N140" i="37"/>
  <c r="M8" i="37"/>
  <c r="N100" i="37"/>
  <c r="I8" i="37"/>
  <c r="I92" i="37"/>
  <c r="J52" i="37"/>
  <c r="J55" i="37"/>
  <c r="J48" i="37"/>
  <c r="N60" i="37"/>
  <c r="N24" i="37"/>
  <c r="M150" i="37"/>
  <c r="M140" i="37"/>
  <c r="G99" i="37"/>
  <c r="G8" i="37"/>
  <c r="M24" i="37"/>
  <c r="M11" i="37"/>
  <c r="I55" i="37"/>
  <c r="J97" i="37"/>
  <c r="J135" i="37"/>
  <c r="I26" i="37"/>
  <c r="G128" i="37"/>
  <c r="N48" i="37"/>
  <c r="I95" i="37"/>
  <c r="N98" i="37"/>
  <c r="M57" i="37"/>
  <c r="M89" i="37"/>
  <c r="N129" i="37"/>
  <c r="M12" i="37"/>
  <c r="N132" i="37"/>
  <c r="M145" i="37"/>
  <c r="N144" i="37"/>
  <c r="G16" i="37"/>
  <c r="H55" i="37"/>
  <c r="G95" i="37"/>
  <c r="G12" i="37"/>
  <c r="G65" i="37"/>
  <c r="I97" i="37"/>
  <c r="I17" i="37"/>
  <c r="J96" i="37"/>
  <c r="I30" i="37"/>
  <c r="J129" i="37"/>
  <c r="I129" i="37"/>
  <c r="J9" i="37"/>
  <c r="I24" i="37"/>
  <c r="J106" i="37"/>
  <c r="J144" i="37"/>
  <c r="J140" i="37"/>
  <c r="N57" i="37"/>
  <c r="M9" i="37"/>
  <c r="M146" i="37"/>
  <c r="G15" i="37"/>
  <c r="H106" i="37"/>
  <c r="G56" i="37"/>
  <c r="G26" i="37"/>
  <c r="J57" i="37"/>
  <c r="I135" i="37"/>
  <c r="J132" i="37"/>
  <c r="I9" i="37"/>
  <c r="J89" i="37"/>
  <c r="J30" i="37"/>
  <c r="J11" i="37"/>
  <c r="J25" i="37"/>
  <c r="I140" i="37"/>
  <c r="I19" i="37"/>
  <c r="J136" i="37"/>
  <c r="M135" i="37"/>
  <c r="N26" i="37"/>
  <c r="M52" i="37"/>
  <c r="M132" i="37"/>
  <c r="M105" i="37"/>
  <c r="N66" i="37"/>
  <c r="M106" i="37"/>
  <c r="M98" i="37"/>
  <c r="M138" i="37"/>
  <c r="N49" i="37"/>
  <c r="M51" i="37"/>
  <c r="M66" i="37"/>
  <c r="M60" i="37"/>
  <c r="G18" i="37"/>
  <c r="G20" i="37"/>
  <c r="G17" i="37"/>
  <c r="G97" i="37"/>
  <c r="G110" i="37"/>
  <c r="H146" i="37"/>
  <c r="G64" i="37"/>
  <c r="G92" i="37"/>
  <c r="H66" i="37"/>
  <c r="G11" i="37"/>
  <c r="H25" i="37"/>
  <c r="J98" i="37"/>
  <c r="I16" i="37"/>
  <c r="J139" i="37"/>
  <c r="I137" i="37"/>
  <c r="J137" i="37"/>
  <c r="I18" i="37"/>
  <c r="J99" i="37"/>
  <c r="J15" i="37"/>
  <c r="J19" i="37"/>
  <c r="I100" i="37"/>
  <c r="J100" i="37"/>
  <c r="J150" i="37"/>
  <c r="I150" i="37"/>
  <c r="I49" i="37"/>
  <c r="I91" i="37"/>
  <c r="J51" i="37"/>
  <c r="I131" i="37"/>
  <c r="J60" i="37"/>
  <c r="J26" i="37"/>
  <c r="J24" i="37"/>
  <c r="J66" i="37"/>
  <c r="I20" i="37"/>
  <c r="J146" i="37"/>
  <c r="N55" i="37"/>
  <c r="M17" i="37"/>
  <c r="N56" i="37"/>
  <c r="M30" i="37"/>
  <c r="N52" i="37"/>
  <c r="N89" i="37"/>
  <c r="N25" i="37"/>
  <c r="M25" i="37"/>
  <c r="N59" i="37"/>
  <c r="M58" i="37"/>
  <c r="H65" i="37"/>
  <c r="G70" i="37"/>
  <c r="G105" i="37"/>
  <c r="H145" i="37"/>
  <c r="H26" i="37"/>
  <c r="H105" i="37"/>
  <c r="G91" i="37"/>
  <c r="G144" i="37"/>
  <c r="I98" i="37"/>
  <c r="I56" i="37"/>
  <c r="J16" i="37"/>
  <c r="J95" i="37"/>
  <c r="I15" i="37"/>
  <c r="I25" i="37"/>
  <c r="I104" i="37"/>
  <c r="J91" i="37"/>
  <c r="I12" i="37"/>
  <c r="I11" i="37"/>
  <c r="J20" i="37"/>
  <c r="I145" i="37"/>
  <c r="I106" i="37"/>
  <c r="I146" i="37"/>
  <c r="I138" i="37"/>
  <c r="N16" i="37"/>
  <c r="N139" i="37"/>
  <c r="N18" i="37"/>
  <c r="N58" i="37"/>
  <c r="N135" i="37"/>
  <c r="N96" i="37"/>
  <c r="N138" i="37"/>
  <c r="M26" i="37"/>
  <c r="N110" i="37"/>
  <c r="M110" i="37"/>
  <c r="N11" i="37"/>
  <c r="N9" i="37"/>
  <c r="M144" i="37"/>
  <c r="N64" i="37"/>
  <c r="M96" i="37"/>
  <c r="N137" i="37"/>
  <c r="M137" i="37"/>
  <c r="M55" i="37"/>
  <c r="N30" i="37"/>
  <c r="M49" i="37"/>
  <c r="N12" i="37"/>
  <c r="M91" i="37"/>
  <c r="N8" i="37"/>
  <c r="M48" i="37"/>
  <c r="N105" i="37"/>
  <c r="M19" i="37"/>
  <c r="M59" i="37"/>
  <c r="G57" i="37"/>
  <c r="H15" i="37"/>
  <c r="G24" i="37"/>
  <c r="G140" i="37"/>
  <c r="G66" i="37"/>
  <c r="G48" i="37"/>
  <c r="G25" i="37"/>
  <c r="I57" i="37"/>
  <c r="J17" i="37"/>
  <c r="I58" i="37"/>
  <c r="J58" i="37"/>
  <c r="I132" i="37"/>
  <c r="I89" i="37"/>
  <c r="J92" i="37"/>
  <c r="I70" i="37"/>
  <c r="I64" i="37"/>
  <c r="J138" i="37"/>
  <c r="N17" i="37"/>
  <c r="M95" i="37"/>
  <c r="M56" i="37"/>
  <c r="M64" i="37"/>
  <c r="N70" i="37"/>
  <c r="M70" i="37"/>
  <c r="N131" i="37"/>
  <c r="M131" i="37"/>
  <c r="N106" i="37"/>
  <c r="M16" i="37"/>
  <c r="G137" i="37"/>
  <c r="G55" i="37"/>
  <c r="G136" i="37"/>
  <c r="G98" i="37"/>
  <c r="G30" i="37"/>
  <c r="G145" i="37"/>
  <c r="G106" i="37"/>
  <c r="G60" i="37"/>
  <c r="G9" i="37"/>
  <c r="I99" i="37"/>
  <c r="J56" i="37"/>
  <c r="J18" i="37"/>
  <c r="J104" i="37"/>
  <c r="I144" i="37"/>
  <c r="J64" i="37"/>
  <c r="I60" i="37"/>
  <c r="I110" i="37"/>
  <c r="J49" i="37"/>
  <c r="I128" i="37"/>
  <c r="I66" i="37"/>
  <c r="I136" i="37"/>
  <c r="G58" i="37"/>
  <c r="M18" i="37"/>
  <c r="M97" i="37"/>
  <c r="N99" i="37"/>
  <c r="M65" i="37"/>
  <c r="N136" i="37"/>
  <c r="N150" i="37"/>
  <c r="M129" i="37"/>
  <c r="M88" i="37"/>
  <c r="N104" i="37"/>
  <c r="M20" i="37"/>
  <c r="N146" i="37"/>
  <c r="N65" i="37"/>
  <c r="G138" i="37"/>
  <c r="G104" i="37"/>
  <c r="G19" i="37"/>
  <c r="G146" i="37"/>
  <c r="G129" i="37"/>
  <c r="G132" i="37"/>
  <c r="G51" i="37"/>
  <c r="G135" i="37"/>
  <c r="G150" i="37"/>
  <c r="I139" i="37"/>
  <c r="I59" i="37"/>
  <c r="J65" i="37"/>
  <c r="J110" i="37"/>
  <c r="J131" i="37"/>
  <c r="I65" i="37"/>
  <c r="J8" i="37"/>
  <c r="I96" i="37"/>
  <c r="J59" i="37"/>
  <c r="F27" i="42"/>
  <c r="K27" i="42" s="1"/>
  <c r="F22" i="42"/>
  <c r="K22" i="42" s="1"/>
  <c r="AK9" i="39"/>
  <c r="AJ9" i="39"/>
  <c r="AJ4" i="39" s="1"/>
  <c r="AQ9" i="39"/>
  <c r="AP9" i="39"/>
  <c r="AP4" i="39" s="1"/>
  <c r="AU5" i="39" l="1"/>
  <c r="BA5" i="39"/>
  <c r="AU7" i="39"/>
  <c r="BA7" i="39"/>
  <c r="K15" i="41"/>
  <c r="AQ4" i="39"/>
  <c r="BA9" i="39" a="1"/>
  <c r="BA9" i="39" s="1"/>
  <c r="BA4" i="39" s="1"/>
  <c r="AK4" i="39"/>
  <c r="AU6" i="39"/>
  <c r="BA6" i="39"/>
  <c r="D66" i="42"/>
  <c r="BK85" i="39"/>
  <c r="L166" i="41"/>
  <c r="L118" i="41"/>
  <c r="L70" i="41"/>
  <c r="K177" i="41"/>
  <c r="K81" i="41"/>
  <c r="K33" i="41"/>
  <c r="L22" i="41"/>
  <c r="K129" i="41"/>
  <c r="N15" i="37"/>
  <c r="N2" i="37" s="1"/>
  <c r="AU9" i="39" a="1"/>
  <c r="AU9" i="39" s="1"/>
  <c r="AU4" i="39" s="1"/>
  <c r="K125" i="41"/>
  <c r="BJ271" i="39" a="1"/>
  <c r="BJ271" i="39" s="1"/>
  <c r="BK271" i="39" s="1"/>
  <c r="BJ329" i="39" a="1"/>
  <c r="BJ329" i="39" s="1"/>
  <c r="BK329" i="39" s="1"/>
  <c r="BJ249" i="39" a="1"/>
  <c r="BJ249" i="39" s="1"/>
  <c r="BK249" i="39" s="1"/>
  <c r="BJ72" i="39" a="1"/>
  <c r="BJ72" i="39" s="1"/>
  <c r="BK72" i="39" s="1"/>
  <c r="BJ82" i="39" a="1"/>
  <c r="BJ82" i="39" s="1"/>
  <c r="BK82" i="39" s="1"/>
  <c r="BJ177" i="39" a="1"/>
  <c r="BJ177" i="39" s="1"/>
  <c r="BK177" i="39" s="1"/>
  <c r="BJ293" i="39" a="1"/>
  <c r="BJ293" i="39" s="1"/>
  <c r="BK293" i="39" s="1"/>
  <c r="BJ80" i="39" a="1"/>
  <c r="BJ80" i="39" s="1"/>
  <c r="BK80" i="39" s="1"/>
  <c r="BJ312" i="39" a="1"/>
  <c r="BJ312" i="39" s="1"/>
  <c r="BK312" i="39" s="1"/>
  <c r="BJ247" i="39" a="1"/>
  <c r="BJ247" i="39" s="1"/>
  <c r="BK247" i="39" s="1"/>
  <c r="BJ153" i="39" a="1"/>
  <c r="BJ153" i="39" s="1"/>
  <c r="BJ109" i="39" a="1"/>
  <c r="BJ109" i="39" s="1"/>
  <c r="BK109" i="39" s="1"/>
  <c r="BJ128" i="39" a="1"/>
  <c r="BJ128" i="39" s="1"/>
  <c r="BK128" i="39" s="1"/>
  <c r="BJ110" i="39" a="1"/>
  <c r="BJ110" i="39" s="1"/>
  <c r="BK110" i="39" s="1"/>
  <c r="BJ117" i="39" a="1"/>
  <c r="BJ117" i="39" s="1"/>
  <c r="BK117" i="39" s="1"/>
  <c r="BJ124" i="39" a="1"/>
  <c r="BJ124" i="39" s="1"/>
  <c r="BK124" i="39" s="1"/>
  <c r="BJ83" i="39" a="1"/>
  <c r="BJ83" i="39" s="1"/>
  <c r="BK83" i="39" s="1"/>
  <c r="BJ125" i="39" a="1"/>
  <c r="BJ125" i="39" s="1"/>
  <c r="BK125" i="39" s="1"/>
  <c r="BJ234" i="39" a="1"/>
  <c r="BJ234" i="39" s="1"/>
  <c r="BK234" i="39" s="1"/>
  <c r="BJ214" i="39" a="1"/>
  <c r="BJ214" i="39" s="1"/>
  <c r="BK214" i="39" s="1"/>
  <c r="BJ168" i="39" a="1"/>
  <c r="BJ168" i="39" s="1"/>
  <c r="BK168" i="39" s="1"/>
  <c r="BJ63" i="39" a="1"/>
  <c r="BJ63" i="39" s="1"/>
  <c r="BK63" i="39" s="1"/>
  <c r="BJ60" i="39" a="1"/>
  <c r="BJ60" i="39" s="1"/>
  <c r="BJ184" i="39" a="1"/>
  <c r="BJ184" i="39" s="1"/>
  <c r="BK184" i="39" s="1"/>
  <c r="BJ239" i="39" a="1"/>
  <c r="BJ239" i="39" s="1"/>
  <c r="BK239" i="39" s="1"/>
  <c r="BJ208" i="39" a="1"/>
  <c r="BJ208" i="39" s="1"/>
  <c r="BJ253" i="39" a="1"/>
  <c r="BJ253" i="39" s="1"/>
  <c r="BK253" i="39" s="1"/>
  <c r="BJ330" i="39" a="1"/>
  <c r="BJ330" i="39" s="1"/>
  <c r="BK330" i="39" s="1"/>
  <c r="BJ259" i="39" a="1"/>
  <c r="BJ259" i="39" s="1"/>
  <c r="BK259" i="39" s="1"/>
  <c r="BJ270" i="39" a="1"/>
  <c r="BJ270" i="39" s="1"/>
  <c r="BK270" i="39" s="1"/>
  <c r="BJ182" i="39" a="1"/>
  <c r="BJ182" i="39" s="1"/>
  <c r="BK182" i="39" s="1"/>
  <c r="BJ174" i="39" a="1"/>
  <c r="BJ174" i="39" s="1"/>
  <c r="BK174" i="39" s="1"/>
  <c r="BJ186" i="39" a="1"/>
  <c r="BJ186" i="39" s="1"/>
  <c r="BK186" i="39" s="1"/>
  <c r="BJ116" i="39" a="1"/>
  <c r="BJ116" i="39" s="1"/>
  <c r="BK116" i="39" s="1"/>
  <c r="BJ76" i="39" a="1"/>
  <c r="BJ76" i="39" s="1"/>
  <c r="BK76" i="39" s="1"/>
  <c r="BJ141" i="39" a="1"/>
  <c r="BJ141" i="39" s="1"/>
  <c r="BK141" i="39" s="1"/>
  <c r="BJ118" i="39" a="1"/>
  <c r="BJ118" i="39" s="1"/>
  <c r="BK118" i="39" s="1"/>
  <c r="BJ122" i="39" a="1"/>
  <c r="BJ122" i="39" s="1"/>
  <c r="BK122" i="39" s="1"/>
  <c r="BJ120" i="39" a="1"/>
  <c r="BJ120" i="39" s="1"/>
  <c r="BK120" i="39" s="1"/>
  <c r="AR181" i="39"/>
  <c r="BJ181" i="39" a="1"/>
  <c r="BJ181" i="39" s="1"/>
  <c r="BK181" i="39" s="1"/>
  <c r="BJ101" i="39" a="1"/>
  <c r="BJ101" i="39" s="1"/>
  <c r="BK101" i="39" s="1"/>
  <c r="BJ142" i="39" a="1"/>
  <c r="BJ142" i="39" s="1"/>
  <c r="BK142" i="39" s="1"/>
  <c r="BJ321" i="39" a="1"/>
  <c r="BJ321" i="39" s="1"/>
  <c r="BK321" i="39" s="1"/>
  <c r="BJ309" i="39" a="1"/>
  <c r="BJ309" i="39" s="1"/>
  <c r="BK309" i="39" s="1"/>
  <c r="BJ333" i="39" a="1"/>
  <c r="BJ333" i="39" s="1"/>
  <c r="BK333" i="39" s="1"/>
  <c r="BJ173" i="39" a="1"/>
  <c r="BJ173" i="39" s="1"/>
  <c r="BK173" i="39" s="1"/>
  <c r="BJ235" i="39" a="1"/>
  <c r="BJ235" i="39" s="1"/>
  <c r="BK235" i="39" s="1"/>
  <c r="BJ183" i="39" a="1"/>
  <c r="BJ183" i="39" s="1"/>
  <c r="BK183" i="39" s="1"/>
  <c r="BJ325" i="39" a="1"/>
  <c r="BJ325" i="39" s="1"/>
  <c r="BK325" i="39" s="1"/>
  <c r="BJ245" i="39" a="1"/>
  <c r="BJ245" i="39" s="1"/>
  <c r="BK245" i="39" s="1"/>
  <c r="BJ319" i="39" a="1"/>
  <c r="BJ319" i="39" s="1"/>
  <c r="BK319" i="39" s="1"/>
  <c r="BJ308" i="39" a="1"/>
  <c r="BJ308" i="39" s="1"/>
  <c r="BK308" i="39" s="1"/>
  <c r="AR231" i="39"/>
  <c r="BJ231" i="39" a="1"/>
  <c r="BJ231" i="39" s="1"/>
  <c r="AR130" i="39"/>
  <c r="BJ130" i="39" a="1"/>
  <c r="BJ130" i="39" s="1"/>
  <c r="BK130" i="39" s="1"/>
  <c r="BJ73" i="39" a="1"/>
  <c r="BJ73" i="39" s="1"/>
  <c r="BK73" i="39" s="1"/>
  <c r="AR131" i="39"/>
  <c r="BJ131" i="39" a="1"/>
  <c r="BJ131" i="39" s="1"/>
  <c r="BK131" i="39" s="1"/>
  <c r="BJ223" i="39" a="1"/>
  <c r="BJ223" i="39" s="1"/>
  <c r="BK223" i="39" s="1"/>
  <c r="BJ171" i="39" a="1"/>
  <c r="BJ171" i="39" s="1"/>
  <c r="BK171" i="39" s="1"/>
  <c r="BJ119" i="39" a="1"/>
  <c r="BJ119" i="39" s="1"/>
  <c r="BK119" i="39" s="1"/>
  <c r="BJ238" i="39" a="1"/>
  <c r="BJ238" i="39" s="1"/>
  <c r="BK238" i="39" s="1"/>
  <c r="BJ111" i="39" a="1"/>
  <c r="BJ111" i="39" s="1"/>
  <c r="BK111" i="39" s="1"/>
  <c r="D152" i="42"/>
  <c r="BJ115" i="39" a="1"/>
  <c r="BJ115" i="39" s="1"/>
  <c r="BK115" i="39" s="1"/>
  <c r="BJ230" i="39" a="1"/>
  <c r="BJ230" i="39" s="1"/>
  <c r="BJ178" i="39" a="1"/>
  <c r="BJ178" i="39" s="1"/>
  <c r="BK178" i="39" s="1"/>
  <c r="BJ175" i="39" a="1"/>
  <c r="BJ175" i="39" s="1"/>
  <c r="BK175" i="39" s="1"/>
  <c r="BJ229" i="39" a="1"/>
  <c r="BJ229" i="39" s="1"/>
  <c r="BJ217" i="39" a="1"/>
  <c r="BJ217" i="39" s="1"/>
  <c r="BK217" i="39" s="1"/>
  <c r="BJ323" i="39" a="1"/>
  <c r="BJ323" i="39" s="1"/>
  <c r="BK323" i="39" s="1"/>
  <c r="BJ335" i="39" a="1"/>
  <c r="BJ335" i="39" s="1"/>
  <c r="BK335" i="39" s="1"/>
  <c r="BJ233" i="39" a="1"/>
  <c r="BJ233" i="39" s="1"/>
  <c r="BK233" i="39" s="1"/>
  <c r="BJ250" i="39" a="1"/>
  <c r="BJ250" i="39" s="1"/>
  <c r="BK250" i="39" s="1"/>
  <c r="BJ310" i="39" a="1"/>
  <c r="BJ310" i="39" s="1"/>
  <c r="BK310" i="39" s="1"/>
  <c r="BJ104" i="39" a="1"/>
  <c r="BJ104" i="39" s="1"/>
  <c r="BK104" i="39" s="1"/>
  <c r="BJ77" i="39" a="1"/>
  <c r="BJ77" i="39" s="1"/>
  <c r="BK77" i="39" s="1"/>
  <c r="BJ105" i="39" a="1"/>
  <c r="BJ105" i="39" s="1"/>
  <c r="BK105" i="39" s="1"/>
  <c r="BJ75" i="39" a="1"/>
  <c r="BJ75" i="39" s="1"/>
  <c r="BK75" i="39" s="1"/>
  <c r="BJ84" i="39" a="1"/>
  <c r="BJ84" i="39" s="1"/>
  <c r="BJ69" i="39" a="1"/>
  <c r="BJ69" i="39" s="1"/>
  <c r="BJ87" i="39" a="1"/>
  <c r="BJ87" i="39" s="1"/>
  <c r="BK87" i="39" s="1"/>
  <c r="BJ179" i="39" a="1"/>
  <c r="BJ179" i="39" s="1"/>
  <c r="BK179" i="39" s="1"/>
  <c r="BJ127" i="39" a="1"/>
  <c r="BJ127" i="39" s="1"/>
  <c r="BK127" i="39" s="1"/>
  <c r="AR103" i="39"/>
  <c r="BJ103" i="39" a="1"/>
  <c r="BJ103" i="39" s="1"/>
  <c r="BK103" i="39" s="1"/>
  <c r="D104" i="42"/>
  <c r="BJ151" i="39" a="1"/>
  <c r="BJ151" i="39" s="1"/>
  <c r="BJ114" i="39" a="1"/>
  <c r="BJ114" i="39" s="1"/>
  <c r="BK114" i="39" s="1"/>
  <c r="AR343" i="39"/>
  <c r="BJ343" i="39" a="1"/>
  <c r="BJ343" i="39" s="1"/>
  <c r="BK343" i="39" s="1"/>
  <c r="BJ332" i="39" a="1"/>
  <c r="BJ332" i="39" s="1"/>
  <c r="BK332" i="39" s="1"/>
  <c r="BJ313" i="39" a="1"/>
  <c r="BJ313" i="39" s="1"/>
  <c r="BK313" i="39" s="1"/>
  <c r="BJ341" i="39" a="1"/>
  <c r="BJ341" i="39" s="1"/>
  <c r="BK341" i="39" s="1"/>
  <c r="BJ294" i="39" a="1"/>
  <c r="BJ294" i="39" s="1"/>
  <c r="BK294" i="39" s="1"/>
  <c r="BJ318" i="39" a="1"/>
  <c r="BJ318" i="39" s="1"/>
  <c r="BK318" i="39" s="1"/>
  <c r="BJ81" i="39" a="1"/>
  <c r="BJ81" i="39" s="1"/>
  <c r="BK81" i="39" s="1"/>
  <c r="BJ133" i="39" a="1"/>
  <c r="BJ133" i="39" s="1"/>
  <c r="BK133" i="39" s="1"/>
  <c r="BJ147" i="39" a="1"/>
  <c r="BJ147" i="39" s="1"/>
  <c r="BJ107" i="39" a="1"/>
  <c r="BJ107" i="39" s="1"/>
  <c r="BK107" i="39" s="1"/>
  <c r="BJ71" i="39" a="1"/>
  <c r="BJ71" i="39" s="1"/>
  <c r="BK71" i="39" s="1"/>
  <c r="BJ86" i="39" a="1"/>
  <c r="BJ86" i="39" s="1"/>
  <c r="BK86" i="39" s="1"/>
  <c r="BJ222" i="39" a="1"/>
  <c r="BJ222" i="39" s="1"/>
  <c r="BK222" i="39" s="1"/>
  <c r="BJ126" i="39" a="1"/>
  <c r="BJ126" i="39" s="1"/>
  <c r="BK126" i="39" s="1"/>
  <c r="BJ169" i="39" a="1"/>
  <c r="BJ169" i="39" s="1"/>
  <c r="BK169" i="39" s="1"/>
  <c r="BJ139" i="39" a="1"/>
  <c r="BJ139" i="39" s="1"/>
  <c r="BK139" i="39" s="1"/>
  <c r="BJ61" i="39" a="1"/>
  <c r="BJ61" i="39" s="1"/>
  <c r="BK61" i="39" s="1"/>
  <c r="BJ315" i="39" a="1"/>
  <c r="BJ315" i="39" s="1"/>
  <c r="BK315" i="39" s="1"/>
  <c r="BJ113" i="39" a="1"/>
  <c r="BJ113" i="39" s="1"/>
  <c r="BK113" i="39" s="1"/>
  <c r="BJ326" i="39" a="1"/>
  <c r="BJ326" i="39" s="1"/>
  <c r="BK326" i="39" s="1"/>
  <c r="BJ322" i="39" a="1"/>
  <c r="BJ322" i="39" s="1"/>
  <c r="BK322" i="39" s="1"/>
  <c r="BJ237" i="39" a="1"/>
  <c r="BJ237" i="39" s="1"/>
  <c r="BJ74" i="39" a="1"/>
  <c r="BJ74" i="39" s="1"/>
  <c r="BK74" i="39" s="1"/>
  <c r="BJ219" i="39" a="1"/>
  <c r="BJ219" i="39" s="1"/>
  <c r="BK219" i="39" s="1"/>
  <c r="AR149" i="39"/>
  <c r="BJ149" i="39" a="1"/>
  <c r="BJ149" i="39" s="1"/>
  <c r="BJ78" i="39" a="1"/>
  <c r="BJ78" i="39" s="1"/>
  <c r="BK78" i="39" s="1"/>
  <c r="BJ79" i="39" a="1"/>
  <c r="BJ79" i="39" s="1"/>
  <c r="BK79" i="39" s="1"/>
  <c r="BJ108" i="39" a="1"/>
  <c r="BJ108" i="39" s="1"/>
  <c r="BK108" i="39" s="1"/>
  <c r="BJ136" i="39" a="1"/>
  <c r="BJ136" i="39" s="1"/>
  <c r="BK136" i="39" s="1"/>
  <c r="BJ185" i="39" a="1"/>
  <c r="BJ185" i="39" s="1"/>
  <c r="BK185" i="39" s="1"/>
  <c r="BJ143" i="39" a="1"/>
  <c r="BJ143" i="39" s="1"/>
  <c r="BK143" i="39" s="1"/>
  <c r="BJ121" i="39" a="1"/>
  <c r="BJ121" i="39" s="1"/>
  <c r="BK121" i="39" s="1"/>
  <c r="AR233" i="39"/>
  <c r="AR87" i="39"/>
  <c r="AR104" i="39"/>
  <c r="AR151" i="39"/>
  <c r="AR250" i="39"/>
  <c r="AR69" i="39"/>
  <c r="AR179" i="39"/>
  <c r="AR238" i="39"/>
  <c r="AR111" i="39"/>
  <c r="AR115" i="39"/>
  <c r="AR73" i="39"/>
  <c r="O130" i="37"/>
  <c r="O50" i="37"/>
  <c r="E9" i="41"/>
  <c r="E57" i="41"/>
  <c r="E153" i="41"/>
  <c r="E105" i="41"/>
  <c r="H10" i="37"/>
  <c r="H130" i="37"/>
  <c r="H90" i="37"/>
  <c r="O10" i="37"/>
  <c r="O90" i="37"/>
  <c r="H50" i="37"/>
  <c r="AR208" i="39"/>
  <c r="E66" i="42"/>
  <c r="H48" i="37"/>
  <c r="E64" i="42"/>
  <c r="E114" i="42"/>
  <c r="E69" i="42"/>
  <c r="H8" i="37"/>
  <c r="H51" i="37"/>
  <c r="AR105" i="39"/>
  <c r="AR175" i="39"/>
  <c r="AR75" i="39"/>
  <c r="H115" i="37"/>
  <c r="AR323" i="39"/>
  <c r="AR335" i="39"/>
  <c r="AR334" i="39"/>
  <c r="AR310" i="39"/>
  <c r="AR229" i="39"/>
  <c r="AR217" i="39"/>
  <c r="AR84" i="39"/>
  <c r="AR220" i="39"/>
  <c r="AR324" i="39"/>
  <c r="H155" i="37"/>
  <c r="H13" i="37"/>
  <c r="H144" i="37"/>
  <c r="AR141" i="39"/>
  <c r="AR253" i="39"/>
  <c r="AR259" i="39"/>
  <c r="AR325" i="39"/>
  <c r="AR244" i="39"/>
  <c r="AR319" i="39"/>
  <c r="AR139" i="39"/>
  <c r="AR216" i="39"/>
  <c r="H133" i="37"/>
  <c r="AR329" i="39"/>
  <c r="AR223" i="39"/>
  <c r="H104" i="37"/>
  <c r="AR308" i="39"/>
  <c r="AR119" i="39"/>
  <c r="I105" i="41"/>
  <c r="AR258" i="39"/>
  <c r="AR245" i="39"/>
  <c r="AR252" i="39"/>
  <c r="AR183" i="39"/>
  <c r="AR171" i="39"/>
  <c r="AR321" i="39"/>
  <c r="AR249" i="39"/>
  <c r="AR271" i="39"/>
  <c r="AR61" i="39"/>
  <c r="AR63" i="39"/>
  <c r="AR184" i="39"/>
  <c r="AR142" i="39"/>
  <c r="AR122" i="39"/>
  <c r="AR239" i="39"/>
  <c r="AR116" i="39"/>
  <c r="E109" i="42"/>
  <c r="AR101" i="39"/>
  <c r="H100" i="37"/>
  <c r="AR120" i="39"/>
  <c r="V46" i="65"/>
  <c r="AR76" i="39"/>
  <c r="AR186" i="39"/>
  <c r="AR330" i="39"/>
  <c r="AR270" i="39"/>
  <c r="AR182" i="39"/>
  <c r="AR118" i="39"/>
  <c r="AR174" i="39"/>
  <c r="I20" i="41"/>
  <c r="H93" i="37"/>
  <c r="AR85" i="39"/>
  <c r="AR293" i="39"/>
  <c r="AR83" i="39"/>
  <c r="AR234" i="39"/>
  <c r="H131" i="37"/>
  <c r="V41" i="65"/>
  <c r="H24" i="37"/>
  <c r="H95" i="37"/>
  <c r="H64" i="37"/>
  <c r="H150" i="37"/>
  <c r="H132" i="37"/>
  <c r="H89" i="37"/>
  <c r="AR109" i="39"/>
  <c r="AR80" i="39"/>
  <c r="AR168" i="39"/>
  <c r="AR247" i="39"/>
  <c r="AR124" i="39"/>
  <c r="AR312" i="39"/>
  <c r="AR117" i="39"/>
  <c r="AR177" i="39"/>
  <c r="AR110" i="39"/>
  <c r="AR128" i="39"/>
  <c r="AR153" i="39"/>
  <c r="AR125" i="39"/>
  <c r="H75" i="37"/>
  <c r="AR214" i="39"/>
  <c r="H49" i="37"/>
  <c r="AR114" i="39"/>
  <c r="H99" i="37"/>
  <c r="AR235" i="39"/>
  <c r="AR82" i="39"/>
  <c r="V45" i="65"/>
  <c r="AR309" i="39"/>
  <c r="AR173" i="39"/>
  <c r="H91" i="37"/>
  <c r="AR121" i="39"/>
  <c r="AR333" i="39"/>
  <c r="AR72" i="39"/>
  <c r="AR60" i="39"/>
  <c r="AR178" i="39"/>
  <c r="AR230" i="39"/>
  <c r="AR264" i="39"/>
  <c r="AR314" i="39"/>
  <c r="E60" i="42"/>
  <c r="E104" i="42"/>
  <c r="E156" i="42"/>
  <c r="H30" i="37"/>
  <c r="V33" i="65"/>
  <c r="H138" i="37"/>
  <c r="H57" i="37"/>
  <c r="V53" i="65"/>
  <c r="H135" i="37"/>
  <c r="H11" i="37"/>
  <c r="H20" i="37"/>
  <c r="V31" i="65"/>
  <c r="H88" i="37"/>
  <c r="V22" i="65"/>
  <c r="H59" i="37"/>
  <c r="V56" i="65"/>
  <c r="V32" i="65"/>
  <c r="H96" i="37"/>
  <c r="H58" i="37"/>
  <c r="O155" i="37"/>
  <c r="V42" i="65"/>
  <c r="H35" i="37"/>
  <c r="H32" i="37"/>
  <c r="O93" i="37"/>
  <c r="H112" i="37"/>
  <c r="AR143" i="39"/>
  <c r="V57" i="65"/>
  <c r="AR315" i="39"/>
  <c r="V55" i="65"/>
  <c r="AR126" i="39"/>
  <c r="H152" i="37"/>
  <c r="H128" i="37"/>
  <c r="H52" i="37"/>
  <c r="H97" i="37"/>
  <c r="H129" i="37"/>
  <c r="V58" i="65"/>
  <c r="AR62" i="39"/>
  <c r="AR132" i="39"/>
  <c r="AR341" i="39"/>
  <c r="AR313" i="39"/>
  <c r="H17" i="37"/>
  <c r="H56" i="37"/>
  <c r="H53" i="37"/>
  <c r="V20" i="65"/>
  <c r="O137" i="37"/>
  <c r="V21" i="65"/>
  <c r="AR113" i="39"/>
  <c r="H92" i="37"/>
  <c r="AR326" i="39"/>
  <c r="V30" i="65"/>
  <c r="AR219" i="39"/>
  <c r="AR106" i="39"/>
  <c r="AR213" i="39"/>
  <c r="AR78" i="39"/>
  <c r="AR81" i="39"/>
  <c r="H98" i="37"/>
  <c r="V19" i="65"/>
  <c r="V18" i="65"/>
  <c r="AR322" i="39"/>
  <c r="AR318" i="39"/>
  <c r="AR246" i="39"/>
  <c r="AR185" i="39"/>
  <c r="AR180" i="39"/>
  <c r="E34" i="65" s="1"/>
  <c r="F34" i="65" s="1"/>
  <c r="I68" i="41"/>
  <c r="AR332" i="39"/>
  <c r="AR108" i="39"/>
  <c r="H19" i="37"/>
  <c r="AR147" i="39"/>
  <c r="AR222" i="39"/>
  <c r="AR237" i="39"/>
  <c r="AR74" i="39"/>
  <c r="AR136" i="39"/>
  <c r="H9" i="37"/>
  <c r="H18" i="37"/>
  <c r="H16" i="37"/>
  <c r="AR248" i="39"/>
  <c r="AR70" i="39"/>
  <c r="AR169" i="39"/>
  <c r="O18" i="37"/>
  <c r="V44" i="65"/>
  <c r="H139" i="37"/>
  <c r="H70" i="37"/>
  <c r="H140" i="37"/>
  <c r="H137" i="37"/>
  <c r="V54" i="65"/>
  <c r="V34" i="65"/>
  <c r="AR294" i="39"/>
  <c r="AR71" i="39"/>
  <c r="AR86" i="39"/>
  <c r="V43" i="65"/>
  <c r="H12" i="37"/>
  <c r="AR251" i="39"/>
  <c r="AR79" i="39"/>
  <c r="H60" i="37"/>
  <c r="H110" i="37"/>
  <c r="AR133" i="39"/>
  <c r="AR107" i="39"/>
  <c r="H136" i="37"/>
  <c r="H72" i="37"/>
  <c r="O55" i="37"/>
  <c r="O135" i="37"/>
  <c r="O128" i="37"/>
  <c r="O88" i="37"/>
  <c r="E7" i="41"/>
  <c r="E11" i="41"/>
  <c r="E12" i="41"/>
  <c r="E10" i="41"/>
  <c r="E8" i="41"/>
  <c r="E108" i="41"/>
  <c r="E156" i="41"/>
  <c r="O150" i="37"/>
  <c r="O96" i="37"/>
  <c r="O136" i="37"/>
  <c r="M15" i="37"/>
  <c r="M2" i="37" s="1"/>
  <c r="O15" i="37"/>
  <c r="O144" i="37"/>
  <c r="O95" i="37"/>
  <c r="O13" i="37"/>
  <c r="O115" i="37"/>
  <c r="O19" i="37"/>
  <c r="O20" i="37"/>
  <c r="O60" i="37"/>
  <c r="O75" i="37"/>
  <c r="O140" i="37"/>
  <c r="O32" i="37"/>
  <c r="O104" i="37"/>
  <c r="O58" i="37"/>
  <c r="O97" i="37"/>
  <c r="O35" i="37"/>
  <c r="O9" i="37"/>
  <c r="O100" i="37"/>
  <c r="E130" i="41"/>
  <c r="E129" i="41" s="1"/>
  <c r="E178" i="41"/>
  <c r="E177" i="41" s="1"/>
  <c r="O52" i="37"/>
  <c r="O48" i="37"/>
  <c r="O24" i="37"/>
  <c r="O16" i="37"/>
  <c r="O17" i="37"/>
  <c r="E82" i="41"/>
  <c r="E81" i="41" s="1"/>
  <c r="O8" i="37"/>
  <c r="O11" i="37"/>
  <c r="O56" i="37"/>
  <c r="O64" i="37"/>
  <c r="F82" i="41"/>
  <c r="F81" i="41" s="1"/>
  <c r="E34" i="41"/>
  <c r="E33" i="41" s="1"/>
  <c r="O51" i="37"/>
  <c r="O57" i="37"/>
  <c r="O110" i="37"/>
  <c r="O152" i="37"/>
  <c r="O112" i="37"/>
  <c r="O12" i="37"/>
  <c r="O70" i="37"/>
  <c r="O30" i="37"/>
  <c r="O72" i="37"/>
  <c r="O53" i="37"/>
  <c r="F19" i="70"/>
  <c r="G19" i="70" s="1"/>
  <c r="M19" i="70"/>
  <c r="N19" i="70" s="1"/>
  <c r="F178" i="41"/>
  <c r="F177" i="41" s="1"/>
  <c r="F67" i="41"/>
  <c r="F34" i="41"/>
  <c r="F33" i="41" s="1"/>
  <c r="F156" i="41"/>
  <c r="F60" i="41"/>
  <c r="F108" i="41"/>
  <c r="F130" i="41"/>
  <c r="F129" i="41" s="1"/>
  <c r="O98" i="37"/>
  <c r="J27" i="42"/>
  <c r="F115" i="41"/>
  <c r="I15" i="41"/>
  <c r="I63" i="41"/>
  <c r="F55" i="41"/>
  <c r="F20" i="41"/>
  <c r="F58" i="41"/>
  <c r="F73" i="41"/>
  <c r="F72" i="41" s="1"/>
  <c r="O89" i="37"/>
  <c r="O49" i="37"/>
  <c r="F113" i="41"/>
  <c r="F68" i="41"/>
  <c r="F106" i="41"/>
  <c r="F155" i="41"/>
  <c r="F169" i="41"/>
  <c r="F168" i="41" s="1"/>
  <c r="F175" i="41"/>
  <c r="F174" i="41"/>
  <c r="F163" i="41"/>
  <c r="F19" i="41"/>
  <c r="F59" i="41"/>
  <c r="F159" i="41"/>
  <c r="F160" i="41"/>
  <c r="F78" i="41"/>
  <c r="F162" i="41"/>
  <c r="F151" i="41"/>
  <c r="F18" i="41"/>
  <c r="F107" i="41"/>
  <c r="F152" i="41"/>
  <c r="F25" i="41"/>
  <c r="F24" i="41" s="1"/>
  <c r="F79" i="41"/>
  <c r="F114" i="41"/>
  <c r="F164" i="41"/>
  <c r="F116" i="41"/>
  <c r="F64" i="41"/>
  <c r="F104" i="41"/>
  <c r="F154" i="41"/>
  <c r="F126" i="41"/>
  <c r="F127" i="41"/>
  <c r="F111" i="41"/>
  <c r="F103" i="41"/>
  <c r="F30" i="41"/>
  <c r="F31" i="41"/>
  <c r="F56" i="41"/>
  <c r="F65" i="41"/>
  <c r="F66" i="41"/>
  <c r="F161" i="41"/>
  <c r="F16" i="41"/>
  <c r="F15" i="41"/>
  <c r="F112" i="41"/>
  <c r="F121" i="41"/>
  <c r="F120" i="41" s="1"/>
  <c r="F17" i="41"/>
  <c r="F63" i="41"/>
  <c r="E163" i="41"/>
  <c r="E115" i="41"/>
  <c r="O91" i="37"/>
  <c r="E68" i="41"/>
  <c r="O92" i="37"/>
  <c r="E103" i="41"/>
  <c r="E55" i="41"/>
  <c r="E155" i="41"/>
  <c r="E60" i="41"/>
  <c r="O133" i="37"/>
  <c r="E164" i="41"/>
  <c r="E19" i="41"/>
  <c r="E116" i="41"/>
  <c r="E73" i="41"/>
  <c r="E72" i="41" s="1"/>
  <c r="E151" i="41"/>
  <c r="E107" i="41"/>
  <c r="E20" i="41"/>
  <c r="E59" i="41"/>
  <c r="E169" i="41"/>
  <c r="E168" i="41" s="1"/>
  <c r="E25" i="41"/>
  <c r="E24" i="41" s="1"/>
  <c r="E159" i="41"/>
  <c r="E160" i="41"/>
  <c r="E104" i="41"/>
  <c r="E127" i="41"/>
  <c r="E31" i="41"/>
  <c r="E56" i="41"/>
  <c r="E161" i="41"/>
  <c r="E114" i="41"/>
  <c r="E66" i="41"/>
  <c r="E79" i="41"/>
  <c r="E175" i="41"/>
  <c r="E17" i="41"/>
  <c r="E121" i="41"/>
  <c r="E120" i="41" s="1"/>
  <c r="E113" i="41"/>
  <c r="E63" i="41"/>
  <c r="E65" i="41"/>
  <c r="E162" i="41"/>
  <c r="E154" i="41"/>
  <c r="E58" i="41"/>
  <c r="E64" i="41"/>
  <c r="E174" i="41"/>
  <c r="E30" i="41"/>
  <c r="E18" i="41"/>
  <c r="E16" i="41"/>
  <c r="E67" i="41"/>
  <c r="E106" i="41"/>
  <c r="E152" i="41"/>
  <c r="E112" i="41"/>
  <c r="E78" i="41"/>
  <c r="E126" i="41"/>
  <c r="E111" i="41"/>
  <c r="O132" i="37"/>
  <c r="O131" i="37"/>
  <c r="O129" i="37"/>
  <c r="O99" i="37"/>
  <c r="O139" i="37"/>
  <c r="O59" i="37"/>
  <c r="O138" i="37"/>
  <c r="P55" i="37"/>
  <c r="O19" i="70" s="1"/>
  <c r="P71" i="37"/>
  <c r="P22" i="37"/>
  <c r="P31" i="37"/>
  <c r="P102" i="37"/>
  <c r="P66" i="37"/>
  <c r="P25" i="37"/>
  <c r="P62" i="37"/>
  <c r="P142" i="37"/>
  <c r="P132" i="37"/>
  <c r="AC11" i="70" s="1"/>
  <c r="AD11" i="70" s="1"/>
  <c r="P26" i="37"/>
  <c r="P15" i="37"/>
  <c r="H19" i="70" s="1"/>
  <c r="P106" i="37"/>
  <c r="P151" i="37"/>
  <c r="P146" i="37"/>
  <c r="P111" i="37"/>
  <c r="E48" i="65"/>
  <c r="F48" i="65" s="1"/>
  <c r="E60" i="65"/>
  <c r="F60" i="65" s="1"/>
  <c r="E10" i="65"/>
  <c r="F10" i="65" s="1"/>
  <c r="E29" i="65"/>
  <c r="F29" i="65" s="1"/>
  <c r="E7" i="65"/>
  <c r="F7" i="65" s="1"/>
  <c r="E12" i="65"/>
  <c r="F12" i="65" s="1"/>
  <c r="E9" i="65"/>
  <c r="F9" i="65" s="1"/>
  <c r="AR9" i="39"/>
  <c r="E36" i="65"/>
  <c r="F36" i="65" s="1"/>
  <c r="E24" i="65"/>
  <c r="F24" i="65" s="1"/>
  <c r="E6" i="65"/>
  <c r="F6" i="65" s="1"/>
  <c r="E8" i="65"/>
  <c r="F8" i="65" s="1"/>
  <c r="J2" i="37"/>
  <c r="I3" i="37"/>
  <c r="I5" i="37"/>
  <c r="M5" i="37"/>
  <c r="N4" i="37"/>
  <c r="M3" i="37"/>
  <c r="I2" i="37"/>
  <c r="N5" i="37"/>
  <c r="J4" i="37"/>
  <c r="M4" i="37"/>
  <c r="N3" i="37"/>
  <c r="J5" i="37"/>
  <c r="G3" i="37"/>
  <c r="G5" i="37"/>
  <c r="G4" i="37"/>
  <c r="G2" i="37"/>
  <c r="J3" i="37"/>
  <c r="I4" i="37"/>
  <c r="K77" i="41"/>
  <c r="K110" i="41"/>
  <c r="K150" i="41"/>
  <c r="K158" i="41"/>
  <c r="K120" i="41"/>
  <c r="K6" i="41"/>
  <c r="K168" i="41"/>
  <c r="K72" i="41"/>
  <c r="K24" i="41"/>
  <c r="K54" i="41"/>
  <c r="K173" i="41"/>
  <c r="K14" i="41"/>
  <c r="K62" i="41"/>
  <c r="K102" i="41"/>
  <c r="K29" i="41"/>
  <c r="E23" i="42"/>
  <c r="J22" i="42"/>
  <c r="E16" i="42"/>
  <c r="AR6" i="39" l="1"/>
  <c r="AR5" i="39"/>
  <c r="AR7" i="39"/>
  <c r="E17" i="65"/>
  <c r="F17" i="65" s="1"/>
  <c r="AR4" i="39"/>
  <c r="BK84" i="39"/>
  <c r="BJ4" i="39"/>
  <c r="BK60" i="39"/>
  <c r="BJ6" i="39"/>
  <c r="BK69" i="39"/>
  <c r="BJ7" i="39"/>
  <c r="BJ5" i="39"/>
  <c r="D116" i="42"/>
  <c r="BK149" i="39"/>
  <c r="D68" i="42"/>
  <c r="BK147" i="39"/>
  <c r="D9" i="42"/>
  <c r="BK237" i="39"/>
  <c r="D61" i="42"/>
  <c r="BK229" i="39"/>
  <c r="D157" i="42"/>
  <c r="BK231" i="39"/>
  <c r="D164" i="42"/>
  <c r="BK151" i="39"/>
  <c r="D109" i="42"/>
  <c r="F109" i="42" s="1"/>
  <c r="K109" i="42" s="1"/>
  <c r="BK230" i="39"/>
  <c r="D26" i="42"/>
  <c r="BK208" i="39"/>
  <c r="D17" i="42"/>
  <c r="BK153" i="39"/>
  <c r="W44" i="65"/>
  <c r="W57" i="65"/>
  <c r="W22" i="65"/>
  <c r="W21" i="65"/>
  <c r="H21" i="65" s="1"/>
  <c r="W33" i="65"/>
  <c r="I33" i="65" s="1"/>
  <c r="W41" i="65"/>
  <c r="W55" i="65"/>
  <c r="W46" i="65"/>
  <c r="W31" i="65"/>
  <c r="W30" i="65"/>
  <c r="W58" i="65"/>
  <c r="W54" i="65"/>
  <c r="I54" i="65" s="1"/>
  <c r="W19" i="65"/>
  <c r="W18" i="65"/>
  <c r="I18" i="65" s="1"/>
  <c r="W20" i="65"/>
  <c r="W32" i="65"/>
  <c r="W56" i="65"/>
  <c r="H56" i="65" s="1"/>
  <c r="W43" i="65"/>
  <c r="H43" i="65" s="1"/>
  <c r="W53" i="65"/>
  <c r="I53" i="65" s="1"/>
  <c r="W45" i="65"/>
  <c r="I45" i="65" s="1"/>
  <c r="W34" i="65"/>
  <c r="W42" i="65"/>
  <c r="D154" i="42"/>
  <c r="D57" i="42"/>
  <c r="D108" i="42"/>
  <c r="D170" i="42"/>
  <c r="D74" i="42"/>
  <c r="D73" i="42" s="1"/>
  <c r="BG69" i="39"/>
  <c r="BG103" i="39"/>
  <c r="D122" i="42"/>
  <c r="D121" i="42" s="1"/>
  <c r="D31" i="42"/>
  <c r="D67" i="42"/>
  <c r="D18" i="42"/>
  <c r="D79" i="42"/>
  <c r="D176" i="42"/>
  <c r="D80" i="42"/>
  <c r="D58" i="42"/>
  <c r="D32" i="42"/>
  <c r="D106" i="42"/>
  <c r="D128" i="42"/>
  <c r="D161" i="42"/>
  <c r="D113" i="42"/>
  <c r="D163" i="42"/>
  <c r="D160" i="42"/>
  <c r="K141" i="41"/>
  <c r="D19" i="42"/>
  <c r="D65" i="42"/>
  <c r="D112" i="42"/>
  <c r="D162" i="42"/>
  <c r="D115" i="42"/>
  <c r="D10" i="42"/>
  <c r="F125" i="41"/>
  <c r="E125" i="41"/>
  <c r="K189" i="41"/>
  <c r="K93" i="41"/>
  <c r="K45" i="41"/>
  <c r="BG237" i="39"/>
  <c r="E162" i="42"/>
  <c r="BF238" i="39"/>
  <c r="BF77" i="39"/>
  <c r="BF308" i="39"/>
  <c r="I153" i="41"/>
  <c r="D57" i="41"/>
  <c r="P50" i="37"/>
  <c r="O9" i="70" s="1"/>
  <c r="P9" i="70" s="1"/>
  <c r="E58" i="42"/>
  <c r="I57" i="41"/>
  <c r="E106" i="42"/>
  <c r="I9" i="41"/>
  <c r="E10" i="42"/>
  <c r="E154" i="42"/>
  <c r="T9" i="70"/>
  <c r="U9" i="70" s="1"/>
  <c r="H46" i="63"/>
  <c r="D153" i="41"/>
  <c r="J67" i="63"/>
  <c r="AA9" i="70"/>
  <c r="AB9" i="70" s="1"/>
  <c r="P130" i="37"/>
  <c r="AC9" i="70" s="1"/>
  <c r="AD9" i="70" s="1"/>
  <c r="P10" i="37"/>
  <c r="H9" i="70" s="1"/>
  <c r="I9" i="70" s="1"/>
  <c r="F9" i="70"/>
  <c r="G9" i="70" s="1"/>
  <c r="P90" i="37"/>
  <c r="V9" i="70" s="1"/>
  <c r="W9" i="70" s="1"/>
  <c r="H26" i="63"/>
  <c r="M9" i="70"/>
  <c r="N9" i="70" s="1"/>
  <c r="T34" i="70"/>
  <c r="U34" i="70" s="1"/>
  <c r="F8" i="70"/>
  <c r="G8" i="70" s="1"/>
  <c r="F11" i="70"/>
  <c r="G11" i="70" s="1"/>
  <c r="M15" i="70"/>
  <c r="N15" i="70" s="1"/>
  <c r="T29" i="70"/>
  <c r="T28" i="70" s="1"/>
  <c r="U28" i="70" s="1"/>
  <c r="M10" i="70"/>
  <c r="N10" i="70" s="1"/>
  <c r="T8" i="70"/>
  <c r="U8" i="70" s="1"/>
  <c r="T19" i="70"/>
  <c r="U19" i="70" s="1"/>
  <c r="M8" i="70"/>
  <c r="N8" i="70" s="1"/>
  <c r="M20" i="70"/>
  <c r="N20" i="70" s="1"/>
  <c r="J9" i="63"/>
  <c r="T21" i="70"/>
  <c r="U21" i="70" s="1"/>
  <c r="H10" i="63"/>
  <c r="F29" i="70"/>
  <c r="G29" i="70" s="1"/>
  <c r="J49" i="63"/>
  <c r="M11" i="70"/>
  <c r="N11" i="70" s="1"/>
  <c r="M24" i="70"/>
  <c r="N24" i="70" s="1"/>
  <c r="T10" i="70"/>
  <c r="U10" i="70" s="1"/>
  <c r="H35" i="63"/>
  <c r="M7" i="70"/>
  <c r="N7" i="70" s="1"/>
  <c r="I107" i="41"/>
  <c r="I108" i="41"/>
  <c r="E61" i="42"/>
  <c r="E165" i="42"/>
  <c r="E117" i="42"/>
  <c r="E83" i="42"/>
  <c r="E82" i="42" s="1"/>
  <c r="E116" i="42"/>
  <c r="I55" i="41"/>
  <c r="E56" i="42"/>
  <c r="E157" i="42"/>
  <c r="E45" i="65"/>
  <c r="F45" i="65" s="1"/>
  <c r="E152" i="42"/>
  <c r="P75" i="37"/>
  <c r="O34" i="70" s="1"/>
  <c r="O33" i="70" s="1"/>
  <c r="P33" i="70" s="1"/>
  <c r="E108" i="42"/>
  <c r="I59" i="41"/>
  <c r="BG233" i="39"/>
  <c r="BF250" i="39"/>
  <c r="BF310" i="39"/>
  <c r="I163" i="41"/>
  <c r="E74" i="42"/>
  <c r="E73" i="42" s="1"/>
  <c r="D178" i="42"/>
  <c r="E176" i="42"/>
  <c r="E161" i="42"/>
  <c r="E107" i="42"/>
  <c r="D82" i="42"/>
  <c r="E131" i="42"/>
  <c r="E130" i="42" s="1"/>
  <c r="P51" i="37"/>
  <c r="O10" i="70" s="1"/>
  <c r="P10" i="70" s="1"/>
  <c r="E128" i="42"/>
  <c r="E153" i="42"/>
  <c r="E59" i="42"/>
  <c r="E179" i="42"/>
  <c r="E178" i="42" s="1"/>
  <c r="D130" i="42"/>
  <c r="E68" i="42"/>
  <c r="E122" i="42"/>
  <c r="E121" i="42" s="1"/>
  <c r="E164" i="42"/>
  <c r="E127" i="42"/>
  <c r="E46" i="65"/>
  <c r="F46" i="65" s="1"/>
  <c r="E175" i="42"/>
  <c r="E115" i="42"/>
  <c r="F66" i="42"/>
  <c r="K66" i="42" s="1"/>
  <c r="F7" i="70"/>
  <c r="G7" i="70" s="1"/>
  <c r="E112" i="42"/>
  <c r="E160" i="42"/>
  <c r="E105" i="42"/>
  <c r="F60" i="42"/>
  <c r="K60" i="42" s="1"/>
  <c r="E80" i="42"/>
  <c r="E113" i="42"/>
  <c r="E163" i="42"/>
  <c r="E65" i="42"/>
  <c r="F156" i="42"/>
  <c r="K156" i="42" s="1"/>
  <c r="E67" i="42"/>
  <c r="E57" i="42"/>
  <c r="F64" i="42"/>
  <c r="K64" i="42" s="1"/>
  <c r="E79" i="42"/>
  <c r="F114" i="42"/>
  <c r="K114" i="42" s="1"/>
  <c r="F69" i="42"/>
  <c r="K69" i="42" s="1"/>
  <c r="E170" i="42"/>
  <c r="E169" i="42" s="1"/>
  <c r="E155" i="42"/>
  <c r="P13" i="37"/>
  <c r="H12" i="70" s="1"/>
  <c r="I12" i="70" s="1"/>
  <c r="E21" i="42"/>
  <c r="P144" i="37"/>
  <c r="AC29" i="70" s="1"/>
  <c r="AC28" i="70" s="1"/>
  <c r="AD28" i="70" s="1"/>
  <c r="I169" i="41"/>
  <c r="I168" i="41" s="1"/>
  <c r="BF69" i="39"/>
  <c r="I7" i="41"/>
  <c r="I116" i="41"/>
  <c r="P48" i="37"/>
  <c r="O7" i="70" s="1"/>
  <c r="P7" i="70" s="1"/>
  <c r="I12" i="41"/>
  <c r="BG334" i="39"/>
  <c r="BG105" i="39"/>
  <c r="BF87" i="39"/>
  <c r="I67" i="41"/>
  <c r="BG181" i="39"/>
  <c r="E8" i="42"/>
  <c r="I34" i="41"/>
  <c r="I33" i="41" s="1"/>
  <c r="AA34" i="70"/>
  <c r="AB34" i="70" s="1"/>
  <c r="F12" i="70"/>
  <c r="G12" i="70" s="1"/>
  <c r="P8" i="37"/>
  <c r="H7" i="70" s="1"/>
  <c r="I7" i="70" s="1"/>
  <c r="E13" i="42"/>
  <c r="AA29" i="70"/>
  <c r="AB29" i="70" s="1"/>
  <c r="J75" i="63"/>
  <c r="I130" i="41"/>
  <c r="I129" i="41" s="1"/>
  <c r="F34" i="70"/>
  <c r="G34" i="70" s="1"/>
  <c r="I77" i="63"/>
  <c r="J77" i="63" s="1"/>
  <c r="E33" i="65"/>
  <c r="F33" i="65" s="1"/>
  <c r="I178" i="41"/>
  <c r="I177" i="41" s="1"/>
  <c r="I164" i="41"/>
  <c r="I82" i="41"/>
  <c r="I81" i="41" s="1"/>
  <c r="I156" i="41"/>
  <c r="P115" i="37"/>
  <c r="V34" i="70" s="1"/>
  <c r="V33" i="70" s="1"/>
  <c r="W33" i="70" s="1"/>
  <c r="P155" i="37"/>
  <c r="AC34" i="70" s="1"/>
  <c r="AC33" i="70" s="1"/>
  <c r="AD33" i="70" s="1"/>
  <c r="E21" i="65"/>
  <c r="F21" i="65" s="1"/>
  <c r="P140" i="37"/>
  <c r="AC24" i="70" s="1"/>
  <c r="AD24" i="70" s="1"/>
  <c r="I106" i="41"/>
  <c r="BF183" i="39"/>
  <c r="BG76" i="39"/>
  <c r="BG186" i="39"/>
  <c r="P64" i="37"/>
  <c r="O29" i="70" s="1"/>
  <c r="O28" i="70" s="1"/>
  <c r="P28" i="70" s="1"/>
  <c r="BF208" i="39"/>
  <c r="BF118" i="39"/>
  <c r="P100" i="37"/>
  <c r="V24" i="70" s="1"/>
  <c r="W24" i="70" s="1"/>
  <c r="H55" i="63"/>
  <c r="BG174" i="39"/>
  <c r="BG216" i="39"/>
  <c r="BG330" i="39"/>
  <c r="BF239" i="39"/>
  <c r="BG60" i="39"/>
  <c r="AA12" i="70"/>
  <c r="AB12" i="70" s="1"/>
  <c r="BG130" i="39"/>
  <c r="BF153" i="39"/>
  <c r="P128" i="37"/>
  <c r="AC7" i="70" s="1"/>
  <c r="AD7" i="70" s="1"/>
  <c r="I151" i="41"/>
  <c r="I121" i="41"/>
  <c r="I120" i="41" s="1"/>
  <c r="BG324" i="39"/>
  <c r="BG82" i="39"/>
  <c r="I111" i="41"/>
  <c r="P88" i="37"/>
  <c r="V7" i="70" s="1"/>
  <c r="W7" i="70" s="1"/>
  <c r="BG182" i="39"/>
  <c r="BF259" i="39"/>
  <c r="P89" i="37"/>
  <c r="V8" i="70" s="1"/>
  <c r="W8" i="70" s="1"/>
  <c r="T24" i="70"/>
  <c r="U24" i="70" s="1"/>
  <c r="T12" i="70"/>
  <c r="U12" i="70" s="1"/>
  <c r="P24" i="37"/>
  <c r="H29" i="70" s="1"/>
  <c r="H28" i="70" s="1"/>
  <c r="I28" i="70" s="1"/>
  <c r="P93" i="37"/>
  <c r="V12" i="70" s="1"/>
  <c r="W12" i="70" s="1"/>
  <c r="AA10" i="70"/>
  <c r="AB10" i="70" s="1"/>
  <c r="P12" i="37"/>
  <c r="H11" i="70" s="1"/>
  <c r="I11" i="70" s="1"/>
  <c r="P104" i="37"/>
  <c r="V29" i="70" s="1"/>
  <c r="V28" i="70" s="1"/>
  <c r="W28" i="70" s="1"/>
  <c r="H15" i="63"/>
  <c r="BG109" i="39"/>
  <c r="BF168" i="39"/>
  <c r="H69" i="63"/>
  <c r="AA15" i="70"/>
  <c r="AB15" i="70" s="1"/>
  <c r="P131" i="37"/>
  <c r="AC10" i="70" s="1"/>
  <c r="AD10" i="70" s="1"/>
  <c r="AA11" i="70"/>
  <c r="AB11" i="70" s="1"/>
  <c r="BF80" i="39"/>
  <c r="I103" i="41"/>
  <c r="I174" i="41"/>
  <c r="M34" i="70"/>
  <c r="N34" i="70" s="1"/>
  <c r="E12" i="42"/>
  <c r="I73" i="41"/>
  <c r="I72" i="41" s="1"/>
  <c r="P150" i="37"/>
  <c r="AC15" i="70" s="1"/>
  <c r="AD15" i="70" s="1"/>
  <c r="E41" i="65"/>
  <c r="F41" i="65" s="1"/>
  <c r="I154" i="41"/>
  <c r="E26" i="42"/>
  <c r="E25" i="42" s="1"/>
  <c r="E30" i="65"/>
  <c r="F30" i="65" s="1"/>
  <c r="BF85" i="39"/>
  <c r="I25" i="41"/>
  <c r="I24" i="41" s="1"/>
  <c r="P95" i="37"/>
  <c r="V19" i="70" s="1"/>
  <c r="W19" i="70" s="1"/>
  <c r="P133" i="37"/>
  <c r="AC12" i="70" s="1"/>
  <c r="AD12" i="70" s="1"/>
  <c r="M29" i="70"/>
  <c r="M28" i="70" s="1"/>
  <c r="N28" i="70" s="1"/>
  <c r="I19" i="41"/>
  <c r="I104" i="41"/>
  <c r="I155" i="41"/>
  <c r="I115" i="41"/>
  <c r="I126" i="41"/>
  <c r="P20" i="37"/>
  <c r="H24" i="70" s="1"/>
  <c r="I24" i="70" s="1"/>
  <c r="E58" i="65"/>
  <c r="F58" i="65" s="1"/>
  <c r="I58" i="41"/>
  <c r="I161" i="41"/>
  <c r="I30" i="41"/>
  <c r="E31" i="65"/>
  <c r="F31" i="65" s="1"/>
  <c r="E42" i="65"/>
  <c r="F42" i="65" s="1"/>
  <c r="P91" i="37"/>
  <c r="V10" i="70" s="1"/>
  <c r="W10" i="70" s="1"/>
  <c r="BG114" i="39"/>
  <c r="I8" i="41"/>
  <c r="F15" i="70"/>
  <c r="G15" i="70" s="1"/>
  <c r="BF61" i="39"/>
  <c r="BF333" i="39"/>
  <c r="P99" i="37"/>
  <c r="V23" i="70" s="1"/>
  <c r="W23" i="70" s="1"/>
  <c r="E53" i="65"/>
  <c r="F53" i="65" s="1"/>
  <c r="T23" i="70"/>
  <c r="U23" i="70" s="1"/>
  <c r="P9" i="37"/>
  <c r="H8" i="70" s="1"/>
  <c r="I8" i="70" s="1"/>
  <c r="M23" i="70"/>
  <c r="N23" i="70" s="1"/>
  <c r="E55" i="65"/>
  <c r="F55" i="65" s="1"/>
  <c r="E11" i="42"/>
  <c r="H70" i="63"/>
  <c r="E35" i="42"/>
  <c r="E34" i="42" s="1"/>
  <c r="M21" i="70"/>
  <c r="N21" i="70" s="1"/>
  <c r="AA22" i="70"/>
  <c r="AB22" i="70" s="1"/>
  <c r="AA16" i="70"/>
  <c r="AB16" i="70" s="1"/>
  <c r="F16" i="70"/>
  <c r="G16" i="70" s="1"/>
  <c r="E18" i="42"/>
  <c r="P30" i="37"/>
  <c r="H15" i="70" s="1"/>
  <c r="I15" i="70" s="1"/>
  <c r="P57" i="37"/>
  <c r="O21" i="70" s="1"/>
  <c r="P21" i="70" s="1"/>
  <c r="BG315" i="39"/>
  <c r="P35" i="37"/>
  <c r="H34" i="70" s="1"/>
  <c r="H33" i="70" s="1"/>
  <c r="I33" i="70" s="1"/>
  <c r="AA19" i="70"/>
  <c r="AB19" i="70" s="1"/>
  <c r="I65" i="41"/>
  <c r="I66" i="41"/>
  <c r="F10" i="70"/>
  <c r="G10" i="70" s="1"/>
  <c r="E54" i="65"/>
  <c r="F54" i="65" s="1"/>
  <c r="AA23" i="70"/>
  <c r="AB23" i="70" s="1"/>
  <c r="T20" i="70"/>
  <c r="U20" i="70" s="1"/>
  <c r="P136" i="37"/>
  <c r="AC20" i="70" s="1"/>
  <c r="AD20" i="70" s="1"/>
  <c r="BF213" i="39"/>
  <c r="E22" i="65"/>
  <c r="F22" i="65" s="1"/>
  <c r="E32" i="42"/>
  <c r="I113" i="41"/>
  <c r="F24" i="70"/>
  <c r="G24" i="70" s="1"/>
  <c r="M22" i="70"/>
  <c r="N22" i="70" s="1"/>
  <c r="T7" i="70"/>
  <c r="U7" i="70" s="1"/>
  <c r="BG318" i="39"/>
  <c r="I31" i="41"/>
  <c r="P58" i="37"/>
  <c r="O22" i="70" s="1"/>
  <c r="P22" i="70" s="1"/>
  <c r="P135" i="37"/>
  <c r="AC19" i="70" s="1"/>
  <c r="AD19" i="70" s="1"/>
  <c r="I160" i="41"/>
  <c r="E32" i="65"/>
  <c r="F32" i="65" s="1"/>
  <c r="BF341" i="39"/>
  <c r="J50" i="63"/>
  <c r="P32" i="37"/>
  <c r="H16" i="70" s="1"/>
  <c r="I16" i="70" s="1"/>
  <c r="T16" i="70"/>
  <c r="U16" i="70" s="1"/>
  <c r="I162" i="41"/>
  <c r="P96" i="37"/>
  <c r="V20" i="70" s="1"/>
  <c r="W20" i="70" s="1"/>
  <c r="E56" i="65"/>
  <c r="F56" i="65" s="1"/>
  <c r="P138" i="37"/>
  <c r="AC22" i="70" s="1"/>
  <c r="AD22" i="70" s="1"/>
  <c r="I10" i="41"/>
  <c r="E31" i="42"/>
  <c r="I56" i="41"/>
  <c r="P11" i="37"/>
  <c r="H10" i="70" s="1"/>
  <c r="I10" i="70" s="1"/>
  <c r="P17" i="37"/>
  <c r="H21" i="70" s="1"/>
  <c r="I21" i="70" s="1"/>
  <c r="P59" i="37"/>
  <c r="O23" i="70" s="1"/>
  <c r="P23" i="70" s="1"/>
  <c r="P129" i="37"/>
  <c r="AC8" i="70" s="1"/>
  <c r="AD8" i="70" s="1"/>
  <c r="I112" i="41"/>
  <c r="I78" i="41"/>
  <c r="I152" i="41"/>
  <c r="E19" i="65"/>
  <c r="F19" i="65" s="1"/>
  <c r="I60" i="41"/>
  <c r="I159" i="41"/>
  <c r="AA7" i="70"/>
  <c r="AB7" i="70" s="1"/>
  <c r="BG294" i="39"/>
  <c r="I127" i="41"/>
  <c r="P53" i="37"/>
  <c r="O12" i="70" s="1"/>
  <c r="P12" i="70" s="1"/>
  <c r="F23" i="70"/>
  <c r="G23" i="70" s="1"/>
  <c r="P60" i="37"/>
  <c r="O24" i="70" s="1"/>
  <c r="P24" i="70" s="1"/>
  <c r="I175" i="41"/>
  <c r="P98" i="37"/>
  <c r="V22" i="70" s="1"/>
  <c r="W22" i="70" s="1"/>
  <c r="E20" i="65"/>
  <c r="F20" i="65" s="1"/>
  <c r="AA24" i="70"/>
  <c r="AB24" i="70" s="1"/>
  <c r="E18" i="65"/>
  <c r="F18" i="65" s="1"/>
  <c r="E57" i="65"/>
  <c r="F57" i="65" s="1"/>
  <c r="P72" i="37"/>
  <c r="O16" i="70" s="1"/>
  <c r="P16" i="70" s="1"/>
  <c r="E20" i="42"/>
  <c r="E9" i="42"/>
  <c r="BG79" i="39"/>
  <c r="BG169" i="39"/>
  <c r="P110" i="37"/>
  <c r="V15" i="70" s="1"/>
  <c r="W15" i="70" s="1"/>
  <c r="M12" i="70"/>
  <c r="N12" i="70" s="1"/>
  <c r="BF70" i="39"/>
  <c r="P112" i="37"/>
  <c r="V16" i="70" s="1"/>
  <c r="W16" i="70" s="1"/>
  <c r="I11" i="41"/>
  <c r="P97" i="37"/>
  <c r="V21" i="70" s="1"/>
  <c r="W21" i="70" s="1"/>
  <c r="I79" i="41"/>
  <c r="P152" i="37"/>
  <c r="AC16" i="70" s="1"/>
  <c r="AD16" i="70" s="1"/>
  <c r="I16" i="41"/>
  <c r="E19" i="42"/>
  <c r="P52" i="37"/>
  <c r="O11" i="70" s="1"/>
  <c r="P11" i="70" s="1"/>
  <c r="E43" i="65"/>
  <c r="F43" i="65" s="1"/>
  <c r="E44" i="65"/>
  <c r="F44" i="65" s="1"/>
  <c r="E17" i="42"/>
  <c r="P70" i="37"/>
  <c r="O15" i="70" s="1"/>
  <c r="P15" i="70" s="1"/>
  <c r="BF322" i="39"/>
  <c r="BF74" i="39"/>
  <c r="P137" i="37"/>
  <c r="AC21" i="70" s="1"/>
  <c r="AD21" i="70" s="1"/>
  <c r="I64" i="41"/>
  <c r="P16" i="37"/>
  <c r="H20" i="70" s="1"/>
  <c r="I20" i="70" s="1"/>
  <c r="I114" i="41"/>
  <c r="I18" i="41"/>
  <c r="T22" i="70"/>
  <c r="U22" i="70" s="1"/>
  <c r="P92" i="37"/>
  <c r="V11" i="70" s="1"/>
  <c r="W11" i="70" s="1"/>
  <c r="P18" i="37"/>
  <c r="H22" i="70" s="1"/>
  <c r="I22" i="70" s="1"/>
  <c r="AA21" i="70"/>
  <c r="AB21" i="70" s="1"/>
  <c r="BF86" i="39"/>
  <c r="BG136" i="39"/>
  <c r="P49" i="37"/>
  <c r="O8" i="70" s="1"/>
  <c r="P8" i="70" s="1"/>
  <c r="D16" i="41"/>
  <c r="H30" i="63"/>
  <c r="M16" i="70"/>
  <c r="N16" i="70" s="1"/>
  <c r="F21" i="70"/>
  <c r="G21" i="70" s="1"/>
  <c r="F20" i="70"/>
  <c r="G20" i="70" s="1"/>
  <c r="H29" i="63"/>
  <c r="AA20" i="70"/>
  <c r="AB20" i="70" s="1"/>
  <c r="P139" i="37"/>
  <c r="AC23" i="70" s="1"/>
  <c r="AD23" i="70" s="1"/>
  <c r="P19" i="37"/>
  <c r="H23" i="70" s="1"/>
  <c r="I23" i="70" s="1"/>
  <c r="T11" i="70"/>
  <c r="U11" i="70" s="1"/>
  <c r="H5" i="37"/>
  <c r="F22" i="70"/>
  <c r="G22" i="70" s="1"/>
  <c r="H3" i="37"/>
  <c r="AA8" i="70"/>
  <c r="AB8" i="70" s="1"/>
  <c r="I17" i="41"/>
  <c r="H2" i="37"/>
  <c r="T15" i="70"/>
  <c r="U15" i="70" s="1"/>
  <c r="H4" i="37"/>
  <c r="P56" i="37"/>
  <c r="O20" i="70" s="1"/>
  <c r="P20" i="70" s="1"/>
  <c r="D7" i="41"/>
  <c r="D12" i="41"/>
  <c r="D10" i="41"/>
  <c r="BG13" i="39"/>
  <c r="BG145" i="39"/>
  <c r="BG167" i="39"/>
  <c r="BG256" i="39"/>
  <c r="BG260" i="39"/>
  <c r="O2" i="37"/>
  <c r="BF285" i="39"/>
  <c r="BG197" i="39"/>
  <c r="BG15" i="39"/>
  <c r="BG348" i="39"/>
  <c r="BG95" i="39"/>
  <c r="BG37" i="39"/>
  <c r="BG317" i="39"/>
  <c r="BG38" i="39"/>
  <c r="BG97" i="39"/>
  <c r="BG44" i="39"/>
  <c r="BG282" i="39"/>
  <c r="BG99" i="39"/>
  <c r="BG205" i="39"/>
  <c r="BG307" i="39"/>
  <c r="BG304" i="39"/>
  <c r="BG156" i="39"/>
  <c r="BG279" i="39"/>
  <c r="BG129" i="39"/>
  <c r="BG137" i="39"/>
  <c r="BG135" i="39"/>
  <c r="BG191" i="39"/>
  <c r="BG347" i="39"/>
  <c r="BG269" i="39"/>
  <c r="BG48" i="39"/>
  <c r="BG14" i="39"/>
  <c r="BG327" i="39"/>
  <c r="BG154" i="39"/>
  <c r="BG148" i="39"/>
  <c r="BG23" i="39"/>
  <c r="BG265" i="39"/>
  <c r="BG305" i="39"/>
  <c r="BG94" i="39"/>
  <c r="BG241" i="39"/>
  <c r="BG262" i="39"/>
  <c r="BG30" i="39"/>
  <c r="BG162" i="39"/>
  <c r="BG55" i="39"/>
  <c r="BG211" i="39"/>
  <c r="BG345" i="39"/>
  <c r="BG283" i="39"/>
  <c r="BG284" i="39"/>
  <c r="BG285" i="39"/>
  <c r="BG328" i="39"/>
  <c r="BG336" i="39"/>
  <c r="BG227" i="39"/>
  <c r="BG165" i="39"/>
  <c r="BG209" i="39"/>
  <c r="BG45" i="39"/>
  <c r="BG206" i="39"/>
  <c r="BG166" i="39"/>
  <c r="BG10" i="39"/>
  <c r="BG56" i="39"/>
  <c r="BG140" i="39"/>
  <c r="BG337" i="39"/>
  <c r="BG196" i="39"/>
  <c r="BG207" i="39"/>
  <c r="BG152" i="39"/>
  <c r="BG115" i="39"/>
  <c r="BF95" i="39"/>
  <c r="BG300" i="39"/>
  <c r="BG210" i="39"/>
  <c r="BG161" i="39"/>
  <c r="BG66" i="39"/>
  <c r="BG200" i="39"/>
  <c r="BG150" i="39"/>
  <c r="BF35" i="39"/>
  <c r="BG51" i="39"/>
  <c r="BG21" i="39"/>
  <c r="BG39" i="39"/>
  <c r="BG226" i="39"/>
  <c r="BG26" i="39"/>
  <c r="BG338" i="39"/>
  <c r="BF78" i="39"/>
  <c r="BG27" i="39"/>
  <c r="BG91" i="39"/>
  <c r="BG58" i="39"/>
  <c r="BG297" i="39"/>
  <c r="BF17" i="39"/>
  <c r="BG54" i="39"/>
  <c r="BG189" i="39"/>
  <c r="BG292" i="39"/>
  <c r="BG228" i="39"/>
  <c r="BF203" i="39"/>
  <c r="BG93" i="39"/>
  <c r="BG299" i="39"/>
  <c r="BG32" i="39"/>
  <c r="BG78" i="39"/>
  <c r="BG11" i="39"/>
  <c r="BG41" i="39"/>
  <c r="BG351" i="39"/>
  <c r="BG268" i="39"/>
  <c r="BG194" i="39"/>
  <c r="BG29" i="39"/>
  <c r="BG221" i="39"/>
  <c r="BG240" i="39"/>
  <c r="BG281" i="39"/>
  <c r="BG134" i="39"/>
  <c r="BG331" i="39"/>
  <c r="BG215" i="39"/>
  <c r="BG20" i="39"/>
  <c r="BG218" i="39"/>
  <c r="BG289" i="39"/>
  <c r="BG33" i="39"/>
  <c r="BG275" i="39"/>
  <c r="BG112" i="39"/>
  <c r="BG35" i="39"/>
  <c r="BG277" i="39"/>
  <c r="BG59" i="39"/>
  <c r="BG176" i="39"/>
  <c r="BG280" i="39"/>
  <c r="BG90" i="39"/>
  <c r="BG47" i="39"/>
  <c r="BF306" i="39"/>
  <c r="BG254" i="39"/>
  <c r="BG98" i="39"/>
  <c r="BG242" i="39"/>
  <c r="BG170" i="39"/>
  <c r="BG214" i="39"/>
  <c r="BG164" i="39"/>
  <c r="BG138" i="39"/>
  <c r="BG123" i="39"/>
  <c r="BG192" i="39"/>
  <c r="BG291" i="39"/>
  <c r="BG199" i="39"/>
  <c r="BG286" i="39"/>
  <c r="BG255" i="39"/>
  <c r="BG342" i="39"/>
  <c r="BF304" i="39"/>
  <c r="BG278" i="39"/>
  <c r="BG158" i="39"/>
  <c r="BG89" i="39"/>
  <c r="BF197" i="39"/>
  <c r="BG187" i="39"/>
  <c r="BG204" i="39"/>
  <c r="BG75" i="39"/>
  <c r="BG100" i="39"/>
  <c r="BG344" i="39"/>
  <c r="BG236" i="39"/>
  <c r="BG43" i="39"/>
  <c r="BG49" i="39"/>
  <c r="BG12" i="39"/>
  <c r="BG146" i="39"/>
  <c r="BG311" i="39"/>
  <c r="BG224" i="39"/>
  <c r="BG316" i="39"/>
  <c r="BF45" i="39"/>
  <c r="BI45" i="39" s="1"/>
  <c r="BG298" i="39"/>
  <c r="BG22" i="39"/>
  <c r="BF295" i="39"/>
  <c r="BF226" i="39"/>
  <c r="BG276" i="39"/>
  <c r="BG263" i="39"/>
  <c r="BF317" i="39"/>
  <c r="BG195" i="39"/>
  <c r="BF162" i="39"/>
  <c r="BF206" i="39"/>
  <c r="BF166" i="39"/>
  <c r="BF221" i="39"/>
  <c r="BF340" i="39"/>
  <c r="BF97" i="39"/>
  <c r="BF140" i="39"/>
  <c r="BF112" i="39"/>
  <c r="BF57" i="39"/>
  <c r="BG295" i="39"/>
  <c r="BF96" i="39"/>
  <c r="BF188" i="39"/>
  <c r="BF205" i="39"/>
  <c r="BF290" i="39"/>
  <c r="BF209" i="39"/>
  <c r="BF210" i="39"/>
  <c r="BF283" i="39"/>
  <c r="BF316" i="39"/>
  <c r="BG202" i="39"/>
  <c r="BG198" i="39"/>
  <c r="BF14" i="39"/>
  <c r="BF91" i="39"/>
  <c r="BF15" i="39"/>
  <c r="BF227" i="39"/>
  <c r="BF297" i="39"/>
  <c r="BF257" i="39"/>
  <c r="BF102" i="39"/>
  <c r="BG34" i="39"/>
  <c r="BF167" i="39"/>
  <c r="BF144" i="39"/>
  <c r="BG42" i="39"/>
  <c r="BF302" i="39"/>
  <c r="BF47" i="39"/>
  <c r="BG68" i="39"/>
  <c r="BF228" i="39"/>
  <c r="BG188" i="39"/>
  <c r="BG290" i="39"/>
  <c r="BF123" i="39"/>
  <c r="BG157" i="39"/>
  <c r="BG172" i="39"/>
  <c r="BG53" i="39"/>
  <c r="BF33" i="39"/>
  <c r="BF254" i="39"/>
  <c r="BF347" i="39"/>
  <c r="BF215" i="39"/>
  <c r="BF187" i="39"/>
  <c r="BF154" i="39"/>
  <c r="BF28" i="39"/>
  <c r="BF52" i="39"/>
  <c r="BF269" i="39"/>
  <c r="BG31" i="39"/>
  <c r="BG340" i="39"/>
  <c r="BG266" i="39"/>
  <c r="BG267" i="39"/>
  <c r="BG219" i="39"/>
  <c r="BF225" i="39"/>
  <c r="BF172" i="39"/>
  <c r="BG16" i="39"/>
  <c r="BG301" i="39"/>
  <c r="BF53" i="39"/>
  <c r="BF51" i="39"/>
  <c r="BG155" i="39"/>
  <c r="BF279" i="39"/>
  <c r="BF134" i="39"/>
  <c r="BF90" i="39"/>
  <c r="BF46" i="39"/>
  <c r="BG288" i="39"/>
  <c r="BF39" i="39"/>
  <c r="BF34" i="39"/>
  <c r="BG144" i="39"/>
  <c r="BF42" i="39"/>
  <c r="BF99" i="39"/>
  <c r="BF32" i="39"/>
  <c r="BG302" i="39"/>
  <c r="BF29" i="39"/>
  <c r="BG232" i="39"/>
  <c r="BF94" i="39"/>
  <c r="BF26" i="39"/>
  <c r="BF189" i="39"/>
  <c r="BF200" i="39"/>
  <c r="BF337" i="39"/>
  <c r="BG128" i="39"/>
  <c r="BF307" i="39"/>
  <c r="BF292" i="39"/>
  <c r="BF201" i="39"/>
  <c r="BF59" i="39"/>
  <c r="BF351" i="39"/>
  <c r="BF338" i="39"/>
  <c r="BF280" i="39"/>
  <c r="BF284" i="39"/>
  <c r="BG36" i="39"/>
  <c r="BG212" i="39"/>
  <c r="BG18" i="39"/>
  <c r="BF268" i="39"/>
  <c r="BF311" i="39"/>
  <c r="BF100" i="39"/>
  <c r="BF299" i="39"/>
  <c r="BF20" i="39"/>
  <c r="BF160" i="39"/>
  <c r="BF301" i="39"/>
  <c r="BG67" i="39"/>
  <c r="BF21" i="39"/>
  <c r="BG24" i="39"/>
  <c r="BF152" i="39"/>
  <c r="BF161" i="39"/>
  <c r="BF276" i="39"/>
  <c r="BG163" i="39"/>
  <c r="BG320" i="39"/>
  <c r="BF89" i="39"/>
  <c r="BF261" i="39"/>
  <c r="BF204" i="39"/>
  <c r="BF263" i="39"/>
  <c r="BF342" i="39"/>
  <c r="BI342" i="39" s="1"/>
  <c r="BG346" i="39"/>
  <c r="BG52" i="39"/>
  <c r="BF25" i="39"/>
  <c r="BF255" i="39"/>
  <c r="BF10" i="39"/>
  <c r="BF11" i="39"/>
  <c r="BF65" i="39"/>
  <c r="BF75" i="39"/>
  <c r="BI75" i="39" s="1"/>
  <c r="BF56" i="39"/>
  <c r="BI56" i="39" s="1"/>
  <c r="BF278" i="39"/>
  <c r="BF344" i="39"/>
  <c r="BF232" i="39"/>
  <c r="BF36" i="39"/>
  <c r="BF68" i="39"/>
  <c r="BF128" i="39"/>
  <c r="BF194" i="39"/>
  <c r="BG272" i="39"/>
  <c r="BF207" i="39"/>
  <c r="BF273" i="39"/>
  <c r="BG201" i="39"/>
  <c r="BF37" i="39"/>
  <c r="BG261" i="39"/>
  <c r="BG349" i="39"/>
  <c r="BF48" i="39"/>
  <c r="BF328" i="39"/>
  <c r="BF170" i="39"/>
  <c r="BF66" i="39"/>
  <c r="BF43" i="39"/>
  <c r="BF242" i="39"/>
  <c r="BF288" i="39"/>
  <c r="BF240" i="39"/>
  <c r="BF150" i="39"/>
  <c r="BG64" i="39"/>
  <c r="BG243" i="39"/>
  <c r="BF92" i="39"/>
  <c r="BF286" i="39"/>
  <c r="BF145" i="39"/>
  <c r="BI145" i="39" s="1"/>
  <c r="BF320" i="39"/>
  <c r="BF345" i="39"/>
  <c r="BF157" i="39"/>
  <c r="BF211" i="39"/>
  <c r="BF13" i="39"/>
  <c r="BF300" i="39"/>
  <c r="BG287" i="39"/>
  <c r="BG306" i="39"/>
  <c r="BF265" i="39"/>
  <c r="BF331" i="39"/>
  <c r="BG160" i="39"/>
  <c r="BF274" i="39"/>
  <c r="BF155" i="39"/>
  <c r="BF346" i="39"/>
  <c r="BG257" i="39"/>
  <c r="BF218" i="39"/>
  <c r="BG25" i="39"/>
  <c r="BF58" i="39"/>
  <c r="BF199" i="39"/>
  <c r="BG350" i="39"/>
  <c r="BG92" i="39"/>
  <c r="BF19" i="39"/>
  <c r="BF289" i="39"/>
  <c r="BF44" i="39"/>
  <c r="BF275" i="39"/>
  <c r="BF190" i="39"/>
  <c r="BF54" i="39"/>
  <c r="BI54" i="39" s="1"/>
  <c r="BF158" i="39"/>
  <c r="BG273" i="39"/>
  <c r="BF176" i="39"/>
  <c r="BF305" i="39"/>
  <c r="BF349" i="39"/>
  <c r="BF281" i="39"/>
  <c r="BG203" i="39"/>
  <c r="BF148" i="39"/>
  <c r="BF256" i="39"/>
  <c r="BF272" i="39"/>
  <c r="BF195" i="39"/>
  <c r="BF40" i="39"/>
  <c r="BF193" i="39"/>
  <c r="BF49" i="39"/>
  <c r="BF277" i="39"/>
  <c r="BF339" i="39"/>
  <c r="BG274" i="39"/>
  <c r="BF98" i="39"/>
  <c r="BF260" i="39"/>
  <c r="BG40" i="39"/>
  <c r="BF38" i="39"/>
  <c r="BF64" i="39"/>
  <c r="BG65" i="39"/>
  <c r="BG19" i="39"/>
  <c r="BF12" i="39"/>
  <c r="BF214" i="39"/>
  <c r="BG190" i="39"/>
  <c r="BF146" i="39"/>
  <c r="BF16" i="39"/>
  <c r="BG225" i="39"/>
  <c r="BG96" i="39"/>
  <c r="BF164" i="39"/>
  <c r="BF138" i="39"/>
  <c r="BG28" i="39"/>
  <c r="BF303" i="39"/>
  <c r="BF291" i="39"/>
  <c r="BG46" i="39"/>
  <c r="BG17" i="39"/>
  <c r="BF165" i="39"/>
  <c r="BF191" i="39"/>
  <c r="BI191" i="39" s="1"/>
  <c r="BF192" i="39"/>
  <c r="BF135" i="39"/>
  <c r="BF93" i="39"/>
  <c r="BF163" i="39"/>
  <c r="BF22" i="39"/>
  <c r="BF50" i="39"/>
  <c r="BF18" i="39"/>
  <c r="BG88" i="39"/>
  <c r="BF159" i="39"/>
  <c r="BG339" i="39"/>
  <c r="BG296" i="39"/>
  <c r="BF287" i="39"/>
  <c r="BF212" i="39"/>
  <c r="BF137" i="39"/>
  <c r="BG159" i="39"/>
  <c r="BF202" i="39"/>
  <c r="BF262" i="39"/>
  <c r="BF129" i="39"/>
  <c r="BF88" i="39"/>
  <c r="BF31" i="39"/>
  <c r="BF30" i="39"/>
  <c r="BF198" i="39"/>
  <c r="BG50" i="39"/>
  <c r="BF336" i="39"/>
  <c r="BF266" i="39"/>
  <c r="BF67" i="39"/>
  <c r="BF243" i="39"/>
  <c r="BF224" i="39"/>
  <c r="BF55" i="39"/>
  <c r="BF41" i="39"/>
  <c r="BF298" i="39"/>
  <c r="BF267" i="39"/>
  <c r="BF219" i="39"/>
  <c r="BG102" i="39"/>
  <c r="BF236" i="39"/>
  <c r="BF241" i="39"/>
  <c r="BG57" i="39"/>
  <c r="BF196" i="39"/>
  <c r="BF24" i="39"/>
  <c r="BG303" i="39"/>
  <c r="BF282" i="39"/>
  <c r="BF156" i="39"/>
  <c r="BF327" i="39"/>
  <c r="BF296" i="39"/>
  <c r="BF350" i="39"/>
  <c r="BG193" i="39"/>
  <c r="BF115" i="39"/>
  <c r="BF348" i="39"/>
  <c r="BF23" i="39"/>
  <c r="BF27" i="39"/>
  <c r="P19" i="70"/>
  <c r="I19" i="70"/>
  <c r="F54" i="41"/>
  <c r="F150" i="41"/>
  <c r="O3" i="37"/>
  <c r="F62" i="41"/>
  <c r="F102" i="41"/>
  <c r="F173" i="41"/>
  <c r="F158" i="41"/>
  <c r="F6" i="41"/>
  <c r="F14" i="41"/>
  <c r="F29" i="41"/>
  <c r="F77" i="41"/>
  <c r="F110" i="41"/>
  <c r="O4" i="37"/>
  <c r="E54" i="41"/>
  <c r="E77" i="41"/>
  <c r="E6" i="41"/>
  <c r="E173" i="41"/>
  <c r="E102" i="41"/>
  <c r="E110" i="41"/>
  <c r="E150" i="41"/>
  <c r="E62" i="41"/>
  <c r="E29" i="41"/>
  <c r="E158" i="41"/>
  <c r="E15" i="41"/>
  <c r="E14" i="41" s="1"/>
  <c r="H48" i="65"/>
  <c r="H6" i="65"/>
  <c r="H60" i="65"/>
  <c r="I60" i="65"/>
  <c r="H29" i="65"/>
  <c r="I8" i="65"/>
  <c r="H24" i="65"/>
  <c r="I29" i="65"/>
  <c r="H8" i="65"/>
  <c r="I24" i="65"/>
  <c r="H17" i="65"/>
  <c r="I7" i="65"/>
  <c r="I9" i="65"/>
  <c r="I12" i="65"/>
  <c r="I17" i="65"/>
  <c r="I5" i="65"/>
  <c r="H7" i="65"/>
  <c r="H9" i="65"/>
  <c r="H12" i="65"/>
  <c r="H36" i="65"/>
  <c r="H5" i="65"/>
  <c r="I10" i="65"/>
  <c r="I48" i="65"/>
  <c r="I6" i="65"/>
  <c r="I36" i="65"/>
  <c r="H10" i="65"/>
  <c r="O5" i="37"/>
  <c r="E5" i="65"/>
  <c r="F5" i="65" s="1"/>
  <c r="F13" i="65" s="1"/>
  <c r="D130" i="41"/>
  <c r="D129" i="41" s="1"/>
  <c r="D178" i="41"/>
  <c r="D177" i="41" s="1"/>
  <c r="D34" i="41"/>
  <c r="D33" i="41" s="1"/>
  <c r="D82" i="41"/>
  <c r="D81" i="41" s="1"/>
  <c r="D22" i="41"/>
  <c r="D70" i="41"/>
  <c r="D151" i="41"/>
  <c r="D156" i="41"/>
  <c r="D60" i="41"/>
  <c r="D166" i="41"/>
  <c r="D118" i="41"/>
  <c r="N118" i="41"/>
  <c r="N70" i="41"/>
  <c r="D25" i="41"/>
  <c r="D126" i="41"/>
  <c r="D58" i="41"/>
  <c r="D115" i="41"/>
  <c r="N166" i="41"/>
  <c r="D116" i="41"/>
  <c r="D55" i="41"/>
  <c r="D164" i="41"/>
  <c r="N22" i="41"/>
  <c r="D155" i="41"/>
  <c r="D161" i="41"/>
  <c r="D20" i="41"/>
  <c r="D107" i="41"/>
  <c r="D68" i="41"/>
  <c r="D174" i="41"/>
  <c r="D78" i="41"/>
  <c r="D65" i="41"/>
  <c r="D59" i="41"/>
  <c r="D63" i="41"/>
  <c r="D17" i="41"/>
  <c r="D169" i="41"/>
  <c r="D121" i="41"/>
  <c r="D113" i="41"/>
  <c r="D73" i="41"/>
  <c r="D15" i="41"/>
  <c r="D34" i="42"/>
  <c r="F23" i="42"/>
  <c r="K23" i="42" s="1"/>
  <c r="D106" i="41"/>
  <c r="D163" i="41"/>
  <c r="D160" i="41"/>
  <c r="D11" i="41"/>
  <c r="D19" i="41"/>
  <c r="D108" i="41"/>
  <c r="D104" i="41"/>
  <c r="D18" i="41"/>
  <c r="D31" i="41"/>
  <c r="D162" i="41"/>
  <c r="D154" i="41"/>
  <c r="D56" i="41"/>
  <c r="D175" i="41"/>
  <c r="D64" i="41"/>
  <c r="D152" i="41"/>
  <c r="F16" i="42"/>
  <c r="BI100" i="39" l="1"/>
  <c r="H45" i="65"/>
  <c r="BI205" i="39"/>
  <c r="BI69" i="39"/>
  <c r="BI165" i="39"/>
  <c r="BI348" i="39"/>
  <c r="BI98" i="39"/>
  <c r="BI305" i="39"/>
  <c r="BI218" i="39"/>
  <c r="BI339" i="39"/>
  <c r="BI278" i="39"/>
  <c r="BI311" i="39"/>
  <c r="BI227" i="39"/>
  <c r="BI15" i="39"/>
  <c r="BI92" i="39"/>
  <c r="BI279" i="39"/>
  <c r="BI52" i="39"/>
  <c r="BI42" i="39"/>
  <c r="BI67" i="39"/>
  <c r="BI287" i="39"/>
  <c r="BI272" i="39"/>
  <c r="BI289" i="39"/>
  <c r="BI243" i="39"/>
  <c r="BI212" i="39"/>
  <c r="BI22" i="39"/>
  <c r="BI188" i="39"/>
  <c r="BI30" i="39"/>
  <c r="BI138" i="39"/>
  <c r="BI66" i="39"/>
  <c r="BI36" i="39"/>
  <c r="BI164" i="39"/>
  <c r="BI204" i="39"/>
  <c r="BI317" i="39"/>
  <c r="BI261" i="39"/>
  <c r="BI320" i="39"/>
  <c r="BI48" i="39"/>
  <c r="BI170" i="39"/>
  <c r="BI232" i="39"/>
  <c r="BI129" i="39"/>
  <c r="BI163" i="39"/>
  <c r="BI50" i="39"/>
  <c r="BI115" i="39"/>
  <c r="BI88" i="39"/>
  <c r="BI328" i="39"/>
  <c r="BI299" i="39"/>
  <c r="BI203" i="39"/>
  <c r="BI350" i="39"/>
  <c r="BI16" i="39"/>
  <c r="BI346" i="39"/>
  <c r="BI200" i="39"/>
  <c r="BI35" i="39"/>
  <c r="BI20" i="39"/>
  <c r="BI89" i="39"/>
  <c r="BI297" i="39"/>
  <c r="BI296" i="39"/>
  <c r="BI41" i="39"/>
  <c r="BI146" i="39"/>
  <c r="BI57" i="39"/>
  <c r="BI23" i="39"/>
  <c r="BI156" i="39"/>
  <c r="BI12" i="39"/>
  <c r="BI152" i="39"/>
  <c r="BI28" i="39"/>
  <c r="BI197" i="39"/>
  <c r="BI265" i="39"/>
  <c r="BI338" i="39"/>
  <c r="BI307" i="39"/>
  <c r="BI219" i="39"/>
  <c r="BI176" i="39"/>
  <c r="BI345" i="39"/>
  <c r="BI344" i="39"/>
  <c r="BI39" i="39"/>
  <c r="BI257" i="39"/>
  <c r="BI298" i="39"/>
  <c r="BI262" i="39"/>
  <c r="BI93" i="39"/>
  <c r="BI277" i="39"/>
  <c r="BI158" i="39"/>
  <c r="BI268" i="39"/>
  <c r="BI46" i="39"/>
  <c r="BI123" i="39"/>
  <c r="BI226" i="39"/>
  <c r="BI34" i="39"/>
  <c r="BI202" i="39"/>
  <c r="BI135" i="39"/>
  <c r="BI49" i="39"/>
  <c r="BI155" i="39"/>
  <c r="BI286" i="39"/>
  <c r="BI90" i="39"/>
  <c r="BI26" i="39"/>
  <c r="BI112" i="39"/>
  <c r="BI195" i="39"/>
  <c r="BI331" i="39"/>
  <c r="BI187" i="39"/>
  <c r="BI207" i="39"/>
  <c r="BI255" i="39"/>
  <c r="BI47" i="39"/>
  <c r="BI336" i="39"/>
  <c r="BI32" i="39"/>
  <c r="BI160" i="39"/>
  <c r="BI201" i="39"/>
  <c r="BI254" i="39"/>
  <c r="BI55" i="39"/>
  <c r="BI192" i="39"/>
  <c r="BI193" i="39"/>
  <c r="BI190" i="39"/>
  <c r="BI37" i="39"/>
  <c r="BI65" i="39"/>
  <c r="BI276" i="39"/>
  <c r="BI134" i="39"/>
  <c r="BI269" i="39"/>
  <c r="BI91" i="39"/>
  <c r="BI17" i="39"/>
  <c r="BI189" i="39"/>
  <c r="BI327" i="39"/>
  <c r="BI274" i="39"/>
  <c r="BI224" i="39"/>
  <c r="BI137" i="39"/>
  <c r="BI214" i="39"/>
  <c r="BI40" i="39"/>
  <c r="BI275" i="39"/>
  <c r="BI11" i="39"/>
  <c r="BI161" i="39"/>
  <c r="BI94" i="39"/>
  <c r="BI228" i="39"/>
  <c r="BI14" i="39"/>
  <c r="BI140" i="39"/>
  <c r="BI295" i="39"/>
  <c r="BI44" i="39"/>
  <c r="BI150" i="39"/>
  <c r="BI280" i="39"/>
  <c r="BI29" i="39"/>
  <c r="BI51" i="39"/>
  <c r="BI154" i="39"/>
  <c r="BI340" i="39"/>
  <c r="BI267" i="39"/>
  <c r="BI282" i="39"/>
  <c r="BI273" i="39"/>
  <c r="BI10" i="39"/>
  <c r="BI284" i="39"/>
  <c r="BI97" i="39"/>
  <c r="BI196" i="39"/>
  <c r="BI291" i="39"/>
  <c r="BI64" i="39"/>
  <c r="BI148" i="39"/>
  <c r="BI288" i="39"/>
  <c r="BI194" i="39"/>
  <c r="BI351" i="39"/>
  <c r="BI215" i="39"/>
  <c r="BI283" i="39"/>
  <c r="BI166" i="39"/>
  <c r="BI78" i="39"/>
  <c r="BI95" i="39"/>
  <c r="BI337" i="39"/>
  <c r="BI96" i="39"/>
  <c r="BI24" i="39"/>
  <c r="BI266" i="39"/>
  <c r="BI256" i="39"/>
  <c r="BI19" i="39"/>
  <c r="BI240" i="39"/>
  <c r="BI25" i="39"/>
  <c r="BI21" i="39"/>
  <c r="BI53" i="39"/>
  <c r="BI302" i="39"/>
  <c r="BI316" i="39"/>
  <c r="BI221" i="39"/>
  <c r="BI159" i="39"/>
  <c r="BI303" i="39"/>
  <c r="BI38" i="39"/>
  <c r="BI300" i="39"/>
  <c r="BI242" i="39"/>
  <c r="BI128" i="39"/>
  <c r="BI301" i="39"/>
  <c r="BI59" i="39"/>
  <c r="BI99" i="39"/>
  <c r="BI347" i="39"/>
  <c r="BI144" i="39"/>
  <c r="BI210" i="39"/>
  <c r="BI206" i="39"/>
  <c r="BI304" i="39"/>
  <c r="BI27" i="39"/>
  <c r="BI241" i="39"/>
  <c r="BI198" i="39"/>
  <c r="BI281" i="39"/>
  <c r="BI199" i="39"/>
  <c r="BI13" i="39"/>
  <c r="BI43" i="39"/>
  <c r="BI68" i="39"/>
  <c r="BI172" i="39"/>
  <c r="BI167" i="39"/>
  <c r="BI209" i="39"/>
  <c r="BI162" i="39"/>
  <c r="BI306" i="39"/>
  <c r="BI285" i="39"/>
  <c r="BI236" i="39"/>
  <c r="BI18" i="39"/>
  <c r="BI260" i="39"/>
  <c r="BI349" i="39"/>
  <c r="BI58" i="39"/>
  <c r="BI211" i="39"/>
  <c r="BI263" i="39"/>
  <c r="BI292" i="39"/>
  <c r="J82" i="41"/>
  <c r="M31" i="61" s="1"/>
  <c r="BI225" i="39"/>
  <c r="BI33" i="39"/>
  <c r="BI290" i="39"/>
  <c r="BI31" i="39"/>
  <c r="BI157" i="39"/>
  <c r="BI102" i="39"/>
  <c r="I58" i="65"/>
  <c r="H46" i="65"/>
  <c r="H58" i="65"/>
  <c r="P22" i="41"/>
  <c r="P166" i="41"/>
  <c r="P70" i="41"/>
  <c r="P118" i="41"/>
  <c r="H33" i="65"/>
  <c r="H53" i="65"/>
  <c r="I57" i="65"/>
  <c r="H57" i="65"/>
  <c r="H44" i="65"/>
  <c r="H22" i="65"/>
  <c r="I20" i="65"/>
  <c r="I44" i="65"/>
  <c r="H32" i="65"/>
  <c r="I43" i="65"/>
  <c r="I56" i="65"/>
  <c r="I32" i="65"/>
  <c r="I21" i="65"/>
  <c r="H30" i="65"/>
  <c r="H42" i="65"/>
  <c r="H31" i="65"/>
  <c r="I46" i="65"/>
  <c r="I42" i="65"/>
  <c r="H54" i="65"/>
  <c r="H55" i="65"/>
  <c r="I19" i="65"/>
  <c r="H18" i="65"/>
  <c r="I30" i="65"/>
  <c r="I22" i="65"/>
  <c r="I55" i="65"/>
  <c r="I34" i="65"/>
  <c r="H34" i="65"/>
  <c r="H19" i="65"/>
  <c r="I41" i="65"/>
  <c r="I31" i="65"/>
  <c r="H20" i="65"/>
  <c r="H41" i="65"/>
  <c r="BF179" i="39"/>
  <c r="BG151" i="39"/>
  <c r="L163" i="41" s="1"/>
  <c r="BG179" i="39"/>
  <c r="BG332" i="39"/>
  <c r="BF151" i="39"/>
  <c r="BF127" i="39"/>
  <c r="BF217" i="39"/>
  <c r="BF103" i="39"/>
  <c r="BG238" i="39"/>
  <c r="BH238" i="39" s="1"/>
  <c r="BG124" i="39"/>
  <c r="J151" i="41"/>
  <c r="BG217" i="39"/>
  <c r="L121" i="41" s="1"/>
  <c r="BG325" i="39"/>
  <c r="BF332" i="39"/>
  <c r="BF325" i="39"/>
  <c r="BF229" i="39"/>
  <c r="BF335" i="39"/>
  <c r="BF171" i="39"/>
  <c r="BG171" i="39"/>
  <c r="BG127" i="39"/>
  <c r="BF124" i="39"/>
  <c r="BG229" i="39"/>
  <c r="L60" i="41" s="1"/>
  <c r="BG335" i="39"/>
  <c r="F162" i="42"/>
  <c r="K162" i="42" s="1"/>
  <c r="E189" i="41"/>
  <c r="I125" i="41"/>
  <c r="F189" i="41"/>
  <c r="E141" i="41"/>
  <c r="F141" i="41"/>
  <c r="E93" i="41"/>
  <c r="F93" i="41"/>
  <c r="F45" i="41"/>
  <c r="E45" i="41"/>
  <c r="R21" i="95"/>
  <c r="L19" i="95"/>
  <c r="L24" i="95"/>
  <c r="R12" i="95"/>
  <c r="L21" i="95"/>
  <c r="Q22" i="61"/>
  <c r="X11" i="95"/>
  <c r="F19" i="95"/>
  <c r="K16" i="42"/>
  <c r="L11" i="95"/>
  <c r="D103" i="41"/>
  <c r="BF104" i="39"/>
  <c r="D126" i="42"/>
  <c r="BG104" i="39"/>
  <c r="D127" i="41"/>
  <c r="D125" i="41" s="1"/>
  <c r="D30" i="42"/>
  <c r="D30" i="41"/>
  <c r="D29" i="41" s="1"/>
  <c r="BG77" i="39"/>
  <c r="BH77" i="39" s="1"/>
  <c r="F56" i="42"/>
  <c r="K56" i="42" s="1"/>
  <c r="BF173" i="39"/>
  <c r="F13" i="42"/>
  <c r="K13" i="42" s="1"/>
  <c r="F116" i="42"/>
  <c r="K116" i="42" s="1"/>
  <c r="BF125" i="39"/>
  <c r="U29" i="70"/>
  <c r="BG308" i="39"/>
  <c r="BI308" i="39" s="1"/>
  <c r="H7" i="63"/>
  <c r="H50" i="63"/>
  <c r="F65" i="42"/>
  <c r="K65" i="42" s="1"/>
  <c r="T33" i="70"/>
  <c r="U33" i="70" s="1"/>
  <c r="BH268" i="39"/>
  <c r="BH41" i="39"/>
  <c r="BG245" i="39"/>
  <c r="J10" i="63"/>
  <c r="BF326" i="39"/>
  <c r="BF101" i="39"/>
  <c r="F112" i="42"/>
  <c r="K112" i="42" s="1"/>
  <c r="F106" i="42"/>
  <c r="K106" i="42" s="1"/>
  <c r="BG247" i="39"/>
  <c r="U26" i="61"/>
  <c r="J66" i="63"/>
  <c r="H67" i="63"/>
  <c r="BH305" i="39"/>
  <c r="F117" i="42"/>
  <c r="K117" i="42" s="1"/>
  <c r="BF178" i="39"/>
  <c r="AD34" i="70"/>
  <c r="BH53" i="39"/>
  <c r="BH307" i="39"/>
  <c r="BH256" i="39"/>
  <c r="BH129" i="39"/>
  <c r="BG343" i="39"/>
  <c r="BH207" i="39"/>
  <c r="BG252" i="39"/>
  <c r="BH55" i="39"/>
  <c r="F170" i="42"/>
  <c r="K170" i="42" s="1"/>
  <c r="BH306" i="39"/>
  <c r="F115" i="42"/>
  <c r="K115" i="42" s="1"/>
  <c r="BG119" i="39"/>
  <c r="F68" i="42"/>
  <c r="K68" i="42" s="1"/>
  <c r="BF245" i="39"/>
  <c r="D67" i="41"/>
  <c r="F21" i="42"/>
  <c r="BF318" i="39"/>
  <c r="BG142" i="39"/>
  <c r="BF270" i="39"/>
  <c r="BG314" i="39"/>
  <c r="I77" i="41"/>
  <c r="BF249" i="39"/>
  <c r="BG108" i="39"/>
  <c r="BG81" i="39"/>
  <c r="BF264" i="39"/>
  <c r="BH269" i="39"/>
  <c r="BF110" i="39"/>
  <c r="J114" i="42"/>
  <c r="BF237" i="39"/>
  <c r="BF62" i="39"/>
  <c r="BF111" i="39"/>
  <c r="D169" i="42"/>
  <c r="BF248" i="39"/>
  <c r="BF107" i="39"/>
  <c r="BG183" i="39"/>
  <c r="BI183" i="39" s="1"/>
  <c r="BF120" i="39"/>
  <c r="J69" i="42"/>
  <c r="D8" i="41"/>
  <c r="BF230" i="39"/>
  <c r="F9" i="42"/>
  <c r="BH206" i="39"/>
  <c r="AC14" i="70"/>
  <c r="AD14" i="70" s="1"/>
  <c r="F175" i="42"/>
  <c r="K175" i="42" s="1"/>
  <c r="J15" i="63"/>
  <c r="BG131" i="39"/>
  <c r="O6" i="70"/>
  <c r="P6" i="70" s="1"/>
  <c r="BF323" i="39"/>
  <c r="BG321" i="39"/>
  <c r="BF63" i="39"/>
  <c r="E63" i="42"/>
  <c r="BG180" i="39"/>
  <c r="BG223" i="39"/>
  <c r="N29" i="70"/>
  <c r="BG309" i="39"/>
  <c r="D114" i="41"/>
  <c r="BH316" i="39"/>
  <c r="BH275" i="39"/>
  <c r="BH100" i="39"/>
  <c r="BH140" i="39"/>
  <c r="BG125" i="39"/>
  <c r="J7" i="63"/>
  <c r="BH303" i="39"/>
  <c r="BG74" i="39"/>
  <c r="BI74" i="39" s="1"/>
  <c r="BF247" i="39"/>
  <c r="BG231" i="39"/>
  <c r="L156" i="41" s="1"/>
  <c r="AA28" i="70"/>
  <c r="AB28" i="70" s="1"/>
  <c r="BG101" i="39"/>
  <c r="BG323" i="39"/>
  <c r="H9" i="63"/>
  <c r="J29" i="63"/>
  <c r="BF117" i="39"/>
  <c r="BG149" i="39"/>
  <c r="L115" i="41" s="1"/>
  <c r="J109" i="42"/>
  <c r="F163" i="42"/>
  <c r="K163" i="42" s="1"/>
  <c r="BH242" i="39"/>
  <c r="BH273" i="39"/>
  <c r="F157" i="42"/>
  <c r="K157" i="42" s="1"/>
  <c r="V14" i="70"/>
  <c r="W14" i="70" s="1"/>
  <c r="BF81" i="39"/>
  <c r="BG168" i="39"/>
  <c r="BH168" i="39" s="1"/>
  <c r="H77" i="63"/>
  <c r="T14" i="70"/>
  <c r="U14" i="70" s="1"/>
  <c r="BF126" i="39"/>
  <c r="BF223" i="39"/>
  <c r="BF244" i="39"/>
  <c r="F179" i="42"/>
  <c r="K179" i="42" s="1"/>
  <c r="BG293" i="39"/>
  <c r="W29" i="70"/>
  <c r="BF121" i="39"/>
  <c r="J30" i="63"/>
  <c r="AA33" i="70"/>
  <c r="AB33" i="70" s="1"/>
  <c r="BH152" i="39"/>
  <c r="BH276" i="39"/>
  <c r="O14" i="70"/>
  <c r="P14" i="70" s="1"/>
  <c r="D79" i="41"/>
  <c r="D77" i="41" s="1"/>
  <c r="BH194" i="39"/>
  <c r="F80" i="42"/>
  <c r="K80" i="42" s="1"/>
  <c r="BH14" i="39"/>
  <c r="BG84" i="39"/>
  <c r="BH243" i="39"/>
  <c r="BH261" i="39"/>
  <c r="BH254" i="39"/>
  <c r="BH158" i="39"/>
  <c r="BH211" i="39"/>
  <c r="BH15" i="39"/>
  <c r="F20" i="42"/>
  <c r="BH263" i="39"/>
  <c r="BF71" i="39"/>
  <c r="BH92" i="39"/>
  <c r="BH317" i="39"/>
  <c r="BH45" i="39"/>
  <c r="BH272" i="39"/>
  <c r="I29" i="41"/>
  <c r="BH292" i="39"/>
  <c r="BH345" i="39"/>
  <c r="BH18" i="39"/>
  <c r="BG319" i="39"/>
  <c r="J155" i="41"/>
  <c r="BH215" i="39"/>
  <c r="BH13" i="39"/>
  <c r="BH226" i="39"/>
  <c r="BF130" i="39"/>
  <c r="BF142" i="39"/>
  <c r="BF84" i="39"/>
  <c r="BH337" i="39"/>
  <c r="BH33" i="39"/>
  <c r="BH29" i="39"/>
  <c r="F165" i="42"/>
  <c r="K165" i="42" s="1"/>
  <c r="D174" i="42"/>
  <c r="I150" i="41"/>
  <c r="BF82" i="39"/>
  <c r="E174" i="42"/>
  <c r="BH299" i="39"/>
  <c r="BH144" i="39"/>
  <c r="BH188" i="39"/>
  <c r="F108" i="42"/>
  <c r="K108" i="42" s="1"/>
  <c r="BH338" i="39"/>
  <c r="BH50" i="39"/>
  <c r="BH24" i="39"/>
  <c r="BH214" i="39"/>
  <c r="BG312" i="39"/>
  <c r="F37" i="65"/>
  <c r="I33" i="63" s="1"/>
  <c r="J33" i="63" s="1"/>
  <c r="BF314" i="39"/>
  <c r="BG70" i="39"/>
  <c r="BH70" i="39" s="1"/>
  <c r="BH288" i="39"/>
  <c r="BH172" i="39"/>
  <c r="BH37" i="39"/>
  <c r="J55" i="63"/>
  <c r="BG326" i="39"/>
  <c r="E37" i="65"/>
  <c r="BH236" i="39"/>
  <c r="BF234" i="39"/>
  <c r="BH35" i="39"/>
  <c r="BF143" i="39"/>
  <c r="BG61" i="39"/>
  <c r="BI61" i="39" s="1"/>
  <c r="F67" i="42"/>
  <c r="K67" i="42" s="1"/>
  <c r="BF132" i="39"/>
  <c r="D105" i="41"/>
  <c r="BG62" i="39"/>
  <c r="BG121" i="39"/>
  <c r="J70" i="63"/>
  <c r="D66" i="41"/>
  <c r="BF83" i="39"/>
  <c r="BH203" i="39"/>
  <c r="AA14" i="70"/>
  <c r="AB14" i="70" s="1"/>
  <c r="BH297" i="39"/>
  <c r="BH89" i="39"/>
  <c r="BH277" i="39"/>
  <c r="BH286" i="39"/>
  <c r="BG322" i="39"/>
  <c r="BH322" i="39" s="1"/>
  <c r="BG329" i="39"/>
  <c r="BF233" i="39"/>
  <c r="BI233" i="39" s="1"/>
  <c r="F154" i="42"/>
  <c r="K154" i="42" s="1"/>
  <c r="BH298" i="39"/>
  <c r="BH320" i="39"/>
  <c r="BG333" i="39"/>
  <c r="BH333" i="39" s="1"/>
  <c r="BF330" i="39"/>
  <c r="BI330" i="39" s="1"/>
  <c r="H18" i="70"/>
  <c r="I18" i="70" s="1"/>
  <c r="BF329" i="39"/>
  <c r="BH350" i="39"/>
  <c r="BH192" i="39"/>
  <c r="BH331" i="39"/>
  <c r="BH155" i="39"/>
  <c r="BH112" i="39"/>
  <c r="BH43" i="39"/>
  <c r="BH199" i="39"/>
  <c r="BH94" i="39"/>
  <c r="BG86" i="39"/>
  <c r="BH86" i="39" s="1"/>
  <c r="BG213" i="39"/>
  <c r="L73" i="41" s="1"/>
  <c r="I54" i="41"/>
  <c r="BF169" i="39"/>
  <c r="BI169" i="39" s="1"/>
  <c r="BG251" i="39"/>
  <c r="BF343" i="39"/>
  <c r="F122" i="42"/>
  <c r="K122" i="42" s="1"/>
  <c r="F57" i="42"/>
  <c r="K57" i="42" s="1"/>
  <c r="BG132" i="39"/>
  <c r="BH156" i="39"/>
  <c r="BH150" i="39"/>
  <c r="BG107" i="39"/>
  <c r="BF313" i="39"/>
  <c r="I173" i="41"/>
  <c r="BF271" i="39"/>
  <c r="F131" i="42"/>
  <c r="K131" i="42" s="1"/>
  <c r="BH210" i="39"/>
  <c r="BF105" i="39"/>
  <c r="BH279" i="39"/>
  <c r="BG222" i="39"/>
  <c r="BH278" i="39"/>
  <c r="J27" i="63"/>
  <c r="BG106" i="39"/>
  <c r="F19" i="42"/>
  <c r="J156" i="42"/>
  <c r="BH26" i="39"/>
  <c r="D25" i="42"/>
  <c r="BG173" i="39"/>
  <c r="BF293" i="39"/>
  <c r="BF119" i="39"/>
  <c r="BH327" i="39"/>
  <c r="BF180" i="39"/>
  <c r="F74" i="42"/>
  <c r="K74" i="42" s="1"/>
  <c r="F155" i="42"/>
  <c r="K155" i="42" s="1"/>
  <c r="D173" i="41"/>
  <c r="F17" i="42"/>
  <c r="BF76" i="39"/>
  <c r="BI76" i="39" s="1"/>
  <c r="BH42" i="39"/>
  <c r="BH46" i="39"/>
  <c r="BH295" i="39"/>
  <c r="BH17" i="39"/>
  <c r="BH161" i="39"/>
  <c r="E111" i="42"/>
  <c r="BF324" i="39"/>
  <c r="BF222" i="39"/>
  <c r="BG264" i="39"/>
  <c r="BF231" i="39"/>
  <c r="BG230" i="39"/>
  <c r="BF252" i="39"/>
  <c r="BF334" i="39"/>
  <c r="BI334" i="39" s="1"/>
  <c r="J66" i="42"/>
  <c r="BF174" i="39"/>
  <c r="BI174" i="39" s="1"/>
  <c r="W34" i="70"/>
  <c r="D9" i="41"/>
  <c r="F10" i="42"/>
  <c r="BH209" i="39"/>
  <c r="F176" i="42"/>
  <c r="K176" i="42" s="1"/>
  <c r="BG72" i="39"/>
  <c r="BH64" i="39"/>
  <c r="F8" i="42"/>
  <c r="BG270" i="39"/>
  <c r="BF321" i="39"/>
  <c r="BH128" i="39"/>
  <c r="BH99" i="39"/>
  <c r="BH287" i="39"/>
  <c r="BH201" i="39"/>
  <c r="BH212" i="39"/>
  <c r="BH165" i="39"/>
  <c r="BH75" i="39"/>
  <c r="BH66" i="39"/>
  <c r="BH193" i="39"/>
  <c r="BH135" i="39"/>
  <c r="BH221" i="39"/>
  <c r="BH232" i="39"/>
  <c r="BH123" i="39"/>
  <c r="BH98" i="39"/>
  <c r="BH328" i="39"/>
  <c r="BH40" i="39"/>
  <c r="BH67" i="39"/>
  <c r="BH291" i="39"/>
  <c r="BH196" i="39"/>
  <c r="BH348" i="39"/>
  <c r="BH88" i="39"/>
  <c r="BH148" i="39"/>
  <c r="BH339" i="39"/>
  <c r="BH349" i="39"/>
  <c r="BH19" i="39"/>
  <c r="BH302" i="39"/>
  <c r="BH195" i="39"/>
  <c r="BH218" i="39"/>
  <c r="BH145" i="39"/>
  <c r="BH23" i="39"/>
  <c r="BH284" i="39"/>
  <c r="BH78" i="39"/>
  <c r="BH166" i="39"/>
  <c r="BH12" i="39"/>
  <c r="BH255" i="39"/>
  <c r="BH25" i="39"/>
  <c r="BH301" i="39"/>
  <c r="BH198" i="39"/>
  <c r="BH227" i="39"/>
  <c r="BH265" i="39"/>
  <c r="BH197" i="39"/>
  <c r="BH219" i="39"/>
  <c r="BH159" i="39"/>
  <c r="BH170" i="39"/>
  <c r="BH34" i="39"/>
  <c r="BH304" i="39"/>
  <c r="BH95" i="39"/>
  <c r="T6" i="70"/>
  <c r="U6" i="70" s="1"/>
  <c r="D120" i="41"/>
  <c r="BH267" i="39"/>
  <c r="BH27" i="39"/>
  <c r="BF246" i="39"/>
  <c r="BF73" i="39"/>
  <c r="BH300" i="39"/>
  <c r="BH134" i="39"/>
  <c r="BF220" i="39"/>
  <c r="BG87" i="39"/>
  <c r="BI87" i="39" s="1"/>
  <c r="BF184" i="39"/>
  <c r="P29" i="70"/>
  <c r="BF109" i="39"/>
  <c r="BI109" i="39" s="1"/>
  <c r="BF235" i="39"/>
  <c r="BH187" i="39"/>
  <c r="BH65" i="39"/>
  <c r="BH160" i="39"/>
  <c r="BH52" i="39"/>
  <c r="BH228" i="39"/>
  <c r="BH22" i="39"/>
  <c r="BH224" i="39"/>
  <c r="BH164" i="39"/>
  <c r="BH289" i="39"/>
  <c r="BH11" i="39"/>
  <c r="BH56" i="39"/>
  <c r="BH262" i="39"/>
  <c r="BF149" i="39"/>
  <c r="E15" i="42"/>
  <c r="BG178" i="39"/>
  <c r="BG139" i="39"/>
  <c r="F113" i="42"/>
  <c r="K113" i="42" s="1"/>
  <c r="BG153" i="39"/>
  <c r="BI153" i="39" s="1"/>
  <c r="E103" i="42"/>
  <c r="F164" i="42"/>
  <c r="K164" i="42" s="1"/>
  <c r="D72" i="41"/>
  <c r="BG9" i="39"/>
  <c r="BG71" i="39"/>
  <c r="BG63" i="39"/>
  <c r="BG239" i="39"/>
  <c r="BI239" i="39" s="1"/>
  <c r="BG220" i="39"/>
  <c r="E78" i="42"/>
  <c r="E55" i="42"/>
  <c r="E7" i="42"/>
  <c r="F12" i="42"/>
  <c r="BH189" i="39"/>
  <c r="BF108" i="39"/>
  <c r="M18" i="70"/>
  <c r="N18" i="70" s="1"/>
  <c r="F61" i="42"/>
  <c r="K61" i="42" s="1"/>
  <c r="F49" i="65"/>
  <c r="I53" i="63" s="1"/>
  <c r="J53" i="63" s="1"/>
  <c r="F83" i="42"/>
  <c r="K83" i="42" s="1"/>
  <c r="I62" i="41"/>
  <c r="BG113" i="39"/>
  <c r="BF186" i="39"/>
  <c r="BI186" i="39" s="1"/>
  <c r="BF136" i="39"/>
  <c r="F61" i="65"/>
  <c r="BH351" i="39"/>
  <c r="BF253" i="39"/>
  <c r="D168" i="41"/>
  <c r="BH260" i="39"/>
  <c r="BF9" i="39"/>
  <c r="BF319" i="39"/>
  <c r="D24" i="41"/>
  <c r="BH336" i="39"/>
  <c r="I110" i="41"/>
  <c r="BG126" i="39"/>
  <c r="J60" i="42"/>
  <c r="P3" i="37"/>
  <c r="J23" i="42"/>
  <c r="BH283" i="39"/>
  <c r="BH154" i="39"/>
  <c r="BH44" i="39"/>
  <c r="BH138" i="39"/>
  <c r="J69" i="63"/>
  <c r="BF175" i="39"/>
  <c r="BH97" i="39"/>
  <c r="BH21" i="39"/>
  <c r="BF72" i="39"/>
  <c r="BG73" i="39"/>
  <c r="BF116" i="39"/>
  <c r="BH347" i="39"/>
  <c r="BH340" i="39"/>
  <c r="BH58" i="39"/>
  <c r="BH30" i="39"/>
  <c r="P34" i="70"/>
  <c r="BG141" i="39"/>
  <c r="L63" i="41"/>
  <c r="BH28" i="39"/>
  <c r="BH47" i="39"/>
  <c r="BH102" i="39"/>
  <c r="BH311" i="39"/>
  <c r="BH240" i="39"/>
  <c r="BH191" i="39"/>
  <c r="BH167" i="39"/>
  <c r="BG248" i="39"/>
  <c r="BF185" i="39"/>
  <c r="E30" i="42"/>
  <c r="BG117" i="39"/>
  <c r="I158" i="41"/>
  <c r="BF181" i="39"/>
  <c r="BI181" i="39" s="1"/>
  <c r="I6" i="41"/>
  <c r="F79" i="42"/>
  <c r="K79" i="42" s="1"/>
  <c r="F127" i="42"/>
  <c r="K127" i="42" s="1"/>
  <c r="BH281" i="39"/>
  <c r="BH157" i="39"/>
  <c r="BH266" i="39"/>
  <c r="BH115" i="39"/>
  <c r="BH10" i="39"/>
  <c r="I14" i="41"/>
  <c r="F25" i="65"/>
  <c r="I13" i="63" s="1"/>
  <c r="BF139" i="39"/>
  <c r="BF216" i="39"/>
  <c r="BI216" i="39" s="1"/>
  <c r="BH69" i="39"/>
  <c r="E159" i="42"/>
  <c r="F152" i="42"/>
  <c r="K152" i="42" s="1"/>
  <c r="BH51" i="39"/>
  <c r="BH274" i="39"/>
  <c r="BH146" i="39"/>
  <c r="BH282" i="39"/>
  <c r="BG83" i="39"/>
  <c r="BF258" i="39"/>
  <c r="BF106" i="39"/>
  <c r="BG313" i="39"/>
  <c r="BG122" i="39"/>
  <c r="E151" i="42"/>
  <c r="BH137" i="39"/>
  <c r="BG185" i="39"/>
  <c r="L160" i="41" s="1"/>
  <c r="E25" i="65"/>
  <c r="I12" i="63" s="1"/>
  <c r="J12" i="63" s="1"/>
  <c r="BH225" i="39"/>
  <c r="F26" i="42"/>
  <c r="BH20" i="39"/>
  <c r="BF294" i="39"/>
  <c r="BI294" i="39" s="1"/>
  <c r="BG175" i="39"/>
  <c r="F161" i="42"/>
  <c r="K161" i="42" s="1"/>
  <c r="BG244" i="39"/>
  <c r="BH257" i="39"/>
  <c r="BH176" i="39"/>
  <c r="BH59" i="39"/>
  <c r="BH205" i="39"/>
  <c r="F160" i="42"/>
  <c r="K160" i="42" s="1"/>
  <c r="BG143" i="39"/>
  <c r="D159" i="41"/>
  <c r="D158" i="41" s="1"/>
  <c r="BH39" i="39"/>
  <c r="BH48" i="39"/>
  <c r="O18" i="70"/>
  <c r="P18" i="70" s="1"/>
  <c r="BH241" i="39"/>
  <c r="F14" i="70"/>
  <c r="G14" i="70" s="1"/>
  <c r="BG253" i="39"/>
  <c r="BG120" i="39"/>
  <c r="I102" i="41"/>
  <c r="P2" i="37"/>
  <c r="M14" i="70"/>
  <c r="N14" i="70" s="1"/>
  <c r="BF133" i="39"/>
  <c r="BG258" i="39"/>
  <c r="J46" i="63"/>
  <c r="BH36" i="39"/>
  <c r="BH296" i="39"/>
  <c r="I29" i="70"/>
  <c r="BG133" i="39"/>
  <c r="BH90" i="39"/>
  <c r="M33" i="70"/>
  <c r="N33" i="70" s="1"/>
  <c r="E126" i="42"/>
  <c r="J63" i="41"/>
  <c r="F35" i="42"/>
  <c r="BH290" i="39"/>
  <c r="BH346" i="39"/>
  <c r="BH49" i="39"/>
  <c r="BH202" i="39"/>
  <c r="E49" i="65"/>
  <c r="I52" i="63" s="1"/>
  <c r="H52" i="63" s="1"/>
  <c r="BF113" i="39"/>
  <c r="F18" i="42"/>
  <c r="BF177" i="39"/>
  <c r="BG118" i="39"/>
  <c r="BI118" i="39" s="1"/>
  <c r="F107" i="42"/>
  <c r="K107" i="42" s="1"/>
  <c r="BF251" i="39"/>
  <c r="BH32" i="39"/>
  <c r="BH280" i="39"/>
  <c r="BH342" i="39"/>
  <c r="BH96" i="39"/>
  <c r="J55" i="41"/>
  <c r="T18" i="70"/>
  <c r="U18" i="70" s="1"/>
  <c r="BF309" i="39"/>
  <c r="BF114" i="39"/>
  <c r="BI114" i="39" s="1"/>
  <c r="F32" i="42"/>
  <c r="K32" i="42" s="1"/>
  <c r="BF79" i="39"/>
  <c r="BI79" i="39" s="1"/>
  <c r="BG147" i="39"/>
  <c r="L67" i="41" s="1"/>
  <c r="F11" i="42"/>
  <c r="BG208" i="39"/>
  <c r="BI208" i="39" s="1"/>
  <c r="F105" i="42"/>
  <c r="K105" i="42" s="1"/>
  <c r="BH190" i="39"/>
  <c r="E13" i="65"/>
  <c r="AC18" i="70"/>
  <c r="AD18" i="70" s="1"/>
  <c r="D54" i="41"/>
  <c r="BF315" i="39"/>
  <c r="BI315" i="39" s="1"/>
  <c r="BG235" i="39"/>
  <c r="BF122" i="39"/>
  <c r="BG271" i="39"/>
  <c r="BG85" i="39"/>
  <c r="BI85" i="39" s="1"/>
  <c r="BH162" i="39"/>
  <c r="BH54" i="39"/>
  <c r="BF147" i="39"/>
  <c r="BF312" i="39"/>
  <c r="BG80" i="39"/>
  <c r="BH80" i="39" s="1"/>
  <c r="BF182" i="39"/>
  <c r="BH16" i="39"/>
  <c r="BH91" i="39"/>
  <c r="BH163" i="39"/>
  <c r="BH68" i="39"/>
  <c r="BH93" i="39"/>
  <c r="BG341" i="39"/>
  <c r="BH341" i="39" s="1"/>
  <c r="AC6" i="70"/>
  <c r="AD6" i="70" s="1"/>
  <c r="BG234" i="39"/>
  <c r="BG259" i="39"/>
  <c r="BH259" i="39" s="1"/>
  <c r="BG249" i="39"/>
  <c r="J47" i="63"/>
  <c r="BH344" i="39"/>
  <c r="BH285" i="39"/>
  <c r="D112" i="41"/>
  <c r="BF131" i="39"/>
  <c r="BG184" i="39"/>
  <c r="H49" i="63"/>
  <c r="H47" i="63"/>
  <c r="F58" i="42"/>
  <c r="K58" i="42" s="1"/>
  <c r="BH38" i="39"/>
  <c r="BH31" i="39"/>
  <c r="BF60" i="39"/>
  <c r="BG110" i="39"/>
  <c r="BG177" i="39"/>
  <c r="BG116" i="39"/>
  <c r="BF141" i="39"/>
  <c r="BG310" i="39"/>
  <c r="BI310" i="39" s="1"/>
  <c r="BH204" i="39"/>
  <c r="BH57" i="39"/>
  <c r="BG111" i="39"/>
  <c r="BH200" i="39"/>
  <c r="BG246" i="39"/>
  <c r="E61" i="65"/>
  <c r="D111" i="41"/>
  <c r="BG250" i="39"/>
  <c r="BI250" i="39" s="1"/>
  <c r="H6" i="70"/>
  <c r="I6" i="70" s="1"/>
  <c r="H27" i="63"/>
  <c r="V18" i="70"/>
  <c r="W18" i="70" s="1"/>
  <c r="V6" i="70"/>
  <c r="W6" i="70" s="1"/>
  <c r="J26" i="63"/>
  <c r="P5" i="37"/>
  <c r="F28" i="70"/>
  <c r="G28" i="70" s="1"/>
  <c r="AD29" i="70"/>
  <c r="M6" i="70"/>
  <c r="N6" i="70" s="1"/>
  <c r="H14" i="70"/>
  <c r="I14" i="70" s="1"/>
  <c r="F18" i="70"/>
  <c r="G18" i="70" s="1"/>
  <c r="AA6" i="70"/>
  <c r="AB6" i="70" s="1"/>
  <c r="H75" i="63"/>
  <c r="AA18" i="70"/>
  <c r="AB18" i="70" s="1"/>
  <c r="I34" i="70"/>
  <c r="F33" i="70"/>
  <c r="G33" i="70" s="1"/>
  <c r="P4" i="37"/>
  <c r="F6" i="70"/>
  <c r="G6" i="70" s="1"/>
  <c r="J35" i="63"/>
  <c r="O118" i="41"/>
  <c r="O70" i="41"/>
  <c r="N26" i="61"/>
  <c r="G26" i="61"/>
  <c r="O22" i="41"/>
  <c r="O166" i="41"/>
  <c r="AB26" i="61"/>
  <c r="H13" i="65"/>
  <c r="I13" i="65"/>
  <c r="J59" i="41"/>
  <c r="L8" i="41"/>
  <c r="L155" i="41"/>
  <c r="L59" i="41"/>
  <c r="J58" i="41"/>
  <c r="L58" i="41"/>
  <c r="J64" i="42"/>
  <c r="F104" i="42"/>
  <c r="K104" i="42" s="1"/>
  <c r="D103" i="42"/>
  <c r="F153" i="42"/>
  <c r="K153" i="42" s="1"/>
  <c r="D151" i="42"/>
  <c r="L12" i="41"/>
  <c r="D14" i="41"/>
  <c r="L116" i="41"/>
  <c r="L82" i="41"/>
  <c r="J34" i="41"/>
  <c r="J68" i="41"/>
  <c r="J164" i="41"/>
  <c r="J116" i="41"/>
  <c r="J130" i="41"/>
  <c r="J7" i="41"/>
  <c r="L68" i="41"/>
  <c r="L178" i="41"/>
  <c r="L7" i="41"/>
  <c r="J178" i="41"/>
  <c r="J12" i="41"/>
  <c r="L103" i="41"/>
  <c r="J25" i="41"/>
  <c r="L106" i="41"/>
  <c r="L164" i="41"/>
  <c r="J106" i="41"/>
  <c r="L130" i="41"/>
  <c r="J73" i="41"/>
  <c r="J104" i="41"/>
  <c r="L104" i="41"/>
  <c r="L154" i="41"/>
  <c r="J56" i="41"/>
  <c r="J11" i="41"/>
  <c r="D150" i="41"/>
  <c r="J154" i="41"/>
  <c r="J19" i="41"/>
  <c r="L19" i="41"/>
  <c r="L11" i="41"/>
  <c r="J65" i="41"/>
  <c r="L20" i="41"/>
  <c r="L152" i="41"/>
  <c r="L34" i="41"/>
  <c r="J152" i="41"/>
  <c r="J113" i="41"/>
  <c r="L113" i="41"/>
  <c r="J16" i="41"/>
  <c r="D15" i="42"/>
  <c r="J16" i="42"/>
  <c r="BF6" i="39" l="1"/>
  <c r="BF7" i="39"/>
  <c r="L15" i="41"/>
  <c r="BG4" i="39"/>
  <c r="BF5" i="39"/>
  <c r="BG7" i="39"/>
  <c r="BF4" i="39"/>
  <c r="BG6" i="39"/>
  <c r="BG5" i="39"/>
  <c r="BI180" i="39"/>
  <c r="BI119" i="39"/>
  <c r="E47" i="42"/>
  <c r="BI312" i="39"/>
  <c r="E95" i="42"/>
  <c r="E191" i="42"/>
  <c r="E143" i="42"/>
  <c r="BI229" i="39"/>
  <c r="BI309" i="39"/>
  <c r="BI84" i="39"/>
  <c r="J81" i="41"/>
  <c r="BI113" i="39"/>
  <c r="BI314" i="39"/>
  <c r="BI175" i="39"/>
  <c r="BI252" i="39"/>
  <c r="BI222" i="39"/>
  <c r="BI139" i="39"/>
  <c r="BI293" i="39"/>
  <c r="BI177" i="39"/>
  <c r="BI116" i="39"/>
  <c r="BI71" i="39"/>
  <c r="BI77" i="39"/>
  <c r="BI83" i="39"/>
  <c r="BI247" i="39"/>
  <c r="BI245" i="39"/>
  <c r="BI127" i="39"/>
  <c r="BI70" i="39"/>
  <c r="BI322" i="39"/>
  <c r="BI251" i="39"/>
  <c r="BI271" i="39"/>
  <c r="BI223" i="39"/>
  <c r="BI120" i="39"/>
  <c r="BI125" i="39"/>
  <c r="BI168" i="39"/>
  <c r="BI117" i="39"/>
  <c r="BI323" i="39"/>
  <c r="BI106" i="39"/>
  <c r="BI184" i="39"/>
  <c r="BI142" i="39"/>
  <c r="BI126" i="39"/>
  <c r="BI325" i="39"/>
  <c r="BI101" i="39"/>
  <c r="BI332" i="39"/>
  <c r="BI132" i="39"/>
  <c r="BI72" i="39"/>
  <c r="BI122" i="39"/>
  <c r="BH130" i="39"/>
  <c r="BI130" i="39"/>
  <c r="BI107" i="39"/>
  <c r="BI173" i="39"/>
  <c r="BI341" i="39"/>
  <c r="J20" i="41"/>
  <c r="F25" i="61" s="1"/>
  <c r="BI185" i="39"/>
  <c r="BI313" i="39"/>
  <c r="BI249" i="39"/>
  <c r="BI179" i="39"/>
  <c r="BI258" i="39"/>
  <c r="BI220" i="39"/>
  <c r="BI248" i="39"/>
  <c r="BI326" i="39"/>
  <c r="BI213" i="39"/>
  <c r="BI131" i="39"/>
  <c r="BI270" i="39"/>
  <c r="BH136" i="39"/>
  <c r="BI136" i="39"/>
  <c r="BI321" i="39"/>
  <c r="BI143" i="39"/>
  <c r="BI81" i="39"/>
  <c r="BI86" i="39"/>
  <c r="BI141" i="39"/>
  <c r="BI73" i="39"/>
  <c r="BI111" i="39"/>
  <c r="BH318" i="39"/>
  <c r="BI318" i="39"/>
  <c r="BI238" i="39"/>
  <c r="BH182" i="39"/>
  <c r="BI182" i="39"/>
  <c r="BI133" i="39"/>
  <c r="BI246" i="39"/>
  <c r="BH82" i="39"/>
  <c r="BI82" i="39"/>
  <c r="BI62" i="39"/>
  <c r="BI108" i="39"/>
  <c r="BI319" i="39"/>
  <c r="BI343" i="39"/>
  <c r="BI329" i="39"/>
  <c r="BI234" i="39"/>
  <c r="BI121" i="39"/>
  <c r="BH237" i="39"/>
  <c r="BI237" i="39"/>
  <c r="BI124" i="39"/>
  <c r="BH103" i="39"/>
  <c r="BI103" i="39"/>
  <c r="BI80" i="39"/>
  <c r="J108" i="41"/>
  <c r="T13" i="61" s="1"/>
  <c r="BI230" i="39"/>
  <c r="BI217" i="39"/>
  <c r="J115" i="41"/>
  <c r="T24" i="61" s="1"/>
  <c r="BI149" i="39"/>
  <c r="J15" i="41"/>
  <c r="BI9" i="39"/>
  <c r="BH60" i="39"/>
  <c r="BI60" i="39"/>
  <c r="J67" i="41"/>
  <c r="M24" i="61" s="1"/>
  <c r="BI147" i="39"/>
  <c r="BH105" i="39"/>
  <c r="BI105" i="39"/>
  <c r="BI110" i="39"/>
  <c r="BI333" i="39"/>
  <c r="J156" i="41"/>
  <c r="AA13" i="61" s="1"/>
  <c r="BI231" i="39"/>
  <c r="BI178" i="39"/>
  <c r="BI171" i="39"/>
  <c r="BI151" i="39"/>
  <c r="BI259" i="39"/>
  <c r="BI253" i="39"/>
  <c r="BI235" i="39"/>
  <c r="BH324" i="39"/>
  <c r="BI324" i="39"/>
  <c r="BI244" i="39"/>
  <c r="BI63" i="39"/>
  <c r="J10" i="41"/>
  <c r="F11" i="61" s="1"/>
  <c r="BI264" i="39"/>
  <c r="BI104" i="39"/>
  <c r="BI335" i="39"/>
  <c r="H37" i="65"/>
  <c r="H61" i="65"/>
  <c r="N103" i="41"/>
  <c r="N115" i="41"/>
  <c r="N155" i="41"/>
  <c r="N12" i="41"/>
  <c r="N63" i="41"/>
  <c r="L120" i="41"/>
  <c r="N60" i="41"/>
  <c r="N20" i="41"/>
  <c r="N7" i="41"/>
  <c r="N11" i="41"/>
  <c r="N156" i="41"/>
  <c r="N8" i="41"/>
  <c r="N113" i="41"/>
  <c r="N154" i="41"/>
  <c r="N68" i="41"/>
  <c r="N164" i="41"/>
  <c r="N178" i="41"/>
  <c r="N104" i="41"/>
  <c r="N160" i="41"/>
  <c r="N116" i="41"/>
  <c r="N58" i="41"/>
  <c r="L81" i="41"/>
  <c r="N163" i="41"/>
  <c r="L33" i="41"/>
  <c r="N19" i="41"/>
  <c r="N152" i="41"/>
  <c r="L129" i="41"/>
  <c r="N59" i="41"/>
  <c r="N67" i="41"/>
  <c r="L72" i="41"/>
  <c r="I49" i="65"/>
  <c r="I61" i="65"/>
  <c r="H25" i="65"/>
  <c r="BH151" i="39"/>
  <c r="H49" i="65"/>
  <c r="I37" i="65"/>
  <c r="I25" i="65"/>
  <c r="BH179" i="39"/>
  <c r="L56" i="41"/>
  <c r="J163" i="41"/>
  <c r="BH127" i="39"/>
  <c r="BH332" i="39"/>
  <c r="BH217" i="39"/>
  <c r="J161" i="41"/>
  <c r="AA22" i="61" s="1"/>
  <c r="BH325" i="39"/>
  <c r="BH171" i="39"/>
  <c r="J60" i="41"/>
  <c r="BH229" i="39"/>
  <c r="BH124" i="39"/>
  <c r="BH335" i="39"/>
  <c r="X21" i="95"/>
  <c r="Z21" i="95" s="1"/>
  <c r="J162" i="42"/>
  <c r="I26" i="61"/>
  <c r="H26" i="61"/>
  <c r="O26" i="61"/>
  <c r="P26" i="61"/>
  <c r="W26" i="61"/>
  <c r="V26" i="61"/>
  <c r="AD26" i="61"/>
  <c r="AC26" i="61"/>
  <c r="AA11" i="95"/>
  <c r="Z11" i="95"/>
  <c r="N21" i="95"/>
  <c r="O21" i="95"/>
  <c r="U12" i="95"/>
  <c r="T12" i="95"/>
  <c r="N24" i="95"/>
  <c r="O24" i="95"/>
  <c r="O19" i="95"/>
  <c r="N19" i="95"/>
  <c r="U21" i="95"/>
  <c r="T21" i="95"/>
  <c r="O11" i="95"/>
  <c r="N11" i="95"/>
  <c r="I19" i="95"/>
  <c r="H19" i="95"/>
  <c r="D102" i="41"/>
  <c r="J103" i="41"/>
  <c r="M30" i="61"/>
  <c r="E190" i="42"/>
  <c r="E94" i="42"/>
  <c r="E142" i="42"/>
  <c r="E46" i="42"/>
  <c r="I141" i="41"/>
  <c r="D189" i="41"/>
  <c r="I189" i="41"/>
  <c r="I93" i="41"/>
  <c r="I45" i="41"/>
  <c r="R24" i="95"/>
  <c r="R15" i="95"/>
  <c r="F11" i="95"/>
  <c r="K12" i="42"/>
  <c r="F30" i="95"/>
  <c r="K35" i="42"/>
  <c r="L15" i="95"/>
  <c r="R20" i="95"/>
  <c r="X16" i="95"/>
  <c r="X30" i="95"/>
  <c r="R9" i="95"/>
  <c r="X8" i="95"/>
  <c r="X19" i="95"/>
  <c r="L12" i="95"/>
  <c r="L8" i="95"/>
  <c r="F24" i="95"/>
  <c r="K21" i="42"/>
  <c r="R7" i="95"/>
  <c r="F10" i="95"/>
  <c r="K11" i="42"/>
  <c r="R10" i="95"/>
  <c r="F7" i="95"/>
  <c r="K8" i="42"/>
  <c r="J10" i="42"/>
  <c r="K10" i="42"/>
  <c r="F20" i="95"/>
  <c r="K17" i="42"/>
  <c r="X20" i="95"/>
  <c r="X7" i="95"/>
  <c r="R27" i="95"/>
  <c r="J164" i="42"/>
  <c r="X12" i="95"/>
  <c r="X22" i="95"/>
  <c r="L23" i="95"/>
  <c r="L20" i="95"/>
  <c r="Q21" i="61"/>
  <c r="F22" i="95"/>
  <c r="K19" i="42"/>
  <c r="X15" i="95"/>
  <c r="F8" i="95"/>
  <c r="K9" i="42"/>
  <c r="L30" i="95"/>
  <c r="R30" i="95"/>
  <c r="L16" i="95"/>
  <c r="X27" i="95"/>
  <c r="R23" i="95"/>
  <c r="X10" i="95"/>
  <c r="X24" i="95"/>
  <c r="R8" i="95"/>
  <c r="L7" i="95"/>
  <c r="Q8" i="61"/>
  <c r="F27" i="95"/>
  <c r="K26" i="42"/>
  <c r="L27" i="95"/>
  <c r="L22" i="95"/>
  <c r="F21" i="95"/>
  <c r="K18" i="42"/>
  <c r="R11" i="95"/>
  <c r="J20" i="42"/>
  <c r="K20" i="42"/>
  <c r="R22" i="95"/>
  <c r="R19" i="95"/>
  <c r="F128" i="42"/>
  <c r="L78" i="41"/>
  <c r="BH104" i="39"/>
  <c r="J30" i="41"/>
  <c r="F31" i="42"/>
  <c r="J31" i="42" s="1"/>
  <c r="J78" i="41"/>
  <c r="J175" i="41"/>
  <c r="L175" i="41"/>
  <c r="J56" i="42"/>
  <c r="L30" i="41"/>
  <c r="L151" i="41"/>
  <c r="J13" i="42"/>
  <c r="J64" i="41"/>
  <c r="F12" i="95"/>
  <c r="J116" i="42"/>
  <c r="X24" i="61"/>
  <c r="N106" i="41"/>
  <c r="H6" i="63"/>
  <c r="J6" i="63"/>
  <c r="BH125" i="39"/>
  <c r="BH308" i="39"/>
  <c r="L126" i="41"/>
  <c r="X10" i="61"/>
  <c r="J106" i="42"/>
  <c r="J65" i="42"/>
  <c r="J112" i="42"/>
  <c r="BH245" i="39"/>
  <c r="F169" i="42"/>
  <c r="K169" i="42" s="1"/>
  <c r="J170" i="42"/>
  <c r="BH248" i="39"/>
  <c r="J20" i="61"/>
  <c r="X13" i="61"/>
  <c r="Q25" i="61"/>
  <c r="AE22" i="61"/>
  <c r="M8" i="61"/>
  <c r="M12" i="61"/>
  <c r="J17" i="61"/>
  <c r="AA12" i="61"/>
  <c r="M20" i="61"/>
  <c r="Q20" i="61"/>
  <c r="BH270" i="39"/>
  <c r="BH343" i="39"/>
  <c r="AE10" i="61"/>
  <c r="J13" i="61"/>
  <c r="Q12" i="61"/>
  <c r="X22" i="61"/>
  <c r="BH230" i="39"/>
  <c r="AE12" i="61"/>
  <c r="BH119" i="39"/>
  <c r="H66" i="63"/>
  <c r="J117" i="42"/>
  <c r="J8" i="41"/>
  <c r="D62" i="41"/>
  <c r="J175" i="42"/>
  <c r="BH223" i="39"/>
  <c r="L55" i="41"/>
  <c r="J115" i="42"/>
  <c r="J21" i="42"/>
  <c r="BH183" i="39"/>
  <c r="J107" i="41"/>
  <c r="BH74" i="39"/>
  <c r="D6" i="41"/>
  <c r="BH120" i="39"/>
  <c r="BH247" i="39"/>
  <c r="D78" i="42"/>
  <c r="J9" i="41"/>
  <c r="J57" i="42"/>
  <c r="L64" i="41"/>
  <c r="L161" i="41"/>
  <c r="BH101" i="39"/>
  <c r="J163" i="42"/>
  <c r="BH323" i="39"/>
  <c r="BH117" i="39"/>
  <c r="F178" i="42"/>
  <c r="K178" i="42" s="1"/>
  <c r="BH81" i="39"/>
  <c r="J157" i="42"/>
  <c r="J68" i="42"/>
  <c r="BH126" i="39"/>
  <c r="BH121" i="39"/>
  <c r="J179" i="42"/>
  <c r="J80" i="42"/>
  <c r="F23" i="95"/>
  <c r="F130" i="42"/>
  <c r="K130" i="42" s="1"/>
  <c r="BH84" i="39"/>
  <c r="J108" i="42"/>
  <c r="J19" i="42"/>
  <c r="J165" i="42"/>
  <c r="BH319" i="39"/>
  <c r="BH142" i="39"/>
  <c r="BH314" i="39"/>
  <c r="J17" i="41"/>
  <c r="BH213" i="39"/>
  <c r="BH83" i="39"/>
  <c r="H12" i="63"/>
  <c r="BH329" i="39"/>
  <c r="F82" i="42"/>
  <c r="K82" i="42" s="1"/>
  <c r="L108" i="41"/>
  <c r="BH208" i="39"/>
  <c r="L25" i="41"/>
  <c r="F9" i="95"/>
  <c r="X9" i="95"/>
  <c r="H33" i="63"/>
  <c r="J9" i="42"/>
  <c r="BH312" i="39"/>
  <c r="BH330" i="39"/>
  <c r="BH233" i="39"/>
  <c r="J154" i="42"/>
  <c r="F63" i="42"/>
  <c r="K63" i="42" s="1"/>
  <c r="J57" i="41"/>
  <c r="BH234" i="39"/>
  <c r="BH76" i="39"/>
  <c r="BH321" i="39"/>
  <c r="BH62" i="39"/>
  <c r="BH108" i="39"/>
  <c r="D63" i="42"/>
  <c r="BH174" i="39"/>
  <c r="L79" i="41"/>
  <c r="J67" i="42"/>
  <c r="J61" i="42"/>
  <c r="J131" i="42"/>
  <c r="I32" i="63"/>
  <c r="J32" i="63" s="1"/>
  <c r="L10" i="41"/>
  <c r="BH61" i="39"/>
  <c r="BH143" i="39"/>
  <c r="BH180" i="39"/>
  <c r="BH173" i="39"/>
  <c r="D7" i="42"/>
  <c r="D47" i="42" s="1"/>
  <c r="BH326" i="39"/>
  <c r="BH107" i="39"/>
  <c r="L31" i="41"/>
  <c r="F73" i="42"/>
  <c r="K73" i="42" s="1"/>
  <c r="L111" i="41"/>
  <c r="BH178" i="39"/>
  <c r="BH132" i="39"/>
  <c r="J17" i="42"/>
  <c r="BH169" i="39"/>
  <c r="J105" i="42"/>
  <c r="F78" i="42"/>
  <c r="K78" i="42" s="1"/>
  <c r="T37" i="70"/>
  <c r="U37" i="70" s="1"/>
  <c r="J79" i="42"/>
  <c r="O37" i="70"/>
  <c r="P37" i="70" s="1"/>
  <c r="BH264" i="39"/>
  <c r="BH222" i="39"/>
  <c r="F121" i="42"/>
  <c r="K121" i="42" s="1"/>
  <c r="J122" i="42"/>
  <c r="J8" i="42"/>
  <c r="BH293" i="39"/>
  <c r="BH106" i="39"/>
  <c r="J74" i="42"/>
  <c r="J155" i="42"/>
  <c r="BH252" i="39"/>
  <c r="L169" i="41"/>
  <c r="J127" i="41"/>
  <c r="BH231" i="39"/>
  <c r="J176" i="42"/>
  <c r="F174" i="42"/>
  <c r="K174" i="42" s="1"/>
  <c r="J105" i="41"/>
  <c r="J79" i="41"/>
  <c r="BH334" i="39"/>
  <c r="J169" i="41"/>
  <c r="J12" i="42"/>
  <c r="BH72" i="39"/>
  <c r="X23" i="95"/>
  <c r="J83" i="42"/>
  <c r="BH63" i="39"/>
  <c r="BH109" i="39"/>
  <c r="BH177" i="39"/>
  <c r="J152" i="42"/>
  <c r="J26" i="42"/>
  <c r="I73" i="63"/>
  <c r="H73" i="63" s="1"/>
  <c r="BH181" i="39"/>
  <c r="BH149" i="39"/>
  <c r="L17" i="41"/>
  <c r="BH87" i="39"/>
  <c r="BH239" i="39"/>
  <c r="BH153" i="39"/>
  <c r="BH216" i="39"/>
  <c r="J153" i="41"/>
  <c r="J121" i="41"/>
  <c r="BH313" i="39"/>
  <c r="L16" i="41"/>
  <c r="BH184" i="39"/>
  <c r="BH235" i="39"/>
  <c r="BH113" i="39"/>
  <c r="BH139" i="39"/>
  <c r="BH185" i="39"/>
  <c r="BH133" i="39"/>
  <c r="J126" i="41"/>
  <c r="BH175" i="39"/>
  <c r="BH246" i="39"/>
  <c r="BH258" i="39"/>
  <c r="D111" i="42"/>
  <c r="D142" i="42" s="1"/>
  <c r="BH220" i="39"/>
  <c r="J18" i="41"/>
  <c r="F7" i="42"/>
  <c r="L112" i="41"/>
  <c r="H13" i="63"/>
  <c r="BH116" i="39"/>
  <c r="J161" i="42"/>
  <c r="L114" i="41"/>
  <c r="BH249" i="39"/>
  <c r="J11" i="42"/>
  <c r="F111" i="42"/>
  <c r="K111" i="42" s="1"/>
  <c r="J162" i="41"/>
  <c r="J113" i="42"/>
  <c r="J18" i="42"/>
  <c r="BH73" i="39"/>
  <c r="J159" i="41"/>
  <c r="BH9" i="39"/>
  <c r="BH244" i="39"/>
  <c r="L162" i="41"/>
  <c r="F34" i="42"/>
  <c r="K34" i="42" s="1"/>
  <c r="H53" i="63"/>
  <c r="L153" i="41"/>
  <c r="J112" i="41"/>
  <c r="L159" i="41"/>
  <c r="J35" i="42"/>
  <c r="BH251" i="39"/>
  <c r="H37" i="70"/>
  <c r="I37" i="70" s="1"/>
  <c r="J114" i="41"/>
  <c r="BH131" i="39"/>
  <c r="BH294" i="39"/>
  <c r="BH71" i="39"/>
  <c r="D159" i="42"/>
  <c r="D190" i="42" s="1"/>
  <c r="BH186" i="39"/>
  <c r="BH310" i="39"/>
  <c r="J160" i="41"/>
  <c r="J13" i="63"/>
  <c r="BH309" i="39"/>
  <c r="BH114" i="39"/>
  <c r="BH141" i="39"/>
  <c r="J127" i="42"/>
  <c r="F15" i="42"/>
  <c r="K15" i="42" s="1"/>
  <c r="M37" i="70"/>
  <c r="N37" i="70" s="1"/>
  <c r="J174" i="41"/>
  <c r="BH250" i="39"/>
  <c r="L9" i="41"/>
  <c r="BH147" i="39"/>
  <c r="L57" i="41"/>
  <c r="L105" i="41"/>
  <c r="L174" i="41"/>
  <c r="J66" i="41"/>
  <c r="AA37" i="70"/>
  <c r="AB37" i="70" s="1"/>
  <c r="BH253" i="39"/>
  <c r="BH122" i="39"/>
  <c r="BH110" i="39"/>
  <c r="L18" i="41"/>
  <c r="BH111" i="39"/>
  <c r="BH79" i="39"/>
  <c r="F25" i="42"/>
  <c r="K25" i="42" s="1"/>
  <c r="D110" i="41"/>
  <c r="AC37" i="70"/>
  <c r="AD37" i="70" s="1"/>
  <c r="J107" i="42"/>
  <c r="J32" i="42"/>
  <c r="BH315" i="39"/>
  <c r="J111" i="41"/>
  <c r="BH85" i="39"/>
  <c r="I72" i="63"/>
  <c r="J72" i="63" s="1"/>
  <c r="L65" i="41"/>
  <c r="J52" i="63"/>
  <c r="J31" i="41"/>
  <c r="F16" i="95"/>
  <c r="L127" i="41"/>
  <c r="BH118" i="39"/>
  <c r="L66" i="41"/>
  <c r="L9" i="95"/>
  <c r="J58" i="42"/>
  <c r="BH271" i="39"/>
  <c r="L107" i="41"/>
  <c r="V37" i="70"/>
  <c r="W37" i="70" s="1"/>
  <c r="F37" i="70"/>
  <c r="G37" i="70" s="1"/>
  <c r="J129" i="41"/>
  <c r="M25" i="61"/>
  <c r="M11" i="61"/>
  <c r="J33" i="41"/>
  <c r="T31" i="61"/>
  <c r="F31" i="61"/>
  <c r="F8" i="61"/>
  <c r="T22" i="61"/>
  <c r="AA8" i="61"/>
  <c r="F24" i="61"/>
  <c r="AA25" i="61"/>
  <c r="M28" i="61"/>
  <c r="J160" i="42"/>
  <c r="F159" i="42"/>
  <c r="K159" i="42" s="1"/>
  <c r="J104" i="42"/>
  <c r="F103" i="42"/>
  <c r="J177" i="41"/>
  <c r="AA9" i="61"/>
  <c r="J153" i="42"/>
  <c r="F151" i="42"/>
  <c r="M22" i="61"/>
  <c r="F28" i="61"/>
  <c r="F12" i="61"/>
  <c r="F13" i="61"/>
  <c r="G14" i="95"/>
  <c r="F21" i="61"/>
  <c r="T25" i="61"/>
  <c r="N82" i="41"/>
  <c r="L177" i="41"/>
  <c r="AA31" i="61"/>
  <c r="J24" i="41"/>
  <c r="N73" i="41"/>
  <c r="T11" i="61"/>
  <c r="N130" i="41"/>
  <c r="J72" i="41"/>
  <c r="T9" i="61"/>
  <c r="M9" i="61"/>
  <c r="AA11" i="61"/>
  <c r="N121" i="41"/>
  <c r="N34" i="41"/>
  <c r="N15" i="41"/>
  <c r="G29" i="95"/>
  <c r="G26" i="95"/>
  <c r="M18" i="95"/>
  <c r="G18" i="95"/>
  <c r="M14" i="95"/>
  <c r="M26" i="95"/>
  <c r="G6" i="95"/>
  <c r="M6" i="95"/>
  <c r="BH6" i="39" l="1"/>
  <c r="BH5" i="39"/>
  <c r="BH7" i="39"/>
  <c r="BH4" i="39"/>
  <c r="F191" i="42"/>
  <c r="K191" i="42" s="1"/>
  <c r="AE33" i="61" s="1"/>
  <c r="D143" i="42"/>
  <c r="D191" i="42"/>
  <c r="O116" i="41"/>
  <c r="P163" i="41"/>
  <c r="AB9" i="61"/>
  <c r="AC9" i="61" s="1"/>
  <c r="F20" i="61"/>
  <c r="N25" i="61"/>
  <c r="O25" i="61" s="1"/>
  <c r="O68" i="41"/>
  <c r="U8" i="61"/>
  <c r="AB24" i="61"/>
  <c r="O7" i="41"/>
  <c r="O67" i="41"/>
  <c r="U24" i="61"/>
  <c r="V24" i="61" s="1"/>
  <c r="P67" i="41"/>
  <c r="N24" i="61"/>
  <c r="O24" i="61" s="1"/>
  <c r="P178" i="41"/>
  <c r="O115" i="41"/>
  <c r="P155" i="41"/>
  <c r="AB12" i="61"/>
  <c r="AD12" i="61" s="1"/>
  <c r="O20" i="41"/>
  <c r="G25" i="61"/>
  <c r="H25" i="61" s="1"/>
  <c r="O164" i="41"/>
  <c r="G8" i="61"/>
  <c r="H8" i="61" s="1"/>
  <c r="O155" i="41"/>
  <c r="P7" i="41"/>
  <c r="AB25" i="61"/>
  <c r="AD25" i="61" s="1"/>
  <c r="AB21" i="61"/>
  <c r="O152" i="41"/>
  <c r="O63" i="41"/>
  <c r="G9" i="61"/>
  <c r="P160" i="41"/>
  <c r="P68" i="41"/>
  <c r="P20" i="41"/>
  <c r="P103" i="41"/>
  <c r="O19" i="41"/>
  <c r="AB13" i="61"/>
  <c r="AD13" i="61" s="1"/>
  <c r="O104" i="41"/>
  <c r="G13" i="61"/>
  <c r="H13" i="61" s="1"/>
  <c r="P156" i="41"/>
  <c r="P152" i="41"/>
  <c r="P115" i="41"/>
  <c r="P164" i="41"/>
  <c r="P104" i="41"/>
  <c r="U25" i="61"/>
  <c r="V25" i="61" s="1"/>
  <c r="O59" i="41"/>
  <c r="P116" i="41"/>
  <c r="N20" i="61"/>
  <c r="P20" i="61" s="1"/>
  <c r="P63" i="41"/>
  <c r="P113" i="41"/>
  <c r="P12" i="41"/>
  <c r="O154" i="41"/>
  <c r="O156" i="41"/>
  <c r="O12" i="41"/>
  <c r="U22" i="61"/>
  <c r="W22" i="61" s="1"/>
  <c r="P19" i="41"/>
  <c r="O11" i="41"/>
  <c r="O178" i="41"/>
  <c r="G12" i="61"/>
  <c r="I12" i="61" s="1"/>
  <c r="G24" i="61"/>
  <c r="H24" i="61" s="1"/>
  <c r="N177" i="41"/>
  <c r="O113" i="41"/>
  <c r="U9" i="61"/>
  <c r="W9" i="61" s="1"/>
  <c r="AB31" i="61"/>
  <c r="AB30" i="61" s="1"/>
  <c r="N127" i="41"/>
  <c r="P58" i="41"/>
  <c r="P59" i="41"/>
  <c r="P34" i="41"/>
  <c r="N65" i="41"/>
  <c r="O65" i="41" s="1"/>
  <c r="N159" i="41"/>
  <c r="N16" i="41"/>
  <c r="O16" i="41" s="1"/>
  <c r="N64" i="41"/>
  <c r="N13" i="61"/>
  <c r="N112" i="41"/>
  <c r="N78" i="41"/>
  <c r="P78" i="41" s="1"/>
  <c r="N17" i="41"/>
  <c r="N18" i="41"/>
  <c r="N153" i="41"/>
  <c r="N79" i="41"/>
  <c r="N169" i="41"/>
  <c r="P11" i="41"/>
  <c r="P15" i="41"/>
  <c r="L24" i="41"/>
  <c r="N174" i="41"/>
  <c r="N12" i="61"/>
  <c r="P12" i="61" s="1"/>
  <c r="N105" i="41"/>
  <c r="N111" i="41"/>
  <c r="P154" i="41"/>
  <c r="O106" i="41"/>
  <c r="N55" i="41"/>
  <c r="N8" i="61" s="1"/>
  <c r="O8" i="61" s="1"/>
  <c r="P130" i="41"/>
  <c r="N57" i="41"/>
  <c r="N151" i="41"/>
  <c r="P151" i="41" s="1"/>
  <c r="N114" i="41"/>
  <c r="N9" i="41"/>
  <c r="G10" i="61" s="1"/>
  <c r="P82" i="41"/>
  <c r="N162" i="41"/>
  <c r="N10" i="41"/>
  <c r="G11" i="61" s="1"/>
  <c r="I11" i="61" s="1"/>
  <c r="N30" i="41"/>
  <c r="N161" i="41"/>
  <c r="P73" i="41"/>
  <c r="N31" i="41"/>
  <c r="P60" i="41"/>
  <c r="N56" i="41"/>
  <c r="P56" i="41" s="1"/>
  <c r="N66" i="41"/>
  <c r="AB11" i="61"/>
  <c r="AD11" i="61" s="1"/>
  <c r="O58" i="41"/>
  <c r="N11" i="61"/>
  <c r="O11" i="61" s="1"/>
  <c r="N175" i="41"/>
  <c r="O60" i="41"/>
  <c r="M13" i="61"/>
  <c r="T8" i="61"/>
  <c r="O163" i="41"/>
  <c r="AA24" i="61"/>
  <c r="O103" i="41"/>
  <c r="AA21" i="95"/>
  <c r="F30" i="61"/>
  <c r="F16" i="61"/>
  <c r="P8" i="41"/>
  <c r="F27" i="61"/>
  <c r="I24" i="95"/>
  <c r="H24" i="95"/>
  <c r="U30" i="95"/>
  <c r="T30" i="95"/>
  <c r="AA7" i="95"/>
  <c r="Z7" i="95"/>
  <c r="O8" i="95"/>
  <c r="N8" i="95"/>
  <c r="U24" i="95"/>
  <c r="T24" i="95"/>
  <c r="O16" i="95"/>
  <c r="N16" i="95"/>
  <c r="O22" i="95"/>
  <c r="N22" i="95"/>
  <c r="Z19" i="95"/>
  <c r="AA19" i="95"/>
  <c r="T27" i="95"/>
  <c r="U27" i="95"/>
  <c r="O9" i="95"/>
  <c r="N9" i="95"/>
  <c r="O27" i="95"/>
  <c r="N27" i="95"/>
  <c r="H8" i="95"/>
  <c r="I8" i="95"/>
  <c r="H20" i="95"/>
  <c r="I20" i="95"/>
  <c r="AA8" i="95"/>
  <c r="Z8" i="95"/>
  <c r="H21" i="95"/>
  <c r="I21" i="95"/>
  <c r="I16" i="95"/>
  <c r="H16" i="95"/>
  <c r="AA15" i="95"/>
  <c r="Z15" i="95"/>
  <c r="U9" i="95"/>
  <c r="T9" i="95"/>
  <c r="U15" i="95"/>
  <c r="T15" i="95"/>
  <c r="I27" i="95"/>
  <c r="H27" i="95"/>
  <c r="AA30" i="95"/>
  <c r="Z30" i="95"/>
  <c r="O30" i="95"/>
  <c r="N30" i="95"/>
  <c r="I9" i="95"/>
  <c r="H9" i="95"/>
  <c r="H22" i="95"/>
  <c r="I22" i="95"/>
  <c r="AA16" i="95"/>
  <c r="Z16" i="95"/>
  <c r="AA27" i="95"/>
  <c r="Z27" i="95"/>
  <c r="I12" i="95"/>
  <c r="H12" i="95"/>
  <c r="AA9" i="95"/>
  <c r="Z9" i="95"/>
  <c r="N7" i="95"/>
  <c r="O7" i="95"/>
  <c r="I7" i="95"/>
  <c r="H7" i="95"/>
  <c r="T20" i="95"/>
  <c r="U20" i="95"/>
  <c r="I23" i="95"/>
  <c r="H23" i="95"/>
  <c r="U8" i="95"/>
  <c r="T8" i="95"/>
  <c r="N20" i="95"/>
  <c r="O20" i="95"/>
  <c r="U10" i="95"/>
  <c r="T10" i="95"/>
  <c r="O15" i="95"/>
  <c r="N15" i="95"/>
  <c r="N12" i="95"/>
  <c r="O12" i="95"/>
  <c r="T19" i="95"/>
  <c r="U19" i="95"/>
  <c r="AA24" i="95"/>
  <c r="Z24" i="95"/>
  <c r="O23" i="95"/>
  <c r="N23" i="95"/>
  <c r="U11" i="95"/>
  <c r="T11" i="95"/>
  <c r="AA23" i="95"/>
  <c r="Z23" i="95"/>
  <c r="U22" i="95"/>
  <c r="T22" i="95"/>
  <c r="AA10" i="95"/>
  <c r="Z10" i="95"/>
  <c r="AA22" i="95"/>
  <c r="Z22" i="95"/>
  <c r="I10" i="95"/>
  <c r="H10" i="95"/>
  <c r="I30" i="95"/>
  <c r="H30" i="95"/>
  <c r="H11" i="95"/>
  <c r="I11" i="95"/>
  <c r="AA20" i="95"/>
  <c r="Z20" i="95"/>
  <c r="U23" i="95"/>
  <c r="T23" i="95"/>
  <c r="Z12" i="95"/>
  <c r="AA12" i="95"/>
  <c r="U7" i="95"/>
  <c r="T7" i="95"/>
  <c r="F26" i="95"/>
  <c r="X29" i="95"/>
  <c r="AA30" i="61"/>
  <c r="R26" i="95"/>
  <c r="T30" i="61"/>
  <c r="M27" i="61"/>
  <c r="F190" i="42"/>
  <c r="K151" i="42"/>
  <c r="AE7" i="61" s="1"/>
  <c r="K103" i="42"/>
  <c r="J128" i="42"/>
  <c r="K128" i="42"/>
  <c r="X17" i="61" s="1"/>
  <c r="P121" i="41"/>
  <c r="N126" i="41"/>
  <c r="L125" i="41"/>
  <c r="P106" i="41"/>
  <c r="J125" i="41"/>
  <c r="F30" i="42"/>
  <c r="F46" i="42" s="1"/>
  <c r="F126" i="42"/>
  <c r="K126" i="42" s="1"/>
  <c r="X15" i="61" s="1"/>
  <c r="F29" i="95"/>
  <c r="K7" i="42"/>
  <c r="J7" i="61" s="1"/>
  <c r="D46" i="42"/>
  <c r="D141" i="41"/>
  <c r="D93" i="41"/>
  <c r="D45" i="41"/>
  <c r="M21" i="61"/>
  <c r="AA17" i="61"/>
  <c r="L29" i="95"/>
  <c r="R18" i="95"/>
  <c r="R29" i="95"/>
  <c r="X26" i="95"/>
  <c r="R6" i="95"/>
  <c r="J169" i="42"/>
  <c r="AE27" i="61"/>
  <c r="X14" i="95"/>
  <c r="J73" i="42"/>
  <c r="L26" i="95"/>
  <c r="J121" i="42"/>
  <c r="F15" i="95"/>
  <c r="K31" i="42"/>
  <c r="J16" i="61" s="1"/>
  <c r="J103" i="42"/>
  <c r="L14" i="95"/>
  <c r="J78" i="42"/>
  <c r="L18" i="95"/>
  <c r="F18" i="95"/>
  <c r="J178" i="42"/>
  <c r="R16" i="95"/>
  <c r="M16" i="61"/>
  <c r="U11" i="61"/>
  <c r="V11" i="61" s="1"/>
  <c r="N107" i="41"/>
  <c r="N108" i="41"/>
  <c r="AE28" i="61"/>
  <c r="X20" i="61"/>
  <c r="F9" i="61"/>
  <c r="O8" i="41"/>
  <c r="J27" i="61"/>
  <c r="M10" i="61"/>
  <c r="X30" i="61"/>
  <c r="T12" i="61"/>
  <c r="O34" i="41"/>
  <c r="X8" i="61"/>
  <c r="J30" i="61"/>
  <c r="X21" i="61"/>
  <c r="X28" i="61"/>
  <c r="Q23" i="61"/>
  <c r="J9" i="61"/>
  <c r="X12" i="61"/>
  <c r="N81" i="41"/>
  <c r="Q31" i="61"/>
  <c r="J12" i="61"/>
  <c r="J23" i="61"/>
  <c r="F23" i="61"/>
  <c r="AA28" i="61"/>
  <c r="J21" i="61"/>
  <c r="Q19" i="61"/>
  <c r="Q17" i="61"/>
  <c r="X16" i="61"/>
  <c r="Q24" i="61"/>
  <c r="X23" i="61"/>
  <c r="U31" i="61"/>
  <c r="U30" i="61" s="1"/>
  <c r="T20" i="61"/>
  <c r="J22" i="61"/>
  <c r="T17" i="61"/>
  <c r="Q28" i="61"/>
  <c r="J31" i="61"/>
  <c r="AA16" i="61"/>
  <c r="X9" i="61"/>
  <c r="J19" i="61"/>
  <c r="Q16" i="61"/>
  <c r="AE17" i="61"/>
  <c r="AE13" i="61"/>
  <c r="J25" i="61"/>
  <c r="X25" i="61"/>
  <c r="J10" i="61"/>
  <c r="AE25" i="61"/>
  <c r="J24" i="61"/>
  <c r="AA23" i="61"/>
  <c r="T23" i="61"/>
  <c r="X19" i="61"/>
  <c r="F22" i="61"/>
  <c r="AE23" i="61"/>
  <c r="AE19" i="61"/>
  <c r="J28" i="61"/>
  <c r="AE21" i="61"/>
  <c r="J120" i="41"/>
  <c r="T10" i="61"/>
  <c r="Q13" i="61"/>
  <c r="AE9" i="61"/>
  <c r="M23" i="61"/>
  <c r="AE24" i="61"/>
  <c r="AE11" i="61"/>
  <c r="O73" i="41"/>
  <c r="AE20" i="61"/>
  <c r="J11" i="61"/>
  <c r="AA10" i="61"/>
  <c r="AE15" i="61"/>
  <c r="J8" i="61"/>
  <c r="AE31" i="61"/>
  <c r="Q10" i="61"/>
  <c r="AA20" i="61"/>
  <c r="Q30" i="61"/>
  <c r="AE16" i="61"/>
  <c r="X11" i="61"/>
  <c r="AE8" i="61"/>
  <c r="X31" i="61"/>
  <c r="Q9" i="61"/>
  <c r="J6" i="41"/>
  <c r="F10" i="61"/>
  <c r="J63" i="42"/>
  <c r="F6" i="95"/>
  <c r="J130" i="42"/>
  <c r="X18" i="95"/>
  <c r="J82" i="42"/>
  <c r="J15" i="42"/>
  <c r="X6" i="95"/>
  <c r="H32" i="63"/>
  <c r="N25" i="41"/>
  <c r="J54" i="41"/>
  <c r="L168" i="41"/>
  <c r="L29" i="41"/>
  <c r="L77" i="41"/>
  <c r="J174" i="42"/>
  <c r="J77" i="41"/>
  <c r="M17" i="61"/>
  <c r="J111" i="42"/>
  <c r="J168" i="41"/>
  <c r="J73" i="63"/>
  <c r="T21" i="61"/>
  <c r="L110" i="41"/>
  <c r="O121" i="41"/>
  <c r="T28" i="61"/>
  <c r="J173" i="41"/>
  <c r="J7" i="42"/>
  <c r="J34" i="42"/>
  <c r="L14" i="41"/>
  <c r="L150" i="41"/>
  <c r="J102" i="41"/>
  <c r="L102" i="41"/>
  <c r="J150" i="41"/>
  <c r="L173" i="41"/>
  <c r="L62" i="41"/>
  <c r="O160" i="41"/>
  <c r="L6" i="41"/>
  <c r="L158" i="41"/>
  <c r="J14" i="41"/>
  <c r="T16" i="61"/>
  <c r="J158" i="41"/>
  <c r="AA21" i="61"/>
  <c r="J62" i="41"/>
  <c r="J25" i="42"/>
  <c r="J110" i="41"/>
  <c r="J159" i="42"/>
  <c r="L54" i="41"/>
  <c r="J29" i="41"/>
  <c r="F17" i="61"/>
  <c r="H72" i="63"/>
  <c r="J151" i="42"/>
  <c r="U28" i="61"/>
  <c r="U27" i="61" s="1"/>
  <c r="N33" i="41"/>
  <c r="O82" i="41"/>
  <c r="G31" i="61"/>
  <c r="H31" i="61" s="1"/>
  <c r="N120" i="41"/>
  <c r="N72" i="41"/>
  <c r="N28" i="61"/>
  <c r="N27" i="61" s="1"/>
  <c r="N31" i="61"/>
  <c r="O15" i="41"/>
  <c r="N129" i="41"/>
  <c r="O130" i="41"/>
  <c r="G20" i="61"/>
  <c r="G32" i="95"/>
  <c r="G34" i="95" s="1"/>
  <c r="M29" i="95"/>
  <c r="H20" i="61" l="1"/>
  <c r="J191" i="42"/>
  <c r="F47" i="42"/>
  <c r="F143" i="42"/>
  <c r="P25" i="61"/>
  <c r="AD9" i="61"/>
  <c r="P174" i="41"/>
  <c r="V8" i="61"/>
  <c r="N10" i="61"/>
  <c r="P10" i="61" s="1"/>
  <c r="I8" i="61"/>
  <c r="W24" i="61"/>
  <c r="U17" i="61"/>
  <c r="V17" i="61" s="1"/>
  <c r="U21" i="61"/>
  <c r="V21" i="61" s="1"/>
  <c r="AC25" i="61"/>
  <c r="O174" i="41"/>
  <c r="AC24" i="61"/>
  <c r="G23" i="61"/>
  <c r="I23" i="61" s="1"/>
  <c r="P30" i="41"/>
  <c r="O57" i="41"/>
  <c r="I13" i="61"/>
  <c r="P24" i="61"/>
  <c r="AC12" i="61"/>
  <c r="N173" i="41"/>
  <c r="O79" i="41"/>
  <c r="I25" i="61"/>
  <c r="AC13" i="61"/>
  <c r="AB16" i="61"/>
  <c r="AC16" i="61" s="1"/>
  <c r="N22" i="61"/>
  <c r="O22" i="61" s="1"/>
  <c r="V9" i="61"/>
  <c r="U20" i="61"/>
  <c r="W20" i="61" s="1"/>
  <c r="O64" i="41"/>
  <c r="O127" i="41"/>
  <c r="N21" i="61"/>
  <c r="O21" i="61" s="1"/>
  <c r="O18" i="41"/>
  <c r="O153" i="41"/>
  <c r="AB10" i="61"/>
  <c r="AC10" i="61" s="1"/>
  <c r="I24" i="61"/>
  <c r="H12" i="61"/>
  <c r="O161" i="41"/>
  <c r="U10" i="61"/>
  <c r="V10" i="61" s="1"/>
  <c r="O177" i="41"/>
  <c r="AB20" i="61"/>
  <c r="AD20" i="61" s="1"/>
  <c r="G16" i="61"/>
  <c r="I16" i="61" s="1"/>
  <c r="P57" i="41"/>
  <c r="O10" i="41"/>
  <c r="O169" i="41"/>
  <c r="N150" i="41"/>
  <c r="U23" i="61"/>
  <c r="P177" i="41"/>
  <c r="O151" i="41"/>
  <c r="O105" i="41"/>
  <c r="O30" i="41"/>
  <c r="O112" i="41"/>
  <c r="W25" i="61"/>
  <c r="P18" i="41"/>
  <c r="N158" i="41"/>
  <c r="P162" i="41"/>
  <c r="P11" i="61"/>
  <c r="P127" i="41"/>
  <c r="P112" i="41"/>
  <c r="N9" i="61"/>
  <c r="O9" i="61" s="1"/>
  <c r="G21" i="61"/>
  <c r="I21" i="61" s="1"/>
  <c r="O20" i="61"/>
  <c r="P114" i="41"/>
  <c r="N110" i="41"/>
  <c r="O114" i="41"/>
  <c r="O175" i="41"/>
  <c r="P111" i="41"/>
  <c r="AD31" i="61"/>
  <c r="P161" i="41"/>
  <c r="P66" i="41"/>
  <c r="O17" i="41"/>
  <c r="N17" i="61"/>
  <c r="P17" i="61" s="1"/>
  <c r="O78" i="41"/>
  <c r="P31" i="41"/>
  <c r="P159" i="41"/>
  <c r="V22" i="61"/>
  <c r="N6" i="41"/>
  <c r="O66" i="41"/>
  <c r="N54" i="41"/>
  <c r="P17" i="41"/>
  <c r="O12" i="61"/>
  <c r="G22" i="61"/>
  <c r="N23" i="61"/>
  <c r="O23" i="61" s="1"/>
  <c r="O162" i="41"/>
  <c r="AB22" i="61"/>
  <c r="AD22" i="61" s="1"/>
  <c r="O55" i="41"/>
  <c r="N14" i="41"/>
  <c r="AB23" i="61"/>
  <c r="AC23" i="61" s="1"/>
  <c r="AC31" i="61"/>
  <c r="O159" i="41"/>
  <c r="AB28" i="61"/>
  <c r="AB27" i="61" s="1"/>
  <c r="P9" i="41"/>
  <c r="P72" i="41"/>
  <c r="O111" i="41"/>
  <c r="G17" i="61"/>
  <c r="P16" i="41"/>
  <c r="N29" i="41"/>
  <c r="AB17" i="61"/>
  <c r="AB8" i="61"/>
  <c r="P105" i="41"/>
  <c r="P81" i="41"/>
  <c r="P65" i="41"/>
  <c r="P108" i="41"/>
  <c r="P107" i="41"/>
  <c r="P10" i="41"/>
  <c r="N168" i="41"/>
  <c r="N77" i="41"/>
  <c r="P126" i="41"/>
  <c r="N16" i="61"/>
  <c r="P16" i="61" s="1"/>
  <c r="N62" i="41"/>
  <c r="O31" i="41"/>
  <c r="P64" i="41"/>
  <c r="P79" i="41"/>
  <c r="P55" i="41"/>
  <c r="P169" i="41"/>
  <c r="O129" i="41"/>
  <c r="O33" i="41"/>
  <c r="P25" i="41"/>
  <c r="P153" i="41"/>
  <c r="AC11" i="61"/>
  <c r="P13" i="61"/>
  <c r="O56" i="41"/>
  <c r="O9" i="41"/>
  <c r="P175" i="41"/>
  <c r="W8" i="61"/>
  <c r="O13" i="61"/>
  <c r="AD24" i="61"/>
  <c r="I31" i="61"/>
  <c r="P8" i="61"/>
  <c r="O126" i="41"/>
  <c r="O28" i="61"/>
  <c r="P28" i="61"/>
  <c r="U16" i="61"/>
  <c r="H11" i="61"/>
  <c r="F15" i="61"/>
  <c r="W31" i="61"/>
  <c r="M7" i="61"/>
  <c r="I20" i="61"/>
  <c r="V31" i="61"/>
  <c r="W11" i="61"/>
  <c r="O27" i="61"/>
  <c r="P27" i="61"/>
  <c r="V28" i="61"/>
  <c r="W28" i="61"/>
  <c r="W30" i="61"/>
  <c r="V30" i="61"/>
  <c r="AD21" i="61"/>
  <c r="AC21" i="61"/>
  <c r="P31" i="61"/>
  <c r="O31" i="61"/>
  <c r="I9" i="61"/>
  <c r="H9" i="61"/>
  <c r="AC30" i="61"/>
  <c r="AD30" i="61"/>
  <c r="I10" i="61"/>
  <c r="H10" i="61"/>
  <c r="N125" i="41"/>
  <c r="I18" i="95"/>
  <c r="H18" i="95"/>
  <c r="U29" i="95"/>
  <c r="T29" i="95"/>
  <c r="O29" i="95"/>
  <c r="N29" i="95"/>
  <c r="Z26" i="95"/>
  <c r="AA26" i="95"/>
  <c r="I26" i="95"/>
  <c r="H26" i="95"/>
  <c r="H15" i="95"/>
  <c r="I15" i="95"/>
  <c r="N14" i="95"/>
  <c r="O14" i="95"/>
  <c r="AA29" i="95"/>
  <c r="Z29" i="95"/>
  <c r="N26" i="95"/>
  <c r="O26" i="95"/>
  <c r="U18" i="95"/>
  <c r="T18" i="95"/>
  <c r="AA6" i="95"/>
  <c r="Z6" i="95"/>
  <c r="AA14" i="95"/>
  <c r="Z14" i="95"/>
  <c r="T6" i="95"/>
  <c r="U6" i="95"/>
  <c r="O18" i="95"/>
  <c r="N18" i="95"/>
  <c r="Z18" i="95"/>
  <c r="AA18" i="95"/>
  <c r="I6" i="95"/>
  <c r="H6" i="95"/>
  <c r="U16" i="95"/>
  <c r="T16" i="95"/>
  <c r="H29" i="95"/>
  <c r="I29" i="95"/>
  <c r="U26" i="95"/>
  <c r="T26" i="95"/>
  <c r="N30" i="61"/>
  <c r="T27" i="61"/>
  <c r="AA27" i="61"/>
  <c r="AA7" i="61"/>
  <c r="J46" i="42"/>
  <c r="K46" i="42"/>
  <c r="J126" i="42"/>
  <c r="K30" i="42"/>
  <c r="J15" i="61" s="1"/>
  <c r="J30" i="42"/>
  <c r="F142" i="42"/>
  <c r="K190" i="42"/>
  <c r="J190" i="42"/>
  <c r="L45" i="41"/>
  <c r="P129" i="41"/>
  <c r="J45" i="41"/>
  <c r="P120" i="41"/>
  <c r="L189" i="41"/>
  <c r="J189" i="41"/>
  <c r="J141" i="41"/>
  <c r="L141" i="41"/>
  <c r="L93" i="41"/>
  <c r="J93" i="41"/>
  <c r="AA15" i="61"/>
  <c r="M19" i="61"/>
  <c r="M15" i="61"/>
  <c r="P33" i="41"/>
  <c r="R14" i="95"/>
  <c r="F14" i="95"/>
  <c r="N102" i="41"/>
  <c r="U13" i="61"/>
  <c r="U12" i="61"/>
  <c r="W12" i="61" s="1"/>
  <c r="O107" i="41"/>
  <c r="O108" i="41"/>
  <c r="T7" i="61"/>
  <c r="F7" i="61"/>
  <c r="G7" i="61"/>
  <c r="O81" i="41"/>
  <c r="F19" i="61"/>
  <c r="X7" i="61"/>
  <c r="X27" i="61"/>
  <c r="Q27" i="61"/>
  <c r="Q15" i="61"/>
  <c r="AA19" i="61"/>
  <c r="AE30" i="61"/>
  <c r="N24" i="41"/>
  <c r="X32" i="95"/>
  <c r="G28" i="61"/>
  <c r="O25" i="41"/>
  <c r="T19" i="61"/>
  <c r="T15" i="61"/>
  <c r="G30" i="61"/>
  <c r="I30" i="61" s="1"/>
  <c r="O72" i="41"/>
  <c r="O120" i="41"/>
  <c r="M32" i="95"/>
  <c r="M34" i="95" s="1"/>
  <c r="K143" i="42" l="1"/>
  <c r="X33" i="61" s="1"/>
  <c r="J143" i="42"/>
  <c r="K47" i="42"/>
  <c r="J33" i="61" s="1"/>
  <c r="J47" i="42"/>
  <c r="U15" i="61"/>
  <c r="W15" i="61" s="1"/>
  <c r="W17" i="61"/>
  <c r="O10" i="61"/>
  <c r="W21" i="61"/>
  <c r="H23" i="61"/>
  <c r="O173" i="41"/>
  <c r="P173" i="41"/>
  <c r="P22" i="61"/>
  <c r="V20" i="61"/>
  <c r="AD16" i="61"/>
  <c r="AD10" i="61"/>
  <c r="P6" i="41"/>
  <c r="O110" i="41"/>
  <c r="AC20" i="61"/>
  <c r="W10" i="61"/>
  <c r="P21" i="61"/>
  <c r="O77" i="41"/>
  <c r="U19" i="61"/>
  <c r="V19" i="61" s="1"/>
  <c r="AB15" i="61"/>
  <c r="AD15" i="61" s="1"/>
  <c r="O150" i="41"/>
  <c r="P9" i="61"/>
  <c r="AB7" i="61"/>
  <c r="AD7" i="61" s="1"/>
  <c r="P14" i="41"/>
  <c r="O14" i="41"/>
  <c r="P150" i="41"/>
  <c r="G15" i="61"/>
  <c r="H15" i="61" s="1"/>
  <c r="H16" i="61"/>
  <c r="P110" i="41"/>
  <c r="AB19" i="61"/>
  <c r="AC19" i="61" s="1"/>
  <c r="P158" i="41"/>
  <c r="O158" i="41"/>
  <c r="V23" i="61"/>
  <c r="W23" i="61"/>
  <c r="O168" i="41"/>
  <c r="AC22" i="61"/>
  <c r="P168" i="41"/>
  <c r="H21" i="61"/>
  <c r="N7" i="61"/>
  <c r="P7" i="61" s="1"/>
  <c r="AD23" i="61"/>
  <c r="N189" i="41"/>
  <c r="P189" i="41" s="1"/>
  <c r="G19" i="61"/>
  <c r="H19" i="61" s="1"/>
  <c r="O17" i="61"/>
  <c r="H22" i="61"/>
  <c r="I22" i="61"/>
  <c r="O62" i="41"/>
  <c r="N93" i="41"/>
  <c r="P93" i="41" s="1"/>
  <c r="O29" i="41"/>
  <c r="P29" i="41"/>
  <c r="I17" i="61"/>
  <c r="O54" i="41"/>
  <c r="P23" i="61"/>
  <c r="AC28" i="61"/>
  <c r="AD28" i="61"/>
  <c r="N19" i="61"/>
  <c r="P77" i="41"/>
  <c r="H17" i="61"/>
  <c r="P54" i="41"/>
  <c r="P62" i="41"/>
  <c r="O6" i="41"/>
  <c r="AD17" i="61"/>
  <c r="AC17" i="61"/>
  <c r="N15" i="61"/>
  <c r="O15" i="61" s="1"/>
  <c r="O125" i="41"/>
  <c r="AD8" i="61"/>
  <c r="AC8" i="61"/>
  <c r="N45" i="41"/>
  <c r="O16" i="61"/>
  <c r="P102" i="41"/>
  <c r="P125" i="41"/>
  <c r="AC27" i="61"/>
  <c r="AD27" i="61"/>
  <c r="P30" i="61"/>
  <c r="O30" i="61"/>
  <c r="W13" i="61"/>
  <c r="V13" i="61"/>
  <c r="V12" i="61"/>
  <c r="H30" i="61"/>
  <c r="W27" i="61"/>
  <c r="V27" i="61"/>
  <c r="V16" i="61"/>
  <c r="G27" i="61"/>
  <c r="I28" i="61"/>
  <c r="H28" i="61"/>
  <c r="W16" i="61"/>
  <c r="H7" i="61"/>
  <c r="H14" i="95"/>
  <c r="I14" i="95"/>
  <c r="AA32" i="95"/>
  <c r="Z32" i="95"/>
  <c r="U14" i="95"/>
  <c r="T14" i="95"/>
  <c r="K142" i="42"/>
  <c r="J142" i="42"/>
  <c r="F32" i="95"/>
  <c r="AA33" i="61"/>
  <c r="O102" i="41"/>
  <c r="N141" i="41"/>
  <c r="M33" i="61"/>
  <c r="O24" i="41"/>
  <c r="P24" i="41"/>
  <c r="R32" i="95"/>
  <c r="X34" i="95"/>
  <c r="U7" i="61"/>
  <c r="W7" i="61" s="1"/>
  <c r="I7" i="61"/>
  <c r="F33" i="61"/>
  <c r="AE35" i="61"/>
  <c r="T33" i="61"/>
  <c r="J35" i="61"/>
  <c r="V15" i="61" l="1"/>
  <c r="W19" i="61"/>
  <c r="AB33" i="61"/>
  <c r="AB35" i="61" s="1"/>
  <c r="AC7" i="61"/>
  <c r="AC15" i="61"/>
  <c r="I15" i="61"/>
  <c r="AD19" i="61"/>
  <c r="O7" i="61"/>
  <c r="I19" i="61"/>
  <c r="P15" i="61"/>
  <c r="O189" i="41"/>
  <c r="O93" i="41"/>
  <c r="N33" i="61"/>
  <c r="N35" i="61" s="1"/>
  <c r="O45" i="41"/>
  <c r="P19" i="61"/>
  <c r="O19" i="61"/>
  <c r="V7" i="61"/>
  <c r="I27" i="61"/>
  <c r="H27" i="61"/>
  <c r="G33" i="61"/>
  <c r="G35" i="61" s="1"/>
  <c r="F35" i="61"/>
  <c r="AA34" i="95"/>
  <c r="Z34" i="95"/>
  <c r="U32" i="95"/>
  <c r="T32" i="95"/>
  <c r="I32" i="95"/>
  <c r="H32" i="95"/>
  <c r="AA35" i="61"/>
  <c r="T35" i="61"/>
  <c r="M35" i="61"/>
  <c r="F34" i="95"/>
  <c r="X35" i="61"/>
  <c r="P141" i="41"/>
  <c r="O141" i="41"/>
  <c r="P45" i="41"/>
  <c r="R34" i="95"/>
  <c r="U33" i="61"/>
  <c r="U35" i="61" s="1"/>
  <c r="AC33" i="61" l="1"/>
  <c r="AD33" i="61"/>
  <c r="P33" i="61"/>
  <c r="O33" i="61"/>
  <c r="H33" i="61"/>
  <c r="V35" i="61"/>
  <c r="W35" i="61"/>
  <c r="I33" i="61"/>
  <c r="AD35" i="61"/>
  <c r="AC35" i="61"/>
  <c r="H35" i="61"/>
  <c r="I35" i="61"/>
  <c r="V33" i="61"/>
  <c r="W33" i="61"/>
  <c r="P35" i="61"/>
  <c r="O35" i="61"/>
  <c r="T34" i="95"/>
  <c r="U34" i="95"/>
  <c r="H34" i="95"/>
  <c r="I34" i="95"/>
  <c r="F59" i="42" l="1"/>
  <c r="K59" i="42" s="1"/>
  <c r="D55" i="42"/>
  <c r="D94" i="42" l="1"/>
  <c r="D95" i="42"/>
  <c r="J59" i="42"/>
  <c r="L10" i="95"/>
  <c r="F55" i="42"/>
  <c r="F95" i="42" s="1"/>
  <c r="K95" i="42" l="1"/>
  <c r="Q33" i="61" s="1"/>
  <c r="J95" i="42"/>
  <c r="O10" i="95"/>
  <c r="N10" i="95"/>
  <c r="F94" i="42"/>
  <c r="K55" i="42"/>
  <c r="Q11" i="61"/>
  <c r="L6" i="95"/>
  <c r="J55" i="42"/>
  <c r="O6" i="95" l="1"/>
  <c r="N6" i="95"/>
  <c r="K94" i="42"/>
  <c r="J94" i="42"/>
  <c r="Q7" i="61"/>
  <c r="L32" i="95"/>
  <c r="O32" i="95" l="1"/>
  <c r="N32" i="95"/>
  <c r="L34" i="95"/>
  <c r="Q35" i="61"/>
  <c r="N34" i="95" l="1"/>
  <c r="O34" i="9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<sst xmlns="http://schemas.openxmlformats.org/spreadsheetml/2006/main" count="5407" uniqueCount="434">
  <si>
    <t>Offering</t>
  </si>
  <si>
    <t>C-MB: Micro Business Space Heating Heat Pumps (Weather Sensitive)</t>
  </si>
  <si>
    <t>R-SM: Single Measure - Water Heater Heat Pump</t>
  </si>
  <si>
    <t>R-SM: Single Measure - 4A Heat Pump</t>
  </si>
  <si>
    <t>R-SM: Single Measure - 4B Heat Pump</t>
  </si>
  <si>
    <t>R-SM: Single Measure - 4C Heat Pump</t>
  </si>
  <si>
    <t>R-SM: Single Measure - 4D Heat Pump</t>
  </si>
  <si>
    <t>Number of Units</t>
  </si>
  <si>
    <t>Industrial Custom</t>
  </si>
  <si>
    <t>Commercial Custom</t>
  </si>
  <si>
    <t>Program</t>
  </si>
  <si>
    <t>Residential</t>
  </si>
  <si>
    <t>Income Qualified</t>
  </si>
  <si>
    <t>Commercial</t>
  </si>
  <si>
    <t>Industrial</t>
  </si>
  <si>
    <t>Large Volume</t>
  </si>
  <si>
    <t>Cost Type</t>
  </si>
  <si>
    <t>Residential Sector Admin</t>
  </si>
  <si>
    <t>Commercial Energy Innovation</t>
  </si>
  <si>
    <t>Commercial Sector Admin</t>
  </si>
  <si>
    <t>Commercial SEM</t>
  </si>
  <si>
    <t>Affordable Housing Multi-Residential</t>
  </si>
  <si>
    <t>Home Winterproofing</t>
  </si>
  <si>
    <t>Income Qualified Sector Admin</t>
  </si>
  <si>
    <t>Industrial Energy Innovation</t>
  </si>
  <si>
    <t>Industrial Sector Admin</t>
  </si>
  <si>
    <t>Industrial SEM</t>
  </si>
  <si>
    <t>Large Volume Direct Access</t>
  </si>
  <si>
    <t>Large Volume Sector Admin</t>
  </si>
  <si>
    <t>Portfolio - Admin</t>
  </si>
  <si>
    <t>Portfolio Administration</t>
  </si>
  <si>
    <t>Net Benefits</t>
  </si>
  <si>
    <t>System Maintenance &amp; Improvements</t>
  </si>
  <si>
    <t>Portfolio - Eval &amp; Reg</t>
  </si>
  <si>
    <t>EM&amp;V</t>
  </si>
  <si>
    <t>Process Evaluation</t>
  </si>
  <si>
    <t>Regulatory &amp; Stakeholdering</t>
  </si>
  <si>
    <t>Portfolio - Research</t>
  </si>
  <si>
    <t>Research and Market Data</t>
  </si>
  <si>
    <t>Metric</t>
  </si>
  <si>
    <t>Year</t>
  </si>
  <si>
    <t>Measure Grouping</t>
  </si>
  <si>
    <t>Energy Load</t>
  </si>
  <si>
    <t>Freeridership Rate</t>
  </si>
  <si>
    <t>Spillover Rate</t>
  </si>
  <si>
    <t>Adjustment Factor</t>
  </si>
  <si>
    <t>Full EUL</t>
  </si>
  <si>
    <t>CI Large % (Only CI Applicable)</t>
  </si>
  <si>
    <t>Incremental Costs ($/unit)</t>
  </si>
  <si>
    <t>NEB Adder</t>
  </si>
  <si>
    <t>Market Segment</t>
  </si>
  <si>
    <t>Measure Total Incentive Cost</t>
  </si>
  <si>
    <t>Measure Total Delivery Cost</t>
  </si>
  <si>
    <t>Measure Total Incentive Cost (Inflation Adj)</t>
  </si>
  <si>
    <t>Measure Total Delivery Cost (Inflation Adj)</t>
  </si>
  <si>
    <t>Gross Annual (First Year) Gas Savings (m3)</t>
  </si>
  <si>
    <t>Net Annual (First Year) Gas Savings (m3)</t>
  </si>
  <si>
    <t>Gross Annual Electricity Savings (kWh)</t>
  </si>
  <si>
    <t>Net Annual Electricity Savings (kWh)</t>
  </si>
  <si>
    <t>Gross Annual Water Savings (m3)</t>
  </si>
  <si>
    <t>Net Annual Water Savings (m3)</t>
  </si>
  <si>
    <t>Gross Annual Electricity Demand Savings on Summer Peak (kW)</t>
  </si>
  <si>
    <t>Net Annual Electricity Demand Savings On Summer Peak (kW)</t>
  </si>
  <si>
    <t>Gross Participant Equipment Costs</t>
  </si>
  <si>
    <t>Net Participant Equipment Costs</t>
  </si>
  <si>
    <t>Large Net Savings (Commercial Only)</t>
  </si>
  <si>
    <t>Avoided gas vlookup</t>
  </si>
  <si>
    <t>Measure TRC-Plus Gas Benefits</t>
  </si>
  <si>
    <t>Measure TRC-Plus Water Benefits</t>
  </si>
  <si>
    <t>Measure TRC-Plus Electricity Energy Benefits</t>
  </si>
  <si>
    <t>Measure TRC-Plus Electricity Peak Summer Demand Benefits</t>
  </si>
  <si>
    <t>Measure TRC Carbon Benefits</t>
  </si>
  <si>
    <t>Measure TRC-Plus Gas Costs</t>
  </si>
  <si>
    <t>Measure TRC-Plus Water Costs</t>
  </si>
  <si>
    <t>Measure TRC-Plus Electricity Energy Costs</t>
  </si>
  <si>
    <t>Measure TRC-Plus Electricity Peak Summer Demand Costs</t>
  </si>
  <si>
    <t>Measure TRC-Plus Electricity Peak Winter Demand Costs</t>
  </si>
  <si>
    <t>Measure TRC Carbon Costs</t>
  </si>
  <si>
    <t>Measure TRC-Plus Benefits</t>
  </si>
  <si>
    <t>Measure TRC-Plus Costs</t>
  </si>
  <si>
    <t>Net Measure TRC-plus</t>
  </si>
  <si>
    <t>Measure TRC-Plus Ratio</t>
  </si>
  <si>
    <t>No</t>
  </si>
  <si>
    <t>C-DI: Adaptive Thermostat</t>
  </si>
  <si>
    <t>C-DI: Air Curtain</t>
  </si>
  <si>
    <t>C-DI: Demand Control Kitchen Ventilation (DCKV)</t>
  </si>
  <si>
    <t>C-DI: Dock Door Seals</t>
  </si>
  <si>
    <t>C-MB: Micro Business Other Measures (Weather Sensitive)</t>
  </si>
  <si>
    <t>C-MS: Combi-Oven</t>
  </si>
  <si>
    <t>C-MS: Conveyor Ovens</t>
  </si>
  <si>
    <t>C-MS: Dishwasher Stationary Single Tank Door</t>
  </si>
  <si>
    <t>C-MS: Energy Star Convection Oven</t>
  </si>
  <si>
    <t>C-MS: Energy Star Fryer</t>
  </si>
  <si>
    <t>C-MS: Energy Star Steam Cooker</t>
  </si>
  <si>
    <t>C-MS: Under Fired Broilers</t>
  </si>
  <si>
    <t>C-PR: Air Curtain</t>
  </si>
  <si>
    <t>C-PR: Demand Control Kitchen Ventilation (DCKV)</t>
  </si>
  <si>
    <t>C-PR: Demand Control Ventilation (DCV)</t>
  </si>
  <si>
    <t>C-PR: Destratification Fan</t>
  </si>
  <si>
    <t>C-PR: Dock Door Seals</t>
  </si>
  <si>
    <t>C-PR: ERV</t>
  </si>
  <si>
    <t>C-PR: HRV</t>
  </si>
  <si>
    <t>C-PR: Make-Up Air (MUA) Unit</t>
  </si>
  <si>
    <t>C-PR: Ozone Laundry</t>
  </si>
  <si>
    <t>I-CT: Agriculture/GH Custom Measures (Weather Sensitive)</t>
  </si>
  <si>
    <t>I-CT: Other Industrial Custom Measures (Weather Sensitive)</t>
  </si>
  <si>
    <t>IQ-HWP: Reflective Panels</t>
  </si>
  <si>
    <t>IQ-HWP: TAPS</t>
  </si>
  <si>
    <t>IQ-HWP: Whole Home Weatherization Custom</t>
  </si>
  <si>
    <t>IQ-MR: Custom</t>
  </si>
  <si>
    <t>IQ-MR: DI - Reflective Panels</t>
  </si>
  <si>
    <t>IQ-MR: Energy Manager with Audit</t>
  </si>
  <si>
    <t>IQ-MR: Fuel Switching  (custom)</t>
  </si>
  <si>
    <t>IQ-MR: Pres - Condensing Storage Water Heater-LI</t>
  </si>
  <si>
    <t>IQ-MR: Pres - Condensing Tankless Water Heater-LI</t>
  </si>
  <si>
    <t>IQ-MR: Pres - HRV-LI</t>
  </si>
  <si>
    <t>IQ-MR: Pres - MUA-LI</t>
  </si>
  <si>
    <t>IQ-MR: Stand-Alone Audit</t>
  </si>
  <si>
    <t>LV-CT: Custom</t>
  </si>
  <si>
    <t>R-EEO: Residential Behavioural</t>
  </si>
  <si>
    <t>R-HER: Multi-Measure Custom</t>
  </si>
  <si>
    <t>R-MDI: Moderate Income DI Attic Insulation &amp; Air Sealing</t>
  </si>
  <si>
    <t>R-MDI: Moderate Income DI Smart Thermostat</t>
  </si>
  <si>
    <t>R-SH: Smart Thermostat - Contractor Instant</t>
  </si>
  <si>
    <t>R-SH: Smart Thermostat - Contractor Post Purchase</t>
  </si>
  <si>
    <t>R-SH: Smart Thermostat - Post Purchase</t>
  </si>
  <si>
    <t>Incentives</t>
  </si>
  <si>
    <t>Promo</t>
  </si>
  <si>
    <t>Delivery</t>
  </si>
  <si>
    <t>Admin</t>
  </si>
  <si>
    <t>Single Measure</t>
  </si>
  <si>
    <t>Total</t>
  </si>
  <si>
    <t>Mappings</t>
  </si>
  <si>
    <t>Net Annual Gas Savings (m3)</t>
  </si>
  <si>
    <t>Budget ($)</t>
  </si>
  <si>
    <t>Residential Program</t>
  </si>
  <si>
    <t>Program Level Costs</t>
  </si>
  <si>
    <t>Income Qualified Program</t>
  </si>
  <si>
    <t>Commercial Program</t>
  </si>
  <si>
    <t>Industrial Program</t>
  </si>
  <si>
    <t>Large Volume Program</t>
  </si>
  <si>
    <t>Administration Costs</t>
  </si>
  <si>
    <t>Evaluation and Regulatory Costs</t>
  </si>
  <si>
    <t>Portfolio</t>
  </si>
  <si>
    <t>Portfolio Subtotal</t>
  </si>
  <si>
    <t>$/m3</t>
  </si>
  <si>
    <t>% Results Adjustment</t>
  </si>
  <si>
    <t>Number of Projects/Units</t>
  </si>
  <si>
    <t xml:space="preserve">Electric Annual Gross Savings (kWh) </t>
  </si>
  <si>
    <t xml:space="preserve">Electric Annual Net Savings (kWh) </t>
  </si>
  <si>
    <t xml:space="preserve">Electric Demand Annual Gross Savings at Summer Peak (kW) </t>
  </si>
  <si>
    <t xml:space="preserve">Electric Demand Annual Net Savings at Summer Peak (kW) </t>
  </si>
  <si>
    <t xml:space="preserve">Water Annual Gross Savings (m3) </t>
  </si>
  <si>
    <t xml:space="preserve">Water Annual Net Savings (m3) </t>
  </si>
  <si>
    <t>Budget %  Adjustment</t>
  </si>
  <si>
    <t>Program Costs</t>
  </si>
  <si>
    <t xml:space="preserve">Promo/Delivery Costs </t>
  </si>
  <si>
    <t>Program Costs (w/o Incentives)</t>
  </si>
  <si>
    <t>Total Cost</t>
  </si>
  <si>
    <t>Whole Home</t>
  </si>
  <si>
    <t>Smart Home</t>
  </si>
  <si>
    <t>Moderate Income Direct Install</t>
  </si>
  <si>
    <t>Energy Education &amp; Outreach</t>
  </si>
  <si>
    <t>Com/Ind Prescriptive Downstream</t>
  </si>
  <si>
    <t>Com/Ind Prescriptive Direct Install</t>
  </si>
  <si>
    <t>Com/Ind Prescriptive Upstream</t>
  </si>
  <si>
    <t>Com Existing Building Commissioning</t>
  </si>
  <si>
    <t>Commercial Microbusiness</t>
  </si>
  <si>
    <t>Commercial Strategic Energy Management</t>
  </si>
  <si>
    <t>Industrial Prescriptive Downstream</t>
  </si>
  <si>
    <t>Industrial Direct Install</t>
  </si>
  <si>
    <t>Industrial Strategic Energy Management</t>
  </si>
  <si>
    <t>Affordable Housing Heat Pump</t>
  </si>
  <si>
    <t>Income Qualified Energy Manager</t>
  </si>
  <si>
    <t>Building Beyond Code Sector Admin</t>
  </si>
  <si>
    <t>Commercial Pay for Performance</t>
  </si>
  <si>
    <t>Energy Performance Sector Admin</t>
  </si>
  <si>
    <t>Municipal Engagement</t>
  </si>
  <si>
    <t>Market Data</t>
  </si>
  <si>
    <t>TRC Costs</t>
  </si>
  <si>
    <t>Avoided Gas Costs</t>
  </si>
  <si>
    <t>Avoided Water Costs</t>
  </si>
  <si>
    <t>Avoided Electricity kWh Costs</t>
  </si>
  <si>
    <t>Avoided Carbon Costs</t>
  </si>
  <si>
    <t>Net Participant Cost</t>
  </si>
  <si>
    <t>Added Energy Costs</t>
  </si>
  <si>
    <t>Total TRC Costs</t>
  </si>
  <si>
    <t>Portfolio Costs</t>
  </si>
  <si>
    <t>Avoided Electricity kW Costs</t>
  </si>
  <si>
    <t>PAC Benefits</t>
  </si>
  <si>
    <t>PAC Costs</t>
  </si>
  <si>
    <t>PAC Ratio</t>
  </si>
  <si>
    <t>Total PAC Benefits</t>
  </si>
  <si>
    <t>Incentive Costs</t>
  </si>
  <si>
    <t>Total PAC Costs</t>
  </si>
  <si>
    <t xml:space="preserve">Net Benefits </t>
  </si>
  <si>
    <t>Net Gas Savings (m3)</t>
  </si>
  <si>
    <t>Incentives - Measure level</t>
  </si>
  <si>
    <t>Incentives - Offering level</t>
  </si>
  <si>
    <t>Aggregated</t>
  </si>
  <si>
    <t>Large</t>
  </si>
  <si>
    <t>Small</t>
  </si>
  <si>
    <t>Large %</t>
  </si>
  <si>
    <t>Small %</t>
  </si>
  <si>
    <t>Metric Weighting</t>
  </si>
  <si>
    <t>100% Target</t>
  </si>
  <si>
    <t>Single Family Net Annual Gas Savings (m3)</t>
  </si>
  <si>
    <t>Multi-Residential Net Annual Gas Savings (m3)</t>
  </si>
  <si>
    <t>Large Customer Net Annual Gas Savings (m3)</t>
  </si>
  <si>
    <t>Small Customer Net Annual Gas Savings (m3)</t>
  </si>
  <si>
    <t>DSMI Allocation</t>
  </si>
  <si>
    <t>TRC-Plus Ratio</t>
  </si>
  <si>
    <t>Offering(s)</t>
  </si>
  <si>
    <r>
      <t xml:space="preserve">Lower Band (70%) </t>
    </r>
    <r>
      <rPr>
        <b/>
        <vertAlign val="superscript"/>
        <sz val="10"/>
        <rFont val="Arial"/>
        <family val="2"/>
      </rPr>
      <t>1</t>
    </r>
  </si>
  <si>
    <r>
      <t xml:space="preserve">Upper Band (130%) </t>
    </r>
    <r>
      <rPr>
        <b/>
        <vertAlign val="superscript"/>
        <sz val="10"/>
        <rFont val="Arial"/>
        <family val="2"/>
      </rPr>
      <t>1</t>
    </r>
  </si>
  <si>
    <t>Residential Scorecard</t>
  </si>
  <si>
    <t>Whole Home
Smart Home
Single Measure
Moderate Income Direct Install
Energy Education &amp; Outreach</t>
  </si>
  <si>
    <r>
      <t>Net Annual Gas Savings (m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)</t>
    </r>
  </si>
  <si>
    <t>Income Qualified Scorecard</t>
  </si>
  <si>
    <r>
      <t>Single Family Net Annual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</si>
  <si>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t>Multi-Residential Net Annual Gas Savings (m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)</t>
    </r>
  </si>
  <si>
    <t>Commercial Scorecard</t>
  </si>
  <si>
    <t>Commercial Custom
Com/Ind Prescriptive Downstream
Com/Ind Prescriptive Upstream
Com/Ind Prescriptive Direct Install
Commercial Existing Building Commissioning Commercial Microbusiness</t>
  </si>
  <si>
    <r>
      <t>Large Customer Net Annual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) </t>
    </r>
    <r>
      <rPr>
        <vertAlign val="superscript"/>
        <sz val="10"/>
        <color theme="1"/>
        <rFont val="Arial"/>
        <family val="2"/>
      </rPr>
      <t>2</t>
    </r>
  </si>
  <si>
    <r>
      <t>Small Customer Net Annual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) </t>
    </r>
    <r>
      <rPr>
        <vertAlign val="superscript"/>
        <sz val="10"/>
        <color theme="1"/>
        <rFont val="Arial"/>
        <family val="2"/>
      </rPr>
      <t>2</t>
    </r>
  </si>
  <si>
    <t>Industrial Scorecard</t>
  </si>
  <si>
    <r>
      <rPr>
        <u/>
        <sz val="10"/>
        <color theme="1"/>
        <rFont val="Arial"/>
        <family val="2"/>
      </rPr>
      <t>Notes:</t>
    </r>
    <r>
      <rPr>
        <vertAlign val="superscript"/>
        <sz val="10"/>
        <color theme="1"/>
        <rFont val="Arial"/>
        <family val="2"/>
      </rPr>
      <t xml:space="preserve">
1</t>
    </r>
    <r>
      <rPr>
        <sz val="10"/>
        <color theme="1"/>
        <rFont val="Arial"/>
        <family val="2"/>
      </rPr>
      <t xml:space="preserve"> When the calculation of the Upper and Lower Bands of the 100% targets result in non-integer amounts, the Scorecard Incentive will be calculated based on these precise thresholds.</t>
    </r>
  </si>
  <si>
    <t>Large Volume Scorecard</t>
  </si>
  <si>
    <t>DSM Budget Category</t>
  </si>
  <si>
    <t>Program Subtotal</t>
  </si>
  <si>
    <t>Research Costs</t>
  </si>
  <si>
    <t>Promotion Costs</t>
  </si>
  <si>
    <t>Delivery Costs</t>
  </si>
  <si>
    <t>Admin Costs</t>
  </si>
  <si>
    <t>MAPPING</t>
  </si>
  <si>
    <t xml:space="preserve">- </t>
  </si>
  <si>
    <t>MAPPING 2</t>
  </si>
  <si>
    <t>MAPPING 3</t>
  </si>
  <si>
    <r>
      <t>TRC-Plus Benefits</t>
    </r>
    <r>
      <rPr>
        <b/>
        <vertAlign val="superscript"/>
        <sz val="10"/>
        <color theme="1"/>
        <rFont val="Arial"/>
        <family val="2"/>
      </rPr>
      <t>1</t>
    </r>
  </si>
  <si>
    <r>
      <t>TRC Costs</t>
    </r>
    <r>
      <rPr>
        <b/>
        <vertAlign val="superscript"/>
        <sz val="10"/>
        <color theme="1"/>
        <rFont val="Arial"/>
        <family val="2"/>
      </rPr>
      <t>1</t>
    </r>
  </si>
  <si>
    <r>
      <t>Net Benefits</t>
    </r>
    <r>
      <rPr>
        <b/>
        <vertAlign val="superscript"/>
        <sz val="10"/>
        <color theme="1"/>
        <rFont val="Arial"/>
        <family val="2"/>
      </rPr>
      <t>2</t>
    </r>
  </si>
  <si>
    <t>2027 TRC-Plus Forecast</t>
  </si>
  <si>
    <t>2028 TRC-Plus Forecast</t>
  </si>
  <si>
    <t>2029 TRC-Plus Forecast</t>
  </si>
  <si>
    <t>2030 TRC-Plus Forecast</t>
  </si>
  <si>
    <r>
      <t>Large Volume Direct Access</t>
    </r>
    <r>
      <rPr>
        <i/>
        <vertAlign val="superscript"/>
        <sz val="10"/>
        <color theme="1"/>
        <rFont val="Arial"/>
        <family val="2"/>
      </rPr>
      <t>3</t>
    </r>
  </si>
  <si>
    <r>
      <rPr>
        <u/>
        <sz val="10"/>
        <color theme="1"/>
        <rFont val="Arial"/>
        <family val="2"/>
      </rPr>
      <t>Notes:</t>
    </r>
    <r>
      <rPr>
        <vertAlign val="superscript"/>
        <sz val="10"/>
        <color theme="1"/>
        <rFont val="Arial"/>
        <family val="2"/>
      </rPr>
      <t xml:space="preserve">
1</t>
    </r>
    <r>
      <rPr>
        <sz val="10"/>
        <color theme="1"/>
        <rFont val="Arial"/>
        <family val="2"/>
      </rPr>
      <t xml:space="preserve"> Forecast TRC-Plus Benefits and TRC Costs are calculated using avoided costs in Exhibit E, Tab 2, Schedule 1, Attachment 3. 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</si>
  <si>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Net Benefits are the difference between the TRC-Plus Benefits and the TRC Costs. </t>
    </r>
  </si>
  <si>
    <r>
      <t>Net Annual Gas Savings (m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)</t>
    </r>
  </si>
  <si>
    <t>Net Cumulative Gas Savings (CCM)</t>
  </si>
  <si>
    <t>$/CCM</t>
  </si>
  <si>
    <t>-</t>
  </si>
  <si>
    <r>
      <t>Large Volume Direct Access</t>
    </r>
    <r>
      <rPr>
        <i/>
        <vertAlign val="superscript"/>
        <sz val="10"/>
        <color theme="1"/>
        <rFont val="Arial"/>
        <family val="2"/>
      </rPr>
      <t>1</t>
    </r>
  </si>
  <si>
    <t>Energy Performance</t>
  </si>
  <si>
    <t>Building Beyond Code</t>
  </si>
  <si>
    <t>Commercial/Industrial</t>
  </si>
  <si>
    <t>Enabling Incentive</t>
  </si>
  <si>
    <t>Number of Participants (P4P)</t>
  </si>
  <si>
    <t>Headcount</t>
  </si>
  <si>
    <t>C-MS: Griddles</t>
  </si>
  <si>
    <t>These inflation and discount rates can't be changed in this sheet.</t>
  </si>
  <si>
    <t>Market Segment for Forecasting</t>
  </si>
  <si>
    <t>Weighted % Subject to Carbon Charge</t>
  </si>
  <si>
    <t>Baseload</t>
  </si>
  <si>
    <t>Weather Sensitive</t>
  </si>
  <si>
    <t>kWh savings</t>
  </si>
  <si>
    <t>kWh increases</t>
  </si>
  <si>
    <t>kW savings</t>
  </si>
  <si>
    <t>kW increases</t>
  </si>
  <si>
    <t>kW-yr savings</t>
  </si>
  <si>
    <t>kW-yr increases</t>
  </si>
  <si>
    <t>Rate</t>
  </si>
  <si>
    <t>NPV</t>
  </si>
  <si>
    <t>Summer Peak</t>
  </si>
  <si>
    <t>Heat Pump</t>
  </si>
  <si>
    <t>R-SM: Single Measure - Attic LTO</t>
  </si>
  <si>
    <r>
      <t xml:space="preserve">Total Portfolio </t>
    </r>
    <r>
      <rPr>
        <b/>
        <vertAlign val="superscript"/>
        <sz val="10"/>
        <color theme="1"/>
        <rFont val="Arial"/>
        <family val="2"/>
      </rPr>
      <t>4</t>
    </r>
  </si>
  <si>
    <t>C-DI: Hybrid RTUs (Space Heating)</t>
  </si>
  <si>
    <t>IQ-HWP: IQ Smart Thermostats Retrofit</t>
  </si>
  <si>
    <t>Winter Peak</t>
  </si>
  <si>
    <t>Measure TRC-Plus Electricity Peak Winter Demand Benefits</t>
  </si>
  <si>
    <t>Gross Annual Electricity Demand Savings on Winter Peak (kW)</t>
  </si>
  <si>
    <t>Net Annual Electricity Demand Savings Winter Peak (kW)</t>
  </si>
  <si>
    <t>2027</t>
  </si>
  <si>
    <t>2027 PAC</t>
  </si>
  <si>
    <t>C-MS: Energy Star Single Rack Oven</t>
  </si>
  <si>
    <t>C-MS: Energy Star Double Rack Oven</t>
  </si>
  <si>
    <t>C-CT: MUSH Large Custom Measures (Weather Sensitive)</t>
  </si>
  <si>
    <t>C-CT: MUSH Large Space Heating Heat Pump</t>
  </si>
  <si>
    <t>C-CT: MUSH Small Custom Measures (Weather Sensitive)</t>
  </si>
  <si>
    <t>C-CT: MUSH Small Space Heating Heat Pump</t>
  </si>
  <si>
    <t>C-CT: MURB Large Custom Measures (Weather Sensitive)</t>
  </si>
  <si>
    <t>C-CT: MURB Large Space Heating Heat Pump</t>
  </si>
  <si>
    <t>C-CT: MURB Small Custom Measures (Weather Sensitive)</t>
  </si>
  <si>
    <t>C-CT: MURB Small Space Heating Heat Pump</t>
  </si>
  <si>
    <t>C-CT: Other Large Comm Custom Measures (Weather Sensitive)</t>
  </si>
  <si>
    <t>C-CT: Other Large Space Heating Heat Pump</t>
  </si>
  <si>
    <t>C-CT: Other Small Comm Custom Measures (Weather Sensitive)</t>
  </si>
  <si>
    <t>C-CT: Other Small Space Heating Heat Pump</t>
  </si>
  <si>
    <t xml:space="preserve">R-SM: Single Measure - Attic </t>
  </si>
  <si>
    <t>C-PR: Condensing Unit Heater</t>
  </si>
  <si>
    <t>C-PR: Condensing Tankless Water Heater</t>
  </si>
  <si>
    <t>2028 PAC</t>
  </si>
  <si>
    <t>2028</t>
  </si>
  <si>
    <t>2029</t>
  </si>
  <si>
    <t>2030</t>
  </si>
  <si>
    <t>2030 PAC</t>
  </si>
  <si>
    <t>2029 PAC</t>
  </si>
  <si>
    <t>2027 PAC Forecast</t>
  </si>
  <si>
    <r>
      <t>PAC Benefits</t>
    </r>
    <r>
      <rPr>
        <b/>
        <vertAlign val="superscript"/>
        <sz val="10"/>
        <color theme="1"/>
        <rFont val="Arial"/>
        <family val="2"/>
      </rPr>
      <t>1</t>
    </r>
  </si>
  <si>
    <r>
      <t>PAC Costs</t>
    </r>
    <r>
      <rPr>
        <b/>
        <vertAlign val="superscript"/>
        <sz val="10"/>
        <color theme="1"/>
        <rFont val="Arial"/>
        <family val="2"/>
      </rPr>
      <t>1</t>
    </r>
  </si>
  <si>
    <r>
      <t xml:space="preserve">Residential Program </t>
    </r>
    <r>
      <rPr>
        <i/>
        <sz val="10"/>
        <color theme="1"/>
        <rFont val="Arial"/>
        <family val="2"/>
      </rPr>
      <t>(E-2)</t>
    </r>
  </si>
  <si>
    <r>
      <t xml:space="preserve">2027 DSM Budget Item
</t>
    </r>
    <r>
      <rPr>
        <i/>
        <sz val="10"/>
        <color theme="1"/>
        <rFont val="Arial"/>
        <family val="2"/>
      </rPr>
      <t>(Reference: Exhibit-Tab)</t>
    </r>
  </si>
  <si>
    <r>
      <t>Income Qualified Program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(E-3)</t>
    </r>
  </si>
  <si>
    <r>
      <t>Commercial Program</t>
    </r>
    <r>
      <rPr>
        <i/>
        <sz val="10"/>
        <color theme="1"/>
        <rFont val="Arial"/>
        <family val="2"/>
      </rPr>
      <t xml:space="preserve"> (E-4)</t>
    </r>
  </si>
  <si>
    <r>
      <t xml:space="preserve">Industrial Program </t>
    </r>
    <r>
      <rPr>
        <i/>
        <sz val="10"/>
        <color theme="1"/>
        <rFont val="Arial"/>
        <family val="2"/>
      </rPr>
      <t>(E-5)</t>
    </r>
  </si>
  <si>
    <r>
      <t xml:space="preserve">Large Volume Program </t>
    </r>
    <r>
      <rPr>
        <i/>
        <sz val="10"/>
        <color theme="1"/>
        <rFont val="Arial"/>
        <family val="2"/>
      </rPr>
      <t>(E-6)</t>
    </r>
  </si>
  <si>
    <r>
      <t xml:space="preserve">Portfolio Administration </t>
    </r>
    <r>
      <rPr>
        <i/>
        <sz val="10"/>
        <color theme="1"/>
        <rFont val="Arial"/>
        <family val="2"/>
      </rPr>
      <t>(D-4)</t>
    </r>
  </si>
  <si>
    <t>System Maintenance &amp; Improvements (D-5)</t>
  </si>
  <si>
    <t>Regulatory &amp; Stakeholdering (D-6)</t>
  </si>
  <si>
    <r>
      <t xml:space="preserve">2028 DSM Budget Item
</t>
    </r>
    <r>
      <rPr>
        <i/>
        <sz val="10"/>
        <color theme="1"/>
        <rFont val="Arial"/>
        <family val="2"/>
      </rPr>
      <t>(Reference: Exhibit-Tab)</t>
    </r>
  </si>
  <si>
    <r>
      <t xml:space="preserve">2029 DSM Budget Item
</t>
    </r>
    <r>
      <rPr>
        <i/>
        <sz val="10"/>
        <color theme="1"/>
        <rFont val="Arial"/>
        <family val="2"/>
      </rPr>
      <t>(Reference: Exhibit-Tab)</t>
    </r>
  </si>
  <si>
    <r>
      <t xml:space="preserve">2030 DSM Budget Item
</t>
    </r>
    <r>
      <rPr>
        <i/>
        <sz val="10"/>
        <color theme="1"/>
        <rFont val="Arial"/>
        <family val="2"/>
      </rPr>
      <t>(Reference: Exhibit-Tab)</t>
    </r>
  </si>
  <si>
    <r>
      <t>Net Annual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</si>
  <si>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t>21%</t>
    </r>
    <r>
      <rPr>
        <vertAlign val="superscript"/>
        <sz val="10"/>
        <color rgb="FF000000"/>
        <rFont val="Arial"/>
        <family val="2"/>
      </rPr>
      <t>2</t>
    </r>
  </si>
  <si>
    <r>
      <t>4%</t>
    </r>
    <r>
      <rPr>
        <vertAlign val="superscript"/>
        <sz val="10"/>
        <color rgb="FF000000"/>
        <rFont val="Arial"/>
        <family val="2"/>
      </rPr>
      <t>2</t>
    </r>
  </si>
  <si>
    <r>
      <t>20.16%</t>
    </r>
    <r>
      <rPr>
        <vertAlign val="superscript"/>
        <sz val="10"/>
        <color rgb="FF000000"/>
        <rFont val="Arial"/>
        <family val="2"/>
      </rPr>
      <t>2</t>
    </r>
  </si>
  <si>
    <r>
      <t>3.84%</t>
    </r>
    <r>
      <rPr>
        <vertAlign val="superscript"/>
        <sz val="10"/>
        <color rgb="FF000000"/>
        <rFont val="Arial"/>
        <family val="2"/>
      </rPr>
      <t>2</t>
    </r>
  </si>
  <si>
    <r>
      <t>3 Large commercial customers have a three-year average annual consumption greater than/or equal to 100,000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/yr. Small commercial customers have a three-year average annual consumption below 100,000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/yr.</t>
    </r>
  </si>
  <si>
    <t>Municipal Engagement (D-7)</t>
  </si>
  <si>
    <r>
      <t xml:space="preserve">Research and Market Data </t>
    </r>
    <r>
      <rPr>
        <i/>
        <sz val="10"/>
        <color theme="1"/>
        <rFont val="Arial"/>
        <family val="2"/>
      </rPr>
      <t>(D-8)</t>
    </r>
  </si>
  <si>
    <r>
      <t xml:space="preserve">EM&amp;V </t>
    </r>
    <r>
      <rPr>
        <i/>
        <sz val="10"/>
        <color theme="1"/>
        <rFont val="Arial"/>
        <family val="2"/>
      </rPr>
      <t>(D-9)</t>
    </r>
  </si>
  <si>
    <t>Process Evaluation (D-9)</t>
  </si>
  <si>
    <t>Residential Electric Heat Pumps</t>
  </si>
  <si>
    <t>2028 PAC Forecast</t>
  </si>
  <si>
    <t>2029 PAC Forecast</t>
  </si>
  <si>
    <t>2030 PAC Forecast</t>
  </si>
  <si>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The Large Volume Direct Access Offering has a total target for the 4-year term in 2030. For illustrative purposes, forecast values shown are yearly estimates and assume all eligible customers remain in the offering. </t>
    </r>
  </si>
  <si>
    <t>R-SH: Smart Thermostat - Post Purchase LTO</t>
  </si>
  <si>
    <t xml:space="preserve">R-SH: Smart Thermostat - Instant Rebate  </t>
  </si>
  <si>
    <t>R-SH: Smart Thermostat - Instant Rebate LTO</t>
  </si>
  <si>
    <t>Inflation:</t>
  </si>
  <si>
    <t>Exclude Adjustment Factor?</t>
  </si>
  <si>
    <t>NTG</t>
  </si>
  <si>
    <t>Budget Amount (Inflated)</t>
  </si>
  <si>
    <t>C-CT: Pay for Performance (DPC from 2023-2026 Plan)</t>
  </si>
  <si>
    <t>Measure PAC Ratio</t>
  </si>
  <si>
    <t>IQ-MR: EBCx</t>
  </si>
  <si>
    <t>C-EBCx: EBCx Measures (Weather Sensitive)</t>
  </si>
  <si>
    <t>C-EBCx: EBCx Measures (Baseload)</t>
  </si>
  <si>
    <t>C-CT: MUSH Large Custom Measures (Baseload)</t>
  </si>
  <si>
    <t>C-CT: MUSH Small Custom Measures (Baseload)</t>
  </si>
  <si>
    <t>C-CT: MURB Large Custom Measures (Baseload)</t>
  </si>
  <si>
    <t>C-CT: MURB Small Custom Measures (Baseload)</t>
  </si>
  <si>
    <t>C-CT: Other Large Comm Custom Measures (Baseload)</t>
  </si>
  <si>
    <t>C-CT: Other Small Comm Custom Measures (Baseload)</t>
  </si>
  <si>
    <t>C-MB: Micro Business Water Heating Heat Pump (Baseload)</t>
  </si>
  <si>
    <t>I-CT: Agriculture/GH Custom Measures (Baseload)</t>
  </si>
  <si>
    <t>I-CT: Other Industrial Custom Measures (Baseload)</t>
  </si>
  <si>
    <t>For Formula Lookup:</t>
  </si>
  <si>
    <r>
      <t>2027-2030 Net Annual Gas Savings (m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) </t>
    </r>
    <r>
      <rPr>
        <vertAlign val="superscript"/>
        <sz val="10"/>
        <color rgb="FF000000"/>
        <rFont val="Arial"/>
        <family val="2"/>
      </rPr>
      <t>3</t>
    </r>
  </si>
  <si>
    <r>
      <rPr>
        <b/>
        <vertAlign val="superscript"/>
        <sz val="10"/>
        <color theme="1"/>
        <rFont val="Arial"/>
        <family val="2"/>
      </rPr>
      <t xml:space="preserve">4 </t>
    </r>
    <r>
      <rPr>
        <sz val="10"/>
        <color theme="1"/>
        <rFont val="Arial"/>
        <family val="2"/>
      </rPr>
      <t>The Large Volume Direct Access scorecard achievement is assessed in the final year of the four-year term based on a target savings for the four year period. This target will be adjusted proportional to the volumes of customers that remain in the offering subject to any approved Opt-out provision.</t>
    </r>
  </si>
  <si>
    <r>
      <rPr>
        <b/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The calculation of the DSMI earned for the Heat Pump Offering is independent of the calculation of the DSMI for the balance of the Residential Program.</t>
    </r>
  </si>
  <si>
    <r>
      <rPr>
        <u/>
        <sz val="10"/>
        <color theme="1"/>
        <rFont val="Arial"/>
        <family val="2"/>
      </rPr>
      <t>Note:</t>
    </r>
    <r>
      <rPr>
        <sz val="10"/>
        <color theme="1"/>
        <rFont val="Arial"/>
        <family val="2"/>
      </rPr>
      <t xml:space="preserve">
* Includes a 2% annual proxy inflation factor on incentive budget components and a 1.72% annual proxy
inflation factor on non-incentive budget components (2% proxy inflation - 0.28% efficiency stretch factor).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</si>
  <si>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The Large Volume Direct Access Offering has a total target for the 4-year term in 2030. For illustrative purposes, forecast values shown are yearly estimates and assume all eligible customers remain in the offering. </t>
    </r>
  </si>
  <si>
    <t>TRC-Plus Benefits</t>
  </si>
  <si>
    <t>Total TRC-Plus Benefits</t>
  </si>
  <si>
    <t>Net PAC Benefits</t>
  </si>
  <si>
    <t>Net TRC-Plus Benefits</t>
  </si>
  <si>
    <t>2029 TRC-Plus</t>
  </si>
  <si>
    <t>2030 TRC-Plus</t>
  </si>
  <si>
    <t>2028 TRC-Plus</t>
  </si>
  <si>
    <t>2027 TRC-Plus</t>
  </si>
  <si>
    <t>TOTAL</t>
  </si>
  <si>
    <t>Gas Net Cumulative Savings (m3)</t>
  </si>
  <si>
    <t>Gas Gross Cumulative Savings (m3)</t>
  </si>
  <si>
    <t xml:space="preserve">Gas Gross Annual Savings (m3) </t>
  </si>
  <si>
    <t xml:space="preserve">Gas Net Annual Savings (m3) </t>
  </si>
  <si>
    <t>Measure PAC Benefits (Gas No-NEBs)</t>
  </si>
  <si>
    <t>Net Cumulative Gas Savings (m3)</t>
  </si>
  <si>
    <t>Gross Cumulative Gas Savings (m3)</t>
  </si>
  <si>
    <t>Forecasted Number of Units</t>
  </si>
  <si>
    <t>Incentive Cost / Unit</t>
  </si>
  <si>
    <t>Incentive Cost / m3</t>
  </si>
  <si>
    <t>Delivery Cost / Unit</t>
  </si>
  <si>
    <t>Annual Gas Savings Rate (m3/unit)</t>
  </si>
  <si>
    <t>Annual Electricity Energy Rate (kWh/unit)</t>
  </si>
  <si>
    <t>Peak Summer Savings (kW/unit)</t>
  </si>
  <si>
    <t>Peak Winter Savings (kW/unit)</t>
  </si>
  <si>
    <t>Annual Water Savings Rate (m3/unit)</t>
  </si>
  <si>
    <t>Table 1</t>
  </si>
  <si>
    <t>2027 Annual Scorecard Targets</t>
  </si>
  <si>
    <t>Table 2</t>
  </si>
  <si>
    <t>2028 Annual Scorecard Targets</t>
  </si>
  <si>
    <t>2029 Annual Scorecard Targets</t>
  </si>
  <si>
    <t>Table 3</t>
  </si>
  <si>
    <t>2030 Annual Scorecard Targets</t>
  </si>
  <si>
    <t>Table 4</t>
  </si>
  <si>
    <t>2027-2030 DSM Plan Budget ($000s)</t>
  </si>
  <si>
    <t>2027 DSM Plan Budget ($000s)</t>
  </si>
  <si>
    <t>2028 DSM Plan Budget ($000s)</t>
  </si>
  <si>
    <t>2029 DSM Plan Budget ($000s)</t>
  </si>
  <si>
    <t>Table 5</t>
  </si>
  <si>
    <t>2030 DSM Plan Budget ($000s)</t>
  </si>
  <si>
    <t>2027 TRC-Plus and Net Benefits ($000s)</t>
  </si>
  <si>
    <t>2028 TRC-Plus and Net Benefits ($000s)</t>
  </si>
  <si>
    <t>2029 TRC-Plus and Net Benefits ($000s)</t>
  </si>
  <si>
    <t>2030 TRC-Plus and Net Benefits ($000s)</t>
  </si>
  <si>
    <r>
      <t>2027 Spend Ratio ($/m</t>
    </r>
    <r>
      <rPr>
        <u/>
        <vertAlign val="superscript"/>
        <sz val="10"/>
        <color theme="1"/>
        <rFont val="Arial"/>
        <family val="2"/>
      </rPr>
      <t>3</t>
    </r>
    <r>
      <rPr>
        <u/>
        <sz val="10"/>
        <color theme="1"/>
        <rFont val="Arial"/>
        <family val="2"/>
      </rPr>
      <t>)</t>
    </r>
  </si>
  <si>
    <t>Table 6</t>
  </si>
  <si>
    <t>Table 7</t>
  </si>
  <si>
    <t>Table 8</t>
  </si>
  <si>
    <r>
      <t>2030 Spend Ratio ($/m</t>
    </r>
    <r>
      <rPr>
        <u/>
        <vertAlign val="superscript"/>
        <sz val="10"/>
        <color theme="1"/>
        <rFont val="Arial"/>
        <family val="2"/>
      </rPr>
      <t>3</t>
    </r>
    <r>
      <rPr>
        <u/>
        <sz val="10"/>
        <color theme="1"/>
        <rFont val="Arial"/>
        <family val="2"/>
      </rPr>
      <t>)</t>
    </r>
  </si>
  <si>
    <r>
      <t>2029 Spend Ratio ($/m</t>
    </r>
    <r>
      <rPr>
        <u/>
        <vertAlign val="superscript"/>
        <sz val="10"/>
        <color theme="1"/>
        <rFont val="Arial"/>
        <family val="2"/>
      </rPr>
      <t>3</t>
    </r>
    <r>
      <rPr>
        <u/>
        <sz val="10"/>
        <color theme="1"/>
        <rFont val="Arial"/>
        <family val="2"/>
      </rPr>
      <t>)</t>
    </r>
  </si>
  <si>
    <r>
      <t>2028 Spend Ratio ($/m</t>
    </r>
    <r>
      <rPr>
        <u/>
        <vertAlign val="superscript"/>
        <sz val="10"/>
        <color theme="1"/>
        <rFont val="Arial"/>
        <family val="2"/>
      </rPr>
      <t>3</t>
    </r>
    <r>
      <rPr>
        <u/>
        <sz val="10"/>
        <color theme="1"/>
        <rFont val="Arial"/>
        <family val="2"/>
      </rPr>
      <t>)</t>
    </r>
  </si>
  <si>
    <t>2027 Spend Ratio ($/Savings)</t>
  </si>
  <si>
    <t>2028 Spend Ratio ($/Savings)</t>
  </si>
  <si>
    <t>2029 Spend Ratio ($/Savings)</t>
  </si>
  <si>
    <t>2030 Spend Ratio ($/Savings)</t>
  </si>
  <si>
    <t>2027 PAC and Net Benefits ($000s)</t>
  </si>
  <si>
    <t>2028 PAC and Net Benefits ($000s)</t>
  </si>
  <si>
    <t>2029 PAC and Net Benefits ($000s)</t>
  </si>
  <si>
    <t>2030 PAC and Net Benefits ($000s)</t>
  </si>
  <si>
    <t>Gas Avoided Costs ($/m3) - Nominal $</t>
  </si>
  <si>
    <t>Avoided Carbon Costs ( $/m3)</t>
  </si>
  <si>
    <t>Water Avoided Costs ($/m3) - Nominal $</t>
  </si>
  <si>
    <t>Electricity Avoided Costs ($/KWh)
Nominal $</t>
  </si>
  <si>
    <t>Summer Peak - Electricity Avoided Costs ($/KW) - Nominal $</t>
  </si>
  <si>
    <t>Winter Peak Electricity Avoided Costs ($/KW) - Nominal $</t>
  </si>
  <si>
    <t>System Need</t>
  </si>
  <si>
    <t>2027 Avoided Costs</t>
  </si>
  <si>
    <t>Discount Rate (real)</t>
  </si>
  <si>
    <t>Inflation Factor</t>
  </si>
  <si>
    <t>Discount Rate (nominal)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</si>
</sst>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&quot;$&quot;#,##0"/>
    <numFmt numFmtId="167" formatCode="#,##0.000"/>
    <numFmt numFmtId="168" formatCode="0.0000"/>
    <numFmt numFmtId="169" formatCode="_(* #,##0_);_(* \(#,##0\);_(* &quot;-&quot;??_);_(@_)"/>
    <numFmt numFmtId="170" formatCode="0.0%"/>
    <numFmt numFmtId="171" formatCode="0.000"/>
    <numFmt numFmtId="172" formatCode="#,##0.0"/>
    <numFmt numFmtId="173" formatCode="&quot;$&quot;#,##0.00"/>
    <numFmt numFmtId="174" formatCode="_(&quot;$&quot;* #,##0_);_(&quot;$&quot;* \(#,##0\);_(&quot;$&quot;* &quot;-&quot;??_);_(@_)"/>
    <numFmt numFmtId="175" formatCode="#,##0.00000"/>
    <numFmt numFmtId="176" formatCode="&quot;$&quot;#,##0,"/>
    <numFmt numFmtId="177" formatCode="&quot;$&quot;#,##0,;\(&quot;$&quot;#,##0,\)"/>
    <numFmt numFmtId="178" formatCode="&quot;$&quot;#,##0,;\(&quot;$&quot;#,##0,\);&quot;-&quot;"/>
    <numFmt numFmtId="179" formatCode="#,##0.00;\(#,##0.00\);&quot;-&quot;"/>
    <numFmt numFmtId="180" formatCode="#,##0.0_);\(#,##0.0\)"/>
    <numFmt numFmtId="181" formatCode="#,##0.000_);\(#,##0.000\)"/>
    <numFmt numFmtId="182" formatCode="[$-409]d\-mmm\-yy;@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name val="MS Sans Serif"/>
      <family val="2"/>
    </font>
    <font>
      <u/>
      <sz val="11"/>
      <color theme="10"/>
      <name val="Calibri"/>
      <family val="2"/>
    </font>
    <font>
      <b/>
      <sz val="10"/>
      <name val="MS Sans Serif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color theme="1"/>
      <name val="Cambria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vertAlign val="superscript"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0"/>
      <name val="Arial"/>
      <family val="2"/>
    </font>
    <font>
      <u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sz val="11"/>
      <name val="Arial"/>
      <family val="2"/>
    </font>
    <font>
      <u/>
      <vertAlign val="superscript"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indexed="8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dashed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dashed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ashed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auto="1"/>
      </right>
      <top/>
      <bottom style="double">
        <color auto="1"/>
      </bottom>
      <diagonal/>
    </border>
    <border>
      <left style="dashed">
        <color auto="1"/>
      </left>
      <right style="thin">
        <color auto="1"/>
      </right>
      <top style="thin">
        <color indexed="64"/>
      </top>
      <bottom/>
      <diagonal/>
    </border>
    <border>
      <left style="dashed">
        <color auto="1"/>
      </left>
      <right/>
      <top style="thin">
        <color indexed="64"/>
      </top>
      <bottom/>
      <diagonal/>
    </border>
    <border>
      <left style="dashed">
        <color auto="1"/>
      </left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dashed">
        <color auto="1"/>
      </left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729">
    <xf numFmtId="0" fontId="0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4" fillId="0" borderId="0">
      <alignment vertical="top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6" applyNumberFormat="0" applyAlignment="0" applyProtection="0"/>
    <xf numFmtId="0" fontId="16" fillId="8" borderId="7" applyNumberFormat="0" applyAlignment="0" applyProtection="0"/>
    <xf numFmtId="0" fontId="17" fillId="8" borderId="6" applyNumberFormat="0" applyAlignment="0" applyProtection="0"/>
    <xf numFmtId="0" fontId="18" fillId="0" borderId="8" applyNumberFormat="0" applyFill="0" applyAlignment="0" applyProtection="0"/>
    <xf numFmtId="0" fontId="6" fillId="9" borderId="9" applyNumberFormat="0" applyAlignment="0" applyProtection="0"/>
    <xf numFmtId="0" fontId="19" fillId="0" borderId="0" applyNumberFormat="0" applyFill="0" applyBorder="0" applyAlignment="0" applyProtection="0"/>
    <xf numFmtId="0" fontId="1" fillId="10" borderId="10" applyNumberFormat="0" applyFont="0" applyAlignment="0" applyProtection="0"/>
    <xf numFmtId="0" fontId="20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2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6" fillId="53" borderId="12" applyNumberFormat="0" applyAlignment="0" applyProtection="0"/>
    <xf numFmtId="0" fontId="26" fillId="53" borderId="12" applyNumberFormat="0" applyAlignment="0" applyProtection="0"/>
    <xf numFmtId="0" fontId="27" fillId="54" borderId="13" applyNumberFormat="0" applyAlignment="0" applyProtection="0"/>
    <xf numFmtId="0" fontId="27" fillId="54" borderId="13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40" borderId="12" applyNumberFormat="0" applyAlignment="0" applyProtection="0"/>
    <xf numFmtId="0" fontId="33" fillId="40" borderId="12" applyNumberFormat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0" fontId="4" fillId="0" borderId="0">
      <alignment vertical="top"/>
    </xf>
    <xf numFmtId="0" fontId="1" fillId="0" borderId="0"/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0" fontId="2" fillId="56" borderId="18" applyNumberFormat="0" applyFont="0" applyAlignment="0" applyProtection="0"/>
    <xf numFmtId="0" fontId="2" fillId="56" borderId="18" applyNumberFormat="0" applyFont="0" applyAlignment="0" applyProtection="0"/>
    <xf numFmtId="0" fontId="36" fillId="53" borderId="19" applyNumberFormat="0" applyAlignment="0" applyProtection="0"/>
    <xf numFmtId="0" fontId="36" fillId="53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9" fontId="1" fillId="0" borderId="0" applyFont="0" applyFill="0" applyBorder="0" applyAlignment="0" applyProtection="0"/>
    <xf numFmtId="0" fontId="40" fillId="0" borderId="0"/>
    <xf numFmtId="0" fontId="2" fillId="0" borderId="0"/>
    <xf numFmtId="0" fontId="4" fillId="0" borderId="0">
      <alignment vertical="top"/>
    </xf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4" fillId="0" borderId="0">
      <alignment vertical="top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1" fillId="0" borderId="0"/>
    <xf numFmtId="0" fontId="41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1" fillId="0" borderId="0"/>
    <xf numFmtId="0" fontId="2" fillId="0" borderId="0"/>
    <xf numFmtId="0" fontId="4" fillId="0" borderId="0">
      <alignment vertical="top"/>
    </xf>
    <xf numFmtId="0" fontId="2" fillId="0" borderId="0"/>
    <xf numFmtId="0" fontId="1" fillId="0" borderId="0"/>
    <xf numFmtId="0" fontId="4" fillId="0" borderId="0">
      <alignment vertical="top"/>
    </xf>
    <xf numFmtId="0" fontId="2" fillId="0" borderId="0"/>
    <xf numFmtId="0" fontId="40" fillId="0" borderId="0"/>
    <xf numFmtId="0" fontId="2" fillId="0" borderId="0"/>
    <xf numFmtId="0" fontId="4" fillId="0" borderId="0">
      <alignment vertical="top"/>
    </xf>
    <xf numFmtId="0" fontId="1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56" borderId="23" applyNumberFormat="0" applyFont="0" applyAlignment="0" applyProtection="0"/>
    <xf numFmtId="0" fontId="2" fillId="56" borderId="23" applyNumberFormat="0" applyFont="0" applyAlignment="0" applyProtection="0"/>
    <xf numFmtId="0" fontId="2" fillId="56" borderId="23" applyNumberFormat="0" applyFont="0" applyAlignment="0" applyProtection="0"/>
    <xf numFmtId="0" fontId="2" fillId="56" borderId="23" applyNumberFormat="0" applyFont="0" applyAlignment="0" applyProtection="0"/>
    <xf numFmtId="0" fontId="2" fillId="56" borderId="23" applyNumberFormat="0" applyFont="0" applyAlignment="0" applyProtection="0"/>
    <xf numFmtId="0" fontId="2" fillId="56" borderId="23" applyNumberFormat="0" applyFont="0" applyAlignment="0" applyProtection="0"/>
    <xf numFmtId="0" fontId="2" fillId="56" borderId="23" applyNumberFormat="0" applyFont="0" applyAlignment="0" applyProtection="0"/>
    <xf numFmtId="0" fontId="2" fillId="56" borderId="23" applyNumberFormat="0" applyFont="0" applyAlignment="0" applyProtection="0"/>
    <xf numFmtId="0" fontId="2" fillId="56" borderId="23" applyNumberFormat="0" applyFont="0" applyAlignment="0" applyProtection="0"/>
    <xf numFmtId="0" fontId="2" fillId="56" borderId="23" applyNumberFormat="0" applyFont="0" applyAlignment="0" applyProtection="0"/>
    <xf numFmtId="0" fontId="2" fillId="56" borderId="23" applyNumberFormat="0" applyFont="0" applyAlignment="0" applyProtection="0"/>
    <xf numFmtId="0" fontId="2" fillId="56" borderId="23" applyNumberFormat="0" applyFont="0" applyAlignment="0" applyProtection="0"/>
    <xf numFmtId="0" fontId="2" fillId="56" borderId="23" applyNumberFormat="0" applyFont="0" applyAlignment="0" applyProtection="0"/>
    <xf numFmtId="0" fontId="2" fillId="56" borderId="23" applyNumberFormat="0" applyFont="0" applyAlignment="0" applyProtection="0"/>
    <xf numFmtId="0" fontId="2" fillId="56" borderId="23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5" fillId="2" borderId="22" applyNumberFormat="0" applyFont="0" applyFill="0" applyAlignment="0" applyProtection="0">
      <alignment horizontal="left"/>
    </xf>
    <xf numFmtId="0" fontId="5" fillId="2" borderId="22" applyNumberFormat="0" applyFont="0" applyFill="0" applyAlignment="0" applyProtection="0">
      <alignment horizontal="left"/>
    </xf>
    <xf numFmtId="0" fontId="41" fillId="0" borderId="0" applyNumberFormat="0" applyFont="0" applyFill="0" applyBorder="0" applyAlignment="0" applyProtection="0">
      <alignment horizontal="left"/>
    </xf>
    <xf numFmtId="15" fontId="41" fillId="0" borderId="0" applyFont="0" applyFill="0" applyBorder="0" applyAlignment="0" applyProtection="0"/>
    <xf numFmtId="4" fontId="41" fillId="0" borderId="0" applyFont="0" applyFill="0" applyBorder="0" applyAlignment="0" applyProtection="0"/>
    <xf numFmtId="0" fontId="43" fillId="0" borderId="25">
      <alignment horizontal="center"/>
    </xf>
    <xf numFmtId="3" fontId="41" fillId="0" borderId="0" applyFont="0" applyFill="0" applyBorder="0" applyAlignment="0" applyProtection="0"/>
    <xf numFmtId="0" fontId="41" fillId="57" borderId="0" applyNumberFormat="0" applyFont="0" applyBorder="0" applyAlignment="0" applyProtection="0"/>
    <xf numFmtId="0" fontId="44" fillId="0" borderId="0" applyNumberFormat="0" applyFill="0" applyBorder="0">
      <alignment vertical="top"/>
      <protection locked="0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6" fillId="53" borderId="28" applyNumberFormat="0" applyAlignment="0" applyProtection="0"/>
    <xf numFmtId="0" fontId="26" fillId="53" borderId="28" applyNumberForma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5" fillId="2" borderId="24" applyNumberFormat="0" applyFont="0" applyFill="0" applyAlignment="0" applyProtection="0">
      <alignment horizontal="left"/>
    </xf>
    <xf numFmtId="0" fontId="5" fillId="2" borderId="24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43" fillId="0" borderId="25">
      <alignment horizontal="center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6" fillId="53" borderId="28" applyNumberFormat="0" applyAlignment="0" applyProtection="0"/>
    <xf numFmtId="0" fontId="26" fillId="53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3" fillId="40" borderId="28" applyNumberFormat="0" applyAlignment="0" applyProtection="0"/>
    <xf numFmtId="0" fontId="2" fillId="0" borderId="0"/>
    <xf numFmtId="9" fontId="1" fillId="0" borderId="0" applyFont="0" applyFill="0" applyBorder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32" fillId="0" borderId="16" applyNumberFormat="0" applyFill="0" applyAlignment="0" applyProtection="0"/>
    <xf numFmtId="0" fontId="2" fillId="0" borderId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29" applyNumberFormat="0" applyAlignment="0" applyProtection="0"/>
    <xf numFmtId="9" fontId="1" fillId="0" borderId="0" applyFont="0" applyFill="0" applyBorder="0" applyAlignment="0" applyProtection="0"/>
    <xf numFmtId="0" fontId="26" fillId="53" borderId="28" applyNumberFormat="0" applyAlignment="0" applyProtection="0"/>
    <xf numFmtId="0" fontId="22" fillId="0" borderId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24" applyNumberFormat="0" applyFont="0" applyFill="0" applyAlignment="0" applyProtection="0">
      <alignment horizontal="left"/>
    </xf>
    <xf numFmtId="0" fontId="5" fillId="2" borderId="24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6" fillId="53" borderId="28" applyNumberFormat="0" applyAlignment="0" applyProtection="0"/>
    <xf numFmtId="0" fontId="26" fillId="53" borderId="28" applyNumberForma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5" fillId="2" borderId="31" applyNumberFormat="0" applyFont="0" applyFill="0" applyAlignment="0" applyProtection="0">
      <alignment horizontal="left"/>
    </xf>
    <xf numFmtId="0" fontId="5" fillId="2" borderId="31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6" fillId="53" borderId="28" applyNumberFormat="0" applyAlignment="0" applyProtection="0"/>
    <xf numFmtId="0" fontId="26" fillId="53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29" applyNumberFormat="0" applyAlignment="0" applyProtection="0"/>
    <xf numFmtId="0" fontId="26" fillId="53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31" applyNumberFormat="0" applyFont="0" applyFill="0" applyAlignment="0" applyProtection="0">
      <alignment horizontal="left"/>
    </xf>
    <xf numFmtId="0" fontId="5" fillId="2" borderId="31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45" fillId="0" borderId="0">
      <alignment vertical="top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6" fillId="53" borderId="28" applyNumberFormat="0" applyAlignment="0" applyProtection="0"/>
    <xf numFmtId="0" fontId="26" fillId="53" borderId="28" applyNumberForma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5" fillId="2" borderId="31" applyNumberFormat="0" applyFont="0" applyFill="0" applyAlignment="0" applyProtection="0">
      <alignment horizontal="left"/>
    </xf>
    <xf numFmtId="0" fontId="5" fillId="2" borderId="31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6" fillId="53" borderId="28" applyNumberFormat="0" applyAlignment="0" applyProtection="0"/>
    <xf numFmtId="0" fontId="26" fillId="53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26" fillId="53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5" fillId="2" borderId="31" applyNumberFormat="0" applyFont="0" applyFill="0" applyAlignment="0" applyProtection="0">
      <alignment horizontal="left"/>
    </xf>
    <xf numFmtId="0" fontId="5" fillId="2" borderId="31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6" fillId="53" borderId="28" applyNumberFormat="0" applyAlignment="0" applyProtection="0"/>
    <xf numFmtId="0" fontId="26" fillId="53" borderId="28" applyNumberForma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5" fillId="2" borderId="31" applyNumberFormat="0" applyFont="0" applyFill="0" applyAlignment="0" applyProtection="0">
      <alignment horizontal="left"/>
    </xf>
    <xf numFmtId="0" fontId="5" fillId="2" borderId="31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6" fillId="53" borderId="28" applyNumberFormat="0" applyAlignment="0" applyProtection="0"/>
    <xf numFmtId="0" fontId="26" fillId="53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26" fillId="53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5" fillId="2" borderId="31" applyNumberFormat="0" applyFont="0" applyFill="0" applyAlignment="0" applyProtection="0">
      <alignment horizontal="left"/>
    </xf>
    <xf numFmtId="0" fontId="5" fillId="2" borderId="31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43" fillId="0" borderId="21">
      <alignment horizontal="center"/>
    </xf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43" fillId="0" borderId="25">
      <alignment horizontal="center"/>
    </xf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38" fillId="0" borderId="35" applyNumberFormat="0" applyFill="0" applyAlignment="0" applyProtection="0"/>
    <xf numFmtId="0" fontId="38" fillId="0" borderId="35" applyNumberFormat="0" applyFill="0" applyAlignment="0" applyProtection="0"/>
    <xf numFmtId="0" fontId="36" fillId="53" borderId="34" applyNumberFormat="0" applyAlignment="0" applyProtection="0"/>
    <xf numFmtId="0" fontId="36" fillId="53" borderId="34" applyNumberForma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33" fillId="40" borderId="33" applyNumberFormat="0" applyAlignment="0" applyProtection="0"/>
    <xf numFmtId="0" fontId="33" fillId="40" borderId="33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6" fillId="53" borderId="33" applyNumberFormat="0" applyAlignment="0" applyProtection="0"/>
    <xf numFmtId="0" fontId="26" fillId="53" borderId="33" applyNumberFormat="0" applyAlignment="0" applyProtection="0"/>
    <xf numFmtId="0" fontId="40" fillId="0" borderId="0"/>
    <xf numFmtId="0" fontId="40" fillId="0" borderId="0"/>
    <xf numFmtId="0" fontId="46" fillId="0" borderId="0"/>
    <xf numFmtId="165" fontId="4" fillId="0" borderId="0" applyFont="0" applyFill="0" applyBorder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36" fillId="53" borderId="34" applyNumberFormat="0" applyAlignment="0" applyProtection="0"/>
    <xf numFmtId="0" fontId="33" fillId="40" borderId="33" applyNumberFormat="0" applyAlignment="0" applyProtection="0"/>
    <xf numFmtId="0" fontId="36" fillId="53" borderId="34" applyNumberFormat="0" applyAlignment="0" applyProtection="0"/>
    <xf numFmtId="0" fontId="38" fillId="0" borderId="35" applyNumberFormat="0" applyFill="0" applyAlignment="0" applyProtection="0"/>
    <xf numFmtId="0" fontId="26" fillId="53" borderId="28" applyNumberFormat="0" applyAlignment="0" applyProtection="0"/>
    <xf numFmtId="0" fontId="26" fillId="53" borderId="28" applyNumberFormat="0" applyAlignment="0" applyProtection="0"/>
    <xf numFmtId="0" fontId="33" fillId="40" borderId="38" applyNumberFormat="0" applyAlignment="0" applyProtection="0"/>
    <xf numFmtId="0" fontId="38" fillId="0" borderId="40" applyNumberFormat="0" applyFill="0" applyAlignment="0" applyProtection="0"/>
    <xf numFmtId="0" fontId="32" fillId="0" borderId="16" applyNumberFormat="0" applyFill="0" applyAlignment="0" applyProtection="0"/>
    <xf numFmtId="0" fontId="2" fillId="56" borderId="32" applyNumberFormat="0" applyFont="0" applyAlignment="0" applyProtection="0"/>
    <xf numFmtId="0" fontId="2" fillId="56" borderId="36" applyNumberFormat="0" applyFont="0" applyAlignment="0" applyProtection="0"/>
    <xf numFmtId="0" fontId="38" fillId="0" borderId="35" applyNumberFormat="0" applyFill="0" applyAlignment="0" applyProtection="0"/>
    <xf numFmtId="0" fontId="33" fillId="40" borderId="38" applyNumberFormat="0" applyAlignment="0" applyProtection="0"/>
    <xf numFmtId="0" fontId="33" fillId="40" borderId="28" applyNumberFormat="0" applyAlignment="0" applyProtection="0"/>
    <xf numFmtId="0" fontId="33" fillId="40" borderId="28" applyNumberFormat="0" applyAlignment="0" applyProtection="0"/>
    <xf numFmtId="0" fontId="38" fillId="0" borderId="35" applyNumberFormat="0" applyFill="0" applyAlignment="0" applyProtection="0"/>
    <xf numFmtId="0" fontId="38" fillId="0" borderId="35" applyNumberFormat="0" applyFill="0" applyAlignment="0" applyProtection="0"/>
    <xf numFmtId="0" fontId="38" fillId="0" borderId="40" applyNumberFormat="0" applyFill="0" applyAlignment="0" applyProtection="0"/>
    <xf numFmtId="0" fontId="2" fillId="56" borderId="36" applyNumberFormat="0" applyFont="0" applyAlignment="0" applyProtection="0"/>
    <xf numFmtId="0" fontId="26" fillId="53" borderId="33" applyNumberFormat="0" applyAlignment="0" applyProtection="0"/>
    <xf numFmtId="0" fontId="36" fillId="53" borderId="34" applyNumberFormat="0" applyAlignment="0" applyProtection="0"/>
    <xf numFmtId="0" fontId="2" fillId="56" borderId="32" applyNumberFormat="0" applyFont="0" applyAlignment="0" applyProtection="0"/>
    <xf numFmtId="0" fontId="32" fillId="0" borderId="16" applyNumberFormat="0" applyFill="0" applyAlignment="0" applyProtection="0"/>
    <xf numFmtId="0" fontId="2" fillId="56" borderId="32" applyNumberFormat="0" applyFont="0" applyAlignment="0" applyProtection="0"/>
    <xf numFmtId="0" fontId="32" fillId="0" borderId="16" applyNumberFormat="0" applyFill="0" applyAlignment="0" applyProtection="0"/>
    <xf numFmtId="0" fontId="36" fillId="53" borderId="34" applyNumberForma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27" applyNumberFormat="0" applyFont="0" applyAlignment="0" applyProtection="0"/>
    <xf numFmtId="0" fontId="2" fillId="56" borderId="27" applyNumberFormat="0" applyFont="0" applyAlignment="0" applyProtection="0"/>
    <xf numFmtId="0" fontId="36" fillId="53" borderId="29" applyNumberFormat="0" applyAlignment="0" applyProtection="0"/>
    <xf numFmtId="0" fontId="36" fillId="53" borderId="29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56" borderId="36" applyNumberFormat="0" applyFont="0" applyAlignment="0" applyProtection="0"/>
    <xf numFmtId="0" fontId="2" fillId="56" borderId="32" applyNumberFormat="0" applyFont="0" applyAlignment="0" applyProtection="0"/>
    <xf numFmtId="0" fontId="26" fillId="53" borderId="3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39" applyNumberFormat="0" applyAlignment="0" applyProtection="0"/>
    <xf numFmtId="0" fontId="36" fillId="53" borderId="39" applyNumberForma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34" applyNumberFormat="0" applyAlignment="0" applyProtection="0"/>
    <xf numFmtId="0" fontId="36" fillId="53" borderId="34" applyNumberFormat="0" applyAlignment="0" applyProtection="0"/>
    <xf numFmtId="0" fontId="2" fillId="56" borderId="32" applyNumberFormat="0" applyFont="0" applyAlignment="0" applyProtection="0"/>
    <xf numFmtId="0" fontId="33" fillId="40" borderId="33" applyNumberFormat="0" applyAlignment="0" applyProtection="0"/>
    <xf numFmtId="0" fontId="38" fillId="0" borderId="35" applyNumberFormat="0" applyFill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39" applyNumberFormat="0" applyAlignment="0" applyProtection="0"/>
    <xf numFmtId="0" fontId="36" fillId="53" borderId="39" applyNumberForma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38" fillId="0" borderId="40" applyNumberFormat="0" applyFill="0" applyAlignment="0" applyProtection="0"/>
    <xf numFmtId="0" fontId="38" fillId="0" borderId="40" applyNumberFormat="0" applyFill="0" applyAlignment="0" applyProtection="0"/>
    <xf numFmtId="0" fontId="33" fillId="40" borderId="33" applyNumberFormat="0" applyAlignment="0" applyProtection="0"/>
    <xf numFmtId="0" fontId="33" fillId="40" borderId="33" applyNumberFormat="0" applyAlignment="0" applyProtection="0"/>
    <xf numFmtId="0" fontId="38" fillId="0" borderId="35" applyNumberFormat="0" applyFill="0" applyAlignment="0" applyProtection="0"/>
    <xf numFmtId="0" fontId="32" fillId="0" borderId="16" applyNumberFormat="0" applyFill="0" applyAlignment="0" applyProtection="0"/>
    <xf numFmtId="0" fontId="2" fillId="56" borderId="36" applyNumberFormat="0" applyFont="0" applyAlignment="0" applyProtection="0"/>
    <xf numFmtId="0" fontId="26" fillId="53" borderId="33" applyNumberFormat="0" applyAlignment="0" applyProtection="0"/>
    <xf numFmtId="0" fontId="26" fillId="53" borderId="33" applyNumberForma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33" fillId="40" borderId="33" applyNumberForma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3" applyNumberFormat="0" applyAlignment="0" applyProtection="0"/>
    <xf numFmtId="0" fontId="5" fillId="2" borderId="24" applyNumberFormat="0" applyFont="0" applyFill="0" applyAlignment="0" applyProtection="0">
      <alignment horizontal="left"/>
    </xf>
    <xf numFmtId="0" fontId="5" fillId="2" borderId="24" applyNumberFormat="0" applyFont="0" applyFill="0" applyAlignment="0" applyProtection="0">
      <alignment horizontal="left"/>
    </xf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38" fillId="0" borderId="35" applyNumberFormat="0" applyFill="0" applyAlignment="0" applyProtection="0"/>
    <xf numFmtId="0" fontId="38" fillId="0" borderId="35" applyNumberFormat="0" applyFill="0" applyAlignment="0" applyProtection="0"/>
    <xf numFmtId="0" fontId="36" fillId="53" borderId="34" applyNumberFormat="0" applyAlignment="0" applyProtection="0"/>
    <xf numFmtId="0" fontId="36" fillId="53" borderId="34" applyNumberForma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33" fillId="40" borderId="33" applyNumberFormat="0" applyAlignment="0" applyProtection="0"/>
    <xf numFmtId="0" fontId="33" fillId="40" borderId="33" applyNumberForma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6" fillId="53" borderId="33" applyNumberFormat="0" applyAlignment="0" applyProtection="0"/>
    <xf numFmtId="0" fontId="26" fillId="53" borderId="33" applyNumberFormat="0" applyAlignment="0" applyProtection="0"/>
    <xf numFmtId="0" fontId="5" fillId="2" borderId="24" applyNumberFormat="0" applyFont="0" applyFill="0" applyAlignment="0" applyProtection="0">
      <alignment horizontal="left"/>
    </xf>
    <xf numFmtId="0" fontId="5" fillId="2" borderId="24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0" applyNumberFormat="0" applyFill="0" applyAlignment="0" applyProtection="0"/>
    <xf numFmtId="0" fontId="38" fillId="0" borderId="40" applyNumberFormat="0" applyFill="0" applyAlignment="0" applyProtection="0"/>
    <xf numFmtId="0" fontId="36" fillId="53" borderId="39" applyNumberFormat="0" applyAlignment="0" applyProtection="0"/>
    <xf numFmtId="0" fontId="36" fillId="53" borderId="39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3" applyNumberForma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0" applyNumberFormat="0" applyFill="0" applyAlignment="0" applyProtection="0"/>
    <xf numFmtId="0" fontId="38" fillId="0" borderId="40" applyNumberFormat="0" applyFill="0" applyAlignment="0" applyProtection="0"/>
    <xf numFmtId="0" fontId="36" fillId="53" borderId="39" applyNumberFormat="0" applyAlignment="0" applyProtection="0"/>
    <xf numFmtId="0" fontId="36" fillId="53" borderId="39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43" fillId="0" borderId="25">
      <alignment horizontal="center"/>
    </xf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38" fillId="0" borderId="35" applyNumberFormat="0" applyFill="0" applyAlignment="0" applyProtection="0"/>
    <xf numFmtId="0" fontId="38" fillId="0" borderId="35" applyNumberFormat="0" applyFill="0" applyAlignment="0" applyProtection="0"/>
    <xf numFmtId="0" fontId="36" fillId="53" borderId="34" applyNumberFormat="0" applyAlignment="0" applyProtection="0"/>
    <xf numFmtId="0" fontId="36" fillId="53" borderId="34" applyNumberForma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33" fillId="40" borderId="33" applyNumberFormat="0" applyAlignment="0" applyProtection="0"/>
    <xf numFmtId="0" fontId="33" fillId="40" borderId="33" applyNumberForma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6" fillId="53" borderId="33" applyNumberFormat="0" applyAlignment="0" applyProtection="0"/>
    <xf numFmtId="0" fontId="26" fillId="53" borderId="33" applyNumberForma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38" fillId="0" borderId="35" applyNumberFormat="0" applyFill="0" applyAlignment="0" applyProtection="0"/>
    <xf numFmtId="0" fontId="38" fillId="0" borderId="35" applyNumberFormat="0" applyFill="0" applyAlignment="0" applyProtection="0"/>
    <xf numFmtId="0" fontId="36" fillId="53" borderId="34" applyNumberFormat="0" applyAlignment="0" applyProtection="0"/>
    <xf numFmtId="0" fontId="36" fillId="53" borderId="34" applyNumberForma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33" fillId="40" borderId="33" applyNumberFormat="0" applyAlignment="0" applyProtection="0"/>
    <xf numFmtId="0" fontId="33" fillId="40" borderId="33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" fillId="56" borderId="32" applyNumberFormat="0" applyFont="0" applyAlignment="0" applyProtection="0"/>
    <xf numFmtId="0" fontId="26" fillId="53" borderId="33" applyNumberFormat="0" applyAlignment="0" applyProtection="0"/>
    <xf numFmtId="0" fontId="26" fillId="53" borderId="33" applyNumberFormat="0" applyAlignment="0" applyProtection="0"/>
    <xf numFmtId="0" fontId="5" fillId="2" borderId="24" applyNumberFormat="0" applyFont="0" applyFill="0" applyAlignment="0" applyProtection="0">
      <alignment horizontal="left"/>
    </xf>
    <xf numFmtId="0" fontId="5" fillId="2" borderId="24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26" applyNumberFormat="0" applyFont="0" applyFill="0" applyAlignment="0" applyProtection="0">
      <alignment horizontal="left"/>
    </xf>
    <xf numFmtId="0" fontId="5" fillId="2" borderId="26" applyNumberFormat="0" applyFont="0" applyFill="0" applyAlignment="0" applyProtection="0">
      <alignment horizontal="left"/>
    </xf>
    <xf numFmtId="0" fontId="43" fillId="0" borderId="25">
      <alignment horizontal="center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0" applyNumberFormat="0" applyFill="0" applyAlignment="0" applyProtection="0"/>
    <xf numFmtId="0" fontId="38" fillId="0" borderId="40" applyNumberFormat="0" applyFill="0" applyAlignment="0" applyProtection="0"/>
    <xf numFmtId="0" fontId="36" fillId="53" borderId="39" applyNumberFormat="0" applyAlignment="0" applyProtection="0"/>
    <xf numFmtId="0" fontId="36" fillId="53" borderId="39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41" applyNumberFormat="0" applyAlignment="0" applyProtection="0"/>
    <xf numFmtId="0" fontId="26" fillId="53" borderId="41" applyNumberForma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6" fillId="53" borderId="41" applyNumberFormat="0" applyAlignment="0" applyProtection="0"/>
    <xf numFmtId="0" fontId="26" fillId="53" borderId="41" applyNumberForma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43" fillId="0" borderId="25">
      <alignment horizontal="center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41" applyNumberFormat="0" applyAlignment="0" applyProtection="0"/>
    <xf numFmtId="0" fontId="26" fillId="53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32" fillId="0" borderId="16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43" applyNumberFormat="0" applyAlignment="0" applyProtection="0"/>
    <xf numFmtId="0" fontId="26" fillId="53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41" applyNumberFormat="0" applyAlignment="0" applyProtection="0"/>
    <xf numFmtId="0" fontId="26" fillId="53" borderId="41" applyNumberForma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41" applyNumberFormat="0" applyAlignment="0" applyProtection="0"/>
    <xf numFmtId="0" fontId="26" fillId="53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43" applyNumberFormat="0" applyAlignment="0" applyProtection="0"/>
    <xf numFmtId="0" fontId="26" fillId="53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4" fillId="0" borderId="0">
      <alignment vertical="top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41" applyNumberFormat="0" applyAlignment="0" applyProtection="0"/>
    <xf numFmtId="0" fontId="26" fillId="53" borderId="41" applyNumberForma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41" applyNumberFormat="0" applyAlignment="0" applyProtection="0"/>
    <xf numFmtId="0" fontId="26" fillId="53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26" fillId="53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41" applyNumberFormat="0" applyAlignment="0" applyProtection="0"/>
    <xf numFmtId="0" fontId="26" fillId="53" borderId="41" applyNumberForma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41" applyNumberFormat="0" applyAlignment="0" applyProtection="0"/>
    <xf numFmtId="0" fontId="26" fillId="53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26" fillId="53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43" fillId="0" borderId="25">
      <alignment horizontal="center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36" fillId="53" borderId="43" applyNumberFormat="0" applyAlignment="0" applyProtection="0"/>
    <xf numFmtId="0" fontId="33" fillId="40" borderId="41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33" fillId="40" borderId="41" applyNumberFormat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32" fillId="0" borderId="16" applyNumberFormat="0" applyFill="0" applyAlignment="0" applyProtection="0"/>
    <xf numFmtId="0" fontId="2" fillId="56" borderId="42" applyNumberFormat="0" applyFont="0" applyAlignment="0" applyProtection="0"/>
    <xf numFmtId="0" fontId="32" fillId="0" borderId="16" applyNumberFormat="0" applyFill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43" fillId="0" borderId="25">
      <alignment horizontal="center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56" borderId="42" applyNumberFormat="0" applyFont="0" applyAlignment="0" applyProtection="0"/>
    <xf numFmtId="0" fontId="2" fillId="56" borderId="47" applyNumberFormat="0" applyFont="0" applyAlignment="0" applyProtection="0"/>
    <xf numFmtId="0" fontId="2" fillId="56" borderId="47" applyNumberFormat="0" applyFont="0" applyAlignment="0" applyProtection="0"/>
    <xf numFmtId="0" fontId="36" fillId="53" borderId="48" applyNumberFormat="0" applyAlignment="0" applyProtection="0"/>
    <xf numFmtId="0" fontId="38" fillId="0" borderId="49" applyNumberFormat="0" applyFill="0" applyAlignment="0" applyProtection="0"/>
    <xf numFmtId="0" fontId="38" fillId="0" borderId="49" applyNumberFormat="0" applyFill="0" applyAlignment="0" applyProtection="0"/>
    <xf numFmtId="0" fontId="2" fillId="0" borderId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8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43" fillId="0" borderId="21">
      <alignment horizontal="center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43" fillId="0" borderId="21">
      <alignment horizontal="center"/>
    </xf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43" fillId="0" borderId="21">
      <alignment horizontal="center"/>
    </xf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43" fillId="0" borderId="21">
      <alignment horizontal="center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1" fillId="10" borderId="10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36" fillId="53" borderId="43" applyNumberFormat="0" applyAlignment="0" applyProtection="0"/>
    <xf numFmtId="0" fontId="33" fillId="40" borderId="38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33" fillId="40" borderId="38" applyNumberFormat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6" fillId="53" borderId="38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43" fillId="0" borderId="21">
      <alignment horizontal="center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43" fillId="0" borderId="21">
      <alignment horizontal="center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43" fillId="0" borderId="21">
      <alignment horizontal="center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43" fillId="0" borderId="21">
      <alignment horizontal="center"/>
    </xf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43" fillId="0" borderId="21">
      <alignment horizontal="center"/>
    </xf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38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43" fillId="0" borderId="21">
      <alignment horizontal="center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36" fillId="53" borderId="43" applyNumberFormat="0" applyAlignment="0" applyProtection="0"/>
    <xf numFmtId="0" fontId="33" fillId="40" borderId="38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33" fillId="40" borderId="38" applyNumberFormat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38" fillId="0" borderId="44" applyNumberFormat="0" applyFill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43" fillId="0" borderId="21">
      <alignment horizontal="center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33" fillId="40" borderId="38" applyNumberFormat="0" applyAlignment="0" applyProtection="0"/>
    <xf numFmtId="0" fontId="33" fillId="40" borderId="38" applyNumberForma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" fillId="56" borderId="36" applyNumberFormat="0" applyFont="0" applyAlignment="0" applyProtection="0"/>
    <xf numFmtId="0" fontId="26" fillId="53" borderId="38" applyNumberFormat="0" applyAlignment="0" applyProtection="0"/>
    <xf numFmtId="0" fontId="26" fillId="53" borderId="38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6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6" applyNumberFormat="0" applyAlignment="0" applyProtection="0"/>
    <xf numFmtId="0" fontId="36" fillId="53" borderId="43" applyNumberFormat="0" applyAlignment="0" applyProtection="0"/>
    <xf numFmtId="0" fontId="38" fillId="0" borderId="44" applyNumberFormat="0" applyFill="0" applyAlignment="0" applyProtection="0"/>
    <xf numFmtId="0" fontId="5" fillId="2" borderId="45" applyNumberFormat="0" applyFont="0" applyFill="0" applyAlignment="0" applyProtection="0">
      <alignment horizontal="left"/>
    </xf>
    <xf numFmtId="0" fontId="26" fillId="53" borderId="46" applyNumberFormat="0" applyAlignment="0" applyProtection="0"/>
    <xf numFmtId="0" fontId="26" fillId="53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26" fillId="53" borderId="41" applyNumberForma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3" fillId="40" borderId="41" applyNumberFormat="0" applyAlignment="0" applyProtection="0"/>
    <xf numFmtId="0" fontId="2" fillId="56" borderId="42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8" fillId="0" borderId="44" applyNumberFormat="0" applyFill="0" applyAlignment="0" applyProtection="0"/>
    <xf numFmtId="0" fontId="2" fillId="56" borderId="42" applyNumberFormat="0" applyFont="0" applyAlignment="0" applyProtection="0"/>
    <xf numFmtId="0" fontId="5" fillId="2" borderId="45" applyNumberFormat="0" applyFont="0" applyFill="0" applyAlignment="0" applyProtection="0">
      <alignment horizontal="left"/>
    </xf>
    <xf numFmtId="0" fontId="26" fillId="53" borderId="46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41" applyNumberFormat="0" applyAlignment="0" applyProtection="0"/>
    <xf numFmtId="0" fontId="26" fillId="53" borderId="41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3" fillId="40" borderId="41" applyNumberFormat="0" applyAlignment="0" applyProtection="0"/>
    <xf numFmtId="0" fontId="33" fillId="40" borderId="41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1" applyNumberForma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36" fillId="53" borderId="43" applyNumberFormat="0" applyAlignment="0" applyProtection="0"/>
    <xf numFmtId="0" fontId="36" fillId="53" borderId="43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44" applyNumberFormat="0" applyFill="0" applyAlignment="0" applyProtection="0"/>
    <xf numFmtId="0" fontId="38" fillId="0" borderId="44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6" fillId="53" borderId="52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1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42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45" applyNumberFormat="0" applyFont="0" applyFill="0" applyAlignment="0" applyProtection="0">
      <alignment horizontal="left"/>
    </xf>
    <xf numFmtId="0" fontId="5" fillId="2" borderId="45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5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1" applyNumberFormat="0" applyAlignment="0" applyProtection="0"/>
    <xf numFmtId="0" fontId="2" fillId="56" borderId="56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2" fillId="56" borderId="56" applyNumberFormat="0" applyFon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7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8" fillId="0" borderId="58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36" fillId="53" borderId="52" applyNumberFormat="0" applyAlignment="0" applyProtection="0"/>
    <xf numFmtId="0" fontId="33" fillId="40" borderId="51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33" fillId="40" borderId="51" applyNumberFormat="0" applyAlignment="0" applyProtection="0"/>
    <xf numFmtId="0" fontId="38" fillId="0" borderId="53" applyNumberFormat="0" applyFill="0" applyAlignment="0" applyProtection="0"/>
    <xf numFmtId="0" fontId="36" fillId="53" borderId="57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5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38" fillId="0" borderId="53" applyNumberFormat="0" applyFill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36" fillId="53" borderId="57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6" applyNumberFormat="0" applyFont="0" applyAlignment="0" applyProtection="0"/>
    <xf numFmtId="0" fontId="36" fillId="53" borderId="52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6" applyNumberFormat="0" applyFont="0" applyAlignment="0" applyProtection="0"/>
    <xf numFmtId="0" fontId="36" fillId="53" borderId="52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6" fillId="53" borderId="51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36" fillId="53" borderId="52" applyNumberFormat="0" applyAlignment="0" applyProtection="0"/>
    <xf numFmtId="0" fontId="33" fillId="40" borderId="51" applyNumberFormat="0" applyAlignment="0" applyProtection="0"/>
    <xf numFmtId="0" fontId="36" fillId="53" borderId="52" applyNumberFormat="0" applyAlignment="0" applyProtection="0"/>
    <xf numFmtId="0" fontId="38" fillId="0" borderId="53" applyNumberFormat="0" applyFill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33" fillId="40" borderId="51" applyNumberFormat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6" applyNumberFormat="0" applyFon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2" fillId="56" borderId="56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38" fillId="0" borderId="53" applyNumberFormat="0" applyFill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5" fillId="2" borderId="37" applyNumberFormat="0" applyFont="0" applyFill="0" applyAlignment="0" applyProtection="0">
      <alignment horizontal="left"/>
    </xf>
    <xf numFmtId="0" fontId="5" fillId="2" borderId="37" applyNumberFormat="0" applyFont="0" applyFill="0" applyAlignment="0" applyProtection="0">
      <alignment horizontal="left"/>
    </xf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8" fillId="0" borderId="53" applyNumberFormat="0" applyFill="0" applyAlignment="0" applyProtection="0"/>
    <xf numFmtId="0" fontId="38" fillId="0" borderId="53" applyNumberFormat="0" applyFill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33" fillId="40" borderId="51" applyNumberFormat="0" applyAlignment="0" applyProtection="0"/>
    <xf numFmtId="0" fontId="33" fillId="40" borderId="51" applyNumberForma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" fillId="56" borderId="50" applyNumberFormat="0" applyFont="0" applyAlignment="0" applyProtection="0"/>
    <xf numFmtId="0" fontId="26" fillId="53" borderId="51" applyNumberFormat="0" applyAlignment="0" applyProtection="0"/>
    <xf numFmtId="0" fontId="26" fillId="53" borderId="51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47" fillId="0" borderId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43" fillId="0" borderId="25">
      <alignment horizontal="center"/>
    </xf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4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43" fillId="0" borderId="25">
      <alignment horizontal="center"/>
    </xf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8" fillId="0" borderId="58" applyNumberFormat="0" applyFill="0" applyAlignment="0" applyProtection="0"/>
    <xf numFmtId="0" fontId="38" fillId="0" borderId="58" applyNumberFormat="0" applyFill="0" applyAlignment="0" applyProtection="0"/>
    <xf numFmtId="0" fontId="36" fillId="53" borderId="57" applyNumberFormat="0" applyAlignment="0" applyProtection="0"/>
    <xf numFmtId="0" fontId="36" fillId="53" borderId="57" applyNumberForma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33" fillId="40" borderId="55" applyNumberFormat="0" applyAlignment="0" applyProtection="0"/>
    <xf numFmtId="0" fontId="33" fillId="40" borderId="55" applyNumberFormat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" fillId="56" borderId="56" applyNumberFormat="0" applyFont="0" applyAlignment="0" applyProtection="0"/>
    <xf numFmtId="0" fontId="26" fillId="53" borderId="55" applyNumberFormat="0" applyAlignment="0" applyProtection="0"/>
    <xf numFmtId="0" fontId="26" fillId="53" borderId="55" applyNumberFormat="0" applyAlignment="0" applyProtection="0"/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5" fillId="2" borderId="59" applyNumberFormat="0" applyFont="0" applyFill="0" applyAlignment="0" applyProtection="0">
      <alignment horizontal="left"/>
    </xf>
    <xf numFmtId="0" fontId="33" fillId="40" borderId="64" applyNumberFormat="0" applyAlignment="0" applyProtection="0"/>
    <xf numFmtId="0" fontId="33" fillId="40" borderId="64" applyNumberFormat="0" applyAlignment="0" applyProtection="0"/>
    <xf numFmtId="0" fontId="32" fillId="0" borderId="60" applyNumberFormat="0" applyFill="0" applyAlignment="0" applyProtection="0"/>
    <xf numFmtId="0" fontId="32" fillId="0" borderId="60" applyNumberFormat="0" applyFill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53" borderId="64" applyNumberFormat="0" applyAlignment="0" applyProtection="0"/>
    <xf numFmtId="0" fontId="26" fillId="53" borderId="64" applyNumberFormat="0" applyAlignment="0" applyProtection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56" borderId="61" applyNumberFormat="0" applyFont="0" applyAlignment="0" applyProtection="0"/>
    <xf numFmtId="0" fontId="2" fillId="56" borderId="61" applyNumberFormat="0" applyFont="0" applyAlignment="0" applyProtection="0"/>
    <xf numFmtId="0" fontId="36" fillId="53" borderId="62" applyNumberFormat="0" applyAlignment="0" applyProtection="0"/>
    <xf numFmtId="0" fontId="36" fillId="53" borderId="62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8" fillId="0" borderId="0"/>
    <xf numFmtId="0" fontId="50" fillId="0" borderId="0"/>
    <xf numFmtId="44" fontId="1" fillId="0" borderId="0" applyFont="0" applyFill="0" applyBorder="0" applyAlignment="0" applyProtection="0"/>
    <xf numFmtId="0" fontId="2" fillId="0" borderId="0"/>
  </cellStyleXfs>
  <cellXfs count="403">
    <xf numFmtId="0" fontId="0" fillId="0" borderId="0" xfId="0"/>
    <xf numFmtId="0" fontId="48" fillId="0" borderId="0" xfId="47725" applyAlignment="1" applyProtection="1">
      <alignment horizontal="center" vertical="top" wrapText="1"/>
      <protection locked="0"/>
    </xf>
    <xf numFmtId="9" fontId="0" fillId="0" borderId="0" xfId="47723" applyFont="1"/>
    <xf numFmtId="0" fontId="7" fillId="0" borderId="0" xfId="0" applyFont="1"/>
    <xf numFmtId="3" fontId="7" fillId="0" borderId="0" xfId="0" applyNumberFormat="1" applyFont="1"/>
    <xf numFmtId="174" fontId="0" fillId="0" borderId="0" xfId="47727" applyNumberFormat="1" applyFont="1"/>
    <xf numFmtId="0" fontId="53" fillId="0" borderId="0" xfId="0" applyFont="1"/>
    <xf numFmtId="0" fontId="0" fillId="61" borderId="0" xfId="0" applyFill="1"/>
    <xf numFmtId="0" fontId="7" fillId="0" borderId="0" xfId="0" applyFont="1" applyAlignment="1">
      <alignment horizontal="center"/>
    </xf>
    <xf numFmtId="9" fontId="0" fillId="65" borderId="0" xfId="47723" applyFont="1" applyFill="1"/>
    <xf numFmtId="44" fontId="0" fillId="65" borderId="0" xfId="47727" applyFont="1" applyFill="1"/>
    <xf numFmtId="3" fontId="0" fillId="0" borderId="0" xfId="47723" applyNumberFormat="1" applyFont="1"/>
    <xf numFmtId="3" fontId="40" fillId="0" borderId="71" xfId="0" applyNumberFormat="1" applyFont="1" applyBorder="1" applyAlignment="1">
      <alignment horizontal="right" vertical="center"/>
    </xf>
    <xf numFmtId="173" fontId="40" fillId="0" borderId="71" xfId="0" applyNumberFormat="1" applyFont="1" applyBorder="1" applyAlignment="1">
      <alignment horizontal="right" vertical="center"/>
    </xf>
    <xf numFmtId="0" fontId="40" fillId="0" borderId="71" xfId="0" applyFont="1" applyBorder="1" applyAlignment="1">
      <alignment horizontal="left" vertical="center"/>
    </xf>
    <xf numFmtId="0" fontId="55" fillId="3" borderId="72" xfId="0" applyFont="1" applyFill="1" applyBorder="1" applyAlignment="1">
      <alignment vertical="center"/>
    </xf>
    <xf numFmtId="3" fontId="55" fillId="3" borderId="72" xfId="0" applyNumberFormat="1" applyFont="1" applyFill="1" applyBorder="1" applyAlignment="1">
      <alignment horizontal="right" vertical="center"/>
    </xf>
    <xf numFmtId="173" fontId="55" fillId="3" borderId="72" xfId="0" applyNumberFormat="1" applyFont="1" applyFill="1" applyBorder="1" applyAlignment="1">
      <alignment horizontal="right" vertical="center"/>
    </xf>
    <xf numFmtId="0" fontId="40" fillId="0" borderId="0" xfId="0" applyFont="1" applyAlignment="1">
      <alignment horizontal="center" vertical="center"/>
    </xf>
    <xf numFmtId="174" fontId="7" fillId="0" borderId="0" xfId="47723" applyNumberFormat="1" applyFont="1"/>
    <xf numFmtId="0" fontId="56" fillId="0" borderId="71" xfId="0" applyFont="1" applyBorder="1" applyAlignment="1">
      <alignment vertical="center"/>
    </xf>
    <xf numFmtId="0" fontId="56" fillId="0" borderId="71" xfId="0" applyFont="1" applyBorder="1" applyAlignment="1">
      <alignment horizontal="left" vertical="center"/>
    </xf>
    <xf numFmtId="0" fontId="55" fillId="3" borderId="80" xfId="0" applyFont="1" applyFill="1" applyBorder="1" applyAlignment="1">
      <alignment horizontal="center" vertical="center" wrapText="1"/>
    </xf>
    <xf numFmtId="0" fontId="55" fillId="3" borderId="80" xfId="0" applyFont="1" applyFill="1" applyBorder="1" applyAlignment="1">
      <alignment horizontal="center" vertical="center"/>
    </xf>
    <xf numFmtId="0" fontId="55" fillId="63" borderId="80" xfId="0" applyFont="1" applyFill="1" applyBorder="1" applyAlignment="1">
      <alignment vertical="center"/>
    </xf>
    <xf numFmtId="3" fontId="55" fillId="63" borderId="80" xfId="0" applyNumberFormat="1" applyFont="1" applyFill="1" applyBorder="1" applyAlignment="1">
      <alignment horizontal="right" vertical="center" wrapText="1"/>
    </xf>
    <xf numFmtId="173" fontId="55" fillId="63" borderId="80" xfId="0" applyNumberFormat="1" applyFont="1" applyFill="1" applyBorder="1" applyAlignment="1">
      <alignment horizontal="right" vertical="center" wrapText="1"/>
    </xf>
    <xf numFmtId="0" fontId="55" fillId="3" borderId="83" xfId="0" applyFont="1" applyFill="1" applyBorder="1" applyAlignment="1">
      <alignment horizontal="center" vertical="center" wrapText="1"/>
    </xf>
    <xf numFmtId="3" fontId="55" fillId="63" borderId="80" xfId="0" applyNumberFormat="1" applyFont="1" applyFill="1" applyBorder="1" applyAlignment="1">
      <alignment horizontal="right" vertical="center"/>
    </xf>
    <xf numFmtId="0" fontId="40" fillId="0" borderId="86" xfId="0" applyFont="1" applyBorder="1" applyAlignment="1">
      <alignment horizontal="left" vertical="center"/>
    </xf>
    <xf numFmtId="0" fontId="55" fillId="3" borderId="87" xfId="0" applyFont="1" applyFill="1" applyBorder="1" applyAlignment="1">
      <alignment horizontal="center" vertical="center" wrapText="1"/>
    </xf>
    <xf numFmtId="0" fontId="55" fillId="3" borderId="87" xfId="0" applyFont="1" applyFill="1" applyBorder="1" applyAlignment="1">
      <alignment horizontal="left" vertical="center" wrapText="1"/>
    </xf>
    <xf numFmtId="0" fontId="55" fillId="3" borderId="88" xfId="0" applyFont="1" applyFill="1" applyBorder="1" applyAlignment="1">
      <alignment horizontal="center" vertical="center" wrapText="1"/>
    </xf>
    <xf numFmtId="0" fontId="55" fillId="3" borderId="90" xfId="0" applyFont="1" applyFill="1" applyBorder="1" applyAlignment="1">
      <alignment horizontal="center" vertical="center" wrapText="1"/>
    </xf>
    <xf numFmtId="0" fontId="55" fillId="3" borderId="91" xfId="0" applyFont="1" applyFill="1" applyBorder="1" applyAlignment="1">
      <alignment horizontal="center" vertical="center" wrapText="1"/>
    </xf>
    <xf numFmtId="0" fontId="55" fillId="3" borderId="92" xfId="0" applyFont="1" applyFill="1" applyBorder="1" applyAlignment="1">
      <alignment horizontal="center" vertical="center" wrapText="1"/>
    </xf>
    <xf numFmtId="0" fontId="40" fillId="0" borderId="92" xfId="0" applyFont="1" applyBorder="1" applyAlignment="1">
      <alignment horizontal="left" vertical="center" wrapText="1"/>
    </xf>
    <xf numFmtId="0" fontId="55" fillId="63" borderId="92" xfId="0" applyFont="1" applyFill="1" applyBorder="1" applyAlignment="1">
      <alignment horizontal="left" vertical="center" wrapText="1"/>
    </xf>
    <xf numFmtId="0" fontId="48" fillId="0" borderId="0" xfId="47725" applyAlignment="1" applyProtection="1">
      <alignment vertical="top"/>
      <protection locked="0"/>
    </xf>
    <xf numFmtId="9" fontId="51" fillId="0" borderId="92" xfId="0" applyNumberFormat="1" applyFont="1" applyBorder="1" applyAlignment="1">
      <alignment horizontal="center" vertical="center" wrapText="1"/>
    </xf>
    <xf numFmtId="0" fontId="51" fillId="0" borderId="92" xfId="0" applyFont="1" applyBorder="1" applyAlignment="1">
      <alignment vertical="center" wrapText="1"/>
    </xf>
    <xf numFmtId="0" fontId="40" fillId="0" borderId="92" xfId="0" applyFont="1" applyBorder="1" applyAlignment="1">
      <alignment vertical="center" wrapText="1"/>
    </xf>
    <xf numFmtId="10" fontId="51" fillId="0" borderId="92" xfId="0" applyNumberFormat="1" applyFont="1" applyBorder="1" applyAlignment="1">
      <alignment horizontal="center" vertical="center" wrapText="1"/>
    </xf>
    <xf numFmtId="176" fontId="40" fillId="0" borderId="92" xfId="47727" applyNumberFormat="1" applyFont="1" applyBorder="1" applyAlignment="1">
      <alignment horizontal="right" vertical="center"/>
    </xf>
    <xf numFmtId="176" fontId="55" fillId="63" borderId="92" xfId="47727" applyNumberFormat="1" applyFont="1" applyFill="1" applyBorder="1" applyAlignment="1">
      <alignment horizontal="right" vertical="center"/>
    </xf>
    <xf numFmtId="177" fontId="55" fillId="63" borderId="80" xfId="0" applyNumberFormat="1" applyFont="1" applyFill="1" applyBorder="1" applyAlignment="1">
      <alignment horizontal="right" vertical="center" wrapText="1"/>
    </xf>
    <xf numFmtId="177" fontId="40" fillId="0" borderId="71" xfId="0" applyNumberFormat="1" applyFont="1" applyBorder="1" applyAlignment="1">
      <alignment horizontal="right" vertical="center"/>
    </xf>
    <xf numFmtId="177" fontId="55" fillId="3" borderId="72" xfId="0" applyNumberFormat="1" applyFont="1" applyFill="1" applyBorder="1" applyAlignment="1">
      <alignment horizontal="right" vertical="center"/>
    </xf>
    <xf numFmtId="3" fontId="55" fillId="3" borderId="80" xfId="0" applyNumberFormat="1" applyFont="1" applyFill="1" applyBorder="1" applyAlignment="1">
      <alignment horizontal="center" vertical="center" wrapText="1"/>
    </xf>
    <xf numFmtId="0" fontId="52" fillId="0" borderId="0" xfId="0" applyFont="1" applyAlignment="1">
      <alignment vertical="center"/>
    </xf>
    <xf numFmtId="9" fontId="49" fillId="59" borderId="0" xfId="47723" applyFont="1" applyFill="1" applyAlignment="1">
      <alignment vertical="top"/>
    </xf>
    <xf numFmtId="2" fontId="49" fillId="59" borderId="0" xfId="47725" applyNumberFormat="1" applyFont="1" applyFill="1" applyAlignment="1">
      <alignment vertical="top"/>
    </xf>
    <xf numFmtId="2" fontId="48" fillId="59" borderId="0" xfId="47725" applyNumberFormat="1" applyFill="1" applyAlignment="1">
      <alignment vertical="top"/>
    </xf>
    <xf numFmtId="0" fontId="0" fillId="0" borderId="0" xfId="0" applyAlignment="1">
      <alignment vertical="top"/>
    </xf>
    <xf numFmtId="49" fontId="49" fillId="64" borderId="0" xfId="47725" applyNumberFormat="1" applyFont="1" applyFill="1" applyAlignment="1">
      <alignment horizontal="right" vertical="top"/>
    </xf>
    <xf numFmtId="3" fontId="48" fillId="64" borderId="0" xfId="47725" applyNumberFormat="1" applyFill="1" applyAlignment="1">
      <alignment vertical="top"/>
    </xf>
    <xf numFmtId="0" fontId="0" fillId="0" borderId="0" xfId="0" applyAlignment="1" applyProtection="1">
      <alignment vertical="top"/>
      <protection locked="0"/>
    </xf>
    <xf numFmtId="0" fontId="52" fillId="0" borderId="0" xfId="0" applyFont="1" applyAlignment="1" applyProtection="1">
      <alignment vertical="top"/>
      <protection locked="0"/>
    </xf>
    <xf numFmtId="44" fontId="0" fillId="0" borderId="0" xfId="47727" applyFont="1" applyAlignment="1">
      <alignment vertical="top"/>
    </xf>
    <xf numFmtId="0" fontId="0" fillId="0" borderId="0" xfId="0" applyAlignment="1">
      <alignment horizontal="left" vertical="top"/>
    </xf>
    <xf numFmtId="0" fontId="40" fillId="0" borderId="0" xfId="0" applyFont="1" applyAlignment="1">
      <alignment vertical="center"/>
    </xf>
    <xf numFmtId="0" fontId="40" fillId="3" borderId="0" xfId="0" applyFont="1" applyFill="1" applyAlignment="1">
      <alignment vertical="center"/>
    </xf>
    <xf numFmtId="0" fontId="59" fillId="3" borderId="0" xfId="0" applyFont="1" applyFill="1" applyAlignment="1">
      <alignment horizontal="center" vertical="center"/>
    </xf>
    <xf numFmtId="0" fontId="40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9" fillId="3" borderId="0" xfId="0" applyFont="1" applyFill="1" applyAlignment="1">
      <alignment vertical="center"/>
    </xf>
    <xf numFmtId="0" fontId="55" fillId="3" borderId="0" xfId="0" applyFont="1" applyFill="1" applyAlignment="1">
      <alignment vertical="center"/>
    </xf>
    <xf numFmtId="0" fontId="55" fillId="63" borderId="66" xfId="0" applyFont="1" applyFill="1" applyBorder="1" applyAlignment="1">
      <alignment vertical="center"/>
    </xf>
    <xf numFmtId="178" fontId="3" fillId="63" borderId="71" xfId="0" applyNumberFormat="1" applyFont="1" applyFill="1" applyBorder="1" applyAlignment="1">
      <alignment horizontal="right" vertical="center"/>
    </xf>
    <xf numFmtId="179" fontId="3" fillId="63" borderId="65" xfId="0" applyNumberFormat="1" applyFont="1" applyFill="1" applyBorder="1" applyAlignment="1">
      <alignment horizontal="right" vertical="center"/>
    </xf>
    <xf numFmtId="0" fontId="56" fillId="0" borderId="66" xfId="0" applyFont="1" applyBorder="1" applyAlignment="1">
      <alignment horizontal="left" vertical="center"/>
    </xf>
    <xf numFmtId="178" fontId="2" fillId="0" borderId="71" xfId="0" applyNumberFormat="1" applyFont="1" applyBorder="1" applyAlignment="1">
      <alignment horizontal="right" vertical="center"/>
    </xf>
    <xf numFmtId="179" fontId="2" fillId="0" borderId="65" xfId="0" applyNumberFormat="1" applyFont="1" applyBorder="1" applyAlignment="1">
      <alignment horizontal="right" vertical="center"/>
    </xf>
    <xf numFmtId="179" fontId="2" fillId="0" borderId="71" xfId="0" quotePrefix="1" applyNumberFormat="1" applyFont="1" applyBorder="1" applyAlignment="1">
      <alignment horizontal="right" vertical="center"/>
    </xf>
    <xf numFmtId="0" fontId="55" fillId="63" borderId="81" xfId="0" applyFont="1" applyFill="1" applyBorder="1" applyAlignment="1">
      <alignment vertical="center"/>
    </xf>
    <xf numFmtId="178" fontId="3" fillId="63" borderId="81" xfId="0" applyNumberFormat="1" applyFont="1" applyFill="1" applyBorder="1" applyAlignment="1">
      <alignment horizontal="right" vertical="center"/>
    </xf>
    <xf numFmtId="179" fontId="3" fillId="63" borderId="80" xfId="0" applyNumberFormat="1" applyFont="1" applyFill="1" applyBorder="1" applyAlignment="1">
      <alignment horizontal="right" vertical="center"/>
    </xf>
    <xf numFmtId="178" fontId="3" fillId="63" borderId="80" xfId="0" applyNumberFormat="1" applyFont="1" applyFill="1" applyBorder="1" applyAlignment="1">
      <alignment horizontal="right" vertical="center"/>
    </xf>
    <xf numFmtId="179" fontId="3" fillId="63" borderId="82" xfId="0" applyNumberFormat="1" applyFont="1" applyFill="1" applyBorder="1" applyAlignment="1">
      <alignment horizontal="right" vertical="center"/>
    </xf>
    <xf numFmtId="0" fontId="55" fillId="3" borderId="94" xfId="0" applyFont="1" applyFill="1" applyBorder="1" applyAlignment="1">
      <alignment vertical="center"/>
    </xf>
    <xf numFmtId="178" fontId="3" fillId="3" borderId="92" xfId="0" applyNumberFormat="1" applyFont="1" applyFill="1" applyBorder="1" applyAlignment="1">
      <alignment horizontal="right" vertical="center"/>
    </xf>
    <xf numFmtId="179" fontId="3" fillId="3" borderId="95" xfId="0" applyNumberFormat="1" applyFont="1" applyFill="1" applyBorder="1" applyAlignment="1">
      <alignment horizontal="right" vertical="center"/>
    </xf>
    <xf numFmtId="0" fontId="59" fillId="0" borderId="0" xfId="0" applyFont="1" applyAlignment="1">
      <alignment vertical="center"/>
    </xf>
    <xf numFmtId="178" fontId="3" fillId="3" borderId="72" xfId="0" applyNumberFormat="1" applyFont="1" applyFill="1" applyBorder="1" applyAlignment="1">
      <alignment horizontal="right" vertical="center"/>
    </xf>
    <xf numFmtId="179" fontId="3" fillId="3" borderId="72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3" fontId="40" fillId="0" borderId="0" xfId="0" applyNumberFormat="1" applyFont="1" applyAlignment="1">
      <alignment vertical="center"/>
    </xf>
    <xf numFmtId="0" fontId="54" fillId="0" borderId="0" xfId="0" applyFont="1" applyAlignment="1">
      <alignment vertical="center"/>
    </xf>
    <xf numFmtId="3" fontId="40" fillId="3" borderId="0" xfId="0" applyNumberFormat="1" applyFont="1" applyFill="1" applyAlignment="1">
      <alignment horizontal="center" vertical="center"/>
    </xf>
    <xf numFmtId="0" fontId="40" fillId="0" borderId="0" xfId="0" quotePrefix="1" applyFont="1" applyAlignment="1">
      <alignment vertical="center" wrapText="1"/>
    </xf>
    <xf numFmtId="0" fontId="40" fillId="3" borderId="0" xfId="0" quotePrefix="1" applyFont="1" applyFill="1" applyAlignment="1">
      <alignment vertical="center" wrapText="1"/>
    </xf>
    <xf numFmtId="0" fontId="40" fillId="0" borderId="0" xfId="0" applyFont="1" applyAlignment="1">
      <alignment vertical="center" wrapText="1"/>
    </xf>
    <xf numFmtId="0" fontId="55" fillId="63" borderId="71" xfId="0" applyFont="1" applyFill="1" applyBorder="1" applyAlignment="1">
      <alignment vertical="center"/>
    </xf>
    <xf numFmtId="178" fontId="55" fillId="63" borderId="84" xfId="0" applyNumberFormat="1" applyFont="1" applyFill="1" applyBorder="1" applyAlignment="1">
      <alignment vertical="center"/>
    </xf>
    <xf numFmtId="178" fontId="55" fillId="63" borderId="80" xfId="0" applyNumberFormat="1" applyFont="1" applyFill="1" applyBorder="1" applyAlignment="1">
      <alignment vertical="center"/>
    </xf>
    <xf numFmtId="178" fontId="55" fillId="63" borderId="66" xfId="0" applyNumberFormat="1" applyFont="1" applyFill="1" applyBorder="1" applyAlignment="1">
      <alignment vertical="center"/>
    </xf>
    <xf numFmtId="178" fontId="55" fillId="63" borderId="0" xfId="0" applyNumberFormat="1" applyFont="1" applyFill="1" applyAlignment="1">
      <alignment vertical="center"/>
    </xf>
    <xf numFmtId="178" fontId="55" fillId="63" borderId="65" xfId="0" applyNumberFormat="1" applyFont="1" applyFill="1" applyBorder="1" applyAlignment="1">
      <alignment vertical="center"/>
    </xf>
    <xf numFmtId="178" fontId="55" fillId="63" borderId="81" xfId="0" applyNumberFormat="1" applyFont="1" applyFill="1" applyBorder="1" applyAlignment="1">
      <alignment vertical="center"/>
    </xf>
    <xf numFmtId="178" fontId="40" fillId="0" borderId="66" xfId="0" applyNumberFormat="1" applyFont="1" applyBorder="1" applyAlignment="1">
      <alignment vertical="center"/>
    </xf>
    <xf numFmtId="178" fontId="40" fillId="0" borderId="0" xfId="0" applyNumberFormat="1" applyFont="1" applyAlignment="1">
      <alignment vertical="center"/>
    </xf>
    <xf numFmtId="178" fontId="40" fillId="0" borderId="65" xfId="0" quotePrefix="1" applyNumberFormat="1" applyFont="1" applyBorder="1" applyAlignment="1">
      <alignment horizontal="right" vertical="center"/>
    </xf>
    <xf numFmtId="178" fontId="40" fillId="0" borderId="65" xfId="0" applyNumberFormat="1" applyFont="1" applyBorder="1" applyAlignment="1">
      <alignment vertical="center"/>
    </xf>
    <xf numFmtId="178" fontId="40" fillId="0" borderId="66" xfId="0" applyNumberFormat="1" applyFont="1" applyBorder="1" applyAlignment="1">
      <alignment horizontal="right" vertical="center"/>
    </xf>
    <xf numFmtId="178" fontId="40" fillId="0" borderId="0" xfId="0" applyNumberFormat="1" applyFont="1" applyAlignment="1">
      <alignment horizontal="right" vertical="center"/>
    </xf>
    <xf numFmtId="178" fontId="40" fillId="0" borderId="0" xfId="0" quotePrefix="1" applyNumberFormat="1" applyFont="1" applyAlignment="1">
      <alignment horizontal="right" vertical="center"/>
    </xf>
    <xf numFmtId="178" fontId="55" fillId="63" borderId="82" xfId="0" applyNumberFormat="1" applyFont="1" applyFill="1" applyBorder="1" applyAlignment="1">
      <alignment vertical="center"/>
    </xf>
    <xf numFmtId="0" fontId="55" fillId="3" borderId="87" xfId="0" applyFont="1" applyFill="1" applyBorder="1" applyAlignment="1">
      <alignment vertical="center"/>
    </xf>
    <xf numFmtId="178" fontId="55" fillId="3" borderId="94" xfId="0" applyNumberFormat="1" applyFont="1" applyFill="1" applyBorder="1" applyAlignment="1">
      <alignment vertical="center"/>
    </xf>
    <xf numFmtId="178" fontId="55" fillId="3" borderId="97" xfId="0" applyNumberFormat="1" applyFont="1" applyFill="1" applyBorder="1" applyAlignment="1">
      <alignment vertical="center"/>
    </xf>
    <xf numFmtId="178" fontId="55" fillId="3" borderId="95" xfId="0" applyNumberFormat="1" applyFont="1" applyFill="1" applyBorder="1" applyAlignment="1">
      <alignment vertical="center"/>
    </xf>
    <xf numFmtId="178" fontId="55" fillId="3" borderId="91" xfId="0" applyNumberFormat="1" applyFont="1" applyFill="1" applyBorder="1" applyAlignment="1">
      <alignment vertical="center"/>
    </xf>
    <xf numFmtId="178" fontId="55" fillId="3" borderId="88" xfId="0" applyNumberFormat="1" applyFont="1" applyFill="1" applyBorder="1" applyAlignment="1">
      <alignment vertical="center"/>
    </xf>
    <xf numFmtId="178" fontId="55" fillId="3" borderId="90" xfId="0" applyNumberFormat="1" applyFont="1" applyFill="1" applyBorder="1" applyAlignment="1">
      <alignment vertical="center"/>
    </xf>
    <xf numFmtId="0" fontId="40" fillId="0" borderId="80" xfId="0" applyFont="1" applyBorder="1" applyAlignment="1">
      <alignment horizontal="left" vertical="center"/>
    </xf>
    <xf numFmtId="0" fontId="55" fillId="3" borderId="75" xfId="0" applyFont="1" applyFill="1" applyBorder="1" applyAlignment="1">
      <alignment vertical="center"/>
    </xf>
    <xf numFmtId="178" fontId="55" fillId="3" borderId="77" xfId="0" applyNumberFormat="1" applyFont="1" applyFill="1" applyBorder="1" applyAlignment="1">
      <alignment horizontal="right" vertical="center"/>
    </xf>
    <xf numFmtId="178" fontId="55" fillId="3" borderId="78" xfId="0" applyNumberFormat="1" applyFont="1" applyFill="1" applyBorder="1" applyAlignment="1">
      <alignment horizontal="right" vertical="center"/>
    </xf>
    <xf numFmtId="178" fontId="55" fillId="3" borderId="79" xfId="0" applyNumberFormat="1" applyFont="1" applyFill="1" applyBorder="1" applyAlignment="1">
      <alignment vertical="center"/>
    </xf>
    <xf numFmtId="0" fontId="55" fillId="62" borderId="72" xfId="0" applyFont="1" applyFill="1" applyBorder="1" applyAlignment="1">
      <alignment vertical="center"/>
    </xf>
    <xf numFmtId="178" fontId="55" fillId="62" borderId="73" xfId="0" applyNumberFormat="1" applyFont="1" applyFill="1" applyBorder="1" applyAlignment="1">
      <alignment vertical="center"/>
    </xf>
    <xf numFmtId="178" fontId="55" fillId="62" borderId="76" xfId="0" applyNumberFormat="1" applyFont="1" applyFill="1" applyBorder="1" applyAlignment="1">
      <alignment vertical="center"/>
    </xf>
    <xf numFmtId="178" fontId="55" fillId="62" borderId="74" xfId="0" applyNumberFormat="1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1" xfId="2" applyFont="1" applyBorder="1" applyAlignment="1">
      <alignment vertical="center"/>
    </xf>
    <xf numFmtId="0" fontId="52" fillId="0" borderId="1" xfId="0" applyFont="1" applyBorder="1" applyAlignment="1">
      <alignment vertical="center"/>
    </xf>
    <xf numFmtId="0" fontId="68" fillId="0" borderId="0" xfId="0" applyFont="1" applyAlignment="1" applyProtection="1">
      <alignment vertical="center"/>
      <protection locked="0"/>
    </xf>
    <xf numFmtId="0" fontId="52" fillId="0" borderId="0" xfId="0" applyFont="1" applyAlignment="1" applyProtection="1">
      <alignment vertical="center"/>
      <protection locked="0"/>
    </xf>
    <xf numFmtId="0" fontId="44" fillId="0" borderId="88" xfId="47728" applyFont="1" applyBorder="1" applyAlignment="1">
      <alignment horizontal="center" vertical="center" wrapText="1"/>
    </xf>
    <xf numFmtId="0" fontId="44" fillId="0" borderId="87" xfId="47728" applyFont="1" applyBorder="1" applyAlignment="1">
      <alignment horizontal="center" vertical="center" wrapText="1"/>
    </xf>
    <xf numFmtId="0" fontId="2" fillId="0" borderId="88" xfId="47728" applyBorder="1" applyAlignment="1">
      <alignment vertical="center"/>
    </xf>
    <xf numFmtId="0" fontId="2" fillId="0" borderId="87" xfId="47728" applyBorder="1" applyAlignment="1">
      <alignment horizontal="left" vertical="center"/>
    </xf>
    <xf numFmtId="170" fontId="2" fillId="3" borderId="87" xfId="262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2" xfId="2" applyFont="1" applyBorder="1" applyAlignment="1">
      <alignment vertical="center"/>
    </xf>
    <xf numFmtId="0" fontId="2" fillId="0" borderId="92" xfId="2" applyFont="1" applyBorder="1" applyAlignment="1">
      <alignment vertical="center" wrapText="1" readingOrder="1"/>
    </xf>
    <xf numFmtId="170" fontId="2" fillId="0" borderId="0" xfId="47723" applyNumberFormat="1" applyFont="1" applyAlignment="1">
      <alignment vertical="center"/>
    </xf>
    <xf numFmtId="171" fontId="2" fillId="0" borderId="0" xfId="2" applyNumberFormat="1" applyFont="1" applyAlignment="1">
      <alignment vertical="center"/>
    </xf>
    <xf numFmtId="175" fontId="2" fillId="0" borderId="0" xfId="2" applyNumberFormat="1" applyFont="1" applyAlignment="1">
      <alignment vertical="center"/>
    </xf>
    <xf numFmtId="1" fontId="2" fillId="0" borderId="0" xfId="2" applyNumberFormat="1" applyFont="1" applyAlignment="1">
      <alignment horizontal="right" vertical="center"/>
    </xf>
    <xf numFmtId="167" fontId="2" fillId="0" borderId="0" xfId="2" applyNumberFormat="1" applyFont="1" applyAlignment="1">
      <alignment horizontal="center" vertical="center"/>
    </xf>
    <xf numFmtId="171" fontId="2" fillId="0" borderId="0" xfId="314" applyNumberFormat="1" applyFont="1" applyFill="1" applyBorder="1" applyAlignment="1">
      <alignment horizontal="center" vertical="center"/>
    </xf>
    <xf numFmtId="0" fontId="2" fillId="0" borderId="0" xfId="1" applyAlignment="1">
      <alignment vertical="center"/>
    </xf>
    <xf numFmtId="166" fontId="48" fillId="0" borderId="0" xfId="0" applyNumberFormat="1" applyFont="1" applyAlignment="1">
      <alignment vertical="center"/>
    </xf>
    <xf numFmtId="166" fontId="2" fillId="60" borderId="0" xfId="0" applyNumberFormat="1" applyFont="1" applyFill="1" applyAlignment="1">
      <alignment horizontal="center" vertical="center"/>
    </xf>
    <xf numFmtId="166" fontId="52" fillId="0" borderId="0" xfId="47723" applyNumberFormat="1" applyFont="1" applyFill="1" applyAlignment="1" applyProtection="1">
      <alignment vertical="center"/>
      <protection locked="0"/>
    </xf>
    <xf numFmtId="0" fontId="57" fillId="0" borderId="71" xfId="0" applyFont="1" applyBorder="1" applyAlignment="1">
      <alignment horizontal="left" vertical="center"/>
    </xf>
    <xf numFmtId="0" fontId="3" fillId="0" borderId="71" xfId="0" applyFont="1" applyBorder="1" applyAlignment="1">
      <alignment vertical="center"/>
    </xf>
    <xf numFmtId="0" fontId="57" fillId="0" borderId="66" xfId="0" applyFont="1" applyBorder="1" applyAlignment="1">
      <alignment horizontal="left" vertical="center"/>
    </xf>
    <xf numFmtId="0" fontId="3" fillId="0" borderId="66" xfId="0" applyFont="1" applyBorder="1" applyAlignment="1">
      <alignment vertical="center"/>
    </xf>
    <xf numFmtId="0" fontId="2" fillId="3" borderId="0" xfId="0" applyFont="1" applyFill="1" applyAlignment="1">
      <alignment vertical="center"/>
    </xf>
    <xf numFmtId="0" fontId="3" fillId="0" borderId="3" xfId="9" applyFont="1" applyAlignment="1">
      <alignment vertical="center"/>
    </xf>
    <xf numFmtId="169" fontId="2" fillId="0" borderId="0" xfId="47722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89" xfId="0" applyFont="1" applyBorder="1" applyAlignment="1">
      <alignment vertical="center" wrapText="1"/>
    </xf>
    <xf numFmtId="174" fontId="3" fillId="0" borderId="0" xfId="47727" applyNumberFormat="1" applyFont="1" applyAlignment="1">
      <alignment vertical="center"/>
    </xf>
    <xf numFmtId="174" fontId="3" fillId="0" borderId="70" xfId="47727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81" xfId="0" applyNumberFormat="1" applyFont="1" applyBorder="1" applyAlignment="1">
      <alignment vertical="center"/>
    </xf>
    <xf numFmtId="3" fontId="3" fillId="0" borderId="70" xfId="0" applyNumberFormat="1" applyFont="1" applyBorder="1" applyAlignment="1">
      <alignment vertical="center"/>
    </xf>
    <xf numFmtId="3" fontId="3" fillId="0" borderId="66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174" fontId="2" fillId="0" borderId="0" xfId="47727" applyNumberFormat="1" applyFont="1" applyAlignment="1">
      <alignment vertical="center"/>
    </xf>
    <xf numFmtId="174" fontId="2" fillId="0" borderId="85" xfId="47727" applyNumberFormat="1" applyFont="1" applyBorder="1" applyAlignment="1">
      <alignment vertical="center"/>
    </xf>
    <xf numFmtId="3" fontId="2" fillId="0" borderId="66" xfId="0" applyNumberFormat="1" applyFont="1" applyBorder="1" applyAlignment="1">
      <alignment vertical="center"/>
    </xf>
    <xf numFmtId="3" fontId="2" fillId="0" borderId="70" xfId="0" applyNumberFormat="1" applyFont="1" applyBorder="1" applyAlignment="1">
      <alignment vertical="center"/>
    </xf>
    <xf numFmtId="174" fontId="2" fillId="3" borderId="0" xfId="47727" applyNumberFormat="1" applyFont="1" applyFill="1" applyAlignment="1">
      <alignment vertical="center"/>
    </xf>
    <xf numFmtId="3" fontId="2" fillId="3" borderId="0" xfId="0" applyNumberFormat="1" applyFont="1" applyFill="1" applyAlignment="1">
      <alignment vertical="center"/>
    </xf>
    <xf numFmtId="3" fontId="2" fillId="3" borderId="66" xfId="0" applyNumberFormat="1" applyFont="1" applyFill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3" fillId="0" borderId="3" xfId="9" applyFont="1" applyFill="1" applyAlignment="1">
      <alignment vertical="center"/>
    </xf>
    <xf numFmtId="0" fontId="3" fillId="0" borderId="95" xfId="10" applyFont="1" applyFill="1" applyBorder="1" applyAlignment="1">
      <alignment horizontal="center" vertical="center"/>
    </xf>
    <xf numFmtId="0" fontId="3" fillId="0" borderId="92" xfId="10" applyFont="1" applyFill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0" borderId="98" xfId="0" applyFont="1" applyBorder="1" applyAlignment="1">
      <alignment vertical="center"/>
    </xf>
    <xf numFmtId="174" fontId="3" fillId="0" borderId="102" xfId="47727" applyNumberFormat="1" applyFont="1" applyBorder="1" applyAlignment="1">
      <alignment vertical="center"/>
    </xf>
    <xf numFmtId="174" fontId="3" fillId="0" borderId="101" xfId="47727" applyNumberFormat="1" applyFont="1" applyBorder="1" applyAlignment="1">
      <alignment vertical="center"/>
    </xf>
    <xf numFmtId="174" fontId="3" fillId="0" borderId="110" xfId="47727" applyNumberFormat="1" applyFont="1" applyBorder="1" applyAlignment="1">
      <alignment vertical="center"/>
    </xf>
    <xf numFmtId="174" fontId="3" fillId="0" borderId="111" xfId="47727" applyNumberFormat="1" applyFont="1" applyBorder="1" applyAlignment="1">
      <alignment vertical="center"/>
    </xf>
    <xf numFmtId="174" fontId="3" fillId="0" borderId="98" xfId="47727" applyNumberFormat="1" applyFont="1" applyBorder="1" applyAlignment="1">
      <alignment vertical="center"/>
    </xf>
    <xf numFmtId="4" fontId="3" fillId="0" borderId="103" xfId="0" applyNumberFormat="1" applyFont="1" applyBorder="1" applyAlignment="1">
      <alignment vertical="center"/>
    </xf>
    <xf numFmtId="174" fontId="2" fillId="0" borderId="66" xfId="47727" applyNumberFormat="1" applyFont="1" applyBorder="1" applyAlignment="1">
      <alignment vertical="center"/>
    </xf>
    <xf numFmtId="174" fontId="2" fillId="0" borderId="0" xfId="47727" applyNumberFormat="1" applyFont="1" applyBorder="1" applyAlignment="1">
      <alignment vertical="center"/>
    </xf>
    <xf numFmtId="174" fontId="2" fillId="0" borderId="105" xfId="47727" applyNumberFormat="1" applyFont="1" applyBorder="1" applyAlignment="1">
      <alignment vertical="center"/>
    </xf>
    <xf numFmtId="174" fontId="2" fillId="0" borderId="70" xfId="47727" applyNumberFormat="1" applyFont="1" applyBorder="1" applyAlignment="1">
      <alignment vertical="center"/>
    </xf>
    <xf numFmtId="174" fontId="2" fillId="0" borderId="71" xfId="47727" applyNumberFormat="1" applyFont="1" applyBorder="1" applyAlignment="1">
      <alignment vertical="center"/>
    </xf>
    <xf numFmtId="4" fontId="2" fillId="0" borderId="65" xfId="0" applyNumberFormat="1" applyFont="1" applyBorder="1" applyAlignment="1">
      <alignment vertical="center"/>
    </xf>
    <xf numFmtId="174" fontId="2" fillId="3" borderId="66" xfId="47727" applyNumberFormat="1" applyFont="1" applyFill="1" applyBorder="1" applyAlignment="1">
      <alignment vertical="center"/>
    </xf>
    <xf numFmtId="174" fontId="2" fillId="3" borderId="0" xfId="47727" applyNumberFormat="1" applyFont="1" applyFill="1" applyBorder="1" applyAlignment="1">
      <alignment vertical="center"/>
    </xf>
    <xf numFmtId="174" fontId="2" fillId="3" borderId="105" xfId="47727" applyNumberFormat="1" applyFont="1" applyFill="1" applyBorder="1" applyAlignment="1">
      <alignment vertical="center"/>
    </xf>
    <xf numFmtId="4" fontId="2" fillId="3" borderId="65" xfId="0" applyNumberFormat="1" applyFont="1" applyFill="1" applyBorder="1" applyAlignment="1">
      <alignment vertical="center"/>
    </xf>
    <xf numFmtId="174" fontId="3" fillId="0" borderId="66" xfId="47727" applyNumberFormat="1" applyFont="1" applyBorder="1" applyAlignment="1">
      <alignment vertical="center"/>
    </xf>
    <xf numFmtId="174" fontId="3" fillId="0" borderId="0" xfId="47727" applyNumberFormat="1" applyFont="1" applyBorder="1" applyAlignment="1">
      <alignment vertical="center"/>
    </xf>
    <xf numFmtId="174" fontId="3" fillId="0" borderId="105" xfId="47727" applyNumberFormat="1" applyFont="1" applyBorder="1" applyAlignment="1">
      <alignment vertical="center"/>
    </xf>
    <xf numFmtId="174" fontId="3" fillId="0" borderId="71" xfId="47727" applyNumberFormat="1" applyFont="1" applyBorder="1" applyAlignment="1">
      <alignment vertical="center"/>
    </xf>
    <xf numFmtId="4" fontId="3" fillId="0" borderId="65" xfId="0" applyNumberFormat="1" applyFont="1" applyBorder="1" applyAlignment="1">
      <alignment vertical="center"/>
    </xf>
    <xf numFmtId="174" fontId="3" fillId="3" borderId="66" xfId="47727" applyNumberFormat="1" applyFont="1" applyFill="1" applyBorder="1" applyAlignment="1">
      <alignment vertical="center"/>
    </xf>
    <xf numFmtId="174" fontId="3" fillId="3" borderId="0" xfId="47727" applyNumberFormat="1" applyFont="1" applyFill="1" applyBorder="1" applyAlignment="1">
      <alignment vertical="center"/>
    </xf>
    <xf numFmtId="174" fontId="3" fillId="3" borderId="105" xfId="47727" applyNumberFormat="1" applyFont="1" applyFill="1" applyBorder="1" applyAlignment="1">
      <alignment vertical="center"/>
    </xf>
    <xf numFmtId="0" fontId="57" fillId="0" borderId="109" xfId="0" applyFont="1" applyBorder="1" applyAlignment="1">
      <alignment horizontal="left" vertical="center"/>
    </xf>
    <xf numFmtId="174" fontId="2" fillId="3" borderId="106" xfId="47727" applyNumberFormat="1" applyFont="1" applyFill="1" applyBorder="1" applyAlignment="1">
      <alignment vertical="center"/>
    </xf>
    <xf numFmtId="174" fontId="2" fillId="3" borderId="107" xfId="47727" applyNumberFormat="1" applyFont="1" applyFill="1" applyBorder="1" applyAlignment="1">
      <alignment vertical="center"/>
    </xf>
    <xf numFmtId="174" fontId="2" fillId="3" borderId="108" xfId="47727" applyNumberFormat="1" applyFont="1" applyFill="1" applyBorder="1" applyAlignment="1">
      <alignment vertical="center"/>
    </xf>
    <xf numFmtId="174" fontId="2" fillId="0" borderId="107" xfId="47727" applyNumberFormat="1" applyFont="1" applyBorder="1" applyAlignment="1">
      <alignment vertical="center"/>
    </xf>
    <xf numFmtId="174" fontId="2" fillId="0" borderId="112" xfId="47727" applyNumberFormat="1" applyFont="1" applyBorder="1" applyAlignment="1">
      <alignment vertical="center"/>
    </xf>
    <xf numFmtId="174" fontId="2" fillId="0" borderId="109" xfId="47727" applyNumberFormat="1" applyFont="1" applyBorder="1" applyAlignment="1">
      <alignment vertical="center"/>
    </xf>
    <xf numFmtId="4" fontId="2" fillId="3" borderId="113" xfId="0" applyNumberFormat="1" applyFont="1" applyFill="1" applyBorder="1" applyAlignment="1">
      <alignment vertical="center"/>
    </xf>
    <xf numFmtId="0" fontId="3" fillId="0" borderId="67" xfId="0" applyFont="1" applyBorder="1" applyAlignment="1">
      <alignment vertical="center"/>
    </xf>
    <xf numFmtId="174" fontId="3" fillId="0" borderId="67" xfId="47727" applyNumberFormat="1" applyFont="1" applyBorder="1" applyAlignment="1">
      <alignment vertical="center"/>
    </xf>
    <xf numFmtId="4" fontId="3" fillId="0" borderId="67" xfId="0" applyNumberFormat="1" applyFont="1" applyBorder="1" applyAlignment="1">
      <alignment vertical="center"/>
    </xf>
    <xf numFmtId="0" fontId="3" fillId="0" borderId="102" xfId="0" applyFont="1" applyBorder="1" applyAlignment="1">
      <alignment vertical="center"/>
    </xf>
    <xf numFmtId="0" fontId="57" fillId="0" borderId="106" xfId="0" applyFont="1" applyBorder="1" applyAlignment="1">
      <alignment horizontal="left" vertical="center"/>
    </xf>
    <xf numFmtId="0" fontId="63" fillId="0" borderId="3" xfId="9" applyFont="1" applyAlignment="1">
      <alignment vertical="center"/>
    </xf>
    <xf numFmtId="174" fontId="3" fillId="0" borderId="68" xfId="47727" applyNumberFormat="1" applyFont="1" applyBorder="1" applyAlignment="1">
      <alignment vertical="center"/>
    </xf>
    <xf numFmtId="3" fontId="3" fillId="0" borderId="67" xfId="0" applyNumberFormat="1" applyFont="1" applyBorder="1" applyAlignment="1">
      <alignment vertical="center"/>
    </xf>
    <xf numFmtId="3" fontId="3" fillId="0" borderId="69" xfId="0" applyNumberFormat="1" applyFont="1" applyBorder="1" applyAlignment="1">
      <alignment vertical="center"/>
    </xf>
    <xf numFmtId="3" fontId="3" fillId="0" borderId="68" xfId="0" applyNumberFormat="1" applyFont="1" applyBorder="1" applyAlignment="1">
      <alignment vertical="center"/>
    </xf>
    <xf numFmtId="0" fontId="3" fillId="0" borderId="94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3" fillId="0" borderId="114" xfId="0" applyFont="1" applyBorder="1" applyAlignment="1">
      <alignment horizontal="center" vertical="center" wrapText="1"/>
    </xf>
    <xf numFmtId="0" fontId="3" fillId="0" borderId="115" xfId="0" applyFont="1" applyBorder="1" applyAlignment="1">
      <alignment horizontal="center" vertical="center" wrapText="1"/>
    </xf>
    <xf numFmtId="0" fontId="3" fillId="0" borderId="92" xfId="0" applyFont="1" applyBorder="1" applyAlignment="1">
      <alignment horizontal="center" vertical="center" wrapText="1"/>
    </xf>
    <xf numFmtId="3" fontId="3" fillId="0" borderId="71" xfId="0" applyNumberFormat="1" applyFont="1" applyBorder="1" applyAlignment="1">
      <alignment vertical="center"/>
    </xf>
    <xf numFmtId="3" fontId="2" fillId="0" borderId="71" xfId="0" applyNumberFormat="1" applyFont="1" applyBorder="1" applyAlignment="1">
      <alignment vertical="center"/>
    </xf>
    <xf numFmtId="3" fontId="2" fillId="0" borderId="109" xfId="0" applyNumberFormat="1" applyFont="1" applyBorder="1" applyAlignment="1">
      <alignment vertical="center"/>
    </xf>
    <xf numFmtId="4" fontId="3" fillId="0" borderId="71" xfId="0" applyNumberFormat="1" applyFont="1" applyBorder="1" applyAlignment="1">
      <alignment vertical="center"/>
    </xf>
    <xf numFmtId="4" fontId="2" fillId="0" borderId="71" xfId="0" applyNumberFormat="1" applyFont="1" applyBorder="1" applyAlignment="1">
      <alignment vertical="center"/>
    </xf>
    <xf numFmtId="4" fontId="2" fillId="3" borderId="71" xfId="0" applyNumberFormat="1" applyFont="1" applyFill="1" applyBorder="1" applyAlignment="1">
      <alignment vertical="center"/>
    </xf>
    <xf numFmtId="4" fontId="2" fillId="3" borderId="109" xfId="0" applyNumberFormat="1" applyFont="1" applyFill="1" applyBorder="1" applyAlignment="1">
      <alignment vertical="center"/>
    </xf>
    <xf numFmtId="174" fontId="3" fillId="3" borderId="0" xfId="47727" applyNumberFormat="1" applyFont="1" applyFill="1" applyAlignment="1">
      <alignment vertical="center"/>
    </xf>
    <xf numFmtId="3" fontId="3" fillId="3" borderId="66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0" fontId="2" fillId="3" borderId="94" xfId="0" applyFont="1" applyFill="1" applyBorder="1" applyAlignment="1">
      <alignment horizontal="center" vertical="center"/>
    </xf>
    <xf numFmtId="0" fontId="2" fillId="3" borderId="97" xfId="0" applyFont="1" applyFill="1" applyBorder="1" applyAlignment="1">
      <alignment horizontal="center" vertical="center"/>
    </xf>
    <xf numFmtId="0" fontId="2" fillId="3" borderId="95" xfId="0" applyFont="1" applyFill="1" applyBorder="1" applyAlignment="1">
      <alignment horizontal="center" vertical="center"/>
    </xf>
    <xf numFmtId="0" fontId="2" fillId="3" borderId="92" xfId="0" applyFont="1" applyFill="1" applyBorder="1" applyAlignment="1">
      <alignment horizontal="center" vertical="center"/>
    </xf>
    <xf numFmtId="49" fontId="2" fillId="3" borderId="94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9" fontId="2" fillId="0" borderId="0" xfId="0" applyNumberFormat="1" applyFont="1" applyAlignment="1">
      <alignment horizontal="center" vertical="center"/>
    </xf>
    <xf numFmtId="37" fontId="2" fillId="0" borderId="0" xfId="47722" applyNumberFormat="1" applyFont="1" applyBorder="1" applyAlignment="1">
      <alignment vertical="center"/>
    </xf>
    <xf numFmtId="37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7" fontId="3" fillId="3" borderId="0" xfId="47722" applyNumberFormat="1" applyFont="1" applyFill="1" applyBorder="1" applyAlignment="1">
      <alignment horizontal="center" vertical="center" wrapText="1"/>
    </xf>
    <xf numFmtId="37" fontId="3" fillId="3" borderId="0" xfId="0" applyNumberFormat="1" applyFont="1" applyFill="1" applyAlignment="1">
      <alignment horizontal="center" vertical="center" wrapText="1"/>
    </xf>
    <xf numFmtId="174" fontId="3" fillId="3" borderId="0" xfId="47727" applyNumberFormat="1" applyFont="1" applyFill="1" applyBorder="1" applyAlignment="1">
      <alignment horizontal="center" vertical="center" wrapText="1"/>
    </xf>
    <xf numFmtId="17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0" fontId="49" fillId="59" borderId="0" xfId="47723" applyNumberFormat="1" applyFont="1" applyFill="1" applyAlignment="1">
      <alignment vertical="top"/>
    </xf>
    <xf numFmtId="49" fontId="3" fillId="58" borderId="97" xfId="0" applyNumberFormat="1" applyFont="1" applyFill="1" applyBorder="1" applyAlignment="1">
      <alignment horizontal="center" vertical="center" wrapText="1"/>
    </xf>
    <xf numFmtId="0" fontId="3" fillId="58" borderId="97" xfId="0" applyFont="1" applyFill="1" applyBorder="1" applyAlignment="1">
      <alignment horizontal="center" vertical="center" wrapText="1"/>
    </xf>
    <xf numFmtId="0" fontId="3" fillId="58" borderId="97" xfId="47725" applyFont="1" applyFill="1" applyBorder="1" applyAlignment="1">
      <alignment horizontal="center" vertical="center" wrapText="1"/>
    </xf>
    <xf numFmtId="172" fontId="3" fillId="58" borderId="97" xfId="47725" applyNumberFormat="1" applyFont="1" applyFill="1" applyBorder="1" applyAlignment="1">
      <alignment horizontal="center" vertical="center" wrapText="1"/>
    </xf>
    <xf numFmtId="44" fontId="3" fillId="58" borderId="97" xfId="47727" applyFont="1" applyFill="1" applyBorder="1" applyAlignment="1">
      <alignment horizontal="center" vertical="center" wrapText="1"/>
    </xf>
    <xf numFmtId="167" fontId="3" fillId="58" borderId="97" xfId="47725" applyNumberFormat="1" applyFont="1" applyFill="1" applyBorder="1" applyAlignment="1">
      <alignment horizontal="center" vertical="center" wrapText="1"/>
    </xf>
    <xf numFmtId="170" fontId="3" fillId="58" borderId="97" xfId="47723" applyNumberFormat="1" applyFont="1" applyFill="1" applyBorder="1" applyAlignment="1">
      <alignment horizontal="center" vertical="center" wrapText="1"/>
    </xf>
    <xf numFmtId="0" fontId="3" fillId="62" borderId="97" xfId="47725" applyFont="1" applyFill="1" applyBorder="1" applyAlignment="1">
      <alignment horizontal="center" vertical="center" wrapText="1"/>
    </xf>
    <xf numFmtId="169" fontId="3" fillId="61" borderId="97" xfId="47722" applyNumberFormat="1" applyFont="1" applyFill="1" applyBorder="1" applyAlignment="1" applyProtection="1">
      <alignment horizontal="center" vertical="center" wrapText="1"/>
    </xf>
    <xf numFmtId="0" fontId="2" fillId="0" borderId="0" xfId="47725" applyFont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vertical="center"/>
      <protection locked="0"/>
    </xf>
    <xf numFmtId="37" fontId="40" fillId="0" borderId="0" xfId="0" applyNumberFormat="1" applyFont="1" applyAlignment="1" applyProtection="1">
      <alignment vertical="center"/>
      <protection locked="0"/>
    </xf>
    <xf numFmtId="174" fontId="40" fillId="0" borderId="0" xfId="47727" applyNumberFormat="1" applyFont="1" applyBorder="1" applyAlignment="1" applyProtection="1">
      <alignment vertical="center"/>
      <protection locked="0"/>
    </xf>
    <xf numFmtId="44" fontId="40" fillId="3" borderId="0" xfId="47727" applyFont="1" applyFill="1" applyBorder="1" applyAlignment="1" applyProtection="1">
      <alignment vertical="center"/>
      <protection locked="0"/>
    </xf>
    <xf numFmtId="0" fontId="2" fillId="0" borderId="0" xfId="47725" applyFont="1" applyAlignment="1" applyProtection="1">
      <alignment horizontal="left" vertical="center" wrapText="1"/>
      <protection locked="0"/>
    </xf>
    <xf numFmtId="10" fontId="2" fillId="0" borderId="0" xfId="47725" applyNumberFormat="1" applyFont="1" applyAlignment="1" applyProtection="1">
      <alignment horizontal="center" vertical="center"/>
      <protection locked="0"/>
    </xf>
    <xf numFmtId="10" fontId="2" fillId="0" borderId="0" xfId="47723" applyNumberFormat="1" applyFont="1" applyFill="1" applyBorder="1" applyAlignment="1" applyProtection="1">
      <alignment horizontal="right" vertical="center" wrapText="1"/>
      <protection locked="0"/>
    </xf>
    <xf numFmtId="3" fontId="2" fillId="0" borderId="0" xfId="47725" applyNumberFormat="1" applyFont="1" applyAlignment="1" applyProtection="1">
      <alignment horizontal="right" vertical="center" wrapText="1"/>
      <protection locked="0"/>
    </xf>
    <xf numFmtId="180" fontId="2" fillId="0" borderId="0" xfId="47725" applyNumberFormat="1" applyFont="1" applyAlignment="1" applyProtection="1">
      <alignment horizontal="right" vertical="center" wrapText="1"/>
      <protection locked="0"/>
    </xf>
    <xf numFmtId="180" fontId="2" fillId="0" borderId="0" xfId="110" quotePrefix="1" applyNumberFormat="1" applyFont="1" applyFill="1" applyBorder="1" applyAlignment="1">
      <alignment vertical="center"/>
    </xf>
    <xf numFmtId="181" fontId="2" fillId="0" borderId="0" xfId="110" quotePrefix="1" applyNumberFormat="1" applyFont="1" applyFill="1" applyBorder="1" applyAlignment="1">
      <alignment vertical="center"/>
    </xf>
    <xf numFmtId="170" fontId="2" fillId="0" borderId="0" xfId="47723" quotePrefix="1" applyNumberFormat="1" applyFont="1" applyFill="1" applyBorder="1" applyAlignment="1">
      <alignment vertical="center"/>
    </xf>
    <xf numFmtId="174" fontId="2" fillId="0" borderId="0" xfId="47727" applyNumberFormat="1" applyFont="1" applyBorder="1" applyAlignment="1" applyProtection="1">
      <alignment horizontal="right" vertical="center" wrapText="1"/>
      <protection locked="0"/>
    </xf>
    <xf numFmtId="9" fontId="2" fillId="0" borderId="0" xfId="47723" applyFont="1" applyFill="1" applyBorder="1" applyAlignment="1" applyProtection="1">
      <alignment horizontal="right" vertical="center" wrapText="1"/>
    </xf>
    <xf numFmtId="0" fontId="2" fillId="0" borderId="0" xfId="47723" applyNumberFormat="1" applyFont="1" applyFill="1" applyBorder="1" applyAlignment="1" applyProtection="1">
      <alignment horizontal="right" vertical="center" wrapText="1"/>
    </xf>
    <xf numFmtId="37" fontId="40" fillId="3" borderId="0" xfId="47722" applyNumberFormat="1" applyFont="1" applyFill="1" applyBorder="1" applyAlignment="1" applyProtection="1">
      <alignment vertical="center"/>
    </xf>
    <xf numFmtId="174" fontId="2" fillId="3" borderId="0" xfId="47727" applyNumberFormat="1" applyFont="1" applyFill="1" applyBorder="1" applyAlignment="1" applyProtection="1">
      <alignment vertical="center"/>
    </xf>
    <xf numFmtId="37" fontId="40" fillId="3" borderId="0" xfId="47722" applyNumberFormat="1" applyFont="1" applyFill="1" applyBorder="1" applyAlignment="1" applyProtection="1">
      <alignment horizontal="center" vertical="center"/>
    </xf>
    <xf numFmtId="44" fontId="2" fillId="3" borderId="0" xfId="47727" applyFont="1" applyFill="1" applyBorder="1" applyAlignment="1" applyProtection="1">
      <alignment vertical="center"/>
    </xf>
    <xf numFmtId="44" fontId="2" fillId="3" borderId="0" xfId="47727" applyFont="1" applyFill="1" applyBorder="1" applyAlignment="1">
      <alignment vertical="center"/>
    </xf>
    <xf numFmtId="2" fontId="2" fillId="3" borderId="0" xfId="47722" applyNumberFormat="1" applyFont="1" applyFill="1" applyBorder="1" applyAlignment="1" applyProtection="1">
      <alignment vertical="center"/>
    </xf>
    <xf numFmtId="2" fontId="2" fillId="3" borderId="0" xfId="47722" applyNumberFormat="1" applyFont="1" applyFill="1" applyBorder="1" applyAlignment="1">
      <alignment vertical="center"/>
    </xf>
    <xf numFmtId="10" fontId="2" fillId="0" borderId="0" xfId="47723" applyNumberFormat="1" applyFont="1" applyBorder="1" applyAlignment="1" applyProtection="1">
      <alignment horizontal="right" vertical="center" wrapText="1"/>
      <protection locked="0"/>
    </xf>
    <xf numFmtId="180" fontId="2" fillId="0" borderId="0" xfId="110" quotePrefix="1" applyNumberFormat="1" applyFont="1" applyBorder="1" applyAlignment="1">
      <alignment vertical="center"/>
    </xf>
    <xf numFmtId="181" fontId="2" fillId="0" borderId="0" xfId="110" quotePrefix="1" applyNumberFormat="1" applyFont="1" applyBorder="1" applyAlignment="1">
      <alignment vertical="center"/>
    </xf>
    <xf numFmtId="170" fontId="2" fillId="0" borderId="0" xfId="47723" quotePrefix="1" applyNumberFormat="1" applyFont="1" applyBorder="1" applyAlignment="1">
      <alignment vertical="center"/>
    </xf>
    <xf numFmtId="9" fontId="2" fillId="0" borderId="0" xfId="47723" applyFont="1" applyFill="1" applyBorder="1" applyAlignment="1">
      <alignment horizontal="right" vertical="center" wrapText="1"/>
    </xf>
    <xf numFmtId="0" fontId="2" fillId="0" borderId="0" xfId="47723" applyNumberFormat="1" applyFont="1" applyFill="1" applyBorder="1" applyAlignment="1">
      <alignment horizontal="right" vertical="center" wrapText="1"/>
    </xf>
    <xf numFmtId="37" fontId="40" fillId="3" borderId="0" xfId="47722" applyNumberFormat="1" applyFont="1" applyFill="1" applyBorder="1" applyAlignment="1">
      <alignment vertical="center"/>
    </xf>
    <xf numFmtId="37" fontId="40" fillId="3" borderId="0" xfId="47722" applyNumberFormat="1" applyFont="1" applyFill="1" applyBorder="1" applyAlignment="1">
      <alignment horizontal="center" vertical="center"/>
    </xf>
    <xf numFmtId="2" fontId="49" fillId="0" borderId="0" xfId="47725" applyNumberFormat="1" applyFont="1" applyAlignment="1">
      <alignment vertical="top"/>
    </xf>
    <xf numFmtId="2" fontId="48" fillId="64" borderId="0" xfId="47725" applyNumberFormat="1" applyFill="1" applyAlignment="1">
      <alignment vertical="top"/>
    </xf>
    <xf numFmtId="168" fontId="48" fillId="64" borderId="0" xfId="47725" applyNumberFormat="1" applyFill="1" applyAlignment="1">
      <alignment vertical="top"/>
    </xf>
    <xf numFmtId="0" fontId="3" fillId="64" borderId="0" xfId="0" applyFont="1" applyFill="1" applyAlignment="1">
      <alignment horizontal="right" vertical="center"/>
    </xf>
    <xf numFmtId="0" fontId="7" fillId="64" borderId="0" xfId="0" applyFont="1" applyFill="1"/>
    <xf numFmtId="0" fontId="3" fillId="64" borderId="0" xfId="0" applyFont="1" applyFill="1" applyAlignment="1">
      <alignment horizontal="left" vertical="center"/>
    </xf>
    <xf numFmtId="0" fontId="2" fillId="64" borderId="0" xfId="0" applyFont="1" applyFill="1" applyAlignment="1">
      <alignment horizontal="right" vertical="center"/>
    </xf>
    <xf numFmtId="37" fontId="2" fillId="64" borderId="0" xfId="47722" applyNumberFormat="1" applyFont="1" applyFill="1" applyBorder="1" applyAlignment="1">
      <alignment vertical="center"/>
    </xf>
    <xf numFmtId="174" fontId="2" fillId="64" borderId="0" xfId="47727" applyNumberFormat="1" applyFont="1" applyFill="1" applyBorder="1" applyAlignment="1">
      <alignment vertical="center"/>
    </xf>
    <xf numFmtId="0" fontId="3" fillId="3" borderId="92" xfId="0" applyFont="1" applyFill="1" applyBorder="1" applyAlignment="1">
      <alignment horizontal="center" vertical="center" wrapText="1"/>
    </xf>
    <xf numFmtId="9" fontId="3" fillId="3" borderId="92" xfId="0" applyNumberFormat="1" applyFont="1" applyFill="1" applyBorder="1" applyAlignment="1">
      <alignment horizontal="center" vertical="center" wrapText="1"/>
    </xf>
    <xf numFmtId="9" fontId="51" fillId="0" borderId="98" xfId="0" applyNumberFormat="1" applyFont="1" applyBorder="1" applyAlignment="1">
      <alignment horizontal="center" vertical="center" wrapText="1"/>
    </xf>
    <xf numFmtId="3" fontId="51" fillId="0" borderId="92" xfId="0" applyNumberFormat="1" applyFont="1" applyBorder="1" applyAlignment="1">
      <alignment horizontal="center" vertical="center" wrapText="1"/>
    </xf>
    <xf numFmtId="0" fontId="40" fillId="0" borderId="92" xfId="0" applyFont="1" applyBorder="1" applyAlignment="1">
      <alignment horizontal="left" vertical="center"/>
    </xf>
    <xf numFmtId="10" fontId="51" fillId="0" borderId="98" xfId="0" applyNumberFormat="1" applyFont="1" applyBorder="1" applyAlignment="1">
      <alignment horizontal="center" vertical="center" wrapText="1"/>
    </xf>
    <xf numFmtId="0" fontId="51" fillId="0" borderId="92" xfId="0" applyFont="1" applyBorder="1" applyAlignment="1">
      <alignment horizontal="left" vertical="center" wrapText="1"/>
    </xf>
    <xf numFmtId="0" fontId="40" fillId="0" borderId="0" xfId="0" quotePrefix="1" applyFont="1" applyAlignment="1">
      <alignment vertical="center"/>
    </xf>
    <xf numFmtId="0" fontId="66" fillId="0" borderId="0" xfId="0" applyFont="1" applyAlignment="1">
      <alignment vertical="center"/>
    </xf>
    <xf numFmtId="0" fontId="40" fillId="0" borderId="0" xfId="0" applyFont="1"/>
    <xf numFmtId="0" fontId="40" fillId="3" borderId="0" xfId="0" applyFont="1" applyFill="1"/>
    <xf numFmtId="0" fontId="66" fillId="0" borderId="0" xfId="0" applyFont="1"/>
    <xf numFmtId="0" fontId="70" fillId="0" borderId="0" xfId="2" applyFont="1" applyAlignment="1">
      <alignment vertical="center"/>
    </xf>
    <xf numFmtId="0" fontId="21" fillId="0" borderId="0" xfId="0" applyFont="1" applyAlignment="1">
      <alignment vertical="center"/>
    </xf>
    <xf numFmtId="0" fontId="70" fillId="0" borderId="0" xfId="0" applyFont="1" applyAlignment="1" applyProtection="1">
      <alignment vertical="center"/>
      <protection locked="0"/>
    </xf>
    <xf numFmtId="0" fontId="71" fillId="0" borderId="120" xfId="2" applyFont="1" applyBorder="1" applyAlignment="1">
      <alignment horizontal="center" vertical="top" wrapText="1" readingOrder="1"/>
    </xf>
    <xf numFmtId="0" fontId="71" fillId="0" borderId="121" xfId="2" applyFont="1" applyBorder="1" applyAlignment="1">
      <alignment horizontal="center" vertical="top" wrapText="1" readingOrder="1"/>
    </xf>
    <xf numFmtId="0" fontId="71" fillId="0" borderId="92" xfId="2" applyFont="1" applyBorder="1" applyAlignment="1">
      <alignment horizontal="center" vertical="top" wrapText="1" readingOrder="1"/>
    </xf>
    <xf numFmtId="0" fontId="71" fillId="0" borderId="123" xfId="2" applyFont="1" applyBorder="1" applyAlignment="1">
      <alignment horizontal="center" vertical="top" wrapText="1" readingOrder="1"/>
    </xf>
    <xf numFmtId="0" fontId="71" fillId="0" borderId="124" xfId="2" applyFont="1" applyBorder="1" applyAlignment="1">
      <alignment horizontal="center" vertical="top" wrapText="1" readingOrder="1"/>
    </xf>
    <xf numFmtId="0" fontId="71" fillId="0" borderId="125" xfId="2" applyFont="1" applyBorder="1" applyAlignment="1">
      <alignment horizontal="center" vertical="top" wrapText="1" readingOrder="1"/>
    </xf>
    <xf numFmtId="167" fontId="4" fillId="0" borderId="126" xfId="2" applyNumberFormat="1" applyBorder="1" applyAlignment="1">
      <alignment horizontal="center" vertical="top"/>
    </xf>
    <xf numFmtId="171" fontId="4" fillId="0" borderId="127" xfId="314" applyNumberFormat="1" applyFont="1" applyFill="1" applyBorder="1" applyAlignment="1">
      <alignment horizontal="center" vertical="top"/>
    </xf>
    <xf numFmtId="167" fontId="4" fillId="0" borderId="66" xfId="2" applyNumberFormat="1" applyBorder="1" applyAlignment="1">
      <alignment horizontal="center" vertical="top"/>
    </xf>
    <xf numFmtId="171" fontId="4" fillId="0" borderId="65" xfId="314" applyNumberFormat="1" applyFont="1" applyFill="1" applyBorder="1" applyAlignment="1">
      <alignment horizontal="center" vertical="top"/>
    </xf>
    <xf numFmtId="167" fontId="4" fillId="0" borderId="93" xfId="2" applyNumberFormat="1" applyBorder="1" applyAlignment="1">
      <alignment horizontal="center" vertical="top"/>
    </xf>
    <xf numFmtId="171" fontId="4" fillId="0" borderId="104" xfId="314" applyNumberFormat="1" applyFont="1" applyFill="1" applyBorder="1" applyAlignment="1">
      <alignment horizontal="center" vertical="top"/>
    </xf>
    <xf numFmtId="167" fontId="4" fillId="0" borderId="128" xfId="2" applyNumberFormat="1" applyBorder="1" applyAlignment="1">
      <alignment horizontal="center" vertical="top"/>
    </xf>
    <xf numFmtId="171" fontId="4" fillId="0" borderId="129" xfId="314" applyNumberFormat="1" applyFont="1" applyFill="1" applyBorder="1" applyAlignment="1">
      <alignment horizontal="center" vertical="top"/>
    </xf>
    <xf numFmtId="0" fontId="4" fillId="0" borderId="119" xfId="2" applyBorder="1" applyAlignment="1">
      <alignment horizontal="center" vertical="top" wrapText="1" readingOrder="1"/>
    </xf>
    <xf numFmtId="0" fontId="4" fillId="0" borderId="131" xfId="2" applyBorder="1" applyAlignment="1">
      <alignment vertical="top" wrapText="1" readingOrder="1"/>
    </xf>
    <xf numFmtId="0" fontId="4" fillId="0" borderId="132" xfId="2" applyBorder="1" applyAlignment="1">
      <alignment vertical="top" wrapText="1" readingOrder="1"/>
    </xf>
    <xf numFmtId="0" fontId="71" fillId="0" borderId="133" xfId="2" applyFont="1" applyBorder="1" applyAlignment="1">
      <alignment horizontal="center" vertical="top" wrapText="1" readingOrder="1"/>
    </xf>
    <xf numFmtId="0" fontId="71" fillId="0" borderId="65" xfId="2" applyFont="1" applyBorder="1" applyAlignment="1">
      <alignment horizontal="center" vertical="top" wrapText="1" readingOrder="1"/>
    </xf>
    <xf numFmtId="171" fontId="2" fillId="0" borderId="129" xfId="202" applyNumberFormat="1" applyBorder="1" applyAlignment="1">
      <alignment horizontal="center"/>
    </xf>
    <xf numFmtId="171" fontId="2" fillId="0" borderId="65" xfId="202" applyNumberFormat="1" applyBorder="1" applyAlignment="1">
      <alignment horizontal="center"/>
    </xf>
    <xf numFmtId="0" fontId="71" fillId="0" borderId="137" xfId="2" applyFont="1" applyBorder="1" applyAlignment="1">
      <alignment horizontal="center" vertical="top" wrapText="1" readingOrder="1"/>
    </xf>
    <xf numFmtId="167" fontId="4" fillId="0" borderId="102" xfId="2" applyNumberFormat="1" applyBorder="1" applyAlignment="1">
      <alignment horizontal="center" vertical="top"/>
    </xf>
    <xf numFmtId="171" fontId="2" fillId="0" borderId="103" xfId="202" applyNumberFormat="1" applyBorder="1" applyAlignment="1">
      <alignment horizontal="center"/>
    </xf>
    <xf numFmtId="171" fontId="4" fillId="0" borderId="103" xfId="314" applyNumberFormat="1" applyFont="1" applyFill="1" applyBorder="1" applyAlignment="1">
      <alignment horizontal="center" vertical="top"/>
    </xf>
    <xf numFmtId="0" fontId="2" fillId="0" borderId="98" xfId="2" applyFont="1" applyBorder="1" applyAlignment="1">
      <alignment horizontal="center" vertical="center"/>
    </xf>
    <xf numFmtId="0" fontId="2" fillId="0" borderId="71" xfId="2" applyFont="1" applyBorder="1" applyAlignment="1">
      <alignment horizontal="center" vertical="center"/>
    </xf>
    <xf numFmtId="0" fontId="2" fillId="0" borderId="100" xfId="2" applyFont="1" applyBorder="1" applyAlignment="1">
      <alignment horizontal="center" vertical="center"/>
    </xf>
    <xf numFmtId="3" fontId="4" fillId="0" borderId="127" xfId="314" applyNumberFormat="1" applyFont="1" applyFill="1" applyBorder="1" applyAlignment="1">
      <alignment horizontal="center" vertical="top"/>
    </xf>
    <xf numFmtId="3" fontId="4" fillId="0" borderId="65" xfId="314" applyNumberFormat="1" applyFont="1" applyFill="1" applyBorder="1" applyAlignment="1">
      <alignment horizontal="center" vertical="top"/>
    </xf>
    <xf numFmtId="3" fontId="4" fillId="0" borderId="104" xfId="314" applyNumberFormat="1" applyFont="1" applyFill="1" applyBorder="1" applyAlignment="1">
      <alignment horizontal="center" vertical="top"/>
    </xf>
    <xf numFmtId="3" fontId="4" fillId="0" borderId="129" xfId="314" applyNumberFormat="1" applyFont="1" applyFill="1" applyBorder="1" applyAlignment="1">
      <alignment horizontal="center" vertical="top"/>
    </xf>
    <xf numFmtId="4" fontId="4" fillId="0" borderId="126" xfId="2" applyNumberFormat="1" applyBorder="1" applyAlignment="1">
      <alignment horizontal="center" vertical="top"/>
    </xf>
    <xf numFmtId="4" fontId="4" fillId="0" borderId="66" xfId="2" applyNumberFormat="1" applyBorder="1" applyAlignment="1">
      <alignment horizontal="center" vertical="top"/>
    </xf>
    <xf numFmtId="4" fontId="4" fillId="0" borderId="93" xfId="2" applyNumberFormat="1" applyBorder="1" applyAlignment="1">
      <alignment horizontal="center" vertical="top"/>
    </xf>
    <xf numFmtId="4" fontId="4" fillId="0" borderId="128" xfId="2" applyNumberFormat="1" applyBorder="1" applyAlignment="1">
      <alignment horizontal="center" vertical="top"/>
    </xf>
    <xf numFmtId="182" fontId="3" fillId="0" borderId="100" xfId="188" applyNumberFormat="1" applyFont="1" applyBorder="1" applyAlignment="1">
      <alignment horizontal="center" vertical="center" wrapText="1"/>
    </xf>
    <xf numFmtId="166" fontId="40" fillId="0" borderId="65" xfId="149" applyNumberFormat="1" applyFont="1" applyFill="1" applyBorder="1" applyAlignment="1" applyProtection="1">
      <alignment horizontal="center"/>
      <protection locked="0"/>
    </xf>
    <xf numFmtId="166" fontId="40" fillId="0" borderId="104" xfId="149" applyNumberFormat="1" applyFont="1" applyFill="1" applyBorder="1" applyAlignment="1" applyProtection="1">
      <alignment horizontal="center"/>
      <protection locked="0"/>
    </xf>
    <xf numFmtId="166" fontId="40" fillId="0" borderId="103" xfId="149" applyNumberFormat="1" applyFont="1" applyFill="1" applyBorder="1" applyAlignment="1" applyProtection="1">
      <alignment horizontal="center"/>
      <protection locked="0"/>
    </xf>
    <xf numFmtId="0" fontId="71" fillId="0" borderId="138" xfId="2" applyFont="1" applyBorder="1">
      <alignment vertical="top"/>
    </xf>
    <xf numFmtId="10" fontId="4" fillId="0" borderId="138" xfId="2" applyNumberFormat="1" applyBorder="1">
      <alignment vertical="top"/>
    </xf>
    <xf numFmtId="10" fontId="4" fillId="0" borderId="138" xfId="2" applyNumberFormat="1" applyBorder="1" applyAlignment="1">
      <alignment horizontal="right" vertical="top"/>
    </xf>
    <xf numFmtId="10" fontId="2" fillId="0" borderId="138" xfId="2" applyNumberFormat="1" applyFont="1" applyBorder="1" applyAlignment="1">
      <alignment horizontal="right" vertical="top"/>
    </xf>
    <xf numFmtId="0" fontId="71" fillId="0" borderId="139" xfId="2" applyFont="1" applyBorder="1" applyAlignment="1">
      <alignment horizontal="left" vertical="top" wrapText="1" readingOrder="1"/>
    </xf>
    <xf numFmtId="0" fontId="71" fillId="0" borderId="140" xfId="2" applyFont="1" applyBorder="1" applyAlignment="1">
      <alignment horizontal="left" vertical="top" wrapText="1" readingOrder="1"/>
    </xf>
    <xf numFmtId="0" fontId="55" fillId="0" borderId="116" xfId="2" applyFont="1" applyBorder="1" applyAlignment="1">
      <alignment horizontal="center" vertical="top" wrapText="1" readingOrder="1"/>
    </xf>
    <xf numFmtId="0" fontId="55" fillId="0" borderId="117" xfId="2" applyFont="1" applyBorder="1" applyAlignment="1">
      <alignment horizontal="center" vertical="top" wrapText="1" readingOrder="1"/>
    </xf>
    <xf numFmtId="0" fontId="55" fillId="0" borderId="118" xfId="2" applyFont="1" applyBorder="1" applyAlignment="1">
      <alignment horizontal="center" vertical="top" wrapText="1" readingOrder="1"/>
    </xf>
    <xf numFmtId="0" fontId="71" fillId="0" borderId="121" xfId="2" applyFont="1" applyBorder="1" applyAlignment="1">
      <alignment horizontal="center" vertical="top" wrapText="1" readingOrder="1"/>
    </xf>
    <xf numFmtId="0" fontId="71" fillId="0" borderId="122" xfId="2" applyFont="1" applyBorder="1" applyAlignment="1">
      <alignment horizontal="center" vertical="top" wrapText="1" readingOrder="1"/>
    </xf>
    <xf numFmtId="0" fontId="55" fillId="0" borderId="128" xfId="2" applyFont="1" applyBorder="1" applyAlignment="1">
      <alignment horizontal="center" vertical="top" wrapText="1" readingOrder="1"/>
    </xf>
    <xf numFmtId="0" fontId="55" fillId="0" borderId="130" xfId="2" applyFont="1" applyBorder="1" applyAlignment="1">
      <alignment horizontal="center" vertical="top" wrapText="1" readingOrder="1"/>
    </xf>
    <xf numFmtId="0" fontId="55" fillId="0" borderId="129" xfId="2" applyFont="1" applyBorder="1" applyAlignment="1">
      <alignment horizontal="center" vertical="top" wrapText="1" readingOrder="1"/>
    </xf>
    <xf numFmtId="0" fontId="55" fillId="0" borderId="134" xfId="2" applyFont="1" applyBorder="1" applyAlignment="1">
      <alignment horizontal="center" vertical="top" wrapText="1" readingOrder="1"/>
    </xf>
    <xf numFmtId="0" fontId="55" fillId="0" borderId="135" xfId="2" applyFont="1" applyBorder="1" applyAlignment="1">
      <alignment horizontal="center" vertical="top" wrapText="1" readingOrder="1"/>
    </xf>
    <xf numFmtId="0" fontId="55" fillId="0" borderId="136" xfId="2" applyFont="1" applyBorder="1" applyAlignment="1">
      <alignment horizontal="center" vertical="top" wrapText="1" readingOrder="1"/>
    </xf>
    <xf numFmtId="0" fontId="40" fillId="0" borderId="0" xfId="0" applyFont="1" applyAlignment="1">
      <alignment horizontal="left" vertical="center" wrapText="1"/>
    </xf>
    <xf numFmtId="9" fontId="51" fillId="0" borderId="98" xfId="0" applyNumberFormat="1" applyFont="1" applyBorder="1" applyAlignment="1">
      <alignment horizontal="center" vertical="center" wrapText="1"/>
    </xf>
    <xf numFmtId="9" fontId="51" fillId="0" borderId="100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0" fontId="40" fillId="0" borderId="84" xfId="0" applyFont="1" applyBorder="1" applyAlignment="1">
      <alignment vertical="center" wrapText="1"/>
    </xf>
    <xf numFmtId="0" fontId="61" fillId="63" borderId="92" xfId="0" applyFont="1" applyFill="1" applyBorder="1" applyAlignment="1">
      <alignment horizontal="center" vertical="center" wrapText="1"/>
    </xf>
    <xf numFmtId="0" fontId="51" fillId="0" borderId="98" xfId="0" applyFont="1" applyBorder="1" applyAlignment="1">
      <alignment horizontal="left" vertical="center" wrapText="1"/>
    </xf>
    <xf numFmtId="0" fontId="51" fillId="0" borderId="100" xfId="0" applyFont="1" applyBorder="1" applyAlignment="1">
      <alignment horizontal="left" vertical="center" wrapText="1"/>
    </xf>
    <xf numFmtId="0" fontId="66" fillId="0" borderId="0" xfId="0" applyFont="1" applyAlignment="1">
      <alignment horizontal="center" vertical="center"/>
    </xf>
    <xf numFmtId="0" fontId="66" fillId="0" borderId="0" xfId="0" applyFont="1" applyAlignment="1">
      <alignment horizontal="center"/>
    </xf>
    <xf numFmtId="0" fontId="40" fillId="0" borderId="101" xfId="0" quotePrefix="1" applyFont="1" applyBorder="1" applyAlignment="1">
      <alignment horizontal="left" vertical="center" wrapText="1"/>
    </xf>
    <xf numFmtId="0" fontId="40" fillId="0" borderId="0" xfId="0" quotePrefix="1" applyFont="1" applyAlignment="1">
      <alignment horizontal="left" vertical="center"/>
    </xf>
    <xf numFmtId="0" fontId="40" fillId="0" borderId="0" xfId="0" quotePrefix="1" applyFont="1" applyAlignment="1">
      <alignment horizontal="left" vertical="center" wrapText="1"/>
    </xf>
    <xf numFmtId="0" fontId="3" fillId="0" borderId="94" xfId="10" applyFont="1" applyFill="1" applyBorder="1" applyAlignment="1">
      <alignment horizontal="center" vertical="center"/>
    </xf>
    <xf numFmtId="0" fontId="3" fillId="0" borderId="97" xfId="10" applyFont="1" applyFill="1" applyBorder="1" applyAlignment="1">
      <alignment horizontal="center" vertical="center"/>
    </xf>
    <xf numFmtId="0" fontId="3" fillId="0" borderId="95" xfId="10" applyFont="1" applyFill="1" applyBorder="1" applyAlignment="1">
      <alignment horizontal="center" vertical="center"/>
    </xf>
    <xf numFmtId="0" fontId="7" fillId="0" borderId="9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47727" applyFont="1" applyAlignment="1">
      <alignment vertical="center"/>
    </xf>
    <xf numFmtId="44" fontId="7" fillId="0" borderId="97" xfId="47727" applyFont="1" applyBorder="1" applyAlignment="1">
      <alignment horizontal="center" vertical="center"/>
    </xf>
  </cellXfs>
  <cellStyles count="47729">
    <cellStyle name="20% - Accent1" xfId="26" builtinId="30" customBuiltin="1"/>
    <cellStyle name="20% - Accent1 2" xfId="49" xr:uid="{00000000-0005-0000-0000-000001000000}"/>
    <cellStyle name="20% - Accent1 3" xfId="50" xr:uid="{00000000-0005-0000-0000-000002000000}"/>
    <cellStyle name="20% - Accent2" xfId="30" builtinId="34" customBuiltin="1"/>
    <cellStyle name="20% - Accent2 2" xfId="51" xr:uid="{00000000-0005-0000-0000-000004000000}"/>
    <cellStyle name="20% - Accent2 3" xfId="52" xr:uid="{00000000-0005-0000-0000-000005000000}"/>
    <cellStyle name="20% - Accent3" xfId="34" builtinId="38" customBuiltin="1"/>
    <cellStyle name="20% - Accent3 2" xfId="53" xr:uid="{00000000-0005-0000-0000-000007000000}"/>
    <cellStyle name="20% - Accent3 3" xfId="54" xr:uid="{00000000-0005-0000-0000-000008000000}"/>
    <cellStyle name="20% - Accent4" xfId="38" builtinId="42" customBuiltin="1"/>
    <cellStyle name="20% - Accent4 2" xfId="55" xr:uid="{00000000-0005-0000-0000-00000A000000}"/>
    <cellStyle name="20% - Accent4 3" xfId="56" xr:uid="{00000000-0005-0000-0000-00000B000000}"/>
    <cellStyle name="20% - Accent5" xfId="42" builtinId="46" customBuiltin="1"/>
    <cellStyle name="20% - Accent5 2" xfId="57" xr:uid="{00000000-0005-0000-0000-00000D000000}"/>
    <cellStyle name="20% - Accent5 3" xfId="58" xr:uid="{00000000-0005-0000-0000-00000E000000}"/>
    <cellStyle name="20% - Accent6" xfId="46" builtinId="50" customBuiltin="1"/>
    <cellStyle name="20% - Accent6 2" xfId="59" xr:uid="{00000000-0005-0000-0000-000010000000}"/>
    <cellStyle name="20% - Accent6 3" xfId="60" xr:uid="{00000000-0005-0000-0000-000011000000}"/>
    <cellStyle name="40% - Accent1" xfId="27" builtinId="31" customBuiltin="1"/>
    <cellStyle name="40% - Accent1 2" xfId="61" xr:uid="{00000000-0005-0000-0000-000013000000}"/>
    <cellStyle name="40% - Accent1 3" xfId="62" xr:uid="{00000000-0005-0000-0000-000014000000}"/>
    <cellStyle name="40% - Accent2" xfId="31" builtinId="35" customBuiltin="1"/>
    <cellStyle name="40% - Accent2 2" xfId="63" xr:uid="{00000000-0005-0000-0000-000016000000}"/>
    <cellStyle name="40% - Accent2 3" xfId="64" xr:uid="{00000000-0005-0000-0000-000017000000}"/>
    <cellStyle name="40% - Accent3" xfId="35" builtinId="39" customBuiltin="1"/>
    <cellStyle name="40% - Accent3 2" xfId="65" xr:uid="{00000000-0005-0000-0000-000019000000}"/>
    <cellStyle name="40% - Accent3 3" xfId="66" xr:uid="{00000000-0005-0000-0000-00001A000000}"/>
    <cellStyle name="40% - Accent4" xfId="39" builtinId="43" customBuiltin="1"/>
    <cellStyle name="40% - Accent4 2" xfId="67" xr:uid="{00000000-0005-0000-0000-00001C000000}"/>
    <cellStyle name="40% - Accent4 3" xfId="68" xr:uid="{00000000-0005-0000-0000-00001D000000}"/>
    <cellStyle name="40% - Accent5" xfId="43" builtinId="47" customBuiltin="1"/>
    <cellStyle name="40% - Accent5 2" xfId="69" xr:uid="{00000000-0005-0000-0000-00001F000000}"/>
    <cellStyle name="40% - Accent5 3" xfId="70" xr:uid="{00000000-0005-0000-0000-000020000000}"/>
    <cellStyle name="40% - Accent6" xfId="47" builtinId="51" customBuiltin="1"/>
    <cellStyle name="40% - Accent6 2" xfId="71" xr:uid="{00000000-0005-0000-0000-000022000000}"/>
    <cellStyle name="40% - Accent6 3" xfId="72" xr:uid="{00000000-0005-0000-0000-000023000000}"/>
    <cellStyle name="60% - Accent1" xfId="28" builtinId="32" customBuiltin="1"/>
    <cellStyle name="60% - Accent1 2" xfId="73" xr:uid="{00000000-0005-0000-0000-000025000000}"/>
    <cellStyle name="60% - Accent1 3" xfId="74" xr:uid="{00000000-0005-0000-0000-000026000000}"/>
    <cellStyle name="60% - Accent2" xfId="32" builtinId="36" customBuiltin="1"/>
    <cellStyle name="60% - Accent2 2" xfId="75" xr:uid="{00000000-0005-0000-0000-000028000000}"/>
    <cellStyle name="60% - Accent2 3" xfId="76" xr:uid="{00000000-0005-0000-0000-000029000000}"/>
    <cellStyle name="60% - Accent3" xfId="36" builtinId="40" customBuiltin="1"/>
    <cellStyle name="60% - Accent3 2" xfId="77" xr:uid="{00000000-0005-0000-0000-00002B000000}"/>
    <cellStyle name="60% - Accent3 3" xfId="78" xr:uid="{00000000-0005-0000-0000-00002C000000}"/>
    <cellStyle name="60% - Accent4" xfId="40" builtinId="44" customBuiltin="1"/>
    <cellStyle name="60% - Accent4 2" xfId="79" xr:uid="{00000000-0005-0000-0000-00002E000000}"/>
    <cellStyle name="60% - Accent4 3" xfId="80" xr:uid="{00000000-0005-0000-0000-00002F000000}"/>
    <cellStyle name="60% - Accent5" xfId="44" builtinId="48" customBuiltin="1"/>
    <cellStyle name="60% - Accent5 2" xfId="81" xr:uid="{00000000-0005-0000-0000-000031000000}"/>
    <cellStyle name="60% - Accent5 3" xfId="82" xr:uid="{00000000-0005-0000-0000-000032000000}"/>
    <cellStyle name="60% - Accent6" xfId="48" builtinId="52" customBuiltin="1"/>
    <cellStyle name="60% - Accent6 2" xfId="83" xr:uid="{00000000-0005-0000-0000-000034000000}"/>
    <cellStyle name="60% - Accent6 3" xfId="84" xr:uid="{00000000-0005-0000-0000-000035000000}"/>
    <cellStyle name="Accent1" xfId="25" builtinId="29" customBuiltin="1"/>
    <cellStyle name="Accent1 2" xfId="85" xr:uid="{00000000-0005-0000-0000-000037000000}"/>
    <cellStyle name="Accent1 3" xfId="86" xr:uid="{00000000-0005-0000-0000-000038000000}"/>
    <cellStyle name="Accent2" xfId="29" builtinId="33" customBuiltin="1"/>
    <cellStyle name="Accent2 2" xfId="87" xr:uid="{00000000-0005-0000-0000-00003A000000}"/>
    <cellStyle name="Accent2 3" xfId="88" xr:uid="{00000000-0005-0000-0000-00003B000000}"/>
    <cellStyle name="Accent3" xfId="33" builtinId="37" customBuiltin="1"/>
    <cellStyle name="Accent3 2" xfId="89" xr:uid="{00000000-0005-0000-0000-00003D000000}"/>
    <cellStyle name="Accent3 3" xfId="90" xr:uid="{00000000-0005-0000-0000-00003E000000}"/>
    <cellStyle name="Accent4" xfId="37" builtinId="41" customBuiltin="1"/>
    <cellStyle name="Accent4 2" xfId="91" xr:uid="{00000000-0005-0000-0000-000040000000}"/>
    <cellStyle name="Accent4 3" xfId="92" xr:uid="{00000000-0005-0000-0000-000041000000}"/>
    <cellStyle name="Accent5" xfId="41" builtinId="45" customBuiltin="1"/>
    <cellStyle name="Accent5 2" xfId="93" xr:uid="{00000000-0005-0000-0000-000043000000}"/>
    <cellStyle name="Accent5 3" xfId="94" xr:uid="{00000000-0005-0000-0000-000044000000}"/>
    <cellStyle name="Accent6" xfId="45" builtinId="49" customBuiltin="1"/>
    <cellStyle name="Accent6 2" xfId="95" xr:uid="{00000000-0005-0000-0000-000046000000}"/>
    <cellStyle name="Accent6 3" xfId="96" xr:uid="{00000000-0005-0000-0000-000047000000}"/>
    <cellStyle name="Bad" xfId="14" builtinId="27" customBuiltin="1"/>
    <cellStyle name="Bad 2" xfId="97" xr:uid="{00000000-0005-0000-0000-000049000000}"/>
    <cellStyle name="Bad 3" xfId="98" xr:uid="{00000000-0005-0000-0000-00004A000000}"/>
    <cellStyle name="Borders" xfId="524" xr:uid="{00000000-0005-0000-0000-00004B000000}"/>
    <cellStyle name="Borders 10" xfId="2183" xr:uid="{00000000-0005-0000-0000-00004C000000}"/>
    <cellStyle name="Borders 10 10" xfId="33484" xr:uid="{00000000-0005-0000-0000-00004D000000}"/>
    <cellStyle name="Borders 10 11" xfId="37235" xr:uid="{00000000-0005-0000-0000-00004E000000}"/>
    <cellStyle name="Borders 10 12" xfId="41251" xr:uid="{00000000-0005-0000-0000-00004F000000}"/>
    <cellStyle name="Borders 10 13" xfId="45046" xr:uid="{00000000-0005-0000-0000-000050000000}"/>
    <cellStyle name="Borders 10 2" xfId="4166" xr:uid="{00000000-0005-0000-0000-000051000000}"/>
    <cellStyle name="Borders 10 2 10" xfId="39217" xr:uid="{00000000-0005-0000-0000-000052000000}"/>
    <cellStyle name="Borders 10 2 11" xfId="43227" xr:uid="{00000000-0005-0000-0000-000053000000}"/>
    <cellStyle name="Borders 10 2 12" xfId="46984" xr:uid="{00000000-0005-0000-0000-000054000000}"/>
    <cellStyle name="Borders 10 2 2" xfId="8025" xr:uid="{00000000-0005-0000-0000-000055000000}"/>
    <cellStyle name="Borders 10 2 3" xfId="12465" xr:uid="{00000000-0005-0000-0000-000056000000}"/>
    <cellStyle name="Borders 10 2 4" xfId="16310" xr:uid="{00000000-0005-0000-0000-000057000000}"/>
    <cellStyle name="Borders 10 2 5" xfId="20160" xr:uid="{00000000-0005-0000-0000-000058000000}"/>
    <cellStyle name="Borders 10 2 6" xfId="24072" xr:uid="{00000000-0005-0000-0000-000059000000}"/>
    <cellStyle name="Borders 10 2 7" xfId="27910" xr:uid="{00000000-0005-0000-0000-00005A000000}"/>
    <cellStyle name="Borders 10 2 8" xfId="31769" xr:uid="{00000000-0005-0000-0000-00005B000000}"/>
    <cellStyle name="Borders 10 2 9" xfId="35422" xr:uid="{00000000-0005-0000-0000-00005C000000}"/>
    <cellStyle name="Borders 10 3" xfId="6097" xr:uid="{00000000-0005-0000-0000-00005D000000}"/>
    <cellStyle name="Borders 10 4" xfId="10500" xr:uid="{00000000-0005-0000-0000-00005E000000}"/>
    <cellStyle name="Borders 10 5" xfId="14346" xr:uid="{00000000-0005-0000-0000-00005F000000}"/>
    <cellStyle name="Borders 10 6" xfId="18177" xr:uid="{00000000-0005-0000-0000-000060000000}"/>
    <cellStyle name="Borders 10 7" xfId="22116" xr:uid="{00000000-0005-0000-0000-000061000000}"/>
    <cellStyle name="Borders 10 8" xfId="25928" xr:uid="{00000000-0005-0000-0000-000062000000}"/>
    <cellStyle name="Borders 10 9" xfId="29808" xr:uid="{00000000-0005-0000-0000-000063000000}"/>
    <cellStyle name="Borders 11" xfId="2296" xr:uid="{00000000-0005-0000-0000-000064000000}"/>
    <cellStyle name="Borders 11 10" xfId="37348" xr:uid="{00000000-0005-0000-0000-000065000000}"/>
    <cellStyle name="Borders 11 11" xfId="41364" xr:uid="{00000000-0005-0000-0000-000066000000}"/>
    <cellStyle name="Borders 11 12" xfId="45159" xr:uid="{00000000-0005-0000-0000-000067000000}"/>
    <cellStyle name="Borders 11 2" xfId="4279" xr:uid="{00000000-0005-0000-0000-000068000000}"/>
    <cellStyle name="Borders 11 2 10" xfId="43340" xr:uid="{00000000-0005-0000-0000-000069000000}"/>
    <cellStyle name="Borders 11 2 11" xfId="47097" xr:uid="{00000000-0005-0000-0000-00006A000000}"/>
    <cellStyle name="Borders 11 2 2" xfId="8138" xr:uid="{00000000-0005-0000-0000-00006B000000}"/>
    <cellStyle name="Borders 11 2 3" xfId="12578" xr:uid="{00000000-0005-0000-0000-00006C000000}"/>
    <cellStyle name="Borders 11 2 4" xfId="16423" xr:uid="{00000000-0005-0000-0000-00006D000000}"/>
    <cellStyle name="Borders 11 2 5" xfId="20273" xr:uid="{00000000-0005-0000-0000-00006E000000}"/>
    <cellStyle name="Borders 11 2 6" xfId="24185" xr:uid="{00000000-0005-0000-0000-00006F000000}"/>
    <cellStyle name="Borders 11 2 7" xfId="28023" xr:uid="{00000000-0005-0000-0000-000070000000}"/>
    <cellStyle name="Borders 11 2 8" xfId="35535" xr:uid="{00000000-0005-0000-0000-000071000000}"/>
    <cellStyle name="Borders 11 2 9" xfId="39330" xr:uid="{00000000-0005-0000-0000-000072000000}"/>
    <cellStyle name="Borders 11 3" xfId="6210" xr:uid="{00000000-0005-0000-0000-000073000000}"/>
    <cellStyle name="Borders 11 4" xfId="10613" xr:uid="{00000000-0005-0000-0000-000074000000}"/>
    <cellStyle name="Borders 11 5" xfId="14459" xr:uid="{00000000-0005-0000-0000-000075000000}"/>
    <cellStyle name="Borders 11 6" xfId="18290" xr:uid="{00000000-0005-0000-0000-000076000000}"/>
    <cellStyle name="Borders 11 7" xfId="22229" xr:uid="{00000000-0005-0000-0000-000077000000}"/>
    <cellStyle name="Borders 11 8" xfId="26041" xr:uid="{00000000-0005-0000-0000-000078000000}"/>
    <cellStyle name="Borders 11 9" xfId="33597" xr:uid="{00000000-0005-0000-0000-000079000000}"/>
    <cellStyle name="Borders 12" xfId="2466" xr:uid="{00000000-0005-0000-0000-00007A000000}"/>
    <cellStyle name="Borders 12 10" xfId="37518" xr:uid="{00000000-0005-0000-0000-00007B000000}"/>
    <cellStyle name="Borders 12 11" xfId="41533" xr:uid="{00000000-0005-0000-0000-00007C000000}"/>
    <cellStyle name="Borders 12 12" xfId="45324" xr:uid="{00000000-0005-0000-0000-00007D000000}"/>
    <cellStyle name="Borders 12 2" xfId="4449" xr:uid="{00000000-0005-0000-0000-00007E000000}"/>
    <cellStyle name="Borders 12 2 10" xfId="43509" xr:uid="{00000000-0005-0000-0000-00007F000000}"/>
    <cellStyle name="Borders 12 2 11" xfId="47262" xr:uid="{00000000-0005-0000-0000-000080000000}"/>
    <cellStyle name="Borders 12 2 2" xfId="8304" xr:uid="{00000000-0005-0000-0000-000081000000}"/>
    <cellStyle name="Borders 12 2 3" xfId="12747" xr:uid="{00000000-0005-0000-0000-000082000000}"/>
    <cellStyle name="Borders 12 2 4" xfId="16590" xr:uid="{00000000-0005-0000-0000-000083000000}"/>
    <cellStyle name="Borders 12 2 5" xfId="20443" xr:uid="{00000000-0005-0000-0000-000084000000}"/>
    <cellStyle name="Borders 12 2 6" xfId="24353" xr:uid="{00000000-0005-0000-0000-000085000000}"/>
    <cellStyle name="Borders 12 2 7" xfId="28193" xr:uid="{00000000-0005-0000-0000-000086000000}"/>
    <cellStyle name="Borders 12 2 8" xfId="35700" xr:uid="{00000000-0005-0000-0000-000087000000}"/>
    <cellStyle name="Borders 12 2 9" xfId="39500" xr:uid="{00000000-0005-0000-0000-000088000000}"/>
    <cellStyle name="Borders 12 3" xfId="6360" xr:uid="{00000000-0005-0000-0000-000089000000}"/>
    <cellStyle name="Borders 12 4" xfId="10782" xr:uid="{00000000-0005-0000-0000-00008A000000}"/>
    <cellStyle name="Borders 12 5" xfId="14627" xr:uid="{00000000-0005-0000-0000-00008B000000}"/>
    <cellStyle name="Borders 12 6" xfId="18460" xr:uid="{00000000-0005-0000-0000-00008C000000}"/>
    <cellStyle name="Borders 12 7" xfId="22397" xr:uid="{00000000-0005-0000-0000-00008D000000}"/>
    <cellStyle name="Borders 12 8" xfId="26211" xr:uid="{00000000-0005-0000-0000-00008E000000}"/>
    <cellStyle name="Borders 12 9" xfId="33762" xr:uid="{00000000-0005-0000-0000-00008F000000}"/>
    <cellStyle name="Borders 13" xfId="8393" xr:uid="{00000000-0005-0000-0000-000090000000}"/>
    <cellStyle name="Borders 14" xfId="8664" xr:uid="{00000000-0005-0000-0000-000091000000}"/>
    <cellStyle name="Borders 15" xfId="25798" xr:uid="{00000000-0005-0000-0000-000092000000}"/>
    <cellStyle name="Borders 16" xfId="47476" xr:uid="{00000000-0005-0000-0000-000093000000}"/>
    <cellStyle name="Borders 2" xfId="525" xr:uid="{00000000-0005-0000-0000-000094000000}"/>
    <cellStyle name="Borders 2 10" xfId="2297" xr:uid="{00000000-0005-0000-0000-000095000000}"/>
    <cellStyle name="Borders 2 10 10" xfId="37349" xr:uid="{00000000-0005-0000-0000-000096000000}"/>
    <cellStyle name="Borders 2 10 11" xfId="41365" xr:uid="{00000000-0005-0000-0000-000097000000}"/>
    <cellStyle name="Borders 2 10 12" xfId="45160" xr:uid="{00000000-0005-0000-0000-000098000000}"/>
    <cellStyle name="Borders 2 10 2" xfId="4280" xr:uid="{00000000-0005-0000-0000-000099000000}"/>
    <cellStyle name="Borders 2 10 2 10" xfId="43341" xr:uid="{00000000-0005-0000-0000-00009A000000}"/>
    <cellStyle name="Borders 2 10 2 11" xfId="47098" xr:uid="{00000000-0005-0000-0000-00009B000000}"/>
    <cellStyle name="Borders 2 10 2 2" xfId="8139" xr:uid="{00000000-0005-0000-0000-00009C000000}"/>
    <cellStyle name="Borders 2 10 2 3" xfId="12579" xr:uid="{00000000-0005-0000-0000-00009D000000}"/>
    <cellStyle name="Borders 2 10 2 4" xfId="16424" xr:uid="{00000000-0005-0000-0000-00009E000000}"/>
    <cellStyle name="Borders 2 10 2 5" xfId="20274" xr:uid="{00000000-0005-0000-0000-00009F000000}"/>
    <cellStyle name="Borders 2 10 2 6" xfId="24186" xr:uid="{00000000-0005-0000-0000-0000A0000000}"/>
    <cellStyle name="Borders 2 10 2 7" xfId="28024" xr:uid="{00000000-0005-0000-0000-0000A1000000}"/>
    <cellStyle name="Borders 2 10 2 8" xfId="35536" xr:uid="{00000000-0005-0000-0000-0000A2000000}"/>
    <cellStyle name="Borders 2 10 2 9" xfId="39331" xr:uid="{00000000-0005-0000-0000-0000A3000000}"/>
    <cellStyle name="Borders 2 10 3" xfId="6211" xr:uid="{00000000-0005-0000-0000-0000A4000000}"/>
    <cellStyle name="Borders 2 10 4" xfId="10614" xr:uid="{00000000-0005-0000-0000-0000A5000000}"/>
    <cellStyle name="Borders 2 10 5" xfId="14460" xr:uid="{00000000-0005-0000-0000-0000A6000000}"/>
    <cellStyle name="Borders 2 10 6" xfId="18291" xr:uid="{00000000-0005-0000-0000-0000A7000000}"/>
    <cellStyle name="Borders 2 10 7" xfId="22230" xr:uid="{00000000-0005-0000-0000-0000A8000000}"/>
    <cellStyle name="Borders 2 10 8" xfId="26042" xr:uid="{00000000-0005-0000-0000-0000A9000000}"/>
    <cellStyle name="Borders 2 10 9" xfId="33598" xr:uid="{00000000-0005-0000-0000-0000AA000000}"/>
    <cellStyle name="Borders 2 11" xfId="2467" xr:uid="{00000000-0005-0000-0000-0000AB000000}"/>
    <cellStyle name="Borders 2 11 10" xfId="37519" xr:uid="{00000000-0005-0000-0000-0000AC000000}"/>
    <cellStyle name="Borders 2 11 11" xfId="41534" xr:uid="{00000000-0005-0000-0000-0000AD000000}"/>
    <cellStyle name="Borders 2 11 12" xfId="45325" xr:uid="{00000000-0005-0000-0000-0000AE000000}"/>
    <cellStyle name="Borders 2 11 2" xfId="4450" xr:uid="{00000000-0005-0000-0000-0000AF000000}"/>
    <cellStyle name="Borders 2 11 2 10" xfId="43510" xr:uid="{00000000-0005-0000-0000-0000B0000000}"/>
    <cellStyle name="Borders 2 11 2 11" xfId="47263" xr:uid="{00000000-0005-0000-0000-0000B1000000}"/>
    <cellStyle name="Borders 2 11 2 2" xfId="8305" xr:uid="{00000000-0005-0000-0000-0000B2000000}"/>
    <cellStyle name="Borders 2 11 2 3" xfId="12748" xr:uid="{00000000-0005-0000-0000-0000B3000000}"/>
    <cellStyle name="Borders 2 11 2 4" xfId="16591" xr:uid="{00000000-0005-0000-0000-0000B4000000}"/>
    <cellStyle name="Borders 2 11 2 5" xfId="20444" xr:uid="{00000000-0005-0000-0000-0000B5000000}"/>
    <cellStyle name="Borders 2 11 2 6" xfId="24354" xr:uid="{00000000-0005-0000-0000-0000B6000000}"/>
    <cellStyle name="Borders 2 11 2 7" xfId="28194" xr:uid="{00000000-0005-0000-0000-0000B7000000}"/>
    <cellStyle name="Borders 2 11 2 8" xfId="35701" xr:uid="{00000000-0005-0000-0000-0000B8000000}"/>
    <cellStyle name="Borders 2 11 2 9" xfId="39501" xr:uid="{00000000-0005-0000-0000-0000B9000000}"/>
    <cellStyle name="Borders 2 11 3" xfId="6361" xr:uid="{00000000-0005-0000-0000-0000BA000000}"/>
    <cellStyle name="Borders 2 11 4" xfId="10783" xr:uid="{00000000-0005-0000-0000-0000BB000000}"/>
    <cellStyle name="Borders 2 11 5" xfId="14628" xr:uid="{00000000-0005-0000-0000-0000BC000000}"/>
    <cellStyle name="Borders 2 11 6" xfId="18461" xr:uid="{00000000-0005-0000-0000-0000BD000000}"/>
    <cellStyle name="Borders 2 11 7" xfId="22398" xr:uid="{00000000-0005-0000-0000-0000BE000000}"/>
    <cellStyle name="Borders 2 11 8" xfId="26212" xr:uid="{00000000-0005-0000-0000-0000BF000000}"/>
    <cellStyle name="Borders 2 11 9" xfId="33763" xr:uid="{00000000-0005-0000-0000-0000C0000000}"/>
    <cellStyle name="Borders 2 12" xfId="8369" xr:uid="{00000000-0005-0000-0000-0000C1000000}"/>
    <cellStyle name="Borders 2 13" xfId="10399" xr:uid="{00000000-0005-0000-0000-0000C2000000}"/>
    <cellStyle name="Borders 2 14" xfId="8399" xr:uid="{00000000-0005-0000-0000-0000C3000000}"/>
    <cellStyle name="Borders 2 15" xfId="47477" xr:uid="{00000000-0005-0000-0000-0000C4000000}"/>
    <cellStyle name="Borders 2 2" xfId="576" xr:uid="{00000000-0005-0000-0000-0000C5000000}"/>
    <cellStyle name="Borders 2 2 10" xfId="2226" xr:uid="{00000000-0005-0000-0000-0000C6000000}"/>
    <cellStyle name="Borders 2 2 10 10" xfId="33527" xr:uid="{00000000-0005-0000-0000-0000C7000000}"/>
    <cellStyle name="Borders 2 2 10 11" xfId="37278" xr:uid="{00000000-0005-0000-0000-0000C8000000}"/>
    <cellStyle name="Borders 2 2 10 12" xfId="41294" xr:uid="{00000000-0005-0000-0000-0000C9000000}"/>
    <cellStyle name="Borders 2 2 10 13" xfId="45089" xr:uid="{00000000-0005-0000-0000-0000CA000000}"/>
    <cellStyle name="Borders 2 2 10 2" xfId="4209" xr:uid="{00000000-0005-0000-0000-0000CB000000}"/>
    <cellStyle name="Borders 2 2 10 2 10" xfId="39260" xr:uid="{00000000-0005-0000-0000-0000CC000000}"/>
    <cellStyle name="Borders 2 2 10 2 11" xfId="43270" xr:uid="{00000000-0005-0000-0000-0000CD000000}"/>
    <cellStyle name="Borders 2 2 10 2 12" xfId="47027" xr:uid="{00000000-0005-0000-0000-0000CE000000}"/>
    <cellStyle name="Borders 2 2 10 2 2" xfId="8068" xr:uid="{00000000-0005-0000-0000-0000CF000000}"/>
    <cellStyle name="Borders 2 2 10 2 3" xfId="12508" xr:uid="{00000000-0005-0000-0000-0000D0000000}"/>
    <cellStyle name="Borders 2 2 10 2 4" xfId="16353" xr:uid="{00000000-0005-0000-0000-0000D1000000}"/>
    <cellStyle name="Borders 2 2 10 2 5" xfId="20203" xr:uid="{00000000-0005-0000-0000-0000D2000000}"/>
    <cellStyle name="Borders 2 2 10 2 6" xfId="24115" xr:uid="{00000000-0005-0000-0000-0000D3000000}"/>
    <cellStyle name="Borders 2 2 10 2 7" xfId="27953" xr:uid="{00000000-0005-0000-0000-0000D4000000}"/>
    <cellStyle name="Borders 2 2 10 2 8" xfId="31812" xr:uid="{00000000-0005-0000-0000-0000D5000000}"/>
    <cellStyle name="Borders 2 2 10 2 9" xfId="35465" xr:uid="{00000000-0005-0000-0000-0000D6000000}"/>
    <cellStyle name="Borders 2 2 10 3" xfId="6140" xr:uid="{00000000-0005-0000-0000-0000D7000000}"/>
    <cellStyle name="Borders 2 2 10 4" xfId="10543" xr:uid="{00000000-0005-0000-0000-0000D8000000}"/>
    <cellStyle name="Borders 2 2 10 5" xfId="14389" xr:uid="{00000000-0005-0000-0000-0000D9000000}"/>
    <cellStyle name="Borders 2 2 10 6" xfId="18220" xr:uid="{00000000-0005-0000-0000-0000DA000000}"/>
    <cellStyle name="Borders 2 2 10 7" xfId="22159" xr:uid="{00000000-0005-0000-0000-0000DB000000}"/>
    <cellStyle name="Borders 2 2 10 8" xfId="25971" xr:uid="{00000000-0005-0000-0000-0000DC000000}"/>
    <cellStyle name="Borders 2 2 10 9" xfId="29851" xr:uid="{00000000-0005-0000-0000-0000DD000000}"/>
    <cellStyle name="Borders 2 2 11" xfId="2284" xr:uid="{00000000-0005-0000-0000-0000DE000000}"/>
    <cellStyle name="Borders 2 2 11 10" xfId="37336" xr:uid="{00000000-0005-0000-0000-0000DF000000}"/>
    <cellStyle name="Borders 2 2 11 11" xfId="41352" xr:uid="{00000000-0005-0000-0000-0000E0000000}"/>
    <cellStyle name="Borders 2 2 11 12" xfId="45147" xr:uid="{00000000-0005-0000-0000-0000E1000000}"/>
    <cellStyle name="Borders 2 2 11 2" xfId="4267" xr:uid="{00000000-0005-0000-0000-0000E2000000}"/>
    <cellStyle name="Borders 2 2 11 2 10" xfId="43328" xr:uid="{00000000-0005-0000-0000-0000E3000000}"/>
    <cellStyle name="Borders 2 2 11 2 11" xfId="47085" xr:uid="{00000000-0005-0000-0000-0000E4000000}"/>
    <cellStyle name="Borders 2 2 11 2 2" xfId="8126" xr:uid="{00000000-0005-0000-0000-0000E5000000}"/>
    <cellStyle name="Borders 2 2 11 2 3" xfId="12566" xr:uid="{00000000-0005-0000-0000-0000E6000000}"/>
    <cellStyle name="Borders 2 2 11 2 4" xfId="16411" xr:uid="{00000000-0005-0000-0000-0000E7000000}"/>
    <cellStyle name="Borders 2 2 11 2 5" xfId="20261" xr:uid="{00000000-0005-0000-0000-0000E8000000}"/>
    <cellStyle name="Borders 2 2 11 2 6" xfId="24173" xr:uid="{00000000-0005-0000-0000-0000E9000000}"/>
    <cellStyle name="Borders 2 2 11 2 7" xfId="28011" xr:uid="{00000000-0005-0000-0000-0000EA000000}"/>
    <cellStyle name="Borders 2 2 11 2 8" xfId="35523" xr:uid="{00000000-0005-0000-0000-0000EB000000}"/>
    <cellStyle name="Borders 2 2 11 2 9" xfId="39318" xr:uid="{00000000-0005-0000-0000-0000EC000000}"/>
    <cellStyle name="Borders 2 2 11 3" xfId="6198" xr:uid="{00000000-0005-0000-0000-0000ED000000}"/>
    <cellStyle name="Borders 2 2 11 4" xfId="10601" xr:uid="{00000000-0005-0000-0000-0000EE000000}"/>
    <cellStyle name="Borders 2 2 11 5" xfId="14447" xr:uid="{00000000-0005-0000-0000-0000EF000000}"/>
    <cellStyle name="Borders 2 2 11 6" xfId="18278" xr:uid="{00000000-0005-0000-0000-0000F0000000}"/>
    <cellStyle name="Borders 2 2 11 7" xfId="22217" xr:uid="{00000000-0005-0000-0000-0000F1000000}"/>
    <cellStyle name="Borders 2 2 11 8" xfId="26029" xr:uid="{00000000-0005-0000-0000-0000F2000000}"/>
    <cellStyle name="Borders 2 2 11 9" xfId="33585" xr:uid="{00000000-0005-0000-0000-0000F3000000}"/>
    <cellStyle name="Borders 2 2 12" xfId="2341" xr:uid="{00000000-0005-0000-0000-0000F4000000}"/>
    <cellStyle name="Borders 2 2 12 10" xfId="37393" xr:uid="{00000000-0005-0000-0000-0000F5000000}"/>
    <cellStyle name="Borders 2 2 12 11" xfId="41409" xr:uid="{00000000-0005-0000-0000-0000F6000000}"/>
    <cellStyle name="Borders 2 2 12 12" xfId="45202" xr:uid="{00000000-0005-0000-0000-0000F7000000}"/>
    <cellStyle name="Borders 2 2 12 2" xfId="4324" xr:uid="{00000000-0005-0000-0000-0000F8000000}"/>
    <cellStyle name="Borders 2 2 12 2 10" xfId="43385" xr:uid="{00000000-0005-0000-0000-0000F9000000}"/>
    <cellStyle name="Borders 2 2 12 2 11" xfId="47140" xr:uid="{00000000-0005-0000-0000-0000FA000000}"/>
    <cellStyle name="Borders 2 2 12 2 2" xfId="8181" xr:uid="{00000000-0005-0000-0000-0000FB000000}"/>
    <cellStyle name="Borders 2 2 12 2 3" xfId="12623" xr:uid="{00000000-0005-0000-0000-0000FC000000}"/>
    <cellStyle name="Borders 2 2 12 2 4" xfId="16467" xr:uid="{00000000-0005-0000-0000-0000FD000000}"/>
    <cellStyle name="Borders 2 2 12 2 5" xfId="20318" xr:uid="{00000000-0005-0000-0000-0000FE000000}"/>
    <cellStyle name="Borders 2 2 12 2 6" xfId="24229" xr:uid="{00000000-0005-0000-0000-0000FF000000}"/>
    <cellStyle name="Borders 2 2 12 2 7" xfId="28068" xr:uid="{00000000-0005-0000-0000-000000010000}"/>
    <cellStyle name="Borders 2 2 12 2 8" xfId="35578" xr:uid="{00000000-0005-0000-0000-000001010000}"/>
    <cellStyle name="Borders 2 2 12 2 9" xfId="39375" xr:uid="{00000000-0005-0000-0000-000002010000}"/>
    <cellStyle name="Borders 2 2 12 3" xfId="6253" xr:uid="{00000000-0005-0000-0000-000003010000}"/>
    <cellStyle name="Borders 2 2 12 4" xfId="10658" xr:uid="{00000000-0005-0000-0000-000004010000}"/>
    <cellStyle name="Borders 2 2 12 5" xfId="14503" xr:uid="{00000000-0005-0000-0000-000005010000}"/>
    <cellStyle name="Borders 2 2 12 6" xfId="18335" xr:uid="{00000000-0005-0000-0000-000006010000}"/>
    <cellStyle name="Borders 2 2 12 7" xfId="22273" xr:uid="{00000000-0005-0000-0000-000007010000}"/>
    <cellStyle name="Borders 2 2 12 8" xfId="26086" xr:uid="{00000000-0005-0000-0000-000008010000}"/>
    <cellStyle name="Borders 2 2 12 9" xfId="33640" xr:uid="{00000000-0005-0000-0000-000009010000}"/>
    <cellStyle name="Borders 2 2 13" xfId="2406" xr:uid="{00000000-0005-0000-0000-00000A010000}"/>
    <cellStyle name="Borders 2 2 13 10" xfId="37458" xr:uid="{00000000-0005-0000-0000-00000B010000}"/>
    <cellStyle name="Borders 2 2 13 11" xfId="41473" xr:uid="{00000000-0005-0000-0000-00000C010000}"/>
    <cellStyle name="Borders 2 2 13 12" xfId="45266" xr:uid="{00000000-0005-0000-0000-00000D010000}"/>
    <cellStyle name="Borders 2 2 13 2" xfId="4389" xr:uid="{00000000-0005-0000-0000-00000E010000}"/>
    <cellStyle name="Borders 2 2 13 2 10" xfId="39440" xr:uid="{00000000-0005-0000-0000-00000F010000}"/>
    <cellStyle name="Borders 2 2 13 2 11" xfId="43449" xr:uid="{00000000-0005-0000-0000-000010010000}"/>
    <cellStyle name="Borders 2 2 13 2 12" xfId="47204" xr:uid="{00000000-0005-0000-0000-000011010000}"/>
    <cellStyle name="Borders 2 2 13 2 2" xfId="8246" xr:uid="{00000000-0005-0000-0000-000012010000}"/>
    <cellStyle name="Borders 2 2 13 2 3" xfId="12687" xr:uid="{00000000-0005-0000-0000-000013010000}"/>
    <cellStyle name="Borders 2 2 13 2 4" xfId="16532" xr:uid="{00000000-0005-0000-0000-000014010000}"/>
    <cellStyle name="Borders 2 2 13 2 5" xfId="20383" xr:uid="{00000000-0005-0000-0000-000015010000}"/>
    <cellStyle name="Borders 2 2 13 2 6" xfId="24294" xr:uid="{00000000-0005-0000-0000-000016010000}"/>
    <cellStyle name="Borders 2 2 13 2 7" xfId="28133" xr:uid="{00000000-0005-0000-0000-000017010000}"/>
    <cellStyle name="Borders 2 2 13 2 8" xfId="31991" xr:uid="{00000000-0005-0000-0000-000018010000}"/>
    <cellStyle name="Borders 2 2 13 2 9" xfId="35642" xr:uid="{00000000-0005-0000-0000-000019010000}"/>
    <cellStyle name="Borders 2 2 13 3" xfId="6302" xr:uid="{00000000-0005-0000-0000-00001A010000}"/>
    <cellStyle name="Borders 2 2 13 4" xfId="10722" xr:uid="{00000000-0005-0000-0000-00001B010000}"/>
    <cellStyle name="Borders 2 2 13 5" xfId="14568" xr:uid="{00000000-0005-0000-0000-00001C010000}"/>
    <cellStyle name="Borders 2 2 13 6" xfId="18400" xr:uid="{00000000-0005-0000-0000-00001D010000}"/>
    <cellStyle name="Borders 2 2 13 7" xfId="22338" xr:uid="{00000000-0005-0000-0000-00001E010000}"/>
    <cellStyle name="Borders 2 2 13 8" xfId="26151" xr:uid="{00000000-0005-0000-0000-00001F010000}"/>
    <cellStyle name="Borders 2 2 13 9" xfId="33704" xr:uid="{00000000-0005-0000-0000-000020010000}"/>
    <cellStyle name="Borders 2 2 14" xfId="2458" xr:uid="{00000000-0005-0000-0000-000021010000}"/>
    <cellStyle name="Borders 2 2 14 10" xfId="33754" xr:uid="{00000000-0005-0000-0000-000022010000}"/>
    <cellStyle name="Borders 2 2 14 11" xfId="37510" xr:uid="{00000000-0005-0000-0000-000023010000}"/>
    <cellStyle name="Borders 2 2 14 12" xfId="41525" xr:uid="{00000000-0005-0000-0000-000024010000}"/>
    <cellStyle name="Borders 2 2 14 13" xfId="45316" xr:uid="{00000000-0005-0000-0000-000025010000}"/>
    <cellStyle name="Borders 2 2 14 2" xfId="4441" xr:uid="{00000000-0005-0000-0000-000026010000}"/>
    <cellStyle name="Borders 2 2 14 2 10" xfId="39492" xr:uid="{00000000-0005-0000-0000-000027010000}"/>
    <cellStyle name="Borders 2 2 14 2 11" xfId="43501" xr:uid="{00000000-0005-0000-0000-000028010000}"/>
    <cellStyle name="Borders 2 2 14 2 12" xfId="47254" xr:uid="{00000000-0005-0000-0000-000029010000}"/>
    <cellStyle name="Borders 2 2 14 2 2" xfId="8296" xr:uid="{00000000-0005-0000-0000-00002A010000}"/>
    <cellStyle name="Borders 2 2 14 2 3" xfId="12739" xr:uid="{00000000-0005-0000-0000-00002B010000}"/>
    <cellStyle name="Borders 2 2 14 2 4" xfId="16582" xr:uid="{00000000-0005-0000-0000-00002C010000}"/>
    <cellStyle name="Borders 2 2 14 2 5" xfId="20435" xr:uid="{00000000-0005-0000-0000-00002D010000}"/>
    <cellStyle name="Borders 2 2 14 2 6" xfId="24345" xr:uid="{00000000-0005-0000-0000-00002E010000}"/>
    <cellStyle name="Borders 2 2 14 2 7" xfId="28185" xr:uid="{00000000-0005-0000-0000-00002F010000}"/>
    <cellStyle name="Borders 2 2 14 2 8" xfId="32043" xr:uid="{00000000-0005-0000-0000-000030010000}"/>
    <cellStyle name="Borders 2 2 14 2 9" xfId="35692" xr:uid="{00000000-0005-0000-0000-000031010000}"/>
    <cellStyle name="Borders 2 2 14 3" xfId="6352" xr:uid="{00000000-0005-0000-0000-000032010000}"/>
    <cellStyle name="Borders 2 2 14 4" xfId="10774" xr:uid="{00000000-0005-0000-0000-000033010000}"/>
    <cellStyle name="Borders 2 2 14 5" xfId="14619" xr:uid="{00000000-0005-0000-0000-000034010000}"/>
    <cellStyle name="Borders 2 2 14 6" xfId="18452" xr:uid="{00000000-0005-0000-0000-000035010000}"/>
    <cellStyle name="Borders 2 2 14 7" xfId="22389" xr:uid="{00000000-0005-0000-0000-000036010000}"/>
    <cellStyle name="Borders 2 2 14 8" xfId="26203" xr:uid="{00000000-0005-0000-0000-000037010000}"/>
    <cellStyle name="Borders 2 2 14 9" xfId="30082" xr:uid="{00000000-0005-0000-0000-000038010000}"/>
    <cellStyle name="Borders 2 2 15" xfId="2512" xr:uid="{00000000-0005-0000-0000-000039010000}"/>
    <cellStyle name="Borders 2 2 15 10" xfId="41578" xr:uid="{00000000-0005-0000-0000-00003A010000}"/>
    <cellStyle name="Borders 2 2 15 11" xfId="45367" xr:uid="{00000000-0005-0000-0000-00003B010000}"/>
    <cellStyle name="Borders 2 2 15 2" xfId="6404" xr:uid="{00000000-0005-0000-0000-00003C010000}"/>
    <cellStyle name="Borders 2 2 15 3" xfId="10827" xr:uid="{00000000-0005-0000-0000-00003D010000}"/>
    <cellStyle name="Borders 2 2 15 4" xfId="14671" xr:uid="{00000000-0005-0000-0000-00003E010000}"/>
    <cellStyle name="Borders 2 2 15 5" xfId="18506" xr:uid="{00000000-0005-0000-0000-00003F010000}"/>
    <cellStyle name="Borders 2 2 15 6" xfId="22441" xr:uid="{00000000-0005-0000-0000-000040010000}"/>
    <cellStyle name="Borders 2 2 15 7" xfId="26257" xr:uid="{00000000-0005-0000-0000-000041010000}"/>
    <cellStyle name="Borders 2 2 15 8" xfId="33805" xr:uid="{00000000-0005-0000-0000-000042010000}"/>
    <cellStyle name="Borders 2 2 15 9" xfId="37564" xr:uid="{00000000-0005-0000-0000-000043010000}"/>
    <cellStyle name="Borders 2 2 16" xfId="2581" xr:uid="{00000000-0005-0000-0000-000044010000}"/>
    <cellStyle name="Borders 2 2 16 10" xfId="37633" xr:uid="{00000000-0005-0000-0000-000045010000}"/>
    <cellStyle name="Borders 2 2 16 11" xfId="41647" xr:uid="{00000000-0005-0000-0000-000046010000}"/>
    <cellStyle name="Borders 2 2 16 12" xfId="45436" xr:uid="{00000000-0005-0000-0000-000047010000}"/>
    <cellStyle name="Borders 2 2 16 2" xfId="6473" xr:uid="{00000000-0005-0000-0000-000048010000}"/>
    <cellStyle name="Borders 2 2 16 3" xfId="10896" xr:uid="{00000000-0005-0000-0000-000049010000}"/>
    <cellStyle name="Borders 2 2 16 4" xfId="14740" xr:uid="{00000000-0005-0000-0000-00004A010000}"/>
    <cellStyle name="Borders 2 2 16 5" xfId="18575" xr:uid="{00000000-0005-0000-0000-00004B010000}"/>
    <cellStyle name="Borders 2 2 16 6" xfId="22510" xr:uid="{00000000-0005-0000-0000-00004C010000}"/>
    <cellStyle name="Borders 2 2 16 7" xfId="26326" xr:uid="{00000000-0005-0000-0000-00004D010000}"/>
    <cellStyle name="Borders 2 2 16 8" xfId="30205" xr:uid="{00000000-0005-0000-0000-00004E010000}"/>
    <cellStyle name="Borders 2 2 16 9" xfId="33874" xr:uid="{00000000-0005-0000-0000-00004F010000}"/>
    <cellStyle name="Borders 2 2 17" xfId="4549" xr:uid="{00000000-0005-0000-0000-000050010000}"/>
    <cellStyle name="Borders 2 2 18" xfId="8376" xr:uid="{00000000-0005-0000-0000-000051010000}"/>
    <cellStyle name="Borders 2 2 19" xfId="8766" xr:uid="{00000000-0005-0000-0000-000052010000}"/>
    <cellStyle name="Borders 2 2 2" xfId="710" xr:uid="{00000000-0005-0000-0000-000053010000}"/>
    <cellStyle name="Borders 2 2 2 10" xfId="24444" xr:uid="{00000000-0005-0000-0000-000054010000}"/>
    <cellStyle name="Borders 2 2 2 11" xfId="29921" xr:uid="{00000000-0005-0000-0000-000055010000}"/>
    <cellStyle name="Borders 2 2 2 12" xfId="35781" xr:uid="{00000000-0005-0000-0000-000056010000}"/>
    <cellStyle name="Borders 2 2 2 13" xfId="43607" xr:uid="{00000000-0005-0000-0000-000057010000}"/>
    <cellStyle name="Borders 2 2 2 2" xfId="1090" xr:uid="{00000000-0005-0000-0000-000058010000}"/>
    <cellStyle name="Borders 2 2 2 2 10" xfId="32387" xr:uid="{00000000-0005-0000-0000-000059010000}"/>
    <cellStyle name="Borders 2 2 2 2 11" xfId="36148" xr:uid="{00000000-0005-0000-0000-00005A010000}"/>
    <cellStyle name="Borders 2 2 2 2 12" xfId="43974" xr:uid="{00000000-0005-0000-0000-00005B010000}"/>
    <cellStyle name="Borders 2 2 2 2 2" xfId="1817" xr:uid="{00000000-0005-0000-0000-00005C010000}"/>
    <cellStyle name="Borders 2 2 2 2 2 10" xfId="33104" xr:uid="{00000000-0005-0000-0000-00005D010000}"/>
    <cellStyle name="Borders 2 2 2 2 2 11" xfId="36874" xr:uid="{00000000-0005-0000-0000-00005E010000}"/>
    <cellStyle name="Borders 2 2 2 2 2 12" xfId="40865" xr:uid="{00000000-0005-0000-0000-00005F010000}"/>
    <cellStyle name="Borders 2 2 2 2 2 13" xfId="44696" xr:uid="{00000000-0005-0000-0000-000060010000}"/>
    <cellStyle name="Borders 2 2 2 2 2 2" xfId="3807" xr:uid="{00000000-0005-0000-0000-000061010000}"/>
    <cellStyle name="Borders 2 2 2 2 2 2 10" xfId="42869" xr:uid="{00000000-0005-0000-0000-000062010000}"/>
    <cellStyle name="Borders 2 2 2 2 2 2 11" xfId="46634" xr:uid="{00000000-0005-0000-0000-000063010000}"/>
    <cellStyle name="Borders 2 2 2 2 2 2 2" xfId="7674" xr:uid="{00000000-0005-0000-0000-000064010000}"/>
    <cellStyle name="Borders 2 2 2 2 2 2 3" xfId="12109" xr:uid="{00000000-0005-0000-0000-000065010000}"/>
    <cellStyle name="Borders 2 2 2 2 2 2 4" xfId="15954" xr:uid="{00000000-0005-0000-0000-000066010000}"/>
    <cellStyle name="Borders 2 2 2 2 2 2 5" xfId="19801" xr:uid="{00000000-0005-0000-0000-000067010000}"/>
    <cellStyle name="Borders 2 2 2 2 2 2 6" xfId="23717" xr:uid="{00000000-0005-0000-0000-000068010000}"/>
    <cellStyle name="Borders 2 2 2 2 2 2 7" xfId="27551" xr:uid="{00000000-0005-0000-0000-000069010000}"/>
    <cellStyle name="Borders 2 2 2 2 2 2 8" xfId="35072" xr:uid="{00000000-0005-0000-0000-00006A010000}"/>
    <cellStyle name="Borders 2 2 2 2 2 2 9" xfId="38858" xr:uid="{00000000-0005-0000-0000-00006B010000}"/>
    <cellStyle name="Borders 2 2 2 2 2 3" xfId="5750" xr:uid="{00000000-0005-0000-0000-00006C010000}"/>
    <cellStyle name="Borders 2 2 2 2 2 4" xfId="10108" xr:uid="{00000000-0005-0000-0000-00006D010000}"/>
    <cellStyle name="Borders 2 2 2 2 2 5" xfId="13954" xr:uid="{00000000-0005-0000-0000-00006E010000}"/>
    <cellStyle name="Borders 2 2 2 2 2 6" xfId="17783" xr:uid="{00000000-0005-0000-0000-00006F010000}"/>
    <cellStyle name="Borders 2 2 2 2 2 7" xfId="21722" xr:uid="{00000000-0005-0000-0000-000070010000}"/>
    <cellStyle name="Borders 2 2 2 2 2 8" xfId="25535" xr:uid="{00000000-0005-0000-0000-000071010000}"/>
    <cellStyle name="Borders 2 2 2 2 2 9" xfId="29422" xr:uid="{00000000-0005-0000-0000-000072010000}"/>
    <cellStyle name="Borders 2 2 2 2 3" xfId="3080" xr:uid="{00000000-0005-0000-0000-000073010000}"/>
    <cellStyle name="Borders 2 2 2 2 3 10" xfId="42144" xr:uid="{00000000-0005-0000-0000-000074010000}"/>
    <cellStyle name="Borders 2 2 2 2 3 11" xfId="45917" xr:uid="{00000000-0005-0000-0000-000075010000}"/>
    <cellStyle name="Borders 2 2 2 2 3 2" xfId="6956" xr:uid="{00000000-0005-0000-0000-000076010000}"/>
    <cellStyle name="Borders 2 2 2 2 3 3" xfId="11385" xr:uid="{00000000-0005-0000-0000-000077010000}"/>
    <cellStyle name="Borders 2 2 2 2 3 4" xfId="15229" xr:uid="{00000000-0005-0000-0000-000078010000}"/>
    <cellStyle name="Borders 2 2 2 2 3 5" xfId="19074" xr:uid="{00000000-0005-0000-0000-000079010000}"/>
    <cellStyle name="Borders 2 2 2 2 3 6" xfId="22996" xr:uid="{00000000-0005-0000-0000-00007A010000}"/>
    <cellStyle name="Borders 2 2 2 2 3 7" xfId="26825" xr:uid="{00000000-0005-0000-0000-00007B010000}"/>
    <cellStyle name="Borders 2 2 2 2 3 8" xfId="34355" xr:uid="{00000000-0005-0000-0000-00007C010000}"/>
    <cellStyle name="Borders 2 2 2 2 3 9" xfId="38132" xr:uid="{00000000-0005-0000-0000-00007D010000}"/>
    <cellStyle name="Borders 2 2 2 2 4" xfId="5032" xr:uid="{00000000-0005-0000-0000-00007E010000}"/>
    <cellStyle name="Borders 2 2 2 2 5" xfId="9388" xr:uid="{00000000-0005-0000-0000-00007F010000}"/>
    <cellStyle name="Borders 2 2 2 2 6" xfId="13228" xr:uid="{00000000-0005-0000-0000-000080010000}"/>
    <cellStyle name="Borders 2 2 2 2 7" xfId="17056" xr:uid="{00000000-0005-0000-0000-000081010000}"/>
    <cellStyle name="Borders 2 2 2 2 8" xfId="20998" xr:uid="{00000000-0005-0000-0000-000082010000}"/>
    <cellStyle name="Borders 2 2 2 2 9" xfId="24812" xr:uid="{00000000-0005-0000-0000-000083010000}"/>
    <cellStyle name="Borders 2 2 2 3" xfId="1464" xr:uid="{00000000-0005-0000-0000-000084010000}"/>
    <cellStyle name="Borders 2 2 2 3 10" xfId="32751" xr:uid="{00000000-0005-0000-0000-000085010000}"/>
    <cellStyle name="Borders 2 2 2 3 11" xfId="36521" xr:uid="{00000000-0005-0000-0000-000086010000}"/>
    <cellStyle name="Borders 2 2 2 3 12" xfId="40512" xr:uid="{00000000-0005-0000-0000-000087010000}"/>
    <cellStyle name="Borders 2 2 2 3 13" xfId="44343" xr:uid="{00000000-0005-0000-0000-000088010000}"/>
    <cellStyle name="Borders 2 2 2 3 2" xfId="3454" xr:uid="{00000000-0005-0000-0000-000089010000}"/>
    <cellStyle name="Borders 2 2 2 3 2 10" xfId="42516" xr:uid="{00000000-0005-0000-0000-00008A010000}"/>
    <cellStyle name="Borders 2 2 2 3 2 11" xfId="46281" xr:uid="{00000000-0005-0000-0000-00008B010000}"/>
    <cellStyle name="Borders 2 2 2 3 2 2" xfId="7321" xr:uid="{00000000-0005-0000-0000-00008C010000}"/>
    <cellStyle name="Borders 2 2 2 3 2 3" xfId="11756" xr:uid="{00000000-0005-0000-0000-00008D010000}"/>
    <cellStyle name="Borders 2 2 2 3 2 4" xfId="15601" xr:uid="{00000000-0005-0000-0000-00008E010000}"/>
    <cellStyle name="Borders 2 2 2 3 2 5" xfId="19448" xr:uid="{00000000-0005-0000-0000-00008F010000}"/>
    <cellStyle name="Borders 2 2 2 3 2 6" xfId="23364" xr:uid="{00000000-0005-0000-0000-000090010000}"/>
    <cellStyle name="Borders 2 2 2 3 2 7" xfId="27198" xr:uid="{00000000-0005-0000-0000-000091010000}"/>
    <cellStyle name="Borders 2 2 2 3 2 8" xfId="34719" xr:uid="{00000000-0005-0000-0000-000092010000}"/>
    <cellStyle name="Borders 2 2 2 3 2 9" xfId="38505" xr:uid="{00000000-0005-0000-0000-000093010000}"/>
    <cellStyle name="Borders 2 2 2 3 3" xfId="5397" xr:uid="{00000000-0005-0000-0000-000094010000}"/>
    <cellStyle name="Borders 2 2 2 3 4" xfId="9755" xr:uid="{00000000-0005-0000-0000-000095010000}"/>
    <cellStyle name="Borders 2 2 2 3 5" xfId="13601" xr:uid="{00000000-0005-0000-0000-000096010000}"/>
    <cellStyle name="Borders 2 2 2 3 6" xfId="17430" xr:uid="{00000000-0005-0000-0000-000097010000}"/>
    <cellStyle name="Borders 2 2 2 3 7" xfId="21369" xr:uid="{00000000-0005-0000-0000-000098010000}"/>
    <cellStyle name="Borders 2 2 2 3 8" xfId="25182" xr:uid="{00000000-0005-0000-0000-000099010000}"/>
    <cellStyle name="Borders 2 2 2 3 9" xfId="29069" xr:uid="{00000000-0005-0000-0000-00009A010000}"/>
    <cellStyle name="Borders 2 2 2 4" xfId="2713" xr:uid="{00000000-0005-0000-0000-00009B010000}"/>
    <cellStyle name="Borders 2 2 2 4 10" xfId="41779" xr:uid="{00000000-0005-0000-0000-00009C010000}"/>
    <cellStyle name="Borders 2 2 2 4 11" xfId="45564" xr:uid="{00000000-0005-0000-0000-00009D010000}"/>
    <cellStyle name="Borders 2 2 2 4 2" xfId="6601" xr:uid="{00000000-0005-0000-0000-00009E010000}"/>
    <cellStyle name="Borders 2 2 2 4 3" xfId="11025" xr:uid="{00000000-0005-0000-0000-00009F010000}"/>
    <cellStyle name="Borders 2 2 2 4 4" xfId="14869" xr:uid="{00000000-0005-0000-0000-0000A0010000}"/>
    <cellStyle name="Borders 2 2 2 4 5" xfId="18707" xr:uid="{00000000-0005-0000-0000-0000A1010000}"/>
    <cellStyle name="Borders 2 2 2 4 6" xfId="22638" xr:uid="{00000000-0005-0000-0000-0000A2010000}"/>
    <cellStyle name="Borders 2 2 2 4 7" xfId="26458" xr:uid="{00000000-0005-0000-0000-0000A3010000}"/>
    <cellStyle name="Borders 2 2 2 4 8" xfId="34002" xr:uid="{00000000-0005-0000-0000-0000A4010000}"/>
    <cellStyle name="Borders 2 2 2 4 9" xfId="37765" xr:uid="{00000000-0005-0000-0000-0000A5010000}"/>
    <cellStyle name="Borders 2 2 2 5" xfId="4677" xr:uid="{00000000-0005-0000-0000-0000A6010000}"/>
    <cellStyle name="Borders 2 2 2 6" xfId="9019" xr:uid="{00000000-0005-0000-0000-0000A7010000}"/>
    <cellStyle name="Borders 2 2 2 7" xfId="12856" xr:uid="{00000000-0005-0000-0000-0000A8010000}"/>
    <cellStyle name="Borders 2 2 2 8" xfId="16686" xr:uid="{00000000-0005-0000-0000-0000A9010000}"/>
    <cellStyle name="Borders 2 2 2 9" xfId="20623" xr:uid="{00000000-0005-0000-0000-0000AA010000}"/>
    <cellStyle name="Borders 2 2 20" xfId="8886" xr:uid="{00000000-0005-0000-0000-0000AB010000}"/>
    <cellStyle name="Borders 2 2 21" xfId="8536" xr:uid="{00000000-0005-0000-0000-0000AC010000}"/>
    <cellStyle name="Borders 2 2 22" xfId="30430" xr:uid="{00000000-0005-0000-0000-0000AD010000}"/>
    <cellStyle name="Borders 2 2 23" xfId="8454" xr:uid="{00000000-0005-0000-0000-0000AE010000}"/>
    <cellStyle name="Borders 2 2 24" xfId="47387" xr:uid="{00000000-0005-0000-0000-0000AF010000}"/>
    <cellStyle name="Borders 2 2 25" xfId="47473" xr:uid="{00000000-0005-0000-0000-0000B0010000}"/>
    <cellStyle name="Borders 2 2 26" xfId="47522" xr:uid="{00000000-0005-0000-0000-0000B1010000}"/>
    <cellStyle name="Borders 2 2 3" xfId="649" xr:uid="{00000000-0005-0000-0000-0000B2010000}"/>
    <cellStyle name="Borders 2 2 3 10" xfId="8395" xr:uid="{00000000-0005-0000-0000-0000B3010000}"/>
    <cellStyle name="Borders 2 2 3 11" xfId="31067" xr:uid="{00000000-0005-0000-0000-0000B4010000}"/>
    <cellStyle name="Borders 2 2 3 12" xfId="33369" xr:uid="{00000000-0005-0000-0000-0000B5010000}"/>
    <cellStyle name="Borders 2 2 3 13" xfId="39545" xr:uid="{00000000-0005-0000-0000-0000B6010000}"/>
    <cellStyle name="Borders 2 2 3 2" xfId="1029" xr:uid="{00000000-0005-0000-0000-0000B7010000}"/>
    <cellStyle name="Borders 2 2 3 2 10" xfId="32328" xr:uid="{00000000-0005-0000-0000-0000B8010000}"/>
    <cellStyle name="Borders 2 2 3 2 11" xfId="36087" xr:uid="{00000000-0005-0000-0000-0000B9010000}"/>
    <cellStyle name="Borders 2 2 3 2 12" xfId="43913" xr:uid="{00000000-0005-0000-0000-0000BA010000}"/>
    <cellStyle name="Borders 2 2 3 2 2" xfId="1758" xr:uid="{00000000-0005-0000-0000-0000BB010000}"/>
    <cellStyle name="Borders 2 2 3 2 2 10" xfId="33045" xr:uid="{00000000-0005-0000-0000-0000BC010000}"/>
    <cellStyle name="Borders 2 2 3 2 2 11" xfId="36815" xr:uid="{00000000-0005-0000-0000-0000BD010000}"/>
    <cellStyle name="Borders 2 2 3 2 2 12" xfId="40806" xr:uid="{00000000-0005-0000-0000-0000BE010000}"/>
    <cellStyle name="Borders 2 2 3 2 2 13" xfId="44637" xr:uid="{00000000-0005-0000-0000-0000BF010000}"/>
    <cellStyle name="Borders 2 2 3 2 2 2" xfId="3748" xr:uid="{00000000-0005-0000-0000-0000C0010000}"/>
    <cellStyle name="Borders 2 2 3 2 2 2 10" xfId="42810" xr:uid="{00000000-0005-0000-0000-0000C1010000}"/>
    <cellStyle name="Borders 2 2 3 2 2 2 11" xfId="46575" xr:uid="{00000000-0005-0000-0000-0000C2010000}"/>
    <cellStyle name="Borders 2 2 3 2 2 2 2" xfId="7615" xr:uid="{00000000-0005-0000-0000-0000C3010000}"/>
    <cellStyle name="Borders 2 2 3 2 2 2 3" xfId="12050" xr:uid="{00000000-0005-0000-0000-0000C4010000}"/>
    <cellStyle name="Borders 2 2 3 2 2 2 4" xfId="15895" xr:uid="{00000000-0005-0000-0000-0000C5010000}"/>
    <cellStyle name="Borders 2 2 3 2 2 2 5" xfId="19742" xr:uid="{00000000-0005-0000-0000-0000C6010000}"/>
    <cellStyle name="Borders 2 2 3 2 2 2 6" xfId="23658" xr:uid="{00000000-0005-0000-0000-0000C7010000}"/>
    <cellStyle name="Borders 2 2 3 2 2 2 7" xfId="27492" xr:uid="{00000000-0005-0000-0000-0000C8010000}"/>
    <cellStyle name="Borders 2 2 3 2 2 2 8" xfId="35013" xr:uid="{00000000-0005-0000-0000-0000C9010000}"/>
    <cellStyle name="Borders 2 2 3 2 2 2 9" xfId="38799" xr:uid="{00000000-0005-0000-0000-0000CA010000}"/>
    <cellStyle name="Borders 2 2 3 2 2 3" xfId="5691" xr:uid="{00000000-0005-0000-0000-0000CB010000}"/>
    <cellStyle name="Borders 2 2 3 2 2 4" xfId="10049" xr:uid="{00000000-0005-0000-0000-0000CC010000}"/>
    <cellStyle name="Borders 2 2 3 2 2 5" xfId="13895" xr:uid="{00000000-0005-0000-0000-0000CD010000}"/>
    <cellStyle name="Borders 2 2 3 2 2 6" xfId="17724" xr:uid="{00000000-0005-0000-0000-0000CE010000}"/>
    <cellStyle name="Borders 2 2 3 2 2 7" xfId="21663" xr:uid="{00000000-0005-0000-0000-0000CF010000}"/>
    <cellStyle name="Borders 2 2 3 2 2 8" xfId="25476" xr:uid="{00000000-0005-0000-0000-0000D0010000}"/>
    <cellStyle name="Borders 2 2 3 2 2 9" xfId="29363" xr:uid="{00000000-0005-0000-0000-0000D1010000}"/>
    <cellStyle name="Borders 2 2 3 2 3" xfId="3019" xr:uid="{00000000-0005-0000-0000-0000D2010000}"/>
    <cellStyle name="Borders 2 2 3 2 3 10" xfId="42083" xr:uid="{00000000-0005-0000-0000-0000D3010000}"/>
    <cellStyle name="Borders 2 2 3 2 3 11" xfId="45858" xr:uid="{00000000-0005-0000-0000-0000D4010000}"/>
    <cellStyle name="Borders 2 2 3 2 3 2" xfId="6897" xr:uid="{00000000-0005-0000-0000-0000D5010000}"/>
    <cellStyle name="Borders 2 2 3 2 3 3" xfId="11325" xr:uid="{00000000-0005-0000-0000-0000D6010000}"/>
    <cellStyle name="Borders 2 2 3 2 3 4" xfId="15170" xr:uid="{00000000-0005-0000-0000-0000D7010000}"/>
    <cellStyle name="Borders 2 2 3 2 3 5" xfId="19013" xr:uid="{00000000-0005-0000-0000-0000D8010000}"/>
    <cellStyle name="Borders 2 2 3 2 3 6" xfId="22937" xr:uid="{00000000-0005-0000-0000-0000D9010000}"/>
    <cellStyle name="Borders 2 2 3 2 3 7" xfId="26764" xr:uid="{00000000-0005-0000-0000-0000DA010000}"/>
    <cellStyle name="Borders 2 2 3 2 3 8" xfId="34296" xr:uid="{00000000-0005-0000-0000-0000DB010000}"/>
    <cellStyle name="Borders 2 2 3 2 3 9" xfId="38071" xr:uid="{00000000-0005-0000-0000-0000DC010000}"/>
    <cellStyle name="Borders 2 2 3 2 4" xfId="4973" xr:uid="{00000000-0005-0000-0000-0000DD010000}"/>
    <cellStyle name="Borders 2 2 3 2 5" xfId="9328" xr:uid="{00000000-0005-0000-0000-0000DE010000}"/>
    <cellStyle name="Borders 2 2 3 2 6" xfId="13169" xr:uid="{00000000-0005-0000-0000-0000DF010000}"/>
    <cellStyle name="Borders 2 2 3 2 7" xfId="16995" xr:uid="{00000000-0005-0000-0000-0000E0010000}"/>
    <cellStyle name="Borders 2 2 3 2 8" xfId="20937" xr:uid="{00000000-0005-0000-0000-0000E1010000}"/>
    <cellStyle name="Borders 2 2 3 2 9" xfId="24752" xr:uid="{00000000-0005-0000-0000-0000E2010000}"/>
    <cellStyle name="Borders 2 2 3 3" xfId="1405" xr:uid="{00000000-0005-0000-0000-0000E3010000}"/>
    <cellStyle name="Borders 2 2 3 3 10" xfId="32692" xr:uid="{00000000-0005-0000-0000-0000E4010000}"/>
    <cellStyle name="Borders 2 2 3 3 11" xfId="36462" xr:uid="{00000000-0005-0000-0000-0000E5010000}"/>
    <cellStyle name="Borders 2 2 3 3 12" xfId="40453" xr:uid="{00000000-0005-0000-0000-0000E6010000}"/>
    <cellStyle name="Borders 2 2 3 3 13" xfId="44284" xr:uid="{00000000-0005-0000-0000-0000E7010000}"/>
    <cellStyle name="Borders 2 2 3 3 2" xfId="3395" xr:uid="{00000000-0005-0000-0000-0000E8010000}"/>
    <cellStyle name="Borders 2 2 3 3 2 10" xfId="42457" xr:uid="{00000000-0005-0000-0000-0000E9010000}"/>
    <cellStyle name="Borders 2 2 3 3 2 11" xfId="46222" xr:uid="{00000000-0005-0000-0000-0000EA010000}"/>
    <cellStyle name="Borders 2 2 3 3 2 2" xfId="7262" xr:uid="{00000000-0005-0000-0000-0000EB010000}"/>
    <cellStyle name="Borders 2 2 3 3 2 3" xfId="11697" xr:uid="{00000000-0005-0000-0000-0000EC010000}"/>
    <cellStyle name="Borders 2 2 3 3 2 4" xfId="15542" xr:uid="{00000000-0005-0000-0000-0000ED010000}"/>
    <cellStyle name="Borders 2 2 3 3 2 5" xfId="19389" xr:uid="{00000000-0005-0000-0000-0000EE010000}"/>
    <cellStyle name="Borders 2 2 3 3 2 6" xfId="23305" xr:uid="{00000000-0005-0000-0000-0000EF010000}"/>
    <cellStyle name="Borders 2 2 3 3 2 7" xfId="27139" xr:uid="{00000000-0005-0000-0000-0000F0010000}"/>
    <cellStyle name="Borders 2 2 3 3 2 8" xfId="34660" xr:uid="{00000000-0005-0000-0000-0000F1010000}"/>
    <cellStyle name="Borders 2 2 3 3 2 9" xfId="38446" xr:uid="{00000000-0005-0000-0000-0000F2010000}"/>
    <cellStyle name="Borders 2 2 3 3 3" xfId="5338" xr:uid="{00000000-0005-0000-0000-0000F3010000}"/>
    <cellStyle name="Borders 2 2 3 3 4" xfId="9696" xr:uid="{00000000-0005-0000-0000-0000F4010000}"/>
    <cellStyle name="Borders 2 2 3 3 5" xfId="13542" xr:uid="{00000000-0005-0000-0000-0000F5010000}"/>
    <cellStyle name="Borders 2 2 3 3 6" xfId="17371" xr:uid="{00000000-0005-0000-0000-0000F6010000}"/>
    <cellStyle name="Borders 2 2 3 3 7" xfId="21310" xr:uid="{00000000-0005-0000-0000-0000F7010000}"/>
    <cellStyle name="Borders 2 2 3 3 8" xfId="25123" xr:uid="{00000000-0005-0000-0000-0000F8010000}"/>
    <cellStyle name="Borders 2 2 3 3 9" xfId="29010" xr:uid="{00000000-0005-0000-0000-0000F9010000}"/>
    <cellStyle name="Borders 2 2 3 4" xfId="2652" xr:uid="{00000000-0005-0000-0000-0000FA010000}"/>
    <cellStyle name="Borders 2 2 3 4 10" xfId="41718" xr:uid="{00000000-0005-0000-0000-0000FB010000}"/>
    <cellStyle name="Borders 2 2 3 4 11" xfId="45505" xr:uid="{00000000-0005-0000-0000-0000FC010000}"/>
    <cellStyle name="Borders 2 2 3 4 2" xfId="6542" xr:uid="{00000000-0005-0000-0000-0000FD010000}"/>
    <cellStyle name="Borders 2 2 3 4 3" xfId="10966" xr:uid="{00000000-0005-0000-0000-0000FE010000}"/>
    <cellStyle name="Borders 2 2 3 4 4" xfId="14810" xr:uid="{00000000-0005-0000-0000-0000FF010000}"/>
    <cellStyle name="Borders 2 2 3 4 5" xfId="18646" xr:uid="{00000000-0005-0000-0000-000000020000}"/>
    <cellStyle name="Borders 2 2 3 4 6" xfId="22579" xr:uid="{00000000-0005-0000-0000-000001020000}"/>
    <cellStyle name="Borders 2 2 3 4 7" xfId="26397" xr:uid="{00000000-0005-0000-0000-000002020000}"/>
    <cellStyle name="Borders 2 2 3 4 8" xfId="33943" xr:uid="{00000000-0005-0000-0000-000003020000}"/>
    <cellStyle name="Borders 2 2 3 4 9" xfId="37704" xr:uid="{00000000-0005-0000-0000-000004020000}"/>
    <cellStyle name="Borders 2 2 3 5" xfId="4618" xr:uid="{00000000-0005-0000-0000-000005020000}"/>
    <cellStyle name="Borders 2 2 3 6" xfId="8958" xr:uid="{00000000-0005-0000-0000-000006020000}"/>
    <cellStyle name="Borders 2 2 3 7" xfId="12797" xr:uid="{00000000-0005-0000-0000-000007020000}"/>
    <cellStyle name="Borders 2 2 3 8" xfId="14230" xr:uid="{00000000-0005-0000-0000-000008020000}"/>
    <cellStyle name="Borders 2 2 3 9" xfId="20562" xr:uid="{00000000-0005-0000-0000-000009020000}"/>
    <cellStyle name="Borders 2 2 4" xfId="792" xr:uid="{00000000-0005-0000-0000-00000A020000}"/>
    <cellStyle name="Borders 2 2 4 10" xfId="35850" xr:uid="{00000000-0005-0000-0000-00000B020000}"/>
    <cellStyle name="Borders 2 2 4 11" xfId="39864" xr:uid="{00000000-0005-0000-0000-00000C020000}"/>
    <cellStyle name="Borders 2 2 4 12" xfId="43676" xr:uid="{00000000-0005-0000-0000-00000D020000}"/>
    <cellStyle name="Borders 2 2 4 2" xfId="1156" xr:uid="{00000000-0005-0000-0000-00000E020000}"/>
    <cellStyle name="Borders 2 2 4 2 10" xfId="28765" xr:uid="{00000000-0005-0000-0000-00000F020000}"/>
    <cellStyle name="Borders 2 2 4 2 11" xfId="32448" xr:uid="{00000000-0005-0000-0000-000010020000}"/>
    <cellStyle name="Borders 2 2 4 2 12" xfId="36214" xr:uid="{00000000-0005-0000-0000-000011020000}"/>
    <cellStyle name="Borders 2 2 4 2 13" xfId="40210" xr:uid="{00000000-0005-0000-0000-000012020000}"/>
    <cellStyle name="Borders 2 2 4 2 14" xfId="44040" xr:uid="{00000000-0005-0000-0000-000013020000}"/>
    <cellStyle name="Borders 2 2 4 2 2" xfId="1878" xr:uid="{00000000-0005-0000-0000-000014020000}"/>
    <cellStyle name="Borders 2 2 4 2 2 10" xfId="33165" xr:uid="{00000000-0005-0000-0000-000015020000}"/>
    <cellStyle name="Borders 2 2 4 2 2 11" xfId="36935" xr:uid="{00000000-0005-0000-0000-000016020000}"/>
    <cellStyle name="Borders 2 2 4 2 2 12" xfId="40926" xr:uid="{00000000-0005-0000-0000-000017020000}"/>
    <cellStyle name="Borders 2 2 4 2 2 13" xfId="44757" xr:uid="{00000000-0005-0000-0000-000018020000}"/>
    <cellStyle name="Borders 2 2 4 2 2 2" xfId="3868" xr:uid="{00000000-0005-0000-0000-000019020000}"/>
    <cellStyle name="Borders 2 2 4 2 2 2 10" xfId="38919" xr:uid="{00000000-0005-0000-0000-00001A020000}"/>
    <cellStyle name="Borders 2 2 4 2 2 2 11" xfId="42930" xr:uid="{00000000-0005-0000-0000-00001B020000}"/>
    <cellStyle name="Borders 2 2 4 2 2 2 12" xfId="46695" xr:uid="{00000000-0005-0000-0000-00001C020000}"/>
    <cellStyle name="Borders 2 2 4 2 2 2 2" xfId="7735" xr:uid="{00000000-0005-0000-0000-00001D020000}"/>
    <cellStyle name="Borders 2 2 4 2 2 2 3" xfId="12170" xr:uid="{00000000-0005-0000-0000-00001E020000}"/>
    <cellStyle name="Borders 2 2 4 2 2 2 4" xfId="16015" xr:uid="{00000000-0005-0000-0000-00001F020000}"/>
    <cellStyle name="Borders 2 2 4 2 2 2 5" xfId="19862" xr:uid="{00000000-0005-0000-0000-000020020000}"/>
    <cellStyle name="Borders 2 2 4 2 2 2 6" xfId="23778" xr:uid="{00000000-0005-0000-0000-000021020000}"/>
    <cellStyle name="Borders 2 2 4 2 2 2 7" xfId="27612" xr:uid="{00000000-0005-0000-0000-000022020000}"/>
    <cellStyle name="Borders 2 2 4 2 2 2 8" xfId="31475" xr:uid="{00000000-0005-0000-0000-000023020000}"/>
    <cellStyle name="Borders 2 2 4 2 2 2 9" xfId="35133" xr:uid="{00000000-0005-0000-0000-000024020000}"/>
    <cellStyle name="Borders 2 2 4 2 2 3" xfId="5811" xr:uid="{00000000-0005-0000-0000-000025020000}"/>
    <cellStyle name="Borders 2 2 4 2 2 4" xfId="10169" xr:uid="{00000000-0005-0000-0000-000026020000}"/>
    <cellStyle name="Borders 2 2 4 2 2 5" xfId="14015" xr:uid="{00000000-0005-0000-0000-000027020000}"/>
    <cellStyle name="Borders 2 2 4 2 2 6" xfId="17844" xr:uid="{00000000-0005-0000-0000-000028020000}"/>
    <cellStyle name="Borders 2 2 4 2 2 7" xfId="21783" xr:uid="{00000000-0005-0000-0000-000029020000}"/>
    <cellStyle name="Borders 2 2 4 2 2 8" xfId="25596" xr:uid="{00000000-0005-0000-0000-00002A020000}"/>
    <cellStyle name="Borders 2 2 4 2 2 9" xfId="29483" xr:uid="{00000000-0005-0000-0000-00002B020000}"/>
    <cellStyle name="Borders 2 2 4 2 3" xfId="3146" xr:uid="{00000000-0005-0000-0000-00002C020000}"/>
    <cellStyle name="Borders 2 2 4 2 3 10" xfId="38198" xr:uid="{00000000-0005-0000-0000-00002D020000}"/>
    <cellStyle name="Borders 2 2 4 2 3 11" xfId="42209" xr:uid="{00000000-0005-0000-0000-00002E020000}"/>
    <cellStyle name="Borders 2 2 4 2 3 12" xfId="45978" xr:uid="{00000000-0005-0000-0000-00002F020000}"/>
    <cellStyle name="Borders 2 2 4 2 3 2" xfId="7018" xr:uid="{00000000-0005-0000-0000-000030020000}"/>
    <cellStyle name="Borders 2 2 4 2 3 3" xfId="11450" xr:uid="{00000000-0005-0000-0000-000031020000}"/>
    <cellStyle name="Borders 2 2 4 2 3 4" xfId="15294" xr:uid="{00000000-0005-0000-0000-000032020000}"/>
    <cellStyle name="Borders 2 2 4 2 3 5" xfId="19140" xr:uid="{00000000-0005-0000-0000-000033020000}"/>
    <cellStyle name="Borders 2 2 4 2 3 6" xfId="23059" xr:uid="{00000000-0005-0000-0000-000034020000}"/>
    <cellStyle name="Borders 2 2 4 2 3 7" xfId="26891" xr:uid="{00000000-0005-0000-0000-000035020000}"/>
    <cellStyle name="Borders 2 2 4 2 3 8" xfId="30763" xr:uid="{00000000-0005-0000-0000-000036020000}"/>
    <cellStyle name="Borders 2 2 4 2 3 9" xfId="34416" xr:uid="{00000000-0005-0000-0000-000037020000}"/>
    <cellStyle name="Borders 2 2 4 2 4" xfId="5094" xr:uid="{00000000-0005-0000-0000-000038020000}"/>
    <cellStyle name="Borders 2 2 4 2 5" xfId="9450" xr:uid="{00000000-0005-0000-0000-000039020000}"/>
    <cellStyle name="Borders 2 2 4 2 6" xfId="13294" xr:uid="{00000000-0005-0000-0000-00003A020000}"/>
    <cellStyle name="Borders 2 2 4 2 7" xfId="17122" xr:uid="{00000000-0005-0000-0000-00003B020000}"/>
    <cellStyle name="Borders 2 2 4 2 8" xfId="21064" xr:uid="{00000000-0005-0000-0000-00003C020000}"/>
    <cellStyle name="Borders 2 2 4 2 9" xfId="24875" xr:uid="{00000000-0005-0000-0000-00003D020000}"/>
    <cellStyle name="Borders 2 2 4 3" xfId="1525" xr:uid="{00000000-0005-0000-0000-00003E020000}"/>
    <cellStyle name="Borders 2 2 4 3 10" xfId="32812" xr:uid="{00000000-0005-0000-0000-00003F020000}"/>
    <cellStyle name="Borders 2 2 4 3 11" xfId="36582" xr:uid="{00000000-0005-0000-0000-000040020000}"/>
    <cellStyle name="Borders 2 2 4 3 12" xfId="40573" xr:uid="{00000000-0005-0000-0000-000041020000}"/>
    <cellStyle name="Borders 2 2 4 3 13" xfId="44404" xr:uid="{00000000-0005-0000-0000-000042020000}"/>
    <cellStyle name="Borders 2 2 4 3 2" xfId="3515" xr:uid="{00000000-0005-0000-0000-000043020000}"/>
    <cellStyle name="Borders 2 2 4 3 2 10" xfId="38566" xr:uid="{00000000-0005-0000-0000-000044020000}"/>
    <cellStyle name="Borders 2 2 4 3 2 11" xfId="42577" xr:uid="{00000000-0005-0000-0000-000045020000}"/>
    <cellStyle name="Borders 2 2 4 3 2 12" xfId="46342" xr:uid="{00000000-0005-0000-0000-000046020000}"/>
    <cellStyle name="Borders 2 2 4 3 2 2" xfId="7382" xr:uid="{00000000-0005-0000-0000-000047020000}"/>
    <cellStyle name="Borders 2 2 4 3 2 3" xfId="11817" xr:uid="{00000000-0005-0000-0000-000048020000}"/>
    <cellStyle name="Borders 2 2 4 3 2 4" xfId="15662" xr:uid="{00000000-0005-0000-0000-000049020000}"/>
    <cellStyle name="Borders 2 2 4 3 2 5" xfId="19509" xr:uid="{00000000-0005-0000-0000-00004A020000}"/>
    <cellStyle name="Borders 2 2 4 3 2 6" xfId="23425" xr:uid="{00000000-0005-0000-0000-00004B020000}"/>
    <cellStyle name="Borders 2 2 4 3 2 7" xfId="27259" xr:uid="{00000000-0005-0000-0000-00004C020000}"/>
    <cellStyle name="Borders 2 2 4 3 2 8" xfId="31126" xr:uid="{00000000-0005-0000-0000-00004D020000}"/>
    <cellStyle name="Borders 2 2 4 3 2 9" xfId="34780" xr:uid="{00000000-0005-0000-0000-00004E020000}"/>
    <cellStyle name="Borders 2 2 4 3 3" xfId="5458" xr:uid="{00000000-0005-0000-0000-00004F020000}"/>
    <cellStyle name="Borders 2 2 4 3 4" xfId="9816" xr:uid="{00000000-0005-0000-0000-000050020000}"/>
    <cellStyle name="Borders 2 2 4 3 5" xfId="13662" xr:uid="{00000000-0005-0000-0000-000051020000}"/>
    <cellStyle name="Borders 2 2 4 3 6" xfId="17491" xr:uid="{00000000-0005-0000-0000-000052020000}"/>
    <cellStyle name="Borders 2 2 4 3 7" xfId="21430" xr:uid="{00000000-0005-0000-0000-000053020000}"/>
    <cellStyle name="Borders 2 2 4 3 8" xfId="25243" xr:uid="{00000000-0005-0000-0000-000054020000}"/>
    <cellStyle name="Borders 2 2 4 3 9" xfId="29130" xr:uid="{00000000-0005-0000-0000-000055020000}"/>
    <cellStyle name="Borders 2 2 4 4" xfId="2782" xr:uid="{00000000-0005-0000-0000-000056020000}"/>
    <cellStyle name="Borders 2 2 4 4 10" xfId="37834" xr:uid="{00000000-0005-0000-0000-000057020000}"/>
    <cellStyle name="Borders 2 2 4 4 11" xfId="41846" xr:uid="{00000000-0005-0000-0000-000058020000}"/>
    <cellStyle name="Borders 2 2 4 4 12" xfId="45625" xr:uid="{00000000-0005-0000-0000-000059020000}"/>
    <cellStyle name="Borders 2 2 4 4 2" xfId="6664" xr:uid="{00000000-0005-0000-0000-00005A020000}"/>
    <cellStyle name="Borders 2 2 4 4 3" xfId="11090" xr:uid="{00000000-0005-0000-0000-00005B020000}"/>
    <cellStyle name="Borders 2 2 4 4 4" xfId="14936" xr:uid="{00000000-0005-0000-0000-00005C020000}"/>
    <cellStyle name="Borders 2 2 4 4 5" xfId="18776" xr:uid="{00000000-0005-0000-0000-00005D020000}"/>
    <cellStyle name="Borders 2 2 4 4 6" xfId="22703" xr:uid="{00000000-0005-0000-0000-00005E020000}"/>
    <cellStyle name="Borders 2 2 4 4 7" xfId="26527" xr:uid="{00000000-0005-0000-0000-00005F020000}"/>
    <cellStyle name="Borders 2 2 4 4 8" xfId="30405" xr:uid="{00000000-0005-0000-0000-000060020000}"/>
    <cellStyle name="Borders 2 2 4 4 9" xfId="34063" xr:uid="{00000000-0005-0000-0000-000061020000}"/>
    <cellStyle name="Borders 2 2 4 5" xfId="4740" xr:uid="{00000000-0005-0000-0000-000062020000}"/>
    <cellStyle name="Borders 2 2 4 6" xfId="9092" xr:uid="{00000000-0005-0000-0000-000063020000}"/>
    <cellStyle name="Borders 2 2 4 7" xfId="12934" xr:uid="{00000000-0005-0000-0000-000064020000}"/>
    <cellStyle name="Borders 2 2 4 8" xfId="28407" xr:uid="{00000000-0005-0000-0000-000065020000}"/>
    <cellStyle name="Borders 2 2 4 9" xfId="32095" xr:uid="{00000000-0005-0000-0000-000066020000}"/>
    <cellStyle name="Borders 2 2 5" xfId="818" xr:uid="{00000000-0005-0000-0000-000067020000}"/>
    <cellStyle name="Borders 2 2 5 10" xfId="24542" xr:uid="{00000000-0005-0000-0000-000068020000}"/>
    <cellStyle name="Borders 2 2 5 11" xfId="32119" xr:uid="{00000000-0005-0000-0000-000069020000}"/>
    <cellStyle name="Borders 2 2 5 12" xfId="35876" xr:uid="{00000000-0005-0000-0000-00006A020000}"/>
    <cellStyle name="Borders 2 2 5 13" xfId="43702" xr:uid="{00000000-0005-0000-0000-00006B020000}"/>
    <cellStyle name="Borders 2 2 5 2" xfId="1180" xr:uid="{00000000-0005-0000-0000-00006C020000}"/>
    <cellStyle name="Borders 2 2 5 2 10" xfId="32472" xr:uid="{00000000-0005-0000-0000-00006D020000}"/>
    <cellStyle name="Borders 2 2 5 2 11" xfId="36238" xr:uid="{00000000-0005-0000-0000-00006E020000}"/>
    <cellStyle name="Borders 2 2 5 2 12" xfId="44064" xr:uid="{00000000-0005-0000-0000-00006F020000}"/>
    <cellStyle name="Borders 2 2 5 2 2" xfId="1902" xr:uid="{00000000-0005-0000-0000-000070020000}"/>
    <cellStyle name="Borders 2 2 5 2 2 10" xfId="33189" xr:uid="{00000000-0005-0000-0000-000071020000}"/>
    <cellStyle name="Borders 2 2 5 2 2 11" xfId="36959" xr:uid="{00000000-0005-0000-0000-000072020000}"/>
    <cellStyle name="Borders 2 2 5 2 2 12" xfId="40950" xr:uid="{00000000-0005-0000-0000-000073020000}"/>
    <cellStyle name="Borders 2 2 5 2 2 13" xfId="44781" xr:uid="{00000000-0005-0000-0000-000074020000}"/>
    <cellStyle name="Borders 2 2 5 2 2 2" xfId="3892" xr:uid="{00000000-0005-0000-0000-000075020000}"/>
    <cellStyle name="Borders 2 2 5 2 2 2 10" xfId="42954" xr:uid="{00000000-0005-0000-0000-000076020000}"/>
    <cellStyle name="Borders 2 2 5 2 2 2 11" xfId="46719" xr:uid="{00000000-0005-0000-0000-000077020000}"/>
    <cellStyle name="Borders 2 2 5 2 2 2 2" xfId="7759" xr:uid="{00000000-0005-0000-0000-000078020000}"/>
    <cellStyle name="Borders 2 2 5 2 2 2 3" xfId="12194" xr:uid="{00000000-0005-0000-0000-000079020000}"/>
    <cellStyle name="Borders 2 2 5 2 2 2 4" xfId="16039" xr:uid="{00000000-0005-0000-0000-00007A020000}"/>
    <cellStyle name="Borders 2 2 5 2 2 2 5" xfId="19886" xr:uid="{00000000-0005-0000-0000-00007B020000}"/>
    <cellStyle name="Borders 2 2 5 2 2 2 6" xfId="23802" xr:uid="{00000000-0005-0000-0000-00007C020000}"/>
    <cellStyle name="Borders 2 2 5 2 2 2 7" xfId="27636" xr:uid="{00000000-0005-0000-0000-00007D020000}"/>
    <cellStyle name="Borders 2 2 5 2 2 2 8" xfId="35157" xr:uid="{00000000-0005-0000-0000-00007E020000}"/>
    <cellStyle name="Borders 2 2 5 2 2 2 9" xfId="38943" xr:uid="{00000000-0005-0000-0000-00007F020000}"/>
    <cellStyle name="Borders 2 2 5 2 2 3" xfId="5835" xr:uid="{00000000-0005-0000-0000-000080020000}"/>
    <cellStyle name="Borders 2 2 5 2 2 4" xfId="10193" xr:uid="{00000000-0005-0000-0000-000081020000}"/>
    <cellStyle name="Borders 2 2 5 2 2 5" xfId="14039" xr:uid="{00000000-0005-0000-0000-000082020000}"/>
    <cellStyle name="Borders 2 2 5 2 2 6" xfId="17868" xr:uid="{00000000-0005-0000-0000-000083020000}"/>
    <cellStyle name="Borders 2 2 5 2 2 7" xfId="21807" xr:uid="{00000000-0005-0000-0000-000084020000}"/>
    <cellStyle name="Borders 2 2 5 2 2 8" xfId="25620" xr:uid="{00000000-0005-0000-0000-000085020000}"/>
    <cellStyle name="Borders 2 2 5 2 2 9" xfId="29507" xr:uid="{00000000-0005-0000-0000-000086020000}"/>
    <cellStyle name="Borders 2 2 5 2 3" xfId="3170" xr:uid="{00000000-0005-0000-0000-000087020000}"/>
    <cellStyle name="Borders 2 2 5 2 3 10" xfId="42233" xr:uid="{00000000-0005-0000-0000-000088020000}"/>
    <cellStyle name="Borders 2 2 5 2 3 11" xfId="46002" xr:uid="{00000000-0005-0000-0000-000089020000}"/>
    <cellStyle name="Borders 2 2 5 2 3 2" xfId="7042" xr:uid="{00000000-0005-0000-0000-00008A020000}"/>
    <cellStyle name="Borders 2 2 5 2 3 3" xfId="11474" xr:uid="{00000000-0005-0000-0000-00008B020000}"/>
    <cellStyle name="Borders 2 2 5 2 3 4" xfId="15318" xr:uid="{00000000-0005-0000-0000-00008C020000}"/>
    <cellStyle name="Borders 2 2 5 2 3 5" xfId="19164" xr:uid="{00000000-0005-0000-0000-00008D020000}"/>
    <cellStyle name="Borders 2 2 5 2 3 6" xfId="23083" xr:uid="{00000000-0005-0000-0000-00008E020000}"/>
    <cellStyle name="Borders 2 2 5 2 3 7" xfId="26915" xr:uid="{00000000-0005-0000-0000-00008F020000}"/>
    <cellStyle name="Borders 2 2 5 2 3 8" xfId="34440" xr:uid="{00000000-0005-0000-0000-000090020000}"/>
    <cellStyle name="Borders 2 2 5 2 3 9" xfId="38222" xr:uid="{00000000-0005-0000-0000-000091020000}"/>
    <cellStyle name="Borders 2 2 5 2 4" xfId="5118" xr:uid="{00000000-0005-0000-0000-000092020000}"/>
    <cellStyle name="Borders 2 2 5 2 5" xfId="9474" xr:uid="{00000000-0005-0000-0000-000093020000}"/>
    <cellStyle name="Borders 2 2 5 2 6" xfId="13318" xr:uid="{00000000-0005-0000-0000-000094020000}"/>
    <cellStyle name="Borders 2 2 5 2 7" xfId="17146" xr:uid="{00000000-0005-0000-0000-000095020000}"/>
    <cellStyle name="Borders 2 2 5 2 8" xfId="21088" xr:uid="{00000000-0005-0000-0000-000096020000}"/>
    <cellStyle name="Borders 2 2 5 2 9" xfId="24899" xr:uid="{00000000-0005-0000-0000-000097020000}"/>
    <cellStyle name="Borders 2 2 5 3" xfId="1549" xr:uid="{00000000-0005-0000-0000-000098020000}"/>
    <cellStyle name="Borders 2 2 5 3 10" xfId="32836" xr:uid="{00000000-0005-0000-0000-000099020000}"/>
    <cellStyle name="Borders 2 2 5 3 11" xfId="36606" xr:uid="{00000000-0005-0000-0000-00009A020000}"/>
    <cellStyle name="Borders 2 2 5 3 12" xfId="40597" xr:uid="{00000000-0005-0000-0000-00009B020000}"/>
    <cellStyle name="Borders 2 2 5 3 13" xfId="44428" xr:uid="{00000000-0005-0000-0000-00009C020000}"/>
    <cellStyle name="Borders 2 2 5 3 2" xfId="3539" xr:uid="{00000000-0005-0000-0000-00009D020000}"/>
    <cellStyle name="Borders 2 2 5 3 2 10" xfId="42601" xr:uid="{00000000-0005-0000-0000-00009E020000}"/>
    <cellStyle name="Borders 2 2 5 3 2 11" xfId="46366" xr:uid="{00000000-0005-0000-0000-00009F020000}"/>
    <cellStyle name="Borders 2 2 5 3 2 2" xfId="7406" xr:uid="{00000000-0005-0000-0000-0000A0020000}"/>
    <cellStyle name="Borders 2 2 5 3 2 3" xfId="11841" xr:uid="{00000000-0005-0000-0000-0000A1020000}"/>
    <cellStyle name="Borders 2 2 5 3 2 4" xfId="15686" xr:uid="{00000000-0005-0000-0000-0000A2020000}"/>
    <cellStyle name="Borders 2 2 5 3 2 5" xfId="19533" xr:uid="{00000000-0005-0000-0000-0000A3020000}"/>
    <cellStyle name="Borders 2 2 5 3 2 6" xfId="23449" xr:uid="{00000000-0005-0000-0000-0000A4020000}"/>
    <cellStyle name="Borders 2 2 5 3 2 7" xfId="27283" xr:uid="{00000000-0005-0000-0000-0000A5020000}"/>
    <cellStyle name="Borders 2 2 5 3 2 8" xfId="34804" xr:uid="{00000000-0005-0000-0000-0000A6020000}"/>
    <cellStyle name="Borders 2 2 5 3 2 9" xfId="38590" xr:uid="{00000000-0005-0000-0000-0000A7020000}"/>
    <cellStyle name="Borders 2 2 5 3 3" xfId="5482" xr:uid="{00000000-0005-0000-0000-0000A8020000}"/>
    <cellStyle name="Borders 2 2 5 3 4" xfId="9840" xr:uid="{00000000-0005-0000-0000-0000A9020000}"/>
    <cellStyle name="Borders 2 2 5 3 5" xfId="13686" xr:uid="{00000000-0005-0000-0000-0000AA020000}"/>
    <cellStyle name="Borders 2 2 5 3 6" xfId="17515" xr:uid="{00000000-0005-0000-0000-0000AB020000}"/>
    <cellStyle name="Borders 2 2 5 3 7" xfId="21454" xr:uid="{00000000-0005-0000-0000-0000AC020000}"/>
    <cellStyle name="Borders 2 2 5 3 8" xfId="25267" xr:uid="{00000000-0005-0000-0000-0000AD020000}"/>
    <cellStyle name="Borders 2 2 5 3 9" xfId="29154" xr:uid="{00000000-0005-0000-0000-0000AE020000}"/>
    <cellStyle name="Borders 2 2 5 4" xfId="2808" xr:uid="{00000000-0005-0000-0000-0000AF020000}"/>
    <cellStyle name="Borders 2 2 5 4 10" xfId="41872" xr:uid="{00000000-0005-0000-0000-0000B0020000}"/>
    <cellStyle name="Borders 2 2 5 4 11" xfId="45649" xr:uid="{00000000-0005-0000-0000-0000B1020000}"/>
    <cellStyle name="Borders 2 2 5 4 2" xfId="6688" xr:uid="{00000000-0005-0000-0000-0000B2020000}"/>
    <cellStyle name="Borders 2 2 5 4 3" xfId="11115" xr:uid="{00000000-0005-0000-0000-0000B3020000}"/>
    <cellStyle name="Borders 2 2 5 4 4" xfId="14960" xr:uid="{00000000-0005-0000-0000-0000B4020000}"/>
    <cellStyle name="Borders 2 2 5 4 5" xfId="18802" xr:uid="{00000000-0005-0000-0000-0000B5020000}"/>
    <cellStyle name="Borders 2 2 5 4 6" xfId="22728" xr:uid="{00000000-0005-0000-0000-0000B6020000}"/>
    <cellStyle name="Borders 2 2 5 4 7" xfId="26553" xr:uid="{00000000-0005-0000-0000-0000B7020000}"/>
    <cellStyle name="Borders 2 2 5 4 8" xfId="34087" xr:uid="{00000000-0005-0000-0000-0000B8020000}"/>
    <cellStyle name="Borders 2 2 5 4 9" xfId="37860" xr:uid="{00000000-0005-0000-0000-0000B9020000}"/>
    <cellStyle name="Borders 2 2 5 5" xfId="4764" xr:uid="{00000000-0005-0000-0000-0000BA020000}"/>
    <cellStyle name="Borders 2 2 5 6" xfId="9118" xr:uid="{00000000-0005-0000-0000-0000BB020000}"/>
    <cellStyle name="Borders 2 2 5 7" xfId="12959" xr:uid="{00000000-0005-0000-0000-0000BC020000}"/>
    <cellStyle name="Borders 2 2 5 8" xfId="16784" xr:uid="{00000000-0005-0000-0000-0000BD020000}"/>
    <cellStyle name="Borders 2 2 5 9" xfId="20726" xr:uid="{00000000-0005-0000-0000-0000BE020000}"/>
    <cellStyle name="Borders 2 2 6" xfId="910" xr:uid="{00000000-0005-0000-0000-0000BF020000}"/>
    <cellStyle name="Borders 2 2 6 10" xfId="24634" xr:uid="{00000000-0005-0000-0000-0000C0020000}"/>
    <cellStyle name="Borders 2 2 6 11" xfId="32211" xr:uid="{00000000-0005-0000-0000-0000C1020000}"/>
    <cellStyle name="Borders 2 2 6 12" xfId="35968" xr:uid="{00000000-0005-0000-0000-0000C2020000}"/>
    <cellStyle name="Borders 2 2 6 13" xfId="43794" xr:uid="{00000000-0005-0000-0000-0000C3020000}"/>
    <cellStyle name="Borders 2 2 6 2" xfId="1247" xr:uid="{00000000-0005-0000-0000-0000C4020000}"/>
    <cellStyle name="Borders 2 2 6 2 10" xfId="32539" xr:uid="{00000000-0005-0000-0000-0000C5020000}"/>
    <cellStyle name="Borders 2 2 6 2 11" xfId="36305" xr:uid="{00000000-0005-0000-0000-0000C6020000}"/>
    <cellStyle name="Borders 2 2 6 2 12" xfId="44131" xr:uid="{00000000-0005-0000-0000-0000C7020000}"/>
    <cellStyle name="Borders 2 2 6 2 2" xfId="1969" xr:uid="{00000000-0005-0000-0000-0000C8020000}"/>
    <cellStyle name="Borders 2 2 6 2 2 10" xfId="33256" xr:uid="{00000000-0005-0000-0000-0000C9020000}"/>
    <cellStyle name="Borders 2 2 6 2 2 11" xfId="37026" xr:uid="{00000000-0005-0000-0000-0000CA020000}"/>
    <cellStyle name="Borders 2 2 6 2 2 12" xfId="41017" xr:uid="{00000000-0005-0000-0000-0000CB020000}"/>
    <cellStyle name="Borders 2 2 6 2 2 13" xfId="44848" xr:uid="{00000000-0005-0000-0000-0000CC020000}"/>
    <cellStyle name="Borders 2 2 6 2 2 2" xfId="3959" xr:uid="{00000000-0005-0000-0000-0000CD020000}"/>
    <cellStyle name="Borders 2 2 6 2 2 2 10" xfId="43021" xr:uid="{00000000-0005-0000-0000-0000CE020000}"/>
    <cellStyle name="Borders 2 2 6 2 2 2 11" xfId="46786" xr:uid="{00000000-0005-0000-0000-0000CF020000}"/>
    <cellStyle name="Borders 2 2 6 2 2 2 2" xfId="7826" xr:uid="{00000000-0005-0000-0000-0000D0020000}"/>
    <cellStyle name="Borders 2 2 6 2 2 2 3" xfId="12261" xr:uid="{00000000-0005-0000-0000-0000D1020000}"/>
    <cellStyle name="Borders 2 2 6 2 2 2 4" xfId="16106" xr:uid="{00000000-0005-0000-0000-0000D2020000}"/>
    <cellStyle name="Borders 2 2 6 2 2 2 5" xfId="19953" xr:uid="{00000000-0005-0000-0000-0000D3020000}"/>
    <cellStyle name="Borders 2 2 6 2 2 2 6" xfId="23869" xr:uid="{00000000-0005-0000-0000-0000D4020000}"/>
    <cellStyle name="Borders 2 2 6 2 2 2 7" xfId="27703" xr:uid="{00000000-0005-0000-0000-0000D5020000}"/>
    <cellStyle name="Borders 2 2 6 2 2 2 8" xfId="35224" xr:uid="{00000000-0005-0000-0000-0000D6020000}"/>
    <cellStyle name="Borders 2 2 6 2 2 2 9" xfId="39010" xr:uid="{00000000-0005-0000-0000-0000D7020000}"/>
    <cellStyle name="Borders 2 2 6 2 2 3" xfId="5902" xr:uid="{00000000-0005-0000-0000-0000D8020000}"/>
    <cellStyle name="Borders 2 2 6 2 2 4" xfId="10260" xr:uid="{00000000-0005-0000-0000-0000D9020000}"/>
    <cellStyle name="Borders 2 2 6 2 2 5" xfId="14106" xr:uid="{00000000-0005-0000-0000-0000DA020000}"/>
    <cellStyle name="Borders 2 2 6 2 2 6" xfId="17935" xr:uid="{00000000-0005-0000-0000-0000DB020000}"/>
    <cellStyle name="Borders 2 2 6 2 2 7" xfId="21874" xr:uid="{00000000-0005-0000-0000-0000DC020000}"/>
    <cellStyle name="Borders 2 2 6 2 2 8" xfId="25687" xr:uid="{00000000-0005-0000-0000-0000DD020000}"/>
    <cellStyle name="Borders 2 2 6 2 2 9" xfId="29574" xr:uid="{00000000-0005-0000-0000-0000DE020000}"/>
    <cellStyle name="Borders 2 2 6 2 3" xfId="3237" xr:uid="{00000000-0005-0000-0000-0000DF020000}"/>
    <cellStyle name="Borders 2 2 6 2 3 10" xfId="42300" xr:uid="{00000000-0005-0000-0000-0000E0020000}"/>
    <cellStyle name="Borders 2 2 6 2 3 11" xfId="46069" xr:uid="{00000000-0005-0000-0000-0000E1020000}"/>
    <cellStyle name="Borders 2 2 6 2 3 2" xfId="7109" xr:uid="{00000000-0005-0000-0000-0000E2020000}"/>
    <cellStyle name="Borders 2 2 6 2 3 3" xfId="11541" xr:uid="{00000000-0005-0000-0000-0000E3020000}"/>
    <cellStyle name="Borders 2 2 6 2 3 4" xfId="15385" xr:uid="{00000000-0005-0000-0000-0000E4020000}"/>
    <cellStyle name="Borders 2 2 6 2 3 5" xfId="19231" xr:uid="{00000000-0005-0000-0000-0000E5020000}"/>
    <cellStyle name="Borders 2 2 6 2 3 6" xfId="23150" xr:uid="{00000000-0005-0000-0000-0000E6020000}"/>
    <cellStyle name="Borders 2 2 6 2 3 7" xfId="26982" xr:uid="{00000000-0005-0000-0000-0000E7020000}"/>
    <cellStyle name="Borders 2 2 6 2 3 8" xfId="34507" xr:uid="{00000000-0005-0000-0000-0000E8020000}"/>
    <cellStyle name="Borders 2 2 6 2 3 9" xfId="38289" xr:uid="{00000000-0005-0000-0000-0000E9020000}"/>
    <cellStyle name="Borders 2 2 6 2 4" xfId="5185" xr:uid="{00000000-0005-0000-0000-0000EA020000}"/>
    <cellStyle name="Borders 2 2 6 2 5" xfId="9541" xr:uid="{00000000-0005-0000-0000-0000EB020000}"/>
    <cellStyle name="Borders 2 2 6 2 6" xfId="13385" xr:uid="{00000000-0005-0000-0000-0000EC020000}"/>
    <cellStyle name="Borders 2 2 6 2 7" xfId="17213" xr:uid="{00000000-0005-0000-0000-0000ED020000}"/>
    <cellStyle name="Borders 2 2 6 2 8" xfId="21155" xr:uid="{00000000-0005-0000-0000-0000EE020000}"/>
    <cellStyle name="Borders 2 2 6 2 9" xfId="24966" xr:uid="{00000000-0005-0000-0000-0000EF020000}"/>
    <cellStyle name="Borders 2 2 6 3" xfId="1641" xr:uid="{00000000-0005-0000-0000-0000F0020000}"/>
    <cellStyle name="Borders 2 2 6 3 10" xfId="32928" xr:uid="{00000000-0005-0000-0000-0000F1020000}"/>
    <cellStyle name="Borders 2 2 6 3 11" xfId="36698" xr:uid="{00000000-0005-0000-0000-0000F2020000}"/>
    <cellStyle name="Borders 2 2 6 3 12" xfId="40689" xr:uid="{00000000-0005-0000-0000-0000F3020000}"/>
    <cellStyle name="Borders 2 2 6 3 13" xfId="44520" xr:uid="{00000000-0005-0000-0000-0000F4020000}"/>
    <cellStyle name="Borders 2 2 6 3 2" xfId="3631" xr:uid="{00000000-0005-0000-0000-0000F5020000}"/>
    <cellStyle name="Borders 2 2 6 3 2 10" xfId="42693" xr:uid="{00000000-0005-0000-0000-0000F6020000}"/>
    <cellStyle name="Borders 2 2 6 3 2 11" xfId="46458" xr:uid="{00000000-0005-0000-0000-0000F7020000}"/>
    <cellStyle name="Borders 2 2 6 3 2 2" xfId="7498" xr:uid="{00000000-0005-0000-0000-0000F8020000}"/>
    <cellStyle name="Borders 2 2 6 3 2 3" xfId="11933" xr:uid="{00000000-0005-0000-0000-0000F9020000}"/>
    <cellStyle name="Borders 2 2 6 3 2 4" xfId="15778" xr:uid="{00000000-0005-0000-0000-0000FA020000}"/>
    <cellStyle name="Borders 2 2 6 3 2 5" xfId="19625" xr:uid="{00000000-0005-0000-0000-0000FB020000}"/>
    <cellStyle name="Borders 2 2 6 3 2 6" xfId="23541" xr:uid="{00000000-0005-0000-0000-0000FC020000}"/>
    <cellStyle name="Borders 2 2 6 3 2 7" xfId="27375" xr:uid="{00000000-0005-0000-0000-0000FD020000}"/>
    <cellStyle name="Borders 2 2 6 3 2 8" xfId="34896" xr:uid="{00000000-0005-0000-0000-0000FE020000}"/>
    <cellStyle name="Borders 2 2 6 3 2 9" xfId="38682" xr:uid="{00000000-0005-0000-0000-0000FF020000}"/>
    <cellStyle name="Borders 2 2 6 3 3" xfId="5574" xr:uid="{00000000-0005-0000-0000-000000030000}"/>
    <cellStyle name="Borders 2 2 6 3 4" xfId="9932" xr:uid="{00000000-0005-0000-0000-000001030000}"/>
    <cellStyle name="Borders 2 2 6 3 5" xfId="13778" xr:uid="{00000000-0005-0000-0000-000002030000}"/>
    <cellStyle name="Borders 2 2 6 3 6" xfId="17607" xr:uid="{00000000-0005-0000-0000-000003030000}"/>
    <cellStyle name="Borders 2 2 6 3 7" xfId="21546" xr:uid="{00000000-0005-0000-0000-000004030000}"/>
    <cellStyle name="Borders 2 2 6 3 8" xfId="25359" xr:uid="{00000000-0005-0000-0000-000005030000}"/>
    <cellStyle name="Borders 2 2 6 3 9" xfId="29246" xr:uid="{00000000-0005-0000-0000-000006030000}"/>
    <cellStyle name="Borders 2 2 6 4" xfId="2900" xr:uid="{00000000-0005-0000-0000-000007030000}"/>
    <cellStyle name="Borders 2 2 6 4 10" xfId="41964" xr:uid="{00000000-0005-0000-0000-000008030000}"/>
    <cellStyle name="Borders 2 2 6 4 11" xfId="45741" xr:uid="{00000000-0005-0000-0000-000009030000}"/>
    <cellStyle name="Borders 2 2 6 4 2" xfId="6780" xr:uid="{00000000-0005-0000-0000-00000A030000}"/>
    <cellStyle name="Borders 2 2 6 4 3" xfId="11207" xr:uid="{00000000-0005-0000-0000-00000B030000}"/>
    <cellStyle name="Borders 2 2 6 4 4" xfId="15052" xr:uid="{00000000-0005-0000-0000-00000C030000}"/>
    <cellStyle name="Borders 2 2 6 4 5" xfId="18894" xr:uid="{00000000-0005-0000-0000-00000D030000}"/>
    <cellStyle name="Borders 2 2 6 4 6" xfId="22820" xr:uid="{00000000-0005-0000-0000-00000E030000}"/>
    <cellStyle name="Borders 2 2 6 4 7" xfId="26645" xr:uid="{00000000-0005-0000-0000-00000F030000}"/>
    <cellStyle name="Borders 2 2 6 4 8" xfId="34179" xr:uid="{00000000-0005-0000-0000-000010030000}"/>
    <cellStyle name="Borders 2 2 6 4 9" xfId="37952" xr:uid="{00000000-0005-0000-0000-000011030000}"/>
    <cellStyle name="Borders 2 2 6 5" xfId="4856" xr:uid="{00000000-0005-0000-0000-000012030000}"/>
    <cellStyle name="Borders 2 2 6 6" xfId="9210" xr:uid="{00000000-0005-0000-0000-000013030000}"/>
    <cellStyle name="Borders 2 2 6 7" xfId="13051" xr:uid="{00000000-0005-0000-0000-000014030000}"/>
    <cellStyle name="Borders 2 2 6 8" xfId="16876" xr:uid="{00000000-0005-0000-0000-000015030000}"/>
    <cellStyle name="Borders 2 2 6 9" xfId="20818" xr:uid="{00000000-0005-0000-0000-000016030000}"/>
    <cellStyle name="Borders 2 2 7" xfId="956" xr:uid="{00000000-0005-0000-0000-000017030000}"/>
    <cellStyle name="Borders 2 2 7 10" xfId="32257" xr:uid="{00000000-0005-0000-0000-000018030000}"/>
    <cellStyle name="Borders 2 2 7 11" xfId="36014" xr:uid="{00000000-0005-0000-0000-000019030000}"/>
    <cellStyle name="Borders 2 2 7 12" xfId="43840" xr:uid="{00000000-0005-0000-0000-00001A030000}"/>
    <cellStyle name="Borders 2 2 7 2" xfId="1687" xr:uid="{00000000-0005-0000-0000-00001B030000}"/>
    <cellStyle name="Borders 2 2 7 2 10" xfId="32974" xr:uid="{00000000-0005-0000-0000-00001C030000}"/>
    <cellStyle name="Borders 2 2 7 2 11" xfId="36744" xr:uid="{00000000-0005-0000-0000-00001D030000}"/>
    <cellStyle name="Borders 2 2 7 2 12" xfId="40735" xr:uid="{00000000-0005-0000-0000-00001E030000}"/>
    <cellStyle name="Borders 2 2 7 2 13" xfId="44566" xr:uid="{00000000-0005-0000-0000-00001F030000}"/>
    <cellStyle name="Borders 2 2 7 2 2" xfId="3677" xr:uid="{00000000-0005-0000-0000-000020030000}"/>
    <cellStyle name="Borders 2 2 7 2 2 10" xfId="42739" xr:uid="{00000000-0005-0000-0000-000021030000}"/>
    <cellStyle name="Borders 2 2 7 2 2 11" xfId="46504" xr:uid="{00000000-0005-0000-0000-000022030000}"/>
    <cellStyle name="Borders 2 2 7 2 2 2" xfId="7544" xr:uid="{00000000-0005-0000-0000-000023030000}"/>
    <cellStyle name="Borders 2 2 7 2 2 3" xfId="11979" xr:uid="{00000000-0005-0000-0000-000024030000}"/>
    <cellStyle name="Borders 2 2 7 2 2 4" xfId="15824" xr:uid="{00000000-0005-0000-0000-000025030000}"/>
    <cellStyle name="Borders 2 2 7 2 2 5" xfId="19671" xr:uid="{00000000-0005-0000-0000-000026030000}"/>
    <cellStyle name="Borders 2 2 7 2 2 6" xfId="23587" xr:uid="{00000000-0005-0000-0000-000027030000}"/>
    <cellStyle name="Borders 2 2 7 2 2 7" xfId="27421" xr:uid="{00000000-0005-0000-0000-000028030000}"/>
    <cellStyle name="Borders 2 2 7 2 2 8" xfId="34942" xr:uid="{00000000-0005-0000-0000-000029030000}"/>
    <cellStyle name="Borders 2 2 7 2 2 9" xfId="38728" xr:uid="{00000000-0005-0000-0000-00002A030000}"/>
    <cellStyle name="Borders 2 2 7 2 3" xfId="5620" xr:uid="{00000000-0005-0000-0000-00002B030000}"/>
    <cellStyle name="Borders 2 2 7 2 4" xfId="9978" xr:uid="{00000000-0005-0000-0000-00002C030000}"/>
    <cellStyle name="Borders 2 2 7 2 5" xfId="13824" xr:uid="{00000000-0005-0000-0000-00002D030000}"/>
    <cellStyle name="Borders 2 2 7 2 6" xfId="17653" xr:uid="{00000000-0005-0000-0000-00002E030000}"/>
    <cellStyle name="Borders 2 2 7 2 7" xfId="21592" xr:uid="{00000000-0005-0000-0000-00002F030000}"/>
    <cellStyle name="Borders 2 2 7 2 8" xfId="25405" xr:uid="{00000000-0005-0000-0000-000030030000}"/>
    <cellStyle name="Borders 2 2 7 2 9" xfId="29292" xr:uid="{00000000-0005-0000-0000-000031030000}"/>
    <cellStyle name="Borders 2 2 7 3" xfId="2946" xr:uid="{00000000-0005-0000-0000-000032030000}"/>
    <cellStyle name="Borders 2 2 7 3 10" xfId="42010" xr:uid="{00000000-0005-0000-0000-000033030000}"/>
    <cellStyle name="Borders 2 2 7 3 11" xfId="45787" xr:uid="{00000000-0005-0000-0000-000034030000}"/>
    <cellStyle name="Borders 2 2 7 3 2" xfId="6826" xr:uid="{00000000-0005-0000-0000-000035030000}"/>
    <cellStyle name="Borders 2 2 7 3 3" xfId="11253" xr:uid="{00000000-0005-0000-0000-000036030000}"/>
    <cellStyle name="Borders 2 2 7 3 4" xfId="15098" xr:uid="{00000000-0005-0000-0000-000037030000}"/>
    <cellStyle name="Borders 2 2 7 3 5" xfId="18940" xr:uid="{00000000-0005-0000-0000-000038030000}"/>
    <cellStyle name="Borders 2 2 7 3 6" xfId="22866" xr:uid="{00000000-0005-0000-0000-000039030000}"/>
    <cellStyle name="Borders 2 2 7 3 7" xfId="26691" xr:uid="{00000000-0005-0000-0000-00003A030000}"/>
    <cellStyle name="Borders 2 2 7 3 8" xfId="34225" xr:uid="{00000000-0005-0000-0000-00003B030000}"/>
    <cellStyle name="Borders 2 2 7 3 9" xfId="37998" xr:uid="{00000000-0005-0000-0000-00003C030000}"/>
    <cellStyle name="Borders 2 2 7 4" xfId="4902" xr:uid="{00000000-0005-0000-0000-00003D030000}"/>
    <cellStyle name="Borders 2 2 7 5" xfId="9256" xr:uid="{00000000-0005-0000-0000-00003E030000}"/>
    <cellStyle name="Borders 2 2 7 6" xfId="13097" xr:uid="{00000000-0005-0000-0000-00003F030000}"/>
    <cellStyle name="Borders 2 2 7 7" xfId="16922" xr:uid="{00000000-0005-0000-0000-000040030000}"/>
    <cellStyle name="Borders 2 2 7 8" xfId="20864" xr:uid="{00000000-0005-0000-0000-000041030000}"/>
    <cellStyle name="Borders 2 2 7 9" xfId="24680" xr:uid="{00000000-0005-0000-0000-000042030000}"/>
    <cellStyle name="Borders 2 2 8" xfId="1334" xr:uid="{00000000-0005-0000-0000-000043030000}"/>
    <cellStyle name="Borders 2 2 8 10" xfId="32621" xr:uid="{00000000-0005-0000-0000-000044030000}"/>
    <cellStyle name="Borders 2 2 8 11" xfId="36391" xr:uid="{00000000-0005-0000-0000-000045030000}"/>
    <cellStyle name="Borders 2 2 8 12" xfId="40382" xr:uid="{00000000-0005-0000-0000-000046030000}"/>
    <cellStyle name="Borders 2 2 8 13" xfId="44213" xr:uid="{00000000-0005-0000-0000-000047030000}"/>
    <cellStyle name="Borders 2 2 8 2" xfId="3324" xr:uid="{00000000-0005-0000-0000-000048030000}"/>
    <cellStyle name="Borders 2 2 8 2 10" xfId="42386" xr:uid="{00000000-0005-0000-0000-000049030000}"/>
    <cellStyle name="Borders 2 2 8 2 11" xfId="46151" xr:uid="{00000000-0005-0000-0000-00004A030000}"/>
    <cellStyle name="Borders 2 2 8 2 2" xfId="7191" xr:uid="{00000000-0005-0000-0000-00004B030000}"/>
    <cellStyle name="Borders 2 2 8 2 3" xfId="11626" xr:uid="{00000000-0005-0000-0000-00004C030000}"/>
    <cellStyle name="Borders 2 2 8 2 4" xfId="15471" xr:uid="{00000000-0005-0000-0000-00004D030000}"/>
    <cellStyle name="Borders 2 2 8 2 5" xfId="19318" xr:uid="{00000000-0005-0000-0000-00004E030000}"/>
    <cellStyle name="Borders 2 2 8 2 6" xfId="23234" xr:uid="{00000000-0005-0000-0000-00004F030000}"/>
    <cellStyle name="Borders 2 2 8 2 7" xfId="27068" xr:uid="{00000000-0005-0000-0000-000050030000}"/>
    <cellStyle name="Borders 2 2 8 2 8" xfId="34589" xr:uid="{00000000-0005-0000-0000-000051030000}"/>
    <cellStyle name="Borders 2 2 8 2 9" xfId="38375" xr:uid="{00000000-0005-0000-0000-000052030000}"/>
    <cellStyle name="Borders 2 2 8 3" xfId="5267" xr:uid="{00000000-0005-0000-0000-000053030000}"/>
    <cellStyle name="Borders 2 2 8 4" xfId="9625" xr:uid="{00000000-0005-0000-0000-000054030000}"/>
    <cellStyle name="Borders 2 2 8 5" xfId="13471" xr:uid="{00000000-0005-0000-0000-000055030000}"/>
    <cellStyle name="Borders 2 2 8 6" xfId="17300" xr:uid="{00000000-0005-0000-0000-000056030000}"/>
    <cellStyle name="Borders 2 2 8 7" xfId="21239" xr:uid="{00000000-0005-0000-0000-000057030000}"/>
    <cellStyle name="Borders 2 2 8 8" xfId="25052" xr:uid="{00000000-0005-0000-0000-000058030000}"/>
    <cellStyle name="Borders 2 2 8 9" xfId="28939" xr:uid="{00000000-0005-0000-0000-000059030000}"/>
    <cellStyle name="Borders 2 2 9" xfId="2031" xr:uid="{00000000-0005-0000-0000-00005A030000}"/>
    <cellStyle name="Borders 2 2 9 10" xfId="44907" xr:uid="{00000000-0005-0000-0000-00005B030000}"/>
    <cellStyle name="Borders 2 2 9 2" xfId="4020" xr:uid="{00000000-0005-0000-0000-00005C030000}"/>
    <cellStyle name="Borders 2 2 9 2 10" xfId="43082" xr:uid="{00000000-0005-0000-0000-00005D030000}"/>
    <cellStyle name="Borders 2 2 9 2 11" xfId="46845" xr:uid="{00000000-0005-0000-0000-00005E030000}"/>
    <cellStyle name="Borders 2 2 9 2 2" xfId="7885" xr:uid="{00000000-0005-0000-0000-00005F030000}"/>
    <cellStyle name="Borders 2 2 9 2 3" xfId="12321" xr:uid="{00000000-0005-0000-0000-000060030000}"/>
    <cellStyle name="Borders 2 2 9 2 4" xfId="16166" xr:uid="{00000000-0005-0000-0000-000061030000}"/>
    <cellStyle name="Borders 2 2 9 2 5" xfId="20014" xr:uid="{00000000-0005-0000-0000-000062030000}"/>
    <cellStyle name="Borders 2 2 9 2 6" xfId="23929" xr:uid="{00000000-0005-0000-0000-000063030000}"/>
    <cellStyle name="Borders 2 2 9 2 7" xfId="27764" xr:uid="{00000000-0005-0000-0000-000064030000}"/>
    <cellStyle name="Borders 2 2 9 2 8" xfId="35283" xr:uid="{00000000-0005-0000-0000-000065030000}"/>
    <cellStyle name="Borders 2 2 9 2 9" xfId="39071" xr:uid="{00000000-0005-0000-0000-000066030000}"/>
    <cellStyle name="Borders 2 2 9 3" xfId="5961" xr:uid="{00000000-0005-0000-0000-000067030000}"/>
    <cellStyle name="Borders 2 2 9 4" xfId="10320" xr:uid="{00000000-0005-0000-0000-000068030000}"/>
    <cellStyle name="Borders 2 2 9 5" xfId="14167" xr:uid="{00000000-0005-0000-0000-000069030000}"/>
    <cellStyle name="Borders 2 2 9 6" xfId="17997" xr:uid="{00000000-0005-0000-0000-00006A030000}"/>
    <cellStyle name="Borders 2 2 9 7" xfId="21935" xr:uid="{00000000-0005-0000-0000-00006B030000}"/>
    <cellStyle name="Borders 2 2 9 8" xfId="25749" xr:uid="{00000000-0005-0000-0000-00006C030000}"/>
    <cellStyle name="Borders 2 2 9 9" xfId="37087" xr:uid="{00000000-0005-0000-0000-00006D030000}"/>
    <cellStyle name="Borders 2 3" xfId="578" xr:uid="{00000000-0005-0000-0000-00006E030000}"/>
    <cellStyle name="Borders 2 3 10" xfId="2228" xr:uid="{00000000-0005-0000-0000-00006F030000}"/>
    <cellStyle name="Borders 2 3 10 10" xfId="37280" xr:uid="{00000000-0005-0000-0000-000070030000}"/>
    <cellStyle name="Borders 2 3 10 11" xfId="41296" xr:uid="{00000000-0005-0000-0000-000071030000}"/>
    <cellStyle name="Borders 2 3 10 12" xfId="45091" xr:uid="{00000000-0005-0000-0000-000072030000}"/>
    <cellStyle name="Borders 2 3 10 2" xfId="4211" xr:uid="{00000000-0005-0000-0000-000073030000}"/>
    <cellStyle name="Borders 2 3 10 2 10" xfId="43272" xr:uid="{00000000-0005-0000-0000-000074030000}"/>
    <cellStyle name="Borders 2 3 10 2 11" xfId="47029" xr:uid="{00000000-0005-0000-0000-000075030000}"/>
    <cellStyle name="Borders 2 3 10 2 2" xfId="8070" xr:uid="{00000000-0005-0000-0000-000076030000}"/>
    <cellStyle name="Borders 2 3 10 2 3" xfId="12510" xr:uid="{00000000-0005-0000-0000-000077030000}"/>
    <cellStyle name="Borders 2 3 10 2 4" xfId="16355" xr:uid="{00000000-0005-0000-0000-000078030000}"/>
    <cellStyle name="Borders 2 3 10 2 5" xfId="20205" xr:uid="{00000000-0005-0000-0000-000079030000}"/>
    <cellStyle name="Borders 2 3 10 2 6" xfId="24117" xr:uid="{00000000-0005-0000-0000-00007A030000}"/>
    <cellStyle name="Borders 2 3 10 2 7" xfId="27955" xr:uid="{00000000-0005-0000-0000-00007B030000}"/>
    <cellStyle name="Borders 2 3 10 2 8" xfId="35467" xr:uid="{00000000-0005-0000-0000-00007C030000}"/>
    <cellStyle name="Borders 2 3 10 2 9" xfId="39262" xr:uid="{00000000-0005-0000-0000-00007D030000}"/>
    <cellStyle name="Borders 2 3 10 3" xfId="6142" xr:uid="{00000000-0005-0000-0000-00007E030000}"/>
    <cellStyle name="Borders 2 3 10 4" xfId="10545" xr:uid="{00000000-0005-0000-0000-00007F030000}"/>
    <cellStyle name="Borders 2 3 10 5" xfId="14391" xr:uid="{00000000-0005-0000-0000-000080030000}"/>
    <cellStyle name="Borders 2 3 10 6" xfId="18222" xr:uid="{00000000-0005-0000-0000-000081030000}"/>
    <cellStyle name="Borders 2 3 10 7" xfId="22161" xr:uid="{00000000-0005-0000-0000-000082030000}"/>
    <cellStyle name="Borders 2 3 10 8" xfId="25973" xr:uid="{00000000-0005-0000-0000-000083030000}"/>
    <cellStyle name="Borders 2 3 10 9" xfId="33529" xr:uid="{00000000-0005-0000-0000-000084030000}"/>
    <cellStyle name="Borders 2 3 11" xfId="2286" xr:uid="{00000000-0005-0000-0000-000085030000}"/>
    <cellStyle name="Borders 2 3 11 10" xfId="37338" xr:uid="{00000000-0005-0000-0000-000086030000}"/>
    <cellStyle name="Borders 2 3 11 11" xfId="41354" xr:uid="{00000000-0005-0000-0000-000087030000}"/>
    <cellStyle name="Borders 2 3 11 12" xfId="45149" xr:uid="{00000000-0005-0000-0000-000088030000}"/>
    <cellStyle name="Borders 2 3 11 2" xfId="4269" xr:uid="{00000000-0005-0000-0000-000089030000}"/>
    <cellStyle name="Borders 2 3 11 2 10" xfId="43330" xr:uid="{00000000-0005-0000-0000-00008A030000}"/>
    <cellStyle name="Borders 2 3 11 2 11" xfId="47087" xr:uid="{00000000-0005-0000-0000-00008B030000}"/>
    <cellStyle name="Borders 2 3 11 2 2" xfId="8128" xr:uid="{00000000-0005-0000-0000-00008C030000}"/>
    <cellStyle name="Borders 2 3 11 2 3" xfId="12568" xr:uid="{00000000-0005-0000-0000-00008D030000}"/>
    <cellStyle name="Borders 2 3 11 2 4" xfId="16413" xr:uid="{00000000-0005-0000-0000-00008E030000}"/>
    <cellStyle name="Borders 2 3 11 2 5" xfId="20263" xr:uid="{00000000-0005-0000-0000-00008F030000}"/>
    <cellStyle name="Borders 2 3 11 2 6" xfId="24175" xr:uid="{00000000-0005-0000-0000-000090030000}"/>
    <cellStyle name="Borders 2 3 11 2 7" xfId="28013" xr:uid="{00000000-0005-0000-0000-000091030000}"/>
    <cellStyle name="Borders 2 3 11 2 8" xfId="35525" xr:uid="{00000000-0005-0000-0000-000092030000}"/>
    <cellStyle name="Borders 2 3 11 2 9" xfId="39320" xr:uid="{00000000-0005-0000-0000-000093030000}"/>
    <cellStyle name="Borders 2 3 11 3" xfId="6200" xr:uid="{00000000-0005-0000-0000-000094030000}"/>
    <cellStyle name="Borders 2 3 11 4" xfId="10603" xr:uid="{00000000-0005-0000-0000-000095030000}"/>
    <cellStyle name="Borders 2 3 11 5" xfId="14449" xr:uid="{00000000-0005-0000-0000-000096030000}"/>
    <cellStyle name="Borders 2 3 11 6" xfId="18280" xr:uid="{00000000-0005-0000-0000-000097030000}"/>
    <cellStyle name="Borders 2 3 11 7" xfId="22219" xr:uid="{00000000-0005-0000-0000-000098030000}"/>
    <cellStyle name="Borders 2 3 11 8" xfId="26031" xr:uid="{00000000-0005-0000-0000-000099030000}"/>
    <cellStyle name="Borders 2 3 11 9" xfId="33587" xr:uid="{00000000-0005-0000-0000-00009A030000}"/>
    <cellStyle name="Borders 2 3 12" xfId="2343" xr:uid="{00000000-0005-0000-0000-00009B030000}"/>
    <cellStyle name="Borders 2 3 12 10" xfId="41411" xr:uid="{00000000-0005-0000-0000-00009C030000}"/>
    <cellStyle name="Borders 2 3 12 11" xfId="45204" xr:uid="{00000000-0005-0000-0000-00009D030000}"/>
    <cellStyle name="Borders 2 3 12 2" xfId="4326" xr:uid="{00000000-0005-0000-0000-00009E030000}"/>
    <cellStyle name="Borders 2 3 12 2 10" xfId="43387" xr:uid="{00000000-0005-0000-0000-00009F030000}"/>
    <cellStyle name="Borders 2 3 12 2 11" xfId="47142" xr:uid="{00000000-0005-0000-0000-0000A0030000}"/>
    <cellStyle name="Borders 2 3 12 2 2" xfId="8183" xr:uid="{00000000-0005-0000-0000-0000A1030000}"/>
    <cellStyle name="Borders 2 3 12 2 3" xfId="12625" xr:uid="{00000000-0005-0000-0000-0000A2030000}"/>
    <cellStyle name="Borders 2 3 12 2 4" xfId="16469" xr:uid="{00000000-0005-0000-0000-0000A3030000}"/>
    <cellStyle name="Borders 2 3 12 2 5" xfId="20320" xr:uid="{00000000-0005-0000-0000-0000A4030000}"/>
    <cellStyle name="Borders 2 3 12 2 6" xfId="24231" xr:uid="{00000000-0005-0000-0000-0000A5030000}"/>
    <cellStyle name="Borders 2 3 12 2 7" xfId="28070" xr:uid="{00000000-0005-0000-0000-0000A6030000}"/>
    <cellStyle name="Borders 2 3 12 2 8" xfId="35580" xr:uid="{00000000-0005-0000-0000-0000A7030000}"/>
    <cellStyle name="Borders 2 3 12 2 9" xfId="39377" xr:uid="{00000000-0005-0000-0000-0000A8030000}"/>
    <cellStyle name="Borders 2 3 12 3" xfId="10660" xr:uid="{00000000-0005-0000-0000-0000A9030000}"/>
    <cellStyle name="Borders 2 3 12 4" xfId="14505" xr:uid="{00000000-0005-0000-0000-0000AA030000}"/>
    <cellStyle name="Borders 2 3 12 5" xfId="18337" xr:uid="{00000000-0005-0000-0000-0000AB030000}"/>
    <cellStyle name="Borders 2 3 12 6" xfId="22275" xr:uid="{00000000-0005-0000-0000-0000AC030000}"/>
    <cellStyle name="Borders 2 3 12 7" xfId="26088" xr:uid="{00000000-0005-0000-0000-0000AD030000}"/>
    <cellStyle name="Borders 2 3 12 8" xfId="33642" xr:uid="{00000000-0005-0000-0000-0000AE030000}"/>
    <cellStyle name="Borders 2 3 12 9" xfId="37395" xr:uid="{00000000-0005-0000-0000-0000AF030000}"/>
    <cellStyle name="Borders 2 3 13" xfId="2408" xr:uid="{00000000-0005-0000-0000-0000B0030000}"/>
    <cellStyle name="Borders 2 3 13 10" xfId="37460" xr:uid="{00000000-0005-0000-0000-0000B1030000}"/>
    <cellStyle name="Borders 2 3 13 11" xfId="41475" xr:uid="{00000000-0005-0000-0000-0000B2030000}"/>
    <cellStyle name="Borders 2 3 13 12" xfId="45268" xr:uid="{00000000-0005-0000-0000-0000B3030000}"/>
    <cellStyle name="Borders 2 3 13 2" xfId="4391" xr:uid="{00000000-0005-0000-0000-0000B4030000}"/>
    <cellStyle name="Borders 2 3 13 2 10" xfId="39442" xr:uid="{00000000-0005-0000-0000-0000B5030000}"/>
    <cellStyle name="Borders 2 3 13 2 11" xfId="43451" xr:uid="{00000000-0005-0000-0000-0000B6030000}"/>
    <cellStyle name="Borders 2 3 13 2 12" xfId="47206" xr:uid="{00000000-0005-0000-0000-0000B7030000}"/>
    <cellStyle name="Borders 2 3 13 2 2" xfId="8248" xr:uid="{00000000-0005-0000-0000-0000B8030000}"/>
    <cellStyle name="Borders 2 3 13 2 3" xfId="12689" xr:uid="{00000000-0005-0000-0000-0000B9030000}"/>
    <cellStyle name="Borders 2 3 13 2 4" xfId="16534" xr:uid="{00000000-0005-0000-0000-0000BA030000}"/>
    <cellStyle name="Borders 2 3 13 2 5" xfId="20385" xr:uid="{00000000-0005-0000-0000-0000BB030000}"/>
    <cellStyle name="Borders 2 3 13 2 6" xfId="24296" xr:uid="{00000000-0005-0000-0000-0000BC030000}"/>
    <cellStyle name="Borders 2 3 13 2 7" xfId="28135" xr:uid="{00000000-0005-0000-0000-0000BD030000}"/>
    <cellStyle name="Borders 2 3 13 2 8" xfId="31993" xr:uid="{00000000-0005-0000-0000-0000BE030000}"/>
    <cellStyle name="Borders 2 3 13 2 9" xfId="35644" xr:uid="{00000000-0005-0000-0000-0000BF030000}"/>
    <cellStyle name="Borders 2 3 13 3" xfId="6304" xr:uid="{00000000-0005-0000-0000-0000C0030000}"/>
    <cellStyle name="Borders 2 3 13 4" xfId="10724" xr:uid="{00000000-0005-0000-0000-0000C1030000}"/>
    <cellStyle name="Borders 2 3 13 5" xfId="14570" xr:uid="{00000000-0005-0000-0000-0000C2030000}"/>
    <cellStyle name="Borders 2 3 13 6" xfId="18402" xr:uid="{00000000-0005-0000-0000-0000C3030000}"/>
    <cellStyle name="Borders 2 3 13 7" xfId="22340" xr:uid="{00000000-0005-0000-0000-0000C4030000}"/>
    <cellStyle name="Borders 2 3 13 8" xfId="26153" xr:uid="{00000000-0005-0000-0000-0000C5030000}"/>
    <cellStyle name="Borders 2 3 13 9" xfId="33706" xr:uid="{00000000-0005-0000-0000-0000C6030000}"/>
    <cellStyle name="Borders 2 3 14" xfId="2460" xr:uid="{00000000-0005-0000-0000-0000C7030000}"/>
    <cellStyle name="Borders 2 3 14 10" xfId="37512" xr:uid="{00000000-0005-0000-0000-0000C8030000}"/>
    <cellStyle name="Borders 2 3 14 11" xfId="41527" xr:uid="{00000000-0005-0000-0000-0000C9030000}"/>
    <cellStyle name="Borders 2 3 14 12" xfId="45318" xr:uid="{00000000-0005-0000-0000-0000CA030000}"/>
    <cellStyle name="Borders 2 3 14 2" xfId="4443" xr:uid="{00000000-0005-0000-0000-0000CB030000}"/>
    <cellStyle name="Borders 2 3 14 2 10" xfId="43503" xr:uid="{00000000-0005-0000-0000-0000CC030000}"/>
    <cellStyle name="Borders 2 3 14 2 11" xfId="47256" xr:uid="{00000000-0005-0000-0000-0000CD030000}"/>
    <cellStyle name="Borders 2 3 14 2 2" xfId="8298" xr:uid="{00000000-0005-0000-0000-0000CE030000}"/>
    <cellStyle name="Borders 2 3 14 2 3" xfId="12741" xr:uid="{00000000-0005-0000-0000-0000CF030000}"/>
    <cellStyle name="Borders 2 3 14 2 4" xfId="16584" xr:uid="{00000000-0005-0000-0000-0000D0030000}"/>
    <cellStyle name="Borders 2 3 14 2 5" xfId="20437" xr:uid="{00000000-0005-0000-0000-0000D1030000}"/>
    <cellStyle name="Borders 2 3 14 2 6" xfId="24347" xr:uid="{00000000-0005-0000-0000-0000D2030000}"/>
    <cellStyle name="Borders 2 3 14 2 7" xfId="28187" xr:uid="{00000000-0005-0000-0000-0000D3030000}"/>
    <cellStyle name="Borders 2 3 14 2 8" xfId="35694" xr:uid="{00000000-0005-0000-0000-0000D4030000}"/>
    <cellStyle name="Borders 2 3 14 2 9" xfId="39494" xr:uid="{00000000-0005-0000-0000-0000D5030000}"/>
    <cellStyle name="Borders 2 3 14 3" xfId="6354" xr:uid="{00000000-0005-0000-0000-0000D6030000}"/>
    <cellStyle name="Borders 2 3 14 4" xfId="10776" xr:uid="{00000000-0005-0000-0000-0000D7030000}"/>
    <cellStyle name="Borders 2 3 14 5" xfId="14621" xr:uid="{00000000-0005-0000-0000-0000D8030000}"/>
    <cellStyle name="Borders 2 3 14 6" xfId="18454" xr:uid="{00000000-0005-0000-0000-0000D9030000}"/>
    <cellStyle name="Borders 2 3 14 7" xfId="22391" xr:uid="{00000000-0005-0000-0000-0000DA030000}"/>
    <cellStyle name="Borders 2 3 14 8" xfId="26205" xr:uid="{00000000-0005-0000-0000-0000DB030000}"/>
    <cellStyle name="Borders 2 3 14 9" xfId="33756" xr:uid="{00000000-0005-0000-0000-0000DC030000}"/>
    <cellStyle name="Borders 2 3 15" xfId="2514" xr:uid="{00000000-0005-0000-0000-0000DD030000}"/>
    <cellStyle name="Borders 2 3 15 10" xfId="41580" xr:uid="{00000000-0005-0000-0000-0000DE030000}"/>
    <cellStyle name="Borders 2 3 15 11" xfId="45369" xr:uid="{00000000-0005-0000-0000-0000DF030000}"/>
    <cellStyle name="Borders 2 3 15 2" xfId="6406" xr:uid="{00000000-0005-0000-0000-0000E0030000}"/>
    <cellStyle name="Borders 2 3 15 3" xfId="10829" xr:uid="{00000000-0005-0000-0000-0000E1030000}"/>
    <cellStyle name="Borders 2 3 15 4" xfId="14673" xr:uid="{00000000-0005-0000-0000-0000E2030000}"/>
    <cellStyle name="Borders 2 3 15 5" xfId="18508" xr:uid="{00000000-0005-0000-0000-0000E3030000}"/>
    <cellStyle name="Borders 2 3 15 6" xfId="22443" xr:uid="{00000000-0005-0000-0000-0000E4030000}"/>
    <cellStyle name="Borders 2 3 15 7" xfId="26259" xr:uid="{00000000-0005-0000-0000-0000E5030000}"/>
    <cellStyle name="Borders 2 3 15 8" xfId="33807" xr:uid="{00000000-0005-0000-0000-0000E6030000}"/>
    <cellStyle name="Borders 2 3 15 9" xfId="37566" xr:uid="{00000000-0005-0000-0000-0000E7030000}"/>
    <cellStyle name="Borders 2 3 16" xfId="8362" xr:uid="{00000000-0005-0000-0000-0000E8030000}"/>
    <cellStyle name="Borders 2 3 17" xfId="8768" xr:uid="{00000000-0005-0000-0000-0000E9030000}"/>
    <cellStyle name="Borders 2 3 18" xfId="8888" xr:uid="{00000000-0005-0000-0000-0000EA030000}"/>
    <cellStyle name="Borders 2 3 19" xfId="8537" xr:uid="{00000000-0005-0000-0000-0000EB030000}"/>
    <cellStyle name="Borders 2 3 2" xfId="712" xr:uid="{00000000-0005-0000-0000-0000EC030000}"/>
    <cellStyle name="Borders 2 3 2 10" xfId="24446" xr:uid="{00000000-0005-0000-0000-0000ED030000}"/>
    <cellStyle name="Borders 2 3 2 11" xfId="24504" xr:uid="{00000000-0005-0000-0000-0000EE030000}"/>
    <cellStyle name="Borders 2 3 2 12" xfId="35783" xr:uid="{00000000-0005-0000-0000-0000EF030000}"/>
    <cellStyle name="Borders 2 3 2 13" xfId="43609" xr:uid="{00000000-0005-0000-0000-0000F0030000}"/>
    <cellStyle name="Borders 2 3 2 2" xfId="1092" xr:uid="{00000000-0005-0000-0000-0000F1030000}"/>
    <cellStyle name="Borders 2 3 2 2 10" xfId="32389" xr:uid="{00000000-0005-0000-0000-0000F2030000}"/>
    <cellStyle name="Borders 2 3 2 2 11" xfId="36150" xr:uid="{00000000-0005-0000-0000-0000F3030000}"/>
    <cellStyle name="Borders 2 3 2 2 12" xfId="43976" xr:uid="{00000000-0005-0000-0000-0000F4030000}"/>
    <cellStyle name="Borders 2 3 2 2 2" xfId="1819" xr:uid="{00000000-0005-0000-0000-0000F5030000}"/>
    <cellStyle name="Borders 2 3 2 2 2 10" xfId="33106" xr:uid="{00000000-0005-0000-0000-0000F6030000}"/>
    <cellStyle name="Borders 2 3 2 2 2 11" xfId="36876" xr:uid="{00000000-0005-0000-0000-0000F7030000}"/>
    <cellStyle name="Borders 2 3 2 2 2 12" xfId="40867" xr:uid="{00000000-0005-0000-0000-0000F8030000}"/>
    <cellStyle name="Borders 2 3 2 2 2 13" xfId="44698" xr:uid="{00000000-0005-0000-0000-0000F9030000}"/>
    <cellStyle name="Borders 2 3 2 2 2 2" xfId="3809" xr:uid="{00000000-0005-0000-0000-0000FA030000}"/>
    <cellStyle name="Borders 2 3 2 2 2 2 10" xfId="42871" xr:uid="{00000000-0005-0000-0000-0000FB030000}"/>
    <cellStyle name="Borders 2 3 2 2 2 2 11" xfId="46636" xr:uid="{00000000-0005-0000-0000-0000FC030000}"/>
    <cellStyle name="Borders 2 3 2 2 2 2 2" xfId="7676" xr:uid="{00000000-0005-0000-0000-0000FD030000}"/>
    <cellStyle name="Borders 2 3 2 2 2 2 3" xfId="12111" xr:uid="{00000000-0005-0000-0000-0000FE030000}"/>
    <cellStyle name="Borders 2 3 2 2 2 2 4" xfId="15956" xr:uid="{00000000-0005-0000-0000-0000FF030000}"/>
    <cellStyle name="Borders 2 3 2 2 2 2 5" xfId="19803" xr:uid="{00000000-0005-0000-0000-000000040000}"/>
    <cellStyle name="Borders 2 3 2 2 2 2 6" xfId="23719" xr:uid="{00000000-0005-0000-0000-000001040000}"/>
    <cellStyle name="Borders 2 3 2 2 2 2 7" xfId="27553" xr:uid="{00000000-0005-0000-0000-000002040000}"/>
    <cellStyle name="Borders 2 3 2 2 2 2 8" xfId="35074" xr:uid="{00000000-0005-0000-0000-000003040000}"/>
    <cellStyle name="Borders 2 3 2 2 2 2 9" xfId="38860" xr:uid="{00000000-0005-0000-0000-000004040000}"/>
    <cellStyle name="Borders 2 3 2 2 2 3" xfId="5752" xr:uid="{00000000-0005-0000-0000-000005040000}"/>
    <cellStyle name="Borders 2 3 2 2 2 4" xfId="10110" xr:uid="{00000000-0005-0000-0000-000006040000}"/>
    <cellStyle name="Borders 2 3 2 2 2 5" xfId="13956" xr:uid="{00000000-0005-0000-0000-000007040000}"/>
    <cellStyle name="Borders 2 3 2 2 2 6" xfId="17785" xr:uid="{00000000-0005-0000-0000-000008040000}"/>
    <cellStyle name="Borders 2 3 2 2 2 7" xfId="21724" xr:uid="{00000000-0005-0000-0000-000009040000}"/>
    <cellStyle name="Borders 2 3 2 2 2 8" xfId="25537" xr:uid="{00000000-0005-0000-0000-00000A040000}"/>
    <cellStyle name="Borders 2 3 2 2 2 9" xfId="29424" xr:uid="{00000000-0005-0000-0000-00000B040000}"/>
    <cellStyle name="Borders 2 3 2 2 3" xfId="3082" xr:uid="{00000000-0005-0000-0000-00000C040000}"/>
    <cellStyle name="Borders 2 3 2 2 3 10" xfId="42146" xr:uid="{00000000-0005-0000-0000-00000D040000}"/>
    <cellStyle name="Borders 2 3 2 2 3 11" xfId="45919" xr:uid="{00000000-0005-0000-0000-00000E040000}"/>
    <cellStyle name="Borders 2 3 2 2 3 2" xfId="6958" xr:uid="{00000000-0005-0000-0000-00000F040000}"/>
    <cellStyle name="Borders 2 3 2 2 3 3" xfId="11387" xr:uid="{00000000-0005-0000-0000-000010040000}"/>
    <cellStyle name="Borders 2 3 2 2 3 4" xfId="15231" xr:uid="{00000000-0005-0000-0000-000011040000}"/>
    <cellStyle name="Borders 2 3 2 2 3 5" xfId="19076" xr:uid="{00000000-0005-0000-0000-000012040000}"/>
    <cellStyle name="Borders 2 3 2 2 3 6" xfId="22998" xr:uid="{00000000-0005-0000-0000-000013040000}"/>
    <cellStyle name="Borders 2 3 2 2 3 7" xfId="26827" xr:uid="{00000000-0005-0000-0000-000014040000}"/>
    <cellStyle name="Borders 2 3 2 2 3 8" xfId="34357" xr:uid="{00000000-0005-0000-0000-000015040000}"/>
    <cellStyle name="Borders 2 3 2 2 3 9" xfId="38134" xr:uid="{00000000-0005-0000-0000-000016040000}"/>
    <cellStyle name="Borders 2 3 2 2 4" xfId="5034" xr:uid="{00000000-0005-0000-0000-000017040000}"/>
    <cellStyle name="Borders 2 3 2 2 5" xfId="9390" xr:uid="{00000000-0005-0000-0000-000018040000}"/>
    <cellStyle name="Borders 2 3 2 2 6" xfId="13230" xr:uid="{00000000-0005-0000-0000-000019040000}"/>
    <cellStyle name="Borders 2 3 2 2 7" xfId="17058" xr:uid="{00000000-0005-0000-0000-00001A040000}"/>
    <cellStyle name="Borders 2 3 2 2 8" xfId="21000" xr:uid="{00000000-0005-0000-0000-00001B040000}"/>
    <cellStyle name="Borders 2 3 2 2 9" xfId="24814" xr:uid="{00000000-0005-0000-0000-00001C040000}"/>
    <cellStyle name="Borders 2 3 2 3" xfId="1466" xr:uid="{00000000-0005-0000-0000-00001D040000}"/>
    <cellStyle name="Borders 2 3 2 3 10" xfId="32753" xr:uid="{00000000-0005-0000-0000-00001E040000}"/>
    <cellStyle name="Borders 2 3 2 3 11" xfId="36523" xr:uid="{00000000-0005-0000-0000-00001F040000}"/>
    <cellStyle name="Borders 2 3 2 3 12" xfId="40514" xr:uid="{00000000-0005-0000-0000-000020040000}"/>
    <cellStyle name="Borders 2 3 2 3 13" xfId="44345" xr:uid="{00000000-0005-0000-0000-000021040000}"/>
    <cellStyle name="Borders 2 3 2 3 2" xfId="3456" xr:uid="{00000000-0005-0000-0000-000022040000}"/>
    <cellStyle name="Borders 2 3 2 3 2 10" xfId="42518" xr:uid="{00000000-0005-0000-0000-000023040000}"/>
    <cellStyle name="Borders 2 3 2 3 2 11" xfId="46283" xr:uid="{00000000-0005-0000-0000-000024040000}"/>
    <cellStyle name="Borders 2 3 2 3 2 2" xfId="7323" xr:uid="{00000000-0005-0000-0000-000025040000}"/>
    <cellStyle name="Borders 2 3 2 3 2 3" xfId="11758" xr:uid="{00000000-0005-0000-0000-000026040000}"/>
    <cellStyle name="Borders 2 3 2 3 2 4" xfId="15603" xr:uid="{00000000-0005-0000-0000-000027040000}"/>
    <cellStyle name="Borders 2 3 2 3 2 5" xfId="19450" xr:uid="{00000000-0005-0000-0000-000028040000}"/>
    <cellStyle name="Borders 2 3 2 3 2 6" xfId="23366" xr:uid="{00000000-0005-0000-0000-000029040000}"/>
    <cellStyle name="Borders 2 3 2 3 2 7" xfId="27200" xr:uid="{00000000-0005-0000-0000-00002A040000}"/>
    <cellStyle name="Borders 2 3 2 3 2 8" xfId="34721" xr:uid="{00000000-0005-0000-0000-00002B040000}"/>
    <cellStyle name="Borders 2 3 2 3 2 9" xfId="38507" xr:uid="{00000000-0005-0000-0000-00002C040000}"/>
    <cellStyle name="Borders 2 3 2 3 3" xfId="5399" xr:uid="{00000000-0005-0000-0000-00002D040000}"/>
    <cellStyle name="Borders 2 3 2 3 4" xfId="9757" xr:uid="{00000000-0005-0000-0000-00002E040000}"/>
    <cellStyle name="Borders 2 3 2 3 5" xfId="13603" xr:uid="{00000000-0005-0000-0000-00002F040000}"/>
    <cellStyle name="Borders 2 3 2 3 6" xfId="17432" xr:uid="{00000000-0005-0000-0000-000030040000}"/>
    <cellStyle name="Borders 2 3 2 3 7" xfId="21371" xr:uid="{00000000-0005-0000-0000-000031040000}"/>
    <cellStyle name="Borders 2 3 2 3 8" xfId="25184" xr:uid="{00000000-0005-0000-0000-000032040000}"/>
    <cellStyle name="Borders 2 3 2 3 9" xfId="29071" xr:uid="{00000000-0005-0000-0000-000033040000}"/>
    <cellStyle name="Borders 2 3 2 4" xfId="2715" xr:uid="{00000000-0005-0000-0000-000034040000}"/>
    <cellStyle name="Borders 2 3 2 4 10" xfId="41781" xr:uid="{00000000-0005-0000-0000-000035040000}"/>
    <cellStyle name="Borders 2 3 2 4 11" xfId="45566" xr:uid="{00000000-0005-0000-0000-000036040000}"/>
    <cellStyle name="Borders 2 3 2 4 2" xfId="6603" xr:uid="{00000000-0005-0000-0000-000037040000}"/>
    <cellStyle name="Borders 2 3 2 4 3" xfId="11027" xr:uid="{00000000-0005-0000-0000-000038040000}"/>
    <cellStyle name="Borders 2 3 2 4 4" xfId="14871" xr:uid="{00000000-0005-0000-0000-000039040000}"/>
    <cellStyle name="Borders 2 3 2 4 5" xfId="18709" xr:uid="{00000000-0005-0000-0000-00003A040000}"/>
    <cellStyle name="Borders 2 3 2 4 6" xfId="22640" xr:uid="{00000000-0005-0000-0000-00003B040000}"/>
    <cellStyle name="Borders 2 3 2 4 7" xfId="26460" xr:uid="{00000000-0005-0000-0000-00003C040000}"/>
    <cellStyle name="Borders 2 3 2 4 8" xfId="34004" xr:uid="{00000000-0005-0000-0000-00003D040000}"/>
    <cellStyle name="Borders 2 3 2 4 9" xfId="37767" xr:uid="{00000000-0005-0000-0000-00003E040000}"/>
    <cellStyle name="Borders 2 3 2 5" xfId="4679" xr:uid="{00000000-0005-0000-0000-00003F040000}"/>
    <cellStyle name="Borders 2 3 2 6" xfId="9021" xr:uid="{00000000-0005-0000-0000-000040040000}"/>
    <cellStyle name="Borders 2 3 2 7" xfId="12858" xr:uid="{00000000-0005-0000-0000-000041040000}"/>
    <cellStyle name="Borders 2 3 2 8" xfId="16688" xr:uid="{00000000-0005-0000-0000-000042040000}"/>
    <cellStyle name="Borders 2 3 2 9" xfId="20625" xr:uid="{00000000-0005-0000-0000-000043040000}"/>
    <cellStyle name="Borders 2 3 20" xfId="8814" xr:uid="{00000000-0005-0000-0000-000044040000}"/>
    <cellStyle name="Borders 2 3 21" xfId="20491" xr:uid="{00000000-0005-0000-0000-000045040000}"/>
    <cellStyle name="Borders 2 3 22" xfId="20519" xr:uid="{00000000-0005-0000-0000-000046040000}"/>
    <cellStyle name="Borders 2 3 23" xfId="30786" xr:uid="{00000000-0005-0000-0000-000047040000}"/>
    <cellStyle name="Borders 2 3 24" xfId="12922" xr:uid="{00000000-0005-0000-0000-000048040000}"/>
    <cellStyle name="Borders 2 3 25" xfId="39631" xr:uid="{00000000-0005-0000-0000-000049040000}"/>
    <cellStyle name="Borders 2 3 26" xfId="47389" xr:uid="{00000000-0005-0000-0000-00004A040000}"/>
    <cellStyle name="Borders 2 3 27" xfId="47475" xr:uid="{00000000-0005-0000-0000-00004B040000}"/>
    <cellStyle name="Borders 2 3 28" xfId="47524" xr:uid="{00000000-0005-0000-0000-00004C040000}"/>
    <cellStyle name="Borders 2 3 3" xfId="651" xr:uid="{00000000-0005-0000-0000-00004D040000}"/>
    <cellStyle name="Borders 2 3 3 10" xfId="22004" xr:uid="{00000000-0005-0000-0000-00004E040000}"/>
    <cellStyle name="Borders 2 3 3 11" xfId="31417" xr:uid="{00000000-0005-0000-0000-00004F040000}"/>
    <cellStyle name="Borders 2 3 3 12" xfId="24517" xr:uid="{00000000-0005-0000-0000-000050040000}"/>
    <cellStyle name="Borders 2 3 3 13" xfId="41129" xr:uid="{00000000-0005-0000-0000-000051040000}"/>
    <cellStyle name="Borders 2 3 3 2" xfId="1031" xr:uid="{00000000-0005-0000-0000-000052040000}"/>
    <cellStyle name="Borders 2 3 3 2 10" xfId="32330" xr:uid="{00000000-0005-0000-0000-000053040000}"/>
    <cellStyle name="Borders 2 3 3 2 11" xfId="36089" xr:uid="{00000000-0005-0000-0000-000054040000}"/>
    <cellStyle name="Borders 2 3 3 2 12" xfId="43915" xr:uid="{00000000-0005-0000-0000-000055040000}"/>
    <cellStyle name="Borders 2 3 3 2 2" xfId="1760" xr:uid="{00000000-0005-0000-0000-000056040000}"/>
    <cellStyle name="Borders 2 3 3 2 2 10" xfId="33047" xr:uid="{00000000-0005-0000-0000-000057040000}"/>
    <cellStyle name="Borders 2 3 3 2 2 11" xfId="36817" xr:uid="{00000000-0005-0000-0000-000058040000}"/>
    <cellStyle name="Borders 2 3 3 2 2 12" xfId="40808" xr:uid="{00000000-0005-0000-0000-000059040000}"/>
    <cellStyle name="Borders 2 3 3 2 2 13" xfId="44639" xr:uid="{00000000-0005-0000-0000-00005A040000}"/>
    <cellStyle name="Borders 2 3 3 2 2 2" xfId="3750" xr:uid="{00000000-0005-0000-0000-00005B040000}"/>
    <cellStyle name="Borders 2 3 3 2 2 2 10" xfId="42812" xr:uid="{00000000-0005-0000-0000-00005C040000}"/>
    <cellStyle name="Borders 2 3 3 2 2 2 11" xfId="46577" xr:uid="{00000000-0005-0000-0000-00005D040000}"/>
    <cellStyle name="Borders 2 3 3 2 2 2 2" xfId="7617" xr:uid="{00000000-0005-0000-0000-00005E040000}"/>
    <cellStyle name="Borders 2 3 3 2 2 2 3" xfId="12052" xr:uid="{00000000-0005-0000-0000-00005F040000}"/>
    <cellStyle name="Borders 2 3 3 2 2 2 4" xfId="15897" xr:uid="{00000000-0005-0000-0000-000060040000}"/>
    <cellStyle name="Borders 2 3 3 2 2 2 5" xfId="19744" xr:uid="{00000000-0005-0000-0000-000061040000}"/>
    <cellStyle name="Borders 2 3 3 2 2 2 6" xfId="23660" xr:uid="{00000000-0005-0000-0000-000062040000}"/>
    <cellStyle name="Borders 2 3 3 2 2 2 7" xfId="27494" xr:uid="{00000000-0005-0000-0000-000063040000}"/>
    <cellStyle name="Borders 2 3 3 2 2 2 8" xfId="35015" xr:uid="{00000000-0005-0000-0000-000064040000}"/>
    <cellStyle name="Borders 2 3 3 2 2 2 9" xfId="38801" xr:uid="{00000000-0005-0000-0000-000065040000}"/>
    <cellStyle name="Borders 2 3 3 2 2 3" xfId="5693" xr:uid="{00000000-0005-0000-0000-000066040000}"/>
    <cellStyle name="Borders 2 3 3 2 2 4" xfId="10051" xr:uid="{00000000-0005-0000-0000-000067040000}"/>
    <cellStyle name="Borders 2 3 3 2 2 5" xfId="13897" xr:uid="{00000000-0005-0000-0000-000068040000}"/>
    <cellStyle name="Borders 2 3 3 2 2 6" xfId="17726" xr:uid="{00000000-0005-0000-0000-000069040000}"/>
    <cellStyle name="Borders 2 3 3 2 2 7" xfId="21665" xr:uid="{00000000-0005-0000-0000-00006A040000}"/>
    <cellStyle name="Borders 2 3 3 2 2 8" xfId="25478" xr:uid="{00000000-0005-0000-0000-00006B040000}"/>
    <cellStyle name="Borders 2 3 3 2 2 9" xfId="29365" xr:uid="{00000000-0005-0000-0000-00006C040000}"/>
    <cellStyle name="Borders 2 3 3 2 3" xfId="3021" xr:uid="{00000000-0005-0000-0000-00006D040000}"/>
    <cellStyle name="Borders 2 3 3 2 3 10" xfId="42085" xr:uid="{00000000-0005-0000-0000-00006E040000}"/>
    <cellStyle name="Borders 2 3 3 2 3 11" xfId="45860" xr:uid="{00000000-0005-0000-0000-00006F040000}"/>
    <cellStyle name="Borders 2 3 3 2 3 2" xfId="6899" xr:uid="{00000000-0005-0000-0000-000070040000}"/>
    <cellStyle name="Borders 2 3 3 2 3 3" xfId="11327" xr:uid="{00000000-0005-0000-0000-000071040000}"/>
    <cellStyle name="Borders 2 3 3 2 3 4" xfId="15172" xr:uid="{00000000-0005-0000-0000-000072040000}"/>
    <cellStyle name="Borders 2 3 3 2 3 5" xfId="19015" xr:uid="{00000000-0005-0000-0000-000073040000}"/>
    <cellStyle name="Borders 2 3 3 2 3 6" xfId="22939" xr:uid="{00000000-0005-0000-0000-000074040000}"/>
    <cellStyle name="Borders 2 3 3 2 3 7" xfId="26766" xr:uid="{00000000-0005-0000-0000-000075040000}"/>
    <cellStyle name="Borders 2 3 3 2 3 8" xfId="34298" xr:uid="{00000000-0005-0000-0000-000076040000}"/>
    <cellStyle name="Borders 2 3 3 2 3 9" xfId="38073" xr:uid="{00000000-0005-0000-0000-000077040000}"/>
    <cellStyle name="Borders 2 3 3 2 4" xfId="4975" xr:uid="{00000000-0005-0000-0000-000078040000}"/>
    <cellStyle name="Borders 2 3 3 2 5" xfId="9330" xr:uid="{00000000-0005-0000-0000-000079040000}"/>
    <cellStyle name="Borders 2 3 3 2 6" xfId="13171" xr:uid="{00000000-0005-0000-0000-00007A040000}"/>
    <cellStyle name="Borders 2 3 3 2 7" xfId="16997" xr:uid="{00000000-0005-0000-0000-00007B040000}"/>
    <cellStyle name="Borders 2 3 3 2 8" xfId="20939" xr:uid="{00000000-0005-0000-0000-00007C040000}"/>
    <cellStyle name="Borders 2 3 3 2 9" xfId="24754" xr:uid="{00000000-0005-0000-0000-00007D040000}"/>
    <cellStyle name="Borders 2 3 3 3" xfId="1407" xr:uid="{00000000-0005-0000-0000-00007E040000}"/>
    <cellStyle name="Borders 2 3 3 3 10" xfId="32694" xr:uid="{00000000-0005-0000-0000-00007F040000}"/>
    <cellStyle name="Borders 2 3 3 3 11" xfId="36464" xr:uid="{00000000-0005-0000-0000-000080040000}"/>
    <cellStyle name="Borders 2 3 3 3 12" xfId="40455" xr:uid="{00000000-0005-0000-0000-000081040000}"/>
    <cellStyle name="Borders 2 3 3 3 13" xfId="44286" xr:uid="{00000000-0005-0000-0000-000082040000}"/>
    <cellStyle name="Borders 2 3 3 3 2" xfId="3397" xr:uid="{00000000-0005-0000-0000-000083040000}"/>
    <cellStyle name="Borders 2 3 3 3 2 10" xfId="42459" xr:uid="{00000000-0005-0000-0000-000084040000}"/>
    <cellStyle name="Borders 2 3 3 3 2 11" xfId="46224" xr:uid="{00000000-0005-0000-0000-000085040000}"/>
    <cellStyle name="Borders 2 3 3 3 2 2" xfId="7264" xr:uid="{00000000-0005-0000-0000-000086040000}"/>
    <cellStyle name="Borders 2 3 3 3 2 3" xfId="11699" xr:uid="{00000000-0005-0000-0000-000087040000}"/>
    <cellStyle name="Borders 2 3 3 3 2 4" xfId="15544" xr:uid="{00000000-0005-0000-0000-000088040000}"/>
    <cellStyle name="Borders 2 3 3 3 2 5" xfId="19391" xr:uid="{00000000-0005-0000-0000-000089040000}"/>
    <cellStyle name="Borders 2 3 3 3 2 6" xfId="23307" xr:uid="{00000000-0005-0000-0000-00008A040000}"/>
    <cellStyle name="Borders 2 3 3 3 2 7" xfId="27141" xr:uid="{00000000-0005-0000-0000-00008B040000}"/>
    <cellStyle name="Borders 2 3 3 3 2 8" xfId="34662" xr:uid="{00000000-0005-0000-0000-00008C040000}"/>
    <cellStyle name="Borders 2 3 3 3 2 9" xfId="38448" xr:uid="{00000000-0005-0000-0000-00008D040000}"/>
    <cellStyle name="Borders 2 3 3 3 3" xfId="5340" xr:uid="{00000000-0005-0000-0000-00008E040000}"/>
    <cellStyle name="Borders 2 3 3 3 4" xfId="9698" xr:uid="{00000000-0005-0000-0000-00008F040000}"/>
    <cellStyle name="Borders 2 3 3 3 5" xfId="13544" xr:uid="{00000000-0005-0000-0000-000090040000}"/>
    <cellStyle name="Borders 2 3 3 3 6" xfId="17373" xr:uid="{00000000-0005-0000-0000-000091040000}"/>
    <cellStyle name="Borders 2 3 3 3 7" xfId="21312" xr:uid="{00000000-0005-0000-0000-000092040000}"/>
    <cellStyle name="Borders 2 3 3 3 8" xfId="25125" xr:uid="{00000000-0005-0000-0000-000093040000}"/>
    <cellStyle name="Borders 2 3 3 3 9" xfId="29012" xr:uid="{00000000-0005-0000-0000-000094040000}"/>
    <cellStyle name="Borders 2 3 3 4" xfId="2654" xr:uid="{00000000-0005-0000-0000-000095040000}"/>
    <cellStyle name="Borders 2 3 3 4 10" xfId="41720" xr:uid="{00000000-0005-0000-0000-000096040000}"/>
    <cellStyle name="Borders 2 3 3 4 11" xfId="45507" xr:uid="{00000000-0005-0000-0000-000097040000}"/>
    <cellStyle name="Borders 2 3 3 4 2" xfId="6544" xr:uid="{00000000-0005-0000-0000-000098040000}"/>
    <cellStyle name="Borders 2 3 3 4 3" xfId="10968" xr:uid="{00000000-0005-0000-0000-000099040000}"/>
    <cellStyle name="Borders 2 3 3 4 4" xfId="14812" xr:uid="{00000000-0005-0000-0000-00009A040000}"/>
    <cellStyle name="Borders 2 3 3 4 5" xfId="18648" xr:uid="{00000000-0005-0000-0000-00009B040000}"/>
    <cellStyle name="Borders 2 3 3 4 6" xfId="22581" xr:uid="{00000000-0005-0000-0000-00009C040000}"/>
    <cellStyle name="Borders 2 3 3 4 7" xfId="26399" xr:uid="{00000000-0005-0000-0000-00009D040000}"/>
    <cellStyle name="Borders 2 3 3 4 8" xfId="33945" xr:uid="{00000000-0005-0000-0000-00009E040000}"/>
    <cellStyle name="Borders 2 3 3 4 9" xfId="37706" xr:uid="{00000000-0005-0000-0000-00009F040000}"/>
    <cellStyle name="Borders 2 3 3 5" xfId="4620" xr:uid="{00000000-0005-0000-0000-0000A0040000}"/>
    <cellStyle name="Borders 2 3 3 6" xfId="8960" xr:uid="{00000000-0005-0000-0000-0000A1040000}"/>
    <cellStyle name="Borders 2 3 3 7" xfId="12799" xr:uid="{00000000-0005-0000-0000-0000A2040000}"/>
    <cellStyle name="Borders 2 3 3 8" xfId="8842" xr:uid="{00000000-0005-0000-0000-0000A3040000}"/>
    <cellStyle name="Borders 2 3 3 9" xfId="20564" xr:uid="{00000000-0005-0000-0000-0000A4040000}"/>
    <cellStyle name="Borders 2 3 4" xfId="794" xr:uid="{00000000-0005-0000-0000-0000A5040000}"/>
    <cellStyle name="Borders 2 3 4 10" xfId="24520" xr:uid="{00000000-0005-0000-0000-0000A6040000}"/>
    <cellStyle name="Borders 2 3 4 11" xfId="32097" xr:uid="{00000000-0005-0000-0000-0000A7040000}"/>
    <cellStyle name="Borders 2 3 4 12" xfId="35852" xr:uid="{00000000-0005-0000-0000-0000A8040000}"/>
    <cellStyle name="Borders 2 3 4 13" xfId="43678" xr:uid="{00000000-0005-0000-0000-0000A9040000}"/>
    <cellStyle name="Borders 2 3 4 2" xfId="1158" xr:uid="{00000000-0005-0000-0000-0000AA040000}"/>
    <cellStyle name="Borders 2 3 4 2 10" xfId="32450" xr:uid="{00000000-0005-0000-0000-0000AB040000}"/>
    <cellStyle name="Borders 2 3 4 2 11" xfId="36216" xr:uid="{00000000-0005-0000-0000-0000AC040000}"/>
    <cellStyle name="Borders 2 3 4 2 12" xfId="44042" xr:uid="{00000000-0005-0000-0000-0000AD040000}"/>
    <cellStyle name="Borders 2 3 4 2 2" xfId="1880" xr:uid="{00000000-0005-0000-0000-0000AE040000}"/>
    <cellStyle name="Borders 2 3 4 2 2 10" xfId="33167" xr:uid="{00000000-0005-0000-0000-0000AF040000}"/>
    <cellStyle name="Borders 2 3 4 2 2 11" xfId="36937" xr:uid="{00000000-0005-0000-0000-0000B0040000}"/>
    <cellStyle name="Borders 2 3 4 2 2 12" xfId="40928" xr:uid="{00000000-0005-0000-0000-0000B1040000}"/>
    <cellStyle name="Borders 2 3 4 2 2 13" xfId="44759" xr:uid="{00000000-0005-0000-0000-0000B2040000}"/>
    <cellStyle name="Borders 2 3 4 2 2 2" xfId="3870" xr:uid="{00000000-0005-0000-0000-0000B3040000}"/>
    <cellStyle name="Borders 2 3 4 2 2 2 10" xfId="42932" xr:uid="{00000000-0005-0000-0000-0000B4040000}"/>
    <cellStyle name="Borders 2 3 4 2 2 2 11" xfId="46697" xr:uid="{00000000-0005-0000-0000-0000B5040000}"/>
    <cellStyle name="Borders 2 3 4 2 2 2 2" xfId="7737" xr:uid="{00000000-0005-0000-0000-0000B6040000}"/>
    <cellStyle name="Borders 2 3 4 2 2 2 3" xfId="12172" xr:uid="{00000000-0005-0000-0000-0000B7040000}"/>
    <cellStyle name="Borders 2 3 4 2 2 2 4" xfId="16017" xr:uid="{00000000-0005-0000-0000-0000B8040000}"/>
    <cellStyle name="Borders 2 3 4 2 2 2 5" xfId="19864" xr:uid="{00000000-0005-0000-0000-0000B9040000}"/>
    <cellStyle name="Borders 2 3 4 2 2 2 6" xfId="23780" xr:uid="{00000000-0005-0000-0000-0000BA040000}"/>
    <cellStyle name="Borders 2 3 4 2 2 2 7" xfId="27614" xr:uid="{00000000-0005-0000-0000-0000BB040000}"/>
    <cellStyle name="Borders 2 3 4 2 2 2 8" xfId="35135" xr:uid="{00000000-0005-0000-0000-0000BC040000}"/>
    <cellStyle name="Borders 2 3 4 2 2 2 9" xfId="38921" xr:uid="{00000000-0005-0000-0000-0000BD040000}"/>
    <cellStyle name="Borders 2 3 4 2 2 3" xfId="5813" xr:uid="{00000000-0005-0000-0000-0000BE040000}"/>
    <cellStyle name="Borders 2 3 4 2 2 4" xfId="10171" xr:uid="{00000000-0005-0000-0000-0000BF040000}"/>
    <cellStyle name="Borders 2 3 4 2 2 5" xfId="14017" xr:uid="{00000000-0005-0000-0000-0000C0040000}"/>
    <cellStyle name="Borders 2 3 4 2 2 6" xfId="17846" xr:uid="{00000000-0005-0000-0000-0000C1040000}"/>
    <cellStyle name="Borders 2 3 4 2 2 7" xfId="21785" xr:uid="{00000000-0005-0000-0000-0000C2040000}"/>
    <cellStyle name="Borders 2 3 4 2 2 8" xfId="25598" xr:uid="{00000000-0005-0000-0000-0000C3040000}"/>
    <cellStyle name="Borders 2 3 4 2 2 9" xfId="29485" xr:uid="{00000000-0005-0000-0000-0000C4040000}"/>
    <cellStyle name="Borders 2 3 4 2 3" xfId="3148" xr:uid="{00000000-0005-0000-0000-0000C5040000}"/>
    <cellStyle name="Borders 2 3 4 2 3 10" xfId="42211" xr:uid="{00000000-0005-0000-0000-0000C6040000}"/>
    <cellStyle name="Borders 2 3 4 2 3 11" xfId="45980" xr:uid="{00000000-0005-0000-0000-0000C7040000}"/>
    <cellStyle name="Borders 2 3 4 2 3 2" xfId="7020" xr:uid="{00000000-0005-0000-0000-0000C8040000}"/>
    <cellStyle name="Borders 2 3 4 2 3 3" xfId="11452" xr:uid="{00000000-0005-0000-0000-0000C9040000}"/>
    <cellStyle name="Borders 2 3 4 2 3 4" xfId="15296" xr:uid="{00000000-0005-0000-0000-0000CA040000}"/>
    <cellStyle name="Borders 2 3 4 2 3 5" xfId="19142" xr:uid="{00000000-0005-0000-0000-0000CB040000}"/>
    <cellStyle name="Borders 2 3 4 2 3 6" xfId="23061" xr:uid="{00000000-0005-0000-0000-0000CC040000}"/>
    <cellStyle name="Borders 2 3 4 2 3 7" xfId="26893" xr:uid="{00000000-0005-0000-0000-0000CD040000}"/>
    <cellStyle name="Borders 2 3 4 2 3 8" xfId="34418" xr:uid="{00000000-0005-0000-0000-0000CE040000}"/>
    <cellStyle name="Borders 2 3 4 2 3 9" xfId="38200" xr:uid="{00000000-0005-0000-0000-0000CF040000}"/>
    <cellStyle name="Borders 2 3 4 2 4" xfId="5096" xr:uid="{00000000-0005-0000-0000-0000D0040000}"/>
    <cellStyle name="Borders 2 3 4 2 5" xfId="9452" xr:uid="{00000000-0005-0000-0000-0000D1040000}"/>
    <cellStyle name="Borders 2 3 4 2 6" xfId="13296" xr:uid="{00000000-0005-0000-0000-0000D2040000}"/>
    <cellStyle name="Borders 2 3 4 2 7" xfId="17124" xr:uid="{00000000-0005-0000-0000-0000D3040000}"/>
    <cellStyle name="Borders 2 3 4 2 8" xfId="21066" xr:uid="{00000000-0005-0000-0000-0000D4040000}"/>
    <cellStyle name="Borders 2 3 4 2 9" xfId="24877" xr:uid="{00000000-0005-0000-0000-0000D5040000}"/>
    <cellStyle name="Borders 2 3 4 3" xfId="1527" xr:uid="{00000000-0005-0000-0000-0000D6040000}"/>
    <cellStyle name="Borders 2 3 4 3 10" xfId="32814" xr:uid="{00000000-0005-0000-0000-0000D7040000}"/>
    <cellStyle name="Borders 2 3 4 3 11" xfId="36584" xr:uid="{00000000-0005-0000-0000-0000D8040000}"/>
    <cellStyle name="Borders 2 3 4 3 12" xfId="40575" xr:uid="{00000000-0005-0000-0000-0000D9040000}"/>
    <cellStyle name="Borders 2 3 4 3 13" xfId="44406" xr:uid="{00000000-0005-0000-0000-0000DA040000}"/>
    <cellStyle name="Borders 2 3 4 3 2" xfId="3517" xr:uid="{00000000-0005-0000-0000-0000DB040000}"/>
    <cellStyle name="Borders 2 3 4 3 2 10" xfId="42579" xr:uid="{00000000-0005-0000-0000-0000DC040000}"/>
    <cellStyle name="Borders 2 3 4 3 2 11" xfId="46344" xr:uid="{00000000-0005-0000-0000-0000DD040000}"/>
    <cellStyle name="Borders 2 3 4 3 2 2" xfId="7384" xr:uid="{00000000-0005-0000-0000-0000DE040000}"/>
    <cellStyle name="Borders 2 3 4 3 2 3" xfId="11819" xr:uid="{00000000-0005-0000-0000-0000DF040000}"/>
    <cellStyle name="Borders 2 3 4 3 2 4" xfId="15664" xr:uid="{00000000-0005-0000-0000-0000E0040000}"/>
    <cellStyle name="Borders 2 3 4 3 2 5" xfId="19511" xr:uid="{00000000-0005-0000-0000-0000E1040000}"/>
    <cellStyle name="Borders 2 3 4 3 2 6" xfId="23427" xr:uid="{00000000-0005-0000-0000-0000E2040000}"/>
    <cellStyle name="Borders 2 3 4 3 2 7" xfId="27261" xr:uid="{00000000-0005-0000-0000-0000E3040000}"/>
    <cellStyle name="Borders 2 3 4 3 2 8" xfId="34782" xr:uid="{00000000-0005-0000-0000-0000E4040000}"/>
    <cellStyle name="Borders 2 3 4 3 2 9" xfId="38568" xr:uid="{00000000-0005-0000-0000-0000E5040000}"/>
    <cellStyle name="Borders 2 3 4 3 3" xfId="5460" xr:uid="{00000000-0005-0000-0000-0000E6040000}"/>
    <cellStyle name="Borders 2 3 4 3 4" xfId="9818" xr:uid="{00000000-0005-0000-0000-0000E7040000}"/>
    <cellStyle name="Borders 2 3 4 3 5" xfId="13664" xr:uid="{00000000-0005-0000-0000-0000E8040000}"/>
    <cellStyle name="Borders 2 3 4 3 6" xfId="17493" xr:uid="{00000000-0005-0000-0000-0000E9040000}"/>
    <cellStyle name="Borders 2 3 4 3 7" xfId="21432" xr:uid="{00000000-0005-0000-0000-0000EA040000}"/>
    <cellStyle name="Borders 2 3 4 3 8" xfId="25245" xr:uid="{00000000-0005-0000-0000-0000EB040000}"/>
    <cellStyle name="Borders 2 3 4 3 9" xfId="29132" xr:uid="{00000000-0005-0000-0000-0000EC040000}"/>
    <cellStyle name="Borders 2 3 4 4" xfId="2784" xr:uid="{00000000-0005-0000-0000-0000ED040000}"/>
    <cellStyle name="Borders 2 3 4 4 10" xfId="41848" xr:uid="{00000000-0005-0000-0000-0000EE040000}"/>
    <cellStyle name="Borders 2 3 4 4 11" xfId="45627" xr:uid="{00000000-0005-0000-0000-0000EF040000}"/>
    <cellStyle name="Borders 2 3 4 4 2" xfId="6666" xr:uid="{00000000-0005-0000-0000-0000F0040000}"/>
    <cellStyle name="Borders 2 3 4 4 3" xfId="11092" xr:uid="{00000000-0005-0000-0000-0000F1040000}"/>
    <cellStyle name="Borders 2 3 4 4 4" xfId="14938" xr:uid="{00000000-0005-0000-0000-0000F2040000}"/>
    <cellStyle name="Borders 2 3 4 4 5" xfId="18778" xr:uid="{00000000-0005-0000-0000-0000F3040000}"/>
    <cellStyle name="Borders 2 3 4 4 6" xfId="22705" xr:uid="{00000000-0005-0000-0000-0000F4040000}"/>
    <cellStyle name="Borders 2 3 4 4 7" xfId="26529" xr:uid="{00000000-0005-0000-0000-0000F5040000}"/>
    <cellStyle name="Borders 2 3 4 4 8" xfId="34065" xr:uid="{00000000-0005-0000-0000-0000F6040000}"/>
    <cellStyle name="Borders 2 3 4 4 9" xfId="37836" xr:uid="{00000000-0005-0000-0000-0000F7040000}"/>
    <cellStyle name="Borders 2 3 4 5" xfId="4742" xr:uid="{00000000-0005-0000-0000-0000F8040000}"/>
    <cellStyle name="Borders 2 3 4 6" xfId="9094" xr:uid="{00000000-0005-0000-0000-0000F9040000}"/>
    <cellStyle name="Borders 2 3 4 7" xfId="12936" xr:uid="{00000000-0005-0000-0000-0000FA040000}"/>
    <cellStyle name="Borders 2 3 4 8" xfId="16760" xr:uid="{00000000-0005-0000-0000-0000FB040000}"/>
    <cellStyle name="Borders 2 3 4 9" xfId="20702" xr:uid="{00000000-0005-0000-0000-0000FC040000}"/>
    <cellStyle name="Borders 2 3 5" xfId="820" xr:uid="{00000000-0005-0000-0000-0000FD040000}"/>
    <cellStyle name="Borders 2 3 5 10" xfId="24544" xr:uid="{00000000-0005-0000-0000-0000FE040000}"/>
    <cellStyle name="Borders 2 3 5 11" xfId="32121" xr:uid="{00000000-0005-0000-0000-0000FF040000}"/>
    <cellStyle name="Borders 2 3 5 12" xfId="35878" xr:uid="{00000000-0005-0000-0000-000000050000}"/>
    <cellStyle name="Borders 2 3 5 13" xfId="43704" xr:uid="{00000000-0005-0000-0000-000001050000}"/>
    <cellStyle name="Borders 2 3 5 2" xfId="1182" xr:uid="{00000000-0005-0000-0000-000002050000}"/>
    <cellStyle name="Borders 2 3 5 2 10" xfId="32474" xr:uid="{00000000-0005-0000-0000-000003050000}"/>
    <cellStyle name="Borders 2 3 5 2 11" xfId="36240" xr:uid="{00000000-0005-0000-0000-000004050000}"/>
    <cellStyle name="Borders 2 3 5 2 12" xfId="44066" xr:uid="{00000000-0005-0000-0000-000005050000}"/>
    <cellStyle name="Borders 2 3 5 2 2" xfId="1904" xr:uid="{00000000-0005-0000-0000-000006050000}"/>
    <cellStyle name="Borders 2 3 5 2 2 10" xfId="33191" xr:uid="{00000000-0005-0000-0000-000007050000}"/>
    <cellStyle name="Borders 2 3 5 2 2 11" xfId="36961" xr:uid="{00000000-0005-0000-0000-000008050000}"/>
    <cellStyle name="Borders 2 3 5 2 2 12" xfId="40952" xr:uid="{00000000-0005-0000-0000-000009050000}"/>
    <cellStyle name="Borders 2 3 5 2 2 13" xfId="44783" xr:uid="{00000000-0005-0000-0000-00000A050000}"/>
    <cellStyle name="Borders 2 3 5 2 2 2" xfId="3894" xr:uid="{00000000-0005-0000-0000-00000B050000}"/>
    <cellStyle name="Borders 2 3 5 2 2 2 10" xfId="42956" xr:uid="{00000000-0005-0000-0000-00000C050000}"/>
    <cellStyle name="Borders 2 3 5 2 2 2 11" xfId="46721" xr:uid="{00000000-0005-0000-0000-00000D050000}"/>
    <cellStyle name="Borders 2 3 5 2 2 2 2" xfId="7761" xr:uid="{00000000-0005-0000-0000-00000E050000}"/>
    <cellStyle name="Borders 2 3 5 2 2 2 3" xfId="12196" xr:uid="{00000000-0005-0000-0000-00000F050000}"/>
    <cellStyle name="Borders 2 3 5 2 2 2 4" xfId="16041" xr:uid="{00000000-0005-0000-0000-000010050000}"/>
    <cellStyle name="Borders 2 3 5 2 2 2 5" xfId="19888" xr:uid="{00000000-0005-0000-0000-000011050000}"/>
    <cellStyle name="Borders 2 3 5 2 2 2 6" xfId="23804" xr:uid="{00000000-0005-0000-0000-000012050000}"/>
    <cellStyle name="Borders 2 3 5 2 2 2 7" xfId="27638" xr:uid="{00000000-0005-0000-0000-000013050000}"/>
    <cellStyle name="Borders 2 3 5 2 2 2 8" xfId="35159" xr:uid="{00000000-0005-0000-0000-000014050000}"/>
    <cellStyle name="Borders 2 3 5 2 2 2 9" xfId="38945" xr:uid="{00000000-0005-0000-0000-000015050000}"/>
    <cellStyle name="Borders 2 3 5 2 2 3" xfId="5837" xr:uid="{00000000-0005-0000-0000-000016050000}"/>
    <cellStyle name="Borders 2 3 5 2 2 4" xfId="10195" xr:uid="{00000000-0005-0000-0000-000017050000}"/>
    <cellStyle name="Borders 2 3 5 2 2 5" xfId="14041" xr:uid="{00000000-0005-0000-0000-000018050000}"/>
    <cellStyle name="Borders 2 3 5 2 2 6" xfId="17870" xr:uid="{00000000-0005-0000-0000-000019050000}"/>
    <cellStyle name="Borders 2 3 5 2 2 7" xfId="21809" xr:uid="{00000000-0005-0000-0000-00001A050000}"/>
    <cellStyle name="Borders 2 3 5 2 2 8" xfId="25622" xr:uid="{00000000-0005-0000-0000-00001B050000}"/>
    <cellStyle name="Borders 2 3 5 2 2 9" xfId="29509" xr:uid="{00000000-0005-0000-0000-00001C050000}"/>
    <cellStyle name="Borders 2 3 5 2 3" xfId="3172" xr:uid="{00000000-0005-0000-0000-00001D050000}"/>
    <cellStyle name="Borders 2 3 5 2 3 10" xfId="42235" xr:uid="{00000000-0005-0000-0000-00001E050000}"/>
    <cellStyle name="Borders 2 3 5 2 3 11" xfId="46004" xr:uid="{00000000-0005-0000-0000-00001F050000}"/>
    <cellStyle name="Borders 2 3 5 2 3 2" xfId="7044" xr:uid="{00000000-0005-0000-0000-000020050000}"/>
    <cellStyle name="Borders 2 3 5 2 3 3" xfId="11476" xr:uid="{00000000-0005-0000-0000-000021050000}"/>
    <cellStyle name="Borders 2 3 5 2 3 4" xfId="15320" xr:uid="{00000000-0005-0000-0000-000022050000}"/>
    <cellStyle name="Borders 2 3 5 2 3 5" xfId="19166" xr:uid="{00000000-0005-0000-0000-000023050000}"/>
    <cellStyle name="Borders 2 3 5 2 3 6" xfId="23085" xr:uid="{00000000-0005-0000-0000-000024050000}"/>
    <cellStyle name="Borders 2 3 5 2 3 7" xfId="26917" xr:uid="{00000000-0005-0000-0000-000025050000}"/>
    <cellStyle name="Borders 2 3 5 2 3 8" xfId="34442" xr:uid="{00000000-0005-0000-0000-000026050000}"/>
    <cellStyle name="Borders 2 3 5 2 3 9" xfId="38224" xr:uid="{00000000-0005-0000-0000-000027050000}"/>
    <cellStyle name="Borders 2 3 5 2 4" xfId="5120" xr:uid="{00000000-0005-0000-0000-000028050000}"/>
    <cellStyle name="Borders 2 3 5 2 5" xfId="9476" xr:uid="{00000000-0005-0000-0000-000029050000}"/>
    <cellStyle name="Borders 2 3 5 2 6" xfId="13320" xr:uid="{00000000-0005-0000-0000-00002A050000}"/>
    <cellStyle name="Borders 2 3 5 2 7" xfId="17148" xr:uid="{00000000-0005-0000-0000-00002B050000}"/>
    <cellStyle name="Borders 2 3 5 2 8" xfId="21090" xr:uid="{00000000-0005-0000-0000-00002C050000}"/>
    <cellStyle name="Borders 2 3 5 2 9" xfId="24901" xr:uid="{00000000-0005-0000-0000-00002D050000}"/>
    <cellStyle name="Borders 2 3 5 3" xfId="1551" xr:uid="{00000000-0005-0000-0000-00002E050000}"/>
    <cellStyle name="Borders 2 3 5 3 10" xfId="32838" xr:uid="{00000000-0005-0000-0000-00002F050000}"/>
    <cellStyle name="Borders 2 3 5 3 11" xfId="36608" xr:uid="{00000000-0005-0000-0000-000030050000}"/>
    <cellStyle name="Borders 2 3 5 3 12" xfId="40599" xr:uid="{00000000-0005-0000-0000-000031050000}"/>
    <cellStyle name="Borders 2 3 5 3 13" xfId="44430" xr:uid="{00000000-0005-0000-0000-000032050000}"/>
    <cellStyle name="Borders 2 3 5 3 2" xfId="3541" xr:uid="{00000000-0005-0000-0000-000033050000}"/>
    <cellStyle name="Borders 2 3 5 3 2 10" xfId="42603" xr:uid="{00000000-0005-0000-0000-000034050000}"/>
    <cellStyle name="Borders 2 3 5 3 2 11" xfId="46368" xr:uid="{00000000-0005-0000-0000-000035050000}"/>
    <cellStyle name="Borders 2 3 5 3 2 2" xfId="7408" xr:uid="{00000000-0005-0000-0000-000036050000}"/>
    <cellStyle name="Borders 2 3 5 3 2 3" xfId="11843" xr:uid="{00000000-0005-0000-0000-000037050000}"/>
    <cellStyle name="Borders 2 3 5 3 2 4" xfId="15688" xr:uid="{00000000-0005-0000-0000-000038050000}"/>
    <cellStyle name="Borders 2 3 5 3 2 5" xfId="19535" xr:uid="{00000000-0005-0000-0000-000039050000}"/>
    <cellStyle name="Borders 2 3 5 3 2 6" xfId="23451" xr:uid="{00000000-0005-0000-0000-00003A050000}"/>
    <cellStyle name="Borders 2 3 5 3 2 7" xfId="27285" xr:uid="{00000000-0005-0000-0000-00003B050000}"/>
    <cellStyle name="Borders 2 3 5 3 2 8" xfId="34806" xr:uid="{00000000-0005-0000-0000-00003C050000}"/>
    <cellStyle name="Borders 2 3 5 3 2 9" xfId="38592" xr:uid="{00000000-0005-0000-0000-00003D050000}"/>
    <cellStyle name="Borders 2 3 5 3 3" xfId="5484" xr:uid="{00000000-0005-0000-0000-00003E050000}"/>
    <cellStyle name="Borders 2 3 5 3 4" xfId="9842" xr:uid="{00000000-0005-0000-0000-00003F050000}"/>
    <cellStyle name="Borders 2 3 5 3 5" xfId="13688" xr:uid="{00000000-0005-0000-0000-000040050000}"/>
    <cellStyle name="Borders 2 3 5 3 6" xfId="17517" xr:uid="{00000000-0005-0000-0000-000041050000}"/>
    <cellStyle name="Borders 2 3 5 3 7" xfId="21456" xr:uid="{00000000-0005-0000-0000-000042050000}"/>
    <cellStyle name="Borders 2 3 5 3 8" xfId="25269" xr:uid="{00000000-0005-0000-0000-000043050000}"/>
    <cellStyle name="Borders 2 3 5 3 9" xfId="29156" xr:uid="{00000000-0005-0000-0000-000044050000}"/>
    <cellStyle name="Borders 2 3 5 4" xfId="2810" xr:uid="{00000000-0005-0000-0000-000045050000}"/>
    <cellStyle name="Borders 2 3 5 4 10" xfId="41874" xr:uid="{00000000-0005-0000-0000-000046050000}"/>
    <cellStyle name="Borders 2 3 5 4 11" xfId="45651" xr:uid="{00000000-0005-0000-0000-000047050000}"/>
    <cellStyle name="Borders 2 3 5 4 2" xfId="6690" xr:uid="{00000000-0005-0000-0000-000048050000}"/>
    <cellStyle name="Borders 2 3 5 4 3" xfId="11117" xr:uid="{00000000-0005-0000-0000-000049050000}"/>
    <cellStyle name="Borders 2 3 5 4 4" xfId="14962" xr:uid="{00000000-0005-0000-0000-00004A050000}"/>
    <cellStyle name="Borders 2 3 5 4 5" xfId="18804" xr:uid="{00000000-0005-0000-0000-00004B050000}"/>
    <cellStyle name="Borders 2 3 5 4 6" xfId="22730" xr:uid="{00000000-0005-0000-0000-00004C050000}"/>
    <cellStyle name="Borders 2 3 5 4 7" xfId="26555" xr:uid="{00000000-0005-0000-0000-00004D050000}"/>
    <cellStyle name="Borders 2 3 5 4 8" xfId="34089" xr:uid="{00000000-0005-0000-0000-00004E050000}"/>
    <cellStyle name="Borders 2 3 5 4 9" xfId="37862" xr:uid="{00000000-0005-0000-0000-00004F050000}"/>
    <cellStyle name="Borders 2 3 5 5" xfId="4766" xr:uid="{00000000-0005-0000-0000-000050050000}"/>
    <cellStyle name="Borders 2 3 5 6" xfId="9120" xr:uid="{00000000-0005-0000-0000-000051050000}"/>
    <cellStyle name="Borders 2 3 5 7" xfId="12961" xr:uid="{00000000-0005-0000-0000-000052050000}"/>
    <cellStyle name="Borders 2 3 5 8" xfId="16786" xr:uid="{00000000-0005-0000-0000-000053050000}"/>
    <cellStyle name="Borders 2 3 5 9" xfId="20728" xr:uid="{00000000-0005-0000-0000-000054050000}"/>
    <cellStyle name="Borders 2 3 6" xfId="912" xr:uid="{00000000-0005-0000-0000-000055050000}"/>
    <cellStyle name="Borders 2 3 6 10" xfId="24636" xr:uid="{00000000-0005-0000-0000-000056050000}"/>
    <cellStyle name="Borders 2 3 6 11" xfId="32213" xr:uid="{00000000-0005-0000-0000-000057050000}"/>
    <cellStyle name="Borders 2 3 6 12" xfId="35970" xr:uid="{00000000-0005-0000-0000-000058050000}"/>
    <cellStyle name="Borders 2 3 6 13" xfId="43796" xr:uid="{00000000-0005-0000-0000-000059050000}"/>
    <cellStyle name="Borders 2 3 6 2" xfId="1249" xr:uid="{00000000-0005-0000-0000-00005A050000}"/>
    <cellStyle name="Borders 2 3 6 2 10" xfId="32541" xr:uid="{00000000-0005-0000-0000-00005B050000}"/>
    <cellStyle name="Borders 2 3 6 2 11" xfId="36307" xr:uid="{00000000-0005-0000-0000-00005C050000}"/>
    <cellStyle name="Borders 2 3 6 2 12" xfId="44133" xr:uid="{00000000-0005-0000-0000-00005D050000}"/>
    <cellStyle name="Borders 2 3 6 2 2" xfId="1971" xr:uid="{00000000-0005-0000-0000-00005E050000}"/>
    <cellStyle name="Borders 2 3 6 2 2 10" xfId="33258" xr:uid="{00000000-0005-0000-0000-00005F050000}"/>
    <cellStyle name="Borders 2 3 6 2 2 11" xfId="37028" xr:uid="{00000000-0005-0000-0000-000060050000}"/>
    <cellStyle name="Borders 2 3 6 2 2 12" xfId="41019" xr:uid="{00000000-0005-0000-0000-000061050000}"/>
    <cellStyle name="Borders 2 3 6 2 2 13" xfId="44850" xr:uid="{00000000-0005-0000-0000-000062050000}"/>
    <cellStyle name="Borders 2 3 6 2 2 2" xfId="3961" xr:uid="{00000000-0005-0000-0000-000063050000}"/>
    <cellStyle name="Borders 2 3 6 2 2 2 10" xfId="43023" xr:uid="{00000000-0005-0000-0000-000064050000}"/>
    <cellStyle name="Borders 2 3 6 2 2 2 11" xfId="46788" xr:uid="{00000000-0005-0000-0000-000065050000}"/>
    <cellStyle name="Borders 2 3 6 2 2 2 2" xfId="7828" xr:uid="{00000000-0005-0000-0000-000066050000}"/>
    <cellStyle name="Borders 2 3 6 2 2 2 3" xfId="12263" xr:uid="{00000000-0005-0000-0000-000067050000}"/>
    <cellStyle name="Borders 2 3 6 2 2 2 4" xfId="16108" xr:uid="{00000000-0005-0000-0000-000068050000}"/>
    <cellStyle name="Borders 2 3 6 2 2 2 5" xfId="19955" xr:uid="{00000000-0005-0000-0000-000069050000}"/>
    <cellStyle name="Borders 2 3 6 2 2 2 6" xfId="23871" xr:uid="{00000000-0005-0000-0000-00006A050000}"/>
    <cellStyle name="Borders 2 3 6 2 2 2 7" xfId="27705" xr:uid="{00000000-0005-0000-0000-00006B050000}"/>
    <cellStyle name="Borders 2 3 6 2 2 2 8" xfId="35226" xr:uid="{00000000-0005-0000-0000-00006C050000}"/>
    <cellStyle name="Borders 2 3 6 2 2 2 9" xfId="39012" xr:uid="{00000000-0005-0000-0000-00006D050000}"/>
    <cellStyle name="Borders 2 3 6 2 2 3" xfId="5904" xr:uid="{00000000-0005-0000-0000-00006E050000}"/>
    <cellStyle name="Borders 2 3 6 2 2 4" xfId="10262" xr:uid="{00000000-0005-0000-0000-00006F050000}"/>
    <cellStyle name="Borders 2 3 6 2 2 5" xfId="14108" xr:uid="{00000000-0005-0000-0000-000070050000}"/>
    <cellStyle name="Borders 2 3 6 2 2 6" xfId="17937" xr:uid="{00000000-0005-0000-0000-000071050000}"/>
    <cellStyle name="Borders 2 3 6 2 2 7" xfId="21876" xr:uid="{00000000-0005-0000-0000-000072050000}"/>
    <cellStyle name="Borders 2 3 6 2 2 8" xfId="25689" xr:uid="{00000000-0005-0000-0000-000073050000}"/>
    <cellStyle name="Borders 2 3 6 2 2 9" xfId="29576" xr:uid="{00000000-0005-0000-0000-000074050000}"/>
    <cellStyle name="Borders 2 3 6 2 3" xfId="3239" xr:uid="{00000000-0005-0000-0000-000075050000}"/>
    <cellStyle name="Borders 2 3 6 2 3 10" xfId="42302" xr:uid="{00000000-0005-0000-0000-000076050000}"/>
    <cellStyle name="Borders 2 3 6 2 3 11" xfId="46071" xr:uid="{00000000-0005-0000-0000-000077050000}"/>
    <cellStyle name="Borders 2 3 6 2 3 2" xfId="7111" xr:uid="{00000000-0005-0000-0000-000078050000}"/>
    <cellStyle name="Borders 2 3 6 2 3 3" xfId="11543" xr:uid="{00000000-0005-0000-0000-000079050000}"/>
    <cellStyle name="Borders 2 3 6 2 3 4" xfId="15387" xr:uid="{00000000-0005-0000-0000-00007A050000}"/>
    <cellStyle name="Borders 2 3 6 2 3 5" xfId="19233" xr:uid="{00000000-0005-0000-0000-00007B050000}"/>
    <cellStyle name="Borders 2 3 6 2 3 6" xfId="23152" xr:uid="{00000000-0005-0000-0000-00007C050000}"/>
    <cellStyle name="Borders 2 3 6 2 3 7" xfId="26984" xr:uid="{00000000-0005-0000-0000-00007D050000}"/>
    <cellStyle name="Borders 2 3 6 2 3 8" xfId="34509" xr:uid="{00000000-0005-0000-0000-00007E050000}"/>
    <cellStyle name="Borders 2 3 6 2 3 9" xfId="38291" xr:uid="{00000000-0005-0000-0000-00007F050000}"/>
    <cellStyle name="Borders 2 3 6 2 4" xfId="5187" xr:uid="{00000000-0005-0000-0000-000080050000}"/>
    <cellStyle name="Borders 2 3 6 2 5" xfId="9543" xr:uid="{00000000-0005-0000-0000-000081050000}"/>
    <cellStyle name="Borders 2 3 6 2 6" xfId="13387" xr:uid="{00000000-0005-0000-0000-000082050000}"/>
    <cellStyle name="Borders 2 3 6 2 7" xfId="17215" xr:uid="{00000000-0005-0000-0000-000083050000}"/>
    <cellStyle name="Borders 2 3 6 2 8" xfId="21157" xr:uid="{00000000-0005-0000-0000-000084050000}"/>
    <cellStyle name="Borders 2 3 6 2 9" xfId="24968" xr:uid="{00000000-0005-0000-0000-000085050000}"/>
    <cellStyle name="Borders 2 3 6 3" xfId="1643" xr:uid="{00000000-0005-0000-0000-000086050000}"/>
    <cellStyle name="Borders 2 3 6 3 10" xfId="32930" xr:uid="{00000000-0005-0000-0000-000087050000}"/>
    <cellStyle name="Borders 2 3 6 3 11" xfId="36700" xr:uid="{00000000-0005-0000-0000-000088050000}"/>
    <cellStyle name="Borders 2 3 6 3 12" xfId="40691" xr:uid="{00000000-0005-0000-0000-000089050000}"/>
    <cellStyle name="Borders 2 3 6 3 13" xfId="44522" xr:uid="{00000000-0005-0000-0000-00008A050000}"/>
    <cellStyle name="Borders 2 3 6 3 2" xfId="3633" xr:uid="{00000000-0005-0000-0000-00008B050000}"/>
    <cellStyle name="Borders 2 3 6 3 2 10" xfId="42695" xr:uid="{00000000-0005-0000-0000-00008C050000}"/>
    <cellStyle name="Borders 2 3 6 3 2 11" xfId="46460" xr:uid="{00000000-0005-0000-0000-00008D050000}"/>
    <cellStyle name="Borders 2 3 6 3 2 2" xfId="7500" xr:uid="{00000000-0005-0000-0000-00008E050000}"/>
    <cellStyle name="Borders 2 3 6 3 2 3" xfId="11935" xr:uid="{00000000-0005-0000-0000-00008F050000}"/>
    <cellStyle name="Borders 2 3 6 3 2 4" xfId="15780" xr:uid="{00000000-0005-0000-0000-000090050000}"/>
    <cellStyle name="Borders 2 3 6 3 2 5" xfId="19627" xr:uid="{00000000-0005-0000-0000-000091050000}"/>
    <cellStyle name="Borders 2 3 6 3 2 6" xfId="23543" xr:uid="{00000000-0005-0000-0000-000092050000}"/>
    <cellStyle name="Borders 2 3 6 3 2 7" xfId="27377" xr:uid="{00000000-0005-0000-0000-000093050000}"/>
    <cellStyle name="Borders 2 3 6 3 2 8" xfId="34898" xr:uid="{00000000-0005-0000-0000-000094050000}"/>
    <cellStyle name="Borders 2 3 6 3 2 9" xfId="38684" xr:uid="{00000000-0005-0000-0000-000095050000}"/>
    <cellStyle name="Borders 2 3 6 3 3" xfId="5576" xr:uid="{00000000-0005-0000-0000-000096050000}"/>
    <cellStyle name="Borders 2 3 6 3 4" xfId="9934" xr:uid="{00000000-0005-0000-0000-000097050000}"/>
    <cellStyle name="Borders 2 3 6 3 5" xfId="13780" xr:uid="{00000000-0005-0000-0000-000098050000}"/>
    <cellStyle name="Borders 2 3 6 3 6" xfId="17609" xr:uid="{00000000-0005-0000-0000-000099050000}"/>
    <cellStyle name="Borders 2 3 6 3 7" xfId="21548" xr:uid="{00000000-0005-0000-0000-00009A050000}"/>
    <cellStyle name="Borders 2 3 6 3 8" xfId="25361" xr:uid="{00000000-0005-0000-0000-00009B050000}"/>
    <cellStyle name="Borders 2 3 6 3 9" xfId="29248" xr:uid="{00000000-0005-0000-0000-00009C050000}"/>
    <cellStyle name="Borders 2 3 6 4" xfId="2902" xr:uid="{00000000-0005-0000-0000-00009D050000}"/>
    <cellStyle name="Borders 2 3 6 4 10" xfId="41966" xr:uid="{00000000-0005-0000-0000-00009E050000}"/>
    <cellStyle name="Borders 2 3 6 4 11" xfId="45743" xr:uid="{00000000-0005-0000-0000-00009F050000}"/>
    <cellStyle name="Borders 2 3 6 4 2" xfId="6782" xr:uid="{00000000-0005-0000-0000-0000A0050000}"/>
    <cellStyle name="Borders 2 3 6 4 3" xfId="11209" xr:uid="{00000000-0005-0000-0000-0000A1050000}"/>
    <cellStyle name="Borders 2 3 6 4 4" xfId="15054" xr:uid="{00000000-0005-0000-0000-0000A2050000}"/>
    <cellStyle name="Borders 2 3 6 4 5" xfId="18896" xr:uid="{00000000-0005-0000-0000-0000A3050000}"/>
    <cellStyle name="Borders 2 3 6 4 6" xfId="22822" xr:uid="{00000000-0005-0000-0000-0000A4050000}"/>
    <cellStyle name="Borders 2 3 6 4 7" xfId="26647" xr:uid="{00000000-0005-0000-0000-0000A5050000}"/>
    <cellStyle name="Borders 2 3 6 4 8" xfId="34181" xr:uid="{00000000-0005-0000-0000-0000A6050000}"/>
    <cellStyle name="Borders 2 3 6 4 9" xfId="37954" xr:uid="{00000000-0005-0000-0000-0000A7050000}"/>
    <cellStyle name="Borders 2 3 6 5" xfId="4858" xr:uid="{00000000-0005-0000-0000-0000A8050000}"/>
    <cellStyle name="Borders 2 3 6 6" xfId="9212" xr:uid="{00000000-0005-0000-0000-0000A9050000}"/>
    <cellStyle name="Borders 2 3 6 7" xfId="13053" xr:uid="{00000000-0005-0000-0000-0000AA050000}"/>
    <cellStyle name="Borders 2 3 6 8" xfId="16878" xr:uid="{00000000-0005-0000-0000-0000AB050000}"/>
    <cellStyle name="Borders 2 3 6 9" xfId="20820" xr:uid="{00000000-0005-0000-0000-0000AC050000}"/>
    <cellStyle name="Borders 2 3 7" xfId="958" xr:uid="{00000000-0005-0000-0000-0000AD050000}"/>
    <cellStyle name="Borders 2 3 7 10" xfId="32259" xr:uid="{00000000-0005-0000-0000-0000AE050000}"/>
    <cellStyle name="Borders 2 3 7 11" xfId="36016" xr:uid="{00000000-0005-0000-0000-0000AF050000}"/>
    <cellStyle name="Borders 2 3 7 12" xfId="43842" xr:uid="{00000000-0005-0000-0000-0000B0050000}"/>
    <cellStyle name="Borders 2 3 7 2" xfId="1689" xr:uid="{00000000-0005-0000-0000-0000B1050000}"/>
    <cellStyle name="Borders 2 3 7 2 10" xfId="32976" xr:uid="{00000000-0005-0000-0000-0000B2050000}"/>
    <cellStyle name="Borders 2 3 7 2 11" xfId="36746" xr:uid="{00000000-0005-0000-0000-0000B3050000}"/>
    <cellStyle name="Borders 2 3 7 2 12" xfId="40737" xr:uid="{00000000-0005-0000-0000-0000B4050000}"/>
    <cellStyle name="Borders 2 3 7 2 13" xfId="44568" xr:uid="{00000000-0005-0000-0000-0000B5050000}"/>
    <cellStyle name="Borders 2 3 7 2 2" xfId="3679" xr:uid="{00000000-0005-0000-0000-0000B6050000}"/>
    <cellStyle name="Borders 2 3 7 2 2 10" xfId="42741" xr:uid="{00000000-0005-0000-0000-0000B7050000}"/>
    <cellStyle name="Borders 2 3 7 2 2 11" xfId="46506" xr:uid="{00000000-0005-0000-0000-0000B8050000}"/>
    <cellStyle name="Borders 2 3 7 2 2 2" xfId="7546" xr:uid="{00000000-0005-0000-0000-0000B9050000}"/>
    <cellStyle name="Borders 2 3 7 2 2 3" xfId="11981" xr:uid="{00000000-0005-0000-0000-0000BA050000}"/>
    <cellStyle name="Borders 2 3 7 2 2 4" xfId="15826" xr:uid="{00000000-0005-0000-0000-0000BB050000}"/>
    <cellStyle name="Borders 2 3 7 2 2 5" xfId="19673" xr:uid="{00000000-0005-0000-0000-0000BC050000}"/>
    <cellStyle name="Borders 2 3 7 2 2 6" xfId="23589" xr:uid="{00000000-0005-0000-0000-0000BD050000}"/>
    <cellStyle name="Borders 2 3 7 2 2 7" xfId="27423" xr:uid="{00000000-0005-0000-0000-0000BE050000}"/>
    <cellStyle name="Borders 2 3 7 2 2 8" xfId="34944" xr:uid="{00000000-0005-0000-0000-0000BF050000}"/>
    <cellStyle name="Borders 2 3 7 2 2 9" xfId="38730" xr:uid="{00000000-0005-0000-0000-0000C0050000}"/>
    <cellStyle name="Borders 2 3 7 2 3" xfId="5622" xr:uid="{00000000-0005-0000-0000-0000C1050000}"/>
    <cellStyle name="Borders 2 3 7 2 4" xfId="9980" xr:uid="{00000000-0005-0000-0000-0000C2050000}"/>
    <cellStyle name="Borders 2 3 7 2 5" xfId="13826" xr:uid="{00000000-0005-0000-0000-0000C3050000}"/>
    <cellStyle name="Borders 2 3 7 2 6" xfId="17655" xr:uid="{00000000-0005-0000-0000-0000C4050000}"/>
    <cellStyle name="Borders 2 3 7 2 7" xfId="21594" xr:uid="{00000000-0005-0000-0000-0000C5050000}"/>
    <cellStyle name="Borders 2 3 7 2 8" xfId="25407" xr:uid="{00000000-0005-0000-0000-0000C6050000}"/>
    <cellStyle name="Borders 2 3 7 2 9" xfId="29294" xr:uid="{00000000-0005-0000-0000-0000C7050000}"/>
    <cellStyle name="Borders 2 3 7 3" xfId="2948" xr:uid="{00000000-0005-0000-0000-0000C8050000}"/>
    <cellStyle name="Borders 2 3 7 3 10" xfId="42012" xr:uid="{00000000-0005-0000-0000-0000C9050000}"/>
    <cellStyle name="Borders 2 3 7 3 11" xfId="45789" xr:uid="{00000000-0005-0000-0000-0000CA050000}"/>
    <cellStyle name="Borders 2 3 7 3 2" xfId="6828" xr:uid="{00000000-0005-0000-0000-0000CB050000}"/>
    <cellStyle name="Borders 2 3 7 3 3" xfId="11255" xr:uid="{00000000-0005-0000-0000-0000CC050000}"/>
    <cellStyle name="Borders 2 3 7 3 4" xfId="15100" xr:uid="{00000000-0005-0000-0000-0000CD050000}"/>
    <cellStyle name="Borders 2 3 7 3 5" xfId="18942" xr:uid="{00000000-0005-0000-0000-0000CE050000}"/>
    <cellStyle name="Borders 2 3 7 3 6" xfId="22868" xr:uid="{00000000-0005-0000-0000-0000CF050000}"/>
    <cellStyle name="Borders 2 3 7 3 7" xfId="26693" xr:uid="{00000000-0005-0000-0000-0000D0050000}"/>
    <cellStyle name="Borders 2 3 7 3 8" xfId="34227" xr:uid="{00000000-0005-0000-0000-0000D1050000}"/>
    <cellStyle name="Borders 2 3 7 3 9" xfId="38000" xr:uid="{00000000-0005-0000-0000-0000D2050000}"/>
    <cellStyle name="Borders 2 3 7 4" xfId="4904" xr:uid="{00000000-0005-0000-0000-0000D3050000}"/>
    <cellStyle name="Borders 2 3 7 5" xfId="9258" xr:uid="{00000000-0005-0000-0000-0000D4050000}"/>
    <cellStyle name="Borders 2 3 7 6" xfId="13099" xr:uid="{00000000-0005-0000-0000-0000D5050000}"/>
    <cellStyle name="Borders 2 3 7 7" xfId="16924" xr:uid="{00000000-0005-0000-0000-0000D6050000}"/>
    <cellStyle name="Borders 2 3 7 8" xfId="20866" xr:uid="{00000000-0005-0000-0000-0000D7050000}"/>
    <cellStyle name="Borders 2 3 7 9" xfId="24682" xr:uid="{00000000-0005-0000-0000-0000D8050000}"/>
    <cellStyle name="Borders 2 3 8" xfId="1336" xr:uid="{00000000-0005-0000-0000-0000D9050000}"/>
    <cellStyle name="Borders 2 3 8 10" xfId="32623" xr:uid="{00000000-0005-0000-0000-0000DA050000}"/>
    <cellStyle name="Borders 2 3 8 11" xfId="36393" xr:uid="{00000000-0005-0000-0000-0000DB050000}"/>
    <cellStyle name="Borders 2 3 8 12" xfId="40384" xr:uid="{00000000-0005-0000-0000-0000DC050000}"/>
    <cellStyle name="Borders 2 3 8 13" xfId="44215" xr:uid="{00000000-0005-0000-0000-0000DD050000}"/>
    <cellStyle name="Borders 2 3 8 2" xfId="3326" xr:uid="{00000000-0005-0000-0000-0000DE050000}"/>
    <cellStyle name="Borders 2 3 8 2 10" xfId="42388" xr:uid="{00000000-0005-0000-0000-0000DF050000}"/>
    <cellStyle name="Borders 2 3 8 2 11" xfId="46153" xr:uid="{00000000-0005-0000-0000-0000E0050000}"/>
    <cellStyle name="Borders 2 3 8 2 2" xfId="7193" xr:uid="{00000000-0005-0000-0000-0000E1050000}"/>
    <cellStyle name="Borders 2 3 8 2 3" xfId="11628" xr:uid="{00000000-0005-0000-0000-0000E2050000}"/>
    <cellStyle name="Borders 2 3 8 2 4" xfId="15473" xr:uid="{00000000-0005-0000-0000-0000E3050000}"/>
    <cellStyle name="Borders 2 3 8 2 5" xfId="19320" xr:uid="{00000000-0005-0000-0000-0000E4050000}"/>
    <cellStyle name="Borders 2 3 8 2 6" xfId="23236" xr:uid="{00000000-0005-0000-0000-0000E5050000}"/>
    <cellStyle name="Borders 2 3 8 2 7" xfId="27070" xr:uid="{00000000-0005-0000-0000-0000E6050000}"/>
    <cellStyle name="Borders 2 3 8 2 8" xfId="34591" xr:uid="{00000000-0005-0000-0000-0000E7050000}"/>
    <cellStyle name="Borders 2 3 8 2 9" xfId="38377" xr:uid="{00000000-0005-0000-0000-0000E8050000}"/>
    <cellStyle name="Borders 2 3 8 3" xfId="5269" xr:uid="{00000000-0005-0000-0000-0000E9050000}"/>
    <cellStyle name="Borders 2 3 8 4" xfId="9627" xr:uid="{00000000-0005-0000-0000-0000EA050000}"/>
    <cellStyle name="Borders 2 3 8 5" xfId="13473" xr:uid="{00000000-0005-0000-0000-0000EB050000}"/>
    <cellStyle name="Borders 2 3 8 6" xfId="17302" xr:uid="{00000000-0005-0000-0000-0000EC050000}"/>
    <cellStyle name="Borders 2 3 8 7" xfId="21241" xr:uid="{00000000-0005-0000-0000-0000ED050000}"/>
    <cellStyle name="Borders 2 3 8 8" xfId="25054" xr:uid="{00000000-0005-0000-0000-0000EE050000}"/>
    <cellStyle name="Borders 2 3 8 9" xfId="28941" xr:uid="{00000000-0005-0000-0000-0000EF050000}"/>
    <cellStyle name="Borders 2 3 9" xfId="2033" xr:uid="{00000000-0005-0000-0000-0000F0050000}"/>
    <cellStyle name="Borders 2 3 9 10" xfId="44909" xr:uid="{00000000-0005-0000-0000-0000F1050000}"/>
    <cellStyle name="Borders 2 3 9 2" xfId="4022" xr:uid="{00000000-0005-0000-0000-0000F2050000}"/>
    <cellStyle name="Borders 2 3 9 2 10" xfId="43084" xr:uid="{00000000-0005-0000-0000-0000F3050000}"/>
    <cellStyle name="Borders 2 3 9 2 11" xfId="46847" xr:uid="{00000000-0005-0000-0000-0000F4050000}"/>
    <cellStyle name="Borders 2 3 9 2 2" xfId="7887" xr:uid="{00000000-0005-0000-0000-0000F5050000}"/>
    <cellStyle name="Borders 2 3 9 2 3" xfId="12323" xr:uid="{00000000-0005-0000-0000-0000F6050000}"/>
    <cellStyle name="Borders 2 3 9 2 4" xfId="16168" xr:uid="{00000000-0005-0000-0000-0000F7050000}"/>
    <cellStyle name="Borders 2 3 9 2 5" xfId="20016" xr:uid="{00000000-0005-0000-0000-0000F8050000}"/>
    <cellStyle name="Borders 2 3 9 2 6" xfId="23931" xr:uid="{00000000-0005-0000-0000-0000F9050000}"/>
    <cellStyle name="Borders 2 3 9 2 7" xfId="27766" xr:uid="{00000000-0005-0000-0000-0000FA050000}"/>
    <cellStyle name="Borders 2 3 9 2 8" xfId="35285" xr:uid="{00000000-0005-0000-0000-0000FB050000}"/>
    <cellStyle name="Borders 2 3 9 2 9" xfId="39073" xr:uid="{00000000-0005-0000-0000-0000FC050000}"/>
    <cellStyle name="Borders 2 3 9 3" xfId="5963" xr:uid="{00000000-0005-0000-0000-0000FD050000}"/>
    <cellStyle name="Borders 2 3 9 4" xfId="10322" xr:uid="{00000000-0005-0000-0000-0000FE050000}"/>
    <cellStyle name="Borders 2 3 9 5" xfId="14169" xr:uid="{00000000-0005-0000-0000-0000FF050000}"/>
    <cellStyle name="Borders 2 3 9 6" xfId="17999" xr:uid="{00000000-0005-0000-0000-000000060000}"/>
    <cellStyle name="Borders 2 3 9 7" xfId="21937" xr:uid="{00000000-0005-0000-0000-000001060000}"/>
    <cellStyle name="Borders 2 3 9 8" xfId="25751" xr:uid="{00000000-0005-0000-0000-000002060000}"/>
    <cellStyle name="Borders 2 3 9 9" xfId="37089" xr:uid="{00000000-0005-0000-0000-000003060000}"/>
    <cellStyle name="Borders 2 4" xfId="607" xr:uid="{00000000-0005-0000-0000-000004060000}"/>
    <cellStyle name="Borders 2 4 10" xfId="33375" xr:uid="{00000000-0005-0000-0000-000005060000}"/>
    <cellStyle name="Borders 2 4 11" xfId="39702" xr:uid="{00000000-0005-0000-0000-000006060000}"/>
    <cellStyle name="Borders 2 4 12" xfId="39573" xr:uid="{00000000-0005-0000-0000-000007060000}"/>
    <cellStyle name="Borders 2 4 2" xfId="987" xr:uid="{00000000-0005-0000-0000-000008060000}"/>
    <cellStyle name="Borders 2 4 2 10" xfId="28598" xr:uid="{00000000-0005-0000-0000-000009060000}"/>
    <cellStyle name="Borders 2 4 2 11" xfId="32286" xr:uid="{00000000-0005-0000-0000-00000A060000}"/>
    <cellStyle name="Borders 2 4 2 12" xfId="36045" xr:uid="{00000000-0005-0000-0000-00000B060000}"/>
    <cellStyle name="Borders 2 4 2 13" xfId="40050" xr:uid="{00000000-0005-0000-0000-00000C060000}"/>
    <cellStyle name="Borders 2 4 2 14" xfId="43871" xr:uid="{00000000-0005-0000-0000-00000D060000}"/>
    <cellStyle name="Borders 2 4 2 2" xfId="1716" xr:uid="{00000000-0005-0000-0000-00000E060000}"/>
    <cellStyle name="Borders 2 4 2 2 10" xfId="33003" xr:uid="{00000000-0005-0000-0000-00000F060000}"/>
    <cellStyle name="Borders 2 4 2 2 11" xfId="36773" xr:uid="{00000000-0005-0000-0000-000010060000}"/>
    <cellStyle name="Borders 2 4 2 2 12" xfId="40764" xr:uid="{00000000-0005-0000-0000-000011060000}"/>
    <cellStyle name="Borders 2 4 2 2 13" xfId="44595" xr:uid="{00000000-0005-0000-0000-000012060000}"/>
    <cellStyle name="Borders 2 4 2 2 2" xfId="3706" xr:uid="{00000000-0005-0000-0000-000013060000}"/>
    <cellStyle name="Borders 2 4 2 2 2 10" xfId="38757" xr:uid="{00000000-0005-0000-0000-000014060000}"/>
    <cellStyle name="Borders 2 4 2 2 2 11" xfId="42768" xr:uid="{00000000-0005-0000-0000-000015060000}"/>
    <cellStyle name="Borders 2 4 2 2 2 12" xfId="46533" xr:uid="{00000000-0005-0000-0000-000016060000}"/>
    <cellStyle name="Borders 2 4 2 2 2 2" xfId="7573" xr:uid="{00000000-0005-0000-0000-000017060000}"/>
    <cellStyle name="Borders 2 4 2 2 2 3" xfId="12008" xr:uid="{00000000-0005-0000-0000-000018060000}"/>
    <cellStyle name="Borders 2 4 2 2 2 4" xfId="15853" xr:uid="{00000000-0005-0000-0000-000019060000}"/>
    <cellStyle name="Borders 2 4 2 2 2 5" xfId="19700" xr:uid="{00000000-0005-0000-0000-00001A060000}"/>
    <cellStyle name="Borders 2 4 2 2 2 6" xfId="23616" xr:uid="{00000000-0005-0000-0000-00001B060000}"/>
    <cellStyle name="Borders 2 4 2 2 2 7" xfId="27450" xr:uid="{00000000-0005-0000-0000-00001C060000}"/>
    <cellStyle name="Borders 2 4 2 2 2 8" xfId="31314" xr:uid="{00000000-0005-0000-0000-00001D060000}"/>
    <cellStyle name="Borders 2 4 2 2 2 9" xfId="34971" xr:uid="{00000000-0005-0000-0000-00001E060000}"/>
    <cellStyle name="Borders 2 4 2 2 3" xfId="5649" xr:uid="{00000000-0005-0000-0000-00001F060000}"/>
    <cellStyle name="Borders 2 4 2 2 4" xfId="10007" xr:uid="{00000000-0005-0000-0000-000020060000}"/>
    <cellStyle name="Borders 2 4 2 2 5" xfId="13853" xr:uid="{00000000-0005-0000-0000-000021060000}"/>
    <cellStyle name="Borders 2 4 2 2 6" xfId="17682" xr:uid="{00000000-0005-0000-0000-000022060000}"/>
    <cellStyle name="Borders 2 4 2 2 7" xfId="21621" xr:uid="{00000000-0005-0000-0000-000023060000}"/>
    <cellStyle name="Borders 2 4 2 2 8" xfId="25434" xr:uid="{00000000-0005-0000-0000-000024060000}"/>
    <cellStyle name="Borders 2 4 2 2 9" xfId="29321" xr:uid="{00000000-0005-0000-0000-000025060000}"/>
    <cellStyle name="Borders 2 4 2 3" xfId="2977" xr:uid="{00000000-0005-0000-0000-000026060000}"/>
    <cellStyle name="Borders 2 4 2 3 10" xfId="38029" xr:uid="{00000000-0005-0000-0000-000027060000}"/>
    <cellStyle name="Borders 2 4 2 3 11" xfId="42041" xr:uid="{00000000-0005-0000-0000-000028060000}"/>
    <cellStyle name="Borders 2 4 2 3 12" xfId="45816" xr:uid="{00000000-0005-0000-0000-000029060000}"/>
    <cellStyle name="Borders 2 4 2 3 2" xfId="6855" xr:uid="{00000000-0005-0000-0000-00002A060000}"/>
    <cellStyle name="Borders 2 4 2 3 3" xfId="11283" xr:uid="{00000000-0005-0000-0000-00002B060000}"/>
    <cellStyle name="Borders 2 4 2 3 4" xfId="15128" xr:uid="{00000000-0005-0000-0000-00002C060000}"/>
    <cellStyle name="Borders 2 4 2 3 5" xfId="18971" xr:uid="{00000000-0005-0000-0000-00002D060000}"/>
    <cellStyle name="Borders 2 4 2 3 6" xfId="22895" xr:uid="{00000000-0005-0000-0000-00002E060000}"/>
    <cellStyle name="Borders 2 4 2 3 7" xfId="26722" xr:uid="{00000000-0005-0000-0000-00002F060000}"/>
    <cellStyle name="Borders 2 4 2 3 8" xfId="30596" xr:uid="{00000000-0005-0000-0000-000030060000}"/>
    <cellStyle name="Borders 2 4 2 3 9" xfId="34254" xr:uid="{00000000-0005-0000-0000-000031060000}"/>
    <cellStyle name="Borders 2 4 2 4" xfId="4931" xr:uid="{00000000-0005-0000-0000-000032060000}"/>
    <cellStyle name="Borders 2 4 2 5" xfId="9286" xr:uid="{00000000-0005-0000-0000-000033060000}"/>
    <cellStyle name="Borders 2 4 2 6" xfId="13127" xr:uid="{00000000-0005-0000-0000-000034060000}"/>
    <cellStyle name="Borders 2 4 2 7" xfId="16953" xr:uid="{00000000-0005-0000-0000-000035060000}"/>
    <cellStyle name="Borders 2 4 2 8" xfId="20895" xr:uid="{00000000-0005-0000-0000-000036060000}"/>
    <cellStyle name="Borders 2 4 2 9" xfId="24710" xr:uid="{00000000-0005-0000-0000-000037060000}"/>
    <cellStyle name="Borders 2 4 3" xfId="1363" xr:uid="{00000000-0005-0000-0000-000038060000}"/>
    <cellStyle name="Borders 2 4 3 10" xfId="32650" xr:uid="{00000000-0005-0000-0000-000039060000}"/>
    <cellStyle name="Borders 2 4 3 11" xfId="36420" xr:uid="{00000000-0005-0000-0000-00003A060000}"/>
    <cellStyle name="Borders 2 4 3 12" xfId="40411" xr:uid="{00000000-0005-0000-0000-00003B060000}"/>
    <cellStyle name="Borders 2 4 3 13" xfId="44242" xr:uid="{00000000-0005-0000-0000-00003C060000}"/>
    <cellStyle name="Borders 2 4 3 2" xfId="3353" xr:uid="{00000000-0005-0000-0000-00003D060000}"/>
    <cellStyle name="Borders 2 4 3 2 10" xfId="38404" xr:uid="{00000000-0005-0000-0000-00003E060000}"/>
    <cellStyle name="Borders 2 4 3 2 11" xfId="42415" xr:uid="{00000000-0005-0000-0000-00003F060000}"/>
    <cellStyle name="Borders 2 4 3 2 12" xfId="46180" xr:uid="{00000000-0005-0000-0000-000040060000}"/>
    <cellStyle name="Borders 2 4 3 2 2" xfId="7220" xr:uid="{00000000-0005-0000-0000-000041060000}"/>
    <cellStyle name="Borders 2 4 3 2 3" xfId="11655" xr:uid="{00000000-0005-0000-0000-000042060000}"/>
    <cellStyle name="Borders 2 4 3 2 4" xfId="15500" xr:uid="{00000000-0005-0000-0000-000043060000}"/>
    <cellStyle name="Borders 2 4 3 2 5" xfId="19347" xr:uid="{00000000-0005-0000-0000-000044060000}"/>
    <cellStyle name="Borders 2 4 3 2 6" xfId="23263" xr:uid="{00000000-0005-0000-0000-000045060000}"/>
    <cellStyle name="Borders 2 4 3 2 7" xfId="27097" xr:uid="{00000000-0005-0000-0000-000046060000}"/>
    <cellStyle name="Borders 2 4 3 2 8" xfId="30965" xr:uid="{00000000-0005-0000-0000-000047060000}"/>
    <cellStyle name="Borders 2 4 3 2 9" xfId="34618" xr:uid="{00000000-0005-0000-0000-000048060000}"/>
    <cellStyle name="Borders 2 4 3 3" xfId="5296" xr:uid="{00000000-0005-0000-0000-000049060000}"/>
    <cellStyle name="Borders 2 4 3 4" xfId="9654" xr:uid="{00000000-0005-0000-0000-00004A060000}"/>
    <cellStyle name="Borders 2 4 3 5" xfId="13500" xr:uid="{00000000-0005-0000-0000-00004B060000}"/>
    <cellStyle name="Borders 2 4 3 6" xfId="17329" xr:uid="{00000000-0005-0000-0000-00004C060000}"/>
    <cellStyle name="Borders 2 4 3 7" xfId="21268" xr:uid="{00000000-0005-0000-0000-00004D060000}"/>
    <cellStyle name="Borders 2 4 3 8" xfId="25081" xr:uid="{00000000-0005-0000-0000-00004E060000}"/>
    <cellStyle name="Borders 2 4 3 9" xfId="28968" xr:uid="{00000000-0005-0000-0000-00004F060000}"/>
    <cellStyle name="Borders 2 4 4" xfId="2610" xr:uid="{00000000-0005-0000-0000-000050060000}"/>
    <cellStyle name="Borders 2 4 4 10" xfId="37662" xr:uid="{00000000-0005-0000-0000-000051060000}"/>
    <cellStyle name="Borders 2 4 4 11" xfId="41676" xr:uid="{00000000-0005-0000-0000-000052060000}"/>
    <cellStyle name="Borders 2 4 4 12" xfId="45463" xr:uid="{00000000-0005-0000-0000-000053060000}"/>
    <cellStyle name="Borders 2 4 4 2" xfId="6500" xr:uid="{00000000-0005-0000-0000-000054060000}"/>
    <cellStyle name="Borders 2 4 4 3" xfId="10924" xr:uid="{00000000-0005-0000-0000-000055060000}"/>
    <cellStyle name="Borders 2 4 4 4" xfId="14768" xr:uid="{00000000-0005-0000-0000-000056060000}"/>
    <cellStyle name="Borders 2 4 4 5" xfId="18604" xr:uid="{00000000-0005-0000-0000-000057060000}"/>
    <cellStyle name="Borders 2 4 4 6" xfId="22537" xr:uid="{00000000-0005-0000-0000-000058060000}"/>
    <cellStyle name="Borders 2 4 4 7" xfId="26355" xr:uid="{00000000-0005-0000-0000-000059060000}"/>
    <cellStyle name="Borders 2 4 4 8" xfId="30234" xr:uid="{00000000-0005-0000-0000-00005A060000}"/>
    <cellStyle name="Borders 2 4 4 9" xfId="33901" xr:uid="{00000000-0005-0000-0000-00005B060000}"/>
    <cellStyle name="Borders 2 4 5" xfId="4576" xr:uid="{00000000-0005-0000-0000-00005C060000}"/>
    <cellStyle name="Borders 2 4 6" xfId="8916" xr:uid="{00000000-0005-0000-0000-00005D060000}"/>
    <cellStyle name="Borders 2 4 7" xfId="10396" xr:uid="{00000000-0005-0000-0000-00005E060000}"/>
    <cellStyle name="Borders 2 4 8" xfId="25800" xr:uid="{00000000-0005-0000-0000-00005F060000}"/>
    <cellStyle name="Borders 2 4 9" xfId="31198" xr:uid="{00000000-0005-0000-0000-000060060000}"/>
    <cellStyle name="Borders 2 5" xfId="736" xr:uid="{00000000-0005-0000-0000-000061060000}"/>
    <cellStyle name="Borders 2 5 10" xfId="24469" xr:uid="{00000000-0005-0000-0000-000062060000}"/>
    <cellStyle name="Borders 2 5 11" xfId="8404" xr:uid="{00000000-0005-0000-0000-000063060000}"/>
    <cellStyle name="Borders 2 5 12" xfId="35807" xr:uid="{00000000-0005-0000-0000-000064060000}"/>
    <cellStyle name="Borders 2 5 13" xfId="43633" xr:uid="{00000000-0005-0000-0000-000065060000}"/>
    <cellStyle name="Borders 2 5 2" xfId="1114" xr:uid="{00000000-0005-0000-0000-000066060000}"/>
    <cellStyle name="Borders 2 5 2 10" xfId="32411" xr:uid="{00000000-0005-0000-0000-000067060000}"/>
    <cellStyle name="Borders 2 5 2 11" xfId="36172" xr:uid="{00000000-0005-0000-0000-000068060000}"/>
    <cellStyle name="Borders 2 5 2 12" xfId="43998" xr:uid="{00000000-0005-0000-0000-000069060000}"/>
    <cellStyle name="Borders 2 5 2 2" xfId="1841" xr:uid="{00000000-0005-0000-0000-00006A060000}"/>
    <cellStyle name="Borders 2 5 2 2 10" xfId="33128" xr:uid="{00000000-0005-0000-0000-00006B060000}"/>
    <cellStyle name="Borders 2 5 2 2 11" xfId="36898" xr:uid="{00000000-0005-0000-0000-00006C060000}"/>
    <cellStyle name="Borders 2 5 2 2 12" xfId="40889" xr:uid="{00000000-0005-0000-0000-00006D060000}"/>
    <cellStyle name="Borders 2 5 2 2 13" xfId="44720" xr:uid="{00000000-0005-0000-0000-00006E060000}"/>
    <cellStyle name="Borders 2 5 2 2 2" xfId="3831" xr:uid="{00000000-0005-0000-0000-00006F060000}"/>
    <cellStyle name="Borders 2 5 2 2 2 10" xfId="42893" xr:uid="{00000000-0005-0000-0000-000070060000}"/>
    <cellStyle name="Borders 2 5 2 2 2 11" xfId="46658" xr:uid="{00000000-0005-0000-0000-000071060000}"/>
    <cellStyle name="Borders 2 5 2 2 2 2" xfId="7698" xr:uid="{00000000-0005-0000-0000-000072060000}"/>
    <cellStyle name="Borders 2 5 2 2 2 3" xfId="12133" xr:uid="{00000000-0005-0000-0000-000073060000}"/>
    <cellStyle name="Borders 2 5 2 2 2 4" xfId="15978" xr:uid="{00000000-0005-0000-0000-000074060000}"/>
    <cellStyle name="Borders 2 5 2 2 2 5" xfId="19825" xr:uid="{00000000-0005-0000-0000-000075060000}"/>
    <cellStyle name="Borders 2 5 2 2 2 6" xfId="23741" xr:uid="{00000000-0005-0000-0000-000076060000}"/>
    <cellStyle name="Borders 2 5 2 2 2 7" xfId="27575" xr:uid="{00000000-0005-0000-0000-000077060000}"/>
    <cellStyle name="Borders 2 5 2 2 2 8" xfId="35096" xr:uid="{00000000-0005-0000-0000-000078060000}"/>
    <cellStyle name="Borders 2 5 2 2 2 9" xfId="38882" xr:uid="{00000000-0005-0000-0000-000079060000}"/>
    <cellStyle name="Borders 2 5 2 2 3" xfId="5774" xr:uid="{00000000-0005-0000-0000-00007A060000}"/>
    <cellStyle name="Borders 2 5 2 2 4" xfId="10132" xr:uid="{00000000-0005-0000-0000-00007B060000}"/>
    <cellStyle name="Borders 2 5 2 2 5" xfId="13978" xr:uid="{00000000-0005-0000-0000-00007C060000}"/>
    <cellStyle name="Borders 2 5 2 2 6" xfId="17807" xr:uid="{00000000-0005-0000-0000-00007D060000}"/>
    <cellStyle name="Borders 2 5 2 2 7" xfId="21746" xr:uid="{00000000-0005-0000-0000-00007E060000}"/>
    <cellStyle name="Borders 2 5 2 2 8" xfId="25559" xr:uid="{00000000-0005-0000-0000-00007F060000}"/>
    <cellStyle name="Borders 2 5 2 2 9" xfId="29446" xr:uid="{00000000-0005-0000-0000-000080060000}"/>
    <cellStyle name="Borders 2 5 2 3" xfId="3104" xr:uid="{00000000-0005-0000-0000-000081060000}"/>
    <cellStyle name="Borders 2 5 2 3 10" xfId="42168" xr:uid="{00000000-0005-0000-0000-000082060000}"/>
    <cellStyle name="Borders 2 5 2 3 11" xfId="45941" xr:uid="{00000000-0005-0000-0000-000083060000}"/>
    <cellStyle name="Borders 2 5 2 3 2" xfId="6980" xr:uid="{00000000-0005-0000-0000-000084060000}"/>
    <cellStyle name="Borders 2 5 2 3 3" xfId="11409" xr:uid="{00000000-0005-0000-0000-000085060000}"/>
    <cellStyle name="Borders 2 5 2 3 4" xfId="15253" xr:uid="{00000000-0005-0000-0000-000086060000}"/>
    <cellStyle name="Borders 2 5 2 3 5" xfId="19098" xr:uid="{00000000-0005-0000-0000-000087060000}"/>
    <cellStyle name="Borders 2 5 2 3 6" xfId="23020" xr:uid="{00000000-0005-0000-0000-000088060000}"/>
    <cellStyle name="Borders 2 5 2 3 7" xfId="26849" xr:uid="{00000000-0005-0000-0000-000089060000}"/>
    <cellStyle name="Borders 2 5 2 3 8" xfId="34379" xr:uid="{00000000-0005-0000-0000-00008A060000}"/>
    <cellStyle name="Borders 2 5 2 3 9" xfId="38156" xr:uid="{00000000-0005-0000-0000-00008B060000}"/>
    <cellStyle name="Borders 2 5 2 4" xfId="5056" xr:uid="{00000000-0005-0000-0000-00008C060000}"/>
    <cellStyle name="Borders 2 5 2 5" xfId="9412" xr:uid="{00000000-0005-0000-0000-00008D060000}"/>
    <cellStyle name="Borders 2 5 2 6" xfId="13252" xr:uid="{00000000-0005-0000-0000-00008E060000}"/>
    <cellStyle name="Borders 2 5 2 7" xfId="17080" xr:uid="{00000000-0005-0000-0000-00008F060000}"/>
    <cellStyle name="Borders 2 5 2 8" xfId="21022" xr:uid="{00000000-0005-0000-0000-000090060000}"/>
    <cellStyle name="Borders 2 5 2 9" xfId="24836" xr:uid="{00000000-0005-0000-0000-000091060000}"/>
    <cellStyle name="Borders 2 5 3" xfId="1488" xr:uid="{00000000-0005-0000-0000-000092060000}"/>
    <cellStyle name="Borders 2 5 3 10" xfId="32775" xr:uid="{00000000-0005-0000-0000-000093060000}"/>
    <cellStyle name="Borders 2 5 3 11" xfId="36545" xr:uid="{00000000-0005-0000-0000-000094060000}"/>
    <cellStyle name="Borders 2 5 3 12" xfId="40536" xr:uid="{00000000-0005-0000-0000-000095060000}"/>
    <cellStyle name="Borders 2 5 3 13" xfId="44367" xr:uid="{00000000-0005-0000-0000-000096060000}"/>
    <cellStyle name="Borders 2 5 3 2" xfId="3478" xr:uid="{00000000-0005-0000-0000-000097060000}"/>
    <cellStyle name="Borders 2 5 3 2 10" xfId="42540" xr:uid="{00000000-0005-0000-0000-000098060000}"/>
    <cellStyle name="Borders 2 5 3 2 11" xfId="46305" xr:uid="{00000000-0005-0000-0000-000099060000}"/>
    <cellStyle name="Borders 2 5 3 2 2" xfId="7345" xr:uid="{00000000-0005-0000-0000-00009A060000}"/>
    <cellStyle name="Borders 2 5 3 2 3" xfId="11780" xr:uid="{00000000-0005-0000-0000-00009B060000}"/>
    <cellStyle name="Borders 2 5 3 2 4" xfId="15625" xr:uid="{00000000-0005-0000-0000-00009C060000}"/>
    <cellStyle name="Borders 2 5 3 2 5" xfId="19472" xr:uid="{00000000-0005-0000-0000-00009D060000}"/>
    <cellStyle name="Borders 2 5 3 2 6" xfId="23388" xr:uid="{00000000-0005-0000-0000-00009E060000}"/>
    <cellStyle name="Borders 2 5 3 2 7" xfId="27222" xr:uid="{00000000-0005-0000-0000-00009F060000}"/>
    <cellStyle name="Borders 2 5 3 2 8" xfId="34743" xr:uid="{00000000-0005-0000-0000-0000A0060000}"/>
    <cellStyle name="Borders 2 5 3 2 9" xfId="38529" xr:uid="{00000000-0005-0000-0000-0000A1060000}"/>
    <cellStyle name="Borders 2 5 3 3" xfId="5421" xr:uid="{00000000-0005-0000-0000-0000A2060000}"/>
    <cellStyle name="Borders 2 5 3 4" xfId="9779" xr:uid="{00000000-0005-0000-0000-0000A3060000}"/>
    <cellStyle name="Borders 2 5 3 5" xfId="13625" xr:uid="{00000000-0005-0000-0000-0000A4060000}"/>
    <cellStyle name="Borders 2 5 3 6" xfId="17454" xr:uid="{00000000-0005-0000-0000-0000A5060000}"/>
    <cellStyle name="Borders 2 5 3 7" xfId="21393" xr:uid="{00000000-0005-0000-0000-0000A6060000}"/>
    <cellStyle name="Borders 2 5 3 8" xfId="25206" xr:uid="{00000000-0005-0000-0000-0000A7060000}"/>
    <cellStyle name="Borders 2 5 3 9" xfId="29093" xr:uid="{00000000-0005-0000-0000-0000A8060000}"/>
    <cellStyle name="Borders 2 5 4" xfId="2739" xr:uid="{00000000-0005-0000-0000-0000A9060000}"/>
    <cellStyle name="Borders 2 5 4 10" xfId="41804" xr:uid="{00000000-0005-0000-0000-0000AA060000}"/>
    <cellStyle name="Borders 2 5 4 11" xfId="45588" xr:uid="{00000000-0005-0000-0000-0000AB060000}"/>
    <cellStyle name="Borders 2 5 4 2" xfId="6626" xr:uid="{00000000-0005-0000-0000-0000AC060000}"/>
    <cellStyle name="Borders 2 5 4 3" xfId="11049" xr:uid="{00000000-0005-0000-0000-0000AD060000}"/>
    <cellStyle name="Borders 2 5 4 4" xfId="14895" xr:uid="{00000000-0005-0000-0000-0000AE060000}"/>
    <cellStyle name="Borders 2 5 4 5" xfId="18733" xr:uid="{00000000-0005-0000-0000-0000AF060000}"/>
    <cellStyle name="Borders 2 5 4 6" xfId="22664" xr:uid="{00000000-0005-0000-0000-0000B0060000}"/>
    <cellStyle name="Borders 2 5 4 7" xfId="26484" xr:uid="{00000000-0005-0000-0000-0000B1060000}"/>
    <cellStyle name="Borders 2 5 4 8" xfId="34026" xr:uid="{00000000-0005-0000-0000-0000B2060000}"/>
    <cellStyle name="Borders 2 5 4 9" xfId="37791" xr:uid="{00000000-0005-0000-0000-0000B3060000}"/>
    <cellStyle name="Borders 2 5 5" xfId="4702" xr:uid="{00000000-0005-0000-0000-0000B4060000}"/>
    <cellStyle name="Borders 2 5 6" xfId="9044" xr:uid="{00000000-0005-0000-0000-0000B5060000}"/>
    <cellStyle name="Borders 2 5 7" xfId="12882" xr:uid="{00000000-0005-0000-0000-0000B6060000}"/>
    <cellStyle name="Borders 2 5 8" xfId="16712" xr:uid="{00000000-0005-0000-0000-0000B7060000}"/>
    <cellStyle name="Borders 2 5 9" xfId="20649" xr:uid="{00000000-0005-0000-0000-0000B8060000}"/>
    <cellStyle name="Borders 2 6" xfId="868" xr:uid="{00000000-0005-0000-0000-0000B9060000}"/>
    <cellStyle name="Borders 2 6 10" xfId="24592" xr:uid="{00000000-0005-0000-0000-0000BA060000}"/>
    <cellStyle name="Borders 2 6 11" xfId="32169" xr:uid="{00000000-0005-0000-0000-0000BB060000}"/>
    <cellStyle name="Borders 2 6 12" xfId="35926" xr:uid="{00000000-0005-0000-0000-0000BC060000}"/>
    <cellStyle name="Borders 2 6 13" xfId="43752" xr:uid="{00000000-0005-0000-0000-0000BD060000}"/>
    <cellStyle name="Borders 2 6 2" xfId="1205" xr:uid="{00000000-0005-0000-0000-0000BE060000}"/>
    <cellStyle name="Borders 2 6 2 10" xfId="32497" xr:uid="{00000000-0005-0000-0000-0000BF060000}"/>
    <cellStyle name="Borders 2 6 2 11" xfId="36263" xr:uid="{00000000-0005-0000-0000-0000C0060000}"/>
    <cellStyle name="Borders 2 6 2 12" xfId="44089" xr:uid="{00000000-0005-0000-0000-0000C1060000}"/>
    <cellStyle name="Borders 2 6 2 2" xfId="1927" xr:uid="{00000000-0005-0000-0000-0000C2060000}"/>
    <cellStyle name="Borders 2 6 2 2 10" xfId="33214" xr:uid="{00000000-0005-0000-0000-0000C3060000}"/>
    <cellStyle name="Borders 2 6 2 2 11" xfId="36984" xr:uid="{00000000-0005-0000-0000-0000C4060000}"/>
    <cellStyle name="Borders 2 6 2 2 12" xfId="40975" xr:uid="{00000000-0005-0000-0000-0000C5060000}"/>
    <cellStyle name="Borders 2 6 2 2 13" xfId="44806" xr:uid="{00000000-0005-0000-0000-0000C6060000}"/>
    <cellStyle name="Borders 2 6 2 2 2" xfId="3917" xr:uid="{00000000-0005-0000-0000-0000C7060000}"/>
    <cellStyle name="Borders 2 6 2 2 2 10" xfId="42979" xr:uid="{00000000-0005-0000-0000-0000C8060000}"/>
    <cellStyle name="Borders 2 6 2 2 2 11" xfId="46744" xr:uid="{00000000-0005-0000-0000-0000C9060000}"/>
    <cellStyle name="Borders 2 6 2 2 2 2" xfId="7784" xr:uid="{00000000-0005-0000-0000-0000CA060000}"/>
    <cellStyle name="Borders 2 6 2 2 2 3" xfId="12219" xr:uid="{00000000-0005-0000-0000-0000CB060000}"/>
    <cellStyle name="Borders 2 6 2 2 2 4" xfId="16064" xr:uid="{00000000-0005-0000-0000-0000CC060000}"/>
    <cellStyle name="Borders 2 6 2 2 2 5" xfId="19911" xr:uid="{00000000-0005-0000-0000-0000CD060000}"/>
    <cellStyle name="Borders 2 6 2 2 2 6" xfId="23827" xr:uid="{00000000-0005-0000-0000-0000CE060000}"/>
    <cellStyle name="Borders 2 6 2 2 2 7" xfId="27661" xr:uid="{00000000-0005-0000-0000-0000CF060000}"/>
    <cellStyle name="Borders 2 6 2 2 2 8" xfId="35182" xr:uid="{00000000-0005-0000-0000-0000D0060000}"/>
    <cellStyle name="Borders 2 6 2 2 2 9" xfId="38968" xr:uid="{00000000-0005-0000-0000-0000D1060000}"/>
    <cellStyle name="Borders 2 6 2 2 3" xfId="5860" xr:uid="{00000000-0005-0000-0000-0000D2060000}"/>
    <cellStyle name="Borders 2 6 2 2 4" xfId="10218" xr:uid="{00000000-0005-0000-0000-0000D3060000}"/>
    <cellStyle name="Borders 2 6 2 2 5" xfId="14064" xr:uid="{00000000-0005-0000-0000-0000D4060000}"/>
    <cellStyle name="Borders 2 6 2 2 6" xfId="17893" xr:uid="{00000000-0005-0000-0000-0000D5060000}"/>
    <cellStyle name="Borders 2 6 2 2 7" xfId="21832" xr:uid="{00000000-0005-0000-0000-0000D6060000}"/>
    <cellStyle name="Borders 2 6 2 2 8" xfId="25645" xr:uid="{00000000-0005-0000-0000-0000D7060000}"/>
    <cellStyle name="Borders 2 6 2 2 9" xfId="29532" xr:uid="{00000000-0005-0000-0000-0000D8060000}"/>
    <cellStyle name="Borders 2 6 2 3" xfId="3195" xr:uid="{00000000-0005-0000-0000-0000D9060000}"/>
    <cellStyle name="Borders 2 6 2 3 10" xfId="42258" xr:uid="{00000000-0005-0000-0000-0000DA060000}"/>
    <cellStyle name="Borders 2 6 2 3 11" xfId="46027" xr:uid="{00000000-0005-0000-0000-0000DB060000}"/>
    <cellStyle name="Borders 2 6 2 3 2" xfId="7067" xr:uid="{00000000-0005-0000-0000-0000DC060000}"/>
    <cellStyle name="Borders 2 6 2 3 3" xfId="11499" xr:uid="{00000000-0005-0000-0000-0000DD060000}"/>
    <cellStyle name="Borders 2 6 2 3 4" xfId="15343" xr:uid="{00000000-0005-0000-0000-0000DE060000}"/>
    <cellStyle name="Borders 2 6 2 3 5" xfId="19189" xr:uid="{00000000-0005-0000-0000-0000DF060000}"/>
    <cellStyle name="Borders 2 6 2 3 6" xfId="23108" xr:uid="{00000000-0005-0000-0000-0000E0060000}"/>
    <cellStyle name="Borders 2 6 2 3 7" xfId="26940" xr:uid="{00000000-0005-0000-0000-0000E1060000}"/>
    <cellStyle name="Borders 2 6 2 3 8" xfId="34465" xr:uid="{00000000-0005-0000-0000-0000E2060000}"/>
    <cellStyle name="Borders 2 6 2 3 9" xfId="38247" xr:uid="{00000000-0005-0000-0000-0000E3060000}"/>
    <cellStyle name="Borders 2 6 2 4" xfId="5143" xr:uid="{00000000-0005-0000-0000-0000E4060000}"/>
    <cellStyle name="Borders 2 6 2 5" xfId="9499" xr:uid="{00000000-0005-0000-0000-0000E5060000}"/>
    <cellStyle name="Borders 2 6 2 6" xfId="13343" xr:uid="{00000000-0005-0000-0000-0000E6060000}"/>
    <cellStyle name="Borders 2 6 2 7" xfId="17171" xr:uid="{00000000-0005-0000-0000-0000E7060000}"/>
    <cellStyle name="Borders 2 6 2 8" xfId="21113" xr:uid="{00000000-0005-0000-0000-0000E8060000}"/>
    <cellStyle name="Borders 2 6 2 9" xfId="24924" xr:uid="{00000000-0005-0000-0000-0000E9060000}"/>
    <cellStyle name="Borders 2 6 3" xfId="1599" xr:uid="{00000000-0005-0000-0000-0000EA060000}"/>
    <cellStyle name="Borders 2 6 3 10" xfId="32886" xr:uid="{00000000-0005-0000-0000-0000EB060000}"/>
    <cellStyle name="Borders 2 6 3 11" xfId="36656" xr:uid="{00000000-0005-0000-0000-0000EC060000}"/>
    <cellStyle name="Borders 2 6 3 12" xfId="40647" xr:uid="{00000000-0005-0000-0000-0000ED060000}"/>
    <cellStyle name="Borders 2 6 3 13" xfId="44478" xr:uid="{00000000-0005-0000-0000-0000EE060000}"/>
    <cellStyle name="Borders 2 6 3 2" xfId="3589" xr:uid="{00000000-0005-0000-0000-0000EF060000}"/>
    <cellStyle name="Borders 2 6 3 2 10" xfId="42651" xr:uid="{00000000-0005-0000-0000-0000F0060000}"/>
    <cellStyle name="Borders 2 6 3 2 11" xfId="46416" xr:uid="{00000000-0005-0000-0000-0000F1060000}"/>
    <cellStyle name="Borders 2 6 3 2 2" xfId="7456" xr:uid="{00000000-0005-0000-0000-0000F2060000}"/>
    <cellStyle name="Borders 2 6 3 2 3" xfId="11891" xr:uid="{00000000-0005-0000-0000-0000F3060000}"/>
    <cellStyle name="Borders 2 6 3 2 4" xfId="15736" xr:uid="{00000000-0005-0000-0000-0000F4060000}"/>
    <cellStyle name="Borders 2 6 3 2 5" xfId="19583" xr:uid="{00000000-0005-0000-0000-0000F5060000}"/>
    <cellStyle name="Borders 2 6 3 2 6" xfId="23499" xr:uid="{00000000-0005-0000-0000-0000F6060000}"/>
    <cellStyle name="Borders 2 6 3 2 7" xfId="27333" xr:uid="{00000000-0005-0000-0000-0000F7060000}"/>
    <cellStyle name="Borders 2 6 3 2 8" xfId="34854" xr:uid="{00000000-0005-0000-0000-0000F8060000}"/>
    <cellStyle name="Borders 2 6 3 2 9" xfId="38640" xr:uid="{00000000-0005-0000-0000-0000F9060000}"/>
    <cellStyle name="Borders 2 6 3 3" xfId="5532" xr:uid="{00000000-0005-0000-0000-0000FA060000}"/>
    <cellStyle name="Borders 2 6 3 4" xfId="9890" xr:uid="{00000000-0005-0000-0000-0000FB060000}"/>
    <cellStyle name="Borders 2 6 3 5" xfId="13736" xr:uid="{00000000-0005-0000-0000-0000FC060000}"/>
    <cellStyle name="Borders 2 6 3 6" xfId="17565" xr:uid="{00000000-0005-0000-0000-0000FD060000}"/>
    <cellStyle name="Borders 2 6 3 7" xfId="21504" xr:uid="{00000000-0005-0000-0000-0000FE060000}"/>
    <cellStyle name="Borders 2 6 3 8" xfId="25317" xr:uid="{00000000-0005-0000-0000-0000FF060000}"/>
    <cellStyle name="Borders 2 6 3 9" xfId="29204" xr:uid="{00000000-0005-0000-0000-000000070000}"/>
    <cellStyle name="Borders 2 6 4" xfId="2858" xr:uid="{00000000-0005-0000-0000-000001070000}"/>
    <cellStyle name="Borders 2 6 4 10" xfId="41922" xr:uid="{00000000-0005-0000-0000-000002070000}"/>
    <cellStyle name="Borders 2 6 4 11" xfId="45699" xr:uid="{00000000-0005-0000-0000-000003070000}"/>
    <cellStyle name="Borders 2 6 4 2" xfId="6738" xr:uid="{00000000-0005-0000-0000-000004070000}"/>
    <cellStyle name="Borders 2 6 4 3" xfId="11165" xr:uid="{00000000-0005-0000-0000-000005070000}"/>
    <cellStyle name="Borders 2 6 4 4" xfId="15010" xr:uid="{00000000-0005-0000-0000-000006070000}"/>
    <cellStyle name="Borders 2 6 4 5" xfId="18852" xr:uid="{00000000-0005-0000-0000-000007070000}"/>
    <cellStyle name="Borders 2 6 4 6" xfId="22778" xr:uid="{00000000-0005-0000-0000-000008070000}"/>
    <cellStyle name="Borders 2 6 4 7" xfId="26603" xr:uid="{00000000-0005-0000-0000-000009070000}"/>
    <cellStyle name="Borders 2 6 4 8" xfId="34137" xr:uid="{00000000-0005-0000-0000-00000A070000}"/>
    <cellStyle name="Borders 2 6 4 9" xfId="37910" xr:uid="{00000000-0005-0000-0000-00000B070000}"/>
    <cellStyle name="Borders 2 6 5" xfId="4814" xr:uid="{00000000-0005-0000-0000-00000C070000}"/>
    <cellStyle name="Borders 2 6 6" xfId="9168" xr:uid="{00000000-0005-0000-0000-00000D070000}"/>
    <cellStyle name="Borders 2 6 7" xfId="13009" xr:uid="{00000000-0005-0000-0000-00000E070000}"/>
    <cellStyle name="Borders 2 6 8" xfId="16834" xr:uid="{00000000-0005-0000-0000-00000F070000}"/>
    <cellStyle name="Borders 2 6 9" xfId="20776" xr:uid="{00000000-0005-0000-0000-000010070000}"/>
    <cellStyle name="Borders 2 7" xfId="914" xr:uid="{00000000-0005-0000-0000-000011070000}"/>
    <cellStyle name="Borders 2 7 10" xfId="32215" xr:uid="{00000000-0005-0000-0000-000012070000}"/>
    <cellStyle name="Borders 2 7 11" xfId="35972" xr:uid="{00000000-0005-0000-0000-000013070000}"/>
    <cellStyle name="Borders 2 7 12" xfId="43798" xr:uid="{00000000-0005-0000-0000-000014070000}"/>
    <cellStyle name="Borders 2 7 2" xfId="1645" xr:uid="{00000000-0005-0000-0000-000015070000}"/>
    <cellStyle name="Borders 2 7 2 10" xfId="32932" xr:uid="{00000000-0005-0000-0000-000016070000}"/>
    <cellStyle name="Borders 2 7 2 11" xfId="36702" xr:uid="{00000000-0005-0000-0000-000017070000}"/>
    <cellStyle name="Borders 2 7 2 12" xfId="40693" xr:uid="{00000000-0005-0000-0000-000018070000}"/>
    <cellStyle name="Borders 2 7 2 13" xfId="44524" xr:uid="{00000000-0005-0000-0000-000019070000}"/>
    <cellStyle name="Borders 2 7 2 2" xfId="3635" xr:uid="{00000000-0005-0000-0000-00001A070000}"/>
    <cellStyle name="Borders 2 7 2 2 10" xfId="42697" xr:uid="{00000000-0005-0000-0000-00001B070000}"/>
    <cellStyle name="Borders 2 7 2 2 11" xfId="46462" xr:uid="{00000000-0005-0000-0000-00001C070000}"/>
    <cellStyle name="Borders 2 7 2 2 2" xfId="7502" xr:uid="{00000000-0005-0000-0000-00001D070000}"/>
    <cellStyle name="Borders 2 7 2 2 3" xfId="11937" xr:uid="{00000000-0005-0000-0000-00001E070000}"/>
    <cellStyle name="Borders 2 7 2 2 4" xfId="15782" xr:uid="{00000000-0005-0000-0000-00001F070000}"/>
    <cellStyle name="Borders 2 7 2 2 5" xfId="19629" xr:uid="{00000000-0005-0000-0000-000020070000}"/>
    <cellStyle name="Borders 2 7 2 2 6" xfId="23545" xr:uid="{00000000-0005-0000-0000-000021070000}"/>
    <cellStyle name="Borders 2 7 2 2 7" xfId="27379" xr:uid="{00000000-0005-0000-0000-000022070000}"/>
    <cellStyle name="Borders 2 7 2 2 8" xfId="34900" xr:uid="{00000000-0005-0000-0000-000023070000}"/>
    <cellStyle name="Borders 2 7 2 2 9" xfId="38686" xr:uid="{00000000-0005-0000-0000-000024070000}"/>
    <cellStyle name="Borders 2 7 2 3" xfId="5578" xr:uid="{00000000-0005-0000-0000-000025070000}"/>
    <cellStyle name="Borders 2 7 2 4" xfId="9936" xr:uid="{00000000-0005-0000-0000-000026070000}"/>
    <cellStyle name="Borders 2 7 2 5" xfId="13782" xr:uid="{00000000-0005-0000-0000-000027070000}"/>
    <cellStyle name="Borders 2 7 2 6" xfId="17611" xr:uid="{00000000-0005-0000-0000-000028070000}"/>
    <cellStyle name="Borders 2 7 2 7" xfId="21550" xr:uid="{00000000-0005-0000-0000-000029070000}"/>
    <cellStyle name="Borders 2 7 2 8" xfId="25363" xr:uid="{00000000-0005-0000-0000-00002A070000}"/>
    <cellStyle name="Borders 2 7 2 9" xfId="29250" xr:uid="{00000000-0005-0000-0000-00002B070000}"/>
    <cellStyle name="Borders 2 7 3" xfId="2904" xr:uid="{00000000-0005-0000-0000-00002C070000}"/>
    <cellStyle name="Borders 2 7 3 10" xfId="41968" xr:uid="{00000000-0005-0000-0000-00002D070000}"/>
    <cellStyle name="Borders 2 7 3 11" xfId="45745" xr:uid="{00000000-0005-0000-0000-00002E070000}"/>
    <cellStyle name="Borders 2 7 3 2" xfId="6784" xr:uid="{00000000-0005-0000-0000-00002F070000}"/>
    <cellStyle name="Borders 2 7 3 3" xfId="11211" xr:uid="{00000000-0005-0000-0000-000030070000}"/>
    <cellStyle name="Borders 2 7 3 4" xfId="15056" xr:uid="{00000000-0005-0000-0000-000031070000}"/>
    <cellStyle name="Borders 2 7 3 5" xfId="18898" xr:uid="{00000000-0005-0000-0000-000032070000}"/>
    <cellStyle name="Borders 2 7 3 6" xfId="22824" xr:uid="{00000000-0005-0000-0000-000033070000}"/>
    <cellStyle name="Borders 2 7 3 7" xfId="26649" xr:uid="{00000000-0005-0000-0000-000034070000}"/>
    <cellStyle name="Borders 2 7 3 8" xfId="34183" xr:uid="{00000000-0005-0000-0000-000035070000}"/>
    <cellStyle name="Borders 2 7 3 9" xfId="37956" xr:uid="{00000000-0005-0000-0000-000036070000}"/>
    <cellStyle name="Borders 2 7 4" xfId="4860" xr:uid="{00000000-0005-0000-0000-000037070000}"/>
    <cellStyle name="Borders 2 7 5" xfId="9214" xr:uid="{00000000-0005-0000-0000-000038070000}"/>
    <cellStyle name="Borders 2 7 6" xfId="13055" xr:uid="{00000000-0005-0000-0000-000039070000}"/>
    <cellStyle name="Borders 2 7 7" xfId="16880" xr:uid="{00000000-0005-0000-0000-00003A070000}"/>
    <cellStyle name="Borders 2 7 8" xfId="20822" xr:uid="{00000000-0005-0000-0000-00003B070000}"/>
    <cellStyle name="Borders 2 7 9" xfId="24638" xr:uid="{00000000-0005-0000-0000-00003C070000}"/>
    <cellStyle name="Borders 2 8" xfId="1292" xr:uid="{00000000-0005-0000-0000-00003D070000}"/>
    <cellStyle name="Borders 2 8 10" xfId="36349" xr:uid="{00000000-0005-0000-0000-00003E070000}"/>
    <cellStyle name="Borders 2 8 11" xfId="44171" xr:uid="{00000000-0005-0000-0000-00003F070000}"/>
    <cellStyle name="Borders 2 8 2" xfId="3282" xr:uid="{00000000-0005-0000-0000-000040070000}"/>
    <cellStyle name="Borders 2 8 2 10" xfId="42344" xr:uid="{00000000-0005-0000-0000-000041070000}"/>
    <cellStyle name="Borders 2 8 2 11" xfId="46109" xr:uid="{00000000-0005-0000-0000-000042070000}"/>
    <cellStyle name="Borders 2 8 2 2" xfId="7149" xr:uid="{00000000-0005-0000-0000-000043070000}"/>
    <cellStyle name="Borders 2 8 2 3" xfId="11584" xr:uid="{00000000-0005-0000-0000-000044070000}"/>
    <cellStyle name="Borders 2 8 2 4" xfId="15429" xr:uid="{00000000-0005-0000-0000-000045070000}"/>
    <cellStyle name="Borders 2 8 2 5" xfId="19276" xr:uid="{00000000-0005-0000-0000-000046070000}"/>
    <cellStyle name="Borders 2 8 2 6" xfId="23192" xr:uid="{00000000-0005-0000-0000-000047070000}"/>
    <cellStyle name="Borders 2 8 2 7" xfId="27026" xr:uid="{00000000-0005-0000-0000-000048070000}"/>
    <cellStyle name="Borders 2 8 2 8" xfId="34547" xr:uid="{00000000-0005-0000-0000-000049070000}"/>
    <cellStyle name="Borders 2 8 2 9" xfId="38333" xr:uid="{00000000-0005-0000-0000-00004A070000}"/>
    <cellStyle name="Borders 2 8 3" xfId="5225" xr:uid="{00000000-0005-0000-0000-00004B070000}"/>
    <cellStyle name="Borders 2 8 4" xfId="9583" xr:uid="{00000000-0005-0000-0000-00004C070000}"/>
    <cellStyle name="Borders 2 8 5" xfId="13429" xr:uid="{00000000-0005-0000-0000-00004D070000}"/>
    <cellStyle name="Borders 2 8 6" xfId="17258" xr:uid="{00000000-0005-0000-0000-00004E070000}"/>
    <cellStyle name="Borders 2 8 7" xfId="21197" xr:uid="{00000000-0005-0000-0000-00004F070000}"/>
    <cellStyle name="Borders 2 8 8" xfId="25010" xr:uid="{00000000-0005-0000-0000-000050070000}"/>
    <cellStyle name="Borders 2 8 9" xfId="32579" xr:uid="{00000000-0005-0000-0000-000051070000}"/>
    <cellStyle name="Borders 2 9" xfId="2184" xr:uid="{00000000-0005-0000-0000-000052070000}"/>
    <cellStyle name="Borders 2 9 10" xfId="33485" xr:uid="{00000000-0005-0000-0000-000053070000}"/>
    <cellStyle name="Borders 2 9 11" xfId="37236" xr:uid="{00000000-0005-0000-0000-000054070000}"/>
    <cellStyle name="Borders 2 9 12" xfId="41252" xr:uid="{00000000-0005-0000-0000-000055070000}"/>
    <cellStyle name="Borders 2 9 13" xfId="45047" xr:uid="{00000000-0005-0000-0000-000056070000}"/>
    <cellStyle name="Borders 2 9 2" xfId="4167" xr:uid="{00000000-0005-0000-0000-000057070000}"/>
    <cellStyle name="Borders 2 9 2 10" xfId="39218" xr:uid="{00000000-0005-0000-0000-000058070000}"/>
    <cellStyle name="Borders 2 9 2 11" xfId="43228" xr:uid="{00000000-0005-0000-0000-000059070000}"/>
    <cellStyle name="Borders 2 9 2 12" xfId="46985" xr:uid="{00000000-0005-0000-0000-00005A070000}"/>
    <cellStyle name="Borders 2 9 2 2" xfId="8026" xr:uid="{00000000-0005-0000-0000-00005B070000}"/>
    <cellStyle name="Borders 2 9 2 3" xfId="12466" xr:uid="{00000000-0005-0000-0000-00005C070000}"/>
    <cellStyle name="Borders 2 9 2 4" xfId="16311" xr:uid="{00000000-0005-0000-0000-00005D070000}"/>
    <cellStyle name="Borders 2 9 2 5" xfId="20161" xr:uid="{00000000-0005-0000-0000-00005E070000}"/>
    <cellStyle name="Borders 2 9 2 6" xfId="24073" xr:uid="{00000000-0005-0000-0000-00005F070000}"/>
    <cellStyle name="Borders 2 9 2 7" xfId="27911" xr:uid="{00000000-0005-0000-0000-000060070000}"/>
    <cellStyle name="Borders 2 9 2 8" xfId="31770" xr:uid="{00000000-0005-0000-0000-000061070000}"/>
    <cellStyle name="Borders 2 9 2 9" xfId="35423" xr:uid="{00000000-0005-0000-0000-000062070000}"/>
    <cellStyle name="Borders 2 9 3" xfId="6098" xr:uid="{00000000-0005-0000-0000-000063070000}"/>
    <cellStyle name="Borders 2 9 4" xfId="10501" xr:uid="{00000000-0005-0000-0000-000064070000}"/>
    <cellStyle name="Borders 2 9 5" xfId="14347" xr:uid="{00000000-0005-0000-0000-000065070000}"/>
    <cellStyle name="Borders 2 9 6" xfId="18178" xr:uid="{00000000-0005-0000-0000-000066070000}"/>
    <cellStyle name="Borders 2 9 7" xfId="22117" xr:uid="{00000000-0005-0000-0000-000067070000}"/>
    <cellStyle name="Borders 2 9 8" xfId="25929" xr:uid="{00000000-0005-0000-0000-000068070000}"/>
    <cellStyle name="Borders 2 9 9" xfId="29809" xr:uid="{00000000-0005-0000-0000-000069070000}"/>
    <cellStyle name="Borders 3" xfId="575" xr:uid="{00000000-0005-0000-0000-00006A070000}"/>
    <cellStyle name="Borders 3 10" xfId="2225" xr:uid="{00000000-0005-0000-0000-00006B070000}"/>
    <cellStyle name="Borders 3 10 10" xfId="33526" xr:uid="{00000000-0005-0000-0000-00006C070000}"/>
    <cellStyle name="Borders 3 10 11" xfId="37277" xr:uid="{00000000-0005-0000-0000-00006D070000}"/>
    <cellStyle name="Borders 3 10 12" xfId="41293" xr:uid="{00000000-0005-0000-0000-00006E070000}"/>
    <cellStyle name="Borders 3 10 13" xfId="45088" xr:uid="{00000000-0005-0000-0000-00006F070000}"/>
    <cellStyle name="Borders 3 10 2" xfId="4208" xr:uid="{00000000-0005-0000-0000-000070070000}"/>
    <cellStyle name="Borders 3 10 2 10" xfId="39259" xr:uid="{00000000-0005-0000-0000-000071070000}"/>
    <cellStyle name="Borders 3 10 2 11" xfId="43269" xr:uid="{00000000-0005-0000-0000-000072070000}"/>
    <cellStyle name="Borders 3 10 2 12" xfId="47026" xr:uid="{00000000-0005-0000-0000-000073070000}"/>
    <cellStyle name="Borders 3 10 2 2" xfId="8067" xr:uid="{00000000-0005-0000-0000-000074070000}"/>
    <cellStyle name="Borders 3 10 2 3" xfId="12507" xr:uid="{00000000-0005-0000-0000-000075070000}"/>
    <cellStyle name="Borders 3 10 2 4" xfId="16352" xr:uid="{00000000-0005-0000-0000-000076070000}"/>
    <cellStyle name="Borders 3 10 2 5" xfId="20202" xr:uid="{00000000-0005-0000-0000-000077070000}"/>
    <cellStyle name="Borders 3 10 2 6" xfId="24114" xr:uid="{00000000-0005-0000-0000-000078070000}"/>
    <cellStyle name="Borders 3 10 2 7" xfId="27952" xr:uid="{00000000-0005-0000-0000-000079070000}"/>
    <cellStyle name="Borders 3 10 2 8" xfId="31811" xr:uid="{00000000-0005-0000-0000-00007A070000}"/>
    <cellStyle name="Borders 3 10 2 9" xfId="35464" xr:uid="{00000000-0005-0000-0000-00007B070000}"/>
    <cellStyle name="Borders 3 10 3" xfId="6139" xr:uid="{00000000-0005-0000-0000-00007C070000}"/>
    <cellStyle name="Borders 3 10 4" xfId="10542" xr:uid="{00000000-0005-0000-0000-00007D070000}"/>
    <cellStyle name="Borders 3 10 5" xfId="14388" xr:uid="{00000000-0005-0000-0000-00007E070000}"/>
    <cellStyle name="Borders 3 10 6" xfId="18219" xr:uid="{00000000-0005-0000-0000-00007F070000}"/>
    <cellStyle name="Borders 3 10 7" xfId="22158" xr:uid="{00000000-0005-0000-0000-000080070000}"/>
    <cellStyle name="Borders 3 10 8" xfId="25970" xr:uid="{00000000-0005-0000-0000-000081070000}"/>
    <cellStyle name="Borders 3 10 9" xfId="29850" xr:uid="{00000000-0005-0000-0000-000082070000}"/>
    <cellStyle name="Borders 3 11" xfId="2283" xr:uid="{00000000-0005-0000-0000-000083070000}"/>
    <cellStyle name="Borders 3 11 10" xfId="37335" xr:uid="{00000000-0005-0000-0000-000084070000}"/>
    <cellStyle name="Borders 3 11 11" xfId="41351" xr:uid="{00000000-0005-0000-0000-000085070000}"/>
    <cellStyle name="Borders 3 11 12" xfId="45146" xr:uid="{00000000-0005-0000-0000-000086070000}"/>
    <cellStyle name="Borders 3 11 2" xfId="4266" xr:uid="{00000000-0005-0000-0000-000087070000}"/>
    <cellStyle name="Borders 3 11 2 10" xfId="43327" xr:uid="{00000000-0005-0000-0000-000088070000}"/>
    <cellStyle name="Borders 3 11 2 11" xfId="47084" xr:uid="{00000000-0005-0000-0000-000089070000}"/>
    <cellStyle name="Borders 3 11 2 2" xfId="8125" xr:uid="{00000000-0005-0000-0000-00008A070000}"/>
    <cellStyle name="Borders 3 11 2 3" xfId="12565" xr:uid="{00000000-0005-0000-0000-00008B070000}"/>
    <cellStyle name="Borders 3 11 2 4" xfId="16410" xr:uid="{00000000-0005-0000-0000-00008C070000}"/>
    <cellStyle name="Borders 3 11 2 5" xfId="20260" xr:uid="{00000000-0005-0000-0000-00008D070000}"/>
    <cellStyle name="Borders 3 11 2 6" xfId="24172" xr:uid="{00000000-0005-0000-0000-00008E070000}"/>
    <cellStyle name="Borders 3 11 2 7" xfId="28010" xr:uid="{00000000-0005-0000-0000-00008F070000}"/>
    <cellStyle name="Borders 3 11 2 8" xfId="35522" xr:uid="{00000000-0005-0000-0000-000090070000}"/>
    <cellStyle name="Borders 3 11 2 9" xfId="39317" xr:uid="{00000000-0005-0000-0000-000091070000}"/>
    <cellStyle name="Borders 3 11 3" xfId="6197" xr:uid="{00000000-0005-0000-0000-000092070000}"/>
    <cellStyle name="Borders 3 11 4" xfId="10600" xr:uid="{00000000-0005-0000-0000-000093070000}"/>
    <cellStyle name="Borders 3 11 5" xfId="14446" xr:uid="{00000000-0005-0000-0000-000094070000}"/>
    <cellStyle name="Borders 3 11 6" xfId="18277" xr:uid="{00000000-0005-0000-0000-000095070000}"/>
    <cellStyle name="Borders 3 11 7" xfId="22216" xr:uid="{00000000-0005-0000-0000-000096070000}"/>
    <cellStyle name="Borders 3 11 8" xfId="26028" xr:uid="{00000000-0005-0000-0000-000097070000}"/>
    <cellStyle name="Borders 3 11 9" xfId="33584" xr:uid="{00000000-0005-0000-0000-000098070000}"/>
    <cellStyle name="Borders 3 12" xfId="2340" xr:uid="{00000000-0005-0000-0000-000099070000}"/>
    <cellStyle name="Borders 3 12 10" xfId="37392" xr:uid="{00000000-0005-0000-0000-00009A070000}"/>
    <cellStyle name="Borders 3 12 11" xfId="41408" xr:uid="{00000000-0005-0000-0000-00009B070000}"/>
    <cellStyle name="Borders 3 12 12" xfId="45201" xr:uid="{00000000-0005-0000-0000-00009C070000}"/>
    <cellStyle name="Borders 3 12 2" xfId="4323" xr:uid="{00000000-0005-0000-0000-00009D070000}"/>
    <cellStyle name="Borders 3 12 2 10" xfId="43384" xr:uid="{00000000-0005-0000-0000-00009E070000}"/>
    <cellStyle name="Borders 3 12 2 11" xfId="47139" xr:uid="{00000000-0005-0000-0000-00009F070000}"/>
    <cellStyle name="Borders 3 12 2 2" xfId="8180" xr:uid="{00000000-0005-0000-0000-0000A0070000}"/>
    <cellStyle name="Borders 3 12 2 3" xfId="12622" xr:uid="{00000000-0005-0000-0000-0000A1070000}"/>
    <cellStyle name="Borders 3 12 2 4" xfId="16466" xr:uid="{00000000-0005-0000-0000-0000A2070000}"/>
    <cellStyle name="Borders 3 12 2 5" xfId="20317" xr:uid="{00000000-0005-0000-0000-0000A3070000}"/>
    <cellStyle name="Borders 3 12 2 6" xfId="24228" xr:uid="{00000000-0005-0000-0000-0000A4070000}"/>
    <cellStyle name="Borders 3 12 2 7" xfId="28067" xr:uid="{00000000-0005-0000-0000-0000A5070000}"/>
    <cellStyle name="Borders 3 12 2 8" xfId="35577" xr:uid="{00000000-0005-0000-0000-0000A6070000}"/>
    <cellStyle name="Borders 3 12 2 9" xfId="39374" xr:uid="{00000000-0005-0000-0000-0000A7070000}"/>
    <cellStyle name="Borders 3 12 3" xfId="6252" xr:uid="{00000000-0005-0000-0000-0000A8070000}"/>
    <cellStyle name="Borders 3 12 4" xfId="10657" xr:uid="{00000000-0005-0000-0000-0000A9070000}"/>
    <cellStyle name="Borders 3 12 5" xfId="14502" xr:uid="{00000000-0005-0000-0000-0000AA070000}"/>
    <cellStyle name="Borders 3 12 6" xfId="18334" xr:uid="{00000000-0005-0000-0000-0000AB070000}"/>
    <cellStyle name="Borders 3 12 7" xfId="22272" xr:uid="{00000000-0005-0000-0000-0000AC070000}"/>
    <cellStyle name="Borders 3 12 8" xfId="26085" xr:uid="{00000000-0005-0000-0000-0000AD070000}"/>
    <cellStyle name="Borders 3 12 9" xfId="33639" xr:uid="{00000000-0005-0000-0000-0000AE070000}"/>
    <cellStyle name="Borders 3 13" xfId="2405" xr:uid="{00000000-0005-0000-0000-0000AF070000}"/>
    <cellStyle name="Borders 3 13 10" xfId="37457" xr:uid="{00000000-0005-0000-0000-0000B0070000}"/>
    <cellStyle name="Borders 3 13 11" xfId="41472" xr:uid="{00000000-0005-0000-0000-0000B1070000}"/>
    <cellStyle name="Borders 3 13 12" xfId="45265" xr:uid="{00000000-0005-0000-0000-0000B2070000}"/>
    <cellStyle name="Borders 3 13 2" xfId="4388" xr:uid="{00000000-0005-0000-0000-0000B3070000}"/>
    <cellStyle name="Borders 3 13 2 10" xfId="39439" xr:uid="{00000000-0005-0000-0000-0000B4070000}"/>
    <cellStyle name="Borders 3 13 2 11" xfId="43448" xr:uid="{00000000-0005-0000-0000-0000B5070000}"/>
    <cellStyle name="Borders 3 13 2 12" xfId="47203" xr:uid="{00000000-0005-0000-0000-0000B6070000}"/>
    <cellStyle name="Borders 3 13 2 2" xfId="8245" xr:uid="{00000000-0005-0000-0000-0000B7070000}"/>
    <cellStyle name="Borders 3 13 2 3" xfId="12686" xr:uid="{00000000-0005-0000-0000-0000B8070000}"/>
    <cellStyle name="Borders 3 13 2 4" xfId="16531" xr:uid="{00000000-0005-0000-0000-0000B9070000}"/>
    <cellStyle name="Borders 3 13 2 5" xfId="20382" xr:uid="{00000000-0005-0000-0000-0000BA070000}"/>
    <cellStyle name="Borders 3 13 2 6" xfId="24293" xr:uid="{00000000-0005-0000-0000-0000BB070000}"/>
    <cellStyle name="Borders 3 13 2 7" xfId="28132" xr:uid="{00000000-0005-0000-0000-0000BC070000}"/>
    <cellStyle name="Borders 3 13 2 8" xfId="31990" xr:uid="{00000000-0005-0000-0000-0000BD070000}"/>
    <cellStyle name="Borders 3 13 2 9" xfId="35641" xr:uid="{00000000-0005-0000-0000-0000BE070000}"/>
    <cellStyle name="Borders 3 13 3" xfId="6301" xr:uid="{00000000-0005-0000-0000-0000BF070000}"/>
    <cellStyle name="Borders 3 13 4" xfId="10721" xr:uid="{00000000-0005-0000-0000-0000C0070000}"/>
    <cellStyle name="Borders 3 13 5" xfId="14567" xr:uid="{00000000-0005-0000-0000-0000C1070000}"/>
    <cellStyle name="Borders 3 13 6" xfId="18399" xr:uid="{00000000-0005-0000-0000-0000C2070000}"/>
    <cellStyle name="Borders 3 13 7" xfId="22337" xr:uid="{00000000-0005-0000-0000-0000C3070000}"/>
    <cellStyle name="Borders 3 13 8" xfId="26150" xr:uid="{00000000-0005-0000-0000-0000C4070000}"/>
    <cellStyle name="Borders 3 13 9" xfId="33703" xr:uid="{00000000-0005-0000-0000-0000C5070000}"/>
    <cellStyle name="Borders 3 14" xfId="2457" xr:uid="{00000000-0005-0000-0000-0000C6070000}"/>
    <cellStyle name="Borders 3 14 10" xfId="33753" xr:uid="{00000000-0005-0000-0000-0000C7070000}"/>
    <cellStyle name="Borders 3 14 11" xfId="37509" xr:uid="{00000000-0005-0000-0000-0000C8070000}"/>
    <cellStyle name="Borders 3 14 12" xfId="41524" xr:uid="{00000000-0005-0000-0000-0000C9070000}"/>
    <cellStyle name="Borders 3 14 13" xfId="45315" xr:uid="{00000000-0005-0000-0000-0000CA070000}"/>
    <cellStyle name="Borders 3 14 2" xfId="4440" xr:uid="{00000000-0005-0000-0000-0000CB070000}"/>
    <cellStyle name="Borders 3 14 2 10" xfId="39491" xr:uid="{00000000-0005-0000-0000-0000CC070000}"/>
    <cellStyle name="Borders 3 14 2 11" xfId="43500" xr:uid="{00000000-0005-0000-0000-0000CD070000}"/>
    <cellStyle name="Borders 3 14 2 12" xfId="47253" xr:uid="{00000000-0005-0000-0000-0000CE070000}"/>
    <cellStyle name="Borders 3 14 2 2" xfId="8295" xr:uid="{00000000-0005-0000-0000-0000CF070000}"/>
    <cellStyle name="Borders 3 14 2 3" xfId="12738" xr:uid="{00000000-0005-0000-0000-0000D0070000}"/>
    <cellStyle name="Borders 3 14 2 4" xfId="16581" xr:uid="{00000000-0005-0000-0000-0000D1070000}"/>
    <cellStyle name="Borders 3 14 2 5" xfId="20434" xr:uid="{00000000-0005-0000-0000-0000D2070000}"/>
    <cellStyle name="Borders 3 14 2 6" xfId="24344" xr:uid="{00000000-0005-0000-0000-0000D3070000}"/>
    <cellStyle name="Borders 3 14 2 7" xfId="28184" xr:uid="{00000000-0005-0000-0000-0000D4070000}"/>
    <cellStyle name="Borders 3 14 2 8" xfId="32042" xr:uid="{00000000-0005-0000-0000-0000D5070000}"/>
    <cellStyle name="Borders 3 14 2 9" xfId="35691" xr:uid="{00000000-0005-0000-0000-0000D6070000}"/>
    <cellStyle name="Borders 3 14 3" xfId="6351" xr:uid="{00000000-0005-0000-0000-0000D7070000}"/>
    <cellStyle name="Borders 3 14 4" xfId="10773" xr:uid="{00000000-0005-0000-0000-0000D8070000}"/>
    <cellStyle name="Borders 3 14 5" xfId="14618" xr:uid="{00000000-0005-0000-0000-0000D9070000}"/>
    <cellStyle name="Borders 3 14 6" xfId="18451" xr:uid="{00000000-0005-0000-0000-0000DA070000}"/>
    <cellStyle name="Borders 3 14 7" xfId="22388" xr:uid="{00000000-0005-0000-0000-0000DB070000}"/>
    <cellStyle name="Borders 3 14 8" xfId="26202" xr:uid="{00000000-0005-0000-0000-0000DC070000}"/>
    <cellStyle name="Borders 3 14 9" xfId="30081" xr:uid="{00000000-0005-0000-0000-0000DD070000}"/>
    <cellStyle name="Borders 3 15" xfId="2511" xr:uid="{00000000-0005-0000-0000-0000DE070000}"/>
    <cellStyle name="Borders 3 15 10" xfId="41577" xr:uid="{00000000-0005-0000-0000-0000DF070000}"/>
    <cellStyle name="Borders 3 15 11" xfId="45366" xr:uid="{00000000-0005-0000-0000-0000E0070000}"/>
    <cellStyle name="Borders 3 15 2" xfId="6403" xr:uid="{00000000-0005-0000-0000-0000E1070000}"/>
    <cellStyle name="Borders 3 15 3" xfId="10826" xr:uid="{00000000-0005-0000-0000-0000E2070000}"/>
    <cellStyle name="Borders 3 15 4" xfId="14670" xr:uid="{00000000-0005-0000-0000-0000E3070000}"/>
    <cellStyle name="Borders 3 15 5" xfId="18505" xr:uid="{00000000-0005-0000-0000-0000E4070000}"/>
    <cellStyle name="Borders 3 15 6" xfId="22440" xr:uid="{00000000-0005-0000-0000-0000E5070000}"/>
    <cellStyle name="Borders 3 15 7" xfId="26256" xr:uid="{00000000-0005-0000-0000-0000E6070000}"/>
    <cellStyle name="Borders 3 15 8" xfId="33804" xr:uid="{00000000-0005-0000-0000-0000E7070000}"/>
    <cellStyle name="Borders 3 15 9" xfId="37563" xr:uid="{00000000-0005-0000-0000-0000E8070000}"/>
    <cellStyle name="Borders 3 16" xfId="2580" xr:uid="{00000000-0005-0000-0000-0000E9070000}"/>
    <cellStyle name="Borders 3 16 10" xfId="37632" xr:uid="{00000000-0005-0000-0000-0000EA070000}"/>
    <cellStyle name="Borders 3 16 11" xfId="41646" xr:uid="{00000000-0005-0000-0000-0000EB070000}"/>
    <cellStyle name="Borders 3 16 12" xfId="45435" xr:uid="{00000000-0005-0000-0000-0000EC070000}"/>
    <cellStyle name="Borders 3 16 2" xfId="6472" xr:uid="{00000000-0005-0000-0000-0000ED070000}"/>
    <cellStyle name="Borders 3 16 3" xfId="10895" xr:uid="{00000000-0005-0000-0000-0000EE070000}"/>
    <cellStyle name="Borders 3 16 4" xfId="14739" xr:uid="{00000000-0005-0000-0000-0000EF070000}"/>
    <cellStyle name="Borders 3 16 5" xfId="18574" xr:uid="{00000000-0005-0000-0000-0000F0070000}"/>
    <cellStyle name="Borders 3 16 6" xfId="22509" xr:uid="{00000000-0005-0000-0000-0000F1070000}"/>
    <cellStyle name="Borders 3 16 7" xfId="26325" xr:uid="{00000000-0005-0000-0000-0000F2070000}"/>
    <cellStyle name="Borders 3 16 8" xfId="30204" xr:uid="{00000000-0005-0000-0000-0000F3070000}"/>
    <cellStyle name="Borders 3 16 9" xfId="33873" xr:uid="{00000000-0005-0000-0000-0000F4070000}"/>
    <cellStyle name="Borders 3 17" xfId="4548" xr:uid="{00000000-0005-0000-0000-0000F5070000}"/>
    <cellStyle name="Borders 3 18" xfId="8356" xr:uid="{00000000-0005-0000-0000-0000F6070000}"/>
    <cellStyle name="Borders 3 19" xfId="8765" xr:uid="{00000000-0005-0000-0000-0000F7070000}"/>
    <cellStyle name="Borders 3 2" xfId="709" xr:uid="{00000000-0005-0000-0000-0000F8070000}"/>
    <cellStyle name="Borders 3 2 10" xfId="24443" xr:uid="{00000000-0005-0000-0000-0000F9070000}"/>
    <cellStyle name="Borders 3 2 11" xfId="31882" xr:uid="{00000000-0005-0000-0000-0000FA070000}"/>
    <cellStyle name="Borders 3 2 12" xfId="35780" xr:uid="{00000000-0005-0000-0000-0000FB070000}"/>
    <cellStyle name="Borders 3 2 13" xfId="43606" xr:uid="{00000000-0005-0000-0000-0000FC070000}"/>
    <cellStyle name="Borders 3 2 2" xfId="1089" xr:uid="{00000000-0005-0000-0000-0000FD070000}"/>
    <cellStyle name="Borders 3 2 2 10" xfId="32386" xr:uid="{00000000-0005-0000-0000-0000FE070000}"/>
    <cellStyle name="Borders 3 2 2 11" xfId="36147" xr:uid="{00000000-0005-0000-0000-0000FF070000}"/>
    <cellStyle name="Borders 3 2 2 12" xfId="43973" xr:uid="{00000000-0005-0000-0000-000000080000}"/>
    <cellStyle name="Borders 3 2 2 2" xfId="1816" xr:uid="{00000000-0005-0000-0000-000001080000}"/>
    <cellStyle name="Borders 3 2 2 2 10" xfId="33103" xr:uid="{00000000-0005-0000-0000-000002080000}"/>
    <cellStyle name="Borders 3 2 2 2 11" xfId="36873" xr:uid="{00000000-0005-0000-0000-000003080000}"/>
    <cellStyle name="Borders 3 2 2 2 12" xfId="40864" xr:uid="{00000000-0005-0000-0000-000004080000}"/>
    <cellStyle name="Borders 3 2 2 2 13" xfId="44695" xr:uid="{00000000-0005-0000-0000-000005080000}"/>
    <cellStyle name="Borders 3 2 2 2 2" xfId="3806" xr:uid="{00000000-0005-0000-0000-000006080000}"/>
    <cellStyle name="Borders 3 2 2 2 2 10" xfId="42868" xr:uid="{00000000-0005-0000-0000-000007080000}"/>
    <cellStyle name="Borders 3 2 2 2 2 11" xfId="46633" xr:uid="{00000000-0005-0000-0000-000008080000}"/>
    <cellStyle name="Borders 3 2 2 2 2 2" xfId="7673" xr:uid="{00000000-0005-0000-0000-000009080000}"/>
    <cellStyle name="Borders 3 2 2 2 2 3" xfId="12108" xr:uid="{00000000-0005-0000-0000-00000A080000}"/>
    <cellStyle name="Borders 3 2 2 2 2 4" xfId="15953" xr:uid="{00000000-0005-0000-0000-00000B080000}"/>
    <cellStyle name="Borders 3 2 2 2 2 5" xfId="19800" xr:uid="{00000000-0005-0000-0000-00000C080000}"/>
    <cellStyle name="Borders 3 2 2 2 2 6" xfId="23716" xr:uid="{00000000-0005-0000-0000-00000D080000}"/>
    <cellStyle name="Borders 3 2 2 2 2 7" xfId="27550" xr:uid="{00000000-0005-0000-0000-00000E080000}"/>
    <cellStyle name="Borders 3 2 2 2 2 8" xfId="35071" xr:uid="{00000000-0005-0000-0000-00000F080000}"/>
    <cellStyle name="Borders 3 2 2 2 2 9" xfId="38857" xr:uid="{00000000-0005-0000-0000-000010080000}"/>
    <cellStyle name="Borders 3 2 2 2 3" xfId="5749" xr:uid="{00000000-0005-0000-0000-000011080000}"/>
    <cellStyle name="Borders 3 2 2 2 4" xfId="10107" xr:uid="{00000000-0005-0000-0000-000012080000}"/>
    <cellStyle name="Borders 3 2 2 2 5" xfId="13953" xr:uid="{00000000-0005-0000-0000-000013080000}"/>
    <cellStyle name="Borders 3 2 2 2 6" xfId="17782" xr:uid="{00000000-0005-0000-0000-000014080000}"/>
    <cellStyle name="Borders 3 2 2 2 7" xfId="21721" xr:uid="{00000000-0005-0000-0000-000015080000}"/>
    <cellStyle name="Borders 3 2 2 2 8" xfId="25534" xr:uid="{00000000-0005-0000-0000-000016080000}"/>
    <cellStyle name="Borders 3 2 2 2 9" xfId="29421" xr:uid="{00000000-0005-0000-0000-000017080000}"/>
    <cellStyle name="Borders 3 2 2 3" xfId="3079" xr:uid="{00000000-0005-0000-0000-000018080000}"/>
    <cellStyle name="Borders 3 2 2 3 10" xfId="42143" xr:uid="{00000000-0005-0000-0000-000019080000}"/>
    <cellStyle name="Borders 3 2 2 3 11" xfId="45916" xr:uid="{00000000-0005-0000-0000-00001A080000}"/>
    <cellStyle name="Borders 3 2 2 3 2" xfId="6955" xr:uid="{00000000-0005-0000-0000-00001B080000}"/>
    <cellStyle name="Borders 3 2 2 3 3" xfId="11384" xr:uid="{00000000-0005-0000-0000-00001C080000}"/>
    <cellStyle name="Borders 3 2 2 3 4" xfId="15228" xr:uid="{00000000-0005-0000-0000-00001D080000}"/>
    <cellStyle name="Borders 3 2 2 3 5" xfId="19073" xr:uid="{00000000-0005-0000-0000-00001E080000}"/>
    <cellStyle name="Borders 3 2 2 3 6" xfId="22995" xr:uid="{00000000-0005-0000-0000-00001F080000}"/>
    <cellStyle name="Borders 3 2 2 3 7" xfId="26824" xr:uid="{00000000-0005-0000-0000-000020080000}"/>
    <cellStyle name="Borders 3 2 2 3 8" xfId="34354" xr:uid="{00000000-0005-0000-0000-000021080000}"/>
    <cellStyle name="Borders 3 2 2 3 9" xfId="38131" xr:uid="{00000000-0005-0000-0000-000022080000}"/>
    <cellStyle name="Borders 3 2 2 4" xfId="5031" xr:uid="{00000000-0005-0000-0000-000023080000}"/>
    <cellStyle name="Borders 3 2 2 5" xfId="9387" xr:uid="{00000000-0005-0000-0000-000024080000}"/>
    <cellStyle name="Borders 3 2 2 6" xfId="13227" xr:uid="{00000000-0005-0000-0000-000025080000}"/>
    <cellStyle name="Borders 3 2 2 7" xfId="17055" xr:uid="{00000000-0005-0000-0000-000026080000}"/>
    <cellStyle name="Borders 3 2 2 8" xfId="20997" xr:uid="{00000000-0005-0000-0000-000027080000}"/>
    <cellStyle name="Borders 3 2 2 9" xfId="24811" xr:uid="{00000000-0005-0000-0000-000028080000}"/>
    <cellStyle name="Borders 3 2 3" xfId="1463" xr:uid="{00000000-0005-0000-0000-000029080000}"/>
    <cellStyle name="Borders 3 2 3 10" xfId="32750" xr:uid="{00000000-0005-0000-0000-00002A080000}"/>
    <cellStyle name="Borders 3 2 3 11" xfId="36520" xr:uid="{00000000-0005-0000-0000-00002B080000}"/>
    <cellStyle name="Borders 3 2 3 12" xfId="40511" xr:uid="{00000000-0005-0000-0000-00002C080000}"/>
    <cellStyle name="Borders 3 2 3 13" xfId="44342" xr:uid="{00000000-0005-0000-0000-00002D080000}"/>
    <cellStyle name="Borders 3 2 3 2" xfId="3453" xr:uid="{00000000-0005-0000-0000-00002E080000}"/>
    <cellStyle name="Borders 3 2 3 2 10" xfId="42515" xr:uid="{00000000-0005-0000-0000-00002F080000}"/>
    <cellStyle name="Borders 3 2 3 2 11" xfId="46280" xr:uid="{00000000-0005-0000-0000-000030080000}"/>
    <cellStyle name="Borders 3 2 3 2 2" xfId="7320" xr:uid="{00000000-0005-0000-0000-000031080000}"/>
    <cellStyle name="Borders 3 2 3 2 3" xfId="11755" xr:uid="{00000000-0005-0000-0000-000032080000}"/>
    <cellStyle name="Borders 3 2 3 2 4" xfId="15600" xr:uid="{00000000-0005-0000-0000-000033080000}"/>
    <cellStyle name="Borders 3 2 3 2 5" xfId="19447" xr:uid="{00000000-0005-0000-0000-000034080000}"/>
    <cellStyle name="Borders 3 2 3 2 6" xfId="23363" xr:uid="{00000000-0005-0000-0000-000035080000}"/>
    <cellStyle name="Borders 3 2 3 2 7" xfId="27197" xr:uid="{00000000-0005-0000-0000-000036080000}"/>
    <cellStyle name="Borders 3 2 3 2 8" xfId="34718" xr:uid="{00000000-0005-0000-0000-000037080000}"/>
    <cellStyle name="Borders 3 2 3 2 9" xfId="38504" xr:uid="{00000000-0005-0000-0000-000038080000}"/>
    <cellStyle name="Borders 3 2 3 3" xfId="5396" xr:uid="{00000000-0005-0000-0000-000039080000}"/>
    <cellStyle name="Borders 3 2 3 4" xfId="9754" xr:uid="{00000000-0005-0000-0000-00003A080000}"/>
    <cellStyle name="Borders 3 2 3 5" xfId="13600" xr:uid="{00000000-0005-0000-0000-00003B080000}"/>
    <cellStyle name="Borders 3 2 3 6" xfId="17429" xr:uid="{00000000-0005-0000-0000-00003C080000}"/>
    <cellStyle name="Borders 3 2 3 7" xfId="21368" xr:uid="{00000000-0005-0000-0000-00003D080000}"/>
    <cellStyle name="Borders 3 2 3 8" xfId="25181" xr:uid="{00000000-0005-0000-0000-00003E080000}"/>
    <cellStyle name="Borders 3 2 3 9" xfId="29068" xr:uid="{00000000-0005-0000-0000-00003F080000}"/>
    <cellStyle name="Borders 3 2 4" xfId="2712" xr:uid="{00000000-0005-0000-0000-000040080000}"/>
    <cellStyle name="Borders 3 2 4 10" xfId="41778" xr:uid="{00000000-0005-0000-0000-000041080000}"/>
    <cellStyle name="Borders 3 2 4 11" xfId="45563" xr:uid="{00000000-0005-0000-0000-000042080000}"/>
    <cellStyle name="Borders 3 2 4 2" xfId="6600" xr:uid="{00000000-0005-0000-0000-000043080000}"/>
    <cellStyle name="Borders 3 2 4 3" xfId="11024" xr:uid="{00000000-0005-0000-0000-000044080000}"/>
    <cellStyle name="Borders 3 2 4 4" xfId="14868" xr:uid="{00000000-0005-0000-0000-000045080000}"/>
    <cellStyle name="Borders 3 2 4 5" xfId="18706" xr:uid="{00000000-0005-0000-0000-000046080000}"/>
    <cellStyle name="Borders 3 2 4 6" xfId="22637" xr:uid="{00000000-0005-0000-0000-000047080000}"/>
    <cellStyle name="Borders 3 2 4 7" xfId="26457" xr:uid="{00000000-0005-0000-0000-000048080000}"/>
    <cellStyle name="Borders 3 2 4 8" xfId="34001" xr:uid="{00000000-0005-0000-0000-000049080000}"/>
    <cellStyle name="Borders 3 2 4 9" xfId="37764" xr:uid="{00000000-0005-0000-0000-00004A080000}"/>
    <cellStyle name="Borders 3 2 5" xfId="4676" xr:uid="{00000000-0005-0000-0000-00004B080000}"/>
    <cellStyle name="Borders 3 2 6" xfId="9018" xr:uid="{00000000-0005-0000-0000-00004C080000}"/>
    <cellStyle name="Borders 3 2 7" xfId="12855" xr:uid="{00000000-0005-0000-0000-00004D080000}"/>
    <cellStyle name="Borders 3 2 8" xfId="16685" xr:uid="{00000000-0005-0000-0000-00004E080000}"/>
    <cellStyle name="Borders 3 2 9" xfId="20622" xr:uid="{00000000-0005-0000-0000-00004F080000}"/>
    <cellStyle name="Borders 3 20" xfId="8885" xr:uid="{00000000-0005-0000-0000-000050080000}"/>
    <cellStyle name="Borders 3 21" xfId="8535" xr:uid="{00000000-0005-0000-0000-000051080000}"/>
    <cellStyle name="Borders 3 22" xfId="28523" xr:uid="{00000000-0005-0000-0000-000052080000}"/>
    <cellStyle name="Borders 3 23" xfId="14751" xr:uid="{00000000-0005-0000-0000-000053080000}"/>
    <cellStyle name="Borders 3 24" xfId="47386" xr:uid="{00000000-0005-0000-0000-000054080000}"/>
    <cellStyle name="Borders 3 25" xfId="47472" xr:uid="{00000000-0005-0000-0000-000055080000}"/>
    <cellStyle name="Borders 3 26" xfId="47521" xr:uid="{00000000-0005-0000-0000-000056080000}"/>
    <cellStyle name="Borders 3 3" xfId="648" xr:uid="{00000000-0005-0000-0000-000057080000}"/>
    <cellStyle name="Borders 3 3 10" xfId="22008" xr:uid="{00000000-0005-0000-0000-000058080000}"/>
    <cellStyle name="Borders 3 3 11" xfId="30339" xr:uid="{00000000-0005-0000-0000-000059080000}"/>
    <cellStyle name="Borders 3 3 12" xfId="8459" xr:uid="{00000000-0005-0000-0000-00005A080000}"/>
    <cellStyle name="Borders 3 3 13" xfId="41133" xr:uid="{00000000-0005-0000-0000-00005B080000}"/>
    <cellStyle name="Borders 3 3 2" xfId="1028" xr:uid="{00000000-0005-0000-0000-00005C080000}"/>
    <cellStyle name="Borders 3 3 2 10" xfId="32327" xr:uid="{00000000-0005-0000-0000-00005D080000}"/>
    <cellStyle name="Borders 3 3 2 11" xfId="36086" xr:uid="{00000000-0005-0000-0000-00005E080000}"/>
    <cellStyle name="Borders 3 3 2 12" xfId="43912" xr:uid="{00000000-0005-0000-0000-00005F080000}"/>
    <cellStyle name="Borders 3 3 2 2" xfId="1757" xr:uid="{00000000-0005-0000-0000-000060080000}"/>
    <cellStyle name="Borders 3 3 2 2 10" xfId="33044" xr:uid="{00000000-0005-0000-0000-000061080000}"/>
    <cellStyle name="Borders 3 3 2 2 11" xfId="36814" xr:uid="{00000000-0005-0000-0000-000062080000}"/>
    <cellStyle name="Borders 3 3 2 2 12" xfId="40805" xr:uid="{00000000-0005-0000-0000-000063080000}"/>
    <cellStyle name="Borders 3 3 2 2 13" xfId="44636" xr:uid="{00000000-0005-0000-0000-000064080000}"/>
    <cellStyle name="Borders 3 3 2 2 2" xfId="3747" xr:uid="{00000000-0005-0000-0000-000065080000}"/>
    <cellStyle name="Borders 3 3 2 2 2 10" xfId="42809" xr:uid="{00000000-0005-0000-0000-000066080000}"/>
    <cellStyle name="Borders 3 3 2 2 2 11" xfId="46574" xr:uid="{00000000-0005-0000-0000-000067080000}"/>
    <cellStyle name="Borders 3 3 2 2 2 2" xfId="7614" xr:uid="{00000000-0005-0000-0000-000068080000}"/>
    <cellStyle name="Borders 3 3 2 2 2 3" xfId="12049" xr:uid="{00000000-0005-0000-0000-000069080000}"/>
    <cellStyle name="Borders 3 3 2 2 2 4" xfId="15894" xr:uid="{00000000-0005-0000-0000-00006A080000}"/>
    <cellStyle name="Borders 3 3 2 2 2 5" xfId="19741" xr:uid="{00000000-0005-0000-0000-00006B080000}"/>
    <cellStyle name="Borders 3 3 2 2 2 6" xfId="23657" xr:uid="{00000000-0005-0000-0000-00006C080000}"/>
    <cellStyle name="Borders 3 3 2 2 2 7" xfId="27491" xr:uid="{00000000-0005-0000-0000-00006D080000}"/>
    <cellStyle name="Borders 3 3 2 2 2 8" xfId="35012" xr:uid="{00000000-0005-0000-0000-00006E080000}"/>
    <cellStyle name="Borders 3 3 2 2 2 9" xfId="38798" xr:uid="{00000000-0005-0000-0000-00006F080000}"/>
    <cellStyle name="Borders 3 3 2 2 3" xfId="5690" xr:uid="{00000000-0005-0000-0000-000070080000}"/>
    <cellStyle name="Borders 3 3 2 2 4" xfId="10048" xr:uid="{00000000-0005-0000-0000-000071080000}"/>
    <cellStyle name="Borders 3 3 2 2 5" xfId="13894" xr:uid="{00000000-0005-0000-0000-000072080000}"/>
    <cellStyle name="Borders 3 3 2 2 6" xfId="17723" xr:uid="{00000000-0005-0000-0000-000073080000}"/>
    <cellStyle name="Borders 3 3 2 2 7" xfId="21662" xr:uid="{00000000-0005-0000-0000-000074080000}"/>
    <cellStyle name="Borders 3 3 2 2 8" xfId="25475" xr:uid="{00000000-0005-0000-0000-000075080000}"/>
    <cellStyle name="Borders 3 3 2 2 9" xfId="29362" xr:uid="{00000000-0005-0000-0000-000076080000}"/>
    <cellStyle name="Borders 3 3 2 3" xfId="3018" xr:uid="{00000000-0005-0000-0000-000077080000}"/>
    <cellStyle name="Borders 3 3 2 3 10" xfId="42082" xr:uid="{00000000-0005-0000-0000-000078080000}"/>
    <cellStyle name="Borders 3 3 2 3 11" xfId="45857" xr:uid="{00000000-0005-0000-0000-000079080000}"/>
    <cellStyle name="Borders 3 3 2 3 2" xfId="6896" xr:uid="{00000000-0005-0000-0000-00007A080000}"/>
    <cellStyle name="Borders 3 3 2 3 3" xfId="11324" xr:uid="{00000000-0005-0000-0000-00007B080000}"/>
    <cellStyle name="Borders 3 3 2 3 4" xfId="15169" xr:uid="{00000000-0005-0000-0000-00007C080000}"/>
    <cellStyle name="Borders 3 3 2 3 5" xfId="19012" xr:uid="{00000000-0005-0000-0000-00007D080000}"/>
    <cellStyle name="Borders 3 3 2 3 6" xfId="22936" xr:uid="{00000000-0005-0000-0000-00007E080000}"/>
    <cellStyle name="Borders 3 3 2 3 7" xfId="26763" xr:uid="{00000000-0005-0000-0000-00007F080000}"/>
    <cellStyle name="Borders 3 3 2 3 8" xfId="34295" xr:uid="{00000000-0005-0000-0000-000080080000}"/>
    <cellStyle name="Borders 3 3 2 3 9" xfId="38070" xr:uid="{00000000-0005-0000-0000-000081080000}"/>
    <cellStyle name="Borders 3 3 2 4" xfId="4972" xr:uid="{00000000-0005-0000-0000-000082080000}"/>
    <cellStyle name="Borders 3 3 2 5" xfId="9327" xr:uid="{00000000-0005-0000-0000-000083080000}"/>
    <cellStyle name="Borders 3 3 2 6" xfId="13168" xr:uid="{00000000-0005-0000-0000-000084080000}"/>
    <cellStyle name="Borders 3 3 2 7" xfId="16994" xr:uid="{00000000-0005-0000-0000-000085080000}"/>
    <cellStyle name="Borders 3 3 2 8" xfId="20936" xr:uid="{00000000-0005-0000-0000-000086080000}"/>
    <cellStyle name="Borders 3 3 2 9" xfId="24751" xr:uid="{00000000-0005-0000-0000-000087080000}"/>
    <cellStyle name="Borders 3 3 3" xfId="1404" xr:uid="{00000000-0005-0000-0000-000088080000}"/>
    <cellStyle name="Borders 3 3 3 10" xfId="32691" xr:uid="{00000000-0005-0000-0000-000089080000}"/>
    <cellStyle name="Borders 3 3 3 11" xfId="36461" xr:uid="{00000000-0005-0000-0000-00008A080000}"/>
    <cellStyle name="Borders 3 3 3 12" xfId="40452" xr:uid="{00000000-0005-0000-0000-00008B080000}"/>
    <cellStyle name="Borders 3 3 3 13" xfId="44283" xr:uid="{00000000-0005-0000-0000-00008C080000}"/>
    <cellStyle name="Borders 3 3 3 2" xfId="3394" xr:uid="{00000000-0005-0000-0000-00008D080000}"/>
    <cellStyle name="Borders 3 3 3 2 10" xfId="42456" xr:uid="{00000000-0005-0000-0000-00008E080000}"/>
    <cellStyle name="Borders 3 3 3 2 11" xfId="46221" xr:uid="{00000000-0005-0000-0000-00008F080000}"/>
    <cellStyle name="Borders 3 3 3 2 2" xfId="7261" xr:uid="{00000000-0005-0000-0000-000090080000}"/>
    <cellStyle name="Borders 3 3 3 2 3" xfId="11696" xr:uid="{00000000-0005-0000-0000-000091080000}"/>
    <cellStyle name="Borders 3 3 3 2 4" xfId="15541" xr:uid="{00000000-0005-0000-0000-000092080000}"/>
    <cellStyle name="Borders 3 3 3 2 5" xfId="19388" xr:uid="{00000000-0005-0000-0000-000093080000}"/>
    <cellStyle name="Borders 3 3 3 2 6" xfId="23304" xr:uid="{00000000-0005-0000-0000-000094080000}"/>
    <cellStyle name="Borders 3 3 3 2 7" xfId="27138" xr:uid="{00000000-0005-0000-0000-000095080000}"/>
    <cellStyle name="Borders 3 3 3 2 8" xfId="34659" xr:uid="{00000000-0005-0000-0000-000096080000}"/>
    <cellStyle name="Borders 3 3 3 2 9" xfId="38445" xr:uid="{00000000-0005-0000-0000-000097080000}"/>
    <cellStyle name="Borders 3 3 3 3" xfId="5337" xr:uid="{00000000-0005-0000-0000-000098080000}"/>
    <cellStyle name="Borders 3 3 3 4" xfId="9695" xr:uid="{00000000-0005-0000-0000-000099080000}"/>
    <cellStyle name="Borders 3 3 3 5" xfId="13541" xr:uid="{00000000-0005-0000-0000-00009A080000}"/>
    <cellStyle name="Borders 3 3 3 6" xfId="17370" xr:uid="{00000000-0005-0000-0000-00009B080000}"/>
    <cellStyle name="Borders 3 3 3 7" xfId="21309" xr:uid="{00000000-0005-0000-0000-00009C080000}"/>
    <cellStyle name="Borders 3 3 3 8" xfId="25122" xr:uid="{00000000-0005-0000-0000-00009D080000}"/>
    <cellStyle name="Borders 3 3 3 9" xfId="29009" xr:uid="{00000000-0005-0000-0000-00009E080000}"/>
    <cellStyle name="Borders 3 3 4" xfId="2651" xr:uid="{00000000-0005-0000-0000-00009F080000}"/>
    <cellStyle name="Borders 3 3 4 10" xfId="41717" xr:uid="{00000000-0005-0000-0000-0000A0080000}"/>
    <cellStyle name="Borders 3 3 4 11" xfId="45504" xr:uid="{00000000-0005-0000-0000-0000A1080000}"/>
    <cellStyle name="Borders 3 3 4 2" xfId="6541" xr:uid="{00000000-0005-0000-0000-0000A2080000}"/>
    <cellStyle name="Borders 3 3 4 3" xfId="10965" xr:uid="{00000000-0005-0000-0000-0000A3080000}"/>
    <cellStyle name="Borders 3 3 4 4" xfId="14809" xr:uid="{00000000-0005-0000-0000-0000A4080000}"/>
    <cellStyle name="Borders 3 3 4 5" xfId="18645" xr:uid="{00000000-0005-0000-0000-0000A5080000}"/>
    <cellStyle name="Borders 3 3 4 6" xfId="22578" xr:uid="{00000000-0005-0000-0000-0000A6080000}"/>
    <cellStyle name="Borders 3 3 4 7" xfId="26396" xr:uid="{00000000-0005-0000-0000-0000A7080000}"/>
    <cellStyle name="Borders 3 3 4 8" xfId="33942" xr:uid="{00000000-0005-0000-0000-0000A8080000}"/>
    <cellStyle name="Borders 3 3 4 9" xfId="37703" xr:uid="{00000000-0005-0000-0000-0000A9080000}"/>
    <cellStyle name="Borders 3 3 5" xfId="4617" xr:uid="{00000000-0005-0000-0000-0000AA080000}"/>
    <cellStyle name="Borders 3 3 6" xfId="8957" xr:uid="{00000000-0005-0000-0000-0000AB080000}"/>
    <cellStyle name="Borders 3 3 7" xfId="12796" xr:uid="{00000000-0005-0000-0000-0000AC080000}"/>
    <cellStyle name="Borders 3 3 8" xfId="8840" xr:uid="{00000000-0005-0000-0000-0000AD080000}"/>
    <cellStyle name="Borders 3 3 9" xfId="20561" xr:uid="{00000000-0005-0000-0000-0000AE080000}"/>
    <cellStyle name="Borders 3 4" xfId="791" xr:uid="{00000000-0005-0000-0000-0000AF080000}"/>
    <cellStyle name="Borders 3 4 10" xfId="35849" xr:uid="{00000000-0005-0000-0000-0000B0080000}"/>
    <cellStyle name="Borders 3 4 11" xfId="39863" xr:uid="{00000000-0005-0000-0000-0000B1080000}"/>
    <cellStyle name="Borders 3 4 12" xfId="43675" xr:uid="{00000000-0005-0000-0000-0000B2080000}"/>
    <cellStyle name="Borders 3 4 2" xfId="1155" xr:uid="{00000000-0005-0000-0000-0000B3080000}"/>
    <cellStyle name="Borders 3 4 2 10" xfId="28764" xr:uid="{00000000-0005-0000-0000-0000B4080000}"/>
    <cellStyle name="Borders 3 4 2 11" xfId="32447" xr:uid="{00000000-0005-0000-0000-0000B5080000}"/>
    <cellStyle name="Borders 3 4 2 12" xfId="36213" xr:uid="{00000000-0005-0000-0000-0000B6080000}"/>
    <cellStyle name="Borders 3 4 2 13" xfId="40209" xr:uid="{00000000-0005-0000-0000-0000B7080000}"/>
    <cellStyle name="Borders 3 4 2 14" xfId="44039" xr:uid="{00000000-0005-0000-0000-0000B8080000}"/>
    <cellStyle name="Borders 3 4 2 2" xfId="1877" xr:uid="{00000000-0005-0000-0000-0000B9080000}"/>
    <cellStyle name="Borders 3 4 2 2 10" xfId="33164" xr:uid="{00000000-0005-0000-0000-0000BA080000}"/>
    <cellStyle name="Borders 3 4 2 2 11" xfId="36934" xr:uid="{00000000-0005-0000-0000-0000BB080000}"/>
    <cellStyle name="Borders 3 4 2 2 12" xfId="40925" xr:uid="{00000000-0005-0000-0000-0000BC080000}"/>
    <cellStyle name="Borders 3 4 2 2 13" xfId="44756" xr:uid="{00000000-0005-0000-0000-0000BD080000}"/>
    <cellStyle name="Borders 3 4 2 2 2" xfId="3867" xr:uid="{00000000-0005-0000-0000-0000BE080000}"/>
    <cellStyle name="Borders 3 4 2 2 2 10" xfId="38918" xr:uid="{00000000-0005-0000-0000-0000BF080000}"/>
    <cellStyle name="Borders 3 4 2 2 2 11" xfId="42929" xr:uid="{00000000-0005-0000-0000-0000C0080000}"/>
    <cellStyle name="Borders 3 4 2 2 2 12" xfId="46694" xr:uid="{00000000-0005-0000-0000-0000C1080000}"/>
    <cellStyle name="Borders 3 4 2 2 2 2" xfId="7734" xr:uid="{00000000-0005-0000-0000-0000C2080000}"/>
    <cellStyle name="Borders 3 4 2 2 2 3" xfId="12169" xr:uid="{00000000-0005-0000-0000-0000C3080000}"/>
    <cellStyle name="Borders 3 4 2 2 2 4" xfId="16014" xr:uid="{00000000-0005-0000-0000-0000C4080000}"/>
    <cellStyle name="Borders 3 4 2 2 2 5" xfId="19861" xr:uid="{00000000-0005-0000-0000-0000C5080000}"/>
    <cellStyle name="Borders 3 4 2 2 2 6" xfId="23777" xr:uid="{00000000-0005-0000-0000-0000C6080000}"/>
    <cellStyle name="Borders 3 4 2 2 2 7" xfId="27611" xr:uid="{00000000-0005-0000-0000-0000C7080000}"/>
    <cellStyle name="Borders 3 4 2 2 2 8" xfId="31474" xr:uid="{00000000-0005-0000-0000-0000C8080000}"/>
    <cellStyle name="Borders 3 4 2 2 2 9" xfId="35132" xr:uid="{00000000-0005-0000-0000-0000C9080000}"/>
    <cellStyle name="Borders 3 4 2 2 3" xfId="5810" xr:uid="{00000000-0005-0000-0000-0000CA080000}"/>
    <cellStyle name="Borders 3 4 2 2 4" xfId="10168" xr:uid="{00000000-0005-0000-0000-0000CB080000}"/>
    <cellStyle name="Borders 3 4 2 2 5" xfId="14014" xr:uid="{00000000-0005-0000-0000-0000CC080000}"/>
    <cellStyle name="Borders 3 4 2 2 6" xfId="17843" xr:uid="{00000000-0005-0000-0000-0000CD080000}"/>
    <cellStyle name="Borders 3 4 2 2 7" xfId="21782" xr:uid="{00000000-0005-0000-0000-0000CE080000}"/>
    <cellStyle name="Borders 3 4 2 2 8" xfId="25595" xr:uid="{00000000-0005-0000-0000-0000CF080000}"/>
    <cellStyle name="Borders 3 4 2 2 9" xfId="29482" xr:uid="{00000000-0005-0000-0000-0000D0080000}"/>
    <cellStyle name="Borders 3 4 2 3" xfId="3145" xr:uid="{00000000-0005-0000-0000-0000D1080000}"/>
    <cellStyle name="Borders 3 4 2 3 10" xfId="38197" xr:uid="{00000000-0005-0000-0000-0000D2080000}"/>
    <cellStyle name="Borders 3 4 2 3 11" xfId="42208" xr:uid="{00000000-0005-0000-0000-0000D3080000}"/>
    <cellStyle name="Borders 3 4 2 3 12" xfId="45977" xr:uid="{00000000-0005-0000-0000-0000D4080000}"/>
    <cellStyle name="Borders 3 4 2 3 2" xfId="7017" xr:uid="{00000000-0005-0000-0000-0000D5080000}"/>
    <cellStyle name="Borders 3 4 2 3 3" xfId="11449" xr:uid="{00000000-0005-0000-0000-0000D6080000}"/>
    <cellStyle name="Borders 3 4 2 3 4" xfId="15293" xr:uid="{00000000-0005-0000-0000-0000D7080000}"/>
    <cellStyle name="Borders 3 4 2 3 5" xfId="19139" xr:uid="{00000000-0005-0000-0000-0000D8080000}"/>
    <cellStyle name="Borders 3 4 2 3 6" xfId="23058" xr:uid="{00000000-0005-0000-0000-0000D9080000}"/>
    <cellStyle name="Borders 3 4 2 3 7" xfId="26890" xr:uid="{00000000-0005-0000-0000-0000DA080000}"/>
    <cellStyle name="Borders 3 4 2 3 8" xfId="30762" xr:uid="{00000000-0005-0000-0000-0000DB080000}"/>
    <cellStyle name="Borders 3 4 2 3 9" xfId="34415" xr:uid="{00000000-0005-0000-0000-0000DC080000}"/>
    <cellStyle name="Borders 3 4 2 4" xfId="5093" xr:uid="{00000000-0005-0000-0000-0000DD080000}"/>
    <cellStyle name="Borders 3 4 2 5" xfId="9449" xr:uid="{00000000-0005-0000-0000-0000DE080000}"/>
    <cellStyle name="Borders 3 4 2 6" xfId="13293" xr:uid="{00000000-0005-0000-0000-0000DF080000}"/>
    <cellStyle name="Borders 3 4 2 7" xfId="17121" xr:uid="{00000000-0005-0000-0000-0000E0080000}"/>
    <cellStyle name="Borders 3 4 2 8" xfId="21063" xr:uid="{00000000-0005-0000-0000-0000E1080000}"/>
    <cellStyle name="Borders 3 4 2 9" xfId="24874" xr:uid="{00000000-0005-0000-0000-0000E2080000}"/>
    <cellStyle name="Borders 3 4 3" xfId="1524" xr:uid="{00000000-0005-0000-0000-0000E3080000}"/>
    <cellStyle name="Borders 3 4 3 10" xfId="32811" xr:uid="{00000000-0005-0000-0000-0000E4080000}"/>
    <cellStyle name="Borders 3 4 3 11" xfId="36581" xr:uid="{00000000-0005-0000-0000-0000E5080000}"/>
    <cellStyle name="Borders 3 4 3 12" xfId="40572" xr:uid="{00000000-0005-0000-0000-0000E6080000}"/>
    <cellStyle name="Borders 3 4 3 13" xfId="44403" xr:uid="{00000000-0005-0000-0000-0000E7080000}"/>
    <cellStyle name="Borders 3 4 3 2" xfId="3514" xr:uid="{00000000-0005-0000-0000-0000E8080000}"/>
    <cellStyle name="Borders 3 4 3 2 10" xfId="38565" xr:uid="{00000000-0005-0000-0000-0000E9080000}"/>
    <cellStyle name="Borders 3 4 3 2 11" xfId="42576" xr:uid="{00000000-0005-0000-0000-0000EA080000}"/>
    <cellStyle name="Borders 3 4 3 2 12" xfId="46341" xr:uid="{00000000-0005-0000-0000-0000EB080000}"/>
    <cellStyle name="Borders 3 4 3 2 2" xfId="7381" xr:uid="{00000000-0005-0000-0000-0000EC080000}"/>
    <cellStyle name="Borders 3 4 3 2 3" xfId="11816" xr:uid="{00000000-0005-0000-0000-0000ED080000}"/>
    <cellStyle name="Borders 3 4 3 2 4" xfId="15661" xr:uid="{00000000-0005-0000-0000-0000EE080000}"/>
    <cellStyle name="Borders 3 4 3 2 5" xfId="19508" xr:uid="{00000000-0005-0000-0000-0000EF080000}"/>
    <cellStyle name="Borders 3 4 3 2 6" xfId="23424" xr:uid="{00000000-0005-0000-0000-0000F0080000}"/>
    <cellStyle name="Borders 3 4 3 2 7" xfId="27258" xr:uid="{00000000-0005-0000-0000-0000F1080000}"/>
    <cellStyle name="Borders 3 4 3 2 8" xfId="31125" xr:uid="{00000000-0005-0000-0000-0000F2080000}"/>
    <cellStyle name="Borders 3 4 3 2 9" xfId="34779" xr:uid="{00000000-0005-0000-0000-0000F3080000}"/>
    <cellStyle name="Borders 3 4 3 3" xfId="5457" xr:uid="{00000000-0005-0000-0000-0000F4080000}"/>
    <cellStyle name="Borders 3 4 3 4" xfId="9815" xr:uid="{00000000-0005-0000-0000-0000F5080000}"/>
    <cellStyle name="Borders 3 4 3 5" xfId="13661" xr:uid="{00000000-0005-0000-0000-0000F6080000}"/>
    <cellStyle name="Borders 3 4 3 6" xfId="17490" xr:uid="{00000000-0005-0000-0000-0000F7080000}"/>
    <cellStyle name="Borders 3 4 3 7" xfId="21429" xr:uid="{00000000-0005-0000-0000-0000F8080000}"/>
    <cellStyle name="Borders 3 4 3 8" xfId="25242" xr:uid="{00000000-0005-0000-0000-0000F9080000}"/>
    <cellStyle name="Borders 3 4 3 9" xfId="29129" xr:uid="{00000000-0005-0000-0000-0000FA080000}"/>
    <cellStyle name="Borders 3 4 4" xfId="2781" xr:uid="{00000000-0005-0000-0000-0000FB080000}"/>
    <cellStyle name="Borders 3 4 4 10" xfId="37833" xr:uid="{00000000-0005-0000-0000-0000FC080000}"/>
    <cellStyle name="Borders 3 4 4 11" xfId="41845" xr:uid="{00000000-0005-0000-0000-0000FD080000}"/>
    <cellStyle name="Borders 3 4 4 12" xfId="45624" xr:uid="{00000000-0005-0000-0000-0000FE080000}"/>
    <cellStyle name="Borders 3 4 4 2" xfId="6663" xr:uid="{00000000-0005-0000-0000-0000FF080000}"/>
    <cellStyle name="Borders 3 4 4 3" xfId="11089" xr:uid="{00000000-0005-0000-0000-000000090000}"/>
    <cellStyle name="Borders 3 4 4 4" xfId="14935" xr:uid="{00000000-0005-0000-0000-000001090000}"/>
    <cellStyle name="Borders 3 4 4 5" xfId="18775" xr:uid="{00000000-0005-0000-0000-000002090000}"/>
    <cellStyle name="Borders 3 4 4 6" xfId="22702" xr:uid="{00000000-0005-0000-0000-000003090000}"/>
    <cellStyle name="Borders 3 4 4 7" xfId="26526" xr:uid="{00000000-0005-0000-0000-000004090000}"/>
    <cellStyle name="Borders 3 4 4 8" xfId="30404" xr:uid="{00000000-0005-0000-0000-000005090000}"/>
    <cellStyle name="Borders 3 4 4 9" xfId="34062" xr:uid="{00000000-0005-0000-0000-000006090000}"/>
    <cellStyle name="Borders 3 4 5" xfId="4739" xr:uid="{00000000-0005-0000-0000-000007090000}"/>
    <cellStyle name="Borders 3 4 6" xfId="9091" xr:uid="{00000000-0005-0000-0000-000008090000}"/>
    <cellStyle name="Borders 3 4 7" xfId="12933" xr:uid="{00000000-0005-0000-0000-000009090000}"/>
    <cellStyle name="Borders 3 4 8" xfId="28406" xr:uid="{00000000-0005-0000-0000-00000A090000}"/>
    <cellStyle name="Borders 3 4 9" xfId="32094" xr:uid="{00000000-0005-0000-0000-00000B090000}"/>
    <cellStyle name="Borders 3 5" xfId="817" xr:uid="{00000000-0005-0000-0000-00000C090000}"/>
    <cellStyle name="Borders 3 5 10" xfId="24541" xr:uid="{00000000-0005-0000-0000-00000D090000}"/>
    <cellStyle name="Borders 3 5 11" xfId="32118" xr:uid="{00000000-0005-0000-0000-00000E090000}"/>
    <cellStyle name="Borders 3 5 12" xfId="35875" xr:uid="{00000000-0005-0000-0000-00000F090000}"/>
    <cellStyle name="Borders 3 5 13" xfId="43701" xr:uid="{00000000-0005-0000-0000-000010090000}"/>
    <cellStyle name="Borders 3 5 2" xfId="1179" xr:uid="{00000000-0005-0000-0000-000011090000}"/>
    <cellStyle name="Borders 3 5 2 10" xfId="32471" xr:uid="{00000000-0005-0000-0000-000012090000}"/>
    <cellStyle name="Borders 3 5 2 11" xfId="36237" xr:uid="{00000000-0005-0000-0000-000013090000}"/>
    <cellStyle name="Borders 3 5 2 12" xfId="44063" xr:uid="{00000000-0005-0000-0000-000014090000}"/>
    <cellStyle name="Borders 3 5 2 2" xfId="1901" xr:uid="{00000000-0005-0000-0000-000015090000}"/>
    <cellStyle name="Borders 3 5 2 2 10" xfId="33188" xr:uid="{00000000-0005-0000-0000-000016090000}"/>
    <cellStyle name="Borders 3 5 2 2 11" xfId="36958" xr:uid="{00000000-0005-0000-0000-000017090000}"/>
    <cellStyle name="Borders 3 5 2 2 12" xfId="40949" xr:uid="{00000000-0005-0000-0000-000018090000}"/>
    <cellStyle name="Borders 3 5 2 2 13" xfId="44780" xr:uid="{00000000-0005-0000-0000-000019090000}"/>
    <cellStyle name="Borders 3 5 2 2 2" xfId="3891" xr:uid="{00000000-0005-0000-0000-00001A090000}"/>
    <cellStyle name="Borders 3 5 2 2 2 10" xfId="42953" xr:uid="{00000000-0005-0000-0000-00001B090000}"/>
    <cellStyle name="Borders 3 5 2 2 2 11" xfId="46718" xr:uid="{00000000-0005-0000-0000-00001C090000}"/>
    <cellStyle name="Borders 3 5 2 2 2 2" xfId="7758" xr:uid="{00000000-0005-0000-0000-00001D090000}"/>
    <cellStyle name="Borders 3 5 2 2 2 3" xfId="12193" xr:uid="{00000000-0005-0000-0000-00001E090000}"/>
    <cellStyle name="Borders 3 5 2 2 2 4" xfId="16038" xr:uid="{00000000-0005-0000-0000-00001F090000}"/>
    <cellStyle name="Borders 3 5 2 2 2 5" xfId="19885" xr:uid="{00000000-0005-0000-0000-000020090000}"/>
    <cellStyle name="Borders 3 5 2 2 2 6" xfId="23801" xr:uid="{00000000-0005-0000-0000-000021090000}"/>
    <cellStyle name="Borders 3 5 2 2 2 7" xfId="27635" xr:uid="{00000000-0005-0000-0000-000022090000}"/>
    <cellStyle name="Borders 3 5 2 2 2 8" xfId="35156" xr:uid="{00000000-0005-0000-0000-000023090000}"/>
    <cellStyle name="Borders 3 5 2 2 2 9" xfId="38942" xr:uid="{00000000-0005-0000-0000-000024090000}"/>
    <cellStyle name="Borders 3 5 2 2 3" xfId="5834" xr:uid="{00000000-0005-0000-0000-000025090000}"/>
    <cellStyle name="Borders 3 5 2 2 4" xfId="10192" xr:uid="{00000000-0005-0000-0000-000026090000}"/>
    <cellStyle name="Borders 3 5 2 2 5" xfId="14038" xr:uid="{00000000-0005-0000-0000-000027090000}"/>
    <cellStyle name="Borders 3 5 2 2 6" xfId="17867" xr:uid="{00000000-0005-0000-0000-000028090000}"/>
    <cellStyle name="Borders 3 5 2 2 7" xfId="21806" xr:uid="{00000000-0005-0000-0000-000029090000}"/>
    <cellStyle name="Borders 3 5 2 2 8" xfId="25619" xr:uid="{00000000-0005-0000-0000-00002A090000}"/>
    <cellStyle name="Borders 3 5 2 2 9" xfId="29506" xr:uid="{00000000-0005-0000-0000-00002B090000}"/>
    <cellStyle name="Borders 3 5 2 3" xfId="3169" xr:uid="{00000000-0005-0000-0000-00002C090000}"/>
    <cellStyle name="Borders 3 5 2 3 10" xfId="42232" xr:uid="{00000000-0005-0000-0000-00002D090000}"/>
    <cellStyle name="Borders 3 5 2 3 11" xfId="46001" xr:uid="{00000000-0005-0000-0000-00002E090000}"/>
    <cellStyle name="Borders 3 5 2 3 2" xfId="7041" xr:uid="{00000000-0005-0000-0000-00002F090000}"/>
    <cellStyle name="Borders 3 5 2 3 3" xfId="11473" xr:uid="{00000000-0005-0000-0000-000030090000}"/>
    <cellStyle name="Borders 3 5 2 3 4" xfId="15317" xr:uid="{00000000-0005-0000-0000-000031090000}"/>
    <cellStyle name="Borders 3 5 2 3 5" xfId="19163" xr:uid="{00000000-0005-0000-0000-000032090000}"/>
    <cellStyle name="Borders 3 5 2 3 6" xfId="23082" xr:uid="{00000000-0005-0000-0000-000033090000}"/>
    <cellStyle name="Borders 3 5 2 3 7" xfId="26914" xr:uid="{00000000-0005-0000-0000-000034090000}"/>
    <cellStyle name="Borders 3 5 2 3 8" xfId="34439" xr:uid="{00000000-0005-0000-0000-000035090000}"/>
    <cellStyle name="Borders 3 5 2 3 9" xfId="38221" xr:uid="{00000000-0005-0000-0000-000036090000}"/>
    <cellStyle name="Borders 3 5 2 4" xfId="5117" xr:uid="{00000000-0005-0000-0000-000037090000}"/>
    <cellStyle name="Borders 3 5 2 5" xfId="9473" xr:uid="{00000000-0005-0000-0000-000038090000}"/>
    <cellStyle name="Borders 3 5 2 6" xfId="13317" xr:uid="{00000000-0005-0000-0000-000039090000}"/>
    <cellStyle name="Borders 3 5 2 7" xfId="17145" xr:uid="{00000000-0005-0000-0000-00003A090000}"/>
    <cellStyle name="Borders 3 5 2 8" xfId="21087" xr:uid="{00000000-0005-0000-0000-00003B090000}"/>
    <cellStyle name="Borders 3 5 2 9" xfId="24898" xr:uid="{00000000-0005-0000-0000-00003C090000}"/>
    <cellStyle name="Borders 3 5 3" xfId="1548" xr:uid="{00000000-0005-0000-0000-00003D090000}"/>
    <cellStyle name="Borders 3 5 3 10" xfId="32835" xr:uid="{00000000-0005-0000-0000-00003E090000}"/>
    <cellStyle name="Borders 3 5 3 11" xfId="36605" xr:uid="{00000000-0005-0000-0000-00003F090000}"/>
    <cellStyle name="Borders 3 5 3 12" xfId="40596" xr:uid="{00000000-0005-0000-0000-000040090000}"/>
    <cellStyle name="Borders 3 5 3 13" xfId="44427" xr:uid="{00000000-0005-0000-0000-000041090000}"/>
    <cellStyle name="Borders 3 5 3 2" xfId="3538" xr:uid="{00000000-0005-0000-0000-000042090000}"/>
    <cellStyle name="Borders 3 5 3 2 10" xfId="42600" xr:uid="{00000000-0005-0000-0000-000043090000}"/>
    <cellStyle name="Borders 3 5 3 2 11" xfId="46365" xr:uid="{00000000-0005-0000-0000-000044090000}"/>
    <cellStyle name="Borders 3 5 3 2 2" xfId="7405" xr:uid="{00000000-0005-0000-0000-000045090000}"/>
    <cellStyle name="Borders 3 5 3 2 3" xfId="11840" xr:uid="{00000000-0005-0000-0000-000046090000}"/>
    <cellStyle name="Borders 3 5 3 2 4" xfId="15685" xr:uid="{00000000-0005-0000-0000-000047090000}"/>
    <cellStyle name="Borders 3 5 3 2 5" xfId="19532" xr:uid="{00000000-0005-0000-0000-000048090000}"/>
    <cellStyle name="Borders 3 5 3 2 6" xfId="23448" xr:uid="{00000000-0005-0000-0000-000049090000}"/>
    <cellStyle name="Borders 3 5 3 2 7" xfId="27282" xr:uid="{00000000-0005-0000-0000-00004A090000}"/>
    <cellStyle name="Borders 3 5 3 2 8" xfId="34803" xr:uid="{00000000-0005-0000-0000-00004B090000}"/>
    <cellStyle name="Borders 3 5 3 2 9" xfId="38589" xr:uid="{00000000-0005-0000-0000-00004C090000}"/>
    <cellStyle name="Borders 3 5 3 3" xfId="5481" xr:uid="{00000000-0005-0000-0000-00004D090000}"/>
    <cellStyle name="Borders 3 5 3 4" xfId="9839" xr:uid="{00000000-0005-0000-0000-00004E090000}"/>
    <cellStyle name="Borders 3 5 3 5" xfId="13685" xr:uid="{00000000-0005-0000-0000-00004F090000}"/>
    <cellStyle name="Borders 3 5 3 6" xfId="17514" xr:uid="{00000000-0005-0000-0000-000050090000}"/>
    <cellStyle name="Borders 3 5 3 7" xfId="21453" xr:uid="{00000000-0005-0000-0000-000051090000}"/>
    <cellStyle name="Borders 3 5 3 8" xfId="25266" xr:uid="{00000000-0005-0000-0000-000052090000}"/>
    <cellStyle name="Borders 3 5 3 9" xfId="29153" xr:uid="{00000000-0005-0000-0000-000053090000}"/>
    <cellStyle name="Borders 3 5 4" xfId="2807" xr:uid="{00000000-0005-0000-0000-000054090000}"/>
    <cellStyle name="Borders 3 5 4 10" xfId="41871" xr:uid="{00000000-0005-0000-0000-000055090000}"/>
    <cellStyle name="Borders 3 5 4 11" xfId="45648" xr:uid="{00000000-0005-0000-0000-000056090000}"/>
    <cellStyle name="Borders 3 5 4 2" xfId="6687" xr:uid="{00000000-0005-0000-0000-000057090000}"/>
    <cellStyle name="Borders 3 5 4 3" xfId="11114" xr:uid="{00000000-0005-0000-0000-000058090000}"/>
    <cellStyle name="Borders 3 5 4 4" xfId="14959" xr:uid="{00000000-0005-0000-0000-000059090000}"/>
    <cellStyle name="Borders 3 5 4 5" xfId="18801" xr:uid="{00000000-0005-0000-0000-00005A090000}"/>
    <cellStyle name="Borders 3 5 4 6" xfId="22727" xr:uid="{00000000-0005-0000-0000-00005B090000}"/>
    <cellStyle name="Borders 3 5 4 7" xfId="26552" xr:uid="{00000000-0005-0000-0000-00005C090000}"/>
    <cellStyle name="Borders 3 5 4 8" xfId="34086" xr:uid="{00000000-0005-0000-0000-00005D090000}"/>
    <cellStyle name="Borders 3 5 4 9" xfId="37859" xr:uid="{00000000-0005-0000-0000-00005E090000}"/>
    <cellStyle name="Borders 3 5 5" xfId="4763" xr:uid="{00000000-0005-0000-0000-00005F090000}"/>
    <cellStyle name="Borders 3 5 6" xfId="9117" xr:uid="{00000000-0005-0000-0000-000060090000}"/>
    <cellStyle name="Borders 3 5 7" xfId="12958" xr:uid="{00000000-0005-0000-0000-000061090000}"/>
    <cellStyle name="Borders 3 5 8" xfId="16783" xr:uid="{00000000-0005-0000-0000-000062090000}"/>
    <cellStyle name="Borders 3 5 9" xfId="20725" xr:uid="{00000000-0005-0000-0000-000063090000}"/>
    <cellStyle name="Borders 3 6" xfId="909" xr:uid="{00000000-0005-0000-0000-000064090000}"/>
    <cellStyle name="Borders 3 6 10" xfId="24633" xr:uid="{00000000-0005-0000-0000-000065090000}"/>
    <cellStyle name="Borders 3 6 11" xfId="32210" xr:uid="{00000000-0005-0000-0000-000066090000}"/>
    <cellStyle name="Borders 3 6 12" xfId="35967" xr:uid="{00000000-0005-0000-0000-000067090000}"/>
    <cellStyle name="Borders 3 6 13" xfId="43793" xr:uid="{00000000-0005-0000-0000-000068090000}"/>
    <cellStyle name="Borders 3 6 2" xfId="1246" xr:uid="{00000000-0005-0000-0000-000069090000}"/>
    <cellStyle name="Borders 3 6 2 10" xfId="32538" xr:uid="{00000000-0005-0000-0000-00006A090000}"/>
    <cellStyle name="Borders 3 6 2 11" xfId="36304" xr:uid="{00000000-0005-0000-0000-00006B090000}"/>
    <cellStyle name="Borders 3 6 2 12" xfId="44130" xr:uid="{00000000-0005-0000-0000-00006C090000}"/>
    <cellStyle name="Borders 3 6 2 2" xfId="1968" xr:uid="{00000000-0005-0000-0000-00006D090000}"/>
    <cellStyle name="Borders 3 6 2 2 10" xfId="33255" xr:uid="{00000000-0005-0000-0000-00006E090000}"/>
    <cellStyle name="Borders 3 6 2 2 11" xfId="37025" xr:uid="{00000000-0005-0000-0000-00006F090000}"/>
    <cellStyle name="Borders 3 6 2 2 12" xfId="41016" xr:uid="{00000000-0005-0000-0000-000070090000}"/>
    <cellStyle name="Borders 3 6 2 2 13" xfId="44847" xr:uid="{00000000-0005-0000-0000-000071090000}"/>
    <cellStyle name="Borders 3 6 2 2 2" xfId="3958" xr:uid="{00000000-0005-0000-0000-000072090000}"/>
    <cellStyle name="Borders 3 6 2 2 2 10" xfId="43020" xr:uid="{00000000-0005-0000-0000-000073090000}"/>
    <cellStyle name="Borders 3 6 2 2 2 11" xfId="46785" xr:uid="{00000000-0005-0000-0000-000074090000}"/>
    <cellStyle name="Borders 3 6 2 2 2 2" xfId="7825" xr:uid="{00000000-0005-0000-0000-000075090000}"/>
    <cellStyle name="Borders 3 6 2 2 2 3" xfId="12260" xr:uid="{00000000-0005-0000-0000-000076090000}"/>
    <cellStyle name="Borders 3 6 2 2 2 4" xfId="16105" xr:uid="{00000000-0005-0000-0000-000077090000}"/>
    <cellStyle name="Borders 3 6 2 2 2 5" xfId="19952" xr:uid="{00000000-0005-0000-0000-000078090000}"/>
    <cellStyle name="Borders 3 6 2 2 2 6" xfId="23868" xr:uid="{00000000-0005-0000-0000-000079090000}"/>
    <cellStyle name="Borders 3 6 2 2 2 7" xfId="27702" xr:uid="{00000000-0005-0000-0000-00007A090000}"/>
    <cellStyle name="Borders 3 6 2 2 2 8" xfId="35223" xr:uid="{00000000-0005-0000-0000-00007B090000}"/>
    <cellStyle name="Borders 3 6 2 2 2 9" xfId="39009" xr:uid="{00000000-0005-0000-0000-00007C090000}"/>
    <cellStyle name="Borders 3 6 2 2 3" xfId="5901" xr:uid="{00000000-0005-0000-0000-00007D090000}"/>
    <cellStyle name="Borders 3 6 2 2 4" xfId="10259" xr:uid="{00000000-0005-0000-0000-00007E090000}"/>
    <cellStyle name="Borders 3 6 2 2 5" xfId="14105" xr:uid="{00000000-0005-0000-0000-00007F090000}"/>
    <cellStyle name="Borders 3 6 2 2 6" xfId="17934" xr:uid="{00000000-0005-0000-0000-000080090000}"/>
    <cellStyle name="Borders 3 6 2 2 7" xfId="21873" xr:uid="{00000000-0005-0000-0000-000081090000}"/>
    <cellStyle name="Borders 3 6 2 2 8" xfId="25686" xr:uid="{00000000-0005-0000-0000-000082090000}"/>
    <cellStyle name="Borders 3 6 2 2 9" xfId="29573" xr:uid="{00000000-0005-0000-0000-000083090000}"/>
    <cellStyle name="Borders 3 6 2 3" xfId="3236" xr:uid="{00000000-0005-0000-0000-000084090000}"/>
    <cellStyle name="Borders 3 6 2 3 10" xfId="42299" xr:uid="{00000000-0005-0000-0000-000085090000}"/>
    <cellStyle name="Borders 3 6 2 3 11" xfId="46068" xr:uid="{00000000-0005-0000-0000-000086090000}"/>
    <cellStyle name="Borders 3 6 2 3 2" xfId="7108" xr:uid="{00000000-0005-0000-0000-000087090000}"/>
    <cellStyle name="Borders 3 6 2 3 3" xfId="11540" xr:uid="{00000000-0005-0000-0000-000088090000}"/>
    <cellStyle name="Borders 3 6 2 3 4" xfId="15384" xr:uid="{00000000-0005-0000-0000-000089090000}"/>
    <cellStyle name="Borders 3 6 2 3 5" xfId="19230" xr:uid="{00000000-0005-0000-0000-00008A090000}"/>
    <cellStyle name="Borders 3 6 2 3 6" xfId="23149" xr:uid="{00000000-0005-0000-0000-00008B090000}"/>
    <cellStyle name="Borders 3 6 2 3 7" xfId="26981" xr:uid="{00000000-0005-0000-0000-00008C090000}"/>
    <cellStyle name="Borders 3 6 2 3 8" xfId="34506" xr:uid="{00000000-0005-0000-0000-00008D090000}"/>
    <cellStyle name="Borders 3 6 2 3 9" xfId="38288" xr:uid="{00000000-0005-0000-0000-00008E090000}"/>
    <cellStyle name="Borders 3 6 2 4" xfId="5184" xr:uid="{00000000-0005-0000-0000-00008F090000}"/>
    <cellStyle name="Borders 3 6 2 5" xfId="9540" xr:uid="{00000000-0005-0000-0000-000090090000}"/>
    <cellStyle name="Borders 3 6 2 6" xfId="13384" xr:uid="{00000000-0005-0000-0000-000091090000}"/>
    <cellStyle name="Borders 3 6 2 7" xfId="17212" xr:uid="{00000000-0005-0000-0000-000092090000}"/>
    <cellStyle name="Borders 3 6 2 8" xfId="21154" xr:uid="{00000000-0005-0000-0000-000093090000}"/>
    <cellStyle name="Borders 3 6 2 9" xfId="24965" xr:uid="{00000000-0005-0000-0000-000094090000}"/>
    <cellStyle name="Borders 3 6 3" xfId="1640" xr:uid="{00000000-0005-0000-0000-000095090000}"/>
    <cellStyle name="Borders 3 6 3 10" xfId="32927" xr:uid="{00000000-0005-0000-0000-000096090000}"/>
    <cellStyle name="Borders 3 6 3 11" xfId="36697" xr:uid="{00000000-0005-0000-0000-000097090000}"/>
    <cellStyle name="Borders 3 6 3 12" xfId="40688" xr:uid="{00000000-0005-0000-0000-000098090000}"/>
    <cellStyle name="Borders 3 6 3 13" xfId="44519" xr:uid="{00000000-0005-0000-0000-000099090000}"/>
    <cellStyle name="Borders 3 6 3 2" xfId="3630" xr:uid="{00000000-0005-0000-0000-00009A090000}"/>
    <cellStyle name="Borders 3 6 3 2 10" xfId="42692" xr:uid="{00000000-0005-0000-0000-00009B090000}"/>
    <cellStyle name="Borders 3 6 3 2 11" xfId="46457" xr:uid="{00000000-0005-0000-0000-00009C090000}"/>
    <cellStyle name="Borders 3 6 3 2 2" xfId="7497" xr:uid="{00000000-0005-0000-0000-00009D090000}"/>
    <cellStyle name="Borders 3 6 3 2 3" xfId="11932" xr:uid="{00000000-0005-0000-0000-00009E090000}"/>
    <cellStyle name="Borders 3 6 3 2 4" xfId="15777" xr:uid="{00000000-0005-0000-0000-00009F090000}"/>
    <cellStyle name="Borders 3 6 3 2 5" xfId="19624" xr:uid="{00000000-0005-0000-0000-0000A0090000}"/>
    <cellStyle name="Borders 3 6 3 2 6" xfId="23540" xr:uid="{00000000-0005-0000-0000-0000A1090000}"/>
    <cellStyle name="Borders 3 6 3 2 7" xfId="27374" xr:uid="{00000000-0005-0000-0000-0000A2090000}"/>
    <cellStyle name="Borders 3 6 3 2 8" xfId="34895" xr:uid="{00000000-0005-0000-0000-0000A3090000}"/>
    <cellStyle name="Borders 3 6 3 2 9" xfId="38681" xr:uid="{00000000-0005-0000-0000-0000A4090000}"/>
    <cellStyle name="Borders 3 6 3 3" xfId="5573" xr:uid="{00000000-0005-0000-0000-0000A5090000}"/>
    <cellStyle name="Borders 3 6 3 4" xfId="9931" xr:uid="{00000000-0005-0000-0000-0000A6090000}"/>
    <cellStyle name="Borders 3 6 3 5" xfId="13777" xr:uid="{00000000-0005-0000-0000-0000A7090000}"/>
    <cellStyle name="Borders 3 6 3 6" xfId="17606" xr:uid="{00000000-0005-0000-0000-0000A8090000}"/>
    <cellStyle name="Borders 3 6 3 7" xfId="21545" xr:uid="{00000000-0005-0000-0000-0000A9090000}"/>
    <cellStyle name="Borders 3 6 3 8" xfId="25358" xr:uid="{00000000-0005-0000-0000-0000AA090000}"/>
    <cellStyle name="Borders 3 6 3 9" xfId="29245" xr:uid="{00000000-0005-0000-0000-0000AB090000}"/>
    <cellStyle name="Borders 3 6 4" xfId="2899" xr:uid="{00000000-0005-0000-0000-0000AC090000}"/>
    <cellStyle name="Borders 3 6 4 10" xfId="41963" xr:uid="{00000000-0005-0000-0000-0000AD090000}"/>
    <cellStyle name="Borders 3 6 4 11" xfId="45740" xr:uid="{00000000-0005-0000-0000-0000AE090000}"/>
    <cellStyle name="Borders 3 6 4 2" xfId="6779" xr:uid="{00000000-0005-0000-0000-0000AF090000}"/>
    <cellStyle name="Borders 3 6 4 3" xfId="11206" xr:uid="{00000000-0005-0000-0000-0000B0090000}"/>
    <cellStyle name="Borders 3 6 4 4" xfId="15051" xr:uid="{00000000-0005-0000-0000-0000B1090000}"/>
    <cellStyle name="Borders 3 6 4 5" xfId="18893" xr:uid="{00000000-0005-0000-0000-0000B2090000}"/>
    <cellStyle name="Borders 3 6 4 6" xfId="22819" xr:uid="{00000000-0005-0000-0000-0000B3090000}"/>
    <cellStyle name="Borders 3 6 4 7" xfId="26644" xr:uid="{00000000-0005-0000-0000-0000B4090000}"/>
    <cellStyle name="Borders 3 6 4 8" xfId="34178" xr:uid="{00000000-0005-0000-0000-0000B5090000}"/>
    <cellStyle name="Borders 3 6 4 9" xfId="37951" xr:uid="{00000000-0005-0000-0000-0000B6090000}"/>
    <cellStyle name="Borders 3 6 5" xfId="4855" xr:uid="{00000000-0005-0000-0000-0000B7090000}"/>
    <cellStyle name="Borders 3 6 6" xfId="9209" xr:uid="{00000000-0005-0000-0000-0000B8090000}"/>
    <cellStyle name="Borders 3 6 7" xfId="13050" xr:uid="{00000000-0005-0000-0000-0000B9090000}"/>
    <cellStyle name="Borders 3 6 8" xfId="16875" xr:uid="{00000000-0005-0000-0000-0000BA090000}"/>
    <cellStyle name="Borders 3 6 9" xfId="20817" xr:uid="{00000000-0005-0000-0000-0000BB090000}"/>
    <cellStyle name="Borders 3 7" xfId="955" xr:uid="{00000000-0005-0000-0000-0000BC090000}"/>
    <cellStyle name="Borders 3 7 10" xfId="32256" xr:uid="{00000000-0005-0000-0000-0000BD090000}"/>
    <cellStyle name="Borders 3 7 11" xfId="36013" xr:uid="{00000000-0005-0000-0000-0000BE090000}"/>
    <cellStyle name="Borders 3 7 12" xfId="43839" xr:uid="{00000000-0005-0000-0000-0000BF090000}"/>
    <cellStyle name="Borders 3 7 2" xfId="1686" xr:uid="{00000000-0005-0000-0000-0000C0090000}"/>
    <cellStyle name="Borders 3 7 2 10" xfId="32973" xr:uid="{00000000-0005-0000-0000-0000C1090000}"/>
    <cellStyle name="Borders 3 7 2 11" xfId="36743" xr:uid="{00000000-0005-0000-0000-0000C2090000}"/>
    <cellStyle name="Borders 3 7 2 12" xfId="40734" xr:uid="{00000000-0005-0000-0000-0000C3090000}"/>
    <cellStyle name="Borders 3 7 2 13" xfId="44565" xr:uid="{00000000-0005-0000-0000-0000C4090000}"/>
    <cellStyle name="Borders 3 7 2 2" xfId="3676" xr:uid="{00000000-0005-0000-0000-0000C5090000}"/>
    <cellStyle name="Borders 3 7 2 2 10" xfId="42738" xr:uid="{00000000-0005-0000-0000-0000C6090000}"/>
    <cellStyle name="Borders 3 7 2 2 11" xfId="46503" xr:uid="{00000000-0005-0000-0000-0000C7090000}"/>
    <cellStyle name="Borders 3 7 2 2 2" xfId="7543" xr:uid="{00000000-0005-0000-0000-0000C8090000}"/>
    <cellStyle name="Borders 3 7 2 2 3" xfId="11978" xr:uid="{00000000-0005-0000-0000-0000C9090000}"/>
    <cellStyle name="Borders 3 7 2 2 4" xfId="15823" xr:uid="{00000000-0005-0000-0000-0000CA090000}"/>
    <cellStyle name="Borders 3 7 2 2 5" xfId="19670" xr:uid="{00000000-0005-0000-0000-0000CB090000}"/>
    <cellStyle name="Borders 3 7 2 2 6" xfId="23586" xr:uid="{00000000-0005-0000-0000-0000CC090000}"/>
    <cellStyle name="Borders 3 7 2 2 7" xfId="27420" xr:uid="{00000000-0005-0000-0000-0000CD090000}"/>
    <cellStyle name="Borders 3 7 2 2 8" xfId="34941" xr:uid="{00000000-0005-0000-0000-0000CE090000}"/>
    <cellStyle name="Borders 3 7 2 2 9" xfId="38727" xr:uid="{00000000-0005-0000-0000-0000CF090000}"/>
    <cellStyle name="Borders 3 7 2 3" xfId="5619" xr:uid="{00000000-0005-0000-0000-0000D0090000}"/>
    <cellStyle name="Borders 3 7 2 4" xfId="9977" xr:uid="{00000000-0005-0000-0000-0000D1090000}"/>
    <cellStyle name="Borders 3 7 2 5" xfId="13823" xr:uid="{00000000-0005-0000-0000-0000D2090000}"/>
    <cellStyle name="Borders 3 7 2 6" xfId="17652" xr:uid="{00000000-0005-0000-0000-0000D3090000}"/>
    <cellStyle name="Borders 3 7 2 7" xfId="21591" xr:uid="{00000000-0005-0000-0000-0000D4090000}"/>
    <cellStyle name="Borders 3 7 2 8" xfId="25404" xr:uid="{00000000-0005-0000-0000-0000D5090000}"/>
    <cellStyle name="Borders 3 7 2 9" xfId="29291" xr:uid="{00000000-0005-0000-0000-0000D6090000}"/>
    <cellStyle name="Borders 3 7 3" xfId="2945" xr:uid="{00000000-0005-0000-0000-0000D7090000}"/>
    <cellStyle name="Borders 3 7 3 10" xfId="42009" xr:uid="{00000000-0005-0000-0000-0000D8090000}"/>
    <cellStyle name="Borders 3 7 3 11" xfId="45786" xr:uid="{00000000-0005-0000-0000-0000D9090000}"/>
    <cellStyle name="Borders 3 7 3 2" xfId="6825" xr:uid="{00000000-0005-0000-0000-0000DA090000}"/>
    <cellStyle name="Borders 3 7 3 3" xfId="11252" xr:uid="{00000000-0005-0000-0000-0000DB090000}"/>
    <cellStyle name="Borders 3 7 3 4" xfId="15097" xr:uid="{00000000-0005-0000-0000-0000DC090000}"/>
    <cellStyle name="Borders 3 7 3 5" xfId="18939" xr:uid="{00000000-0005-0000-0000-0000DD090000}"/>
    <cellStyle name="Borders 3 7 3 6" xfId="22865" xr:uid="{00000000-0005-0000-0000-0000DE090000}"/>
    <cellStyle name="Borders 3 7 3 7" xfId="26690" xr:uid="{00000000-0005-0000-0000-0000DF090000}"/>
    <cellStyle name="Borders 3 7 3 8" xfId="34224" xr:uid="{00000000-0005-0000-0000-0000E0090000}"/>
    <cellStyle name="Borders 3 7 3 9" xfId="37997" xr:uid="{00000000-0005-0000-0000-0000E1090000}"/>
    <cellStyle name="Borders 3 7 4" xfId="4901" xr:uid="{00000000-0005-0000-0000-0000E2090000}"/>
    <cellStyle name="Borders 3 7 5" xfId="9255" xr:uid="{00000000-0005-0000-0000-0000E3090000}"/>
    <cellStyle name="Borders 3 7 6" xfId="13096" xr:uid="{00000000-0005-0000-0000-0000E4090000}"/>
    <cellStyle name="Borders 3 7 7" xfId="16921" xr:uid="{00000000-0005-0000-0000-0000E5090000}"/>
    <cellStyle name="Borders 3 7 8" xfId="20863" xr:uid="{00000000-0005-0000-0000-0000E6090000}"/>
    <cellStyle name="Borders 3 7 9" xfId="24679" xr:uid="{00000000-0005-0000-0000-0000E7090000}"/>
    <cellStyle name="Borders 3 8" xfId="1333" xr:uid="{00000000-0005-0000-0000-0000E8090000}"/>
    <cellStyle name="Borders 3 8 10" xfId="32620" xr:uid="{00000000-0005-0000-0000-0000E9090000}"/>
    <cellStyle name="Borders 3 8 11" xfId="36390" xr:uid="{00000000-0005-0000-0000-0000EA090000}"/>
    <cellStyle name="Borders 3 8 12" xfId="40381" xr:uid="{00000000-0005-0000-0000-0000EB090000}"/>
    <cellStyle name="Borders 3 8 13" xfId="44212" xr:uid="{00000000-0005-0000-0000-0000EC090000}"/>
    <cellStyle name="Borders 3 8 2" xfId="3323" xr:uid="{00000000-0005-0000-0000-0000ED090000}"/>
    <cellStyle name="Borders 3 8 2 10" xfId="42385" xr:uid="{00000000-0005-0000-0000-0000EE090000}"/>
    <cellStyle name="Borders 3 8 2 11" xfId="46150" xr:uid="{00000000-0005-0000-0000-0000EF090000}"/>
    <cellStyle name="Borders 3 8 2 2" xfId="7190" xr:uid="{00000000-0005-0000-0000-0000F0090000}"/>
    <cellStyle name="Borders 3 8 2 3" xfId="11625" xr:uid="{00000000-0005-0000-0000-0000F1090000}"/>
    <cellStyle name="Borders 3 8 2 4" xfId="15470" xr:uid="{00000000-0005-0000-0000-0000F2090000}"/>
    <cellStyle name="Borders 3 8 2 5" xfId="19317" xr:uid="{00000000-0005-0000-0000-0000F3090000}"/>
    <cellStyle name="Borders 3 8 2 6" xfId="23233" xr:uid="{00000000-0005-0000-0000-0000F4090000}"/>
    <cellStyle name="Borders 3 8 2 7" xfId="27067" xr:uid="{00000000-0005-0000-0000-0000F5090000}"/>
    <cellStyle name="Borders 3 8 2 8" xfId="34588" xr:uid="{00000000-0005-0000-0000-0000F6090000}"/>
    <cellStyle name="Borders 3 8 2 9" xfId="38374" xr:uid="{00000000-0005-0000-0000-0000F7090000}"/>
    <cellStyle name="Borders 3 8 3" xfId="5266" xr:uid="{00000000-0005-0000-0000-0000F8090000}"/>
    <cellStyle name="Borders 3 8 4" xfId="9624" xr:uid="{00000000-0005-0000-0000-0000F9090000}"/>
    <cellStyle name="Borders 3 8 5" xfId="13470" xr:uid="{00000000-0005-0000-0000-0000FA090000}"/>
    <cellStyle name="Borders 3 8 6" xfId="17299" xr:uid="{00000000-0005-0000-0000-0000FB090000}"/>
    <cellStyle name="Borders 3 8 7" xfId="21238" xr:uid="{00000000-0005-0000-0000-0000FC090000}"/>
    <cellStyle name="Borders 3 8 8" xfId="25051" xr:uid="{00000000-0005-0000-0000-0000FD090000}"/>
    <cellStyle name="Borders 3 8 9" xfId="28938" xr:uid="{00000000-0005-0000-0000-0000FE090000}"/>
    <cellStyle name="Borders 3 9" xfId="2030" xr:uid="{00000000-0005-0000-0000-0000FF090000}"/>
    <cellStyle name="Borders 3 9 10" xfId="44906" xr:uid="{00000000-0005-0000-0000-0000000A0000}"/>
    <cellStyle name="Borders 3 9 2" xfId="4019" xr:uid="{00000000-0005-0000-0000-0000010A0000}"/>
    <cellStyle name="Borders 3 9 2 10" xfId="43081" xr:uid="{00000000-0005-0000-0000-0000020A0000}"/>
    <cellStyle name="Borders 3 9 2 11" xfId="46844" xr:uid="{00000000-0005-0000-0000-0000030A0000}"/>
    <cellStyle name="Borders 3 9 2 2" xfId="7884" xr:uid="{00000000-0005-0000-0000-0000040A0000}"/>
    <cellStyle name="Borders 3 9 2 3" xfId="12320" xr:uid="{00000000-0005-0000-0000-0000050A0000}"/>
    <cellStyle name="Borders 3 9 2 4" xfId="16165" xr:uid="{00000000-0005-0000-0000-0000060A0000}"/>
    <cellStyle name="Borders 3 9 2 5" xfId="20013" xr:uid="{00000000-0005-0000-0000-0000070A0000}"/>
    <cellStyle name="Borders 3 9 2 6" xfId="23928" xr:uid="{00000000-0005-0000-0000-0000080A0000}"/>
    <cellStyle name="Borders 3 9 2 7" xfId="27763" xr:uid="{00000000-0005-0000-0000-0000090A0000}"/>
    <cellStyle name="Borders 3 9 2 8" xfId="35282" xr:uid="{00000000-0005-0000-0000-00000A0A0000}"/>
    <cellStyle name="Borders 3 9 2 9" xfId="39070" xr:uid="{00000000-0005-0000-0000-00000B0A0000}"/>
    <cellStyle name="Borders 3 9 3" xfId="5960" xr:uid="{00000000-0005-0000-0000-00000C0A0000}"/>
    <cellStyle name="Borders 3 9 4" xfId="10319" xr:uid="{00000000-0005-0000-0000-00000D0A0000}"/>
    <cellStyle name="Borders 3 9 5" xfId="14166" xr:uid="{00000000-0005-0000-0000-00000E0A0000}"/>
    <cellStyle name="Borders 3 9 6" xfId="17996" xr:uid="{00000000-0005-0000-0000-00000F0A0000}"/>
    <cellStyle name="Borders 3 9 7" xfId="21934" xr:uid="{00000000-0005-0000-0000-0000100A0000}"/>
    <cellStyle name="Borders 3 9 8" xfId="25748" xr:uid="{00000000-0005-0000-0000-0000110A0000}"/>
    <cellStyle name="Borders 3 9 9" xfId="37086" xr:uid="{00000000-0005-0000-0000-0000120A0000}"/>
    <cellStyle name="Borders 4" xfId="577" xr:uid="{00000000-0005-0000-0000-0000130A0000}"/>
    <cellStyle name="Borders 4 10" xfId="2227" xr:uid="{00000000-0005-0000-0000-0000140A0000}"/>
    <cellStyle name="Borders 4 10 10" xfId="37279" xr:uid="{00000000-0005-0000-0000-0000150A0000}"/>
    <cellStyle name="Borders 4 10 11" xfId="41295" xr:uid="{00000000-0005-0000-0000-0000160A0000}"/>
    <cellStyle name="Borders 4 10 12" xfId="45090" xr:uid="{00000000-0005-0000-0000-0000170A0000}"/>
    <cellStyle name="Borders 4 10 2" xfId="4210" xr:uid="{00000000-0005-0000-0000-0000180A0000}"/>
    <cellStyle name="Borders 4 10 2 10" xfId="43271" xr:uid="{00000000-0005-0000-0000-0000190A0000}"/>
    <cellStyle name="Borders 4 10 2 11" xfId="47028" xr:uid="{00000000-0005-0000-0000-00001A0A0000}"/>
    <cellStyle name="Borders 4 10 2 2" xfId="8069" xr:uid="{00000000-0005-0000-0000-00001B0A0000}"/>
    <cellStyle name="Borders 4 10 2 3" xfId="12509" xr:uid="{00000000-0005-0000-0000-00001C0A0000}"/>
    <cellStyle name="Borders 4 10 2 4" xfId="16354" xr:uid="{00000000-0005-0000-0000-00001D0A0000}"/>
    <cellStyle name="Borders 4 10 2 5" xfId="20204" xr:uid="{00000000-0005-0000-0000-00001E0A0000}"/>
    <cellStyle name="Borders 4 10 2 6" xfId="24116" xr:uid="{00000000-0005-0000-0000-00001F0A0000}"/>
    <cellStyle name="Borders 4 10 2 7" xfId="27954" xr:uid="{00000000-0005-0000-0000-0000200A0000}"/>
    <cellStyle name="Borders 4 10 2 8" xfId="35466" xr:uid="{00000000-0005-0000-0000-0000210A0000}"/>
    <cellStyle name="Borders 4 10 2 9" xfId="39261" xr:uid="{00000000-0005-0000-0000-0000220A0000}"/>
    <cellStyle name="Borders 4 10 3" xfId="6141" xr:uid="{00000000-0005-0000-0000-0000230A0000}"/>
    <cellStyle name="Borders 4 10 4" xfId="10544" xr:uid="{00000000-0005-0000-0000-0000240A0000}"/>
    <cellStyle name="Borders 4 10 5" xfId="14390" xr:uid="{00000000-0005-0000-0000-0000250A0000}"/>
    <cellStyle name="Borders 4 10 6" xfId="18221" xr:uid="{00000000-0005-0000-0000-0000260A0000}"/>
    <cellStyle name="Borders 4 10 7" xfId="22160" xr:uid="{00000000-0005-0000-0000-0000270A0000}"/>
    <cellStyle name="Borders 4 10 8" xfId="25972" xr:uid="{00000000-0005-0000-0000-0000280A0000}"/>
    <cellStyle name="Borders 4 10 9" xfId="33528" xr:uid="{00000000-0005-0000-0000-0000290A0000}"/>
    <cellStyle name="Borders 4 11" xfId="2285" xr:uid="{00000000-0005-0000-0000-00002A0A0000}"/>
    <cellStyle name="Borders 4 11 10" xfId="37337" xr:uid="{00000000-0005-0000-0000-00002B0A0000}"/>
    <cellStyle name="Borders 4 11 11" xfId="41353" xr:uid="{00000000-0005-0000-0000-00002C0A0000}"/>
    <cellStyle name="Borders 4 11 12" xfId="45148" xr:uid="{00000000-0005-0000-0000-00002D0A0000}"/>
    <cellStyle name="Borders 4 11 2" xfId="4268" xr:uid="{00000000-0005-0000-0000-00002E0A0000}"/>
    <cellStyle name="Borders 4 11 2 10" xfId="43329" xr:uid="{00000000-0005-0000-0000-00002F0A0000}"/>
    <cellStyle name="Borders 4 11 2 11" xfId="47086" xr:uid="{00000000-0005-0000-0000-0000300A0000}"/>
    <cellStyle name="Borders 4 11 2 2" xfId="8127" xr:uid="{00000000-0005-0000-0000-0000310A0000}"/>
    <cellStyle name="Borders 4 11 2 3" xfId="12567" xr:uid="{00000000-0005-0000-0000-0000320A0000}"/>
    <cellStyle name="Borders 4 11 2 4" xfId="16412" xr:uid="{00000000-0005-0000-0000-0000330A0000}"/>
    <cellStyle name="Borders 4 11 2 5" xfId="20262" xr:uid="{00000000-0005-0000-0000-0000340A0000}"/>
    <cellStyle name="Borders 4 11 2 6" xfId="24174" xr:uid="{00000000-0005-0000-0000-0000350A0000}"/>
    <cellStyle name="Borders 4 11 2 7" xfId="28012" xr:uid="{00000000-0005-0000-0000-0000360A0000}"/>
    <cellStyle name="Borders 4 11 2 8" xfId="35524" xr:uid="{00000000-0005-0000-0000-0000370A0000}"/>
    <cellStyle name="Borders 4 11 2 9" xfId="39319" xr:uid="{00000000-0005-0000-0000-0000380A0000}"/>
    <cellStyle name="Borders 4 11 3" xfId="6199" xr:uid="{00000000-0005-0000-0000-0000390A0000}"/>
    <cellStyle name="Borders 4 11 4" xfId="10602" xr:uid="{00000000-0005-0000-0000-00003A0A0000}"/>
    <cellStyle name="Borders 4 11 5" xfId="14448" xr:uid="{00000000-0005-0000-0000-00003B0A0000}"/>
    <cellStyle name="Borders 4 11 6" xfId="18279" xr:uid="{00000000-0005-0000-0000-00003C0A0000}"/>
    <cellStyle name="Borders 4 11 7" xfId="22218" xr:uid="{00000000-0005-0000-0000-00003D0A0000}"/>
    <cellStyle name="Borders 4 11 8" xfId="26030" xr:uid="{00000000-0005-0000-0000-00003E0A0000}"/>
    <cellStyle name="Borders 4 11 9" xfId="33586" xr:uid="{00000000-0005-0000-0000-00003F0A0000}"/>
    <cellStyle name="Borders 4 12" xfId="2342" xr:uid="{00000000-0005-0000-0000-0000400A0000}"/>
    <cellStyle name="Borders 4 12 10" xfId="41410" xr:uid="{00000000-0005-0000-0000-0000410A0000}"/>
    <cellStyle name="Borders 4 12 11" xfId="45203" xr:uid="{00000000-0005-0000-0000-0000420A0000}"/>
    <cellStyle name="Borders 4 12 2" xfId="4325" xr:uid="{00000000-0005-0000-0000-0000430A0000}"/>
    <cellStyle name="Borders 4 12 2 10" xfId="43386" xr:uid="{00000000-0005-0000-0000-0000440A0000}"/>
    <cellStyle name="Borders 4 12 2 11" xfId="47141" xr:uid="{00000000-0005-0000-0000-0000450A0000}"/>
    <cellStyle name="Borders 4 12 2 2" xfId="8182" xr:uid="{00000000-0005-0000-0000-0000460A0000}"/>
    <cellStyle name="Borders 4 12 2 3" xfId="12624" xr:uid="{00000000-0005-0000-0000-0000470A0000}"/>
    <cellStyle name="Borders 4 12 2 4" xfId="16468" xr:uid="{00000000-0005-0000-0000-0000480A0000}"/>
    <cellStyle name="Borders 4 12 2 5" xfId="20319" xr:uid="{00000000-0005-0000-0000-0000490A0000}"/>
    <cellStyle name="Borders 4 12 2 6" xfId="24230" xr:uid="{00000000-0005-0000-0000-00004A0A0000}"/>
    <cellStyle name="Borders 4 12 2 7" xfId="28069" xr:uid="{00000000-0005-0000-0000-00004B0A0000}"/>
    <cellStyle name="Borders 4 12 2 8" xfId="35579" xr:uid="{00000000-0005-0000-0000-00004C0A0000}"/>
    <cellStyle name="Borders 4 12 2 9" xfId="39376" xr:uid="{00000000-0005-0000-0000-00004D0A0000}"/>
    <cellStyle name="Borders 4 12 3" xfId="10659" xr:uid="{00000000-0005-0000-0000-00004E0A0000}"/>
    <cellStyle name="Borders 4 12 4" xfId="14504" xr:uid="{00000000-0005-0000-0000-00004F0A0000}"/>
    <cellStyle name="Borders 4 12 5" xfId="18336" xr:uid="{00000000-0005-0000-0000-0000500A0000}"/>
    <cellStyle name="Borders 4 12 6" xfId="22274" xr:uid="{00000000-0005-0000-0000-0000510A0000}"/>
    <cellStyle name="Borders 4 12 7" xfId="26087" xr:uid="{00000000-0005-0000-0000-0000520A0000}"/>
    <cellStyle name="Borders 4 12 8" xfId="33641" xr:uid="{00000000-0005-0000-0000-0000530A0000}"/>
    <cellStyle name="Borders 4 12 9" xfId="37394" xr:uid="{00000000-0005-0000-0000-0000540A0000}"/>
    <cellStyle name="Borders 4 13" xfId="2407" xr:uid="{00000000-0005-0000-0000-0000550A0000}"/>
    <cellStyle name="Borders 4 13 10" xfId="37459" xr:uid="{00000000-0005-0000-0000-0000560A0000}"/>
    <cellStyle name="Borders 4 13 11" xfId="41474" xr:uid="{00000000-0005-0000-0000-0000570A0000}"/>
    <cellStyle name="Borders 4 13 12" xfId="45267" xr:uid="{00000000-0005-0000-0000-0000580A0000}"/>
    <cellStyle name="Borders 4 13 2" xfId="4390" xr:uid="{00000000-0005-0000-0000-0000590A0000}"/>
    <cellStyle name="Borders 4 13 2 10" xfId="39441" xr:uid="{00000000-0005-0000-0000-00005A0A0000}"/>
    <cellStyle name="Borders 4 13 2 11" xfId="43450" xr:uid="{00000000-0005-0000-0000-00005B0A0000}"/>
    <cellStyle name="Borders 4 13 2 12" xfId="47205" xr:uid="{00000000-0005-0000-0000-00005C0A0000}"/>
    <cellStyle name="Borders 4 13 2 2" xfId="8247" xr:uid="{00000000-0005-0000-0000-00005D0A0000}"/>
    <cellStyle name="Borders 4 13 2 3" xfId="12688" xr:uid="{00000000-0005-0000-0000-00005E0A0000}"/>
    <cellStyle name="Borders 4 13 2 4" xfId="16533" xr:uid="{00000000-0005-0000-0000-00005F0A0000}"/>
    <cellStyle name="Borders 4 13 2 5" xfId="20384" xr:uid="{00000000-0005-0000-0000-0000600A0000}"/>
    <cellStyle name="Borders 4 13 2 6" xfId="24295" xr:uid="{00000000-0005-0000-0000-0000610A0000}"/>
    <cellStyle name="Borders 4 13 2 7" xfId="28134" xr:uid="{00000000-0005-0000-0000-0000620A0000}"/>
    <cellStyle name="Borders 4 13 2 8" xfId="31992" xr:uid="{00000000-0005-0000-0000-0000630A0000}"/>
    <cellStyle name="Borders 4 13 2 9" xfId="35643" xr:uid="{00000000-0005-0000-0000-0000640A0000}"/>
    <cellStyle name="Borders 4 13 3" xfId="6303" xr:uid="{00000000-0005-0000-0000-0000650A0000}"/>
    <cellStyle name="Borders 4 13 4" xfId="10723" xr:uid="{00000000-0005-0000-0000-0000660A0000}"/>
    <cellStyle name="Borders 4 13 5" xfId="14569" xr:uid="{00000000-0005-0000-0000-0000670A0000}"/>
    <cellStyle name="Borders 4 13 6" xfId="18401" xr:uid="{00000000-0005-0000-0000-0000680A0000}"/>
    <cellStyle name="Borders 4 13 7" xfId="22339" xr:uid="{00000000-0005-0000-0000-0000690A0000}"/>
    <cellStyle name="Borders 4 13 8" xfId="26152" xr:uid="{00000000-0005-0000-0000-00006A0A0000}"/>
    <cellStyle name="Borders 4 13 9" xfId="33705" xr:uid="{00000000-0005-0000-0000-00006B0A0000}"/>
    <cellStyle name="Borders 4 14" xfId="2459" xr:uid="{00000000-0005-0000-0000-00006C0A0000}"/>
    <cellStyle name="Borders 4 14 10" xfId="37511" xr:uid="{00000000-0005-0000-0000-00006D0A0000}"/>
    <cellStyle name="Borders 4 14 11" xfId="41526" xr:uid="{00000000-0005-0000-0000-00006E0A0000}"/>
    <cellStyle name="Borders 4 14 12" xfId="45317" xr:uid="{00000000-0005-0000-0000-00006F0A0000}"/>
    <cellStyle name="Borders 4 14 2" xfId="4442" xr:uid="{00000000-0005-0000-0000-0000700A0000}"/>
    <cellStyle name="Borders 4 14 2 10" xfId="43502" xr:uid="{00000000-0005-0000-0000-0000710A0000}"/>
    <cellStyle name="Borders 4 14 2 11" xfId="47255" xr:uid="{00000000-0005-0000-0000-0000720A0000}"/>
    <cellStyle name="Borders 4 14 2 2" xfId="8297" xr:uid="{00000000-0005-0000-0000-0000730A0000}"/>
    <cellStyle name="Borders 4 14 2 3" xfId="12740" xr:uid="{00000000-0005-0000-0000-0000740A0000}"/>
    <cellStyle name="Borders 4 14 2 4" xfId="16583" xr:uid="{00000000-0005-0000-0000-0000750A0000}"/>
    <cellStyle name="Borders 4 14 2 5" xfId="20436" xr:uid="{00000000-0005-0000-0000-0000760A0000}"/>
    <cellStyle name="Borders 4 14 2 6" xfId="24346" xr:uid="{00000000-0005-0000-0000-0000770A0000}"/>
    <cellStyle name="Borders 4 14 2 7" xfId="28186" xr:uid="{00000000-0005-0000-0000-0000780A0000}"/>
    <cellStyle name="Borders 4 14 2 8" xfId="35693" xr:uid="{00000000-0005-0000-0000-0000790A0000}"/>
    <cellStyle name="Borders 4 14 2 9" xfId="39493" xr:uid="{00000000-0005-0000-0000-00007A0A0000}"/>
    <cellStyle name="Borders 4 14 3" xfId="6353" xr:uid="{00000000-0005-0000-0000-00007B0A0000}"/>
    <cellStyle name="Borders 4 14 4" xfId="10775" xr:uid="{00000000-0005-0000-0000-00007C0A0000}"/>
    <cellStyle name="Borders 4 14 5" xfId="14620" xr:uid="{00000000-0005-0000-0000-00007D0A0000}"/>
    <cellStyle name="Borders 4 14 6" xfId="18453" xr:uid="{00000000-0005-0000-0000-00007E0A0000}"/>
    <cellStyle name="Borders 4 14 7" xfId="22390" xr:uid="{00000000-0005-0000-0000-00007F0A0000}"/>
    <cellStyle name="Borders 4 14 8" xfId="26204" xr:uid="{00000000-0005-0000-0000-0000800A0000}"/>
    <cellStyle name="Borders 4 14 9" xfId="33755" xr:uid="{00000000-0005-0000-0000-0000810A0000}"/>
    <cellStyle name="Borders 4 15" xfId="2513" xr:uid="{00000000-0005-0000-0000-0000820A0000}"/>
    <cellStyle name="Borders 4 15 10" xfId="41579" xr:uid="{00000000-0005-0000-0000-0000830A0000}"/>
    <cellStyle name="Borders 4 15 11" xfId="45368" xr:uid="{00000000-0005-0000-0000-0000840A0000}"/>
    <cellStyle name="Borders 4 15 2" xfId="6405" xr:uid="{00000000-0005-0000-0000-0000850A0000}"/>
    <cellStyle name="Borders 4 15 3" xfId="10828" xr:uid="{00000000-0005-0000-0000-0000860A0000}"/>
    <cellStyle name="Borders 4 15 4" xfId="14672" xr:uid="{00000000-0005-0000-0000-0000870A0000}"/>
    <cellStyle name="Borders 4 15 5" xfId="18507" xr:uid="{00000000-0005-0000-0000-0000880A0000}"/>
    <cellStyle name="Borders 4 15 6" xfId="22442" xr:uid="{00000000-0005-0000-0000-0000890A0000}"/>
    <cellStyle name="Borders 4 15 7" xfId="26258" xr:uid="{00000000-0005-0000-0000-00008A0A0000}"/>
    <cellStyle name="Borders 4 15 8" xfId="33806" xr:uid="{00000000-0005-0000-0000-00008B0A0000}"/>
    <cellStyle name="Borders 4 15 9" xfId="37565" xr:uid="{00000000-0005-0000-0000-00008C0A0000}"/>
    <cellStyle name="Borders 4 16" xfId="8387" xr:uid="{00000000-0005-0000-0000-00008D0A0000}"/>
    <cellStyle name="Borders 4 17" xfId="8767" xr:uid="{00000000-0005-0000-0000-00008E0A0000}"/>
    <cellStyle name="Borders 4 18" xfId="8887" xr:uid="{00000000-0005-0000-0000-00008F0A0000}"/>
    <cellStyle name="Borders 4 19" xfId="10386" xr:uid="{00000000-0005-0000-0000-0000900A0000}"/>
    <cellStyle name="Borders 4 2" xfId="711" xr:uid="{00000000-0005-0000-0000-0000910A0000}"/>
    <cellStyle name="Borders 4 2 10" xfId="24445" xr:uid="{00000000-0005-0000-0000-0000920A0000}"/>
    <cellStyle name="Borders 4 2 11" xfId="25796" xr:uid="{00000000-0005-0000-0000-0000930A0000}"/>
    <cellStyle name="Borders 4 2 12" xfId="35782" xr:uid="{00000000-0005-0000-0000-0000940A0000}"/>
    <cellStyle name="Borders 4 2 13" xfId="43608" xr:uid="{00000000-0005-0000-0000-0000950A0000}"/>
    <cellStyle name="Borders 4 2 2" xfId="1091" xr:uid="{00000000-0005-0000-0000-0000960A0000}"/>
    <cellStyle name="Borders 4 2 2 10" xfId="32388" xr:uid="{00000000-0005-0000-0000-0000970A0000}"/>
    <cellStyle name="Borders 4 2 2 11" xfId="36149" xr:uid="{00000000-0005-0000-0000-0000980A0000}"/>
    <cellStyle name="Borders 4 2 2 12" xfId="43975" xr:uid="{00000000-0005-0000-0000-0000990A0000}"/>
    <cellStyle name="Borders 4 2 2 2" xfId="1818" xr:uid="{00000000-0005-0000-0000-00009A0A0000}"/>
    <cellStyle name="Borders 4 2 2 2 10" xfId="33105" xr:uid="{00000000-0005-0000-0000-00009B0A0000}"/>
    <cellStyle name="Borders 4 2 2 2 11" xfId="36875" xr:uid="{00000000-0005-0000-0000-00009C0A0000}"/>
    <cellStyle name="Borders 4 2 2 2 12" xfId="40866" xr:uid="{00000000-0005-0000-0000-00009D0A0000}"/>
    <cellStyle name="Borders 4 2 2 2 13" xfId="44697" xr:uid="{00000000-0005-0000-0000-00009E0A0000}"/>
    <cellStyle name="Borders 4 2 2 2 2" xfId="3808" xr:uid="{00000000-0005-0000-0000-00009F0A0000}"/>
    <cellStyle name="Borders 4 2 2 2 2 10" xfId="42870" xr:uid="{00000000-0005-0000-0000-0000A00A0000}"/>
    <cellStyle name="Borders 4 2 2 2 2 11" xfId="46635" xr:uid="{00000000-0005-0000-0000-0000A10A0000}"/>
    <cellStyle name="Borders 4 2 2 2 2 2" xfId="7675" xr:uid="{00000000-0005-0000-0000-0000A20A0000}"/>
    <cellStyle name="Borders 4 2 2 2 2 3" xfId="12110" xr:uid="{00000000-0005-0000-0000-0000A30A0000}"/>
    <cellStyle name="Borders 4 2 2 2 2 4" xfId="15955" xr:uid="{00000000-0005-0000-0000-0000A40A0000}"/>
    <cellStyle name="Borders 4 2 2 2 2 5" xfId="19802" xr:uid="{00000000-0005-0000-0000-0000A50A0000}"/>
    <cellStyle name="Borders 4 2 2 2 2 6" xfId="23718" xr:uid="{00000000-0005-0000-0000-0000A60A0000}"/>
    <cellStyle name="Borders 4 2 2 2 2 7" xfId="27552" xr:uid="{00000000-0005-0000-0000-0000A70A0000}"/>
    <cellStyle name="Borders 4 2 2 2 2 8" xfId="35073" xr:uid="{00000000-0005-0000-0000-0000A80A0000}"/>
    <cellStyle name="Borders 4 2 2 2 2 9" xfId="38859" xr:uid="{00000000-0005-0000-0000-0000A90A0000}"/>
    <cellStyle name="Borders 4 2 2 2 3" xfId="5751" xr:uid="{00000000-0005-0000-0000-0000AA0A0000}"/>
    <cellStyle name="Borders 4 2 2 2 4" xfId="10109" xr:uid="{00000000-0005-0000-0000-0000AB0A0000}"/>
    <cellStyle name="Borders 4 2 2 2 5" xfId="13955" xr:uid="{00000000-0005-0000-0000-0000AC0A0000}"/>
    <cellStyle name="Borders 4 2 2 2 6" xfId="17784" xr:uid="{00000000-0005-0000-0000-0000AD0A0000}"/>
    <cellStyle name="Borders 4 2 2 2 7" xfId="21723" xr:uid="{00000000-0005-0000-0000-0000AE0A0000}"/>
    <cellStyle name="Borders 4 2 2 2 8" xfId="25536" xr:uid="{00000000-0005-0000-0000-0000AF0A0000}"/>
    <cellStyle name="Borders 4 2 2 2 9" xfId="29423" xr:uid="{00000000-0005-0000-0000-0000B00A0000}"/>
    <cellStyle name="Borders 4 2 2 3" xfId="3081" xr:uid="{00000000-0005-0000-0000-0000B10A0000}"/>
    <cellStyle name="Borders 4 2 2 3 10" xfId="42145" xr:uid="{00000000-0005-0000-0000-0000B20A0000}"/>
    <cellStyle name="Borders 4 2 2 3 11" xfId="45918" xr:uid="{00000000-0005-0000-0000-0000B30A0000}"/>
    <cellStyle name="Borders 4 2 2 3 2" xfId="6957" xr:uid="{00000000-0005-0000-0000-0000B40A0000}"/>
    <cellStyle name="Borders 4 2 2 3 3" xfId="11386" xr:uid="{00000000-0005-0000-0000-0000B50A0000}"/>
    <cellStyle name="Borders 4 2 2 3 4" xfId="15230" xr:uid="{00000000-0005-0000-0000-0000B60A0000}"/>
    <cellStyle name="Borders 4 2 2 3 5" xfId="19075" xr:uid="{00000000-0005-0000-0000-0000B70A0000}"/>
    <cellStyle name="Borders 4 2 2 3 6" xfId="22997" xr:uid="{00000000-0005-0000-0000-0000B80A0000}"/>
    <cellStyle name="Borders 4 2 2 3 7" xfId="26826" xr:uid="{00000000-0005-0000-0000-0000B90A0000}"/>
    <cellStyle name="Borders 4 2 2 3 8" xfId="34356" xr:uid="{00000000-0005-0000-0000-0000BA0A0000}"/>
    <cellStyle name="Borders 4 2 2 3 9" xfId="38133" xr:uid="{00000000-0005-0000-0000-0000BB0A0000}"/>
    <cellStyle name="Borders 4 2 2 4" xfId="5033" xr:uid="{00000000-0005-0000-0000-0000BC0A0000}"/>
    <cellStyle name="Borders 4 2 2 5" xfId="9389" xr:uid="{00000000-0005-0000-0000-0000BD0A0000}"/>
    <cellStyle name="Borders 4 2 2 6" xfId="13229" xr:uid="{00000000-0005-0000-0000-0000BE0A0000}"/>
    <cellStyle name="Borders 4 2 2 7" xfId="17057" xr:uid="{00000000-0005-0000-0000-0000BF0A0000}"/>
    <cellStyle name="Borders 4 2 2 8" xfId="20999" xr:uid="{00000000-0005-0000-0000-0000C00A0000}"/>
    <cellStyle name="Borders 4 2 2 9" xfId="24813" xr:uid="{00000000-0005-0000-0000-0000C10A0000}"/>
    <cellStyle name="Borders 4 2 3" xfId="1465" xr:uid="{00000000-0005-0000-0000-0000C20A0000}"/>
    <cellStyle name="Borders 4 2 3 10" xfId="32752" xr:uid="{00000000-0005-0000-0000-0000C30A0000}"/>
    <cellStyle name="Borders 4 2 3 11" xfId="36522" xr:uid="{00000000-0005-0000-0000-0000C40A0000}"/>
    <cellStyle name="Borders 4 2 3 12" xfId="40513" xr:uid="{00000000-0005-0000-0000-0000C50A0000}"/>
    <cellStyle name="Borders 4 2 3 13" xfId="44344" xr:uid="{00000000-0005-0000-0000-0000C60A0000}"/>
    <cellStyle name="Borders 4 2 3 2" xfId="3455" xr:uid="{00000000-0005-0000-0000-0000C70A0000}"/>
    <cellStyle name="Borders 4 2 3 2 10" xfId="42517" xr:uid="{00000000-0005-0000-0000-0000C80A0000}"/>
    <cellStyle name="Borders 4 2 3 2 11" xfId="46282" xr:uid="{00000000-0005-0000-0000-0000C90A0000}"/>
    <cellStyle name="Borders 4 2 3 2 2" xfId="7322" xr:uid="{00000000-0005-0000-0000-0000CA0A0000}"/>
    <cellStyle name="Borders 4 2 3 2 3" xfId="11757" xr:uid="{00000000-0005-0000-0000-0000CB0A0000}"/>
    <cellStyle name="Borders 4 2 3 2 4" xfId="15602" xr:uid="{00000000-0005-0000-0000-0000CC0A0000}"/>
    <cellStyle name="Borders 4 2 3 2 5" xfId="19449" xr:uid="{00000000-0005-0000-0000-0000CD0A0000}"/>
    <cellStyle name="Borders 4 2 3 2 6" xfId="23365" xr:uid="{00000000-0005-0000-0000-0000CE0A0000}"/>
    <cellStyle name="Borders 4 2 3 2 7" xfId="27199" xr:uid="{00000000-0005-0000-0000-0000CF0A0000}"/>
    <cellStyle name="Borders 4 2 3 2 8" xfId="34720" xr:uid="{00000000-0005-0000-0000-0000D00A0000}"/>
    <cellStyle name="Borders 4 2 3 2 9" xfId="38506" xr:uid="{00000000-0005-0000-0000-0000D10A0000}"/>
    <cellStyle name="Borders 4 2 3 3" xfId="5398" xr:uid="{00000000-0005-0000-0000-0000D20A0000}"/>
    <cellStyle name="Borders 4 2 3 4" xfId="9756" xr:uid="{00000000-0005-0000-0000-0000D30A0000}"/>
    <cellStyle name="Borders 4 2 3 5" xfId="13602" xr:uid="{00000000-0005-0000-0000-0000D40A0000}"/>
    <cellStyle name="Borders 4 2 3 6" xfId="17431" xr:uid="{00000000-0005-0000-0000-0000D50A0000}"/>
    <cellStyle name="Borders 4 2 3 7" xfId="21370" xr:uid="{00000000-0005-0000-0000-0000D60A0000}"/>
    <cellStyle name="Borders 4 2 3 8" xfId="25183" xr:uid="{00000000-0005-0000-0000-0000D70A0000}"/>
    <cellStyle name="Borders 4 2 3 9" xfId="29070" xr:uid="{00000000-0005-0000-0000-0000D80A0000}"/>
    <cellStyle name="Borders 4 2 4" xfId="2714" xr:uid="{00000000-0005-0000-0000-0000D90A0000}"/>
    <cellStyle name="Borders 4 2 4 10" xfId="41780" xr:uid="{00000000-0005-0000-0000-0000DA0A0000}"/>
    <cellStyle name="Borders 4 2 4 11" xfId="45565" xr:uid="{00000000-0005-0000-0000-0000DB0A0000}"/>
    <cellStyle name="Borders 4 2 4 2" xfId="6602" xr:uid="{00000000-0005-0000-0000-0000DC0A0000}"/>
    <cellStyle name="Borders 4 2 4 3" xfId="11026" xr:uid="{00000000-0005-0000-0000-0000DD0A0000}"/>
    <cellStyle name="Borders 4 2 4 4" xfId="14870" xr:uid="{00000000-0005-0000-0000-0000DE0A0000}"/>
    <cellStyle name="Borders 4 2 4 5" xfId="18708" xr:uid="{00000000-0005-0000-0000-0000DF0A0000}"/>
    <cellStyle name="Borders 4 2 4 6" xfId="22639" xr:uid="{00000000-0005-0000-0000-0000E00A0000}"/>
    <cellStyle name="Borders 4 2 4 7" xfId="26459" xr:uid="{00000000-0005-0000-0000-0000E10A0000}"/>
    <cellStyle name="Borders 4 2 4 8" xfId="34003" xr:uid="{00000000-0005-0000-0000-0000E20A0000}"/>
    <cellStyle name="Borders 4 2 4 9" xfId="37766" xr:uid="{00000000-0005-0000-0000-0000E30A0000}"/>
    <cellStyle name="Borders 4 2 5" xfId="4678" xr:uid="{00000000-0005-0000-0000-0000E40A0000}"/>
    <cellStyle name="Borders 4 2 6" xfId="9020" xr:uid="{00000000-0005-0000-0000-0000E50A0000}"/>
    <cellStyle name="Borders 4 2 7" xfId="12857" xr:uid="{00000000-0005-0000-0000-0000E60A0000}"/>
    <cellStyle name="Borders 4 2 8" xfId="16687" xr:uid="{00000000-0005-0000-0000-0000E70A0000}"/>
    <cellStyle name="Borders 4 2 9" xfId="20624" xr:uid="{00000000-0005-0000-0000-0000E80A0000}"/>
    <cellStyle name="Borders 4 20" xfId="8813" xr:uid="{00000000-0005-0000-0000-0000E90A0000}"/>
    <cellStyle name="Borders 4 21" xfId="20490" xr:uid="{00000000-0005-0000-0000-0000EA0A0000}"/>
    <cellStyle name="Borders 4 22" xfId="21987" xr:uid="{00000000-0005-0000-0000-0000EB0A0000}"/>
    <cellStyle name="Borders 4 23" xfId="31149" xr:uid="{00000000-0005-0000-0000-0000EC0A0000}"/>
    <cellStyle name="Borders 4 24" xfId="8455" xr:uid="{00000000-0005-0000-0000-0000ED0A0000}"/>
    <cellStyle name="Borders 4 25" xfId="39673" xr:uid="{00000000-0005-0000-0000-0000EE0A0000}"/>
    <cellStyle name="Borders 4 26" xfId="47388" xr:uid="{00000000-0005-0000-0000-0000EF0A0000}"/>
    <cellStyle name="Borders 4 27" xfId="47474" xr:uid="{00000000-0005-0000-0000-0000F00A0000}"/>
    <cellStyle name="Borders 4 28" xfId="47523" xr:uid="{00000000-0005-0000-0000-0000F10A0000}"/>
    <cellStyle name="Borders 4 3" xfId="650" xr:uid="{00000000-0005-0000-0000-0000F20A0000}"/>
    <cellStyle name="Borders 4 3 10" xfId="17953" xr:uid="{00000000-0005-0000-0000-0000F30A0000}"/>
    <cellStyle name="Borders 4 3 11" xfId="30700" xr:uid="{00000000-0005-0000-0000-0000F40A0000}"/>
    <cellStyle name="Borders 4 3 12" xfId="8716" xr:uid="{00000000-0005-0000-0000-0000F50A0000}"/>
    <cellStyle name="Borders 4 3 13" xfId="39544" xr:uid="{00000000-0005-0000-0000-0000F60A0000}"/>
    <cellStyle name="Borders 4 3 2" xfId="1030" xr:uid="{00000000-0005-0000-0000-0000F70A0000}"/>
    <cellStyle name="Borders 4 3 2 10" xfId="32329" xr:uid="{00000000-0005-0000-0000-0000F80A0000}"/>
    <cellStyle name="Borders 4 3 2 11" xfId="36088" xr:uid="{00000000-0005-0000-0000-0000F90A0000}"/>
    <cellStyle name="Borders 4 3 2 12" xfId="43914" xr:uid="{00000000-0005-0000-0000-0000FA0A0000}"/>
    <cellStyle name="Borders 4 3 2 2" xfId="1759" xr:uid="{00000000-0005-0000-0000-0000FB0A0000}"/>
    <cellStyle name="Borders 4 3 2 2 10" xfId="33046" xr:uid="{00000000-0005-0000-0000-0000FC0A0000}"/>
    <cellStyle name="Borders 4 3 2 2 11" xfId="36816" xr:uid="{00000000-0005-0000-0000-0000FD0A0000}"/>
    <cellStyle name="Borders 4 3 2 2 12" xfId="40807" xr:uid="{00000000-0005-0000-0000-0000FE0A0000}"/>
    <cellStyle name="Borders 4 3 2 2 13" xfId="44638" xr:uid="{00000000-0005-0000-0000-0000FF0A0000}"/>
    <cellStyle name="Borders 4 3 2 2 2" xfId="3749" xr:uid="{00000000-0005-0000-0000-0000000B0000}"/>
    <cellStyle name="Borders 4 3 2 2 2 10" xfId="42811" xr:uid="{00000000-0005-0000-0000-0000010B0000}"/>
    <cellStyle name="Borders 4 3 2 2 2 11" xfId="46576" xr:uid="{00000000-0005-0000-0000-0000020B0000}"/>
    <cellStyle name="Borders 4 3 2 2 2 2" xfId="7616" xr:uid="{00000000-0005-0000-0000-0000030B0000}"/>
    <cellStyle name="Borders 4 3 2 2 2 3" xfId="12051" xr:uid="{00000000-0005-0000-0000-0000040B0000}"/>
    <cellStyle name="Borders 4 3 2 2 2 4" xfId="15896" xr:uid="{00000000-0005-0000-0000-0000050B0000}"/>
    <cellStyle name="Borders 4 3 2 2 2 5" xfId="19743" xr:uid="{00000000-0005-0000-0000-0000060B0000}"/>
    <cellStyle name="Borders 4 3 2 2 2 6" xfId="23659" xr:uid="{00000000-0005-0000-0000-0000070B0000}"/>
    <cellStyle name="Borders 4 3 2 2 2 7" xfId="27493" xr:uid="{00000000-0005-0000-0000-0000080B0000}"/>
    <cellStyle name="Borders 4 3 2 2 2 8" xfId="35014" xr:uid="{00000000-0005-0000-0000-0000090B0000}"/>
    <cellStyle name="Borders 4 3 2 2 2 9" xfId="38800" xr:uid="{00000000-0005-0000-0000-00000A0B0000}"/>
    <cellStyle name="Borders 4 3 2 2 3" xfId="5692" xr:uid="{00000000-0005-0000-0000-00000B0B0000}"/>
    <cellStyle name="Borders 4 3 2 2 4" xfId="10050" xr:uid="{00000000-0005-0000-0000-00000C0B0000}"/>
    <cellStyle name="Borders 4 3 2 2 5" xfId="13896" xr:uid="{00000000-0005-0000-0000-00000D0B0000}"/>
    <cellStyle name="Borders 4 3 2 2 6" xfId="17725" xr:uid="{00000000-0005-0000-0000-00000E0B0000}"/>
    <cellStyle name="Borders 4 3 2 2 7" xfId="21664" xr:uid="{00000000-0005-0000-0000-00000F0B0000}"/>
    <cellStyle name="Borders 4 3 2 2 8" xfId="25477" xr:uid="{00000000-0005-0000-0000-0000100B0000}"/>
    <cellStyle name="Borders 4 3 2 2 9" xfId="29364" xr:uid="{00000000-0005-0000-0000-0000110B0000}"/>
    <cellStyle name="Borders 4 3 2 3" xfId="3020" xr:uid="{00000000-0005-0000-0000-0000120B0000}"/>
    <cellStyle name="Borders 4 3 2 3 10" xfId="42084" xr:uid="{00000000-0005-0000-0000-0000130B0000}"/>
    <cellStyle name="Borders 4 3 2 3 11" xfId="45859" xr:uid="{00000000-0005-0000-0000-0000140B0000}"/>
    <cellStyle name="Borders 4 3 2 3 2" xfId="6898" xr:uid="{00000000-0005-0000-0000-0000150B0000}"/>
    <cellStyle name="Borders 4 3 2 3 3" xfId="11326" xr:uid="{00000000-0005-0000-0000-0000160B0000}"/>
    <cellStyle name="Borders 4 3 2 3 4" xfId="15171" xr:uid="{00000000-0005-0000-0000-0000170B0000}"/>
    <cellStyle name="Borders 4 3 2 3 5" xfId="19014" xr:uid="{00000000-0005-0000-0000-0000180B0000}"/>
    <cellStyle name="Borders 4 3 2 3 6" xfId="22938" xr:uid="{00000000-0005-0000-0000-0000190B0000}"/>
    <cellStyle name="Borders 4 3 2 3 7" xfId="26765" xr:uid="{00000000-0005-0000-0000-00001A0B0000}"/>
    <cellStyle name="Borders 4 3 2 3 8" xfId="34297" xr:uid="{00000000-0005-0000-0000-00001B0B0000}"/>
    <cellStyle name="Borders 4 3 2 3 9" xfId="38072" xr:uid="{00000000-0005-0000-0000-00001C0B0000}"/>
    <cellStyle name="Borders 4 3 2 4" xfId="4974" xr:uid="{00000000-0005-0000-0000-00001D0B0000}"/>
    <cellStyle name="Borders 4 3 2 5" xfId="9329" xr:uid="{00000000-0005-0000-0000-00001E0B0000}"/>
    <cellStyle name="Borders 4 3 2 6" xfId="13170" xr:uid="{00000000-0005-0000-0000-00001F0B0000}"/>
    <cellStyle name="Borders 4 3 2 7" xfId="16996" xr:uid="{00000000-0005-0000-0000-0000200B0000}"/>
    <cellStyle name="Borders 4 3 2 8" xfId="20938" xr:uid="{00000000-0005-0000-0000-0000210B0000}"/>
    <cellStyle name="Borders 4 3 2 9" xfId="24753" xr:uid="{00000000-0005-0000-0000-0000220B0000}"/>
    <cellStyle name="Borders 4 3 3" xfId="1406" xr:uid="{00000000-0005-0000-0000-0000230B0000}"/>
    <cellStyle name="Borders 4 3 3 10" xfId="32693" xr:uid="{00000000-0005-0000-0000-0000240B0000}"/>
    <cellStyle name="Borders 4 3 3 11" xfId="36463" xr:uid="{00000000-0005-0000-0000-0000250B0000}"/>
    <cellStyle name="Borders 4 3 3 12" xfId="40454" xr:uid="{00000000-0005-0000-0000-0000260B0000}"/>
    <cellStyle name="Borders 4 3 3 13" xfId="44285" xr:uid="{00000000-0005-0000-0000-0000270B0000}"/>
    <cellStyle name="Borders 4 3 3 2" xfId="3396" xr:uid="{00000000-0005-0000-0000-0000280B0000}"/>
    <cellStyle name="Borders 4 3 3 2 10" xfId="42458" xr:uid="{00000000-0005-0000-0000-0000290B0000}"/>
    <cellStyle name="Borders 4 3 3 2 11" xfId="46223" xr:uid="{00000000-0005-0000-0000-00002A0B0000}"/>
    <cellStyle name="Borders 4 3 3 2 2" xfId="7263" xr:uid="{00000000-0005-0000-0000-00002B0B0000}"/>
    <cellStyle name="Borders 4 3 3 2 3" xfId="11698" xr:uid="{00000000-0005-0000-0000-00002C0B0000}"/>
    <cellStyle name="Borders 4 3 3 2 4" xfId="15543" xr:uid="{00000000-0005-0000-0000-00002D0B0000}"/>
    <cellStyle name="Borders 4 3 3 2 5" xfId="19390" xr:uid="{00000000-0005-0000-0000-00002E0B0000}"/>
    <cellStyle name="Borders 4 3 3 2 6" xfId="23306" xr:uid="{00000000-0005-0000-0000-00002F0B0000}"/>
    <cellStyle name="Borders 4 3 3 2 7" xfId="27140" xr:uid="{00000000-0005-0000-0000-0000300B0000}"/>
    <cellStyle name="Borders 4 3 3 2 8" xfId="34661" xr:uid="{00000000-0005-0000-0000-0000310B0000}"/>
    <cellStyle name="Borders 4 3 3 2 9" xfId="38447" xr:uid="{00000000-0005-0000-0000-0000320B0000}"/>
    <cellStyle name="Borders 4 3 3 3" xfId="5339" xr:uid="{00000000-0005-0000-0000-0000330B0000}"/>
    <cellStyle name="Borders 4 3 3 4" xfId="9697" xr:uid="{00000000-0005-0000-0000-0000340B0000}"/>
    <cellStyle name="Borders 4 3 3 5" xfId="13543" xr:uid="{00000000-0005-0000-0000-0000350B0000}"/>
    <cellStyle name="Borders 4 3 3 6" xfId="17372" xr:uid="{00000000-0005-0000-0000-0000360B0000}"/>
    <cellStyle name="Borders 4 3 3 7" xfId="21311" xr:uid="{00000000-0005-0000-0000-0000370B0000}"/>
    <cellStyle name="Borders 4 3 3 8" xfId="25124" xr:uid="{00000000-0005-0000-0000-0000380B0000}"/>
    <cellStyle name="Borders 4 3 3 9" xfId="29011" xr:uid="{00000000-0005-0000-0000-0000390B0000}"/>
    <cellStyle name="Borders 4 3 4" xfId="2653" xr:uid="{00000000-0005-0000-0000-00003A0B0000}"/>
    <cellStyle name="Borders 4 3 4 10" xfId="41719" xr:uid="{00000000-0005-0000-0000-00003B0B0000}"/>
    <cellStyle name="Borders 4 3 4 11" xfId="45506" xr:uid="{00000000-0005-0000-0000-00003C0B0000}"/>
    <cellStyle name="Borders 4 3 4 2" xfId="6543" xr:uid="{00000000-0005-0000-0000-00003D0B0000}"/>
    <cellStyle name="Borders 4 3 4 3" xfId="10967" xr:uid="{00000000-0005-0000-0000-00003E0B0000}"/>
    <cellStyle name="Borders 4 3 4 4" xfId="14811" xr:uid="{00000000-0005-0000-0000-00003F0B0000}"/>
    <cellStyle name="Borders 4 3 4 5" xfId="18647" xr:uid="{00000000-0005-0000-0000-0000400B0000}"/>
    <cellStyle name="Borders 4 3 4 6" xfId="22580" xr:uid="{00000000-0005-0000-0000-0000410B0000}"/>
    <cellStyle name="Borders 4 3 4 7" xfId="26398" xr:uid="{00000000-0005-0000-0000-0000420B0000}"/>
    <cellStyle name="Borders 4 3 4 8" xfId="33944" xr:uid="{00000000-0005-0000-0000-0000430B0000}"/>
    <cellStyle name="Borders 4 3 4 9" xfId="37705" xr:uid="{00000000-0005-0000-0000-0000440B0000}"/>
    <cellStyle name="Borders 4 3 5" xfId="4619" xr:uid="{00000000-0005-0000-0000-0000450B0000}"/>
    <cellStyle name="Borders 4 3 6" xfId="8959" xr:uid="{00000000-0005-0000-0000-0000460B0000}"/>
    <cellStyle name="Borders 4 3 7" xfId="12798" xr:uid="{00000000-0005-0000-0000-0000470B0000}"/>
    <cellStyle name="Borders 4 3 8" xfId="8841" xr:uid="{00000000-0005-0000-0000-0000480B0000}"/>
    <cellStyle name="Borders 4 3 9" xfId="20563" xr:uid="{00000000-0005-0000-0000-0000490B0000}"/>
    <cellStyle name="Borders 4 4" xfId="793" xr:uid="{00000000-0005-0000-0000-00004A0B0000}"/>
    <cellStyle name="Borders 4 4 10" xfId="24519" xr:uid="{00000000-0005-0000-0000-00004B0B0000}"/>
    <cellStyle name="Borders 4 4 11" xfId="32096" xr:uid="{00000000-0005-0000-0000-00004C0B0000}"/>
    <cellStyle name="Borders 4 4 12" xfId="35851" xr:uid="{00000000-0005-0000-0000-00004D0B0000}"/>
    <cellStyle name="Borders 4 4 13" xfId="43677" xr:uid="{00000000-0005-0000-0000-00004E0B0000}"/>
    <cellStyle name="Borders 4 4 2" xfId="1157" xr:uid="{00000000-0005-0000-0000-00004F0B0000}"/>
    <cellStyle name="Borders 4 4 2 10" xfId="32449" xr:uid="{00000000-0005-0000-0000-0000500B0000}"/>
    <cellStyle name="Borders 4 4 2 11" xfId="36215" xr:uid="{00000000-0005-0000-0000-0000510B0000}"/>
    <cellStyle name="Borders 4 4 2 12" xfId="44041" xr:uid="{00000000-0005-0000-0000-0000520B0000}"/>
    <cellStyle name="Borders 4 4 2 2" xfId="1879" xr:uid="{00000000-0005-0000-0000-0000530B0000}"/>
    <cellStyle name="Borders 4 4 2 2 10" xfId="33166" xr:uid="{00000000-0005-0000-0000-0000540B0000}"/>
    <cellStyle name="Borders 4 4 2 2 11" xfId="36936" xr:uid="{00000000-0005-0000-0000-0000550B0000}"/>
    <cellStyle name="Borders 4 4 2 2 12" xfId="40927" xr:uid="{00000000-0005-0000-0000-0000560B0000}"/>
    <cellStyle name="Borders 4 4 2 2 13" xfId="44758" xr:uid="{00000000-0005-0000-0000-0000570B0000}"/>
    <cellStyle name="Borders 4 4 2 2 2" xfId="3869" xr:uid="{00000000-0005-0000-0000-0000580B0000}"/>
    <cellStyle name="Borders 4 4 2 2 2 10" xfId="42931" xr:uid="{00000000-0005-0000-0000-0000590B0000}"/>
    <cellStyle name="Borders 4 4 2 2 2 11" xfId="46696" xr:uid="{00000000-0005-0000-0000-00005A0B0000}"/>
    <cellStyle name="Borders 4 4 2 2 2 2" xfId="7736" xr:uid="{00000000-0005-0000-0000-00005B0B0000}"/>
    <cellStyle name="Borders 4 4 2 2 2 3" xfId="12171" xr:uid="{00000000-0005-0000-0000-00005C0B0000}"/>
    <cellStyle name="Borders 4 4 2 2 2 4" xfId="16016" xr:uid="{00000000-0005-0000-0000-00005D0B0000}"/>
    <cellStyle name="Borders 4 4 2 2 2 5" xfId="19863" xr:uid="{00000000-0005-0000-0000-00005E0B0000}"/>
    <cellStyle name="Borders 4 4 2 2 2 6" xfId="23779" xr:uid="{00000000-0005-0000-0000-00005F0B0000}"/>
    <cellStyle name="Borders 4 4 2 2 2 7" xfId="27613" xr:uid="{00000000-0005-0000-0000-0000600B0000}"/>
    <cellStyle name="Borders 4 4 2 2 2 8" xfId="35134" xr:uid="{00000000-0005-0000-0000-0000610B0000}"/>
    <cellStyle name="Borders 4 4 2 2 2 9" xfId="38920" xr:uid="{00000000-0005-0000-0000-0000620B0000}"/>
    <cellStyle name="Borders 4 4 2 2 3" xfId="5812" xr:uid="{00000000-0005-0000-0000-0000630B0000}"/>
    <cellStyle name="Borders 4 4 2 2 4" xfId="10170" xr:uid="{00000000-0005-0000-0000-0000640B0000}"/>
    <cellStyle name="Borders 4 4 2 2 5" xfId="14016" xr:uid="{00000000-0005-0000-0000-0000650B0000}"/>
    <cellStyle name="Borders 4 4 2 2 6" xfId="17845" xr:uid="{00000000-0005-0000-0000-0000660B0000}"/>
    <cellStyle name="Borders 4 4 2 2 7" xfId="21784" xr:uid="{00000000-0005-0000-0000-0000670B0000}"/>
    <cellStyle name="Borders 4 4 2 2 8" xfId="25597" xr:uid="{00000000-0005-0000-0000-0000680B0000}"/>
    <cellStyle name="Borders 4 4 2 2 9" xfId="29484" xr:uid="{00000000-0005-0000-0000-0000690B0000}"/>
    <cellStyle name="Borders 4 4 2 3" xfId="3147" xr:uid="{00000000-0005-0000-0000-00006A0B0000}"/>
    <cellStyle name="Borders 4 4 2 3 10" xfId="42210" xr:uid="{00000000-0005-0000-0000-00006B0B0000}"/>
    <cellStyle name="Borders 4 4 2 3 11" xfId="45979" xr:uid="{00000000-0005-0000-0000-00006C0B0000}"/>
    <cellStyle name="Borders 4 4 2 3 2" xfId="7019" xr:uid="{00000000-0005-0000-0000-00006D0B0000}"/>
    <cellStyle name="Borders 4 4 2 3 3" xfId="11451" xr:uid="{00000000-0005-0000-0000-00006E0B0000}"/>
    <cellStyle name="Borders 4 4 2 3 4" xfId="15295" xr:uid="{00000000-0005-0000-0000-00006F0B0000}"/>
    <cellStyle name="Borders 4 4 2 3 5" xfId="19141" xr:uid="{00000000-0005-0000-0000-0000700B0000}"/>
    <cellStyle name="Borders 4 4 2 3 6" xfId="23060" xr:uid="{00000000-0005-0000-0000-0000710B0000}"/>
    <cellStyle name="Borders 4 4 2 3 7" xfId="26892" xr:uid="{00000000-0005-0000-0000-0000720B0000}"/>
    <cellStyle name="Borders 4 4 2 3 8" xfId="34417" xr:uid="{00000000-0005-0000-0000-0000730B0000}"/>
    <cellStyle name="Borders 4 4 2 3 9" xfId="38199" xr:uid="{00000000-0005-0000-0000-0000740B0000}"/>
    <cellStyle name="Borders 4 4 2 4" xfId="5095" xr:uid="{00000000-0005-0000-0000-0000750B0000}"/>
    <cellStyle name="Borders 4 4 2 5" xfId="9451" xr:uid="{00000000-0005-0000-0000-0000760B0000}"/>
    <cellStyle name="Borders 4 4 2 6" xfId="13295" xr:uid="{00000000-0005-0000-0000-0000770B0000}"/>
    <cellStyle name="Borders 4 4 2 7" xfId="17123" xr:uid="{00000000-0005-0000-0000-0000780B0000}"/>
    <cellStyle name="Borders 4 4 2 8" xfId="21065" xr:uid="{00000000-0005-0000-0000-0000790B0000}"/>
    <cellStyle name="Borders 4 4 2 9" xfId="24876" xr:uid="{00000000-0005-0000-0000-00007A0B0000}"/>
    <cellStyle name="Borders 4 4 3" xfId="1526" xr:uid="{00000000-0005-0000-0000-00007B0B0000}"/>
    <cellStyle name="Borders 4 4 3 10" xfId="32813" xr:uid="{00000000-0005-0000-0000-00007C0B0000}"/>
    <cellStyle name="Borders 4 4 3 11" xfId="36583" xr:uid="{00000000-0005-0000-0000-00007D0B0000}"/>
    <cellStyle name="Borders 4 4 3 12" xfId="40574" xr:uid="{00000000-0005-0000-0000-00007E0B0000}"/>
    <cellStyle name="Borders 4 4 3 13" xfId="44405" xr:uid="{00000000-0005-0000-0000-00007F0B0000}"/>
    <cellStyle name="Borders 4 4 3 2" xfId="3516" xr:uid="{00000000-0005-0000-0000-0000800B0000}"/>
    <cellStyle name="Borders 4 4 3 2 10" xfId="42578" xr:uid="{00000000-0005-0000-0000-0000810B0000}"/>
    <cellStyle name="Borders 4 4 3 2 11" xfId="46343" xr:uid="{00000000-0005-0000-0000-0000820B0000}"/>
    <cellStyle name="Borders 4 4 3 2 2" xfId="7383" xr:uid="{00000000-0005-0000-0000-0000830B0000}"/>
    <cellStyle name="Borders 4 4 3 2 3" xfId="11818" xr:uid="{00000000-0005-0000-0000-0000840B0000}"/>
    <cellStyle name="Borders 4 4 3 2 4" xfId="15663" xr:uid="{00000000-0005-0000-0000-0000850B0000}"/>
    <cellStyle name="Borders 4 4 3 2 5" xfId="19510" xr:uid="{00000000-0005-0000-0000-0000860B0000}"/>
    <cellStyle name="Borders 4 4 3 2 6" xfId="23426" xr:uid="{00000000-0005-0000-0000-0000870B0000}"/>
    <cellStyle name="Borders 4 4 3 2 7" xfId="27260" xr:uid="{00000000-0005-0000-0000-0000880B0000}"/>
    <cellStyle name="Borders 4 4 3 2 8" xfId="34781" xr:uid="{00000000-0005-0000-0000-0000890B0000}"/>
    <cellStyle name="Borders 4 4 3 2 9" xfId="38567" xr:uid="{00000000-0005-0000-0000-00008A0B0000}"/>
    <cellStyle name="Borders 4 4 3 3" xfId="5459" xr:uid="{00000000-0005-0000-0000-00008B0B0000}"/>
    <cellStyle name="Borders 4 4 3 4" xfId="9817" xr:uid="{00000000-0005-0000-0000-00008C0B0000}"/>
    <cellStyle name="Borders 4 4 3 5" xfId="13663" xr:uid="{00000000-0005-0000-0000-00008D0B0000}"/>
    <cellStyle name="Borders 4 4 3 6" xfId="17492" xr:uid="{00000000-0005-0000-0000-00008E0B0000}"/>
    <cellStyle name="Borders 4 4 3 7" xfId="21431" xr:uid="{00000000-0005-0000-0000-00008F0B0000}"/>
    <cellStyle name="Borders 4 4 3 8" xfId="25244" xr:uid="{00000000-0005-0000-0000-0000900B0000}"/>
    <cellStyle name="Borders 4 4 3 9" xfId="29131" xr:uid="{00000000-0005-0000-0000-0000910B0000}"/>
    <cellStyle name="Borders 4 4 4" xfId="2783" xr:uid="{00000000-0005-0000-0000-0000920B0000}"/>
    <cellStyle name="Borders 4 4 4 10" xfId="41847" xr:uid="{00000000-0005-0000-0000-0000930B0000}"/>
    <cellStyle name="Borders 4 4 4 11" xfId="45626" xr:uid="{00000000-0005-0000-0000-0000940B0000}"/>
    <cellStyle name="Borders 4 4 4 2" xfId="6665" xr:uid="{00000000-0005-0000-0000-0000950B0000}"/>
    <cellStyle name="Borders 4 4 4 3" xfId="11091" xr:uid="{00000000-0005-0000-0000-0000960B0000}"/>
    <cellStyle name="Borders 4 4 4 4" xfId="14937" xr:uid="{00000000-0005-0000-0000-0000970B0000}"/>
    <cellStyle name="Borders 4 4 4 5" xfId="18777" xr:uid="{00000000-0005-0000-0000-0000980B0000}"/>
    <cellStyle name="Borders 4 4 4 6" xfId="22704" xr:uid="{00000000-0005-0000-0000-0000990B0000}"/>
    <cellStyle name="Borders 4 4 4 7" xfId="26528" xr:uid="{00000000-0005-0000-0000-00009A0B0000}"/>
    <cellStyle name="Borders 4 4 4 8" xfId="34064" xr:uid="{00000000-0005-0000-0000-00009B0B0000}"/>
    <cellStyle name="Borders 4 4 4 9" xfId="37835" xr:uid="{00000000-0005-0000-0000-00009C0B0000}"/>
    <cellStyle name="Borders 4 4 5" xfId="4741" xr:uid="{00000000-0005-0000-0000-00009D0B0000}"/>
    <cellStyle name="Borders 4 4 6" xfId="9093" xr:uid="{00000000-0005-0000-0000-00009E0B0000}"/>
    <cellStyle name="Borders 4 4 7" xfId="12935" xr:uid="{00000000-0005-0000-0000-00009F0B0000}"/>
    <cellStyle name="Borders 4 4 8" xfId="16759" xr:uid="{00000000-0005-0000-0000-0000A00B0000}"/>
    <cellStyle name="Borders 4 4 9" xfId="20701" xr:uid="{00000000-0005-0000-0000-0000A10B0000}"/>
    <cellStyle name="Borders 4 5" xfId="819" xr:uid="{00000000-0005-0000-0000-0000A20B0000}"/>
    <cellStyle name="Borders 4 5 10" xfId="24543" xr:uid="{00000000-0005-0000-0000-0000A30B0000}"/>
    <cellStyle name="Borders 4 5 11" xfId="32120" xr:uid="{00000000-0005-0000-0000-0000A40B0000}"/>
    <cellStyle name="Borders 4 5 12" xfId="35877" xr:uid="{00000000-0005-0000-0000-0000A50B0000}"/>
    <cellStyle name="Borders 4 5 13" xfId="43703" xr:uid="{00000000-0005-0000-0000-0000A60B0000}"/>
    <cellStyle name="Borders 4 5 2" xfId="1181" xr:uid="{00000000-0005-0000-0000-0000A70B0000}"/>
    <cellStyle name="Borders 4 5 2 10" xfId="32473" xr:uid="{00000000-0005-0000-0000-0000A80B0000}"/>
    <cellStyle name="Borders 4 5 2 11" xfId="36239" xr:uid="{00000000-0005-0000-0000-0000A90B0000}"/>
    <cellStyle name="Borders 4 5 2 12" xfId="44065" xr:uid="{00000000-0005-0000-0000-0000AA0B0000}"/>
    <cellStyle name="Borders 4 5 2 2" xfId="1903" xr:uid="{00000000-0005-0000-0000-0000AB0B0000}"/>
    <cellStyle name="Borders 4 5 2 2 10" xfId="33190" xr:uid="{00000000-0005-0000-0000-0000AC0B0000}"/>
    <cellStyle name="Borders 4 5 2 2 11" xfId="36960" xr:uid="{00000000-0005-0000-0000-0000AD0B0000}"/>
    <cellStyle name="Borders 4 5 2 2 12" xfId="40951" xr:uid="{00000000-0005-0000-0000-0000AE0B0000}"/>
    <cellStyle name="Borders 4 5 2 2 13" xfId="44782" xr:uid="{00000000-0005-0000-0000-0000AF0B0000}"/>
    <cellStyle name="Borders 4 5 2 2 2" xfId="3893" xr:uid="{00000000-0005-0000-0000-0000B00B0000}"/>
    <cellStyle name="Borders 4 5 2 2 2 10" xfId="42955" xr:uid="{00000000-0005-0000-0000-0000B10B0000}"/>
    <cellStyle name="Borders 4 5 2 2 2 11" xfId="46720" xr:uid="{00000000-0005-0000-0000-0000B20B0000}"/>
    <cellStyle name="Borders 4 5 2 2 2 2" xfId="7760" xr:uid="{00000000-0005-0000-0000-0000B30B0000}"/>
    <cellStyle name="Borders 4 5 2 2 2 3" xfId="12195" xr:uid="{00000000-0005-0000-0000-0000B40B0000}"/>
    <cellStyle name="Borders 4 5 2 2 2 4" xfId="16040" xr:uid="{00000000-0005-0000-0000-0000B50B0000}"/>
    <cellStyle name="Borders 4 5 2 2 2 5" xfId="19887" xr:uid="{00000000-0005-0000-0000-0000B60B0000}"/>
    <cellStyle name="Borders 4 5 2 2 2 6" xfId="23803" xr:uid="{00000000-0005-0000-0000-0000B70B0000}"/>
    <cellStyle name="Borders 4 5 2 2 2 7" xfId="27637" xr:uid="{00000000-0005-0000-0000-0000B80B0000}"/>
    <cellStyle name="Borders 4 5 2 2 2 8" xfId="35158" xr:uid="{00000000-0005-0000-0000-0000B90B0000}"/>
    <cellStyle name="Borders 4 5 2 2 2 9" xfId="38944" xr:uid="{00000000-0005-0000-0000-0000BA0B0000}"/>
    <cellStyle name="Borders 4 5 2 2 3" xfId="5836" xr:uid="{00000000-0005-0000-0000-0000BB0B0000}"/>
    <cellStyle name="Borders 4 5 2 2 4" xfId="10194" xr:uid="{00000000-0005-0000-0000-0000BC0B0000}"/>
    <cellStyle name="Borders 4 5 2 2 5" xfId="14040" xr:uid="{00000000-0005-0000-0000-0000BD0B0000}"/>
    <cellStyle name="Borders 4 5 2 2 6" xfId="17869" xr:uid="{00000000-0005-0000-0000-0000BE0B0000}"/>
    <cellStyle name="Borders 4 5 2 2 7" xfId="21808" xr:uid="{00000000-0005-0000-0000-0000BF0B0000}"/>
    <cellStyle name="Borders 4 5 2 2 8" xfId="25621" xr:uid="{00000000-0005-0000-0000-0000C00B0000}"/>
    <cellStyle name="Borders 4 5 2 2 9" xfId="29508" xr:uid="{00000000-0005-0000-0000-0000C10B0000}"/>
    <cellStyle name="Borders 4 5 2 3" xfId="3171" xr:uid="{00000000-0005-0000-0000-0000C20B0000}"/>
    <cellStyle name="Borders 4 5 2 3 10" xfId="42234" xr:uid="{00000000-0005-0000-0000-0000C30B0000}"/>
    <cellStyle name="Borders 4 5 2 3 11" xfId="46003" xr:uid="{00000000-0005-0000-0000-0000C40B0000}"/>
    <cellStyle name="Borders 4 5 2 3 2" xfId="7043" xr:uid="{00000000-0005-0000-0000-0000C50B0000}"/>
    <cellStyle name="Borders 4 5 2 3 3" xfId="11475" xr:uid="{00000000-0005-0000-0000-0000C60B0000}"/>
    <cellStyle name="Borders 4 5 2 3 4" xfId="15319" xr:uid="{00000000-0005-0000-0000-0000C70B0000}"/>
    <cellStyle name="Borders 4 5 2 3 5" xfId="19165" xr:uid="{00000000-0005-0000-0000-0000C80B0000}"/>
    <cellStyle name="Borders 4 5 2 3 6" xfId="23084" xr:uid="{00000000-0005-0000-0000-0000C90B0000}"/>
    <cellStyle name="Borders 4 5 2 3 7" xfId="26916" xr:uid="{00000000-0005-0000-0000-0000CA0B0000}"/>
    <cellStyle name="Borders 4 5 2 3 8" xfId="34441" xr:uid="{00000000-0005-0000-0000-0000CB0B0000}"/>
    <cellStyle name="Borders 4 5 2 3 9" xfId="38223" xr:uid="{00000000-0005-0000-0000-0000CC0B0000}"/>
    <cellStyle name="Borders 4 5 2 4" xfId="5119" xr:uid="{00000000-0005-0000-0000-0000CD0B0000}"/>
    <cellStyle name="Borders 4 5 2 5" xfId="9475" xr:uid="{00000000-0005-0000-0000-0000CE0B0000}"/>
    <cellStyle name="Borders 4 5 2 6" xfId="13319" xr:uid="{00000000-0005-0000-0000-0000CF0B0000}"/>
    <cellStyle name="Borders 4 5 2 7" xfId="17147" xr:uid="{00000000-0005-0000-0000-0000D00B0000}"/>
    <cellStyle name="Borders 4 5 2 8" xfId="21089" xr:uid="{00000000-0005-0000-0000-0000D10B0000}"/>
    <cellStyle name="Borders 4 5 2 9" xfId="24900" xr:uid="{00000000-0005-0000-0000-0000D20B0000}"/>
    <cellStyle name="Borders 4 5 3" xfId="1550" xr:uid="{00000000-0005-0000-0000-0000D30B0000}"/>
    <cellStyle name="Borders 4 5 3 10" xfId="32837" xr:uid="{00000000-0005-0000-0000-0000D40B0000}"/>
    <cellStyle name="Borders 4 5 3 11" xfId="36607" xr:uid="{00000000-0005-0000-0000-0000D50B0000}"/>
    <cellStyle name="Borders 4 5 3 12" xfId="40598" xr:uid="{00000000-0005-0000-0000-0000D60B0000}"/>
    <cellStyle name="Borders 4 5 3 13" xfId="44429" xr:uid="{00000000-0005-0000-0000-0000D70B0000}"/>
    <cellStyle name="Borders 4 5 3 2" xfId="3540" xr:uid="{00000000-0005-0000-0000-0000D80B0000}"/>
    <cellStyle name="Borders 4 5 3 2 10" xfId="42602" xr:uid="{00000000-0005-0000-0000-0000D90B0000}"/>
    <cellStyle name="Borders 4 5 3 2 11" xfId="46367" xr:uid="{00000000-0005-0000-0000-0000DA0B0000}"/>
    <cellStyle name="Borders 4 5 3 2 2" xfId="7407" xr:uid="{00000000-0005-0000-0000-0000DB0B0000}"/>
    <cellStyle name="Borders 4 5 3 2 3" xfId="11842" xr:uid="{00000000-0005-0000-0000-0000DC0B0000}"/>
    <cellStyle name="Borders 4 5 3 2 4" xfId="15687" xr:uid="{00000000-0005-0000-0000-0000DD0B0000}"/>
    <cellStyle name="Borders 4 5 3 2 5" xfId="19534" xr:uid="{00000000-0005-0000-0000-0000DE0B0000}"/>
    <cellStyle name="Borders 4 5 3 2 6" xfId="23450" xr:uid="{00000000-0005-0000-0000-0000DF0B0000}"/>
    <cellStyle name="Borders 4 5 3 2 7" xfId="27284" xr:uid="{00000000-0005-0000-0000-0000E00B0000}"/>
    <cellStyle name="Borders 4 5 3 2 8" xfId="34805" xr:uid="{00000000-0005-0000-0000-0000E10B0000}"/>
    <cellStyle name="Borders 4 5 3 2 9" xfId="38591" xr:uid="{00000000-0005-0000-0000-0000E20B0000}"/>
    <cellStyle name="Borders 4 5 3 3" xfId="5483" xr:uid="{00000000-0005-0000-0000-0000E30B0000}"/>
    <cellStyle name="Borders 4 5 3 4" xfId="9841" xr:uid="{00000000-0005-0000-0000-0000E40B0000}"/>
    <cellStyle name="Borders 4 5 3 5" xfId="13687" xr:uid="{00000000-0005-0000-0000-0000E50B0000}"/>
    <cellStyle name="Borders 4 5 3 6" xfId="17516" xr:uid="{00000000-0005-0000-0000-0000E60B0000}"/>
    <cellStyle name="Borders 4 5 3 7" xfId="21455" xr:uid="{00000000-0005-0000-0000-0000E70B0000}"/>
    <cellStyle name="Borders 4 5 3 8" xfId="25268" xr:uid="{00000000-0005-0000-0000-0000E80B0000}"/>
    <cellStyle name="Borders 4 5 3 9" xfId="29155" xr:uid="{00000000-0005-0000-0000-0000E90B0000}"/>
    <cellStyle name="Borders 4 5 4" xfId="2809" xr:uid="{00000000-0005-0000-0000-0000EA0B0000}"/>
    <cellStyle name="Borders 4 5 4 10" xfId="41873" xr:uid="{00000000-0005-0000-0000-0000EB0B0000}"/>
    <cellStyle name="Borders 4 5 4 11" xfId="45650" xr:uid="{00000000-0005-0000-0000-0000EC0B0000}"/>
    <cellStyle name="Borders 4 5 4 2" xfId="6689" xr:uid="{00000000-0005-0000-0000-0000ED0B0000}"/>
    <cellStyle name="Borders 4 5 4 3" xfId="11116" xr:uid="{00000000-0005-0000-0000-0000EE0B0000}"/>
    <cellStyle name="Borders 4 5 4 4" xfId="14961" xr:uid="{00000000-0005-0000-0000-0000EF0B0000}"/>
    <cellStyle name="Borders 4 5 4 5" xfId="18803" xr:uid="{00000000-0005-0000-0000-0000F00B0000}"/>
    <cellStyle name="Borders 4 5 4 6" xfId="22729" xr:uid="{00000000-0005-0000-0000-0000F10B0000}"/>
    <cellStyle name="Borders 4 5 4 7" xfId="26554" xr:uid="{00000000-0005-0000-0000-0000F20B0000}"/>
    <cellStyle name="Borders 4 5 4 8" xfId="34088" xr:uid="{00000000-0005-0000-0000-0000F30B0000}"/>
    <cellStyle name="Borders 4 5 4 9" xfId="37861" xr:uid="{00000000-0005-0000-0000-0000F40B0000}"/>
    <cellStyle name="Borders 4 5 5" xfId="4765" xr:uid="{00000000-0005-0000-0000-0000F50B0000}"/>
    <cellStyle name="Borders 4 5 6" xfId="9119" xr:uid="{00000000-0005-0000-0000-0000F60B0000}"/>
    <cellStyle name="Borders 4 5 7" xfId="12960" xr:uid="{00000000-0005-0000-0000-0000F70B0000}"/>
    <cellStyle name="Borders 4 5 8" xfId="16785" xr:uid="{00000000-0005-0000-0000-0000F80B0000}"/>
    <cellStyle name="Borders 4 5 9" xfId="20727" xr:uid="{00000000-0005-0000-0000-0000F90B0000}"/>
    <cellStyle name="Borders 4 6" xfId="911" xr:uid="{00000000-0005-0000-0000-0000FA0B0000}"/>
    <cellStyle name="Borders 4 6 10" xfId="24635" xr:uid="{00000000-0005-0000-0000-0000FB0B0000}"/>
    <cellStyle name="Borders 4 6 11" xfId="32212" xr:uid="{00000000-0005-0000-0000-0000FC0B0000}"/>
    <cellStyle name="Borders 4 6 12" xfId="35969" xr:uid="{00000000-0005-0000-0000-0000FD0B0000}"/>
    <cellStyle name="Borders 4 6 13" xfId="43795" xr:uid="{00000000-0005-0000-0000-0000FE0B0000}"/>
    <cellStyle name="Borders 4 6 2" xfId="1248" xr:uid="{00000000-0005-0000-0000-0000FF0B0000}"/>
    <cellStyle name="Borders 4 6 2 10" xfId="32540" xr:uid="{00000000-0005-0000-0000-0000000C0000}"/>
    <cellStyle name="Borders 4 6 2 11" xfId="36306" xr:uid="{00000000-0005-0000-0000-0000010C0000}"/>
    <cellStyle name="Borders 4 6 2 12" xfId="44132" xr:uid="{00000000-0005-0000-0000-0000020C0000}"/>
    <cellStyle name="Borders 4 6 2 2" xfId="1970" xr:uid="{00000000-0005-0000-0000-0000030C0000}"/>
    <cellStyle name="Borders 4 6 2 2 10" xfId="33257" xr:uid="{00000000-0005-0000-0000-0000040C0000}"/>
    <cellStyle name="Borders 4 6 2 2 11" xfId="37027" xr:uid="{00000000-0005-0000-0000-0000050C0000}"/>
    <cellStyle name="Borders 4 6 2 2 12" xfId="41018" xr:uid="{00000000-0005-0000-0000-0000060C0000}"/>
    <cellStyle name="Borders 4 6 2 2 13" xfId="44849" xr:uid="{00000000-0005-0000-0000-0000070C0000}"/>
    <cellStyle name="Borders 4 6 2 2 2" xfId="3960" xr:uid="{00000000-0005-0000-0000-0000080C0000}"/>
    <cellStyle name="Borders 4 6 2 2 2 10" xfId="43022" xr:uid="{00000000-0005-0000-0000-0000090C0000}"/>
    <cellStyle name="Borders 4 6 2 2 2 11" xfId="46787" xr:uid="{00000000-0005-0000-0000-00000A0C0000}"/>
    <cellStyle name="Borders 4 6 2 2 2 2" xfId="7827" xr:uid="{00000000-0005-0000-0000-00000B0C0000}"/>
    <cellStyle name="Borders 4 6 2 2 2 3" xfId="12262" xr:uid="{00000000-0005-0000-0000-00000C0C0000}"/>
    <cellStyle name="Borders 4 6 2 2 2 4" xfId="16107" xr:uid="{00000000-0005-0000-0000-00000D0C0000}"/>
    <cellStyle name="Borders 4 6 2 2 2 5" xfId="19954" xr:uid="{00000000-0005-0000-0000-00000E0C0000}"/>
    <cellStyle name="Borders 4 6 2 2 2 6" xfId="23870" xr:uid="{00000000-0005-0000-0000-00000F0C0000}"/>
    <cellStyle name="Borders 4 6 2 2 2 7" xfId="27704" xr:uid="{00000000-0005-0000-0000-0000100C0000}"/>
    <cellStyle name="Borders 4 6 2 2 2 8" xfId="35225" xr:uid="{00000000-0005-0000-0000-0000110C0000}"/>
    <cellStyle name="Borders 4 6 2 2 2 9" xfId="39011" xr:uid="{00000000-0005-0000-0000-0000120C0000}"/>
    <cellStyle name="Borders 4 6 2 2 3" xfId="5903" xr:uid="{00000000-0005-0000-0000-0000130C0000}"/>
    <cellStyle name="Borders 4 6 2 2 4" xfId="10261" xr:uid="{00000000-0005-0000-0000-0000140C0000}"/>
    <cellStyle name="Borders 4 6 2 2 5" xfId="14107" xr:uid="{00000000-0005-0000-0000-0000150C0000}"/>
    <cellStyle name="Borders 4 6 2 2 6" xfId="17936" xr:uid="{00000000-0005-0000-0000-0000160C0000}"/>
    <cellStyle name="Borders 4 6 2 2 7" xfId="21875" xr:uid="{00000000-0005-0000-0000-0000170C0000}"/>
    <cellStyle name="Borders 4 6 2 2 8" xfId="25688" xr:uid="{00000000-0005-0000-0000-0000180C0000}"/>
    <cellStyle name="Borders 4 6 2 2 9" xfId="29575" xr:uid="{00000000-0005-0000-0000-0000190C0000}"/>
    <cellStyle name="Borders 4 6 2 3" xfId="3238" xr:uid="{00000000-0005-0000-0000-00001A0C0000}"/>
    <cellStyle name="Borders 4 6 2 3 10" xfId="42301" xr:uid="{00000000-0005-0000-0000-00001B0C0000}"/>
    <cellStyle name="Borders 4 6 2 3 11" xfId="46070" xr:uid="{00000000-0005-0000-0000-00001C0C0000}"/>
    <cellStyle name="Borders 4 6 2 3 2" xfId="7110" xr:uid="{00000000-0005-0000-0000-00001D0C0000}"/>
    <cellStyle name="Borders 4 6 2 3 3" xfId="11542" xr:uid="{00000000-0005-0000-0000-00001E0C0000}"/>
    <cellStyle name="Borders 4 6 2 3 4" xfId="15386" xr:uid="{00000000-0005-0000-0000-00001F0C0000}"/>
    <cellStyle name="Borders 4 6 2 3 5" xfId="19232" xr:uid="{00000000-0005-0000-0000-0000200C0000}"/>
    <cellStyle name="Borders 4 6 2 3 6" xfId="23151" xr:uid="{00000000-0005-0000-0000-0000210C0000}"/>
    <cellStyle name="Borders 4 6 2 3 7" xfId="26983" xr:uid="{00000000-0005-0000-0000-0000220C0000}"/>
    <cellStyle name="Borders 4 6 2 3 8" xfId="34508" xr:uid="{00000000-0005-0000-0000-0000230C0000}"/>
    <cellStyle name="Borders 4 6 2 3 9" xfId="38290" xr:uid="{00000000-0005-0000-0000-0000240C0000}"/>
    <cellStyle name="Borders 4 6 2 4" xfId="5186" xr:uid="{00000000-0005-0000-0000-0000250C0000}"/>
    <cellStyle name="Borders 4 6 2 5" xfId="9542" xr:uid="{00000000-0005-0000-0000-0000260C0000}"/>
    <cellStyle name="Borders 4 6 2 6" xfId="13386" xr:uid="{00000000-0005-0000-0000-0000270C0000}"/>
    <cellStyle name="Borders 4 6 2 7" xfId="17214" xr:uid="{00000000-0005-0000-0000-0000280C0000}"/>
    <cellStyle name="Borders 4 6 2 8" xfId="21156" xr:uid="{00000000-0005-0000-0000-0000290C0000}"/>
    <cellStyle name="Borders 4 6 2 9" xfId="24967" xr:uid="{00000000-0005-0000-0000-00002A0C0000}"/>
    <cellStyle name="Borders 4 6 3" xfId="1642" xr:uid="{00000000-0005-0000-0000-00002B0C0000}"/>
    <cellStyle name="Borders 4 6 3 10" xfId="32929" xr:uid="{00000000-0005-0000-0000-00002C0C0000}"/>
    <cellStyle name="Borders 4 6 3 11" xfId="36699" xr:uid="{00000000-0005-0000-0000-00002D0C0000}"/>
    <cellStyle name="Borders 4 6 3 12" xfId="40690" xr:uid="{00000000-0005-0000-0000-00002E0C0000}"/>
    <cellStyle name="Borders 4 6 3 13" xfId="44521" xr:uid="{00000000-0005-0000-0000-00002F0C0000}"/>
    <cellStyle name="Borders 4 6 3 2" xfId="3632" xr:uid="{00000000-0005-0000-0000-0000300C0000}"/>
    <cellStyle name="Borders 4 6 3 2 10" xfId="42694" xr:uid="{00000000-0005-0000-0000-0000310C0000}"/>
    <cellStyle name="Borders 4 6 3 2 11" xfId="46459" xr:uid="{00000000-0005-0000-0000-0000320C0000}"/>
    <cellStyle name="Borders 4 6 3 2 2" xfId="7499" xr:uid="{00000000-0005-0000-0000-0000330C0000}"/>
    <cellStyle name="Borders 4 6 3 2 3" xfId="11934" xr:uid="{00000000-0005-0000-0000-0000340C0000}"/>
    <cellStyle name="Borders 4 6 3 2 4" xfId="15779" xr:uid="{00000000-0005-0000-0000-0000350C0000}"/>
    <cellStyle name="Borders 4 6 3 2 5" xfId="19626" xr:uid="{00000000-0005-0000-0000-0000360C0000}"/>
    <cellStyle name="Borders 4 6 3 2 6" xfId="23542" xr:uid="{00000000-0005-0000-0000-0000370C0000}"/>
    <cellStyle name="Borders 4 6 3 2 7" xfId="27376" xr:uid="{00000000-0005-0000-0000-0000380C0000}"/>
    <cellStyle name="Borders 4 6 3 2 8" xfId="34897" xr:uid="{00000000-0005-0000-0000-0000390C0000}"/>
    <cellStyle name="Borders 4 6 3 2 9" xfId="38683" xr:uid="{00000000-0005-0000-0000-00003A0C0000}"/>
    <cellStyle name="Borders 4 6 3 3" xfId="5575" xr:uid="{00000000-0005-0000-0000-00003B0C0000}"/>
    <cellStyle name="Borders 4 6 3 4" xfId="9933" xr:uid="{00000000-0005-0000-0000-00003C0C0000}"/>
    <cellStyle name="Borders 4 6 3 5" xfId="13779" xr:uid="{00000000-0005-0000-0000-00003D0C0000}"/>
    <cellStyle name="Borders 4 6 3 6" xfId="17608" xr:uid="{00000000-0005-0000-0000-00003E0C0000}"/>
    <cellStyle name="Borders 4 6 3 7" xfId="21547" xr:uid="{00000000-0005-0000-0000-00003F0C0000}"/>
    <cellStyle name="Borders 4 6 3 8" xfId="25360" xr:uid="{00000000-0005-0000-0000-0000400C0000}"/>
    <cellStyle name="Borders 4 6 3 9" xfId="29247" xr:uid="{00000000-0005-0000-0000-0000410C0000}"/>
    <cellStyle name="Borders 4 6 4" xfId="2901" xr:uid="{00000000-0005-0000-0000-0000420C0000}"/>
    <cellStyle name="Borders 4 6 4 10" xfId="41965" xr:uid="{00000000-0005-0000-0000-0000430C0000}"/>
    <cellStyle name="Borders 4 6 4 11" xfId="45742" xr:uid="{00000000-0005-0000-0000-0000440C0000}"/>
    <cellStyle name="Borders 4 6 4 2" xfId="6781" xr:uid="{00000000-0005-0000-0000-0000450C0000}"/>
    <cellStyle name="Borders 4 6 4 3" xfId="11208" xr:uid="{00000000-0005-0000-0000-0000460C0000}"/>
    <cellStyle name="Borders 4 6 4 4" xfId="15053" xr:uid="{00000000-0005-0000-0000-0000470C0000}"/>
    <cellStyle name="Borders 4 6 4 5" xfId="18895" xr:uid="{00000000-0005-0000-0000-0000480C0000}"/>
    <cellStyle name="Borders 4 6 4 6" xfId="22821" xr:uid="{00000000-0005-0000-0000-0000490C0000}"/>
    <cellStyle name="Borders 4 6 4 7" xfId="26646" xr:uid="{00000000-0005-0000-0000-00004A0C0000}"/>
    <cellStyle name="Borders 4 6 4 8" xfId="34180" xr:uid="{00000000-0005-0000-0000-00004B0C0000}"/>
    <cellStyle name="Borders 4 6 4 9" xfId="37953" xr:uid="{00000000-0005-0000-0000-00004C0C0000}"/>
    <cellStyle name="Borders 4 6 5" xfId="4857" xr:uid="{00000000-0005-0000-0000-00004D0C0000}"/>
    <cellStyle name="Borders 4 6 6" xfId="9211" xr:uid="{00000000-0005-0000-0000-00004E0C0000}"/>
    <cellStyle name="Borders 4 6 7" xfId="13052" xr:uid="{00000000-0005-0000-0000-00004F0C0000}"/>
    <cellStyle name="Borders 4 6 8" xfId="16877" xr:uid="{00000000-0005-0000-0000-0000500C0000}"/>
    <cellStyle name="Borders 4 6 9" xfId="20819" xr:uid="{00000000-0005-0000-0000-0000510C0000}"/>
    <cellStyle name="Borders 4 7" xfId="957" xr:uid="{00000000-0005-0000-0000-0000520C0000}"/>
    <cellStyle name="Borders 4 7 10" xfId="32258" xr:uid="{00000000-0005-0000-0000-0000530C0000}"/>
    <cellStyle name="Borders 4 7 11" xfId="36015" xr:uid="{00000000-0005-0000-0000-0000540C0000}"/>
    <cellStyle name="Borders 4 7 12" xfId="43841" xr:uid="{00000000-0005-0000-0000-0000550C0000}"/>
    <cellStyle name="Borders 4 7 2" xfId="1688" xr:uid="{00000000-0005-0000-0000-0000560C0000}"/>
    <cellStyle name="Borders 4 7 2 10" xfId="32975" xr:uid="{00000000-0005-0000-0000-0000570C0000}"/>
    <cellStyle name="Borders 4 7 2 11" xfId="36745" xr:uid="{00000000-0005-0000-0000-0000580C0000}"/>
    <cellStyle name="Borders 4 7 2 12" xfId="40736" xr:uid="{00000000-0005-0000-0000-0000590C0000}"/>
    <cellStyle name="Borders 4 7 2 13" xfId="44567" xr:uid="{00000000-0005-0000-0000-00005A0C0000}"/>
    <cellStyle name="Borders 4 7 2 2" xfId="3678" xr:uid="{00000000-0005-0000-0000-00005B0C0000}"/>
    <cellStyle name="Borders 4 7 2 2 10" xfId="42740" xr:uid="{00000000-0005-0000-0000-00005C0C0000}"/>
    <cellStyle name="Borders 4 7 2 2 11" xfId="46505" xr:uid="{00000000-0005-0000-0000-00005D0C0000}"/>
    <cellStyle name="Borders 4 7 2 2 2" xfId="7545" xr:uid="{00000000-0005-0000-0000-00005E0C0000}"/>
    <cellStyle name="Borders 4 7 2 2 3" xfId="11980" xr:uid="{00000000-0005-0000-0000-00005F0C0000}"/>
    <cellStyle name="Borders 4 7 2 2 4" xfId="15825" xr:uid="{00000000-0005-0000-0000-0000600C0000}"/>
    <cellStyle name="Borders 4 7 2 2 5" xfId="19672" xr:uid="{00000000-0005-0000-0000-0000610C0000}"/>
    <cellStyle name="Borders 4 7 2 2 6" xfId="23588" xr:uid="{00000000-0005-0000-0000-0000620C0000}"/>
    <cellStyle name="Borders 4 7 2 2 7" xfId="27422" xr:uid="{00000000-0005-0000-0000-0000630C0000}"/>
    <cellStyle name="Borders 4 7 2 2 8" xfId="34943" xr:uid="{00000000-0005-0000-0000-0000640C0000}"/>
    <cellStyle name="Borders 4 7 2 2 9" xfId="38729" xr:uid="{00000000-0005-0000-0000-0000650C0000}"/>
    <cellStyle name="Borders 4 7 2 3" xfId="5621" xr:uid="{00000000-0005-0000-0000-0000660C0000}"/>
    <cellStyle name="Borders 4 7 2 4" xfId="9979" xr:uid="{00000000-0005-0000-0000-0000670C0000}"/>
    <cellStyle name="Borders 4 7 2 5" xfId="13825" xr:uid="{00000000-0005-0000-0000-0000680C0000}"/>
    <cellStyle name="Borders 4 7 2 6" xfId="17654" xr:uid="{00000000-0005-0000-0000-0000690C0000}"/>
    <cellStyle name="Borders 4 7 2 7" xfId="21593" xr:uid="{00000000-0005-0000-0000-00006A0C0000}"/>
    <cellStyle name="Borders 4 7 2 8" xfId="25406" xr:uid="{00000000-0005-0000-0000-00006B0C0000}"/>
    <cellStyle name="Borders 4 7 2 9" xfId="29293" xr:uid="{00000000-0005-0000-0000-00006C0C0000}"/>
    <cellStyle name="Borders 4 7 3" xfId="2947" xr:uid="{00000000-0005-0000-0000-00006D0C0000}"/>
    <cellStyle name="Borders 4 7 3 10" xfId="42011" xr:uid="{00000000-0005-0000-0000-00006E0C0000}"/>
    <cellStyle name="Borders 4 7 3 11" xfId="45788" xr:uid="{00000000-0005-0000-0000-00006F0C0000}"/>
    <cellStyle name="Borders 4 7 3 2" xfId="6827" xr:uid="{00000000-0005-0000-0000-0000700C0000}"/>
    <cellStyle name="Borders 4 7 3 3" xfId="11254" xr:uid="{00000000-0005-0000-0000-0000710C0000}"/>
    <cellStyle name="Borders 4 7 3 4" xfId="15099" xr:uid="{00000000-0005-0000-0000-0000720C0000}"/>
    <cellStyle name="Borders 4 7 3 5" xfId="18941" xr:uid="{00000000-0005-0000-0000-0000730C0000}"/>
    <cellStyle name="Borders 4 7 3 6" xfId="22867" xr:uid="{00000000-0005-0000-0000-0000740C0000}"/>
    <cellStyle name="Borders 4 7 3 7" xfId="26692" xr:uid="{00000000-0005-0000-0000-0000750C0000}"/>
    <cellStyle name="Borders 4 7 3 8" xfId="34226" xr:uid="{00000000-0005-0000-0000-0000760C0000}"/>
    <cellStyle name="Borders 4 7 3 9" xfId="37999" xr:uid="{00000000-0005-0000-0000-0000770C0000}"/>
    <cellStyle name="Borders 4 7 4" xfId="4903" xr:uid="{00000000-0005-0000-0000-0000780C0000}"/>
    <cellStyle name="Borders 4 7 5" xfId="9257" xr:uid="{00000000-0005-0000-0000-0000790C0000}"/>
    <cellStyle name="Borders 4 7 6" xfId="13098" xr:uid="{00000000-0005-0000-0000-00007A0C0000}"/>
    <cellStyle name="Borders 4 7 7" xfId="16923" xr:uid="{00000000-0005-0000-0000-00007B0C0000}"/>
    <cellStyle name="Borders 4 7 8" xfId="20865" xr:uid="{00000000-0005-0000-0000-00007C0C0000}"/>
    <cellStyle name="Borders 4 7 9" xfId="24681" xr:uid="{00000000-0005-0000-0000-00007D0C0000}"/>
    <cellStyle name="Borders 4 8" xfId="1335" xr:uid="{00000000-0005-0000-0000-00007E0C0000}"/>
    <cellStyle name="Borders 4 8 10" xfId="32622" xr:uid="{00000000-0005-0000-0000-00007F0C0000}"/>
    <cellStyle name="Borders 4 8 11" xfId="36392" xr:uid="{00000000-0005-0000-0000-0000800C0000}"/>
    <cellStyle name="Borders 4 8 12" xfId="40383" xr:uid="{00000000-0005-0000-0000-0000810C0000}"/>
    <cellStyle name="Borders 4 8 13" xfId="44214" xr:uid="{00000000-0005-0000-0000-0000820C0000}"/>
    <cellStyle name="Borders 4 8 2" xfId="3325" xr:uid="{00000000-0005-0000-0000-0000830C0000}"/>
    <cellStyle name="Borders 4 8 2 10" xfId="42387" xr:uid="{00000000-0005-0000-0000-0000840C0000}"/>
    <cellStyle name="Borders 4 8 2 11" xfId="46152" xr:uid="{00000000-0005-0000-0000-0000850C0000}"/>
    <cellStyle name="Borders 4 8 2 2" xfId="7192" xr:uid="{00000000-0005-0000-0000-0000860C0000}"/>
    <cellStyle name="Borders 4 8 2 3" xfId="11627" xr:uid="{00000000-0005-0000-0000-0000870C0000}"/>
    <cellStyle name="Borders 4 8 2 4" xfId="15472" xr:uid="{00000000-0005-0000-0000-0000880C0000}"/>
    <cellStyle name="Borders 4 8 2 5" xfId="19319" xr:uid="{00000000-0005-0000-0000-0000890C0000}"/>
    <cellStyle name="Borders 4 8 2 6" xfId="23235" xr:uid="{00000000-0005-0000-0000-00008A0C0000}"/>
    <cellStyle name="Borders 4 8 2 7" xfId="27069" xr:uid="{00000000-0005-0000-0000-00008B0C0000}"/>
    <cellStyle name="Borders 4 8 2 8" xfId="34590" xr:uid="{00000000-0005-0000-0000-00008C0C0000}"/>
    <cellStyle name="Borders 4 8 2 9" xfId="38376" xr:uid="{00000000-0005-0000-0000-00008D0C0000}"/>
    <cellStyle name="Borders 4 8 3" xfId="5268" xr:uid="{00000000-0005-0000-0000-00008E0C0000}"/>
    <cellStyle name="Borders 4 8 4" xfId="9626" xr:uid="{00000000-0005-0000-0000-00008F0C0000}"/>
    <cellStyle name="Borders 4 8 5" xfId="13472" xr:uid="{00000000-0005-0000-0000-0000900C0000}"/>
    <cellStyle name="Borders 4 8 6" xfId="17301" xr:uid="{00000000-0005-0000-0000-0000910C0000}"/>
    <cellStyle name="Borders 4 8 7" xfId="21240" xr:uid="{00000000-0005-0000-0000-0000920C0000}"/>
    <cellStyle name="Borders 4 8 8" xfId="25053" xr:uid="{00000000-0005-0000-0000-0000930C0000}"/>
    <cellStyle name="Borders 4 8 9" xfId="28940" xr:uid="{00000000-0005-0000-0000-0000940C0000}"/>
    <cellStyle name="Borders 4 9" xfId="2032" xr:uid="{00000000-0005-0000-0000-0000950C0000}"/>
    <cellStyle name="Borders 4 9 10" xfId="44908" xr:uid="{00000000-0005-0000-0000-0000960C0000}"/>
    <cellStyle name="Borders 4 9 2" xfId="4021" xr:uid="{00000000-0005-0000-0000-0000970C0000}"/>
    <cellStyle name="Borders 4 9 2 10" xfId="43083" xr:uid="{00000000-0005-0000-0000-0000980C0000}"/>
    <cellStyle name="Borders 4 9 2 11" xfId="46846" xr:uid="{00000000-0005-0000-0000-0000990C0000}"/>
    <cellStyle name="Borders 4 9 2 2" xfId="7886" xr:uid="{00000000-0005-0000-0000-00009A0C0000}"/>
    <cellStyle name="Borders 4 9 2 3" xfId="12322" xr:uid="{00000000-0005-0000-0000-00009B0C0000}"/>
    <cellStyle name="Borders 4 9 2 4" xfId="16167" xr:uid="{00000000-0005-0000-0000-00009C0C0000}"/>
    <cellStyle name="Borders 4 9 2 5" xfId="20015" xr:uid="{00000000-0005-0000-0000-00009D0C0000}"/>
    <cellStyle name="Borders 4 9 2 6" xfId="23930" xr:uid="{00000000-0005-0000-0000-00009E0C0000}"/>
    <cellStyle name="Borders 4 9 2 7" xfId="27765" xr:uid="{00000000-0005-0000-0000-00009F0C0000}"/>
    <cellStyle name="Borders 4 9 2 8" xfId="35284" xr:uid="{00000000-0005-0000-0000-0000A00C0000}"/>
    <cellStyle name="Borders 4 9 2 9" xfId="39072" xr:uid="{00000000-0005-0000-0000-0000A10C0000}"/>
    <cellStyle name="Borders 4 9 3" xfId="5962" xr:uid="{00000000-0005-0000-0000-0000A20C0000}"/>
    <cellStyle name="Borders 4 9 4" xfId="10321" xr:uid="{00000000-0005-0000-0000-0000A30C0000}"/>
    <cellStyle name="Borders 4 9 5" xfId="14168" xr:uid="{00000000-0005-0000-0000-0000A40C0000}"/>
    <cellStyle name="Borders 4 9 6" xfId="17998" xr:uid="{00000000-0005-0000-0000-0000A50C0000}"/>
    <cellStyle name="Borders 4 9 7" xfId="21936" xr:uid="{00000000-0005-0000-0000-0000A60C0000}"/>
    <cellStyle name="Borders 4 9 8" xfId="25750" xr:uid="{00000000-0005-0000-0000-0000A70C0000}"/>
    <cellStyle name="Borders 4 9 9" xfId="37088" xr:uid="{00000000-0005-0000-0000-0000A80C0000}"/>
    <cellStyle name="Borders 5" xfId="606" xr:uid="{00000000-0005-0000-0000-0000A90C0000}"/>
    <cellStyle name="Borders 5 10" xfId="21986" xr:uid="{00000000-0005-0000-0000-0000AA0C0000}"/>
    <cellStyle name="Borders 5 11" xfId="39701" xr:uid="{00000000-0005-0000-0000-0000AB0C0000}"/>
    <cellStyle name="Borders 5 12" xfId="41143" xr:uid="{00000000-0005-0000-0000-0000AC0C0000}"/>
    <cellStyle name="Borders 5 2" xfId="986" xr:uid="{00000000-0005-0000-0000-0000AD0C0000}"/>
    <cellStyle name="Borders 5 2 10" xfId="28597" xr:uid="{00000000-0005-0000-0000-0000AE0C0000}"/>
    <cellStyle name="Borders 5 2 11" xfId="32285" xr:uid="{00000000-0005-0000-0000-0000AF0C0000}"/>
    <cellStyle name="Borders 5 2 12" xfId="36044" xr:uid="{00000000-0005-0000-0000-0000B00C0000}"/>
    <cellStyle name="Borders 5 2 13" xfId="40049" xr:uid="{00000000-0005-0000-0000-0000B10C0000}"/>
    <cellStyle name="Borders 5 2 14" xfId="43870" xr:uid="{00000000-0005-0000-0000-0000B20C0000}"/>
    <cellStyle name="Borders 5 2 2" xfId="1715" xr:uid="{00000000-0005-0000-0000-0000B30C0000}"/>
    <cellStyle name="Borders 5 2 2 10" xfId="33002" xr:uid="{00000000-0005-0000-0000-0000B40C0000}"/>
    <cellStyle name="Borders 5 2 2 11" xfId="36772" xr:uid="{00000000-0005-0000-0000-0000B50C0000}"/>
    <cellStyle name="Borders 5 2 2 12" xfId="40763" xr:uid="{00000000-0005-0000-0000-0000B60C0000}"/>
    <cellStyle name="Borders 5 2 2 13" xfId="44594" xr:uid="{00000000-0005-0000-0000-0000B70C0000}"/>
    <cellStyle name="Borders 5 2 2 2" xfId="3705" xr:uid="{00000000-0005-0000-0000-0000B80C0000}"/>
    <cellStyle name="Borders 5 2 2 2 10" xfId="38756" xr:uid="{00000000-0005-0000-0000-0000B90C0000}"/>
    <cellStyle name="Borders 5 2 2 2 11" xfId="42767" xr:uid="{00000000-0005-0000-0000-0000BA0C0000}"/>
    <cellStyle name="Borders 5 2 2 2 12" xfId="46532" xr:uid="{00000000-0005-0000-0000-0000BB0C0000}"/>
    <cellStyle name="Borders 5 2 2 2 2" xfId="7572" xr:uid="{00000000-0005-0000-0000-0000BC0C0000}"/>
    <cellStyle name="Borders 5 2 2 2 3" xfId="12007" xr:uid="{00000000-0005-0000-0000-0000BD0C0000}"/>
    <cellStyle name="Borders 5 2 2 2 4" xfId="15852" xr:uid="{00000000-0005-0000-0000-0000BE0C0000}"/>
    <cellStyle name="Borders 5 2 2 2 5" xfId="19699" xr:uid="{00000000-0005-0000-0000-0000BF0C0000}"/>
    <cellStyle name="Borders 5 2 2 2 6" xfId="23615" xr:uid="{00000000-0005-0000-0000-0000C00C0000}"/>
    <cellStyle name="Borders 5 2 2 2 7" xfId="27449" xr:uid="{00000000-0005-0000-0000-0000C10C0000}"/>
    <cellStyle name="Borders 5 2 2 2 8" xfId="31313" xr:uid="{00000000-0005-0000-0000-0000C20C0000}"/>
    <cellStyle name="Borders 5 2 2 2 9" xfId="34970" xr:uid="{00000000-0005-0000-0000-0000C30C0000}"/>
    <cellStyle name="Borders 5 2 2 3" xfId="5648" xr:uid="{00000000-0005-0000-0000-0000C40C0000}"/>
    <cellStyle name="Borders 5 2 2 4" xfId="10006" xr:uid="{00000000-0005-0000-0000-0000C50C0000}"/>
    <cellStyle name="Borders 5 2 2 5" xfId="13852" xr:uid="{00000000-0005-0000-0000-0000C60C0000}"/>
    <cellStyle name="Borders 5 2 2 6" xfId="17681" xr:uid="{00000000-0005-0000-0000-0000C70C0000}"/>
    <cellStyle name="Borders 5 2 2 7" xfId="21620" xr:uid="{00000000-0005-0000-0000-0000C80C0000}"/>
    <cellStyle name="Borders 5 2 2 8" xfId="25433" xr:uid="{00000000-0005-0000-0000-0000C90C0000}"/>
    <cellStyle name="Borders 5 2 2 9" xfId="29320" xr:uid="{00000000-0005-0000-0000-0000CA0C0000}"/>
    <cellStyle name="Borders 5 2 3" xfId="2976" xr:uid="{00000000-0005-0000-0000-0000CB0C0000}"/>
    <cellStyle name="Borders 5 2 3 10" xfId="38028" xr:uid="{00000000-0005-0000-0000-0000CC0C0000}"/>
    <cellStyle name="Borders 5 2 3 11" xfId="42040" xr:uid="{00000000-0005-0000-0000-0000CD0C0000}"/>
    <cellStyle name="Borders 5 2 3 12" xfId="45815" xr:uid="{00000000-0005-0000-0000-0000CE0C0000}"/>
    <cellStyle name="Borders 5 2 3 2" xfId="6854" xr:uid="{00000000-0005-0000-0000-0000CF0C0000}"/>
    <cellStyle name="Borders 5 2 3 3" xfId="11282" xr:uid="{00000000-0005-0000-0000-0000D00C0000}"/>
    <cellStyle name="Borders 5 2 3 4" xfId="15127" xr:uid="{00000000-0005-0000-0000-0000D10C0000}"/>
    <cellStyle name="Borders 5 2 3 5" xfId="18970" xr:uid="{00000000-0005-0000-0000-0000D20C0000}"/>
    <cellStyle name="Borders 5 2 3 6" xfId="22894" xr:uid="{00000000-0005-0000-0000-0000D30C0000}"/>
    <cellStyle name="Borders 5 2 3 7" xfId="26721" xr:uid="{00000000-0005-0000-0000-0000D40C0000}"/>
    <cellStyle name="Borders 5 2 3 8" xfId="30595" xr:uid="{00000000-0005-0000-0000-0000D50C0000}"/>
    <cellStyle name="Borders 5 2 3 9" xfId="34253" xr:uid="{00000000-0005-0000-0000-0000D60C0000}"/>
    <cellStyle name="Borders 5 2 4" xfId="4930" xr:uid="{00000000-0005-0000-0000-0000D70C0000}"/>
    <cellStyle name="Borders 5 2 5" xfId="9285" xr:uid="{00000000-0005-0000-0000-0000D80C0000}"/>
    <cellStyle name="Borders 5 2 6" xfId="13126" xr:uid="{00000000-0005-0000-0000-0000D90C0000}"/>
    <cellStyle name="Borders 5 2 7" xfId="16952" xr:uid="{00000000-0005-0000-0000-0000DA0C0000}"/>
    <cellStyle name="Borders 5 2 8" xfId="20894" xr:uid="{00000000-0005-0000-0000-0000DB0C0000}"/>
    <cellStyle name="Borders 5 2 9" xfId="24709" xr:uid="{00000000-0005-0000-0000-0000DC0C0000}"/>
    <cellStyle name="Borders 5 3" xfId="1362" xr:uid="{00000000-0005-0000-0000-0000DD0C0000}"/>
    <cellStyle name="Borders 5 3 10" xfId="32649" xr:uid="{00000000-0005-0000-0000-0000DE0C0000}"/>
    <cellStyle name="Borders 5 3 11" xfId="36419" xr:uid="{00000000-0005-0000-0000-0000DF0C0000}"/>
    <cellStyle name="Borders 5 3 12" xfId="40410" xr:uid="{00000000-0005-0000-0000-0000E00C0000}"/>
    <cellStyle name="Borders 5 3 13" xfId="44241" xr:uid="{00000000-0005-0000-0000-0000E10C0000}"/>
    <cellStyle name="Borders 5 3 2" xfId="3352" xr:uid="{00000000-0005-0000-0000-0000E20C0000}"/>
    <cellStyle name="Borders 5 3 2 10" xfId="38403" xr:uid="{00000000-0005-0000-0000-0000E30C0000}"/>
    <cellStyle name="Borders 5 3 2 11" xfId="42414" xr:uid="{00000000-0005-0000-0000-0000E40C0000}"/>
    <cellStyle name="Borders 5 3 2 12" xfId="46179" xr:uid="{00000000-0005-0000-0000-0000E50C0000}"/>
    <cellStyle name="Borders 5 3 2 2" xfId="7219" xr:uid="{00000000-0005-0000-0000-0000E60C0000}"/>
    <cellStyle name="Borders 5 3 2 3" xfId="11654" xr:uid="{00000000-0005-0000-0000-0000E70C0000}"/>
    <cellStyle name="Borders 5 3 2 4" xfId="15499" xr:uid="{00000000-0005-0000-0000-0000E80C0000}"/>
    <cellStyle name="Borders 5 3 2 5" xfId="19346" xr:uid="{00000000-0005-0000-0000-0000E90C0000}"/>
    <cellStyle name="Borders 5 3 2 6" xfId="23262" xr:uid="{00000000-0005-0000-0000-0000EA0C0000}"/>
    <cellStyle name="Borders 5 3 2 7" xfId="27096" xr:uid="{00000000-0005-0000-0000-0000EB0C0000}"/>
    <cellStyle name="Borders 5 3 2 8" xfId="30964" xr:uid="{00000000-0005-0000-0000-0000EC0C0000}"/>
    <cellStyle name="Borders 5 3 2 9" xfId="34617" xr:uid="{00000000-0005-0000-0000-0000ED0C0000}"/>
    <cellStyle name="Borders 5 3 3" xfId="5295" xr:uid="{00000000-0005-0000-0000-0000EE0C0000}"/>
    <cellStyle name="Borders 5 3 4" xfId="9653" xr:uid="{00000000-0005-0000-0000-0000EF0C0000}"/>
    <cellStyle name="Borders 5 3 5" xfId="13499" xr:uid="{00000000-0005-0000-0000-0000F00C0000}"/>
    <cellStyle name="Borders 5 3 6" xfId="17328" xr:uid="{00000000-0005-0000-0000-0000F10C0000}"/>
    <cellStyle name="Borders 5 3 7" xfId="21267" xr:uid="{00000000-0005-0000-0000-0000F20C0000}"/>
    <cellStyle name="Borders 5 3 8" xfId="25080" xr:uid="{00000000-0005-0000-0000-0000F30C0000}"/>
    <cellStyle name="Borders 5 3 9" xfId="28967" xr:uid="{00000000-0005-0000-0000-0000F40C0000}"/>
    <cellStyle name="Borders 5 4" xfId="2609" xr:uid="{00000000-0005-0000-0000-0000F50C0000}"/>
    <cellStyle name="Borders 5 4 10" xfId="37661" xr:uid="{00000000-0005-0000-0000-0000F60C0000}"/>
    <cellStyle name="Borders 5 4 11" xfId="41675" xr:uid="{00000000-0005-0000-0000-0000F70C0000}"/>
    <cellStyle name="Borders 5 4 12" xfId="45462" xr:uid="{00000000-0005-0000-0000-0000F80C0000}"/>
    <cellStyle name="Borders 5 4 2" xfId="6499" xr:uid="{00000000-0005-0000-0000-0000F90C0000}"/>
    <cellStyle name="Borders 5 4 3" xfId="10923" xr:uid="{00000000-0005-0000-0000-0000FA0C0000}"/>
    <cellStyle name="Borders 5 4 4" xfId="14767" xr:uid="{00000000-0005-0000-0000-0000FB0C0000}"/>
    <cellStyle name="Borders 5 4 5" xfId="18603" xr:uid="{00000000-0005-0000-0000-0000FC0C0000}"/>
    <cellStyle name="Borders 5 4 6" xfId="22536" xr:uid="{00000000-0005-0000-0000-0000FD0C0000}"/>
    <cellStyle name="Borders 5 4 7" xfId="26354" xr:uid="{00000000-0005-0000-0000-0000FE0C0000}"/>
    <cellStyle name="Borders 5 4 8" xfId="30233" xr:uid="{00000000-0005-0000-0000-0000FF0C0000}"/>
    <cellStyle name="Borders 5 4 9" xfId="33900" xr:uid="{00000000-0005-0000-0000-0000000D0000}"/>
    <cellStyle name="Borders 5 5" xfId="4575" xr:uid="{00000000-0005-0000-0000-0000010D0000}"/>
    <cellStyle name="Borders 5 6" xfId="8915" xr:uid="{00000000-0005-0000-0000-0000020D0000}"/>
    <cellStyle name="Borders 5 7" xfId="8688" xr:uid="{00000000-0005-0000-0000-0000030D0000}"/>
    <cellStyle name="Borders 5 8" xfId="8425" xr:uid="{00000000-0005-0000-0000-0000040D0000}"/>
    <cellStyle name="Borders 5 9" xfId="30479" xr:uid="{00000000-0005-0000-0000-0000050D0000}"/>
    <cellStyle name="Borders 6" xfId="737" xr:uid="{00000000-0005-0000-0000-0000060D0000}"/>
    <cellStyle name="Borders 6 10" xfId="24470" xr:uid="{00000000-0005-0000-0000-0000070D0000}"/>
    <cellStyle name="Borders 6 11" xfId="8403" xr:uid="{00000000-0005-0000-0000-0000080D0000}"/>
    <cellStyle name="Borders 6 12" xfId="35808" xr:uid="{00000000-0005-0000-0000-0000090D0000}"/>
    <cellStyle name="Borders 6 13" xfId="43634" xr:uid="{00000000-0005-0000-0000-00000A0D0000}"/>
    <cellStyle name="Borders 6 2" xfId="1115" xr:uid="{00000000-0005-0000-0000-00000B0D0000}"/>
    <cellStyle name="Borders 6 2 10" xfId="32412" xr:uid="{00000000-0005-0000-0000-00000C0D0000}"/>
    <cellStyle name="Borders 6 2 11" xfId="36173" xr:uid="{00000000-0005-0000-0000-00000D0D0000}"/>
    <cellStyle name="Borders 6 2 12" xfId="43999" xr:uid="{00000000-0005-0000-0000-00000E0D0000}"/>
    <cellStyle name="Borders 6 2 2" xfId="1842" xr:uid="{00000000-0005-0000-0000-00000F0D0000}"/>
    <cellStyle name="Borders 6 2 2 10" xfId="33129" xr:uid="{00000000-0005-0000-0000-0000100D0000}"/>
    <cellStyle name="Borders 6 2 2 11" xfId="36899" xr:uid="{00000000-0005-0000-0000-0000110D0000}"/>
    <cellStyle name="Borders 6 2 2 12" xfId="40890" xr:uid="{00000000-0005-0000-0000-0000120D0000}"/>
    <cellStyle name="Borders 6 2 2 13" xfId="44721" xr:uid="{00000000-0005-0000-0000-0000130D0000}"/>
    <cellStyle name="Borders 6 2 2 2" xfId="3832" xr:uid="{00000000-0005-0000-0000-0000140D0000}"/>
    <cellStyle name="Borders 6 2 2 2 10" xfId="42894" xr:uid="{00000000-0005-0000-0000-0000150D0000}"/>
    <cellStyle name="Borders 6 2 2 2 11" xfId="46659" xr:uid="{00000000-0005-0000-0000-0000160D0000}"/>
    <cellStyle name="Borders 6 2 2 2 2" xfId="7699" xr:uid="{00000000-0005-0000-0000-0000170D0000}"/>
    <cellStyle name="Borders 6 2 2 2 3" xfId="12134" xr:uid="{00000000-0005-0000-0000-0000180D0000}"/>
    <cellStyle name="Borders 6 2 2 2 4" xfId="15979" xr:uid="{00000000-0005-0000-0000-0000190D0000}"/>
    <cellStyle name="Borders 6 2 2 2 5" xfId="19826" xr:uid="{00000000-0005-0000-0000-00001A0D0000}"/>
    <cellStyle name="Borders 6 2 2 2 6" xfId="23742" xr:uid="{00000000-0005-0000-0000-00001B0D0000}"/>
    <cellStyle name="Borders 6 2 2 2 7" xfId="27576" xr:uid="{00000000-0005-0000-0000-00001C0D0000}"/>
    <cellStyle name="Borders 6 2 2 2 8" xfId="35097" xr:uid="{00000000-0005-0000-0000-00001D0D0000}"/>
    <cellStyle name="Borders 6 2 2 2 9" xfId="38883" xr:uid="{00000000-0005-0000-0000-00001E0D0000}"/>
    <cellStyle name="Borders 6 2 2 3" xfId="5775" xr:uid="{00000000-0005-0000-0000-00001F0D0000}"/>
    <cellStyle name="Borders 6 2 2 4" xfId="10133" xr:uid="{00000000-0005-0000-0000-0000200D0000}"/>
    <cellStyle name="Borders 6 2 2 5" xfId="13979" xr:uid="{00000000-0005-0000-0000-0000210D0000}"/>
    <cellStyle name="Borders 6 2 2 6" xfId="17808" xr:uid="{00000000-0005-0000-0000-0000220D0000}"/>
    <cellStyle name="Borders 6 2 2 7" xfId="21747" xr:uid="{00000000-0005-0000-0000-0000230D0000}"/>
    <cellStyle name="Borders 6 2 2 8" xfId="25560" xr:uid="{00000000-0005-0000-0000-0000240D0000}"/>
    <cellStyle name="Borders 6 2 2 9" xfId="29447" xr:uid="{00000000-0005-0000-0000-0000250D0000}"/>
    <cellStyle name="Borders 6 2 3" xfId="3105" xr:uid="{00000000-0005-0000-0000-0000260D0000}"/>
    <cellStyle name="Borders 6 2 3 10" xfId="42169" xr:uid="{00000000-0005-0000-0000-0000270D0000}"/>
    <cellStyle name="Borders 6 2 3 11" xfId="45942" xr:uid="{00000000-0005-0000-0000-0000280D0000}"/>
    <cellStyle name="Borders 6 2 3 2" xfId="6981" xr:uid="{00000000-0005-0000-0000-0000290D0000}"/>
    <cellStyle name="Borders 6 2 3 3" xfId="11410" xr:uid="{00000000-0005-0000-0000-00002A0D0000}"/>
    <cellStyle name="Borders 6 2 3 4" xfId="15254" xr:uid="{00000000-0005-0000-0000-00002B0D0000}"/>
    <cellStyle name="Borders 6 2 3 5" xfId="19099" xr:uid="{00000000-0005-0000-0000-00002C0D0000}"/>
    <cellStyle name="Borders 6 2 3 6" xfId="23021" xr:uid="{00000000-0005-0000-0000-00002D0D0000}"/>
    <cellStyle name="Borders 6 2 3 7" xfId="26850" xr:uid="{00000000-0005-0000-0000-00002E0D0000}"/>
    <cellStyle name="Borders 6 2 3 8" xfId="34380" xr:uid="{00000000-0005-0000-0000-00002F0D0000}"/>
    <cellStyle name="Borders 6 2 3 9" xfId="38157" xr:uid="{00000000-0005-0000-0000-0000300D0000}"/>
    <cellStyle name="Borders 6 2 4" xfId="5057" xr:uid="{00000000-0005-0000-0000-0000310D0000}"/>
    <cellStyle name="Borders 6 2 5" xfId="9413" xr:uid="{00000000-0005-0000-0000-0000320D0000}"/>
    <cellStyle name="Borders 6 2 6" xfId="13253" xr:uid="{00000000-0005-0000-0000-0000330D0000}"/>
    <cellStyle name="Borders 6 2 7" xfId="17081" xr:uid="{00000000-0005-0000-0000-0000340D0000}"/>
    <cellStyle name="Borders 6 2 8" xfId="21023" xr:uid="{00000000-0005-0000-0000-0000350D0000}"/>
    <cellStyle name="Borders 6 2 9" xfId="24837" xr:uid="{00000000-0005-0000-0000-0000360D0000}"/>
    <cellStyle name="Borders 6 3" xfId="1489" xr:uid="{00000000-0005-0000-0000-0000370D0000}"/>
    <cellStyle name="Borders 6 3 10" xfId="32776" xr:uid="{00000000-0005-0000-0000-0000380D0000}"/>
    <cellStyle name="Borders 6 3 11" xfId="36546" xr:uid="{00000000-0005-0000-0000-0000390D0000}"/>
    <cellStyle name="Borders 6 3 12" xfId="40537" xr:uid="{00000000-0005-0000-0000-00003A0D0000}"/>
    <cellStyle name="Borders 6 3 13" xfId="44368" xr:uid="{00000000-0005-0000-0000-00003B0D0000}"/>
    <cellStyle name="Borders 6 3 2" xfId="3479" xr:uid="{00000000-0005-0000-0000-00003C0D0000}"/>
    <cellStyle name="Borders 6 3 2 10" xfId="42541" xr:uid="{00000000-0005-0000-0000-00003D0D0000}"/>
    <cellStyle name="Borders 6 3 2 11" xfId="46306" xr:uid="{00000000-0005-0000-0000-00003E0D0000}"/>
    <cellStyle name="Borders 6 3 2 2" xfId="7346" xr:uid="{00000000-0005-0000-0000-00003F0D0000}"/>
    <cellStyle name="Borders 6 3 2 3" xfId="11781" xr:uid="{00000000-0005-0000-0000-0000400D0000}"/>
    <cellStyle name="Borders 6 3 2 4" xfId="15626" xr:uid="{00000000-0005-0000-0000-0000410D0000}"/>
    <cellStyle name="Borders 6 3 2 5" xfId="19473" xr:uid="{00000000-0005-0000-0000-0000420D0000}"/>
    <cellStyle name="Borders 6 3 2 6" xfId="23389" xr:uid="{00000000-0005-0000-0000-0000430D0000}"/>
    <cellStyle name="Borders 6 3 2 7" xfId="27223" xr:uid="{00000000-0005-0000-0000-0000440D0000}"/>
    <cellStyle name="Borders 6 3 2 8" xfId="34744" xr:uid="{00000000-0005-0000-0000-0000450D0000}"/>
    <cellStyle name="Borders 6 3 2 9" xfId="38530" xr:uid="{00000000-0005-0000-0000-0000460D0000}"/>
    <cellStyle name="Borders 6 3 3" xfId="5422" xr:uid="{00000000-0005-0000-0000-0000470D0000}"/>
    <cellStyle name="Borders 6 3 4" xfId="9780" xr:uid="{00000000-0005-0000-0000-0000480D0000}"/>
    <cellStyle name="Borders 6 3 5" xfId="13626" xr:uid="{00000000-0005-0000-0000-0000490D0000}"/>
    <cellStyle name="Borders 6 3 6" xfId="17455" xr:uid="{00000000-0005-0000-0000-00004A0D0000}"/>
    <cellStyle name="Borders 6 3 7" xfId="21394" xr:uid="{00000000-0005-0000-0000-00004B0D0000}"/>
    <cellStyle name="Borders 6 3 8" xfId="25207" xr:uid="{00000000-0005-0000-0000-00004C0D0000}"/>
    <cellStyle name="Borders 6 3 9" xfId="29094" xr:uid="{00000000-0005-0000-0000-00004D0D0000}"/>
    <cellStyle name="Borders 6 4" xfId="2740" xr:uid="{00000000-0005-0000-0000-00004E0D0000}"/>
    <cellStyle name="Borders 6 4 10" xfId="41805" xr:uid="{00000000-0005-0000-0000-00004F0D0000}"/>
    <cellStyle name="Borders 6 4 11" xfId="45589" xr:uid="{00000000-0005-0000-0000-0000500D0000}"/>
    <cellStyle name="Borders 6 4 2" xfId="6627" xr:uid="{00000000-0005-0000-0000-0000510D0000}"/>
    <cellStyle name="Borders 6 4 3" xfId="11050" xr:uid="{00000000-0005-0000-0000-0000520D0000}"/>
    <cellStyle name="Borders 6 4 4" xfId="14896" xr:uid="{00000000-0005-0000-0000-0000530D0000}"/>
    <cellStyle name="Borders 6 4 5" xfId="18734" xr:uid="{00000000-0005-0000-0000-0000540D0000}"/>
    <cellStyle name="Borders 6 4 6" xfId="22665" xr:uid="{00000000-0005-0000-0000-0000550D0000}"/>
    <cellStyle name="Borders 6 4 7" xfId="26485" xr:uid="{00000000-0005-0000-0000-0000560D0000}"/>
    <cellStyle name="Borders 6 4 8" xfId="34027" xr:uid="{00000000-0005-0000-0000-0000570D0000}"/>
    <cellStyle name="Borders 6 4 9" xfId="37792" xr:uid="{00000000-0005-0000-0000-0000580D0000}"/>
    <cellStyle name="Borders 6 5" xfId="4703" xr:uid="{00000000-0005-0000-0000-0000590D0000}"/>
    <cellStyle name="Borders 6 6" xfId="9045" xr:uid="{00000000-0005-0000-0000-00005A0D0000}"/>
    <cellStyle name="Borders 6 7" xfId="12883" xr:uid="{00000000-0005-0000-0000-00005B0D0000}"/>
    <cellStyle name="Borders 6 8" xfId="16713" xr:uid="{00000000-0005-0000-0000-00005C0D0000}"/>
    <cellStyle name="Borders 6 9" xfId="20650" xr:uid="{00000000-0005-0000-0000-00005D0D0000}"/>
    <cellStyle name="Borders 7" xfId="867" xr:uid="{00000000-0005-0000-0000-00005E0D0000}"/>
    <cellStyle name="Borders 7 10" xfId="24591" xr:uid="{00000000-0005-0000-0000-00005F0D0000}"/>
    <cellStyle name="Borders 7 11" xfId="32168" xr:uid="{00000000-0005-0000-0000-0000600D0000}"/>
    <cellStyle name="Borders 7 12" xfId="35925" xr:uid="{00000000-0005-0000-0000-0000610D0000}"/>
    <cellStyle name="Borders 7 13" xfId="43751" xr:uid="{00000000-0005-0000-0000-0000620D0000}"/>
    <cellStyle name="Borders 7 2" xfId="1204" xr:uid="{00000000-0005-0000-0000-0000630D0000}"/>
    <cellStyle name="Borders 7 2 10" xfId="32496" xr:uid="{00000000-0005-0000-0000-0000640D0000}"/>
    <cellStyle name="Borders 7 2 11" xfId="36262" xr:uid="{00000000-0005-0000-0000-0000650D0000}"/>
    <cellStyle name="Borders 7 2 12" xfId="44088" xr:uid="{00000000-0005-0000-0000-0000660D0000}"/>
    <cellStyle name="Borders 7 2 2" xfId="1926" xr:uid="{00000000-0005-0000-0000-0000670D0000}"/>
    <cellStyle name="Borders 7 2 2 10" xfId="33213" xr:uid="{00000000-0005-0000-0000-0000680D0000}"/>
    <cellStyle name="Borders 7 2 2 11" xfId="36983" xr:uid="{00000000-0005-0000-0000-0000690D0000}"/>
    <cellStyle name="Borders 7 2 2 12" xfId="40974" xr:uid="{00000000-0005-0000-0000-00006A0D0000}"/>
    <cellStyle name="Borders 7 2 2 13" xfId="44805" xr:uid="{00000000-0005-0000-0000-00006B0D0000}"/>
    <cellStyle name="Borders 7 2 2 2" xfId="3916" xr:uid="{00000000-0005-0000-0000-00006C0D0000}"/>
    <cellStyle name="Borders 7 2 2 2 10" xfId="42978" xr:uid="{00000000-0005-0000-0000-00006D0D0000}"/>
    <cellStyle name="Borders 7 2 2 2 11" xfId="46743" xr:uid="{00000000-0005-0000-0000-00006E0D0000}"/>
    <cellStyle name="Borders 7 2 2 2 2" xfId="7783" xr:uid="{00000000-0005-0000-0000-00006F0D0000}"/>
    <cellStyle name="Borders 7 2 2 2 3" xfId="12218" xr:uid="{00000000-0005-0000-0000-0000700D0000}"/>
    <cellStyle name="Borders 7 2 2 2 4" xfId="16063" xr:uid="{00000000-0005-0000-0000-0000710D0000}"/>
    <cellStyle name="Borders 7 2 2 2 5" xfId="19910" xr:uid="{00000000-0005-0000-0000-0000720D0000}"/>
    <cellStyle name="Borders 7 2 2 2 6" xfId="23826" xr:uid="{00000000-0005-0000-0000-0000730D0000}"/>
    <cellStyle name="Borders 7 2 2 2 7" xfId="27660" xr:uid="{00000000-0005-0000-0000-0000740D0000}"/>
    <cellStyle name="Borders 7 2 2 2 8" xfId="35181" xr:uid="{00000000-0005-0000-0000-0000750D0000}"/>
    <cellStyle name="Borders 7 2 2 2 9" xfId="38967" xr:uid="{00000000-0005-0000-0000-0000760D0000}"/>
    <cellStyle name="Borders 7 2 2 3" xfId="5859" xr:uid="{00000000-0005-0000-0000-0000770D0000}"/>
    <cellStyle name="Borders 7 2 2 4" xfId="10217" xr:uid="{00000000-0005-0000-0000-0000780D0000}"/>
    <cellStyle name="Borders 7 2 2 5" xfId="14063" xr:uid="{00000000-0005-0000-0000-0000790D0000}"/>
    <cellStyle name="Borders 7 2 2 6" xfId="17892" xr:uid="{00000000-0005-0000-0000-00007A0D0000}"/>
    <cellStyle name="Borders 7 2 2 7" xfId="21831" xr:uid="{00000000-0005-0000-0000-00007B0D0000}"/>
    <cellStyle name="Borders 7 2 2 8" xfId="25644" xr:uid="{00000000-0005-0000-0000-00007C0D0000}"/>
    <cellStyle name="Borders 7 2 2 9" xfId="29531" xr:uid="{00000000-0005-0000-0000-00007D0D0000}"/>
    <cellStyle name="Borders 7 2 3" xfId="3194" xr:uid="{00000000-0005-0000-0000-00007E0D0000}"/>
    <cellStyle name="Borders 7 2 3 10" xfId="42257" xr:uid="{00000000-0005-0000-0000-00007F0D0000}"/>
    <cellStyle name="Borders 7 2 3 11" xfId="46026" xr:uid="{00000000-0005-0000-0000-0000800D0000}"/>
    <cellStyle name="Borders 7 2 3 2" xfId="7066" xr:uid="{00000000-0005-0000-0000-0000810D0000}"/>
    <cellStyle name="Borders 7 2 3 3" xfId="11498" xr:uid="{00000000-0005-0000-0000-0000820D0000}"/>
    <cellStyle name="Borders 7 2 3 4" xfId="15342" xr:uid="{00000000-0005-0000-0000-0000830D0000}"/>
    <cellStyle name="Borders 7 2 3 5" xfId="19188" xr:uid="{00000000-0005-0000-0000-0000840D0000}"/>
    <cellStyle name="Borders 7 2 3 6" xfId="23107" xr:uid="{00000000-0005-0000-0000-0000850D0000}"/>
    <cellStyle name="Borders 7 2 3 7" xfId="26939" xr:uid="{00000000-0005-0000-0000-0000860D0000}"/>
    <cellStyle name="Borders 7 2 3 8" xfId="34464" xr:uid="{00000000-0005-0000-0000-0000870D0000}"/>
    <cellStyle name="Borders 7 2 3 9" xfId="38246" xr:uid="{00000000-0005-0000-0000-0000880D0000}"/>
    <cellStyle name="Borders 7 2 4" xfId="5142" xr:uid="{00000000-0005-0000-0000-0000890D0000}"/>
    <cellStyle name="Borders 7 2 5" xfId="9498" xr:uid="{00000000-0005-0000-0000-00008A0D0000}"/>
    <cellStyle name="Borders 7 2 6" xfId="13342" xr:uid="{00000000-0005-0000-0000-00008B0D0000}"/>
    <cellStyle name="Borders 7 2 7" xfId="17170" xr:uid="{00000000-0005-0000-0000-00008C0D0000}"/>
    <cellStyle name="Borders 7 2 8" xfId="21112" xr:uid="{00000000-0005-0000-0000-00008D0D0000}"/>
    <cellStyle name="Borders 7 2 9" xfId="24923" xr:uid="{00000000-0005-0000-0000-00008E0D0000}"/>
    <cellStyle name="Borders 7 3" xfId="1598" xr:uid="{00000000-0005-0000-0000-00008F0D0000}"/>
    <cellStyle name="Borders 7 3 10" xfId="32885" xr:uid="{00000000-0005-0000-0000-0000900D0000}"/>
    <cellStyle name="Borders 7 3 11" xfId="36655" xr:uid="{00000000-0005-0000-0000-0000910D0000}"/>
    <cellStyle name="Borders 7 3 12" xfId="40646" xr:uid="{00000000-0005-0000-0000-0000920D0000}"/>
    <cellStyle name="Borders 7 3 13" xfId="44477" xr:uid="{00000000-0005-0000-0000-0000930D0000}"/>
    <cellStyle name="Borders 7 3 2" xfId="3588" xr:uid="{00000000-0005-0000-0000-0000940D0000}"/>
    <cellStyle name="Borders 7 3 2 10" xfId="42650" xr:uid="{00000000-0005-0000-0000-0000950D0000}"/>
    <cellStyle name="Borders 7 3 2 11" xfId="46415" xr:uid="{00000000-0005-0000-0000-0000960D0000}"/>
    <cellStyle name="Borders 7 3 2 2" xfId="7455" xr:uid="{00000000-0005-0000-0000-0000970D0000}"/>
    <cellStyle name="Borders 7 3 2 3" xfId="11890" xr:uid="{00000000-0005-0000-0000-0000980D0000}"/>
    <cellStyle name="Borders 7 3 2 4" xfId="15735" xr:uid="{00000000-0005-0000-0000-0000990D0000}"/>
    <cellStyle name="Borders 7 3 2 5" xfId="19582" xr:uid="{00000000-0005-0000-0000-00009A0D0000}"/>
    <cellStyle name="Borders 7 3 2 6" xfId="23498" xr:uid="{00000000-0005-0000-0000-00009B0D0000}"/>
    <cellStyle name="Borders 7 3 2 7" xfId="27332" xr:uid="{00000000-0005-0000-0000-00009C0D0000}"/>
    <cellStyle name="Borders 7 3 2 8" xfId="34853" xr:uid="{00000000-0005-0000-0000-00009D0D0000}"/>
    <cellStyle name="Borders 7 3 2 9" xfId="38639" xr:uid="{00000000-0005-0000-0000-00009E0D0000}"/>
    <cellStyle name="Borders 7 3 3" xfId="5531" xr:uid="{00000000-0005-0000-0000-00009F0D0000}"/>
    <cellStyle name="Borders 7 3 4" xfId="9889" xr:uid="{00000000-0005-0000-0000-0000A00D0000}"/>
    <cellStyle name="Borders 7 3 5" xfId="13735" xr:uid="{00000000-0005-0000-0000-0000A10D0000}"/>
    <cellStyle name="Borders 7 3 6" xfId="17564" xr:uid="{00000000-0005-0000-0000-0000A20D0000}"/>
    <cellStyle name="Borders 7 3 7" xfId="21503" xr:uid="{00000000-0005-0000-0000-0000A30D0000}"/>
    <cellStyle name="Borders 7 3 8" xfId="25316" xr:uid="{00000000-0005-0000-0000-0000A40D0000}"/>
    <cellStyle name="Borders 7 3 9" xfId="29203" xr:uid="{00000000-0005-0000-0000-0000A50D0000}"/>
    <cellStyle name="Borders 7 4" xfId="2857" xr:uid="{00000000-0005-0000-0000-0000A60D0000}"/>
    <cellStyle name="Borders 7 4 10" xfId="41921" xr:uid="{00000000-0005-0000-0000-0000A70D0000}"/>
    <cellStyle name="Borders 7 4 11" xfId="45698" xr:uid="{00000000-0005-0000-0000-0000A80D0000}"/>
    <cellStyle name="Borders 7 4 2" xfId="6737" xr:uid="{00000000-0005-0000-0000-0000A90D0000}"/>
    <cellStyle name="Borders 7 4 3" xfId="11164" xr:uid="{00000000-0005-0000-0000-0000AA0D0000}"/>
    <cellStyle name="Borders 7 4 4" xfId="15009" xr:uid="{00000000-0005-0000-0000-0000AB0D0000}"/>
    <cellStyle name="Borders 7 4 5" xfId="18851" xr:uid="{00000000-0005-0000-0000-0000AC0D0000}"/>
    <cellStyle name="Borders 7 4 6" xfId="22777" xr:uid="{00000000-0005-0000-0000-0000AD0D0000}"/>
    <cellStyle name="Borders 7 4 7" xfId="26602" xr:uid="{00000000-0005-0000-0000-0000AE0D0000}"/>
    <cellStyle name="Borders 7 4 8" xfId="34136" xr:uid="{00000000-0005-0000-0000-0000AF0D0000}"/>
    <cellStyle name="Borders 7 4 9" xfId="37909" xr:uid="{00000000-0005-0000-0000-0000B00D0000}"/>
    <cellStyle name="Borders 7 5" xfId="4813" xr:uid="{00000000-0005-0000-0000-0000B10D0000}"/>
    <cellStyle name="Borders 7 6" xfId="9167" xr:uid="{00000000-0005-0000-0000-0000B20D0000}"/>
    <cellStyle name="Borders 7 7" xfId="13008" xr:uid="{00000000-0005-0000-0000-0000B30D0000}"/>
    <cellStyle name="Borders 7 8" xfId="16833" xr:uid="{00000000-0005-0000-0000-0000B40D0000}"/>
    <cellStyle name="Borders 7 9" xfId="20775" xr:uid="{00000000-0005-0000-0000-0000B50D0000}"/>
    <cellStyle name="Borders 8" xfId="913" xr:uid="{00000000-0005-0000-0000-0000B60D0000}"/>
    <cellStyle name="Borders 8 10" xfId="32214" xr:uid="{00000000-0005-0000-0000-0000B70D0000}"/>
    <cellStyle name="Borders 8 11" xfId="35971" xr:uid="{00000000-0005-0000-0000-0000B80D0000}"/>
    <cellStyle name="Borders 8 12" xfId="43797" xr:uid="{00000000-0005-0000-0000-0000B90D0000}"/>
    <cellStyle name="Borders 8 2" xfId="1644" xr:uid="{00000000-0005-0000-0000-0000BA0D0000}"/>
    <cellStyle name="Borders 8 2 10" xfId="32931" xr:uid="{00000000-0005-0000-0000-0000BB0D0000}"/>
    <cellStyle name="Borders 8 2 11" xfId="36701" xr:uid="{00000000-0005-0000-0000-0000BC0D0000}"/>
    <cellStyle name="Borders 8 2 12" xfId="40692" xr:uid="{00000000-0005-0000-0000-0000BD0D0000}"/>
    <cellStyle name="Borders 8 2 13" xfId="44523" xr:uid="{00000000-0005-0000-0000-0000BE0D0000}"/>
    <cellStyle name="Borders 8 2 2" xfId="3634" xr:uid="{00000000-0005-0000-0000-0000BF0D0000}"/>
    <cellStyle name="Borders 8 2 2 10" xfId="42696" xr:uid="{00000000-0005-0000-0000-0000C00D0000}"/>
    <cellStyle name="Borders 8 2 2 11" xfId="46461" xr:uid="{00000000-0005-0000-0000-0000C10D0000}"/>
    <cellStyle name="Borders 8 2 2 2" xfId="7501" xr:uid="{00000000-0005-0000-0000-0000C20D0000}"/>
    <cellStyle name="Borders 8 2 2 3" xfId="11936" xr:uid="{00000000-0005-0000-0000-0000C30D0000}"/>
    <cellStyle name="Borders 8 2 2 4" xfId="15781" xr:uid="{00000000-0005-0000-0000-0000C40D0000}"/>
    <cellStyle name="Borders 8 2 2 5" xfId="19628" xr:uid="{00000000-0005-0000-0000-0000C50D0000}"/>
    <cellStyle name="Borders 8 2 2 6" xfId="23544" xr:uid="{00000000-0005-0000-0000-0000C60D0000}"/>
    <cellStyle name="Borders 8 2 2 7" xfId="27378" xr:uid="{00000000-0005-0000-0000-0000C70D0000}"/>
    <cellStyle name="Borders 8 2 2 8" xfId="34899" xr:uid="{00000000-0005-0000-0000-0000C80D0000}"/>
    <cellStyle name="Borders 8 2 2 9" xfId="38685" xr:uid="{00000000-0005-0000-0000-0000C90D0000}"/>
    <cellStyle name="Borders 8 2 3" xfId="5577" xr:uid="{00000000-0005-0000-0000-0000CA0D0000}"/>
    <cellStyle name="Borders 8 2 4" xfId="9935" xr:uid="{00000000-0005-0000-0000-0000CB0D0000}"/>
    <cellStyle name="Borders 8 2 5" xfId="13781" xr:uid="{00000000-0005-0000-0000-0000CC0D0000}"/>
    <cellStyle name="Borders 8 2 6" xfId="17610" xr:uid="{00000000-0005-0000-0000-0000CD0D0000}"/>
    <cellStyle name="Borders 8 2 7" xfId="21549" xr:uid="{00000000-0005-0000-0000-0000CE0D0000}"/>
    <cellStyle name="Borders 8 2 8" xfId="25362" xr:uid="{00000000-0005-0000-0000-0000CF0D0000}"/>
    <cellStyle name="Borders 8 2 9" xfId="29249" xr:uid="{00000000-0005-0000-0000-0000D00D0000}"/>
    <cellStyle name="Borders 8 3" xfId="2903" xr:uid="{00000000-0005-0000-0000-0000D10D0000}"/>
    <cellStyle name="Borders 8 3 10" xfId="41967" xr:uid="{00000000-0005-0000-0000-0000D20D0000}"/>
    <cellStyle name="Borders 8 3 11" xfId="45744" xr:uid="{00000000-0005-0000-0000-0000D30D0000}"/>
    <cellStyle name="Borders 8 3 2" xfId="6783" xr:uid="{00000000-0005-0000-0000-0000D40D0000}"/>
    <cellStyle name="Borders 8 3 3" xfId="11210" xr:uid="{00000000-0005-0000-0000-0000D50D0000}"/>
    <cellStyle name="Borders 8 3 4" xfId="15055" xr:uid="{00000000-0005-0000-0000-0000D60D0000}"/>
    <cellStyle name="Borders 8 3 5" xfId="18897" xr:uid="{00000000-0005-0000-0000-0000D70D0000}"/>
    <cellStyle name="Borders 8 3 6" xfId="22823" xr:uid="{00000000-0005-0000-0000-0000D80D0000}"/>
    <cellStyle name="Borders 8 3 7" xfId="26648" xr:uid="{00000000-0005-0000-0000-0000D90D0000}"/>
    <cellStyle name="Borders 8 3 8" xfId="34182" xr:uid="{00000000-0005-0000-0000-0000DA0D0000}"/>
    <cellStyle name="Borders 8 3 9" xfId="37955" xr:uid="{00000000-0005-0000-0000-0000DB0D0000}"/>
    <cellStyle name="Borders 8 4" xfId="4859" xr:uid="{00000000-0005-0000-0000-0000DC0D0000}"/>
    <cellStyle name="Borders 8 5" xfId="9213" xr:uid="{00000000-0005-0000-0000-0000DD0D0000}"/>
    <cellStyle name="Borders 8 6" xfId="13054" xr:uid="{00000000-0005-0000-0000-0000DE0D0000}"/>
    <cellStyle name="Borders 8 7" xfId="16879" xr:uid="{00000000-0005-0000-0000-0000DF0D0000}"/>
    <cellStyle name="Borders 8 8" xfId="20821" xr:uid="{00000000-0005-0000-0000-0000E00D0000}"/>
    <cellStyle name="Borders 8 9" xfId="24637" xr:uid="{00000000-0005-0000-0000-0000E10D0000}"/>
    <cellStyle name="Borders 9" xfId="1291" xr:uid="{00000000-0005-0000-0000-0000E20D0000}"/>
    <cellStyle name="Borders 9 10" xfId="36348" xr:uid="{00000000-0005-0000-0000-0000E30D0000}"/>
    <cellStyle name="Borders 9 11" xfId="44170" xr:uid="{00000000-0005-0000-0000-0000E40D0000}"/>
    <cellStyle name="Borders 9 2" xfId="3281" xr:uid="{00000000-0005-0000-0000-0000E50D0000}"/>
    <cellStyle name="Borders 9 2 10" xfId="42343" xr:uid="{00000000-0005-0000-0000-0000E60D0000}"/>
    <cellStyle name="Borders 9 2 11" xfId="46108" xr:uid="{00000000-0005-0000-0000-0000E70D0000}"/>
    <cellStyle name="Borders 9 2 2" xfId="7148" xr:uid="{00000000-0005-0000-0000-0000E80D0000}"/>
    <cellStyle name="Borders 9 2 3" xfId="11583" xr:uid="{00000000-0005-0000-0000-0000E90D0000}"/>
    <cellStyle name="Borders 9 2 4" xfId="15428" xr:uid="{00000000-0005-0000-0000-0000EA0D0000}"/>
    <cellStyle name="Borders 9 2 5" xfId="19275" xr:uid="{00000000-0005-0000-0000-0000EB0D0000}"/>
    <cellStyle name="Borders 9 2 6" xfId="23191" xr:uid="{00000000-0005-0000-0000-0000EC0D0000}"/>
    <cellStyle name="Borders 9 2 7" xfId="27025" xr:uid="{00000000-0005-0000-0000-0000ED0D0000}"/>
    <cellStyle name="Borders 9 2 8" xfId="34546" xr:uid="{00000000-0005-0000-0000-0000EE0D0000}"/>
    <cellStyle name="Borders 9 2 9" xfId="38332" xr:uid="{00000000-0005-0000-0000-0000EF0D0000}"/>
    <cellStyle name="Borders 9 3" xfId="5224" xr:uid="{00000000-0005-0000-0000-0000F00D0000}"/>
    <cellStyle name="Borders 9 4" xfId="9582" xr:uid="{00000000-0005-0000-0000-0000F10D0000}"/>
    <cellStyle name="Borders 9 5" xfId="13428" xr:uid="{00000000-0005-0000-0000-0000F20D0000}"/>
    <cellStyle name="Borders 9 6" xfId="17257" xr:uid="{00000000-0005-0000-0000-0000F30D0000}"/>
    <cellStyle name="Borders 9 7" xfId="21196" xr:uid="{00000000-0005-0000-0000-0000F40D0000}"/>
    <cellStyle name="Borders 9 8" xfId="25009" xr:uid="{00000000-0005-0000-0000-0000F50D0000}"/>
    <cellStyle name="Borders 9 9" xfId="32578" xr:uid="{00000000-0005-0000-0000-0000F60D0000}"/>
    <cellStyle name="Calculation" xfId="18" builtinId="22" customBuiltin="1"/>
    <cellStyle name="Calculation 2" xfId="99" xr:uid="{00000000-0005-0000-0000-0000F80D0000}"/>
    <cellStyle name="Calculation 2 10" xfId="2174" xr:uid="{00000000-0005-0000-0000-0000F90D0000}"/>
    <cellStyle name="Calculation 2 10 10" xfId="37226" xr:uid="{00000000-0005-0000-0000-0000FA0D0000}"/>
    <cellStyle name="Calculation 2 10 11" xfId="41242" xr:uid="{00000000-0005-0000-0000-0000FB0D0000}"/>
    <cellStyle name="Calculation 2 10 12" xfId="45037" xr:uid="{00000000-0005-0000-0000-0000FC0D0000}"/>
    <cellStyle name="Calculation 2 10 2" xfId="4157" xr:uid="{00000000-0005-0000-0000-0000FD0D0000}"/>
    <cellStyle name="Calculation 2 10 2 10" xfId="39208" xr:uid="{00000000-0005-0000-0000-0000FE0D0000}"/>
    <cellStyle name="Calculation 2 10 2 11" xfId="43218" xr:uid="{00000000-0005-0000-0000-0000FF0D0000}"/>
    <cellStyle name="Calculation 2 10 2 12" xfId="46975" xr:uid="{00000000-0005-0000-0000-0000000E0000}"/>
    <cellStyle name="Calculation 2 10 2 2" xfId="8016" xr:uid="{00000000-0005-0000-0000-0000010E0000}"/>
    <cellStyle name="Calculation 2 10 2 3" xfId="12456" xr:uid="{00000000-0005-0000-0000-0000020E0000}"/>
    <cellStyle name="Calculation 2 10 2 4" xfId="16301" xr:uid="{00000000-0005-0000-0000-0000030E0000}"/>
    <cellStyle name="Calculation 2 10 2 5" xfId="20151" xr:uid="{00000000-0005-0000-0000-0000040E0000}"/>
    <cellStyle name="Calculation 2 10 2 6" xfId="24063" xr:uid="{00000000-0005-0000-0000-0000050E0000}"/>
    <cellStyle name="Calculation 2 10 2 7" xfId="27901" xr:uid="{00000000-0005-0000-0000-0000060E0000}"/>
    <cellStyle name="Calculation 2 10 2 8" xfId="31760" xr:uid="{00000000-0005-0000-0000-0000070E0000}"/>
    <cellStyle name="Calculation 2 10 2 9" xfId="35413" xr:uid="{00000000-0005-0000-0000-0000080E0000}"/>
    <cellStyle name="Calculation 2 10 3" xfId="10491" xr:uid="{00000000-0005-0000-0000-0000090E0000}"/>
    <cellStyle name="Calculation 2 10 4" xfId="14337" xr:uid="{00000000-0005-0000-0000-00000A0E0000}"/>
    <cellStyle name="Calculation 2 10 5" xfId="18168" xr:uid="{00000000-0005-0000-0000-00000B0E0000}"/>
    <cellStyle name="Calculation 2 10 6" xfId="22107" xr:uid="{00000000-0005-0000-0000-00000C0E0000}"/>
    <cellStyle name="Calculation 2 10 7" xfId="25919" xr:uid="{00000000-0005-0000-0000-00000D0E0000}"/>
    <cellStyle name="Calculation 2 10 8" xfId="29799" xr:uid="{00000000-0005-0000-0000-00000E0E0000}"/>
    <cellStyle name="Calculation 2 10 9" xfId="33475" xr:uid="{00000000-0005-0000-0000-00000F0E0000}"/>
    <cellStyle name="Calculation 2 11" xfId="2104" xr:uid="{00000000-0005-0000-0000-0000100E0000}"/>
    <cellStyle name="Calculation 2 11 10" xfId="33410" xr:uid="{00000000-0005-0000-0000-0000110E0000}"/>
    <cellStyle name="Calculation 2 11 11" xfId="37156" xr:uid="{00000000-0005-0000-0000-0000120E0000}"/>
    <cellStyle name="Calculation 2 11 12" xfId="41172" xr:uid="{00000000-0005-0000-0000-0000130E0000}"/>
    <cellStyle name="Calculation 2 11 13" xfId="44972" xr:uid="{00000000-0005-0000-0000-0000140E0000}"/>
    <cellStyle name="Calculation 2 11 2" xfId="4088" xr:uid="{00000000-0005-0000-0000-0000150E0000}"/>
    <cellStyle name="Calculation 2 11 2 10" xfId="39139" xr:uid="{00000000-0005-0000-0000-0000160E0000}"/>
    <cellStyle name="Calculation 2 11 2 11" xfId="43149" xr:uid="{00000000-0005-0000-0000-0000170E0000}"/>
    <cellStyle name="Calculation 2 11 2 12" xfId="46910" xr:uid="{00000000-0005-0000-0000-0000180E0000}"/>
    <cellStyle name="Calculation 2 11 2 2" xfId="7951" xr:uid="{00000000-0005-0000-0000-0000190E0000}"/>
    <cellStyle name="Calculation 2 11 2 3" xfId="12388" xr:uid="{00000000-0005-0000-0000-00001A0E0000}"/>
    <cellStyle name="Calculation 2 11 2 4" xfId="16233" xr:uid="{00000000-0005-0000-0000-00001B0E0000}"/>
    <cellStyle name="Calculation 2 11 2 5" xfId="20082" xr:uid="{00000000-0005-0000-0000-00001C0E0000}"/>
    <cellStyle name="Calculation 2 11 2 6" xfId="23996" xr:uid="{00000000-0005-0000-0000-00001D0E0000}"/>
    <cellStyle name="Calculation 2 11 2 7" xfId="27832" xr:uid="{00000000-0005-0000-0000-00001E0E0000}"/>
    <cellStyle name="Calculation 2 11 2 8" xfId="31691" xr:uid="{00000000-0005-0000-0000-00001F0E0000}"/>
    <cellStyle name="Calculation 2 11 2 9" xfId="35348" xr:uid="{00000000-0005-0000-0000-0000200E0000}"/>
    <cellStyle name="Calculation 2 11 3" xfId="6026" xr:uid="{00000000-0005-0000-0000-0000210E0000}"/>
    <cellStyle name="Calculation 2 11 4" xfId="10423" xr:uid="{00000000-0005-0000-0000-0000220E0000}"/>
    <cellStyle name="Calculation 2 11 5" xfId="14270" xr:uid="{00000000-0005-0000-0000-0000230E0000}"/>
    <cellStyle name="Calculation 2 11 6" xfId="18098" xr:uid="{00000000-0005-0000-0000-0000240E0000}"/>
    <cellStyle name="Calculation 2 11 7" xfId="22040" xr:uid="{00000000-0005-0000-0000-0000250E0000}"/>
    <cellStyle name="Calculation 2 11 8" xfId="25849" xr:uid="{00000000-0005-0000-0000-0000260E0000}"/>
    <cellStyle name="Calculation 2 11 9" xfId="29729" xr:uid="{00000000-0005-0000-0000-0000270E0000}"/>
    <cellStyle name="Calculation 2 12" xfId="2125" xr:uid="{00000000-0005-0000-0000-0000280E0000}"/>
    <cellStyle name="Calculation 2 12 10" xfId="33429" xr:uid="{00000000-0005-0000-0000-0000290E0000}"/>
    <cellStyle name="Calculation 2 12 11" xfId="37177" xr:uid="{00000000-0005-0000-0000-00002A0E0000}"/>
    <cellStyle name="Calculation 2 12 12" xfId="41193" xr:uid="{00000000-0005-0000-0000-00002B0E0000}"/>
    <cellStyle name="Calculation 2 12 13" xfId="44991" xr:uid="{00000000-0005-0000-0000-00002C0E0000}"/>
    <cellStyle name="Calculation 2 12 2" xfId="4109" xr:uid="{00000000-0005-0000-0000-00002D0E0000}"/>
    <cellStyle name="Calculation 2 12 2 10" xfId="39160" xr:uid="{00000000-0005-0000-0000-00002E0E0000}"/>
    <cellStyle name="Calculation 2 12 2 11" xfId="43170" xr:uid="{00000000-0005-0000-0000-00002F0E0000}"/>
    <cellStyle name="Calculation 2 12 2 12" xfId="46929" xr:uid="{00000000-0005-0000-0000-0000300E0000}"/>
    <cellStyle name="Calculation 2 12 2 2" xfId="7970" xr:uid="{00000000-0005-0000-0000-0000310E0000}"/>
    <cellStyle name="Calculation 2 12 2 3" xfId="12409" xr:uid="{00000000-0005-0000-0000-0000320E0000}"/>
    <cellStyle name="Calculation 2 12 2 4" xfId="16254" xr:uid="{00000000-0005-0000-0000-0000330E0000}"/>
    <cellStyle name="Calculation 2 12 2 5" xfId="20103" xr:uid="{00000000-0005-0000-0000-0000340E0000}"/>
    <cellStyle name="Calculation 2 12 2 6" xfId="24017" xr:uid="{00000000-0005-0000-0000-0000350E0000}"/>
    <cellStyle name="Calculation 2 12 2 7" xfId="27853" xr:uid="{00000000-0005-0000-0000-0000360E0000}"/>
    <cellStyle name="Calculation 2 12 2 8" xfId="31712" xr:uid="{00000000-0005-0000-0000-0000370E0000}"/>
    <cellStyle name="Calculation 2 12 2 9" xfId="35367" xr:uid="{00000000-0005-0000-0000-0000380E0000}"/>
    <cellStyle name="Calculation 2 12 3" xfId="6045" xr:uid="{00000000-0005-0000-0000-0000390E0000}"/>
    <cellStyle name="Calculation 2 12 4" xfId="10443" xr:uid="{00000000-0005-0000-0000-00003A0E0000}"/>
    <cellStyle name="Calculation 2 12 5" xfId="14291" xr:uid="{00000000-0005-0000-0000-00003B0E0000}"/>
    <cellStyle name="Calculation 2 12 6" xfId="18119" xr:uid="{00000000-0005-0000-0000-00003C0E0000}"/>
    <cellStyle name="Calculation 2 12 7" xfId="22061" xr:uid="{00000000-0005-0000-0000-00003D0E0000}"/>
    <cellStyle name="Calculation 2 12 8" xfId="25870" xr:uid="{00000000-0005-0000-0000-00003E0E0000}"/>
    <cellStyle name="Calculation 2 12 9" xfId="29750" xr:uid="{00000000-0005-0000-0000-00003F0E0000}"/>
    <cellStyle name="Calculation 2 13" xfId="2515" xr:uid="{00000000-0005-0000-0000-0000400E0000}"/>
    <cellStyle name="Calculation 2 13 10" xfId="37567" xr:uid="{00000000-0005-0000-0000-0000410E0000}"/>
    <cellStyle name="Calculation 2 13 11" xfId="41581" xr:uid="{00000000-0005-0000-0000-0000420E0000}"/>
    <cellStyle name="Calculation 2 13 12" xfId="45370" xr:uid="{00000000-0005-0000-0000-0000430E0000}"/>
    <cellStyle name="Calculation 2 13 2" xfId="6407" xr:uid="{00000000-0005-0000-0000-0000440E0000}"/>
    <cellStyle name="Calculation 2 13 3" xfId="10830" xr:uid="{00000000-0005-0000-0000-0000450E0000}"/>
    <cellStyle name="Calculation 2 13 4" xfId="14674" xr:uid="{00000000-0005-0000-0000-0000460E0000}"/>
    <cellStyle name="Calculation 2 13 5" xfId="18509" xr:uid="{00000000-0005-0000-0000-0000470E0000}"/>
    <cellStyle name="Calculation 2 13 6" xfId="22444" xr:uid="{00000000-0005-0000-0000-0000480E0000}"/>
    <cellStyle name="Calculation 2 13 7" xfId="26260" xr:uid="{00000000-0005-0000-0000-0000490E0000}"/>
    <cellStyle name="Calculation 2 13 8" xfId="30139" xr:uid="{00000000-0005-0000-0000-00004A0E0000}"/>
    <cellStyle name="Calculation 2 13 9" xfId="33808" xr:uid="{00000000-0005-0000-0000-00004B0E0000}"/>
    <cellStyle name="Calculation 2 14" xfId="8370" xr:uid="{00000000-0005-0000-0000-00004C0E0000}"/>
    <cellStyle name="Calculation 2 15" xfId="8431" xr:uid="{00000000-0005-0000-0000-00004D0E0000}"/>
    <cellStyle name="Calculation 2 16" xfId="8672" xr:uid="{00000000-0005-0000-0000-00004E0E0000}"/>
    <cellStyle name="Calculation 2 17" xfId="8816" xr:uid="{00000000-0005-0000-0000-00004F0E0000}"/>
    <cellStyle name="Calculation 2 18" xfId="9080" xr:uid="{00000000-0005-0000-0000-0000500E0000}"/>
    <cellStyle name="Calculation 2 19" xfId="18058" xr:uid="{00000000-0005-0000-0000-0000510E0000}"/>
    <cellStyle name="Calculation 2 2" xfId="574" xr:uid="{00000000-0005-0000-0000-0000520E0000}"/>
    <cellStyle name="Calculation 2 2 10" xfId="2224" xr:uid="{00000000-0005-0000-0000-0000530E0000}"/>
    <cellStyle name="Calculation 2 2 10 10" xfId="33525" xr:uid="{00000000-0005-0000-0000-0000540E0000}"/>
    <cellStyle name="Calculation 2 2 10 11" xfId="37276" xr:uid="{00000000-0005-0000-0000-0000550E0000}"/>
    <cellStyle name="Calculation 2 2 10 12" xfId="41292" xr:uid="{00000000-0005-0000-0000-0000560E0000}"/>
    <cellStyle name="Calculation 2 2 10 13" xfId="45087" xr:uid="{00000000-0005-0000-0000-0000570E0000}"/>
    <cellStyle name="Calculation 2 2 10 2" xfId="4207" xr:uid="{00000000-0005-0000-0000-0000580E0000}"/>
    <cellStyle name="Calculation 2 2 10 2 10" xfId="39258" xr:uid="{00000000-0005-0000-0000-0000590E0000}"/>
    <cellStyle name="Calculation 2 2 10 2 11" xfId="43268" xr:uid="{00000000-0005-0000-0000-00005A0E0000}"/>
    <cellStyle name="Calculation 2 2 10 2 12" xfId="47025" xr:uid="{00000000-0005-0000-0000-00005B0E0000}"/>
    <cellStyle name="Calculation 2 2 10 2 2" xfId="8066" xr:uid="{00000000-0005-0000-0000-00005C0E0000}"/>
    <cellStyle name="Calculation 2 2 10 2 3" xfId="12506" xr:uid="{00000000-0005-0000-0000-00005D0E0000}"/>
    <cellStyle name="Calculation 2 2 10 2 4" xfId="16351" xr:uid="{00000000-0005-0000-0000-00005E0E0000}"/>
    <cellStyle name="Calculation 2 2 10 2 5" xfId="20201" xr:uid="{00000000-0005-0000-0000-00005F0E0000}"/>
    <cellStyle name="Calculation 2 2 10 2 6" xfId="24113" xr:uid="{00000000-0005-0000-0000-0000600E0000}"/>
    <cellStyle name="Calculation 2 2 10 2 7" xfId="27951" xr:uid="{00000000-0005-0000-0000-0000610E0000}"/>
    <cellStyle name="Calculation 2 2 10 2 8" xfId="31810" xr:uid="{00000000-0005-0000-0000-0000620E0000}"/>
    <cellStyle name="Calculation 2 2 10 2 9" xfId="35463" xr:uid="{00000000-0005-0000-0000-0000630E0000}"/>
    <cellStyle name="Calculation 2 2 10 3" xfId="6138" xr:uid="{00000000-0005-0000-0000-0000640E0000}"/>
    <cellStyle name="Calculation 2 2 10 4" xfId="10541" xr:uid="{00000000-0005-0000-0000-0000650E0000}"/>
    <cellStyle name="Calculation 2 2 10 5" xfId="14387" xr:uid="{00000000-0005-0000-0000-0000660E0000}"/>
    <cellStyle name="Calculation 2 2 10 6" xfId="18218" xr:uid="{00000000-0005-0000-0000-0000670E0000}"/>
    <cellStyle name="Calculation 2 2 10 7" xfId="22157" xr:uid="{00000000-0005-0000-0000-0000680E0000}"/>
    <cellStyle name="Calculation 2 2 10 8" xfId="25969" xr:uid="{00000000-0005-0000-0000-0000690E0000}"/>
    <cellStyle name="Calculation 2 2 10 9" xfId="29849" xr:uid="{00000000-0005-0000-0000-00006A0E0000}"/>
    <cellStyle name="Calculation 2 2 11" xfId="2282" xr:uid="{00000000-0005-0000-0000-00006B0E0000}"/>
    <cellStyle name="Calculation 2 2 11 10" xfId="33583" xr:uid="{00000000-0005-0000-0000-00006C0E0000}"/>
    <cellStyle name="Calculation 2 2 11 11" xfId="37334" xr:uid="{00000000-0005-0000-0000-00006D0E0000}"/>
    <cellStyle name="Calculation 2 2 11 12" xfId="41350" xr:uid="{00000000-0005-0000-0000-00006E0E0000}"/>
    <cellStyle name="Calculation 2 2 11 13" xfId="45145" xr:uid="{00000000-0005-0000-0000-00006F0E0000}"/>
    <cellStyle name="Calculation 2 2 11 2" xfId="4265" xr:uid="{00000000-0005-0000-0000-0000700E0000}"/>
    <cellStyle name="Calculation 2 2 11 2 10" xfId="39316" xr:uid="{00000000-0005-0000-0000-0000710E0000}"/>
    <cellStyle name="Calculation 2 2 11 2 11" xfId="43326" xr:uid="{00000000-0005-0000-0000-0000720E0000}"/>
    <cellStyle name="Calculation 2 2 11 2 12" xfId="47083" xr:uid="{00000000-0005-0000-0000-0000730E0000}"/>
    <cellStyle name="Calculation 2 2 11 2 2" xfId="8124" xr:uid="{00000000-0005-0000-0000-0000740E0000}"/>
    <cellStyle name="Calculation 2 2 11 2 3" xfId="12564" xr:uid="{00000000-0005-0000-0000-0000750E0000}"/>
    <cellStyle name="Calculation 2 2 11 2 4" xfId="16409" xr:uid="{00000000-0005-0000-0000-0000760E0000}"/>
    <cellStyle name="Calculation 2 2 11 2 5" xfId="20259" xr:uid="{00000000-0005-0000-0000-0000770E0000}"/>
    <cellStyle name="Calculation 2 2 11 2 6" xfId="24171" xr:uid="{00000000-0005-0000-0000-0000780E0000}"/>
    <cellStyle name="Calculation 2 2 11 2 7" xfId="28009" xr:uid="{00000000-0005-0000-0000-0000790E0000}"/>
    <cellStyle name="Calculation 2 2 11 2 8" xfId="31868" xr:uid="{00000000-0005-0000-0000-00007A0E0000}"/>
    <cellStyle name="Calculation 2 2 11 2 9" xfId="35521" xr:uid="{00000000-0005-0000-0000-00007B0E0000}"/>
    <cellStyle name="Calculation 2 2 11 3" xfId="6196" xr:uid="{00000000-0005-0000-0000-00007C0E0000}"/>
    <cellStyle name="Calculation 2 2 11 4" xfId="10599" xr:uid="{00000000-0005-0000-0000-00007D0E0000}"/>
    <cellStyle name="Calculation 2 2 11 5" xfId="14445" xr:uid="{00000000-0005-0000-0000-00007E0E0000}"/>
    <cellStyle name="Calculation 2 2 11 6" xfId="18276" xr:uid="{00000000-0005-0000-0000-00007F0E0000}"/>
    <cellStyle name="Calculation 2 2 11 7" xfId="22215" xr:uid="{00000000-0005-0000-0000-0000800E0000}"/>
    <cellStyle name="Calculation 2 2 11 8" xfId="26027" xr:uid="{00000000-0005-0000-0000-0000810E0000}"/>
    <cellStyle name="Calculation 2 2 11 9" xfId="29907" xr:uid="{00000000-0005-0000-0000-0000820E0000}"/>
    <cellStyle name="Calculation 2 2 12" xfId="2339" xr:uid="{00000000-0005-0000-0000-0000830E0000}"/>
    <cellStyle name="Calculation 2 2 12 10" xfId="33638" xr:uid="{00000000-0005-0000-0000-0000840E0000}"/>
    <cellStyle name="Calculation 2 2 12 11" xfId="37391" xr:uid="{00000000-0005-0000-0000-0000850E0000}"/>
    <cellStyle name="Calculation 2 2 12 12" xfId="41407" xr:uid="{00000000-0005-0000-0000-0000860E0000}"/>
    <cellStyle name="Calculation 2 2 12 13" xfId="45200" xr:uid="{00000000-0005-0000-0000-0000870E0000}"/>
    <cellStyle name="Calculation 2 2 12 2" xfId="4322" xr:uid="{00000000-0005-0000-0000-0000880E0000}"/>
    <cellStyle name="Calculation 2 2 12 2 10" xfId="39373" xr:uid="{00000000-0005-0000-0000-0000890E0000}"/>
    <cellStyle name="Calculation 2 2 12 2 11" xfId="43383" xr:uid="{00000000-0005-0000-0000-00008A0E0000}"/>
    <cellStyle name="Calculation 2 2 12 2 12" xfId="47138" xr:uid="{00000000-0005-0000-0000-00008B0E0000}"/>
    <cellStyle name="Calculation 2 2 12 2 2" xfId="8179" xr:uid="{00000000-0005-0000-0000-00008C0E0000}"/>
    <cellStyle name="Calculation 2 2 12 2 3" xfId="12621" xr:uid="{00000000-0005-0000-0000-00008D0E0000}"/>
    <cellStyle name="Calculation 2 2 12 2 4" xfId="16465" xr:uid="{00000000-0005-0000-0000-00008E0E0000}"/>
    <cellStyle name="Calculation 2 2 12 2 5" xfId="20316" xr:uid="{00000000-0005-0000-0000-00008F0E0000}"/>
    <cellStyle name="Calculation 2 2 12 2 6" xfId="24227" xr:uid="{00000000-0005-0000-0000-0000900E0000}"/>
    <cellStyle name="Calculation 2 2 12 2 7" xfId="28066" xr:uid="{00000000-0005-0000-0000-0000910E0000}"/>
    <cellStyle name="Calculation 2 2 12 2 8" xfId="31925" xr:uid="{00000000-0005-0000-0000-0000920E0000}"/>
    <cellStyle name="Calculation 2 2 12 2 9" xfId="35576" xr:uid="{00000000-0005-0000-0000-0000930E0000}"/>
    <cellStyle name="Calculation 2 2 12 3" xfId="6251" xr:uid="{00000000-0005-0000-0000-0000940E0000}"/>
    <cellStyle name="Calculation 2 2 12 4" xfId="10656" xr:uid="{00000000-0005-0000-0000-0000950E0000}"/>
    <cellStyle name="Calculation 2 2 12 5" xfId="14501" xr:uid="{00000000-0005-0000-0000-0000960E0000}"/>
    <cellStyle name="Calculation 2 2 12 6" xfId="18333" xr:uid="{00000000-0005-0000-0000-0000970E0000}"/>
    <cellStyle name="Calculation 2 2 12 7" xfId="22271" xr:uid="{00000000-0005-0000-0000-0000980E0000}"/>
    <cellStyle name="Calculation 2 2 12 8" xfId="26084" xr:uid="{00000000-0005-0000-0000-0000990E0000}"/>
    <cellStyle name="Calculation 2 2 12 9" xfId="29964" xr:uid="{00000000-0005-0000-0000-00009A0E0000}"/>
    <cellStyle name="Calculation 2 2 13" xfId="2404" xr:uid="{00000000-0005-0000-0000-00009B0E0000}"/>
    <cellStyle name="Calculation 2 2 13 10" xfId="33702" xr:uid="{00000000-0005-0000-0000-00009C0E0000}"/>
    <cellStyle name="Calculation 2 2 13 11" xfId="37456" xr:uid="{00000000-0005-0000-0000-00009D0E0000}"/>
    <cellStyle name="Calculation 2 2 13 12" xfId="41471" xr:uid="{00000000-0005-0000-0000-00009E0E0000}"/>
    <cellStyle name="Calculation 2 2 13 13" xfId="45264" xr:uid="{00000000-0005-0000-0000-00009F0E0000}"/>
    <cellStyle name="Calculation 2 2 13 2" xfId="4387" xr:uid="{00000000-0005-0000-0000-0000A00E0000}"/>
    <cellStyle name="Calculation 2 2 13 2 10" xfId="39438" xr:uid="{00000000-0005-0000-0000-0000A10E0000}"/>
    <cellStyle name="Calculation 2 2 13 2 11" xfId="43447" xr:uid="{00000000-0005-0000-0000-0000A20E0000}"/>
    <cellStyle name="Calculation 2 2 13 2 12" xfId="47202" xr:uid="{00000000-0005-0000-0000-0000A30E0000}"/>
    <cellStyle name="Calculation 2 2 13 2 2" xfId="8244" xr:uid="{00000000-0005-0000-0000-0000A40E0000}"/>
    <cellStyle name="Calculation 2 2 13 2 3" xfId="12685" xr:uid="{00000000-0005-0000-0000-0000A50E0000}"/>
    <cellStyle name="Calculation 2 2 13 2 4" xfId="16530" xr:uid="{00000000-0005-0000-0000-0000A60E0000}"/>
    <cellStyle name="Calculation 2 2 13 2 5" xfId="20381" xr:uid="{00000000-0005-0000-0000-0000A70E0000}"/>
    <cellStyle name="Calculation 2 2 13 2 6" xfId="24292" xr:uid="{00000000-0005-0000-0000-0000A80E0000}"/>
    <cellStyle name="Calculation 2 2 13 2 7" xfId="28131" xr:uid="{00000000-0005-0000-0000-0000A90E0000}"/>
    <cellStyle name="Calculation 2 2 13 2 8" xfId="31989" xr:uid="{00000000-0005-0000-0000-0000AA0E0000}"/>
    <cellStyle name="Calculation 2 2 13 2 9" xfId="35640" xr:uid="{00000000-0005-0000-0000-0000AB0E0000}"/>
    <cellStyle name="Calculation 2 2 13 3" xfId="6300" xr:uid="{00000000-0005-0000-0000-0000AC0E0000}"/>
    <cellStyle name="Calculation 2 2 13 4" xfId="10720" xr:uid="{00000000-0005-0000-0000-0000AD0E0000}"/>
    <cellStyle name="Calculation 2 2 13 5" xfId="14566" xr:uid="{00000000-0005-0000-0000-0000AE0E0000}"/>
    <cellStyle name="Calculation 2 2 13 6" xfId="18398" xr:uid="{00000000-0005-0000-0000-0000AF0E0000}"/>
    <cellStyle name="Calculation 2 2 13 7" xfId="22336" xr:uid="{00000000-0005-0000-0000-0000B00E0000}"/>
    <cellStyle name="Calculation 2 2 13 8" xfId="26149" xr:uid="{00000000-0005-0000-0000-0000B10E0000}"/>
    <cellStyle name="Calculation 2 2 13 9" xfId="30029" xr:uid="{00000000-0005-0000-0000-0000B20E0000}"/>
    <cellStyle name="Calculation 2 2 14" xfId="2456" xr:uid="{00000000-0005-0000-0000-0000B30E0000}"/>
    <cellStyle name="Calculation 2 2 14 10" xfId="33752" xr:uid="{00000000-0005-0000-0000-0000B40E0000}"/>
    <cellStyle name="Calculation 2 2 14 11" xfId="37508" xr:uid="{00000000-0005-0000-0000-0000B50E0000}"/>
    <cellStyle name="Calculation 2 2 14 12" xfId="41523" xr:uid="{00000000-0005-0000-0000-0000B60E0000}"/>
    <cellStyle name="Calculation 2 2 14 13" xfId="45314" xr:uid="{00000000-0005-0000-0000-0000B70E0000}"/>
    <cellStyle name="Calculation 2 2 14 2" xfId="4439" xr:uid="{00000000-0005-0000-0000-0000B80E0000}"/>
    <cellStyle name="Calculation 2 2 14 2 10" xfId="39490" xr:uid="{00000000-0005-0000-0000-0000B90E0000}"/>
    <cellStyle name="Calculation 2 2 14 2 11" xfId="43499" xr:uid="{00000000-0005-0000-0000-0000BA0E0000}"/>
    <cellStyle name="Calculation 2 2 14 2 12" xfId="47252" xr:uid="{00000000-0005-0000-0000-0000BB0E0000}"/>
    <cellStyle name="Calculation 2 2 14 2 2" xfId="8294" xr:uid="{00000000-0005-0000-0000-0000BC0E0000}"/>
    <cellStyle name="Calculation 2 2 14 2 3" xfId="12737" xr:uid="{00000000-0005-0000-0000-0000BD0E0000}"/>
    <cellStyle name="Calculation 2 2 14 2 4" xfId="16580" xr:uid="{00000000-0005-0000-0000-0000BE0E0000}"/>
    <cellStyle name="Calculation 2 2 14 2 5" xfId="20433" xr:uid="{00000000-0005-0000-0000-0000BF0E0000}"/>
    <cellStyle name="Calculation 2 2 14 2 6" xfId="24343" xr:uid="{00000000-0005-0000-0000-0000C00E0000}"/>
    <cellStyle name="Calculation 2 2 14 2 7" xfId="28183" xr:uid="{00000000-0005-0000-0000-0000C10E0000}"/>
    <cellStyle name="Calculation 2 2 14 2 8" xfId="32041" xr:uid="{00000000-0005-0000-0000-0000C20E0000}"/>
    <cellStyle name="Calculation 2 2 14 2 9" xfId="35690" xr:uid="{00000000-0005-0000-0000-0000C30E0000}"/>
    <cellStyle name="Calculation 2 2 14 3" xfId="6350" xr:uid="{00000000-0005-0000-0000-0000C40E0000}"/>
    <cellStyle name="Calculation 2 2 14 4" xfId="10772" xr:uid="{00000000-0005-0000-0000-0000C50E0000}"/>
    <cellStyle name="Calculation 2 2 14 5" xfId="14617" xr:uid="{00000000-0005-0000-0000-0000C60E0000}"/>
    <cellStyle name="Calculation 2 2 14 6" xfId="18450" xr:uid="{00000000-0005-0000-0000-0000C70E0000}"/>
    <cellStyle name="Calculation 2 2 14 7" xfId="22387" xr:uid="{00000000-0005-0000-0000-0000C80E0000}"/>
    <cellStyle name="Calculation 2 2 14 8" xfId="26201" xr:uid="{00000000-0005-0000-0000-0000C90E0000}"/>
    <cellStyle name="Calculation 2 2 14 9" xfId="30080" xr:uid="{00000000-0005-0000-0000-0000CA0E0000}"/>
    <cellStyle name="Calculation 2 2 15" xfId="2510" xr:uid="{00000000-0005-0000-0000-0000CB0E0000}"/>
    <cellStyle name="Calculation 2 2 15 10" xfId="33803" xr:uid="{00000000-0005-0000-0000-0000CC0E0000}"/>
    <cellStyle name="Calculation 2 2 15 11" xfId="37562" xr:uid="{00000000-0005-0000-0000-0000CD0E0000}"/>
    <cellStyle name="Calculation 2 2 15 12" xfId="41576" xr:uid="{00000000-0005-0000-0000-0000CE0E0000}"/>
    <cellStyle name="Calculation 2 2 15 13" xfId="45365" xr:uid="{00000000-0005-0000-0000-0000CF0E0000}"/>
    <cellStyle name="Calculation 2 2 15 2" xfId="4490" xr:uid="{00000000-0005-0000-0000-0000D00E0000}"/>
    <cellStyle name="Calculation 2 2 15 2 10" xfId="39541" xr:uid="{00000000-0005-0000-0000-0000D10E0000}"/>
    <cellStyle name="Calculation 2 2 15 2 11" xfId="43550" xr:uid="{00000000-0005-0000-0000-0000D20E0000}"/>
    <cellStyle name="Calculation 2 2 15 2 12" xfId="47303" xr:uid="{00000000-0005-0000-0000-0000D30E0000}"/>
    <cellStyle name="Calculation 2 2 15 2 2" xfId="8345" xr:uid="{00000000-0005-0000-0000-0000D40E0000}"/>
    <cellStyle name="Calculation 2 2 15 2 3" xfId="12788" xr:uid="{00000000-0005-0000-0000-0000D50E0000}"/>
    <cellStyle name="Calculation 2 2 15 2 4" xfId="16631" xr:uid="{00000000-0005-0000-0000-0000D60E0000}"/>
    <cellStyle name="Calculation 2 2 15 2 5" xfId="20484" xr:uid="{00000000-0005-0000-0000-0000D70E0000}"/>
    <cellStyle name="Calculation 2 2 15 2 6" xfId="24394" xr:uid="{00000000-0005-0000-0000-0000D80E0000}"/>
    <cellStyle name="Calculation 2 2 15 2 7" xfId="28234" xr:uid="{00000000-0005-0000-0000-0000D90E0000}"/>
    <cellStyle name="Calculation 2 2 15 2 8" xfId="32092" xr:uid="{00000000-0005-0000-0000-0000DA0E0000}"/>
    <cellStyle name="Calculation 2 2 15 2 9" xfId="35741" xr:uid="{00000000-0005-0000-0000-0000DB0E0000}"/>
    <cellStyle name="Calculation 2 2 15 3" xfId="6402" xr:uid="{00000000-0005-0000-0000-0000DC0E0000}"/>
    <cellStyle name="Calculation 2 2 15 4" xfId="10825" xr:uid="{00000000-0005-0000-0000-0000DD0E0000}"/>
    <cellStyle name="Calculation 2 2 15 5" xfId="14669" xr:uid="{00000000-0005-0000-0000-0000DE0E0000}"/>
    <cellStyle name="Calculation 2 2 15 6" xfId="18504" xr:uid="{00000000-0005-0000-0000-0000DF0E0000}"/>
    <cellStyle name="Calculation 2 2 15 7" xfId="22439" xr:uid="{00000000-0005-0000-0000-0000E00E0000}"/>
    <cellStyle name="Calculation 2 2 15 8" xfId="26255" xr:uid="{00000000-0005-0000-0000-0000E10E0000}"/>
    <cellStyle name="Calculation 2 2 15 9" xfId="30134" xr:uid="{00000000-0005-0000-0000-0000E20E0000}"/>
    <cellStyle name="Calculation 2 2 16" xfId="2579" xr:uid="{00000000-0005-0000-0000-0000E30E0000}"/>
    <cellStyle name="Calculation 2 2 16 10" xfId="37631" xr:uid="{00000000-0005-0000-0000-0000E40E0000}"/>
    <cellStyle name="Calculation 2 2 16 11" xfId="41645" xr:uid="{00000000-0005-0000-0000-0000E50E0000}"/>
    <cellStyle name="Calculation 2 2 16 12" xfId="45434" xr:uid="{00000000-0005-0000-0000-0000E60E0000}"/>
    <cellStyle name="Calculation 2 2 16 2" xfId="6471" xr:uid="{00000000-0005-0000-0000-0000E70E0000}"/>
    <cellStyle name="Calculation 2 2 16 3" xfId="10894" xr:uid="{00000000-0005-0000-0000-0000E80E0000}"/>
    <cellStyle name="Calculation 2 2 16 4" xfId="14738" xr:uid="{00000000-0005-0000-0000-0000E90E0000}"/>
    <cellStyle name="Calculation 2 2 16 5" xfId="18573" xr:uid="{00000000-0005-0000-0000-0000EA0E0000}"/>
    <cellStyle name="Calculation 2 2 16 6" xfId="22508" xr:uid="{00000000-0005-0000-0000-0000EB0E0000}"/>
    <cellStyle name="Calculation 2 2 16 7" xfId="26324" xr:uid="{00000000-0005-0000-0000-0000EC0E0000}"/>
    <cellStyle name="Calculation 2 2 16 8" xfId="30203" xr:uid="{00000000-0005-0000-0000-0000ED0E0000}"/>
    <cellStyle name="Calculation 2 2 16 9" xfId="33872" xr:uid="{00000000-0005-0000-0000-0000EE0E0000}"/>
    <cellStyle name="Calculation 2 2 17" xfId="4547" xr:uid="{00000000-0005-0000-0000-0000EF0E0000}"/>
    <cellStyle name="Calculation 2 2 18" xfId="8381" xr:uid="{00000000-0005-0000-0000-0000F00E0000}"/>
    <cellStyle name="Calculation 2 2 19" xfId="8764" xr:uid="{00000000-0005-0000-0000-0000F10E0000}"/>
    <cellStyle name="Calculation 2 2 2" xfId="708" xr:uid="{00000000-0005-0000-0000-0000F20E0000}"/>
    <cellStyle name="Calculation 2 2 2 10" xfId="24442" xr:uid="{00000000-0005-0000-0000-0000F30E0000}"/>
    <cellStyle name="Calculation 2 2 2 11" xfId="28335" xr:uid="{00000000-0005-0000-0000-0000F40E0000}"/>
    <cellStyle name="Calculation 2 2 2 12" xfId="30090" xr:uid="{00000000-0005-0000-0000-0000F50E0000}"/>
    <cellStyle name="Calculation 2 2 2 13" xfId="35779" xr:uid="{00000000-0005-0000-0000-0000F60E0000}"/>
    <cellStyle name="Calculation 2 2 2 14" xfId="39802" xr:uid="{00000000-0005-0000-0000-0000F70E0000}"/>
    <cellStyle name="Calculation 2 2 2 15" xfId="43605" xr:uid="{00000000-0005-0000-0000-0000F80E0000}"/>
    <cellStyle name="Calculation 2 2 2 2" xfId="1088" xr:uid="{00000000-0005-0000-0000-0000F90E0000}"/>
    <cellStyle name="Calculation 2 2 2 2 10" xfId="28699" xr:uid="{00000000-0005-0000-0000-0000FA0E0000}"/>
    <cellStyle name="Calculation 2 2 2 2 11" xfId="32385" xr:uid="{00000000-0005-0000-0000-0000FB0E0000}"/>
    <cellStyle name="Calculation 2 2 2 2 12" xfId="36146" xr:uid="{00000000-0005-0000-0000-0000FC0E0000}"/>
    <cellStyle name="Calculation 2 2 2 2 13" xfId="40149" xr:uid="{00000000-0005-0000-0000-0000FD0E0000}"/>
    <cellStyle name="Calculation 2 2 2 2 14" xfId="43972" xr:uid="{00000000-0005-0000-0000-0000FE0E0000}"/>
    <cellStyle name="Calculation 2 2 2 2 2" xfId="1815" xr:uid="{00000000-0005-0000-0000-0000FF0E0000}"/>
    <cellStyle name="Calculation 2 2 2 2 2 10" xfId="33102" xr:uid="{00000000-0005-0000-0000-0000000F0000}"/>
    <cellStyle name="Calculation 2 2 2 2 2 11" xfId="36872" xr:uid="{00000000-0005-0000-0000-0000010F0000}"/>
    <cellStyle name="Calculation 2 2 2 2 2 12" xfId="40863" xr:uid="{00000000-0005-0000-0000-0000020F0000}"/>
    <cellStyle name="Calculation 2 2 2 2 2 13" xfId="44694" xr:uid="{00000000-0005-0000-0000-0000030F0000}"/>
    <cellStyle name="Calculation 2 2 2 2 2 2" xfId="3805" xr:uid="{00000000-0005-0000-0000-0000040F0000}"/>
    <cellStyle name="Calculation 2 2 2 2 2 2 10" xfId="38856" xr:uid="{00000000-0005-0000-0000-0000050F0000}"/>
    <cellStyle name="Calculation 2 2 2 2 2 2 11" xfId="42867" xr:uid="{00000000-0005-0000-0000-0000060F0000}"/>
    <cellStyle name="Calculation 2 2 2 2 2 2 12" xfId="46632" xr:uid="{00000000-0005-0000-0000-0000070F0000}"/>
    <cellStyle name="Calculation 2 2 2 2 2 2 2" xfId="7672" xr:uid="{00000000-0005-0000-0000-0000080F0000}"/>
    <cellStyle name="Calculation 2 2 2 2 2 2 3" xfId="12107" xr:uid="{00000000-0005-0000-0000-0000090F0000}"/>
    <cellStyle name="Calculation 2 2 2 2 2 2 4" xfId="15952" xr:uid="{00000000-0005-0000-0000-00000A0F0000}"/>
    <cellStyle name="Calculation 2 2 2 2 2 2 5" xfId="19799" xr:uid="{00000000-0005-0000-0000-00000B0F0000}"/>
    <cellStyle name="Calculation 2 2 2 2 2 2 6" xfId="23715" xr:uid="{00000000-0005-0000-0000-00000C0F0000}"/>
    <cellStyle name="Calculation 2 2 2 2 2 2 7" xfId="27549" xr:uid="{00000000-0005-0000-0000-00000D0F0000}"/>
    <cellStyle name="Calculation 2 2 2 2 2 2 8" xfId="31413" xr:uid="{00000000-0005-0000-0000-00000E0F0000}"/>
    <cellStyle name="Calculation 2 2 2 2 2 2 9" xfId="35070" xr:uid="{00000000-0005-0000-0000-00000F0F0000}"/>
    <cellStyle name="Calculation 2 2 2 2 2 3" xfId="5748" xr:uid="{00000000-0005-0000-0000-0000100F0000}"/>
    <cellStyle name="Calculation 2 2 2 2 2 4" xfId="10106" xr:uid="{00000000-0005-0000-0000-0000110F0000}"/>
    <cellStyle name="Calculation 2 2 2 2 2 5" xfId="13952" xr:uid="{00000000-0005-0000-0000-0000120F0000}"/>
    <cellStyle name="Calculation 2 2 2 2 2 6" xfId="17781" xr:uid="{00000000-0005-0000-0000-0000130F0000}"/>
    <cellStyle name="Calculation 2 2 2 2 2 7" xfId="21720" xr:uid="{00000000-0005-0000-0000-0000140F0000}"/>
    <cellStyle name="Calculation 2 2 2 2 2 8" xfId="25533" xr:uid="{00000000-0005-0000-0000-0000150F0000}"/>
    <cellStyle name="Calculation 2 2 2 2 2 9" xfId="29420" xr:uid="{00000000-0005-0000-0000-0000160F0000}"/>
    <cellStyle name="Calculation 2 2 2 2 3" xfId="3078" xr:uid="{00000000-0005-0000-0000-0000170F0000}"/>
    <cellStyle name="Calculation 2 2 2 2 3 10" xfId="38130" xr:uid="{00000000-0005-0000-0000-0000180F0000}"/>
    <cellStyle name="Calculation 2 2 2 2 3 11" xfId="42142" xr:uid="{00000000-0005-0000-0000-0000190F0000}"/>
    <cellStyle name="Calculation 2 2 2 2 3 12" xfId="45915" xr:uid="{00000000-0005-0000-0000-00001A0F0000}"/>
    <cellStyle name="Calculation 2 2 2 2 3 2" xfId="6954" xr:uid="{00000000-0005-0000-0000-00001B0F0000}"/>
    <cellStyle name="Calculation 2 2 2 2 3 3" xfId="11383" xr:uid="{00000000-0005-0000-0000-00001C0F0000}"/>
    <cellStyle name="Calculation 2 2 2 2 3 4" xfId="15227" xr:uid="{00000000-0005-0000-0000-00001D0F0000}"/>
    <cellStyle name="Calculation 2 2 2 2 3 5" xfId="19072" xr:uid="{00000000-0005-0000-0000-00001E0F0000}"/>
    <cellStyle name="Calculation 2 2 2 2 3 6" xfId="22994" xr:uid="{00000000-0005-0000-0000-00001F0F0000}"/>
    <cellStyle name="Calculation 2 2 2 2 3 7" xfId="26823" xr:uid="{00000000-0005-0000-0000-0000200F0000}"/>
    <cellStyle name="Calculation 2 2 2 2 3 8" xfId="30697" xr:uid="{00000000-0005-0000-0000-0000210F0000}"/>
    <cellStyle name="Calculation 2 2 2 2 3 9" xfId="34353" xr:uid="{00000000-0005-0000-0000-0000220F0000}"/>
    <cellStyle name="Calculation 2 2 2 2 4" xfId="5030" xr:uid="{00000000-0005-0000-0000-0000230F0000}"/>
    <cellStyle name="Calculation 2 2 2 2 5" xfId="9386" xr:uid="{00000000-0005-0000-0000-0000240F0000}"/>
    <cellStyle name="Calculation 2 2 2 2 6" xfId="13226" xr:uid="{00000000-0005-0000-0000-0000250F0000}"/>
    <cellStyle name="Calculation 2 2 2 2 7" xfId="17054" xr:uid="{00000000-0005-0000-0000-0000260F0000}"/>
    <cellStyle name="Calculation 2 2 2 2 8" xfId="20996" xr:uid="{00000000-0005-0000-0000-0000270F0000}"/>
    <cellStyle name="Calculation 2 2 2 2 9" xfId="24810" xr:uid="{00000000-0005-0000-0000-0000280F0000}"/>
    <cellStyle name="Calculation 2 2 2 3" xfId="1462" xr:uid="{00000000-0005-0000-0000-0000290F0000}"/>
    <cellStyle name="Calculation 2 2 2 3 10" xfId="32749" xr:uid="{00000000-0005-0000-0000-00002A0F0000}"/>
    <cellStyle name="Calculation 2 2 2 3 11" xfId="36519" xr:uid="{00000000-0005-0000-0000-00002B0F0000}"/>
    <cellStyle name="Calculation 2 2 2 3 12" xfId="40510" xr:uid="{00000000-0005-0000-0000-00002C0F0000}"/>
    <cellStyle name="Calculation 2 2 2 3 13" xfId="44341" xr:uid="{00000000-0005-0000-0000-00002D0F0000}"/>
    <cellStyle name="Calculation 2 2 2 3 2" xfId="3452" xr:uid="{00000000-0005-0000-0000-00002E0F0000}"/>
    <cellStyle name="Calculation 2 2 2 3 2 10" xfId="38503" xr:uid="{00000000-0005-0000-0000-00002F0F0000}"/>
    <cellStyle name="Calculation 2 2 2 3 2 11" xfId="42514" xr:uid="{00000000-0005-0000-0000-0000300F0000}"/>
    <cellStyle name="Calculation 2 2 2 3 2 12" xfId="46279" xr:uid="{00000000-0005-0000-0000-0000310F0000}"/>
    <cellStyle name="Calculation 2 2 2 3 2 2" xfId="7319" xr:uid="{00000000-0005-0000-0000-0000320F0000}"/>
    <cellStyle name="Calculation 2 2 2 3 2 3" xfId="11754" xr:uid="{00000000-0005-0000-0000-0000330F0000}"/>
    <cellStyle name="Calculation 2 2 2 3 2 4" xfId="15599" xr:uid="{00000000-0005-0000-0000-0000340F0000}"/>
    <cellStyle name="Calculation 2 2 2 3 2 5" xfId="19446" xr:uid="{00000000-0005-0000-0000-0000350F0000}"/>
    <cellStyle name="Calculation 2 2 2 3 2 6" xfId="23362" xr:uid="{00000000-0005-0000-0000-0000360F0000}"/>
    <cellStyle name="Calculation 2 2 2 3 2 7" xfId="27196" xr:uid="{00000000-0005-0000-0000-0000370F0000}"/>
    <cellStyle name="Calculation 2 2 2 3 2 8" xfId="31064" xr:uid="{00000000-0005-0000-0000-0000380F0000}"/>
    <cellStyle name="Calculation 2 2 2 3 2 9" xfId="34717" xr:uid="{00000000-0005-0000-0000-0000390F0000}"/>
    <cellStyle name="Calculation 2 2 2 3 3" xfId="5395" xr:uid="{00000000-0005-0000-0000-00003A0F0000}"/>
    <cellStyle name="Calculation 2 2 2 3 4" xfId="9753" xr:uid="{00000000-0005-0000-0000-00003B0F0000}"/>
    <cellStyle name="Calculation 2 2 2 3 5" xfId="13599" xr:uid="{00000000-0005-0000-0000-00003C0F0000}"/>
    <cellStyle name="Calculation 2 2 2 3 6" xfId="17428" xr:uid="{00000000-0005-0000-0000-00003D0F0000}"/>
    <cellStyle name="Calculation 2 2 2 3 7" xfId="21367" xr:uid="{00000000-0005-0000-0000-00003E0F0000}"/>
    <cellStyle name="Calculation 2 2 2 3 8" xfId="25180" xr:uid="{00000000-0005-0000-0000-00003F0F0000}"/>
    <cellStyle name="Calculation 2 2 2 3 9" xfId="29067" xr:uid="{00000000-0005-0000-0000-0000400F0000}"/>
    <cellStyle name="Calculation 2 2 2 4" xfId="2711" xr:uid="{00000000-0005-0000-0000-0000410F0000}"/>
    <cellStyle name="Calculation 2 2 2 4 10" xfId="37763" xr:uid="{00000000-0005-0000-0000-0000420F0000}"/>
    <cellStyle name="Calculation 2 2 2 4 11" xfId="41777" xr:uid="{00000000-0005-0000-0000-0000430F0000}"/>
    <cellStyle name="Calculation 2 2 2 4 12" xfId="45562" xr:uid="{00000000-0005-0000-0000-0000440F0000}"/>
    <cellStyle name="Calculation 2 2 2 4 2" xfId="6599" xr:uid="{00000000-0005-0000-0000-0000450F0000}"/>
    <cellStyle name="Calculation 2 2 2 4 3" xfId="11023" xr:uid="{00000000-0005-0000-0000-0000460F0000}"/>
    <cellStyle name="Calculation 2 2 2 4 4" xfId="14867" xr:uid="{00000000-0005-0000-0000-0000470F0000}"/>
    <cellStyle name="Calculation 2 2 2 4 5" xfId="18705" xr:uid="{00000000-0005-0000-0000-0000480F0000}"/>
    <cellStyle name="Calculation 2 2 2 4 6" xfId="22636" xr:uid="{00000000-0005-0000-0000-0000490F0000}"/>
    <cellStyle name="Calculation 2 2 2 4 7" xfId="26456" xr:uid="{00000000-0005-0000-0000-00004A0F0000}"/>
    <cellStyle name="Calculation 2 2 2 4 8" xfId="30335" xr:uid="{00000000-0005-0000-0000-00004B0F0000}"/>
    <cellStyle name="Calculation 2 2 2 4 9" xfId="34000" xr:uid="{00000000-0005-0000-0000-00004C0F0000}"/>
    <cellStyle name="Calculation 2 2 2 5" xfId="4675" xr:uid="{00000000-0005-0000-0000-00004D0F0000}"/>
    <cellStyle name="Calculation 2 2 2 6" xfId="9017" xr:uid="{00000000-0005-0000-0000-00004E0F0000}"/>
    <cellStyle name="Calculation 2 2 2 7" xfId="12854" xr:uid="{00000000-0005-0000-0000-00004F0F0000}"/>
    <cellStyle name="Calculation 2 2 2 8" xfId="16684" xr:uid="{00000000-0005-0000-0000-0000500F0000}"/>
    <cellStyle name="Calculation 2 2 2 9" xfId="20621" xr:uid="{00000000-0005-0000-0000-0000510F0000}"/>
    <cellStyle name="Calculation 2 2 20" xfId="8884" xr:uid="{00000000-0005-0000-0000-0000520F0000}"/>
    <cellStyle name="Calculation 2 2 21" xfId="10390" xr:uid="{00000000-0005-0000-0000-0000530F0000}"/>
    <cellStyle name="Calculation 2 2 22" xfId="8812" xr:uid="{00000000-0005-0000-0000-0000540F0000}"/>
    <cellStyle name="Calculation 2 2 23" xfId="20487" xr:uid="{00000000-0005-0000-0000-0000550F0000}"/>
    <cellStyle name="Calculation 2 2 24" xfId="21989" xr:uid="{00000000-0005-0000-0000-0000560F0000}"/>
    <cellStyle name="Calculation 2 2 25" xfId="25821" xr:uid="{00000000-0005-0000-0000-0000570F0000}"/>
    <cellStyle name="Calculation 2 2 26" xfId="28854" xr:uid="{00000000-0005-0000-0000-0000580F0000}"/>
    <cellStyle name="Calculation 2 2 27" xfId="15391" xr:uid="{00000000-0005-0000-0000-0000590F0000}"/>
    <cellStyle name="Calculation 2 2 28" xfId="39671" xr:uid="{00000000-0005-0000-0000-00005A0F0000}"/>
    <cellStyle name="Calculation 2 2 29" xfId="39744" xr:uid="{00000000-0005-0000-0000-00005B0F0000}"/>
    <cellStyle name="Calculation 2 2 3" xfId="647" xr:uid="{00000000-0005-0000-0000-00005C0F0000}"/>
    <cellStyle name="Calculation 2 2 3 10" xfId="12892" xr:uid="{00000000-0005-0000-0000-00005D0F0000}"/>
    <cellStyle name="Calculation 2 2 3 11" xfId="28274" xr:uid="{00000000-0005-0000-0000-00005E0F0000}"/>
    <cellStyle name="Calculation 2 2 3 12" xfId="28278" xr:uid="{00000000-0005-0000-0000-00005F0F0000}"/>
    <cellStyle name="Calculation 2 2 3 13" xfId="22370" xr:uid="{00000000-0005-0000-0000-0000600F0000}"/>
    <cellStyle name="Calculation 2 2 3 14" xfId="39742" xr:uid="{00000000-0005-0000-0000-0000610F0000}"/>
    <cellStyle name="Calculation 2 2 3 15" xfId="39546" xr:uid="{00000000-0005-0000-0000-0000620F0000}"/>
    <cellStyle name="Calculation 2 2 3 2" xfId="1027" xr:uid="{00000000-0005-0000-0000-0000630F0000}"/>
    <cellStyle name="Calculation 2 2 3 2 10" xfId="28638" xr:uid="{00000000-0005-0000-0000-0000640F0000}"/>
    <cellStyle name="Calculation 2 2 3 2 11" xfId="32326" xr:uid="{00000000-0005-0000-0000-0000650F0000}"/>
    <cellStyle name="Calculation 2 2 3 2 12" xfId="36085" xr:uid="{00000000-0005-0000-0000-0000660F0000}"/>
    <cellStyle name="Calculation 2 2 3 2 13" xfId="40090" xr:uid="{00000000-0005-0000-0000-0000670F0000}"/>
    <cellStyle name="Calculation 2 2 3 2 14" xfId="43911" xr:uid="{00000000-0005-0000-0000-0000680F0000}"/>
    <cellStyle name="Calculation 2 2 3 2 2" xfId="1756" xr:uid="{00000000-0005-0000-0000-0000690F0000}"/>
    <cellStyle name="Calculation 2 2 3 2 2 10" xfId="33043" xr:uid="{00000000-0005-0000-0000-00006A0F0000}"/>
    <cellStyle name="Calculation 2 2 3 2 2 11" xfId="36813" xr:uid="{00000000-0005-0000-0000-00006B0F0000}"/>
    <cellStyle name="Calculation 2 2 3 2 2 12" xfId="40804" xr:uid="{00000000-0005-0000-0000-00006C0F0000}"/>
    <cellStyle name="Calculation 2 2 3 2 2 13" xfId="44635" xr:uid="{00000000-0005-0000-0000-00006D0F0000}"/>
    <cellStyle name="Calculation 2 2 3 2 2 2" xfId="3746" xr:uid="{00000000-0005-0000-0000-00006E0F0000}"/>
    <cellStyle name="Calculation 2 2 3 2 2 2 10" xfId="38797" xr:uid="{00000000-0005-0000-0000-00006F0F0000}"/>
    <cellStyle name="Calculation 2 2 3 2 2 2 11" xfId="42808" xr:uid="{00000000-0005-0000-0000-0000700F0000}"/>
    <cellStyle name="Calculation 2 2 3 2 2 2 12" xfId="46573" xr:uid="{00000000-0005-0000-0000-0000710F0000}"/>
    <cellStyle name="Calculation 2 2 3 2 2 2 2" xfId="7613" xr:uid="{00000000-0005-0000-0000-0000720F0000}"/>
    <cellStyle name="Calculation 2 2 3 2 2 2 3" xfId="12048" xr:uid="{00000000-0005-0000-0000-0000730F0000}"/>
    <cellStyle name="Calculation 2 2 3 2 2 2 4" xfId="15893" xr:uid="{00000000-0005-0000-0000-0000740F0000}"/>
    <cellStyle name="Calculation 2 2 3 2 2 2 5" xfId="19740" xr:uid="{00000000-0005-0000-0000-0000750F0000}"/>
    <cellStyle name="Calculation 2 2 3 2 2 2 6" xfId="23656" xr:uid="{00000000-0005-0000-0000-0000760F0000}"/>
    <cellStyle name="Calculation 2 2 3 2 2 2 7" xfId="27490" xr:uid="{00000000-0005-0000-0000-0000770F0000}"/>
    <cellStyle name="Calculation 2 2 3 2 2 2 8" xfId="31354" xr:uid="{00000000-0005-0000-0000-0000780F0000}"/>
    <cellStyle name="Calculation 2 2 3 2 2 2 9" xfId="35011" xr:uid="{00000000-0005-0000-0000-0000790F0000}"/>
    <cellStyle name="Calculation 2 2 3 2 2 3" xfId="5689" xr:uid="{00000000-0005-0000-0000-00007A0F0000}"/>
    <cellStyle name="Calculation 2 2 3 2 2 4" xfId="10047" xr:uid="{00000000-0005-0000-0000-00007B0F0000}"/>
    <cellStyle name="Calculation 2 2 3 2 2 5" xfId="13893" xr:uid="{00000000-0005-0000-0000-00007C0F0000}"/>
    <cellStyle name="Calculation 2 2 3 2 2 6" xfId="17722" xr:uid="{00000000-0005-0000-0000-00007D0F0000}"/>
    <cellStyle name="Calculation 2 2 3 2 2 7" xfId="21661" xr:uid="{00000000-0005-0000-0000-00007E0F0000}"/>
    <cellStyle name="Calculation 2 2 3 2 2 8" xfId="25474" xr:uid="{00000000-0005-0000-0000-00007F0F0000}"/>
    <cellStyle name="Calculation 2 2 3 2 2 9" xfId="29361" xr:uid="{00000000-0005-0000-0000-0000800F0000}"/>
    <cellStyle name="Calculation 2 2 3 2 3" xfId="3017" xr:uid="{00000000-0005-0000-0000-0000810F0000}"/>
    <cellStyle name="Calculation 2 2 3 2 3 10" xfId="38069" xr:uid="{00000000-0005-0000-0000-0000820F0000}"/>
    <cellStyle name="Calculation 2 2 3 2 3 11" xfId="42081" xr:uid="{00000000-0005-0000-0000-0000830F0000}"/>
    <cellStyle name="Calculation 2 2 3 2 3 12" xfId="45856" xr:uid="{00000000-0005-0000-0000-0000840F0000}"/>
    <cellStyle name="Calculation 2 2 3 2 3 2" xfId="6895" xr:uid="{00000000-0005-0000-0000-0000850F0000}"/>
    <cellStyle name="Calculation 2 2 3 2 3 3" xfId="11323" xr:uid="{00000000-0005-0000-0000-0000860F0000}"/>
    <cellStyle name="Calculation 2 2 3 2 3 4" xfId="15168" xr:uid="{00000000-0005-0000-0000-0000870F0000}"/>
    <cellStyle name="Calculation 2 2 3 2 3 5" xfId="19011" xr:uid="{00000000-0005-0000-0000-0000880F0000}"/>
    <cellStyle name="Calculation 2 2 3 2 3 6" xfId="22935" xr:uid="{00000000-0005-0000-0000-0000890F0000}"/>
    <cellStyle name="Calculation 2 2 3 2 3 7" xfId="26762" xr:uid="{00000000-0005-0000-0000-00008A0F0000}"/>
    <cellStyle name="Calculation 2 2 3 2 3 8" xfId="30636" xr:uid="{00000000-0005-0000-0000-00008B0F0000}"/>
    <cellStyle name="Calculation 2 2 3 2 3 9" xfId="34294" xr:uid="{00000000-0005-0000-0000-00008C0F0000}"/>
    <cellStyle name="Calculation 2 2 3 2 4" xfId="4971" xr:uid="{00000000-0005-0000-0000-00008D0F0000}"/>
    <cellStyle name="Calculation 2 2 3 2 5" xfId="9326" xr:uid="{00000000-0005-0000-0000-00008E0F0000}"/>
    <cellStyle name="Calculation 2 2 3 2 6" xfId="13167" xr:uid="{00000000-0005-0000-0000-00008F0F0000}"/>
    <cellStyle name="Calculation 2 2 3 2 7" xfId="16993" xr:uid="{00000000-0005-0000-0000-0000900F0000}"/>
    <cellStyle name="Calculation 2 2 3 2 8" xfId="20935" xr:uid="{00000000-0005-0000-0000-0000910F0000}"/>
    <cellStyle name="Calculation 2 2 3 2 9" xfId="24750" xr:uid="{00000000-0005-0000-0000-0000920F0000}"/>
    <cellStyle name="Calculation 2 2 3 3" xfId="1403" xr:uid="{00000000-0005-0000-0000-0000930F0000}"/>
    <cellStyle name="Calculation 2 2 3 3 10" xfId="32690" xr:uid="{00000000-0005-0000-0000-0000940F0000}"/>
    <cellStyle name="Calculation 2 2 3 3 11" xfId="36460" xr:uid="{00000000-0005-0000-0000-0000950F0000}"/>
    <cellStyle name="Calculation 2 2 3 3 12" xfId="40451" xr:uid="{00000000-0005-0000-0000-0000960F0000}"/>
    <cellStyle name="Calculation 2 2 3 3 13" xfId="44282" xr:uid="{00000000-0005-0000-0000-0000970F0000}"/>
    <cellStyle name="Calculation 2 2 3 3 2" xfId="3393" xr:uid="{00000000-0005-0000-0000-0000980F0000}"/>
    <cellStyle name="Calculation 2 2 3 3 2 10" xfId="38444" xr:uid="{00000000-0005-0000-0000-0000990F0000}"/>
    <cellStyle name="Calculation 2 2 3 3 2 11" xfId="42455" xr:uid="{00000000-0005-0000-0000-00009A0F0000}"/>
    <cellStyle name="Calculation 2 2 3 3 2 12" xfId="46220" xr:uid="{00000000-0005-0000-0000-00009B0F0000}"/>
    <cellStyle name="Calculation 2 2 3 3 2 2" xfId="7260" xr:uid="{00000000-0005-0000-0000-00009C0F0000}"/>
    <cellStyle name="Calculation 2 2 3 3 2 3" xfId="11695" xr:uid="{00000000-0005-0000-0000-00009D0F0000}"/>
    <cellStyle name="Calculation 2 2 3 3 2 4" xfId="15540" xr:uid="{00000000-0005-0000-0000-00009E0F0000}"/>
    <cellStyle name="Calculation 2 2 3 3 2 5" xfId="19387" xr:uid="{00000000-0005-0000-0000-00009F0F0000}"/>
    <cellStyle name="Calculation 2 2 3 3 2 6" xfId="23303" xr:uid="{00000000-0005-0000-0000-0000A00F0000}"/>
    <cellStyle name="Calculation 2 2 3 3 2 7" xfId="27137" xr:uid="{00000000-0005-0000-0000-0000A10F0000}"/>
    <cellStyle name="Calculation 2 2 3 3 2 8" xfId="31005" xr:uid="{00000000-0005-0000-0000-0000A20F0000}"/>
    <cellStyle name="Calculation 2 2 3 3 2 9" xfId="34658" xr:uid="{00000000-0005-0000-0000-0000A30F0000}"/>
    <cellStyle name="Calculation 2 2 3 3 3" xfId="5336" xr:uid="{00000000-0005-0000-0000-0000A40F0000}"/>
    <cellStyle name="Calculation 2 2 3 3 4" xfId="9694" xr:uid="{00000000-0005-0000-0000-0000A50F0000}"/>
    <cellStyle name="Calculation 2 2 3 3 5" xfId="13540" xr:uid="{00000000-0005-0000-0000-0000A60F0000}"/>
    <cellStyle name="Calculation 2 2 3 3 6" xfId="17369" xr:uid="{00000000-0005-0000-0000-0000A70F0000}"/>
    <cellStyle name="Calculation 2 2 3 3 7" xfId="21308" xr:uid="{00000000-0005-0000-0000-0000A80F0000}"/>
    <cellStyle name="Calculation 2 2 3 3 8" xfId="25121" xr:uid="{00000000-0005-0000-0000-0000A90F0000}"/>
    <cellStyle name="Calculation 2 2 3 3 9" xfId="29008" xr:uid="{00000000-0005-0000-0000-0000AA0F0000}"/>
    <cellStyle name="Calculation 2 2 3 4" xfId="2650" xr:uid="{00000000-0005-0000-0000-0000AB0F0000}"/>
    <cellStyle name="Calculation 2 2 3 4 10" xfId="37702" xr:uid="{00000000-0005-0000-0000-0000AC0F0000}"/>
    <cellStyle name="Calculation 2 2 3 4 11" xfId="41716" xr:uid="{00000000-0005-0000-0000-0000AD0F0000}"/>
    <cellStyle name="Calculation 2 2 3 4 12" xfId="45503" xr:uid="{00000000-0005-0000-0000-0000AE0F0000}"/>
    <cellStyle name="Calculation 2 2 3 4 2" xfId="6540" xr:uid="{00000000-0005-0000-0000-0000AF0F0000}"/>
    <cellStyle name="Calculation 2 2 3 4 3" xfId="10964" xr:uid="{00000000-0005-0000-0000-0000B00F0000}"/>
    <cellStyle name="Calculation 2 2 3 4 4" xfId="14808" xr:uid="{00000000-0005-0000-0000-0000B10F0000}"/>
    <cellStyle name="Calculation 2 2 3 4 5" xfId="18644" xr:uid="{00000000-0005-0000-0000-0000B20F0000}"/>
    <cellStyle name="Calculation 2 2 3 4 6" xfId="22577" xr:uid="{00000000-0005-0000-0000-0000B30F0000}"/>
    <cellStyle name="Calculation 2 2 3 4 7" xfId="26395" xr:uid="{00000000-0005-0000-0000-0000B40F0000}"/>
    <cellStyle name="Calculation 2 2 3 4 8" xfId="30274" xr:uid="{00000000-0005-0000-0000-0000B50F0000}"/>
    <cellStyle name="Calculation 2 2 3 4 9" xfId="33941" xr:uid="{00000000-0005-0000-0000-0000B60F0000}"/>
    <cellStyle name="Calculation 2 2 3 5" xfId="4616" xr:uid="{00000000-0005-0000-0000-0000B70F0000}"/>
    <cellStyle name="Calculation 2 2 3 6" xfId="8956" xr:uid="{00000000-0005-0000-0000-0000B80F0000}"/>
    <cellStyle name="Calculation 2 2 3 7" xfId="12795" xr:uid="{00000000-0005-0000-0000-0000B90F0000}"/>
    <cellStyle name="Calculation 2 2 3 8" xfId="8474" xr:uid="{00000000-0005-0000-0000-0000BA0F0000}"/>
    <cellStyle name="Calculation 2 2 3 9" xfId="20560" xr:uid="{00000000-0005-0000-0000-0000BB0F0000}"/>
    <cellStyle name="Calculation 2 2 30" xfId="47385" xr:uid="{00000000-0005-0000-0000-0000BC0F0000}"/>
    <cellStyle name="Calculation 2 2 31" xfId="47471" xr:uid="{00000000-0005-0000-0000-0000BD0F0000}"/>
    <cellStyle name="Calculation 2 2 32" xfId="47520" xr:uid="{00000000-0005-0000-0000-0000BE0F0000}"/>
    <cellStyle name="Calculation 2 2 4" xfId="816" xr:uid="{00000000-0005-0000-0000-0000BF0F0000}"/>
    <cellStyle name="Calculation 2 2 4 10" xfId="24540" xr:uid="{00000000-0005-0000-0000-0000C00F0000}"/>
    <cellStyle name="Calculation 2 2 4 11" xfId="28431" xr:uid="{00000000-0005-0000-0000-0000C10F0000}"/>
    <cellStyle name="Calculation 2 2 4 12" xfId="32117" xr:uid="{00000000-0005-0000-0000-0000C20F0000}"/>
    <cellStyle name="Calculation 2 2 4 13" xfId="35874" xr:uid="{00000000-0005-0000-0000-0000C30F0000}"/>
    <cellStyle name="Calculation 2 2 4 14" xfId="39885" xr:uid="{00000000-0005-0000-0000-0000C40F0000}"/>
    <cellStyle name="Calculation 2 2 4 15" xfId="43700" xr:uid="{00000000-0005-0000-0000-0000C50F0000}"/>
    <cellStyle name="Calculation 2 2 4 2" xfId="1178" xr:uid="{00000000-0005-0000-0000-0000C60F0000}"/>
    <cellStyle name="Calculation 2 2 4 2 10" xfId="28787" xr:uid="{00000000-0005-0000-0000-0000C70F0000}"/>
    <cellStyle name="Calculation 2 2 4 2 11" xfId="32470" xr:uid="{00000000-0005-0000-0000-0000C80F0000}"/>
    <cellStyle name="Calculation 2 2 4 2 12" xfId="36236" xr:uid="{00000000-0005-0000-0000-0000C90F0000}"/>
    <cellStyle name="Calculation 2 2 4 2 13" xfId="40231" xr:uid="{00000000-0005-0000-0000-0000CA0F0000}"/>
    <cellStyle name="Calculation 2 2 4 2 14" xfId="44062" xr:uid="{00000000-0005-0000-0000-0000CB0F0000}"/>
    <cellStyle name="Calculation 2 2 4 2 2" xfId="1900" xr:uid="{00000000-0005-0000-0000-0000CC0F0000}"/>
    <cellStyle name="Calculation 2 2 4 2 2 10" xfId="33187" xr:uid="{00000000-0005-0000-0000-0000CD0F0000}"/>
    <cellStyle name="Calculation 2 2 4 2 2 11" xfId="36957" xr:uid="{00000000-0005-0000-0000-0000CE0F0000}"/>
    <cellStyle name="Calculation 2 2 4 2 2 12" xfId="40948" xr:uid="{00000000-0005-0000-0000-0000CF0F0000}"/>
    <cellStyle name="Calculation 2 2 4 2 2 13" xfId="44779" xr:uid="{00000000-0005-0000-0000-0000D00F0000}"/>
    <cellStyle name="Calculation 2 2 4 2 2 2" xfId="3890" xr:uid="{00000000-0005-0000-0000-0000D10F0000}"/>
    <cellStyle name="Calculation 2 2 4 2 2 2 10" xfId="38941" xr:uid="{00000000-0005-0000-0000-0000D20F0000}"/>
    <cellStyle name="Calculation 2 2 4 2 2 2 11" xfId="42952" xr:uid="{00000000-0005-0000-0000-0000D30F0000}"/>
    <cellStyle name="Calculation 2 2 4 2 2 2 12" xfId="46717" xr:uid="{00000000-0005-0000-0000-0000D40F0000}"/>
    <cellStyle name="Calculation 2 2 4 2 2 2 2" xfId="7757" xr:uid="{00000000-0005-0000-0000-0000D50F0000}"/>
    <cellStyle name="Calculation 2 2 4 2 2 2 3" xfId="12192" xr:uid="{00000000-0005-0000-0000-0000D60F0000}"/>
    <cellStyle name="Calculation 2 2 4 2 2 2 4" xfId="16037" xr:uid="{00000000-0005-0000-0000-0000D70F0000}"/>
    <cellStyle name="Calculation 2 2 4 2 2 2 5" xfId="19884" xr:uid="{00000000-0005-0000-0000-0000D80F0000}"/>
    <cellStyle name="Calculation 2 2 4 2 2 2 6" xfId="23800" xr:uid="{00000000-0005-0000-0000-0000D90F0000}"/>
    <cellStyle name="Calculation 2 2 4 2 2 2 7" xfId="27634" xr:uid="{00000000-0005-0000-0000-0000DA0F0000}"/>
    <cellStyle name="Calculation 2 2 4 2 2 2 8" xfId="31497" xr:uid="{00000000-0005-0000-0000-0000DB0F0000}"/>
    <cellStyle name="Calculation 2 2 4 2 2 2 9" xfId="35155" xr:uid="{00000000-0005-0000-0000-0000DC0F0000}"/>
    <cellStyle name="Calculation 2 2 4 2 2 3" xfId="5833" xr:uid="{00000000-0005-0000-0000-0000DD0F0000}"/>
    <cellStyle name="Calculation 2 2 4 2 2 4" xfId="10191" xr:uid="{00000000-0005-0000-0000-0000DE0F0000}"/>
    <cellStyle name="Calculation 2 2 4 2 2 5" xfId="14037" xr:uid="{00000000-0005-0000-0000-0000DF0F0000}"/>
    <cellStyle name="Calculation 2 2 4 2 2 6" xfId="17866" xr:uid="{00000000-0005-0000-0000-0000E00F0000}"/>
    <cellStyle name="Calculation 2 2 4 2 2 7" xfId="21805" xr:uid="{00000000-0005-0000-0000-0000E10F0000}"/>
    <cellStyle name="Calculation 2 2 4 2 2 8" xfId="25618" xr:uid="{00000000-0005-0000-0000-0000E20F0000}"/>
    <cellStyle name="Calculation 2 2 4 2 2 9" xfId="29505" xr:uid="{00000000-0005-0000-0000-0000E30F0000}"/>
    <cellStyle name="Calculation 2 2 4 2 3" xfId="3168" xr:uid="{00000000-0005-0000-0000-0000E40F0000}"/>
    <cellStyle name="Calculation 2 2 4 2 3 10" xfId="38220" xr:uid="{00000000-0005-0000-0000-0000E50F0000}"/>
    <cellStyle name="Calculation 2 2 4 2 3 11" xfId="42231" xr:uid="{00000000-0005-0000-0000-0000E60F0000}"/>
    <cellStyle name="Calculation 2 2 4 2 3 12" xfId="46000" xr:uid="{00000000-0005-0000-0000-0000E70F0000}"/>
    <cellStyle name="Calculation 2 2 4 2 3 2" xfId="7040" xr:uid="{00000000-0005-0000-0000-0000E80F0000}"/>
    <cellStyle name="Calculation 2 2 4 2 3 3" xfId="11472" xr:uid="{00000000-0005-0000-0000-0000E90F0000}"/>
    <cellStyle name="Calculation 2 2 4 2 3 4" xfId="15316" xr:uid="{00000000-0005-0000-0000-0000EA0F0000}"/>
    <cellStyle name="Calculation 2 2 4 2 3 5" xfId="19162" xr:uid="{00000000-0005-0000-0000-0000EB0F0000}"/>
    <cellStyle name="Calculation 2 2 4 2 3 6" xfId="23081" xr:uid="{00000000-0005-0000-0000-0000EC0F0000}"/>
    <cellStyle name="Calculation 2 2 4 2 3 7" xfId="26913" xr:uid="{00000000-0005-0000-0000-0000ED0F0000}"/>
    <cellStyle name="Calculation 2 2 4 2 3 8" xfId="30785" xr:uid="{00000000-0005-0000-0000-0000EE0F0000}"/>
    <cellStyle name="Calculation 2 2 4 2 3 9" xfId="34438" xr:uid="{00000000-0005-0000-0000-0000EF0F0000}"/>
    <cellStyle name="Calculation 2 2 4 2 4" xfId="5116" xr:uid="{00000000-0005-0000-0000-0000F00F0000}"/>
    <cellStyle name="Calculation 2 2 4 2 5" xfId="9472" xr:uid="{00000000-0005-0000-0000-0000F10F0000}"/>
    <cellStyle name="Calculation 2 2 4 2 6" xfId="13316" xr:uid="{00000000-0005-0000-0000-0000F20F0000}"/>
    <cellStyle name="Calculation 2 2 4 2 7" xfId="17144" xr:uid="{00000000-0005-0000-0000-0000F30F0000}"/>
    <cellStyle name="Calculation 2 2 4 2 8" xfId="21086" xr:uid="{00000000-0005-0000-0000-0000F40F0000}"/>
    <cellStyle name="Calculation 2 2 4 2 9" xfId="24897" xr:uid="{00000000-0005-0000-0000-0000F50F0000}"/>
    <cellStyle name="Calculation 2 2 4 3" xfId="1547" xr:uid="{00000000-0005-0000-0000-0000F60F0000}"/>
    <cellStyle name="Calculation 2 2 4 3 10" xfId="32834" xr:uid="{00000000-0005-0000-0000-0000F70F0000}"/>
    <cellStyle name="Calculation 2 2 4 3 11" xfId="36604" xr:uid="{00000000-0005-0000-0000-0000F80F0000}"/>
    <cellStyle name="Calculation 2 2 4 3 12" xfId="40595" xr:uid="{00000000-0005-0000-0000-0000F90F0000}"/>
    <cellStyle name="Calculation 2 2 4 3 13" xfId="44426" xr:uid="{00000000-0005-0000-0000-0000FA0F0000}"/>
    <cellStyle name="Calculation 2 2 4 3 2" xfId="3537" xr:uid="{00000000-0005-0000-0000-0000FB0F0000}"/>
    <cellStyle name="Calculation 2 2 4 3 2 10" xfId="38588" xr:uid="{00000000-0005-0000-0000-0000FC0F0000}"/>
    <cellStyle name="Calculation 2 2 4 3 2 11" xfId="42599" xr:uid="{00000000-0005-0000-0000-0000FD0F0000}"/>
    <cellStyle name="Calculation 2 2 4 3 2 12" xfId="46364" xr:uid="{00000000-0005-0000-0000-0000FE0F0000}"/>
    <cellStyle name="Calculation 2 2 4 3 2 2" xfId="7404" xr:uid="{00000000-0005-0000-0000-0000FF0F0000}"/>
    <cellStyle name="Calculation 2 2 4 3 2 3" xfId="11839" xr:uid="{00000000-0005-0000-0000-000000100000}"/>
    <cellStyle name="Calculation 2 2 4 3 2 4" xfId="15684" xr:uid="{00000000-0005-0000-0000-000001100000}"/>
    <cellStyle name="Calculation 2 2 4 3 2 5" xfId="19531" xr:uid="{00000000-0005-0000-0000-000002100000}"/>
    <cellStyle name="Calculation 2 2 4 3 2 6" xfId="23447" xr:uid="{00000000-0005-0000-0000-000003100000}"/>
    <cellStyle name="Calculation 2 2 4 3 2 7" xfId="27281" xr:uid="{00000000-0005-0000-0000-000004100000}"/>
    <cellStyle name="Calculation 2 2 4 3 2 8" xfId="31148" xr:uid="{00000000-0005-0000-0000-000005100000}"/>
    <cellStyle name="Calculation 2 2 4 3 2 9" xfId="34802" xr:uid="{00000000-0005-0000-0000-000006100000}"/>
    <cellStyle name="Calculation 2 2 4 3 3" xfId="5480" xr:uid="{00000000-0005-0000-0000-000007100000}"/>
    <cellStyle name="Calculation 2 2 4 3 4" xfId="9838" xr:uid="{00000000-0005-0000-0000-000008100000}"/>
    <cellStyle name="Calculation 2 2 4 3 5" xfId="13684" xr:uid="{00000000-0005-0000-0000-000009100000}"/>
    <cellStyle name="Calculation 2 2 4 3 6" xfId="17513" xr:uid="{00000000-0005-0000-0000-00000A100000}"/>
    <cellStyle name="Calculation 2 2 4 3 7" xfId="21452" xr:uid="{00000000-0005-0000-0000-00000B100000}"/>
    <cellStyle name="Calculation 2 2 4 3 8" xfId="25265" xr:uid="{00000000-0005-0000-0000-00000C100000}"/>
    <cellStyle name="Calculation 2 2 4 3 9" xfId="29152" xr:uid="{00000000-0005-0000-0000-00000D100000}"/>
    <cellStyle name="Calculation 2 2 4 4" xfId="2806" xr:uid="{00000000-0005-0000-0000-00000E100000}"/>
    <cellStyle name="Calculation 2 2 4 4 10" xfId="37858" xr:uid="{00000000-0005-0000-0000-00000F100000}"/>
    <cellStyle name="Calculation 2 2 4 4 11" xfId="41870" xr:uid="{00000000-0005-0000-0000-000010100000}"/>
    <cellStyle name="Calculation 2 2 4 4 12" xfId="45647" xr:uid="{00000000-0005-0000-0000-000011100000}"/>
    <cellStyle name="Calculation 2 2 4 4 2" xfId="6686" xr:uid="{00000000-0005-0000-0000-000012100000}"/>
    <cellStyle name="Calculation 2 2 4 4 3" xfId="11113" xr:uid="{00000000-0005-0000-0000-000013100000}"/>
    <cellStyle name="Calculation 2 2 4 4 4" xfId="14958" xr:uid="{00000000-0005-0000-0000-000014100000}"/>
    <cellStyle name="Calculation 2 2 4 4 5" xfId="18800" xr:uid="{00000000-0005-0000-0000-000015100000}"/>
    <cellStyle name="Calculation 2 2 4 4 6" xfId="22726" xr:uid="{00000000-0005-0000-0000-000016100000}"/>
    <cellStyle name="Calculation 2 2 4 4 7" xfId="26551" xr:uid="{00000000-0005-0000-0000-000017100000}"/>
    <cellStyle name="Calculation 2 2 4 4 8" xfId="30429" xr:uid="{00000000-0005-0000-0000-000018100000}"/>
    <cellStyle name="Calculation 2 2 4 4 9" xfId="34085" xr:uid="{00000000-0005-0000-0000-000019100000}"/>
    <cellStyle name="Calculation 2 2 4 5" xfId="4762" xr:uid="{00000000-0005-0000-0000-00001A100000}"/>
    <cellStyle name="Calculation 2 2 4 6" xfId="9116" xr:uid="{00000000-0005-0000-0000-00001B100000}"/>
    <cellStyle name="Calculation 2 2 4 7" xfId="12957" xr:uid="{00000000-0005-0000-0000-00001C100000}"/>
    <cellStyle name="Calculation 2 2 4 8" xfId="16782" xr:uid="{00000000-0005-0000-0000-00001D100000}"/>
    <cellStyle name="Calculation 2 2 4 9" xfId="20724" xr:uid="{00000000-0005-0000-0000-00001E100000}"/>
    <cellStyle name="Calculation 2 2 5" xfId="908" xr:uid="{00000000-0005-0000-0000-00001F100000}"/>
    <cellStyle name="Calculation 2 2 5 10" xfId="24632" xr:uid="{00000000-0005-0000-0000-000020100000}"/>
    <cellStyle name="Calculation 2 2 5 11" xfId="28522" xr:uid="{00000000-0005-0000-0000-000021100000}"/>
    <cellStyle name="Calculation 2 2 5 12" xfId="32209" xr:uid="{00000000-0005-0000-0000-000022100000}"/>
    <cellStyle name="Calculation 2 2 5 13" xfId="35966" xr:uid="{00000000-0005-0000-0000-000023100000}"/>
    <cellStyle name="Calculation 2 2 5 14" xfId="39976" xr:uid="{00000000-0005-0000-0000-000024100000}"/>
    <cellStyle name="Calculation 2 2 5 15" xfId="43792" xr:uid="{00000000-0005-0000-0000-000025100000}"/>
    <cellStyle name="Calculation 2 2 5 2" xfId="1245" xr:uid="{00000000-0005-0000-0000-000026100000}"/>
    <cellStyle name="Calculation 2 2 5 2 10" xfId="28853" xr:uid="{00000000-0005-0000-0000-000027100000}"/>
    <cellStyle name="Calculation 2 2 5 2 11" xfId="32537" xr:uid="{00000000-0005-0000-0000-000028100000}"/>
    <cellStyle name="Calculation 2 2 5 2 12" xfId="36303" xr:uid="{00000000-0005-0000-0000-000029100000}"/>
    <cellStyle name="Calculation 2 2 5 2 13" xfId="40296" xr:uid="{00000000-0005-0000-0000-00002A100000}"/>
    <cellStyle name="Calculation 2 2 5 2 14" xfId="44129" xr:uid="{00000000-0005-0000-0000-00002B100000}"/>
    <cellStyle name="Calculation 2 2 5 2 2" xfId="1967" xr:uid="{00000000-0005-0000-0000-00002C100000}"/>
    <cellStyle name="Calculation 2 2 5 2 2 10" xfId="33254" xr:uid="{00000000-0005-0000-0000-00002D100000}"/>
    <cellStyle name="Calculation 2 2 5 2 2 11" xfId="37024" xr:uid="{00000000-0005-0000-0000-00002E100000}"/>
    <cellStyle name="Calculation 2 2 5 2 2 12" xfId="41015" xr:uid="{00000000-0005-0000-0000-00002F100000}"/>
    <cellStyle name="Calculation 2 2 5 2 2 13" xfId="44846" xr:uid="{00000000-0005-0000-0000-000030100000}"/>
    <cellStyle name="Calculation 2 2 5 2 2 2" xfId="3957" xr:uid="{00000000-0005-0000-0000-000031100000}"/>
    <cellStyle name="Calculation 2 2 5 2 2 2 10" xfId="39008" xr:uid="{00000000-0005-0000-0000-000032100000}"/>
    <cellStyle name="Calculation 2 2 5 2 2 2 11" xfId="43019" xr:uid="{00000000-0005-0000-0000-000033100000}"/>
    <cellStyle name="Calculation 2 2 5 2 2 2 12" xfId="46784" xr:uid="{00000000-0005-0000-0000-000034100000}"/>
    <cellStyle name="Calculation 2 2 5 2 2 2 2" xfId="7824" xr:uid="{00000000-0005-0000-0000-000035100000}"/>
    <cellStyle name="Calculation 2 2 5 2 2 2 3" xfId="12259" xr:uid="{00000000-0005-0000-0000-000036100000}"/>
    <cellStyle name="Calculation 2 2 5 2 2 2 4" xfId="16104" xr:uid="{00000000-0005-0000-0000-000037100000}"/>
    <cellStyle name="Calculation 2 2 5 2 2 2 5" xfId="19951" xr:uid="{00000000-0005-0000-0000-000038100000}"/>
    <cellStyle name="Calculation 2 2 5 2 2 2 6" xfId="23867" xr:uid="{00000000-0005-0000-0000-000039100000}"/>
    <cellStyle name="Calculation 2 2 5 2 2 2 7" xfId="27701" xr:uid="{00000000-0005-0000-0000-00003A100000}"/>
    <cellStyle name="Calculation 2 2 5 2 2 2 8" xfId="31562" xr:uid="{00000000-0005-0000-0000-00003B100000}"/>
    <cellStyle name="Calculation 2 2 5 2 2 2 9" xfId="35222" xr:uid="{00000000-0005-0000-0000-00003C100000}"/>
    <cellStyle name="Calculation 2 2 5 2 2 3" xfId="5900" xr:uid="{00000000-0005-0000-0000-00003D100000}"/>
    <cellStyle name="Calculation 2 2 5 2 2 4" xfId="10258" xr:uid="{00000000-0005-0000-0000-00003E100000}"/>
    <cellStyle name="Calculation 2 2 5 2 2 5" xfId="14104" xr:uid="{00000000-0005-0000-0000-00003F100000}"/>
    <cellStyle name="Calculation 2 2 5 2 2 6" xfId="17933" xr:uid="{00000000-0005-0000-0000-000040100000}"/>
    <cellStyle name="Calculation 2 2 5 2 2 7" xfId="21872" xr:uid="{00000000-0005-0000-0000-000041100000}"/>
    <cellStyle name="Calculation 2 2 5 2 2 8" xfId="25685" xr:uid="{00000000-0005-0000-0000-000042100000}"/>
    <cellStyle name="Calculation 2 2 5 2 2 9" xfId="29572" xr:uid="{00000000-0005-0000-0000-000043100000}"/>
    <cellStyle name="Calculation 2 2 5 2 3" xfId="3235" xr:uid="{00000000-0005-0000-0000-000044100000}"/>
    <cellStyle name="Calculation 2 2 5 2 3 10" xfId="38287" xr:uid="{00000000-0005-0000-0000-000045100000}"/>
    <cellStyle name="Calculation 2 2 5 2 3 11" xfId="42298" xr:uid="{00000000-0005-0000-0000-000046100000}"/>
    <cellStyle name="Calculation 2 2 5 2 3 12" xfId="46067" xr:uid="{00000000-0005-0000-0000-000047100000}"/>
    <cellStyle name="Calculation 2 2 5 2 3 2" xfId="7107" xr:uid="{00000000-0005-0000-0000-000048100000}"/>
    <cellStyle name="Calculation 2 2 5 2 3 3" xfId="11539" xr:uid="{00000000-0005-0000-0000-000049100000}"/>
    <cellStyle name="Calculation 2 2 5 2 3 4" xfId="15383" xr:uid="{00000000-0005-0000-0000-00004A100000}"/>
    <cellStyle name="Calculation 2 2 5 2 3 5" xfId="19229" xr:uid="{00000000-0005-0000-0000-00004B100000}"/>
    <cellStyle name="Calculation 2 2 5 2 3 6" xfId="23148" xr:uid="{00000000-0005-0000-0000-00004C100000}"/>
    <cellStyle name="Calculation 2 2 5 2 3 7" xfId="26980" xr:uid="{00000000-0005-0000-0000-00004D100000}"/>
    <cellStyle name="Calculation 2 2 5 2 3 8" xfId="30850" xr:uid="{00000000-0005-0000-0000-00004E100000}"/>
    <cellStyle name="Calculation 2 2 5 2 3 9" xfId="34505" xr:uid="{00000000-0005-0000-0000-00004F100000}"/>
    <cellStyle name="Calculation 2 2 5 2 4" xfId="5183" xr:uid="{00000000-0005-0000-0000-000050100000}"/>
    <cellStyle name="Calculation 2 2 5 2 5" xfId="9539" xr:uid="{00000000-0005-0000-0000-000051100000}"/>
    <cellStyle name="Calculation 2 2 5 2 6" xfId="13383" xr:uid="{00000000-0005-0000-0000-000052100000}"/>
    <cellStyle name="Calculation 2 2 5 2 7" xfId="17211" xr:uid="{00000000-0005-0000-0000-000053100000}"/>
    <cellStyle name="Calculation 2 2 5 2 8" xfId="21153" xr:uid="{00000000-0005-0000-0000-000054100000}"/>
    <cellStyle name="Calculation 2 2 5 2 9" xfId="24964" xr:uid="{00000000-0005-0000-0000-000055100000}"/>
    <cellStyle name="Calculation 2 2 5 3" xfId="1639" xr:uid="{00000000-0005-0000-0000-000056100000}"/>
    <cellStyle name="Calculation 2 2 5 3 10" xfId="32926" xr:uid="{00000000-0005-0000-0000-000057100000}"/>
    <cellStyle name="Calculation 2 2 5 3 11" xfId="36696" xr:uid="{00000000-0005-0000-0000-000058100000}"/>
    <cellStyle name="Calculation 2 2 5 3 12" xfId="40687" xr:uid="{00000000-0005-0000-0000-000059100000}"/>
    <cellStyle name="Calculation 2 2 5 3 13" xfId="44518" xr:uid="{00000000-0005-0000-0000-00005A100000}"/>
    <cellStyle name="Calculation 2 2 5 3 2" xfId="3629" xr:uid="{00000000-0005-0000-0000-00005B100000}"/>
    <cellStyle name="Calculation 2 2 5 3 2 10" xfId="38680" xr:uid="{00000000-0005-0000-0000-00005C100000}"/>
    <cellStyle name="Calculation 2 2 5 3 2 11" xfId="42691" xr:uid="{00000000-0005-0000-0000-00005D100000}"/>
    <cellStyle name="Calculation 2 2 5 3 2 12" xfId="46456" xr:uid="{00000000-0005-0000-0000-00005E100000}"/>
    <cellStyle name="Calculation 2 2 5 3 2 2" xfId="7496" xr:uid="{00000000-0005-0000-0000-00005F100000}"/>
    <cellStyle name="Calculation 2 2 5 3 2 3" xfId="11931" xr:uid="{00000000-0005-0000-0000-000060100000}"/>
    <cellStyle name="Calculation 2 2 5 3 2 4" xfId="15776" xr:uid="{00000000-0005-0000-0000-000061100000}"/>
    <cellStyle name="Calculation 2 2 5 3 2 5" xfId="19623" xr:uid="{00000000-0005-0000-0000-000062100000}"/>
    <cellStyle name="Calculation 2 2 5 3 2 6" xfId="23539" xr:uid="{00000000-0005-0000-0000-000063100000}"/>
    <cellStyle name="Calculation 2 2 5 3 2 7" xfId="27373" xr:uid="{00000000-0005-0000-0000-000064100000}"/>
    <cellStyle name="Calculation 2 2 5 3 2 8" xfId="31238" xr:uid="{00000000-0005-0000-0000-000065100000}"/>
    <cellStyle name="Calculation 2 2 5 3 2 9" xfId="34894" xr:uid="{00000000-0005-0000-0000-000066100000}"/>
    <cellStyle name="Calculation 2 2 5 3 3" xfId="5572" xr:uid="{00000000-0005-0000-0000-000067100000}"/>
    <cellStyle name="Calculation 2 2 5 3 4" xfId="9930" xr:uid="{00000000-0005-0000-0000-000068100000}"/>
    <cellStyle name="Calculation 2 2 5 3 5" xfId="13776" xr:uid="{00000000-0005-0000-0000-000069100000}"/>
    <cellStyle name="Calculation 2 2 5 3 6" xfId="17605" xr:uid="{00000000-0005-0000-0000-00006A100000}"/>
    <cellStyle name="Calculation 2 2 5 3 7" xfId="21544" xr:uid="{00000000-0005-0000-0000-00006B100000}"/>
    <cellStyle name="Calculation 2 2 5 3 8" xfId="25357" xr:uid="{00000000-0005-0000-0000-00006C100000}"/>
    <cellStyle name="Calculation 2 2 5 3 9" xfId="29244" xr:uid="{00000000-0005-0000-0000-00006D100000}"/>
    <cellStyle name="Calculation 2 2 5 4" xfId="2898" xr:uid="{00000000-0005-0000-0000-00006E100000}"/>
    <cellStyle name="Calculation 2 2 5 4 10" xfId="37950" xr:uid="{00000000-0005-0000-0000-00006F100000}"/>
    <cellStyle name="Calculation 2 2 5 4 11" xfId="41962" xr:uid="{00000000-0005-0000-0000-000070100000}"/>
    <cellStyle name="Calculation 2 2 5 4 12" xfId="45739" xr:uid="{00000000-0005-0000-0000-000071100000}"/>
    <cellStyle name="Calculation 2 2 5 4 2" xfId="6778" xr:uid="{00000000-0005-0000-0000-000072100000}"/>
    <cellStyle name="Calculation 2 2 5 4 3" xfId="11205" xr:uid="{00000000-0005-0000-0000-000073100000}"/>
    <cellStyle name="Calculation 2 2 5 4 4" xfId="15050" xr:uid="{00000000-0005-0000-0000-000074100000}"/>
    <cellStyle name="Calculation 2 2 5 4 5" xfId="18892" xr:uid="{00000000-0005-0000-0000-000075100000}"/>
    <cellStyle name="Calculation 2 2 5 4 6" xfId="22818" xr:uid="{00000000-0005-0000-0000-000076100000}"/>
    <cellStyle name="Calculation 2 2 5 4 7" xfId="26643" xr:uid="{00000000-0005-0000-0000-000077100000}"/>
    <cellStyle name="Calculation 2 2 5 4 8" xfId="30519" xr:uid="{00000000-0005-0000-0000-000078100000}"/>
    <cellStyle name="Calculation 2 2 5 4 9" xfId="34177" xr:uid="{00000000-0005-0000-0000-000079100000}"/>
    <cellStyle name="Calculation 2 2 5 5" xfId="4854" xr:uid="{00000000-0005-0000-0000-00007A100000}"/>
    <cellStyle name="Calculation 2 2 5 6" xfId="9208" xr:uid="{00000000-0005-0000-0000-00007B100000}"/>
    <cellStyle name="Calculation 2 2 5 7" xfId="13049" xr:uid="{00000000-0005-0000-0000-00007C100000}"/>
    <cellStyle name="Calculation 2 2 5 8" xfId="16874" xr:uid="{00000000-0005-0000-0000-00007D100000}"/>
    <cellStyle name="Calculation 2 2 5 9" xfId="20816" xr:uid="{00000000-0005-0000-0000-00007E100000}"/>
    <cellStyle name="Calculation 2 2 6" xfId="954" xr:uid="{00000000-0005-0000-0000-00007F100000}"/>
    <cellStyle name="Calculation 2 2 6 10" xfId="28566" xr:uid="{00000000-0005-0000-0000-000080100000}"/>
    <cellStyle name="Calculation 2 2 6 11" xfId="32255" xr:uid="{00000000-0005-0000-0000-000081100000}"/>
    <cellStyle name="Calculation 2 2 6 12" xfId="36012" xr:uid="{00000000-0005-0000-0000-000082100000}"/>
    <cellStyle name="Calculation 2 2 6 13" xfId="40020" xr:uid="{00000000-0005-0000-0000-000083100000}"/>
    <cellStyle name="Calculation 2 2 6 14" xfId="43838" xr:uid="{00000000-0005-0000-0000-000084100000}"/>
    <cellStyle name="Calculation 2 2 6 2" xfId="1685" xr:uid="{00000000-0005-0000-0000-000085100000}"/>
    <cellStyle name="Calculation 2 2 6 2 10" xfId="32972" xr:uid="{00000000-0005-0000-0000-000086100000}"/>
    <cellStyle name="Calculation 2 2 6 2 11" xfId="36742" xr:uid="{00000000-0005-0000-0000-000087100000}"/>
    <cellStyle name="Calculation 2 2 6 2 12" xfId="40733" xr:uid="{00000000-0005-0000-0000-000088100000}"/>
    <cellStyle name="Calculation 2 2 6 2 13" xfId="44564" xr:uid="{00000000-0005-0000-0000-000089100000}"/>
    <cellStyle name="Calculation 2 2 6 2 2" xfId="3675" xr:uid="{00000000-0005-0000-0000-00008A100000}"/>
    <cellStyle name="Calculation 2 2 6 2 2 10" xfId="38726" xr:uid="{00000000-0005-0000-0000-00008B100000}"/>
    <cellStyle name="Calculation 2 2 6 2 2 11" xfId="42737" xr:uid="{00000000-0005-0000-0000-00008C100000}"/>
    <cellStyle name="Calculation 2 2 6 2 2 12" xfId="46502" xr:uid="{00000000-0005-0000-0000-00008D100000}"/>
    <cellStyle name="Calculation 2 2 6 2 2 2" xfId="7542" xr:uid="{00000000-0005-0000-0000-00008E100000}"/>
    <cellStyle name="Calculation 2 2 6 2 2 3" xfId="11977" xr:uid="{00000000-0005-0000-0000-00008F100000}"/>
    <cellStyle name="Calculation 2 2 6 2 2 4" xfId="15822" xr:uid="{00000000-0005-0000-0000-000090100000}"/>
    <cellStyle name="Calculation 2 2 6 2 2 5" xfId="19669" xr:uid="{00000000-0005-0000-0000-000091100000}"/>
    <cellStyle name="Calculation 2 2 6 2 2 6" xfId="23585" xr:uid="{00000000-0005-0000-0000-000092100000}"/>
    <cellStyle name="Calculation 2 2 6 2 2 7" xfId="27419" xr:uid="{00000000-0005-0000-0000-000093100000}"/>
    <cellStyle name="Calculation 2 2 6 2 2 8" xfId="31283" xr:uid="{00000000-0005-0000-0000-000094100000}"/>
    <cellStyle name="Calculation 2 2 6 2 2 9" xfId="34940" xr:uid="{00000000-0005-0000-0000-000095100000}"/>
    <cellStyle name="Calculation 2 2 6 2 3" xfId="5618" xr:uid="{00000000-0005-0000-0000-000096100000}"/>
    <cellStyle name="Calculation 2 2 6 2 4" xfId="9976" xr:uid="{00000000-0005-0000-0000-000097100000}"/>
    <cellStyle name="Calculation 2 2 6 2 5" xfId="13822" xr:uid="{00000000-0005-0000-0000-000098100000}"/>
    <cellStyle name="Calculation 2 2 6 2 6" xfId="17651" xr:uid="{00000000-0005-0000-0000-000099100000}"/>
    <cellStyle name="Calculation 2 2 6 2 7" xfId="21590" xr:uid="{00000000-0005-0000-0000-00009A100000}"/>
    <cellStyle name="Calculation 2 2 6 2 8" xfId="25403" xr:uid="{00000000-0005-0000-0000-00009B100000}"/>
    <cellStyle name="Calculation 2 2 6 2 9" xfId="29290" xr:uid="{00000000-0005-0000-0000-00009C100000}"/>
    <cellStyle name="Calculation 2 2 6 3" xfId="2944" xr:uid="{00000000-0005-0000-0000-00009D100000}"/>
    <cellStyle name="Calculation 2 2 6 3 10" xfId="37996" xr:uid="{00000000-0005-0000-0000-00009E100000}"/>
    <cellStyle name="Calculation 2 2 6 3 11" xfId="42008" xr:uid="{00000000-0005-0000-0000-00009F100000}"/>
    <cellStyle name="Calculation 2 2 6 3 12" xfId="45785" xr:uid="{00000000-0005-0000-0000-0000A0100000}"/>
    <cellStyle name="Calculation 2 2 6 3 2" xfId="6824" xr:uid="{00000000-0005-0000-0000-0000A1100000}"/>
    <cellStyle name="Calculation 2 2 6 3 3" xfId="11251" xr:uid="{00000000-0005-0000-0000-0000A2100000}"/>
    <cellStyle name="Calculation 2 2 6 3 4" xfId="15096" xr:uid="{00000000-0005-0000-0000-0000A3100000}"/>
    <cellStyle name="Calculation 2 2 6 3 5" xfId="18938" xr:uid="{00000000-0005-0000-0000-0000A4100000}"/>
    <cellStyle name="Calculation 2 2 6 3 6" xfId="22864" xr:uid="{00000000-0005-0000-0000-0000A5100000}"/>
    <cellStyle name="Calculation 2 2 6 3 7" xfId="26689" xr:uid="{00000000-0005-0000-0000-0000A6100000}"/>
    <cellStyle name="Calculation 2 2 6 3 8" xfId="30564" xr:uid="{00000000-0005-0000-0000-0000A7100000}"/>
    <cellStyle name="Calculation 2 2 6 3 9" xfId="34223" xr:uid="{00000000-0005-0000-0000-0000A8100000}"/>
    <cellStyle name="Calculation 2 2 6 4" xfId="4900" xr:uid="{00000000-0005-0000-0000-0000A9100000}"/>
    <cellStyle name="Calculation 2 2 6 5" xfId="9254" xr:uid="{00000000-0005-0000-0000-0000AA100000}"/>
    <cellStyle name="Calculation 2 2 6 6" xfId="13095" xr:uid="{00000000-0005-0000-0000-0000AB100000}"/>
    <cellStyle name="Calculation 2 2 6 7" xfId="16920" xr:uid="{00000000-0005-0000-0000-0000AC100000}"/>
    <cellStyle name="Calculation 2 2 6 8" xfId="20862" xr:uid="{00000000-0005-0000-0000-0000AD100000}"/>
    <cellStyle name="Calculation 2 2 6 9" xfId="24678" xr:uid="{00000000-0005-0000-0000-0000AE100000}"/>
    <cellStyle name="Calculation 2 2 7" xfId="1332" xr:uid="{00000000-0005-0000-0000-0000AF100000}"/>
    <cellStyle name="Calculation 2 2 7 10" xfId="32619" xr:uid="{00000000-0005-0000-0000-0000B0100000}"/>
    <cellStyle name="Calculation 2 2 7 11" xfId="36389" xr:uid="{00000000-0005-0000-0000-0000B1100000}"/>
    <cellStyle name="Calculation 2 2 7 12" xfId="40380" xr:uid="{00000000-0005-0000-0000-0000B2100000}"/>
    <cellStyle name="Calculation 2 2 7 13" xfId="44211" xr:uid="{00000000-0005-0000-0000-0000B3100000}"/>
    <cellStyle name="Calculation 2 2 7 2" xfId="3322" xr:uid="{00000000-0005-0000-0000-0000B4100000}"/>
    <cellStyle name="Calculation 2 2 7 2 10" xfId="38373" xr:uid="{00000000-0005-0000-0000-0000B5100000}"/>
    <cellStyle name="Calculation 2 2 7 2 11" xfId="42384" xr:uid="{00000000-0005-0000-0000-0000B6100000}"/>
    <cellStyle name="Calculation 2 2 7 2 12" xfId="46149" xr:uid="{00000000-0005-0000-0000-0000B7100000}"/>
    <cellStyle name="Calculation 2 2 7 2 2" xfId="7189" xr:uid="{00000000-0005-0000-0000-0000B8100000}"/>
    <cellStyle name="Calculation 2 2 7 2 3" xfId="11624" xr:uid="{00000000-0005-0000-0000-0000B9100000}"/>
    <cellStyle name="Calculation 2 2 7 2 4" xfId="15469" xr:uid="{00000000-0005-0000-0000-0000BA100000}"/>
    <cellStyle name="Calculation 2 2 7 2 5" xfId="19316" xr:uid="{00000000-0005-0000-0000-0000BB100000}"/>
    <cellStyle name="Calculation 2 2 7 2 6" xfId="23232" xr:uid="{00000000-0005-0000-0000-0000BC100000}"/>
    <cellStyle name="Calculation 2 2 7 2 7" xfId="27066" xr:uid="{00000000-0005-0000-0000-0000BD100000}"/>
    <cellStyle name="Calculation 2 2 7 2 8" xfId="30935" xr:uid="{00000000-0005-0000-0000-0000BE100000}"/>
    <cellStyle name="Calculation 2 2 7 2 9" xfId="34587" xr:uid="{00000000-0005-0000-0000-0000BF100000}"/>
    <cellStyle name="Calculation 2 2 7 3" xfId="5265" xr:uid="{00000000-0005-0000-0000-0000C0100000}"/>
    <cellStyle name="Calculation 2 2 7 4" xfId="9623" xr:uid="{00000000-0005-0000-0000-0000C1100000}"/>
    <cellStyle name="Calculation 2 2 7 5" xfId="13469" xr:uid="{00000000-0005-0000-0000-0000C2100000}"/>
    <cellStyle name="Calculation 2 2 7 6" xfId="17298" xr:uid="{00000000-0005-0000-0000-0000C3100000}"/>
    <cellStyle name="Calculation 2 2 7 7" xfId="21237" xr:uid="{00000000-0005-0000-0000-0000C4100000}"/>
    <cellStyle name="Calculation 2 2 7 8" xfId="25050" xr:uid="{00000000-0005-0000-0000-0000C5100000}"/>
    <cellStyle name="Calculation 2 2 7 9" xfId="28937" xr:uid="{00000000-0005-0000-0000-0000C6100000}"/>
    <cellStyle name="Calculation 2 2 8" xfId="2029" xr:uid="{00000000-0005-0000-0000-0000C7100000}"/>
    <cellStyle name="Calculation 2 2 8 10" xfId="33314" xr:uid="{00000000-0005-0000-0000-0000C8100000}"/>
    <cellStyle name="Calculation 2 2 8 11" xfId="37085" xr:uid="{00000000-0005-0000-0000-0000C9100000}"/>
    <cellStyle name="Calculation 2 2 8 12" xfId="41077" xr:uid="{00000000-0005-0000-0000-0000CA100000}"/>
    <cellStyle name="Calculation 2 2 8 13" xfId="44905" xr:uid="{00000000-0005-0000-0000-0000CB100000}"/>
    <cellStyle name="Calculation 2 2 8 2" xfId="4018" xr:uid="{00000000-0005-0000-0000-0000CC100000}"/>
    <cellStyle name="Calculation 2 2 8 2 10" xfId="39069" xr:uid="{00000000-0005-0000-0000-0000CD100000}"/>
    <cellStyle name="Calculation 2 2 8 2 11" xfId="43080" xr:uid="{00000000-0005-0000-0000-0000CE100000}"/>
    <cellStyle name="Calculation 2 2 8 2 12" xfId="46843" xr:uid="{00000000-0005-0000-0000-0000CF100000}"/>
    <cellStyle name="Calculation 2 2 8 2 2" xfId="7883" xr:uid="{00000000-0005-0000-0000-0000D0100000}"/>
    <cellStyle name="Calculation 2 2 8 2 3" xfId="12319" xr:uid="{00000000-0005-0000-0000-0000D1100000}"/>
    <cellStyle name="Calculation 2 2 8 2 4" xfId="16164" xr:uid="{00000000-0005-0000-0000-0000D2100000}"/>
    <cellStyle name="Calculation 2 2 8 2 5" xfId="20012" xr:uid="{00000000-0005-0000-0000-0000D3100000}"/>
    <cellStyle name="Calculation 2 2 8 2 6" xfId="23927" xr:uid="{00000000-0005-0000-0000-0000D4100000}"/>
    <cellStyle name="Calculation 2 2 8 2 7" xfId="27762" xr:uid="{00000000-0005-0000-0000-0000D5100000}"/>
    <cellStyle name="Calculation 2 2 8 2 8" xfId="31622" xr:uid="{00000000-0005-0000-0000-0000D6100000}"/>
    <cellStyle name="Calculation 2 2 8 2 9" xfId="35281" xr:uid="{00000000-0005-0000-0000-0000D7100000}"/>
    <cellStyle name="Calculation 2 2 8 3" xfId="5959" xr:uid="{00000000-0005-0000-0000-0000D8100000}"/>
    <cellStyle name="Calculation 2 2 8 4" xfId="10318" xr:uid="{00000000-0005-0000-0000-0000D9100000}"/>
    <cellStyle name="Calculation 2 2 8 5" xfId="14165" xr:uid="{00000000-0005-0000-0000-0000DA100000}"/>
    <cellStyle name="Calculation 2 2 8 6" xfId="17995" xr:uid="{00000000-0005-0000-0000-0000DB100000}"/>
    <cellStyle name="Calculation 2 2 8 7" xfId="21933" xr:uid="{00000000-0005-0000-0000-0000DC100000}"/>
    <cellStyle name="Calculation 2 2 8 8" xfId="25747" xr:uid="{00000000-0005-0000-0000-0000DD100000}"/>
    <cellStyle name="Calculation 2 2 8 9" xfId="29634" xr:uid="{00000000-0005-0000-0000-0000DE100000}"/>
    <cellStyle name="Calculation 2 2 9" xfId="2076" xr:uid="{00000000-0005-0000-0000-0000DF100000}"/>
    <cellStyle name="Calculation 2 2 9 10" xfId="33358" xr:uid="{00000000-0005-0000-0000-0000E0100000}"/>
    <cellStyle name="Calculation 2 2 9 11" xfId="37132" xr:uid="{00000000-0005-0000-0000-0000E1100000}"/>
    <cellStyle name="Calculation 2 2 9 12" xfId="41122" xr:uid="{00000000-0005-0000-0000-0000E2100000}"/>
    <cellStyle name="Calculation 2 2 9 13" xfId="44949" xr:uid="{00000000-0005-0000-0000-0000E3100000}"/>
    <cellStyle name="Calculation 2 2 9 2" xfId="4065" xr:uid="{00000000-0005-0000-0000-0000E4100000}"/>
    <cellStyle name="Calculation 2 2 9 2 10" xfId="39116" xr:uid="{00000000-0005-0000-0000-0000E5100000}"/>
    <cellStyle name="Calculation 2 2 9 2 11" xfId="43126" xr:uid="{00000000-0005-0000-0000-0000E6100000}"/>
    <cellStyle name="Calculation 2 2 9 2 12" xfId="46887" xr:uid="{00000000-0005-0000-0000-0000E7100000}"/>
    <cellStyle name="Calculation 2 2 9 2 2" xfId="7928" xr:uid="{00000000-0005-0000-0000-0000E8100000}"/>
    <cellStyle name="Calculation 2 2 9 2 3" xfId="12365" xr:uid="{00000000-0005-0000-0000-0000E9100000}"/>
    <cellStyle name="Calculation 2 2 9 2 4" xfId="16210" xr:uid="{00000000-0005-0000-0000-0000EA100000}"/>
    <cellStyle name="Calculation 2 2 9 2 5" xfId="20059" xr:uid="{00000000-0005-0000-0000-0000EB100000}"/>
    <cellStyle name="Calculation 2 2 9 2 6" xfId="23973" xr:uid="{00000000-0005-0000-0000-0000EC100000}"/>
    <cellStyle name="Calculation 2 2 9 2 7" xfId="27809" xr:uid="{00000000-0005-0000-0000-0000ED100000}"/>
    <cellStyle name="Calculation 2 2 9 2 8" xfId="31668" xr:uid="{00000000-0005-0000-0000-0000EE100000}"/>
    <cellStyle name="Calculation 2 2 9 2 9" xfId="35325" xr:uid="{00000000-0005-0000-0000-0000EF100000}"/>
    <cellStyle name="Calculation 2 2 9 3" xfId="6004" xr:uid="{00000000-0005-0000-0000-0000F0100000}"/>
    <cellStyle name="Calculation 2 2 9 4" xfId="10364" xr:uid="{00000000-0005-0000-0000-0000F1100000}"/>
    <cellStyle name="Calculation 2 2 9 5" xfId="14211" xr:uid="{00000000-0005-0000-0000-0000F2100000}"/>
    <cellStyle name="Calculation 2 2 9 6" xfId="18042" xr:uid="{00000000-0005-0000-0000-0000F3100000}"/>
    <cellStyle name="Calculation 2 2 9 7" xfId="21979" xr:uid="{00000000-0005-0000-0000-0000F4100000}"/>
    <cellStyle name="Calculation 2 2 9 8" xfId="25794" xr:uid="{00000000-0005-0000-0000-0000F5100000}"/>
    <cellStyle name="Calculation 2 2 9 9" xfId="29680" xr:uid="{00000000-0005-0000-0000-0000F6100000}"/>
    <cellStyle name="Calculation 2 20" xfId="26213" xr:uid="{00000000-0005-0000-0000-0000F7100000}"/>
    <cellStyle name="Calculation 2 21" xfId="39592" xr:uid="{00000000-0005-0000-0000-0000F8100000}"/>
    <cellStyle name="Calculation 2 22" xfId="47306" xr:uid="{00000000-0005-0000-0000-0000F9100000}"/>
    <cellStyle name="Calculation 2 23" xfId="47405" xr:uid="{00000000-0005-0000-0000-0000FA100000}"/>
    <cellStyle name="Calculation 2 24" xfId="47609" xr:uid="{00000000-0005-0000-0000-0000FB100000}"/>
    <cellStyle name="Calculation 2 3" xfId="579" xr:uid="{00000000-0005-0000-0000-0000FC100000}"/>
    <cellStyle name="Calculation 2 3 10" xfId="20699" xr:uid="{00000000-0005-0000-0000-0000FD100000}"/>
    <cellStyle name="Calculation 2 3 11" xfId="8574" xr:uid="{00000000-0005-0000-0000-0000FE100000}"/>
    <cellStyle name="Calculation 2 3 12" xfId="31498" xr:uid="{00000000-0005-0000-0000-0000FF100000}"/>
    <cellStyle name="Calculation 2 3 13" xfId="8456" xr:uid="{00000000-0005-0000-0000-000000110000}"/>
    <cellStyle name="Calculation 2 3 14" xfId="39676" xr:uid="{00000000-0005-0000-0000-000001110000}"/>
    <cellStyle name="Calculation 2 3 15" xfId="39630" xr:uid="{00000000-0005-0000-0000-000002110000}"/>
    <cellStyle name="Calculation 2 3 2" xfId="959" xr:uid="{00000000-0005-0000-0000-000003110000}"/>
    <cellStyle name="Calculation 2 3 2 10" xfId="28570" xr:uid="{00000000-0005-0000-0000-000004110000}"/>
    <cellStyle name="Calculation 2 3 2 11" xfId="32260" xr:uid="{00000000-0005-0000-0000-000005110000}"/>
    <cellStyle name="Calculation 2 3 2 12" xfId="36017" xr:uid="{00000000-0005-0000-0000-000006110000}"/>
    <cellStyle name="Calculation 2 3 2 13" xfId="40024" xr:uid="{00000000-0005-0000-0000-000007110000}"/>
    <cellStyle name="Calculation 2 3 2 14" xfId="43843" xr:uid="{00000000-0005-0000-0000-000008110000}"/>
    <cellStyle name="Calculation 2 3 2 2" xfId="1690" xr:uid="{00000000-0005-0000-0000-000009110000}"/>
    <cellStyle name="Calculation 2 3 2 2 10" xfId="32977" xr:uid="{00000000-0005-0000-0000-00000A110000}"/>
    <cellStyle name="Calculation 2 3 2 2 11" xfId="36747" xr:uid="{00000000-0005-0000-0000-00000B110000}"/>
    <cellStyle name="Calculation 2 3 2 2 12" xfId="40738" xr:uid="{00000000-0005-0000-0000-00000C110000}"/>
    <cellStyle name="Calculation 2 3 2 2 13" xfId="44569" xr:uid="{00000000-0005-0000-0000-00000D110000}"/>
    <cellStyle name="Calculation 2 3 2 2 2" xfId="3680" xr:uid="{00000000-0005-0000-0000-00000E110000}"/>
    <cellStyle name="Calculation 2 3 2 2 2 10" xfId="38731" xr:uid="{00000000-0005-0000-0000-00000F110000}"/>
    <cellStyle name="Calculation 2 3 2 2 2 11" xfId="42742" xr:uid="{00000000-0005-0000-0000-000010110000}"/>
    <cellStyle name="Calculation 2 3 2 2 2 12" xfId="46507" xr:uid="{00000000-0005-0000-0000-000011110000}"/>
    <cellStyle name="Calculation 2 3 2 2 2 2" xfId="7547" xr:uid="{00000000-0005-0000-0000-000012110000}"/>
    <cellStyle name="Calculation 2 3 2 2 2 3" xfId="11982" xr:uid="{00000000-0005-0000-0000-000013110000}"/>
    <cellStyle name="Calculation 2 3 2 2 2 4" xfId="15827" xr:uid="{00000000-0005-0000-0000-000014110000}"/>
    <cellStyle name="Calculation 2 3 2 2 2 5" xfId="19674" xr:uid="{00000000-0005-0000-0000-000015110000}"/>
    <cellStyle name="Calculation 2 3 2 2 2 6" xfId="23590" xr:uid="{00000000-0005-0000-0000-000016110000}"/>
    <cellStyle name="Calculation 2 3 2 2 2 7" xfId="27424" xr:uid="{00000000-0005-0000-0000-000017110000}"/>
    <cellStyle name="Calculation 2 3 2 2 2 8" xfId="31288" xr:uid="{00000000-0005-0000-0000-000018110000}"/>
    <cellStyle name="Calculation 2 3 2 2 2 9" xfId="34945" xr:uid="{00000000-0005-0000-0000-000019110000}"/>
    <cellStyle name="Calculation 2 3 2 2 3" xfId="5623" xr:uid="{00000000-0005-0000-0000-00001A110000}"/>
    <cellStyle name="Calculation 2 3 2 2 4" xfId="9981" xr:uid="{00000000-0005-0000-0000-00001B110000}"/>
    <cellStyle name="Calculation 2 3 2 2 5" xfId="13827" xr:uid="{00000000-0005-0000-0000-00001C110000}"/>
    <cellStyle name="Calculation 2 3 2 2 6" xfId="17656" xr:uid="{00000000-0005-0000-0000-00001D110000}"/>
    <cellStyle name="Calculation 2 3 2 2 7" xfId="21595" xr:uid="{00000000-0005-0000-0000-00001E110000}"/>
    <cellStyle name="Calculation 2 3 2 2 8" xfId="25408" xr:uid="{00000000-0005-0000-0000-00001F110000}"/>
    <cellStyle name="Calculation 2 3 2 2 9" xfId="29295" xr:uid="{00000000-0005-0000-0000-000020110000}"/>
    <cellStyle name="Calculation 2 3 2 3" xfId="2949" xr:uid="{00000000-0005-0000-0000-000021110000}"/>
    <cellStyle name="Calculation 2 3 2 3 10" xfId="38001" xr:uid="{00000000-0005-0000-0000-000022110000}"/>
    <cellStyle name="Calculation 2 3 2 3 11" xfId="42013" xr:uid="{00000000-0005-0000-0000-000023110000}"/>
    <cellStyle name="Calculation 2 3 2 3 12" xfId="45790" xr:uid="{00000000-0005-0000-0000-000024110000}"/>
    <cellStyle name="Calculation 2 3 2 3 2" xfId="6829" xr:uid="{00000000-0005-0000-0000-000025110000}"/>
    <cellStyle name="Calculation 2 3 2 3 3" xfId="11256" xr:uid="{00000000-0005-0000-0000-000026110000}"/>
    <cellStyle name="Calculation 2 3 2 3 4" xfId="15101" xr:uid="{00000000-0005-0000-0000-000027110000}"/>
    <cellStyle name="Calculation 2 3 2 3 5" xfId="18943" xr:uid="{00000000-0005-0000-0000-000028110000}"/>
    <cellStyle name="Calculation 2 3 2 3 6" xfId="22869" xr:uid="{00000000-0005-0000-0000-000029110000}"/>
    <cellStyle name="Calculation 2 3 2 3 7" xfId="26694" xr:uid="{00000000-0005-0000-0000-00002A110000}"/>
    <cellStyle name="Calculation 2 3 2 3 8" xfId="30568" xr:uid="{00000000-0005-0000-0000-00002B110000}"/>
    <cellStyle name="Calculation 2 3 2 3 9" xfId="34228" xr:uid="{00000000-0005-0000-0000-00002C110000}"/>
    <cellStyle name="Calculation 2 3 2 4" xfId="4905" xr:uid="{00000000-0005-0000-0000-00002D110000}"/>
    <cellStyle name="Calculation 2 3 2 5" xfId="9259" xr:uid="{00000000-0005-0000-0000-00002E110000}"/>
    <cellStyle name="Calculation 2 3 2 6" xfId="13100" xr:uid="{00000000-0005-0000-0000-00002F110000}"/>
    <cellStyle name="Calculation 2 3 2 7" xfId="16925" xr:uid="{00000000-0005-0000-0000-000030110000}"/>
    <cellStyle name="Calculation 2 3 2 8" xfId="20867" xr:uid="{00000000-0005-0000-0000-000031110000}"/>
    <cellStyle name="Calculation 2 3 2 9" xfId="24683" xr:uid="{00000000-0005-0000-0000-000032110000}"/>
    <cellStyle name="Calculation 2 3 3" xfId="1337" xr:uid="{00000000-0005-0000-0000-000033110000}"/>
    <cellStyle name="Calculation 2 3 3 10" xfId="32624" xr:uid="{00000000-0005-0000-0000-000034110000}"/>
    <cellStyle name="Calculation 2 3 3 11" xfId="36394" xr:uid="{00000000-0005-0000-0000-000035110000}"/>
    <cellStyle name="Calculation 2 3 3 12" xfId="40385" xr:uid="{00000000-0005-0000-0000-000036110000}"/>
    <cellStyle name="Calculation 2 3 3 13" xfId="44216" xr:uid="{00000000-0005-0000-0000-000037110000}"/>
    <cellStyle name="Calculation 2 3 3 2" xfId="3327" xr:uid="{00000000-0005-0000-0000-000038110000}"/>
    <cellStyle name="Calculation 2 3 3 2 10" xfId="38378" xr:uid="{00000000-0005-0000-0000-000039110000}"/>
    <cellStyle name="Calculation 2 3 3 2 11" xfId="42389" xr:uid="{00000000-0005-0000-0000-00003A110000}"/>
    <cellStyle name="Calculation 2 3 3 2 12" xfId="46154" xr:uid="{00000000-0005-0000-0000-00003B110000}"/>
    <cellStyle name="Calculation 2 3 3 2 2" xfId="7194" xr:uid="{00000000-0005-0000-0000-00003C110000}"/>
    <cellStyle name="Calculation 2 3 3 2 3" xfId="11629" xr:uid="{00000000-0005-0000-0000-00003D110000}"/>
    <cellStyle name="Calculation 2 3 3 2 4" xfId="15474" xr:uid="{00000000-0005-0000-0000-00003E110000}"/>
    <cellStyle name="Calculation 2 3 3 2 5" xfId="19321" xr:uid="{00000000-0005-0000-0000-00003F110000}"/>
    <cellStyle name="Calculation 2 3 3 2 6" xfId="23237" xr:uid="{00000000-0005-0000-0000-000040110000}"/>
    <cellStyle name="Calculation 2 3 3 2 7" xfId="27071" xr:uid="{00000000-0005-0000-0000-000041110000}"/>
    <cellStyle name="Calculation 2 3 3 2 8" xfId="30939" xr:uid="{00000000-0005-0000-0000-000042110000}"/>
    <cellStyle name="Calculation 2 3 3 2 9" xfId="34592" xr:uid="{00000000-0005-0000-0000-000043110000}"/>
    <cellStyle name="Calculation 2 3 3 3" xfId="5270" xr:uid="{00000000-0005-0000-0000-000044110000}"/>
    <cellStyle name="Calculation 2 3 3 4" xfId="9628" xr:uid="{00000000-0005-0000-0000-000045110000}"/>
    <cellStyle name="Calculation 2 3 3 5" xfId="13474" xr:uid="{00000000-0005-0000-0000-000046110000}"/>
    <cellStyle name="Calculation 2 3 3 6" xfId="17303" xr:uid="{00000000-0005-0000-0000-000047110000}"/>
    <cellStyle name="Calculation 2 3 3 7" xfId="21242" xr:uid="{00000000-0005-0000-0000-000048110000}"/>
    <cellStyle name="Calculation 2 3 3 8" xfId="25055" xr:uid="{00000000-0005-0000-0000-000049110000}"/>
    <cellStyle name="Calculation 2 3 3 9" xfId="28942" xr:uid="{00000000-0005-0000-0000-00004A110000}"/>
    <cellStyle name="Calculation 2 3 4" xfId="2582" xr:uid="{00000000-0005-0000-0000-00004B110000}"/>
    <cellStyle name="Calculation 2 3 4 10" xfId="37634" xr:uid="{00000000-0005-0000-0000-00004C110000}"/>
    <cellStyle name="Calculation 2 3 4 11" xfId="41648" xr:uid="{00000000-0005-0000-0000-00004D110000}"/>
    <cellStyle name="Calculation 2 3 4 12" xfId="45437" xr:uid="{00000000-0005-0000-0000-00004E110000}"/>
    <cellStyle name="Calculation 2 3 4 2" xfId="6474" xr:uid="{00000000-0005-0000-0000-00004F110000}"/>
    <cellStyle name="Calculation 2 3 4 3" xfId="10897" xr:uid="{00000000-0005-0000-0000-000050110000}"/>
    <cellStyle name="Calculation 2 3 4 4" xfId="14741" xr:uid="{00000000-0005-0000-0000-000051110000}"/>
    <cellStyle name="Calculation 2 3 4 5" xfId="18576" xr:uid="{00000000-0005-0000-0000-000052110000}"/>
    <cellStyle name="Calculation 2 3 4 6" xfId="22511" xr:uid="{00000000-0005-0000-0000-000053110000}"/>
    <cellStyle name="Calculation 2 3 4 7" xfId="26327" xr:uid="{00000000-0005-0000-0000-000054110000}"/>
    <cellStyle name="Calculation 2 3 4 8" xfId="30206" xr:uid="{00000000-0005-0000-0000-000055110000}"/>
    <cellStyle name="Calculation 2 3 4 9" xfId="33875" xr:uid="{00000000-0005-0000-0000-000056110000}"/>
    <cellStyle name="Calculation 2 3 5" xfId="4550" xr:uid="{00000000-0005-0000-0000-000057110000}"/>
    <cellStyle name="Calculation 2 3 6" xfId="8889" xr:uid="{00000000-0005-0000-0000-000058110000}"/>
    <cellStyle name="Calculation 2 3 7" xfId="8538" xr:uid="{00000000-0005-0000-0000-000059110000}"/>
    <cellStyle name="Calculation 2 3 8" xfId="14218" xr:uid="{00000000-0005-0000-0000-00005A110000}"/>
    <cellStyle name="Calculation 2 3 9" xfId="20492" xr:uid="{00000000-0005-0000-0000-00005B110000}"/>
    <cellStyle name="Calculation 2 4" xfId="738" xr:uid="{00000000-0005-0000-0000-00005C110000}"/>
    <cellStyle name="Calculation 2 4 10" xfId="24471" xr:uid="{00000000-0005-0000-0000-00005D110000}"/>
    <cellStyle name="Calculation 2 4 11" xfId="28363" xr:uid="{00000000-0005-0000-0000-00005E110000}"/>
    <cellStyle name="Calculation 2 4 12" xfId="29703" xr:uid="{00000000-0005-0000-0000-00005F110000}"/>
    <cellStyle name="Calculation 2 4 13" xfId="35809" xr:uid="{00000000-0005-0000-0000-000060110000}"/>
    <cellStyle name="Calculation 2 4 14" xfId="39828" xr:uid="{00000000-0005-0000-0000-000061110000}"/>
    <cellStyle name="Calculation 2 4 15" xfId="43635" xr:uid="{00000000-0005-0000-0000-000062110000}"/>
    <cellStyle name="Calculation 2 4 2" xfId="1116" xr:uid="{00000000-0005-0000-0000-000063110000}"/>
    <cellStyle name="Calculation 2 4 2 10" xfId="28725" xr:uid="{00000000-0005-0000-0000-000064110000}"/>
    <cellStyle name="Calculation 2 4 2 11" xfId="32413" xr:uid="{00000000-0005-0000-0000-000065110000}"/>
    <cellStyle name="Calculation 2 4 2 12" xfId="36174" xr:uid="{00000000-0005-0000-0000-000066110000}"/>
    <cellStyle name="Calculation 2 4 2 13" xfId="40175" xr:uid="{00000000-0005-0000-0000-000067110000}"/>
    <cellStyle name="Calculation 2 4 2 14" xfId="44000" xr:uid="{00000000-0005-0000-0000-000068110000}"/>
    <cellStyle name="Calculation 2 4 2 2" xfId="1843" xr:uid="{00000000-0005-0000-0000-000069110000}"/>
    <cellStyle name="Calculation 2 4 2 2 10" xfId="33130" xr:uid="{00000000-0005-0000-0000-00006A110000}"/>
    <cellStyle name="Calculation 2 4 2 2 11" xfId="36900" xr:uid="{00000000-0005-0000-0000-00006B110000}"/>
    <cellStyle name="Calculation 2 4 2 2 12" xfId="40891" xr:uid="{00000000-0005-0000-0000-00006C110000}"/>
    <cellStyle name="Calculation 2 4 2 2 13" xfId="44722" xr:uid="{00000000-0005-0000-0000-00006D110000}"/>
    <cellStyle name="Calculation 2 4 2 2 2" xfId="3833" xr:uid="{00000000-0005-0000-0000-00006E110000}"/>
    <cellStyle name="Calculation 2 4 2 2 2 10" xfId="38884" xr:uid="{00000000-0005-0000-0000-00006F110000}"/>
    <cellStyle name="Calculation 2 4 2 2 2 11" xfId="42895" xr:uid="{00000000-0005-0000-0000-000070110000}"/>
    <cellStyle name="Calculation 2 4 2 2 2 12" xfId="46660" xr:uid="{00000000-0005-0000-0000-000071110000}"/>
    <cellStyle name="Calculation 2 4 2 2 2 2" xfId="7700" xr:uid="{00000000-0005-0000-0000-000072110000}"/>
    <cellStyle name="Calculation 2 4 2 2 2 3" xfId="12135" xr:uid="{00000000-0005-0000-0000-000073110000}"/>
    <cellStyle name="Calculation 2 4 2 2 2 4" xfId="15980" xr:uid="{00000000-0005-0000-0000-000074110000}"/>
    <cellStyle name="Calculation 2 4 2 2 2 5" xfId="19827" xr:uid="{00000000-0005-0000-0000-000075110000}"/>
    <cellStyle name="Calculation 2 4 2 2 2 6" xfId="23743" xr:uid="{00000000-0005-0000-0000-000076110000}"/>
    <cellStyle name="Calculation 2 4 2 2 2 7" xfId="27577" xr:uid="{00000000-0005-0000-0000-000077110000}"/>
    <cellStyle name="Calculation 2 4 2 2 2 8" xfId="31440" xr:uid="{00000000-0005-0000-0000-000078110000}"/>
    <cellStyle name="Calculation 2 4 2 2 2 9" xfId="35098" xr:uid="{00000000-0005-0000-0000-000079110000}"/>
    <cellStyle name="Calculation 2 4 2 2 3" xfId="5776" xr:uid="{00000000-0005-0000-0000-00007A110000}"/>
    <cellStyle name="Calculation 2 4 2 2 4" xfId="10134" xr:uid="{00000000-0005-0000-0000-00007B110000}"/>
    <cellStyle name="Calculation 2 4 2 2 5" xfId="13980" xr:uid="{00000000-0005-0000-0000-00007C110000}"/>
    <cellStyle name="Calculation 2 4 2 2 6" xfId="17809" xr:uid="{00000000-0005-0000-0000-00007D110000}"/>
    <cellStyle name="Calculation 2 4 2 2 7" xfId="21748" xr:uid="{00000000-0005-0000-0000-00007E110000}"/>
    <cellStyle name="Calculation 2 4 2 2 8" xfId="25561" xr:uid="{00000000-0005-0000-0000-00007F110000}"/>
    <cellStyle name="Calculation 2 4 2 2 9" xfId="29448" xr:uid="{00000000-0005-0000-0000-000080110000}"/>
    <cellStyle name="Calculation 2 4 2 3" xfId="3106" xr:uid="{00000000-0005-0000-0000-000081110000}"/>
    <cellStyle name="Calculation 2 4 2 3 10" xfId="38158" xr:uid="{00000000-0005-0000-0000-000082110000}"/>
    <cellStyle name="Calculation 2 4 2 3 11" xfId="42170" xr:uid="{00000000-0005-0000-0000-000083110000}"/>
    <cellStyle name="Calculation 2 4 2 3 12" xfId="45943" xr:uid="{00000000-0005-0000-0000-000084110000}"/>
    <cellStyle name="Calculation 2 4 2 3 2" xfId="6982" xr:uid="{00000000-0005-0000-0000-000085110000}"/>
    <cellStyle name="Calculation 2 4 2 3 3" xfId="11411" xr:uid="{00000000-0005-0000-0000-000086110000}"/>
    <cellStyle name="Calculation 2 4 2 3 4" xfId="15255" xr:uid="{00000000-0005-0000-0000-000087110000}"/>
    <cellStyle name="Calculation 2 4 2 3 5" xfId="19100" xr:uid="{00000000-0005-0000-0000-000088110000}"/>
    <cellStyle name="Calculation 2 4 2 3 6" xfId="23022" xr:uid="{00000000-0005-0000-0000-000089110000}"/>
    <cellStyle name="Calculation 2 4 2 3 7" xfId="26851" xr:uid="{00000000-0005-0000-0000-00008A110000}"/>
    <cellStyle name="Calculation 2 4 2 3 8" xfId="30723" xr:uid="{00000000-0005-0000-0000-00008B110000}"/>
    <cellStyle name="Calculation 2 4 2 3 9" xfId="34381" xr:uid="{00000000-0005-0000-0000-00008C110000}"/>
    <cellStyle name="Calculation 2 4 2 4" xfId="5058" xr:uid="{00000000-0005-0000-0000-00008D110000}"/>
    <cellStyle name="Calculation 2 4 2 5" xfId="9414" xr:uid="{00000000-0005-0000-0000-00008E110000}"/>
    <cellStyle name="Calculation 2 4 2 6" xfId="13254" xr:uid="{00000000-0005-0000-0000-00008F110000}"/>
    <cellStyle name="Calculation 2 4 2 7" xfId="17082" xr:uid="{00000000-0005-0000-0000-000090110000}"/>
    <cellStyle name="Calculation 2 4 2 8" xfId="21024" xr:uid="{00000000-0005-0000-0000-000091110000}"/>
    <cellStyle name="Calculation 2 4 2 9" xfId="24838" xr:uid="{00000000-0005-0000-0000-000092110000}"/>
    <cellStyle name="Calculation 2 4 3" xfId="1490" xr:uid="{00000000-0005-0000-0000-000093110000}"/>
    <cellStyle name="Calculation 2 4 3 10" xfId="32777" xr:uid="{00000000-0005-0000-0000-000094110000}"/>
    <cellStyle name="Calculation 2 4 3 11" xfId="36547" xr:uid="{00000000-0005-0000-0000-000095110000}"/>
    <cellStyle name="Calculation 2 4 3 12" xfId="40538" xr:uid="{00000000-0005-0000-0000-000096110000}"/>
    <cellStyle name="Calculation 2 4 3 13" xfId="44369" xr:uid="{00000000-0005-0000-0000-000097110000}"/>
    <cellStyle name="Calculation 2 4 3 2" xfId="3480" xr:uid="{00000000-0005-0000-0000-000098110000}"/>
    <cellStyle name="Calculation 2 4 3 2 10" xfId="38531" xr:uid="{00000000-0005-0000-0000-000099110000}"/>
    <cellStyle name="Calculation 2 4 3 2 11" xfId="42542" xr:uid="{00000000-0005-0000-0000-00009A110000}"/>
    <cellStyle name="Calculation 2 4 3 2 12" xfId="46307" xr:uid="{00000000-0005-0000-0000-00009B110000}"/>
    <cellStyle name="Calculation 2 4 3 2 2" xfId="7347" xr:uid="{00000000-0005-0000-0000-00009C110000}"/>
    <cellStyle name="Calculation 2 4 3 2 3" xfId="11782" xr:uid="{00000000-0005-0000-0000-00009D110000}"/>
    <cellStyle name="Calculation 2 4 3 2 4" xfId="15627" xr:uid="{00000000-0005-0000-0000-00009E110000}"/>
    <cellStyle name="Calculation 2 4 3 2 5" xfId="19474" xr:uid="{00000000-0005-0000-0000-00009F110000}"/>
    <cellStyle name="Calculation 2 4 3 2 6" xfId="23390" xr:uid="{00000000-0005-0000-0000-0000A0110000}"/>
    <cellStyle name="Calculation 2 4 3 2 7" xfId="27224" xr:uid="{00000000-0005-0000-0000-0000A1110000}"/>
    <cellStyle name="Calculation 2 4 3 2 8" xfId="31091" xr:uid="{00000000-0005-0000-0000-0000A2110000}"/>
    <cellStyle name="Calculation 2 4 3 2 9" xfId="34745" xr:uid="{00000000-0005-0000-0000-0000A3110000}"/>
    <cellStyle name="Calculation 2 4 3 3" xfId="5423" xr:uid="{00000000-0005-0000-0000-0000A4110000}"/>
    <cellStyle name="Calculation 2 4 3 4" xfId="9781" xr:uid="{00000000-0005-0000-0000-0000A5110000}"/>
    <cellStyle name="Calculation 2 4 3 5" xfId="13627" xr:uid="{00000000-0005-0000-0000-0000A6110000}"/>
    <cellStyle name="Calculation 2 4 3 6" xfId="17456" xr:uid="{00000000-0005-0000-0000-0000A7110000}"/>
    <cellStyle name="Calculation 2 4 3 7" xfId="21395" xr:uid="{00000000-0005-0000-0000-0000A8110000}"/>
    <cellStyle name="Calculation 2 4 3 8" xfId="25208" xr:uid="{00000000-0005-0000-0000-0000A9110000}"/>
    <cellStyle name="Calculation 2 4 3 9" xfId="29095" xr:uid="{00000000-0005-0000-0000-0000AA110000}"/>
    <cellStyle name="Calculation 2 4 4" xfId="2741" xr:uid="{00000000-0005-0000-0000-0000AB110000}"/>
    <cellStyle name="Calculation 2 4 4 10" xfId="37793" xr:uid="{00000000-0005-0000-0000-0000AC110000}"/>
    <cellStyle name="Calculation 2 4 4 11" xfId="41806" xr:uid="{00000000-0005-0000-0000-0000AD110000}"/>
    <cellStyle name="Calculation 2 4 4 12" xfId="45590" xr:uid="{00000000-0005-0000-0000-0000AE110000}"/>
    <cellStyle name="Calculation 2 4 4 2" xfId="6628" xr:uid="{00000000-0005-0000-0000-0000AF110000}"/>
    <cellStyle name="Calculation 2 4 4 3" xfId="11051" xr:uid="{00000000-0005-0000-0000-0000B0110000}"/>
    <cellStyle name="Calculation 2 4 4 4" xfId="14897" xr:uid="{00000000-0005-0000-0000-0000B1110000}"/>
    <cellStyle name="Calculation 2 4 4 5" xfId="18735" xr:uid="{00000000-0005-0000-0000-0000B2110000}"/>
    <cellStyle name="Calculation 2 4 4 6" xfId="22666" xr:uid="{00000000-0005-0000-0000-0000B3110000}"/>
    <cellStyle name="Calculation 2 4 4 7" xfId="26486" xr:uid="{00000000-0005-0000-0000-0000B4110000}"/>
    <cellStyle name="Calculation 2 4 4 8" xfId="30364" xr:uid="{00000000-0005-0000-0000-0000B5110000}"/>
    <cellStyle name="Calculation 2 4 4 9" xfId="34028" xr:uid="{00000000-0005-0000-0000-0000B6110000}"/>
    <cellStyle name="Calculation 2 4 5" xfId="4704" xr:uid="{00000000-0005-0000-0000-0000B7110000}"/>
    <cellStyle name="Calculation 2 4 6" xfId="9046" xr:uid="{00000000-0005-0000-0000-0000B8110000}"/>
    <cellStyle name="Calculation 2 4 7" xfId="12884" xr:uid="{00000000-0005-0000-0000-0000B9110000}"/>
    <cellStyle name="Calculation 2 4 8" xfId="16714" xr:uid="{00000000-0005-0000-0000-0000BA110000}"/>
    <cellStyle name="Calculation 2 4 9" xfId="20651" xr:uid="{00000000-0005-0000-0000-0000BB110000}"/>
    <cellStyle name="Calculation 2 5" xfId="772" xr:uid="{00000000-0005-0000-0000-0000BC110000}"/>
    <cellStyle name="Calculation 2 5 10" xfId="24501" xr:uid="{00000000-0005-0000-0000-0000BD110000}"/>
    <cellStyle name="Calculation 2 5 11" xfId="28391" xr:uid="{00000000-0005-0000-0000-0000BE110000}"/>
    <cellStyle name="Calculation 2 5 12" xfId="27767" xr:uid="{00000000-0005-0000-0000-0000BF110000}"/>
    <cellStyle name="Calculation 2 5 13" xfId="35836" xr:uid="{00000000-0005-0000-0000-0000C0110000}"/>
    <cellStyle name="Calculation 2 5 14" xfId="39855" xr:uid="{00000000-0005-0000-0000-0000C1110000}"/>
    <cellStyle name="Calculation 2 5 15" xfId="43662" xr:uid="{00000000-0005-0000-0000-0000C2110000}"/>
    <cellStyle name="Calculation 2 5 2" xfId="1142" xr:uid="{00000000-0005-0000-0000-0000C3110000}"/>
    <cellStyle name="Calculation 2 5 2 10" xfId="28751" xr:uid="{00000000-0005-0000-0000-0000C4110000}"/>
    <cellStyle name="Calculation 2 5 2 11" xfId="32439" xr:uid="{00000000-0005-0000-0000-0000C5110000}"/>
    <cellStyle name="Calculation 2 5 2 12" xfId="36200" xr:uid="{00000000-0005-0000-0000-0000C6110000}"/>
    <cellStyle name="Calculation 2 5 2 13" xfId="40201" xr:uid="{00000000-0005-0000-0000-0000C7110000}"/>
    <cellStyle name="Calculation 2 5 2 14" xfId="44026" xr:uid="{00000000-0005-0000-0000-0000C8110000}"/>
    <cellStyle name="Calculation 2 5 2 2" xfId="1869" xr:uid="{00000000-0005-0000-0000-0000C9110000}"/>
    <cellStyle name="Calculation 2 5 2 2 10" xfId="33156" xr:uid="{00000000-0005-0000-0000-0000CA110000}"/>
    <cellStyle name="Calculation 2 5 2 2 11" xfId="36926" xr:uid="{00000000-0005-0000-0000-0000CB110000}"/>
    <cellStyle name="Calculation 2 5 2 2 12" xfId="40917" xr:uid="{00000000-0005-0000-0000-0000CC110000}"/>
    <cellStyle name="Calculation 2 5 2 2 13" xfId="44748" xr:uid="{00000000-0005-0000-0000-0000CD110000}"/>
    <cellStyle name="Calculation 2 5 2 2 2" xfId="3859" xr:uid="{00000000-0005-0000-0000-0000CE110000}"/>
    <cellStyle name="Calculation 2 5 2 2 2 10" xfId="38910" xr:uid="{00000000-0005-0000-0000-0000CF110000}"/>
    <cellStyle name="Calculation 2 5 2 2 2 11" xfId="42921" xr:uid="{00000000-0005-0000-0000-0000D0110000}"/>
    <cellStyle name="Calculation 2 5 2 2 2 12" xfId="46686" xr:uid="{00000000-0005-0000-0000-0000D1110000}"/>
    <cellStyle name="Calculation 2 5 2 2 2 2" xfId="7726" xr:uid="{00000000-0005-0000-0000-0000D2110000}"/>
    <cellStyle name="Calculation 2 5 2 2 2 3" xfId="12161" xr:uid="{00000000-0005-0000-0000-0000D3110000}"/>
    <cellStyle name="Calculation 2 5 2 2 2 4" xfId="16006" xr:uid="{00000000-0005-0000-0000-0000D4110000}"/>
    <cellStyle name="Calculation 2 5 2 2 2 5" xfId="19853" xr:uid="{00000000-0005-0000-0000-0000D5110000}"/>
    <cellStyle name="Calculation 2 5 2 2 2 6" xfId="23769" xr:uid="{00000000-0005-0000-0000-0000D6110000}"/>
    <cellStyle name="Calculation 2 5 2 2 2 7" xfId="27603" xr:uid="{00000000-0005-0000-0000-0000D7110000}"/>
    <cellStyle name="Calculation 2 5 2 2 2 8" xfId="31466" xr:uid="{00000000-0005-0000-0000-0000D8110000}"/>
    <cellStyle name="Calculation 2 5 2 2 2 9" xfId="35124" xr:uid="{00000000-0005-0000-0000-0000D9110000}"/>
    <cellStyle name="Calculation 2 5 2 2 3" xfId="5802" xr:uid="{00000000-0005-0000-0000-0000DA110000}"/>
    <cellStyle name="Calculation 2 5 2 2 4" xfId="10160" xr:uid="{00000000-0005-0000-0000-0000DB110000}"/>
    <cellStyle name="Calculation 2 5 2 2 5" xfId="14006" xr:uid="{00000000-0005-0000-0000-0000DC110000}"/>
    <cellStyle name="Calculation 2 5 2 2 6" xfId="17835" xr:uid="{00000000-0005-0000-0000-0000DD110000}"/>
    <cellStyle name="Calculation 2 5 2 2 7" xfId="21774" xr:uid="{00000000-0005-0000-0000-0000DE110000}"/>
    <cellStyle name="Calculation 2 5 2 2 8" xfId="25587" xr:uid="{00000000-0005-0000-0000-0000DF110000}"/>
    <cellStyle name="Calculation 2 5 2 2 9" xfId="29474" xr:uid="{00000000-0005-0000-0000-0000E0110000}"/>
    <cellStyle name="Calculation 2 5 2 3" xfId="3132" xr:uid="{00000000-0005-0000-0000-0000E1110000}"/>
    <cellStyle name="Calculation 2 5 2 3 10" xfId="38184" xr:uid="{00000000-0005-0000-0000-0000E2110000}"/>
    <cellStyle name="Calculation 2 5 2 3 11" xfId="42196" xr:uid="{00000000-0005-0000-0000-0000E3110000}"/>
    <cellStyle name="Calculation 2 5 2 3 12" xfId="45969" xr:uid="{00000000-0005-0000-0000-0000E4110000}"/>
    <cellStyle name="Calculation 2 5 2 3 2" xfId="7008" xr:uid="{00000000-0005-0000-0000-0000E5110000}"/>
    <cellStyle name="Calculation 2 5 2 3 3" xfId="11437" xr:uid="{00000000-0005-0000-0000-0000E6110000}"/>
    <cellStyle name="Calculation 2 5 2 3 4" xfId="15281" xr:uid="{00000000-0005-0000-0000-0000E7110000}"/>
    <cellStyle name="Calculation 2 5 2 3 5" xfId="19126" xr:uid="{00000000-0005-0000-0000-0000E8110000}"/>
    <cellStyle name="Calculation 2 5 2 3 6" xfId="23048" xr:uid="{00000000-0005-0000-0000-0000E9110000}"/>
    <cellStyle name="Calculation 2 5 2 3 7" xfId="26877" xr:uid="{00000000-0005-0000-0000-0000EA110000}"/>
    <cellStyle name="Calculation 2 5 2 3 8" xfId="30749" xr:uid="{00000000-0005-0000-0000-0000EB110000}"/>
    <cellStyle name="Calculation 2 5 2 3 9" xfId="34407" xr:uid="{00000000-0005-0000-0000-0000EC110000}"/>
    <cellStyle name="Calculation 2 5 2 4" xfId="5084" xr:uid="{00000000-0005-0000-0000-0000ED110000}"/>
    <cellStyle name="Calculation 2 5 2 5" xfId="9440" xr:uid="{00000000-0005-0000-0000-0000EE110000}"/>
    <cellStyle name="Calculation 2 5 2 6" xfId="13280" xr:uid="{00000000-0005-0000-0000-0000EF110000}"/>
    <cellStyle name="Calculation 2 5 2 7" xfId="17108" xr:uid="{00000000-0005-0000-0000-0000F0110000}"/>
    <cellStyle name="Calculation 2 5 2 8" xfId="21050" xr:uid="{00000000-0005-0000-0000-0000F1110000}"/>
    <cellStyle name="Calculation 2 5 2 9" xfId="24864" xr:uid="{00000000-0005-0000-0000-0000F2110000}"/>
    <cellStyle name="Calculation 2 5 3" xfId="1516" xr:uid="{00000000-0005-0000-0000-0000F3110000}"/>
    <cellStyle name="Calculation 2 5 3 10" xfId="32803" xr:uid="{00000000-0005-0000-0000-0000F4110000}"/>
    <cellStyle name="Calculation 2 5 3 11" xfId="36573" xr:uid="{00000000-0005-0000-0000-0000F5110000}"/>
    <cellStyle name="Calculation 2 5 3 12" xfId="40564" xr:uid="{00000000-0005-0000-0000-0000F6110000}"/>
    <cellStyle name="Calculation 2 5 3 13" xfId="44395" xr:uid="{00000000-0005-0000-0000-0000F7110000}"/>
    <cellStyle name="Calculation 2 5 3 2" xfId="3506" xr:uid="{00000000-0005-0000-0000-0000F8110000}"/>
    <cellStyle name="Calculation 2 5 3 2 10" xfId="38557" xr:uid="{00000000-0005-0000-0000-0000F9110000}"/>
    <cellStyle name="Calculation 2 5 3 2 11" xfId="42568" xr:uid="{00000000-0005-0000-0000-0000FA110000}"/>
    <cellStyle name="Calculation 2 5 3 2 12" xfId="46333" xr:uid="{00000000-0005-0000-0000-0000FB110000}"/>
    <cellStyle name="Calculation 2 5 3 2 2" xfId="7373" xr:uid="{00000000-0005-0000-0000-0000FC110000}"/>
    <cellStyle name="Calculation 2 5 3 2 3" xfId="11808" xr:uid="{00000000-0005-0000-0000-0000FD110000}"/>
    <cellStyle name="Calculation 2 5 3 2 4" xfId="15653" xr:uid="{00000000-0005-0000-0000-0000FE110000}"/>
    <cellStyle name="Calculation 2 5 3 2 5" xfId="19500" xr:uid="{00000000-0005-0000-0000-0000FF110000}"/>
    <cellStyle name="Calculation 2 5 3 2 6" xfId="23416" xr:uid="{00000000-0005-0000-0000-000000120000}"/>
    <cellStyle name="Calculation 2 5 3 2 7" xfId="27250" xr:uid="{00000000-0005-0000-0000-000001120000}"/>
    <cellStyle name="Calculation 2 5 3 2 8" xfId="31117" xr:uid="{00000000-0005-0000-0000-000002120000}"/>
    <cellStyle name="Calculation 2 5 3 2 9" xfId="34771" xr:uid="{00000000-0005-0000-0000-000003120000}"/>
    <cellStyle name="Calculation 2 5 3 3" xfId="5449" xr:uid="{00000000-0005-0000-0000-000004120000}"/>
    <cellStyle name="Calculation 2 5 3 4" xfId="9807" xr:uid="{00000000-0005-0000-0000-000005120000}"/>
    <cellStyle name="Calculation 2 5 3 5" xfId="13653" xr:uid="{00000000-0005-0000-0000-000006120000}"/>
    <cellStyle name="Calculation 2 5 3 6" xfId="17482" xr:uid="{00000000-0005-0000-0000-000007120000}"/>
    <cellStyle name="Calculation 2 5 3 7" xfId="21421" xr:uid="{00000000-0005-0000-0000-000008120000}"/>
    <cellStyle name="Calculation 2 5 3 8" xfId="25234" xr:uid="{00000000-0005-0000-0000-000009120000}"/>
    <cellStyle name="Calculation 2 5 3 9" xfId="29121" xr:uid="{00000000-0005-0000-0000-00000A120000}"/>
    <cellStyle name="Calculation 2 5 4" xfId="2768" xr:uid="{00000000-0005-0000-0000-00000B120000}"/>
    <cellStyle name="Calculation 2 5 4 10" xfId="37820" xr:uid="{00000000-0005-0000-0000-00000C120000}"/>
    <cellStyle name="Calculation 2 5 4 11" xfId="41833" xr:uid="{00000000-0005-0000-0000-00000D120000}"/>
    <cellStyle name="Calculation 2 5 4 12" xfId="45616" xr:uid="{00000000-0005-0000-0000-00000E120000}"/>
    <cellStyle name="Calculation 2 5 4 2" xfId="6654" xr:uid="{00000000-0005-0000-0000-00000F120000}"/>
    <cellStyle name="Calculation 2 5 4 3" xfId="11078" xr:uid="{00000000-0005-0000-0000-000010120000}"/>
    <cellStyle name="Calculation 2 5 4 4" xfId="14923" xr:uid="{00000000-0005-0000-0000-000011120000}"/>
    <cellStyle name="Calculation 2 5 4 5" xfId="18762" xr:uid="{00000000-0005-0000-0000-000012120000}"/>
    <cellStyle name="Calculation 2 5 4 6" xfId="22692" xr:uid="{00000000-0005-0000-0000-000013120000}"/>
    <cellStyle name="Calculation 2 5 4 7" xfId="26513" xr:uid="{00000000-0005-0000-0000-000014120000}"/>
    <cellStyle name="Calculation 2 5 4 8" xfId="30391" xr:uid="{00000000-0005-0000-0000-000015120000}"/>
    <cellStyle name="Calculation 2 5 4 9" xfId="34054" xr:uid="{00000000-0005-0000-0000-000016120000}"/>
    <cellStyle name="Calculation 2 5 5" xfId="4730" xr:uid="{00000000-0005-0000-0000-000017120000}"/>
    <cellStyle name="Calculation 2 5 6" xfId="9077" xr:uid="{00000000-0005-0000-0000-000018120000}"/>
    <cellStyle name="Calculation 2 5 7" xfId="12916" xr:uid="{00000000-0005-0000-0000-000019120000}"/>
    <cellStyle name="Calculation 2 5 8" xfId="16742" xr:uid="{00000000-0005-0000-0000-00001A120000}"/>
    <cellStyle name="Calculation 2 5 9" xfId="20681" xr:uid="{00000000-0005-0000-0000-00001B120000}"/>
    <cellStyle name="Calculation 2 6" xfId="866" xr:uid="{00000000-0005-0000-0000-00001C120000}"/>
    <cellStyle name="Calculation 2 6 10" xfId="28481" xr:uid="{00000000-0005-0000-0000-00001D120000}"/>
    <cellStyle name="Calculation 2 6 11" xfId="32167" xr:uid="{00000000-0005-0000-0000-00001E120000}"/>
    <cellStyle name="Calculation 2 6 12" xfId="35924" xr:uid="{00000000-0005-0000-0000-00001F120000}"/>
    <cellStyle name="Calculation 2 6 13" xfId="39935" xr:uid="{00000000-0005-0000-0000-000020120000}"/>
    <cellStyle name="Calculation 2 6 14" xfId="43750" xr:uid="{00000000-0005-0000-0000-000021120000}"/>
    <cellStyle name="Calculation 2 6 2" xfId="1597" xr:uid="{00000000-0005-0000-0000-000022120000}"/>
    <cellStyle name="Calculation 2 6 2 10" xfId="32884" xr:uid="{00000000-0005-0000-0000-000023120000}"/>
    <cellStyle name="Calculation 2 6 2 11" xfId="36654" xr:uid="{00000000-0005-0000-0000-000024120000}"/>
    <cellStyle name="Calculation 2 6 2 12" xfId="40645" xr:uid="{00000000-0005-0000-0000-000025120000}"/>
    <cellStyle name="Calculation 2 6 2 13" xfId="44476" xr:uid="{00000000-0005-0000-0000-000026120000}"/>
    <cellStyle name="Calculation 2 6 2 2" xfId="3587" xr:uid="{00000000-0005-0000-0000-000027120000}"/>
    <cellStyle name="Calculation 2 6 2 2 10" xfId="38638" xr:uid="{00000000-0005-0000-0000-000028120000}"/>
    <cellStyle name="Calculation 2 6 2 2 11" xfId="42649" xr:uid="{00000000-0005-0000-0000-000029120000}"/>
    <cellStyle name="Calculation 2 6 2 2 12" xfId="46414" xr:uid="{00000000-0005-0000-0000-00002A120000}"/>
    <cellStyle name="Calculation 2 6 2 2 2" xfId="7454" xr:uid="{00000000-0005-0000-0000-00002B120000}"/>
    <cellStyle name="Calculation 2 6 2 2 3" xfId="11889" xr:uid="{00000000-0005-0000-0000-00002C120000}"/>
    <cellStyle name="Calculation 2 6 2 2 4" xfId="15734" xr:uid="{00000000-0005-0000-0000-00002D120000}"/>
    <cellStyle name="Calculation 2 6 2 2 5" xfId="19581" xr:uid="{00000000-0005-0000-0000-00002E120000}"/>
    <cellStyle name="Calculation 2 6 2 2 6" xfId="23497" xr:uid="{00000000-0005-0000-0000-00002F120000}"/>
    <cellStyle name="Calculation 2 6 2 2 7" xfId="27331" xr:uid="{00000000-0005-0000-0000-000030120000}"/>
    <cellStyle name="Calculation 2 6 2 2 8" xfId="31197" xr:uid="{00000000-0005-0000-0000-000031120000}"/>
    <cellStyle name="Calculation 2 6 2 2 9" xfId="34852" xr:uid="{00000000-0005-0000-0000-000032120000}"/>
    <cellStyle name="Calculation 2 6 2 3" xfId="5530" xr:uid="{00000000-0005-0000-0000-000033120000}"/>
    <cellStyle name="Calculation 2 6 2 4" xfId="9888" xr:uid="{00000000-0005-0000-0000-000034120000}"/>
    <cellStyle name="Calculation 2 6 2 5" xfId="13734" xr:uid="{00000000-0005-0000-0000-000035120000}"/>
    <cellStyle name="Calculation 2 6 2 6" xfId="17563" xr:uid="{00000000-0005-0000-0000-000036120000}"/>
    <cellStyle name="Calculation 2 6 2 7" xfId="21502" xr:uid="{00000000-0005-0000-0000-000037120000}"/>
    <cellStyle name="Calculation 2 6 2 8" xfId="25315" xr:uid="{00000000-0005-0000-0000-000038120000}"/>
    <cellStyle name="Calculation 2 6 2 9" xfId="29202" xr:uid="{00000000-0005-0000-0000-000039120000}"/>
    <cellStyle name="Calculation 2 6 3" xfId="2856" xr:uid="{00000000-0005-0000-0000-00003A120000}"/>
    <cellStyle name="Calculation 2 6 3 10" xfId="37908" xr:uid="{00000000-0005-0000-0000-00003B120000}"/>
    <cellStyle name="Calculation 2 6 3 11" xfId="41920" xr:uid="{00000000-0005-0000-0000-00003C120000}"/>
    <cellStyle name="Calculation 2 6 3 12" xfId="45697" xr:uid="{00000000-0005-0000-0000-00003D120000}"/>
    <cellStyle name="Calculation 2 6 3 2" xfId="6736" xr:uid="{00000000-0005-0000-0000-00003E120000}"/>
    <cellStyle name="Calculation 2 6 3 3" xfId="11163" xr:uid="{00000000-0005-0000-0000-00003F120000}"/>
    <cellStyle name="Calculation 2 6 3 4" xfId="15008" xr:uid="{00000000-0005-0000-0000-000040120000}"/>
    <cellStyle name="Calculation 2 6 3 5" xfId="18850" xr:uid="{00000000-0005-0000-0000-000041120000}"/>
    <cellStyle name="Calculation 2 6 3 6" xfId="22776" xr:uid="{00000000-0005-0000-0000-000042120000}"/>
    <cellStyle name="Calculation 2 6 3 7" xfId="26601" xr:uid="{00000000-0005-0000-0000-000043120000}"/>
    <cellStyle name="Calculation 2 6 3 8" xfId="30478" xr:uid="{00000000-0005-0000-0000-000044120000}"/>
    <cellStyle name="Calculation 2 6 3 9" xfId="34135" xr:uid="{00000000-0005-0000-0000-000045120000}"/>
    <cellStyle name="Calculation 2 6 4" xfId="4812" xr:uid="{00000000-0005-0000-0000-000046120000}"/>
    <cellStyle name="Calculation 2 6 5" xfId="9166" xr:uid="{00000000-0005-0000-0000-000047120000}"/>
    <cellStyle name="Calculation 2 6 6" xfId="13007" xr:uid="{00000000-0005-0000-0000-000048120000}"/>
    <cellStyle name="Calculation 2 6 7" xfId="16832" xr:uid="{00000000-0005-0000-0000-000049120000}"/>
    <cellStyle name="Calculation 2 6 8" xfId="20774" xr:uid="{00000000-0005-0000-0000-00004A120000}"/>
    <cellStyle name="Calculation 2 6 9" xfId="24590" xr:uid="{00000000-0005-0000-0000-00004B120000}"/>
    <cellStyle name="Calculation 2 7" xfId="2089" xr:uid="{00000000-0005-0000-0000-00004C120000}"/>
    <cellStyle name="Calculation 2 7 10" xfId="33396" xr:uid="{00000000-0005-0000-0000-00004D120000}"/>
    <cellStyle name="Calculation 2 7 11" xfId="37141" xr:uid="{00000000-0005-0000-0000-00004E120000}"/>
    <cellStyle name="Calculation 2 7 12" xfId="41157" xr:uid="{00000000-0005-0000-0000-00004F120000}"/>
    <cellStyle name="Calculation 2 7 13" xfId="44958" xr:uid="{00000000-0005-0000-0000-000050120000}"/>
    <cellStyle name="Calculation 2 7 2" xfId="4074" xr:uid="{00000000-0005-0000-0000-000051120000}"/>
    <cellStyle name="Calculation 2 7 2 10" xfId="39125" xr:uid="{00000000-0005-0000-0000-000052120000}"/>
    <cellStyle name="Calculation 2 7 2 11" xfId="43135" xr:uid="{00000000-0005-0000-0000-000053120000}"/>
    <cellStyle name="Calculation 2 7 2 12" xfId="46896" xr:uid="{00000000-0005-0000-0000-000054120000}"/>
    <cellStyle name="Calculation 2 7 2 2" xfId="7937" xr:uid="{00000000-0005-0000-0000-000055120000}"/>
    <cellStyle name="Calculation 2 7 2 3" xfId="12374" xr:uid="{00000000-0005-0000-0000-000056120000}"/>
    <cellStyle name="Calculation 2 7 2 4" xfId="16219" xr:uid="{00000000-0005-0000-0000-000057120000}"/>
    <cellStyle name="Calculation 2 7 2 5" xfId="20068" xr:uid="{00000000-0005-0000-0000-000058120000}"/>
    <cellStyle name="Calculation 2 7 2 6" xfId="23982" xr:uid="{00000000-0005-0000-0000-000059120000}"/>
    <cellStyle name="Calculation 2 7 2 7" xfId="27818" xr:uid="{00000000-0005-0000-0000-00005A120000}"/>
    <cellStyle name="Calculation 2 7 2 8" xfId="31677" xr:uid="{00000000-0005-0000-0000-00005B120000}"/>
    <cellStyle name="Calculation 2 7 2 9" xfId="35334" xr:uid="{00000000-0005-0000-0000-00005C120000}"/>
    <cellStyle name="Calculation 2 7 3" xfId="6014" xr:uid="{00000000-0005-0000-0000-00005D120000}"/>
    <cellStyle name="Calculation 2 7 4" xfId="10408" xr:uid="{00000000-0005-0000-0000-00005E120000}"/>
    <cellStyle name="Calculation 2 7 5" xfId="14256" xr:uid="{00000000-0005-0000-0000-00005F120000}"/>
    <cellStyle name="Calculation 2 7 6" xfId="18083" xr:uid="{00000000-0005-0000-0000-000060120000}"/>
    <cellStyle name="Calculation 2 7 7" xfId="22025" xr:uid="{00000000-0005-0000-0000-000061120000}"/>
    <cellStyle name="Calculation 2 7 8" xfId="25834" xr:uid="{00000000-0005-0000-0000-000062120000}"/>
    <cellStyle name="Calculation 2 7 9" xfId="29714" xr:uid="{00000000-0005-0000-0000-000063120000}"/>
    <cellStyle name="Calculation 2 8" xfId="2155" xr:uid="{00000000-0005-0000-0000-000064120000}"/>
    <cellStyle name="Calculation 2 8 10" xfId="33456" xr:uid="{00000000-0005-0000-0000-000065120000}"/>
    <cellStyle name="Calculation 2 8 11" xfId="37207" xr:uid="{00000000-0005-0000-0000-000066120000}"/>
    <cellStyle name="Calculation 2 8 12" xfId="41223" xr:uid="{00000000-0005-0000-0000-000067120000}"/>
    <cellStyle name="Calculation 2 8 13" xfId="45018" xr:uid="{00000000-0005-0000-0000-000068120000}"/>
    <cellStyle name="Calculation 2 8 2" xfId="4138" xr:uid="{00000000-0005-0000-0000-000069120000}"/>
    <cellStyle name="Calculation 2 8 2 10" xfId="39189" xr:uid="{00000000-0005-0000-0000-00006A120000}"/>
    <cellStyle name="Calculation 2 8 2 11" xfId="43199" xr:uid="{00000000-0005-0000-0000-00006B120000}"/>
    <cellStyle name="Calculation 2 8 2 12" xfId="46956" xr:uid="{00000000-0005-0000-0000-00006C120000}"/>
    <cellStyle name="Calculation 2 8 2 2" xfId="7997" xr:uid="{00000000-0005-0000-0000-00006D120000}"/>
    <cellStyle name="Calculation 2 8 2 3" xfId="12437" xr:uid="{00000000-0005-0000-0000-00006E120000}"/>
    <cellStyle name="Calculation 2 8 2 4" xfId="16282" xr:uid="{00000000-0005-0000-0000-00006F120000}"/>
    <cellStyle name="Calculation 2 8 2 5" xfId="20132" xr:uid="{00000000-0005-0000-0000-000070120000}"/>
    <cellStyle name="Calculation 2 8 2 6" xfId="24044" xr:uid="{00000000-0005-0000-0000-000071120000}"/>
    <cellStyle name="Calculation 2 8 2 7" xfId="27882" xr:uid="{00000000-0005-0000-0000-000072120000}"/>
    <cellStyle name="Calculation 2 8 2 8" xfId="31741" xr:uid="{00000000-0005-0000-0000-000073120000}"/>
    <cellStyle name="Calculation 2 8 2 9" xfId="35394" xr:uid="{00000000-0005-0000-0000-000074120000}"/>
    <cellStyle name="Calculation 2 8 3" xfId="6071" xr:uid="{00000000-0005-0000-0000-000075120000}"/>
    <cellStyle name="Calculation 2 8 4" xfId="10472" xr:uid="{00000000-0005-0000-0000-000076120000}"/>
    <cellStyle name="Calculation 2 8 5" xfId="14318" xr:uid="{00000000-0005-0000-0000-000077120000}"/>
    <cellStyle name="Calculation 2 8 6" xfId="18149" xr:uid="{00000000-0005-0000-0000-000078120000}"/>
    <cellStyle name="Calculation 2 8 7" xfId="22088" xr:uid="{00000000-0005-0000-0000-000079120000}"/>
    <cellStyle name="Calculation 2 8 8" xfId="25900" xr:uid="{00000000-0005-0000-0000-00007A120000}"/>
    <cellStyle name="Calculation 2 8 9" xfId="29780" xr:uid="{00000000-0005-0000-0000-00007B120000}"/>
    <cellStyle name="Calculation 2 9" xfId="2083" xr:uid="{00000000-0005-0000-0000-00007C120000}"/>
    <cellStyle name="Calculation 2 9 10" xfId="33390" xr:uid="{00000000-0005-0000-0000-00007D120000}"/>
    <cellStyle name="Calculation 2 9 11" xfId="37135" xr:uid="{00000000-0005-0000-0000-00007E120000}"/>
    <cellStyle name="Calculation 2 9 12" xfId="41151" xr:uid="{00000000-0005-0000-0000-00007F120000}"/>
    <cellStyle name="Calculation 2 9 13" xfId="44952" xr:uid="{00000000-0005-0000-0000-000080120000}"/>
    <cellStyle name="Calculation 2 9 2" xfId="4068" xr:uid="{00000000-0005-0000-0000-000081120000}"/>
    <cellStyle name="Calculation 2 9 2 10" xfId="39119" xr:uid="{00000000-0005-0000-0000-000082120000}"/>
    <cellStyle name="Calculation 2 9 2 11" xfId="43129" xr:uid="{00000000-0005-0000-0000-000083120000}"/>
    <cellStyle name="Calculation 2 9 2 12" xfId="46890" xr:uid="{00000000-0005-0000-0000-000084120000}"/>
    <cellStyle name="Calculation 2 9 2 2" xfId="7931" xr:uid="{00000000-0005-0000-0000-000085120000}"/>
    <cellStyle name="Calculation 2 9 2 3" xfId="12368" xr:uid="{00000000-0005-0000-0000-000086120000}"/>
    <cellStyle name="Calculation 2 9 2 4" xfId="16213" xr:uid="{00000000-0005-0000-0000-000087120000}"/>
    <cellStyle name="Calculation 2 9 2 5" xfId="20062" xr:uid="{00000000-0005-0000-0000-000088120000}"/>
    <cellStyle name="Calculation 2 9 2 6" xfId="23976" xr:uid="{00000000-0005-0000-0000-000089120000}"/>
    <cellStyle name="Calculation 2 9 2 7" xfId="27812" xr:uid="{00000000-0005-0000-0000-00008A120000}"/>
    <cellStyle name="Calculation 2 9 2 8" xfId="31671" xr:uid="{00000000-0005-0000-0000-00008B120000}"/>
    <cellStyle name="Calculation 2 9 2 9" xfId="35328" xr:uid="{00000000-0005-0000-0000-00008C120000}"/>
    <cellStyle name="Calculation 2 9 3" xfId="6008" xr:uid="{00000000-0005-0000-0000-00008D120000}"/>
    <cellStyle name="Calculation 2 9 4" xfId="10402" xr:uid="{00000000-0005-0000-0000-00008E120000}"/>
    <cellStyle name="Calculation 2 9 5" xfId="14250" xr:uid="{00000000-0005-0000-0000-00008F120000}"/>
    <cellStyle name="Calculation 2 9 6" xfId="18077" xr:uid="{00000000-0005-0000-0000-000090120000}"/>
    <cellStyle name="Calculation 2 9 7" xfId="22019" xr:uid="{00000000-0005-0000-0000-000091120000}"/>
    <cellStyle name="Calculation 2 9 8" xfId="25828" xr:uid="{00000000-0005-0000-0000-000092120000}"/>
    <cellStyle name="Calculation 2 9 9" xfId="29708" xr:uid="{00000000-0005-0000-0000-000093120000}"/>
    <cellStyle name="Calculation 3" xfId="100" xr:uid="{00000000-0005-0000-0000-000094120000}"/>
    <cellStyle name="Calculation 3 10" xfId="2173" xr:uid="{00000000-0005-0000-0000-000095120000}"/>
    <cellStyle name="Calculation 3 10 10" xfId="37225" xr:uid="{00000000-0005-0000-0000-000096120000}"/>
    <cellStyle name="Calculation 3 10 11" xfId="41241" xr:uid="{00000000-0005-0000-0000-000097120000}"/>
    <cellStyle name="Calculation 3 10 12" xfId="45036" xr:uid="{00000000-0005-0000-0000-000098120000}"/>
    <cellStyle name="Calculation 3 10 2" xfId="4156" xr:uid="{00000000-0005-0000-0000-000099120000}"/>
    <cellStyle name="Calculation 3 10 2 10" xfId="39207" xr:uid="{00000000-0005-0000-0000-00009A120000}"/>
    <cellStyle name="Calculation 3 10 2 11" xfId="43217" xr:uid="{00000000-0005-0000-0000-00009B120000}"/>
    <cellStyle name="Calculation 3 10 2 12" xfId="46974" xr:uid="{00000000-0005-0000-0000-00009C120000}"/>
    <cellStyle name="Calculation 3 10 2 2" xfId="8015" xr:uid="{00000000-0005-0000-0000-00009D120000}"/>
    <cellStyle name="Calculation 3 10 2 3" xfId="12455" xr:uid="{00000000-0005-0000-0000-00009E120000}"/>
    <cellStyle name="Calculation 3 10 2 4" xfId="16300" xr:uid="{00000000-0005-0000-0000-00009F120000}"/>
    <cellStyle name="Calculation 3 10 2 5" xfId="20150" xr:uid="{00000000-0005-0000-0000-0000A0120000}"/>
    <cellStyle name="Calculation 3 10 2 6" xfId="24062" xr:uid="{00000000-0005-0000-0000-0000A1120000}"/>
    <cellStyle name="Calculation 3 10 2 7" xfId="27900" xr:uid="{00000000-0005-0000-0000-0000A2120000}"/>
    <cellStyle name="Calculation 3 10 2 8" xfId="31759" xr:uid="{00000000-0005-0000-0000-0000A3120000}"/>
    <cellStyle name="Calculation 3 10 2 9" xfId="35412" xr:uid="{00000000-0005-0000-0000-0000A4120000}"/>
    <cellStyle name="Calculation 3 10 3" xfId="10490" xr:uid="{00000000-0005-0000-0000-0000A5120000}"/>
    <cellStyle name="Calculation 3 10 4" xfId="14336" xr:uid="{00000000-0005-0000-0000-0000A6120000}"/>
    <cellStyle name="Calculation 3 10 5" xfId="18167" xr:uid="{00000000-0005-0000-0000-0000A7120000}"/>
    <cellStyle name="Calculation 3 10 6" xfId="22106" xr:uid="{00000000-0005-0000-0000-0000A8120000}"/>
    <cellStyle name="Calculation 3 10 7" xfId="25918" xr:uid="{00000000-0005-0000-0000-0000A9120000}"/>
    <cellStyle name="Calculation 3 10 8" xfId="29798" xr:uid="{00000000-0005-0000-0000-0000AA120000}"/>
    <cellStyle name="Calculation 3 10 9" xfId="33474" xr:uid="{00000000-0005-0000-0000-0000AB120000}"/>
    <cellStyle name="Calculation 3 11" xfId="2242" xr:uid="{00000000-0005-0000-0000-0000AC120000}"/>
    <cellStyle name="Calculation 3 11 10" xfId="33543" xr:uid="{00000000-0005-0000-0000-0000AD120000}"/>
    <cellStyle name="Calculation 3 11 11" xfId="37294" xr:uid="{00000000-0005-0000-0000-0000AE120000}"/>
    <cellStyle name="Calculation 3 11 12" xfId="41310" xr:uid="{00000000-0005-0000-0000-0000AF120000}"/>
    <cellStyle name="Calculation 3 11 13" xfId="45105" xr:uid="{00000000-0005-0000-0000-0000B0120000}"/>
    <cellStyle name="Calculation 3 11 2" xfId="4225" xr:uid="{00000000-0005-0000-0000-0000B1120000}"/>
    <cellStyle name="Calculation 3 11 2 10" xfId="39276" xr:uid="{00000000-0005-0000-0000-0000B2120000}"/>
    <cellStyle name="Calculation 3 11 2 11" xfId="43286" xr:uid="{00000000-0005-0000-0000-0000B3120000}"/>
    <cellStyle name="Calculation 3 11 2 12" xfId="47043" xr:uid="{00000000-0005-0000-0000-0000B4120000}"/>
    <cellStyle name="Calculation 3 11 2 2" xfId="8084" xr:uid="{00000000-0005-0000-0000-0000B5120000}"/>
    <cellStyle name="Calculation 3 11 2 3" xfId="12524" xr:uid="{00000000-0005-0000-0000-0000B6120000}"/>
    <cellStyle name="Calculation 3 11 2 4" xfId="16369" xr:uid="{00000000-0005-0000-0000-0000B7120000}"/>
    <cellStyle name="Calculation 3 11 2 5" xfId="20219" xr:uid="{00000000-0005-0000-0000-0000B8120000}"/>
    <cellStyle name="Calculation 3 11 2 6" xfId="24131" xr:uid="{00000000-0005-0000-0000-0000B9120000}"/>
    <cellStyle name="Calculation 3 11 2 7" xfId="27969" xr:uid="{00000000-0005-0000-0000-0000BA120000}"/>
    <cellStyle name="Calculation 3 11 2 8" xfId="31828" xr:uid="{00000000-0005-0000-0000-0000BB120000}"/>
    <cellStyle name="Calculation 3 11 2 9" xfId="35481" xr:uid="{00000000-0005-0000-0000-0000BC120000}"/>
    <cellStyle name="Calculation 3 11 3" xfId="6156" xr:uid="{00000000-0005-0000-0000-0000BD120000}"/>
    <cellStyle name="Calculation 3 11 4" xfId="10559" xr:uid="{00000000-0005-0000-0000-0000BE120000}"/>
    <cellStyle name="Calculation 3 11 5" xfId="14405" xr:uid="{00000000-0005-0000-0000-0000BF120000}"/>
    <cellStyle name="Calculation 3 11 6" xfId="18236" xr:uid="{00000000-0005-0000-0000-0000C0120000}"/>
    <cellStyle name="Calculation 3 11 7" xfId="22175" xr:uid="{00000000-0005-0000-0000-0000C1120000}"/>
    <cellStyle name="Calculation 3 11 8" xfId="25987" xr:uid="{00000000-0005-0000-0000-0000C2120000}"/>
    <cellStyle name="Calculation 3 11 9" xfId="29867" xr:uid="{00000000-0005-0000-0000-0000C3120000}"/>
    <cellStyle name="Calculation 3 12" xfId="2290" xr:uid="{00000000-0005-0000-0000-0000C4120000}"/>
    <cellStyle name="Calculation 3 12 10" xfId="33591" xr:uid="{00000000-0005-0000-0000-0000C5120000}"/>
    <cellStyle name="Calculation 3 12 11" xfId="37342" xr:uid="{00000000-0005-0000-0000-0000C6120000}"/>
    <cellStyle name="Calculation 3 12 12" xfId="41358" xr:uid="{00000000-0005-0000-0000-0000C7120000}"/>
    <cellStyle name="Calculation 3 12 13" xfId="45153" xr:uid="{00000000-0005-0000-0000-0000C8120000}"/>
    <cellStyle name="Calculation 3 12 2" xfId="4273" xr:uid="{00000000-0005-0000-0000-0000C9120000}"/>
    <cellStyle name="Calculation 3 12 2 10" xfId="39324" xr:uid="{00000000-0005-0000-0000-0000CA120000}"/>
    <cellStyle name="Calculation 3 12 2 11" xfId="43334" xr:uid="{00000000-0005-0000-0000-0000CB120000}"/>
    <cellStyle name="Calculation 3 12 2 12" xfId="47091" xr:uid="{00000000-0005-0000-0000-0000CC120000}"/>
    <cellStyle name="Calculation 3 12 2 2" xfId="8132" xr:uid="{00000000-0005-0000-0000-0000CD120000}"/>
    <cellStyle name="Calculation 3 12 2 3" xfId="12572" xr:uid="{00000000-0005-0000-0000-0000CE120000}"/>
    <cellStyle name="Calculation 3 12 2 4" xfId="16417" xr:uid="{00000000-0005-0000-0000-0000CF120000}"/>
    <cellStyle name="Calculation 3 12 2 5" xfId="20267" xr:uid="{00000000-0005-0000-0000-0000D0120000}"/>
    <cellStyle name="Calculation 3 12 2 6" xfId="24179" xr:uid="{00000000-0005-0000-0000-0000D1120000}"/>
    <cellStyle name="Calculation 3 12 2 7" xfId="28017" xr:uid="{00000000-0005-0000-0000-0000D2120000}"/>
    <cellStyle name="Calculation 3 12 2 8" xfId="31876" xr:uid="{00000000-0005-0000-0000-0000D3120000}"/>
    <cellStyle name="Calculation 3 12 2 9" xfId="35529" xr:uid="{00000000-0005-0000-0000-0000D4120000}"/>
    <cellStyle name="Calculation 3 12 3" xfId="6204" xr:uid="{00000000-0005-0000-0000-0000D5120000}"/>
    <cellStyle name="Calculation 3 12 4" xfId="10607" xr:uid="{00000000-0005-0000-0000-0000D6120000}"/>
    <cellStyle name="Calculation 3 12 5" xfId="14453" xr:uid="{00000000-0005-0000-0000-0000D7120000}"/>
    <cellStyle name="Calculation 3 12 6" xfId="18284" xr:uid="{00000000-0005-0000-0000-0000D8120000}"/>
    <cellStyle name="Calculation 3 12 7" xfId="22223" xr:uid="{00000000-0005-0000-0000-0000D9120000}"/>
    <cellStyle name="Calculation 3 12 8" xfId="26035" xr:uid="{00000000-0005-0000-0000-0000DA120000}"/>
    <cellStyle name="Calculation 3 12 9" xfId="29915" xr:uid="{00000000-0005-0000-0000-0000DB120000}"/>
    <cellStyle name="Calculation 3 13" xfId="2516" xr:uid="{00000000-0005-0000-0000-0000DC120000}"/>
    <cellStyle name="Calculation 3 13 10" xfId="37568" xr:uid="{00000000-0005-0000-0000-0000DD120000}"/>
    <cellStyle name="Calculation 3 13 11" xfId="41582" xr:uid="{00000000-0005-0000-0000-0000DE120000}"/>
    <cellStyle name="Calculation 3 13 12" xfId="45371" xr:uid="{00000000-0005-0000-0000-0000DF120000}"/>
    <cellStyle name="Calculation 3 13 2" xfId="6408" xr:uid="{00000000-0005-0000-0000-0000E0120000}"/>
    <cellStyle name="Calculation 3 13 3" xfId="10831" xr:uid="{00000000-0005-0000-0000-0000E1120000}"/>
    <cellStyle name="Calculation 3 13 4" xfId="14675" xr:uid="{00000000-0005-0000-0000-0000E2120000}"/>
    <cellStyle name="Calculation 3 13 5" xfId="18510" xr:uid="{00000000-0005-0000-0000-0000E3120000}"/>
    <cellStyle name="Calculation 3 13 6" xfId="22445" xr:uid="{00000000-0005-0000-0000-0000E4120000}"/>
    <cellStyle name="Calculation 3 13 7" xfId="26261" xr:uid="{00000000-0005-0000-0000-0000E5120000}"/>
    <cellStyle name="Calculation 3 13 8" xfId="30140" xr:uid="{00000000-0005-0000-0000-0000E6120000}"/>
    <cellStyle name="Calculation 3 13 9" xfId="33809" xr:uid="{00000000-0005-0000-0000-0000E7120000}"/>
    <cellStyle name="Calculation 3 14" xfId="8394" xr:uid="{00000000-0005-0000-0000-0000E8120000}"/>
    <cellStyle name="Calculation 3 15" xfId="8432" xr:uid="{00000000-0005-0000-0000-0000E9120000}"/>
    <cellStyle name="Calculation 3 16" xfId="8532" xr:uid="{00000000-0005-0000-0000-0000EA120000}"/>
    <cellStyle name="Calculation 3 17" xfId="8815" xr:uid="{00000000-0005-0000-0000-0000EB120000}"/>
    <cellStyle name="Calculation 3 18" xfId="8442" xr:uid="{00000000-0005-0000-0000-0000EC120000}"/>
    <cellStyle name="Calculation 3 19" xfId="12895" xr:uid="{00000000-0005-0000-0000-0000ED120000}"/>
    <cellStyle name="Calculation 3 2" xfId="573" xr:uid="{00000000-0005-0000-0000-0000EE120000}"/>
    <cellStyle name="Calculation 3 2 10" xfId="2223" xr:uid="{00000000-0005-0000-0000-0000EF120000}"/>
    <cellStyle name="Calculation 3 2 10 10" xfId="33524" xr:uid="{00000000-0005-0000-0000-0000F0120000}"/>
    <cellStyle name="Calculation 3 2 10 11" xfId="37275" xr:uid="{00000000-0005-0000-0000-0000F1120000}"/>
    <cellStyle name="Calculation 3 2 10 12" xfId="41291" xr:uid="{00000000-0005-0000-0000-0000F2120000}"/>
    <cellStyle name="Calculation 3 2 10 13" xfId="45086" xr:uid="{00000000-0005-0000-0000-0000F3120000}"/>
    <cellStyle name="Calculation 3 2 10 2" xfId="4206" xr:uid="{00000000-0005-0000-0000-0000F4120000}"/>
    <cellStyle name="Calculation 3 2 10 2 10" xfId="39257" xr:uid="{00000000-0005-0000-0000-0000F5120000}"/>
    <cellStyle name="Calculation 3 2 10 2 11" xfId="43267" xr:uid="{00000000-0005-0000-0000-0000F6120000}"/>
    <cellStyle name="Calculation 3 2 10 2 12" xfId="47024" xr:uid="{00000000-0005-0000-0000-0000F7120000}"/>
    <cellStyle name="Calculation 3 2 10 2 2" xfId="8065" xr:uid="{00000000-0005-0000-0000-0000F8120000}"/>
    <cellStyle name="Calculation 3 2 10 2 3" xfId="12505" xr:uid="{00000000-0005-0000-0000-0000F9120000}"/>
    <cellStyle name="Calculation 3 2 10 2 4" xfId="16350" xr:uid="{00000000-0005-0000-0000-0000FA120000}"/>
    <cellStyle name="Calculation 3 2 10 2 5" xfId="20200" xr:uid="{00000000-0005-0000-0000-0000FB120000}"/>
    <cellStyle name="Calculation 3 2 10 2 6" xfId="24112" xr:uid="{00000000-0005-0000-0000-0000FC120000}"/>
    <cellStyle name="Calculation 3 2 10 2 7" xfId="27950" xr:uid="{00000000-0005-0000-0000-0000FD120000}"/>
    <cellStyle name="Calculation 3 2 10 2 8" xfId="31809" xr:uid="{00000000-0005-0000-0000-0000FE120000}"/>
    <cellStyle name="Calculation 3 2 10 2 9" xfId="35462" xr:uid="{00000000-0005-0000-0000-0000FF120000}"/>
    <cellStyle name="Calculation 3 2 10 3" xfId="6137" xr:uid="{00000000-0005-0000-0000-000000130000}"/>
    <cellStyle name="Calculation 3 2 10 4" xfId="10540" xr:uid="{00000000-0005-0000-0000-000001130000}"/>
    <cellStyle name="Calculation 3 2 10 5" xfId="14386" xr:uid="{00000000-0005-0000-0000-000002130000}"/>
    <cellStyle name="Calculation 3 2 10 6" xfId="18217" xr:uid="{00000000-0005-0000-0000-000003130000}"/>
    <cellStyle name="Calculation 3 2 10 7" xfId="22156" xr:uid="{00000000-0005-0000-0000-000004130000}"/>
    <cellStyle name="Calculation 3 2 10 8" xfId="25968" xr:uid="{00000000-0005-0000-0000-000005130000}"/>
    <cellStyle name="Calculation 3 2 10 9" xfId="29848" xr:uid="{00000000-0005-0000-0000-000006130000}"/>
    <cellStyle name="Calculation 3 2 11" xfId="2281" xr:uid="{00000000-0005-0000-0000-000007130000}"/>
    <cellStyle name="Calculation 3 2 11 10" xfId="33582" xr:uid="{00000000-0005-0000-0000-000008130000}"/>
    <cellStyle name="Calculation 3 2 11 11" xfId="37333" xr:uid="{00000000-0005-0000-0000-000009130000}"/>
    <cellStyle name="Calculation 3 2 11 12" xfId="41349" xr:uid="{00000000-0005-0000-0000-00000A130000}"/>
    <cellStyle name="Calculation 3 2 11 13" xfId="45144" xr:uid="{00000000-0005-0000-0000-00000B130000}"/>
    <cellStyle name="Calculation 3 2 11 2" xfId="4264" xr:uid="{00000000-0005-0000-0000-00000C130000}"/>
    <cellStyle name="Calculation 3 2 11 2 10" xfId="39315" xr:uid="{00000000-0005-0000-0000-00000D130000}"/>
    <cellStyle name="Calculation 3 2 11 2 11" xfId="43325" xr:uid="{00000000-0005-0000-0000-00000E130000}"/>
    <cellStyle name="Calculation 3 2 11 2 12" xfId="47082" xr:uid="{00000000-0005-0000-0000-00000F130000}"/>
    <cellStyle name="Calculation 3 2 11 2 2" xfId="8123" xr:uid="{00000000-0005-0000-0000-000010130000}"/>
    <cellStyle name="Calculation 3 2 11 2 3" xfId="12563" xr:uid="{00000000-0005-0000-0000-000011130000}"/>
    <cellStyle name="Calculation 3 2 11 2 4" xfId="16408" xr:uid="{00000000-0005-0000-0000-000012130000}"/>
    <cellStyle name="Calculation 3 2 11 2 5" xfId="20258" xr:uid="{00000000-0005-0000-0000-000013130000}"/>
    <cellStyle name="Calculation 3 2 11 2 6" xfId="24170" xr:uid="{00000000-0005-0000-0000-000014130000}"/>
    <cellStyle name="Calculation 3 2 11 2 7" xfId="28008" xr:uid="{00000000-0005-0000-0000-000015130000}"/>
    <cellStyle name="Calculation 3 2 11 2 8" xfId="31867" xr:uid="{00000000-0005-0000-0000-000016130000}"/>
    <cellStyle name="Calculation 3 2 11 2 9" xfId="35520" xr:uid="{00000000-0005-0000-0000-000017130000}"/>
    <cellStyle name="Calculation 3 2 11 3" xfId="6195" xr:uid="{00000000-0005-0000-0000-000018130000}"/>
    <cellStyle name="Calculation 3 2 11 4" xfId="10598" xr:uid="{00000000-0005-0000-0000-000019130000}"/>
    <cellStyle name="Calculation 3 2 11 5" xfId="14444" xr:uid="{00000000-0005-0000-0000-00001A130000}"/>
    <cellStyle name="Calculation 3 2 11 6" xfId="18275" xr:uid="{00000000-0005-0000-0000-00001B130000}"/>
    <cellStyle name="Calculation 3 2 11 7" xfId="22214" xr:uid="{00000000-0005-0000-0000-00001C130000}"/>
    <cellStyle name="Calculation 3 2 11 8" xfId="26026" xr:uid="{00000000-0005-0000-0000-00001D130000}"/>
    <cellStyle name="Calculation 3 2 11 9" xfId="29906" xr:uid="{00000000-0005-0000-0000-00001E130000}"/>
    <cellStyle name="Calculation 3 2 12" xfId="2338" xr:uid="{00000000-0005-0000-0000-00001F130000}"/>
    <cellStyle name="Calculation 3 2 12 10" xfId="33637" xr:uid="{00000000-0005-0000-0000-000020130000}"/>
    <cellStyle name="Calculation 3 2 12 11" xfId="37390" xr:uid="{00000000-0005-0000-0000-000021130000}"/>
    <cellStyle name="Calculation 3 2 12 12" xfId="41406" xr:uid="{00000000-0005-0000-0000-000022130000}"/>
    <cellStyle name="Calculation 3 2 12 13" xfId="45199" xr:uid="{00000000-0005-0000-0000-000023130000}"/>
    <cellStyle name="Calculation 3 2 12 2" xfId="4321" xr:uid="{00000000-0005-0000-0000-000024130000}"/>
    <cellStyle name="Calculation 3 2 12 2 10" xfId="39372" xr:uid="{00000000-0005-0000-0000-000025130000}"/>
    <cellStyle name="Calculation 3 2 12 2 11" xfId="43382" xr:uid="{00000000-0005-0000-0000-000026130000}"/>
    <cellStyle name="Calculation 3 2 12 2 12" xfId="47137" xr:uid="{00000000-0005-0000-0000-000027130000}"/>
    <cellStyle name="Calculation 3 2 12 2 2" xfId="8178" xr:uid="{00000000-0005-0000-0000-000028130000}"/>
    <cellStyle name="Calculation 3 2 12 2 3" xfId="12620" xr:uid="{00000000-0005-0000-0000-000029130000}"/>
    <cellStyle name="Calculation 3 2 12 2 4" xfId="16464" xr:uid="{00000000-0005-0000-0000-00002A130000}"/>
    <cellStyle name="Calculation 3 2 12 2 5" xfId="20315" xr:uid="{00000000-0005-0000-0000-00002B130000}"/>
    <cellStyle name="Calculation 3 2 12 2 6" xfId="24226" xr:uid="{00000000-0005-0000-0000-00002C130000}"/>
    <cellStyle name="Calculation 3 2 12 2 7" xfId="28065" xr:uid="{00000000-0005-0000-0000-00002D130000}"/>
    <cellStyle name="Calculation 3 2 12 2 8" xfId="31924" xr:uid="{00000000-0005-0000-0000-00002E130000}"/>
    <cellStyle name="Calculation 3 2 12 2 9" xfId="35575" xr:uid="{00000000-0005-0000-0000-00002F130000}"/>
    <cellStyle name="Calculation 3 2 12 3" xfId="6250" xr:uid="{00000000-0005-0000-0000-000030130000}"/>
    <cellStyle name="Calculation 3 2 12 4" xfId="10655" xr:uid="{00000000-0005-0000-0000-000031130000}"/>
    <cellStyle name="Calculation 3 2 12 5" xfId="14500" xr:uid="{00000000-0005-0000-0000-000032130000}"/>
    <cellStyle name="Calculation 3 2 12 6" xfId="18332" xr:uid="{00000000-0005-0000-0000-000033130000}"/>
    <cellStyle name="Calculation 3 2 12 7" xfId="22270" xr:uid="{00000000-0005-0000-0000-000034130000}"/>
    <cellStyle name="Calculation 3 2 12 8" xfId="26083" xr:uid="{00000000-0005-0000-0000-000035130000}"/>
    <cellStyle name="Calculation 3 2 12 9" xfId="29963" xr:uid="{00000000-0005-0000-0000-000036130000}"/>
    <cellStyle name="Calculation 3 2 13" xfId="2403" xr:uid="{00000000-0005-0000-0000-000037130000}"/>
    <cellStyle name="Calculation 3 2 13 10" xfId="33701" xr:uid="{00000000-0005-0000-0000-000038130000}"/>
    <cellStyle name="Calculation 3 2 13 11" xfId="37455" xr:uid="{00000000-0005-0000-0000-000039130000}"/>
    <cellStyle name="Calculation 3 2 13 12" xfId="41470" xr:uid="{00000000-0005-0000-0000-00003A130000}"/>
    <cellStyle name="Calculation 3 2 13 13" xfId="45263" xr:uid="{00000000-0005-0000-0000-00003B130000}"/>
    <cellStyle name="Calculation 3 2 13 2" xfId="4386" xr:uid="{00000000-0005-0000-0000-00003C130000}"/>
    <cellStyle name="Calculation 3 2 13 2 10" xfId="39437" xr:uid="{00000000-0005-0000-0000-00003D130000}"/>
    <cellStyle name="Calculation 3 2 13 2 11" xfId="43446" xr:uid="{00000000-0005-0000-0000-00003E130000}"/>
    <cellStyle name="Calculation 3 2 13 2 12" xfId="47201" xr:uid="{00000000-0005-0000-0000-00003F130000}"/>
    <cellStyle name="Calculation 3 2 13 2 2" xfId="8243" xr:uid="{00000000-0005-0000-0000-000040130000}"/>
    <cellStyle name="Calculation 3 2 13 2 3" xfId="12684" xr:uid="{00000000-0005-0000-0000-000041130000}"/>
    <cellStyle name="Calculation 3 2 13 2 4" xfId="16529" xr:uid="{00000000-0005-0000-0000-000042130000}"/>
    <cellStyle name="Calculation 3 2 13 2 5" xfId="20380" xr:uid="{00000000-0005-0000-0000-000043130000}"/>
    <cellStyle name="Calculation 3 2 13 2 6" xfId="24291" xr:uid="{00000000-0005-0000-0000-000044130000}"/>
    <cellStyle name="Calculation 3 2 13 2 7" xfId="28130" xr:uid="{00000000-0005-0000-0000-000045130000}"/>
    <cellStyle name="Calculation 3 2 13 2 8" xfId="31988" xr:uid="{00000000-0005-0000-0000-000046130000}"/>
    <cellStyle name="Calculation 3 2 13 2 9" xfId="35639" xr:uid="{00000000-0005-0000-0000-000047130000}"/>
    <cellStyle name="Calculation 3 2 13 3" xfId="6299" xr:uid="{00000000-0005-0000-0000-000048130000}"/>
    <cellStyle name="Calculation 3 2 13 4" xfId="10719" xr:uid="{00000000-0005-0000-0000-000049130000}"/>
    <cellStyle name="Calculation 3 2 13 5" xfId="14565" xr:uid="{00000000-0005-0000-0000-00004A130000}"/>
    <cellStyle name="Calculation 3 2 13 6" xfId="18397" xr:uid="{00000000-0005-0000-0000-00004B130000}"/>
    <cellStyle name="Calculation 3 2 13 7" xfId="22335" xr:uid="{00000000-0005-0000-0000-00004C130000}"/>
    <cellStyle name="Calculation 3 2 13 8" xfId="26148" xr:uid="{00000000-0005-0000-0000-00004D130000}"/>
    <cellStyle name="Calculation 3 2 13 9" xfId="30028" xr:uid="{00000000-0005-0000-0000-00004E130000}"/>
    <cellStyle name="Calculation 3 2 14" xfId="2455" xr:uid="{00000000-0005-0000-0000-00004F130000}"/>
    <cellStyle name="Calculation 3 2 14 10" xfId="33751" xr:uid="{00000000-0005-0000-0000-000050130000}"/>
    <cellStyle name="Calculation 3 2 14 11" xfId="37507" xr:uid="{00000000-0005-0000-0000-000051130000}"/>
    <cellStyle name="Calculation 3 2 14 12" xfId="41522" xr:uid="{00000000-0005-0000-0000-000052130000}"/>
    <cellStyle name="Calculation 3 2 14 13" xfId="45313" xr:uid="{00000000-0005-0000-0000-000053130000}"/>
    <cellStyle name="Calculation 3 2 14 2" xfId="4438" xr:uid="{00000000-0005-0000-0000-000054130000}"/>
    <cellStyle name="Calculation 3 2 14 2 10" xfId="39489" xr:uid="{00000000-0005-0000-0000-000055130000}"/>
    <cellStyle name="Calculation 3 2 14 2 11" xfId="43498" xr:uid="{00000000-0005-0000-0000-000056130000}"/>
    <cellStyle name="Calculation 3 2 14 2 12" xfId="47251" xr:uid="{00000000-0005-0000-0000-000057130000}"/>
    <cellStyle name="Calculation 3 2 14 2 2" xfId="8293" xr:uid="{00000000-0005-0000-0000-000058130000}"/>
    <cellStyle name="Calculation 3 2 14 2 3" xfId="12736" xr:uid="{00000000-0005-0000-0000-000059130000}"/>
    <cellStyle name="Calculation 3 2 14 2 4" xfId="16579" xr:uid="{00000000-0005-0000-0000-00005A130000}"/>
    <cellStyle name="Calculation 3 2 14 2 5" xfId="20432" xr:uid="{00000000-0005-0000-0000-00005B130000}"/>
    <cellStyle name="Calculation 3 2 14 2 6" xfId="24342" xr:uid="{00000000-0005-0000-0000-00005C130000}"/>
    <cellStyle name="Calculation 3 2 14 2 7" xfId="28182" xr:uid="{00000000-0005-0000-0000-00005D130000}"/>
    <cellStyle name="Calculation 3 2 14 2 8" xfId="32040" xr:uid="{00000000-0005-0000-0000-00005E130000}"/>
    <cellStyle name="Calculation 3 2 14 2 9" xfId="35689" xr:uid="{00000000-0005-0000-0000-00005F130000}"/>
    <cellStyle name="Calculation 3 2 14 3" xfId="6349" xr:uid="{00000000-0005-0000-0000-000060130000}"/>
    <cellStyle name="Calculation 3 2 14 4" xfId="10771" xr:uid="{00000000-0005-0000-0000-000061130000}"/>
    <cellStyle name="Calculation 3 2 14 5" xfId="14616" xr:uid="{00000000-0005-0000-0000-000062130000}"/>
    <cellStyle name="Calculation 3 2 14 6" xfId="18449" xr:uid="{00000000-0005-0000-0000-000063130000}"/>
    <cellStyle name="Calculation 3 2 14 7" xfId="22386" xr:uid="{00000000-0005-0000-0000-000064130000}"/>
    <cellStyle name="Calculation 3 2 14 8" xfId="26200" xr:uid="{00000000-0005-0000-0000-000065130000}"/>
    <cellStyle name="Calculation 3 2 14 9" xfId="30079" xr:uid="{00000000-0005-0000-0000-000066130000}"/>
    <cellStyle name="Calculation 3 2 15" xfId="2509" xr:uid="{00000000-0005-0000-0000-000067130000}"/>
    <cellStyle name="Calculation 3 2 15 10" xfId="33802" xr:uid="{00000000-0005-0000-0000-000068130000}"/>
    <cellStyle name="Calculation 3 2 15 11" xfId="37561" xr:uid="{00000000-0005-0000-0000-000069130000}"/>
    <cellStyle name="Calculation 3 2 15 12" xfId="41575" xr:uid="{00000000-0005-0000-0000-00006A130000}"/>
    <cellStyle name="Calculation 3 2 15 13" xfId="45364" xr:uid="{00000000-0005-0000-0000-00006B130000}"/>
    <cellStyle name="Calculation 3 2 15 2" xfId="4489" xr:uid="{00000000-0005-0000-0000-00006C130000}"/>
    <cellStyle name="Calculation 3 2 15 2 10" xfId="39540" xr:uid="{00000000-0005-0000-0000-00006D130000}"/>
    <cellStyle name="Calculation 3 2 15 2 11" xfId="43549" xr:uid="{00000000-0005-0000-0000-00006E130000}"/>
    <cellStyle name="Calculation 3 2 15 2 12" xfId="47302" xr:uid="{00000000-0005-0000-0000-00006F130000}"/>
    <cellStyle name="Calculation 3 2 15 2 2" xfId="8344" xr:uid="{00000000-0005-0000-0000-000070130000}"/>
    <cellStyle name="Calculation 3 2 15 2 3" xfId="12787" xr:uid="{00000000-0005-0000-0000-000071130000}"/>
    <cellStyle name="Calculation 3 2 15 2 4" xfId="16630" xr:uid="{00000000-0005-0000-0000-000072130000}"/>
    <cellStyle name="Calculation 3 2 15 2 5" xfId="20483" xr:uid="{00000000-0005-0000-0000-000073130000}"/>
    <cellStyle name="Calculation 3 2 15 2 6" xfId="24393" xr:uid="{00000000-0005-0000-0000-000074130000}"/>
    <cellStyle name="Calculation 3 2 15 2 7" xfId="28233" xr:uid="{00000000-0005-0000-0000-000075130000}"/>
    <cellStyle name="Calculation 3 2 15 2 8" xfId="32091" xr:uid="{00000000-0005-0000-0000-000076130000}"/>
    <cellStyle name="Calculation 3 2 15 2 9" xfId="35740" xr:uid="{00000000-0005-0000-0000-000077130000}"/>
    <cellStyle name="Calculation 3 2 15 3" xfId="6401" xr:uid="{00000000-0005-0000-0000-000078130000}"/>
    <cellStyle name="Calculation 3 2 15 4" xfId="10824" xr:uid="{00000000-0005-0000-0000-000079130000}"/>
    <cellStyle name="Calculation 3 2 15 5" xfId="14668" xr:uid="{00000000-0005-0000-0000-00007A130000}"/>
    <cellStyle name="Calculation 3 2 15 6" xfId="18503" xr:uid="{00000000-0005-0000-0000-00007B130000}"/>
    <cellStyle name="Calculation 3 2 15 7" xfId="22438" xr:uid="{00000000-0005-0000-0000-00007C130000}"/>
    <cellStyle name="Calculation 3 2 15 8" xfId="26254" xr:uid="{00000000-0005-0000-0000-00007D130000}"/>
    <cellStyle name="Calculation 3 2 15 9" xfId="30133" xr:uid="{00000000-0005-0000-0000-00007E130000}"/>
    <cellStyle name="Calculation 3 2 16" xfId="2578" xr:uid="{00000000-0005-0000-0000-00007F130000}"/>
    <cellStyle name="Calculation 3 2 16 10" xfId="37630" xr:uid="{00000000-0005-0000-0000-000080130000}"/>
    <cellStyle name="Calculation 3 2 16 11" xfId="41644" xr:uid="{00000000-0005-0000-0000-000081130000}"/>
    <cellStyle name="Calculation 3 2 16 12" xfId="45433" xr:uid="{00000000-0005-0000-0000-000082130000}"/>
    <cellStyle name="Calculation 3 2 16 2" xfId="6470" xr:uid="{00000000-0005-0000-0000-000083130000}"/>
    <cellStyle name="Calculation 3 2 16 3" xfId="10893" xr:uid="{00000000-0005-0000-0000-000084130000}"/>
    <cellStyle name="Calculation 3 2 16 4" xfId="14737" xr:uid="{00000000-0005-0000-0000-000085130000}"/>
    <cellStyle name="Calculation 3 2 16 5" xfId="18572" xr:uid="{00000000-0005-0000-0000-000086130000}"/>
    <cellStyle name="Calculation 3 2 16 6" xfId="22507" xr:uid="{00000000-0005-0000-0000-000087130000}"/>
    <cellStyle name="Calculation 3 2 16 7" xfId="26323" xr:uid="{00000000-0005-0000-0000-000088130000}"/>
    <cellStyle name="Calculation 3 2 16 8" xfId="30202" xr:uid="{00000000-0005-0000-0000-000089130000}"/>
    <cellStyle name="Calculation 3 2 16 9" xfId="33871" xr:uid="{00000000-0005-0000-0000-00008A130000}"/>
    <cellStyle name="Calculation 3 2 17" xfId="4546" xr:uid="{00000000-0005-0000-0000-00008B130000}"/>
    <cellStyle name="Calculation 3 2 18" xfId="8371" xr:uid="{00000000-0005-0000-0000-00008C130000}"/>
    <cellStyle name="Calculation 3 2 19" xfId="8763" xr:uid="{00000000-0005-0000-0000-00008D130000}"/>
    <cellStyle name="Calculation 3 2 2" xfId="707" xr:uid="{00000000-0005-0000-0000-00008E130000}"/>
    <cellStyle name="Calculation 3 2 2 10" xfId="24441" xr:uid="{00000000-0005-0000-0000-00008F130000}"/>
    <cellStyle name="Calculation 3 2 2 11" xfId="28334" xr:uid="{00000000-0005-0000-0000-000090130000}"/>
    <cellStyle name="Calculation 3 2 2 12" xfId="32051" xr:uid="{00000000-0005-0000-0000-000091130000}"/>
    <cellStyle name="Calculation 3 2 2 13" xfId="35778" xr:uid="{00000000-0005-0000-0000-000092130000}"/>
    <cellStyle name="Calculation 3 2 2 14" xfId="39801" xr:uid="{00000000-0005-0000-0000-000093130000}"/>
    <cellStyle name="Calculation 3 2 2 15" xfId="43604" xr:uid="{00000000-0005-0000-0000-000094130000}"/>
    <cellStyle name="Calculation 3 2 2 2" xfId="1087" xr:uid="{00000000-0005-0000-0000-000095130000}"/>
    <cellStyle name="Calculation 3 2 2 2 10" xfId="28698" xr:uid="{00000000-0005-0000-0000-000096130000}"/>
    <cellStyle name="Calculation 3 2 2 2 11" xfId="32384" xr:uid="{00000000-0005-0000-0000-000097130000}"/>
    <cellStyle name="Calculation 3 2 2 2 12" xfId="36145" xr:uid="{00000000-0005-0000-0000-000098130000}"/>
    <cellStyle name="Calculation 3 2 2 2 13" xfId="40148" xr:uid="{00000000-0005-0000-0000-000099130000}"/>
    <cellStyle name="Calculation 3 2 2 2 14" xfId="43971" xr:uid="{00000000-0005-0000-0000-00009A130000}"/>
    <cellStyle name="Calculation 3 2 2 2 2" xfId="1814" xr:uid="{00000000-0005-0000-0000-00009B130000}"/>
    <cellStyle name="Calculation 3 2 2 2 2 10" xfId="33101" xr:uid="{00000000-0005-0000-0000-00009C130000}"/>
    <cellStyle name="Calculation 3 2 2 2 2 11" xfId="36871" xr:uid="{00000000-0005-0000-0000-00009D130000}"/>
    <cellStyle name="Calculation 3 2 2 2 2 12" xfId="40862" xr:uid="{00000000-0005-0000-0000-00009E130000}"/>
    <cellStyle name="Calculation 3 2 2 2 2 13" xfId="44693" xr:uid="{00000000-0005-0000-0000-00009F130000}"/>
    <cellStyle name="Calculation 3 2 2 2 2 2" xfId="3804" xr:uid="{00000000-0005-0000-0000-0000A0130000}"/>
    <cellStyle name="Calculation 3 2 2 2 2 2 10" xfId="38855" xr:uid="{00000000-0005-0000-0000-0000A1130000}"/>
    <cellStyle name="Calculation 3 2 2 2 2 2 11" xfId="42866" xr:uid="{00000000-0005-0000-0000-0000A2130000}"/>
    <cellStyle name="Calculation 3 2 2 2 2 2 12" xfId="46631" xr:uid="{00000000-0005-0000-0000-0000A3130000}"/>
    <cellStyle name="Calculation 3 2 2 2 2 2 2" xfId="7671" xr:uid="{00000000-0005-0000-0000-0000A4130000}"/>
    <cellStyle name="Calculation 3 2 2 2 2 2 3" xfId="12106" xr:uid="{00000000-0005-0000-0000-0000A5130000}"/>
    <cellStyle name="Calculation 3 2 2 2 2 2 4" xfId="15951" xr:uid="{00000000-0005-0000-0000-0000A6130000}"/>
    <cellStyle name="Calculation 3 2 2 2 2 2 5" xfId="19798" xr:uid="{00000000-0005-0000-0000-0000A7130000}"/>
    <cellStyle name="Calculation 3 2 2 2 2 2 6" xfId="23714" xr:uid="{00000000-0005-0000-0000-0000A8130000}"/>
    <cellStyle name="Calculation 3 2 2 2 2 2 7" xfId="27548" xr:uid="{00000000-0005-0000-0000-0000A9130000}"/>
    <cellStyle name="Calculation 3 2 2 2 2 2 8" xfId="31412" xr:uid="{00000000-0005-0000-0000-0000AA130000}"/>
    <cellStyle name="Calculation 3 2 2 2 2 2 9" xfId="35069" xr:uid="{00000000-0005-0000-0000-0000AB130000}"/>
    <cellStyle name="Calculation 3 2 2 2 2 3" xfId="5747" xr:uid="{00000000-0005-0000-0000-0000AC130000}"/>
    <cellStyle name="Calculation 3 2 2 2 2 4" xfId="10105" xr:uid="{00000000-0005-0000-0000-0000AD130000}"/>
    <cellStyle name="Calculation 3 2 2 2 2 5" xfId="13951" xr:uid="{00000000-0005-0000-0000-0000AE130000}"/>
    <cellStyle name="Calculation 3 2 2 2 2 6" xfId="17780" xr:uid="{00000000-0005-0000-0000-0000AF130000}"/>
    <cellStyle name="Calculation 3 2 2 2 2 7" xfId="21719" xr:uid="{00000000-0005-0000-0000-0000B0130000}"/>
    <cellStyle name="Calculation 3 2 2 2 2 8" xfId="25532" xr:uid="{00000000-0005-0000-0000-0000B1130000}"/>
    <cellStyle name="Calculation 3 2 2 2 2 9" xfId="29419" xr:uid="{00000000-0005-0000-0000-0000B2130000}"/>
    <cellStyle name="Calculation 3 2 2 2 3" xfId="3077" xr:uid="{00000000-0005-0000-0000-0000B3130000}"/>
    <cellStyle name="Calculation 3 2 2 2 3 10" xfId="38129" xr:uid="{00000000-0005-0000-0000-0000B4130000}"/>
    <cellStyle name="Calculation 3 2 2 2 3 11" xfId="42141" xr:uid="{00000000-0005-0000-0000-0000B5130000}"/>
    <cellStyle name="Calculation 3 2 2 2 3 12" xfId="45914" xr:uid="{00000000-0005-0000-0000-0000B6130000}"/>
    <cellStyle name="Calculation 3 2 2 2 3 2" xfId="6953" xr:uid="{00000000-0005-0000-0000-0000B7130000}"/>
    <cellStyle name="Calculation 3 2 2 2 3 3" xfId="11382" xr:uid="{00000000-0005-0000-0000-0000B8130000}"/>
    <cellStyle name="Calculation 3 2 2 2 3 4" xfId="15226" xr:uid="{00000000-0005-0000-0000-0000B9130000}"/>
    <cellStyle name="Calculation 3 2 2 2 3 5" xfId="19071" xr:uid="{00000000-0005-0000-0000-0000BA130000}"/>
    <cellStyle name="Calculation 3 2 2 2 3 6" xfId="22993" xr:uid="{00000000-0005-0000-0000-0000BB130000}"/>
    <cellStyle name="Calculation 3 2 2 2 3 7" xfId="26822" xr:uid="{00000000-0005-0000-0000-0000BC130000}"/>
    <cellStyle name="Calculation 3 2 2 2 3 8" xfId="30696" xr:uid="{00000000-0005-0000-0000-0000BD130000}"/>
    <cellStyle name="Calculation 3 2 2 2 3 9" xfId="34352" xr:uid="{00000000-0005-0000-0000-0000BE130000}"/>
    <cellStyle name="Calculation 3 2 2 2 4" xfId="5029" xr:uid="{00000000-0005-0000-0000-0000BF130000}"/>
    <cellStyle name="Calculation 3 2 2 2 5" xfId="9385" xr:uid="{00000000-0005-0000-0000-0000C0130000}"/>
    <cellStyle name="Calculation 3 2 2 2 6" xfId="13225" xr:uid="{00000000-0005-0000-0000-0000C1130000}"/>
    <cellStyle name="Calculation 3 2 2 2 7" xfId="17053" xr:uid="{00000000-0005-0000-0000-0000C2130000}"/>
    <cellStyle name="Calculation 3 2 2 2 8" xfId="20995" xr:uid="{00000000-0005-0000-0000-0000C3130000}"/>
    <cellStyle name="Calculation 3 2 2 2 9" xfId="24809" xr:uid="{00000000-0005-0000-0000-0000C4130000}"/>
    <cellStyle name="Calculation 3 2 2 3" xfId="1461" xr:uid="{00000000-0005-0000-0000-0000C5130000}"/>
    <cellStyle name="Calculation 3 2 2 3 10" xfId="32748" xr:uid="{00000000-0005-0000-0000-0000C6130000}"/>
    <cellStyle name="Calculation 3 2 2 3 11" xfId="36518" xr:uid="{00000000-0005-0000-0000-0000C7130000}"/>
    <cellStyle name="Calculation 3 2 2 3 12" xfId="40509" xr:uid="{00000000-0005-0000-0000-0000C8130000}"/>
    <cellStyle name="Calculation 3 2 2 3 13" xfId="44340" xr:uid="{00000000-0005-0000-0000-0000C9130000}"/>
    <cellStyle name="Calculation 3 2 2 3 2" xfId="3451" xr:uid="{00000000-0005-0000-0000-0000CA130000}"/>
    <cellStyle name="Calculation 3 2 2 3 2 10" xfId="38502" xr:uid="{00000000-0005-0000-0000-0000CB130000}"/>
    <cellStyle name="Calculation 3 2 2 3 2 11" xfId="42513" xr:uid="{00000000-0005-0000-0000-0000CC130000}"/>
    <cellStyle name="Calculation 3 2 2 3 2 12" xfId="46278" xr:uid="{00000000-0005-0000-0000-0000CD130000}"/>
    <cellStyle name="Calculation 3 2 2 3 2 2" xfId="7318" xr:uid="{00000000-0005-0000-0000-0000CE130000}"/>
    <cellStyle name="Calculation 3 2 2 3 2 3" xfId="11753" xr:uid="{00000000-0005-0000-0000-0000CF130000}"/>
    <cellStyle name="Calculation 3 2 2 3 2 4" xfId="15598" xr:uid="{00000000-0005-0000-0000-0000D0130000}"/>
    <cellStyle name="Calculation 3 2 2 3 2 5" xfId="19445" xr:uid="{00000000-0005-0000-0000-0000D1130000}"/>
    <cellStyle name="Calculation 3 2 2 3 2 6" xfId="23361" xr:uid="{00000000-0005-0000-0000-0000D2130000}"/>
    <cellStyle name="Calculation 3 2 2 3 2 7" xfId="27195" xr:uid="{00000000-0005-0000-0000-0000D3130000}"/>
    <cellStyle name="Calculation 3 2 2 3 2 8" xfId="31063" xr:uid="{00000000-0005-0000-0000-0000D4130000}"/>
    <cellStyle name="Calculation 3 2 2 3 2 9" xfId="34716" xr:uid="{00000000-0005-0000-0000-0000D5130000}"/>
    <cellStyle name="Calculation 3 2 2 3 3" xfId="5394" xr:uid="{00000000-0005-0000-0000-0000D6130000}"/>
    <cellStyle name="Calculation 3 2 2 3 4" xfId="9752" xr:uid="{00000000-0005-0000-0000-0000D7130000}"/>
    <cellStyle name="Calculation 3 2 2 3 5" xfId="13598" xr:uid="{00000000-0005-0000-0000-0000D8130000}"/>
    <cellStyle name="Calculation 3 2 2 3 6" xfId="17427" xr:uid="{00000000-0005-0000-0000-0000D9130000}"/>
    <cellStyle name="Calculation 3 2 2 3 7" xfId="21366" xr:uid="{00000000-0005-0000-0000-0000DA130000}"/>
    <cellStyle name="Calculation 3 2 2 3 8" xfId="25179" xr:uid="{00000000-0005-0000-0000-0000DB130000}"/>
    <cellStyle name="Calculation 3 2 2 3 9" xfId="29066" xr:uid="{00000000-0005-0000-0000-0000DC130000}"/>
    <cellStyle name="Calculation 3 2 2 4" xfId="2710" xr:uid="{00000000-0005-0000-0000-0000DD130000}"/>
    <cellStyle name="Calculation 3 2 2 4 10" xfId="37762" xr:uid="{00000000-0005-0000-0000-0000DE130000}"/>
    <cellStyle name="Calculation 3 2 2 4 11" xfId="41776" xr:uid="{00000000-0005-0000-0000-0000DF130000}"/>
    <cellStyle name="Calculation 3 2 2 4 12" xfId="45561" xr:uid="{00000000-0005-0000-0000-0000E0130000}"/>
    <cellStyle name="Calculation 3 2 2 4 2" xfId="6598" xr:uid="{00000000-0005-0000-0000-0000E1130000}"/>
    <cellStyle name="Calculation 3 2 2 4 3" xfId="11022" xr:uid="{00000000-0005-0000-0000-0000E2130000}"/>
    <cellStyle name="Calculation 3 2 2 4 4" xfId="14866" xr:uid="{00000000-0005-0000-0000-0000E3130000}"/>
    <cellStyle name="Calculation 3 2 2 4 5" xfId="18704" xr:uid="{00000000-0005-0000-0000-0000E4130000}"/>
    <cellStyle name="Calculation 3 2 2 4 6" xfId="22635" xr:uid="{00000000-0005-0000-0000-0000E5130000}"/>
    <cellStyle name="Calculation 3 2 2 4 7" xfId="26455" xr:uid="{00000000-0005-0000-0000-0000E6130000}"/>
    <cellStyle name="Calculation 3 2 2 4 8" xfId="30334" xr:uid="{00000000-0005-0000-0000-0000E7130000}"/>
    <cellStyle name="Calculation 3 2 2 4 9" xfId="33999" xr:uid="{00000000-0005-0000-0000-0000E8130000}"/>
    <cellStyle name="Calculation 3 2 2 5" xfId="4674" xr:uid="{00000000-0005-0000-0000-0000E9130000}"/>
    <cellStyle name="Calculation 3 2 2 6" xfId="9016" xr:uid="{00000000-0005-0000-0000-0000EA130000}"/>
    <cellStyle name="Calculation 3 2 2 7" xfId="12853" xr:uid="{00000000-0005-0000-0000-0000EB130000}"/>
    <cellStyle name="Calculation 3 2 2 8" xfId="16683" xr:uid="{00000000-0005-0000-0000-0000EC130000}"/>
    <cellStyle name="Calculation 3 2 2 9" xfId="20620" xr:uid="{00000000-0005-0000-0000-0000ED130000}"/>
    <cellStyle name="Calculation 3 2 20" xfId="8883" xr:uid="{00000000-0005-0000-0000-0000EE130000}"/>
    <cellStyle name="Calculation 3 2 21" xfId="8534" xr:uid="{00000000-0005-0000-0000-0000EF130000}"/>
    <cellStyle name="Calculation 3 2 22" xfId="8811" xr:uid="{00000000-0005-0000-0000-0000F0130000}"/>
    <cellStyle name="Calculation 3 2 23" xfId="20486" xr:uid="{00000000-0005-0000-0000-0000F1130000}"/>
    <cellStyle name="Calculation 3 2 24" xfId="8778" xr:uid="{00000000-0005-0000-0000-0000F2130000}"/>
    <cellStyle name="Calculation 3 2 25" xfId="12931" xr:uid="{00000000-0005-0000-0000-0000F3130000}"/>
    <cellStyle name="Calculation 3 2 26" xfId="31563" xr:uid="{00000000-0005-0000-0000-0000F4130000}"/>
    <cellStyle name="Calculation 3 2 27" xfId="8445" xr:uid="{00000000-0005-0000-0000-0000F5130000}"/>
    <cellStyle name="Calculation 3 2 28" xfId="39670" xr:uid="{00000000-0005-0000-0000-0000F6130000}"/>
    <cellStyle name="Calculation 3 2 29" xfId="40092" xr:uid="{00000000-0005-0000-0000-0000F7130000}"/>
    <cellStyle name="Calculation 3 2 3" xfId="646" xr:uid="{00000000-0005-0000-0000-0000F8130000}"/>
    <cellStyle name="Calculation 3 2 3 10" xfId="8496" xr:uid="{00000000-0005-0000-0000-0000F9130000}"/>
    <cellStyle name="Calculation 3 2 3 11" xfId="28273" xr:uid="{00000000-0005-0000-0000-0000FA130000}"/>
    <cellStyle name="Calculation 3 2 3 12" xfId="28642" xr:uid="{00000000-0005-0000-0000-0000FB130000}"/>
    <cellStyle name="Calculation 3 2 3 13" xfId="33373" xr:uid="{00000000-0005-0000-0000-0000FC130000}"/>
    <cellStyle name="Calculation 3 2 3 14" xfId="39741" xr:uid="{00000000-0005-0000-0000-0000FD130000}"/>
    <cellStyle name="Calculation 3 2 3 15" xfId="39547" xr:uid="{00000000-0005-0000-0000-0000FE130000}"/>
    <cellStyle name="Calculation 3 2 3 2" xfId="1026" xr:uid="{00000000-0005-0000-0000-0000FF130000}"/>
    <cellStyle name="Calculation 3 2 3 2 10" xfId="28637" xr:uid="{00000000-0005-0000-0000-000000140000}"/>
    <cellStyle name="Calculation 3 2 3 2 11" xfId="32325" xr:uid="{00000000-0005-0000-0000-000001140000}"/>
    <cellStyle name="Calculation 3 2 3 2 12" xfId="36084" xr:uid="{00000000-0005-0000-0000-000002140000}"/>
    <cellStyle name="Calculation 3 2 3 2 13" xfId="40089" xr:uid="{00000000-0005-0000-0000-000003140000}"/>
    <cellStyle name="Calculation 3 2 3 2 14" xfId="43910" xr:uid="{00000000-0005-0000-0000-000004140000}"/>
    <cellStyle name="Calculation 3 2 3 2 2" xfId="1755" xr:uid="{00000000-0005-0000-0000-000005140000}"/>
    <cellStyle name="Calculation 3 2 3 2 2 10" xfId="33042" xr:uid="{00000000-0005-0000-0000-000006140000}"/>
    <cellStyle name="Calculation 3 2 3 2 2 11" xfId="36812" xr:uid="{00000000-0005-0000-0000-000007140000}"/>
    <cellStyle name="Calculation 3 2 3 2 2 12" xfId="40803" xr:uid="{00000000-0005-0000-0000-000008140000}"/>
    <cellStyle name="Calculation 3 2 3 2 2 13" xfId="44634" xr:uid="{00000000-0005-0000-0000-000009140000}"/>
    <cellStyle name="Calculation 3 2 3 2 2 2" xfId="3745" xr:uid="{00000000-0005-0000-0000-00000A140000}"/>
    <cellStyle name="Calculation 3 2 3 2 2 2 10" xfId="38796" xr:uid="{00000000-0005-0000-0000-00000B140000}"/>
    <cellStyle name="Calculation 3 2 3 2 2 2 11" xfId="42807" xr:uid="{00000000-0005-0000-0000-00000C140000}"/>
    <cellStyle name="Calculation 3 2 3 2 2 2 12" xfId="46572" xr:uid="{00000000-0005-0000-0000-00000D140000}"/>
    <cellStyle name="Calculation 3 2 3 2 2 2 2" xfId="7612" xr:uid="{00000000-0005-0000-0000-00000E140000}"/>
    <cellStyle name="Calculation 3 2 3 2 2 2 3" xfId="12047" xr:uid="{00000000-0005-0000-0000-00000F140000}"/>
    <cellStyle name="Calculation 3 2 3 2 2 2 4" xfId="15892" xr:uid="{00000000-0005-0000-0000-000010140000}"/>
    <cellStyle name="Calculation 3 2 3 2 2 2 5" xfId="19739" xr:uid="{00000000-0005-0000-0000-000011140000}"/>
    <cellStyle name="Calculation 3 2 3 2 2 2 6" xfId="23655" xr:uid="{00000000-0005-0000-0000-000012140000}"/>
    <cellStyle name="Calculation 3 2 3 2 2 2 7" xfId="27489" xr:uid="{00000000-0005-0000-0000-000013140000}"/>
    <cellStyle name="Calculation 3 2 3 2 2 2 8" xfId="31353" xr:uid="{00000000-0005-0000-0000-000014140000}"/>
    <cellStyle name="Calculation 3 2 3 2 2 2 9" xfId="35010" xr:uid="{00000000-0005-0000-0000-000015140000}"/>
    <cellStyle name="Calculation 3 2 3 2 2 3" xfId="5688" xr:uid="{00000000-0005-0000-0000-000016140000}"/>
    <cellStyle name="Calculation 3 2 3 2 2 4" xfId="10046" xr:uid="{00000000-0005-0000-0000-000017140000}"/>
    <cellStyle name="Calculation 3 2 3 2 2 5" xfId="13892" xr:uid="{00000000-0005-0000-0000-000018140000}"/>
    <cellStyle name="Calculation 3 2 3 2 2 6" xfId="17721" xr:uid="{00000000-0005-0000-0000-000019140000}"/>
    <cellStyle name="Calculation 3 2 3 2 2 7" xfId="21660" xr:uid="{00000000-0005-0000-0000-00001A140000}"/>
    <cellStyle name="Calculation 3 2 3 2 2 8" xfId="25473" xr:uid="{00000000-0005-0000-0000-00001B140000}"/>
    <cellStyle name="Calculation 3 2 3 2 2 9" xfId="29360" xr:uid="{00000000-0005-0000-0000-00001C140000}"/>
    <cellStyle name="Calculation 3 2 3 2 3" xfId="3016" xr:uid="{00000000-0005-0000-0000-00001D140000}"/>
    <cellStyle name="Calculation 3 2 3 2 3 10" xfId="38068" xr:uid="{00000000-0005-0000-0000-00001E140000}"/>
    <cellStyle name="Calculation 3 2 3 2 3 11" xfId="42080" xr:uid="{00000000-0005-0000-0000-00001F140000}"/>
    <cellStyle name="Calculation 3 2 3 2 3 12" xfId="45855" xr:uid="{00000000-0005-0000-0000-000020140000}"/>
    <cellStyle name="Calculation 3 2 3 2 3 2" xfId="6894" xr:uid="{00000000-0005-0000-0000-000021140000}"/>
    <cellStyle name="Calculation 3 2 3 2 3 3" xfId="11322" xr:uid="{00000000-0005-0000-0000-000022140000}"/>
    <cellStyle name="Calculation 3 2 3 2 3 4" xfId="15167" xr:uid="{00000000-0005-0000-0000-000023140000}"/>
    <cellStyle name="Calculation 3 2 3 2 3 5" xfId="19010" xr:uid="{00000000-0005-0000-0000-000024140000}"/>
    <cellStyle name="Calculation 3 2 3 2 3 6" xfId="22934" xr:uid="{00000000-0005-0000-0000-000025140000}"/>
    <cellStyle name="Calculation 3 2 3 2 3 7" xfId="26761" xr:uid="{00000000-0005-0000-0000-000026140000}"/>
    <cellStyle name="Calculation 3 2 3 2 3 8" xfId="30635" xr:uid="{00000000-0005-0000-0000-000027140000}"/>
    <cellStyle name="Calculation 3 2 3 2 3 9" xfId="34293" xr:uid="{00000000-0005-0000-0000-000028140000}"/>
    <cellStyle name="Calculation 3 2 3 2 4" xfId="4970" xr:uid="{00000000-0005-0000-0000-000029140000}"/>
    <cellStyle name="Calculation 3 2 3 2 5" xfId="9325" xr:uid="{00000000-0005-0000-0000-00002A140000}"/>
    <cellStyle name="Calculation 3 2 3 2 6" xfId="13166" xr:uid="{00000000-0005-0000-0000-00002B140000}"/>
    <cellStyle name="Calculation 3 2 3 2 7" xfId="16992" xr:uid="{00000000-0005-0000-0000-00002C140000}"/>
    <cellStyle name="Calculation 3 2 3 2 8" xfId="20934" xr:uid="{00000000-0005-0000-0000-00002D140000}"/>
    <cellStyle name="Calculation 3 2 3 2 9" xfId="24749" xr:uid="{00000000-0005-0000-0000-00002E140000}"/>
    <cellStyle name="Calculation 3 2 3 3" xfId="1402" xr:uid="{00000000-0005-0000-0000-00002F140000}"/>
    <cellStyle name="Calculation 3 2 3 3 10" xfId="32689" xr:uid="{00000000-0005-0000-0000-000030140000}"/>
    <cellStyle name="Calculation 3 2 3 3 11" xfId="36459" xr:uid="{00000000-0005-0000-0000-000031140000}"/>
    <cellStyle name="Calculation 3 2 3 3 12" xfId="40450" xr:uid="{00000000-0005-0000-0000-000032140000}"/>
    <cellStyle name="Calculation 3 2 3 3 13" xfId="44281" xr:uid="{00000000-0005-0000-0000-000033140000}"/>
    <cellStyle name="Calculation 3 2 3 3 2" xfId="3392" xr:uid="{00000000-0005-0000-0000-000034140000}"/>
    <cellStyle name="Calculation 3 2 3 3 2 10" xfId="38443" xr:uid="{00000000-0005-0000-0000-000035140000}"/>
    <cellStyle name="Calculation 3 2 3 3 2 11" xfId="42454" xr:uid="{00000000-0005-0000-0000-000036140000}"/>
    <cellStyle name="Calculation 3 2 3 3 2 12" xfId="46219" xr:uid="{00000000-0005-0000-0000-000037140000}"/>
    <cellStyle name="Calculation 3 2 3 3 2 2" xfId="7259" xr:uid="{00000000-0005-0000-0000-000038140000}"/>
    <cellStyle name="Calculation 3 2 3 3 2 3" xfId="11694" xr:uid="{00000000-0005-0000-0000-000039140000}"/>
    <cellStyle name="Calculation 3 2 3 3 2 4" xfId="15539" xr:uid="{00000000-0005-0000-0000-00003A140000}"/>
    <cellStyle name="Calculation 3 2 3 3 2 5" xfId="19386" xr:uid="{00000000-0005-0000-0000-00003B140000}"/>
    <cellStyle name="Calculation 3 2 3 3 2 6" xfId="23302" xr:uid="{00000000-0005-0000-0000-00003C140000}"/>
    <cellStyle name="Calculation 3 2 3 3 2 7" xfId="27136" xr:uid="{00000000-0005-0000-0000-00003D140000}"/>
    <cellStyle name="Calculation 3 2 3 3 2 8" xfId="31004" xr:uid="{00000000-0005-0000-0000-00003E140000}"/>
    <cellStyle name="Calculation 3 2 3 3 2 9" xfId="34657" xr:uid="{00000000-0005-0000-0000-00003F140000}"/>
    <cellStyle name="Calculation 3 2 3 3 3" xfId="5335" xr:uid="{00000000-0005-0000-0000-000040140000}"/>
    <cellStyle name="Calculation 3 2 3 3 4" xfId="9693" xr:uid="{00000000-0005-0000-0000-000041140000}"/>
    <cellStyle name="Calculation 3 2 3 3 5" xfId="13539" xr:uid="{00000000-0005-0000-0000-000042140000}"/>
    <cellStyle name="Calculation 3 2 3 3 6" xfId="17368" xr:uid="{00000000-0005-0000-0000-000043140000}"/>
    <cellStyle name="Calculation 3 2 3 3 7" xfId="21307" xr:uid="{00000000-0005-0000-0000-000044140000}"/>
    <cellStyle name="Calculation 3 2 3 3 8" xfId="25120" xr:uid="{00000000-0005-0000-0000-000045140000}"/>
    <cellStyle name="Calculation 3 2 3 3 9" xfId="29007" xr:uid="{00000000-0005-0000-0000-000046140000}"/>
    <cellStyle name="Calculation 3 2 3 4" xfId="2649" xr:uid="{00000000-0005-0000-0000-000047140000}"/>
    <cellStyle name="Calculation 3 2 3 4 10" xfId="37701" xr:uid="{00000000-0005-0000-0000-000048140000}"/>
    <cellStyle name="Calculation 3 2 3 4 11" xfId="41715" xr:uid="{00000000-0005-0000-0000-000049140000}"/>
    <cellStyle name="Calculation 3 2 3 4 12" xfId="45502" xr:uid="{00000000-0005-0000-0000-00004A140000}"/>
    <cellStyle name="Calculation 3 2 3 4 2" xfId="6539" xr:uid="{00000000-0005-0000-0000-00004B140000}"/>
    <cellStyle name="Calculation 3 2 3 4 3" xfId="10963" xr:uid="{00000000-0005-0000-0000-00004C140000}"/>
    <cellStyle name="Calculation 3 2 3 4 4" xfId="14807" xr:uid="{00000000-0005-0000-0000-00004D140000}"/>
    <cellStyle name="Calculation 3 2 3 4 5" xfId="18643" xr:uid="{00000000-0005-0000-0000-00004E140000}"/>
    <cellStyle name="Calculation 3 2 3 4 6" xfId="22576" xr:uid="{00000000-0005-0000-0000-00004F140000}"/>
    <cellStyle name="Calculation 3 2 3 4 7" xfId="26394" xr:uid="{00000000-0005-0000-0000-000050140000}"/>
    <cellStyle name="Calculation 3 2 3 4 8" xfId="30273" xr:uid="{00000000-0005-0000-0000-000051140000}"/>
    <cellStyle name="Calculation 3 2 3 4 9" xfId="33940" xr:uid="{00000000-0005-0000-0000-000052140000}"/>
    <cellStyle name="Calculation 3 2 3 5" xfId="4615" xr:uid="{00000000-0005-0000-0000-000053140000}"/>
    <cellStyle name="Calculation 3 2 3 6" xfId="8955" xr:uid="{00000000-0005-0000-0000-000054140000}"/>
    <cellStyle name="Calculation 3 2 3 7" xfId="12794" xr:uid="{00000000-0005-0000-0000-000055140000}"/>
    <cellStyle name="Calculation 3 2 3 8" xfId="14234" xr:uid="{00000000-0005-0000-0000-000056140000}"/>
    <cellStyle name="Calculation 3 2 3 9" xfId="20559" xr:uid="{00000000-0005-0000-0000-000057140000}"/>
    <cellStyle name="Calculation 3 2 30" xfId="47384" xr:uid="{00000000-0005-0000-0000-000058140000}"/>
    <cellStyle name="Calculation 3 2 31" xfId="47470" xr:uid="{00000000-0005-0000-0000-000059140000}"/>
    <cellStyle name="Calculation 3 2 32" xfId="47519" xr:uid="{00000000-0005-0000-0000-00005A140000}"/>
    <cellStyle name="Calculation 3 2 4" xfId="815" xr:uid="{00000000-0005-0000-0000-00005B140000}"/>
    <cellStyle name="Calculation 3 2 4 10" xfId="24539" xr:uid="{00000000-0005-0000-0000-00005C140000}"/>
    <cellStyle name="Calculation 3 2 4 11" xfId="28430" xr:uid="{00000000-0005-0000-0000-00005D140000}"/>
    <cellStyle name="Calculation 3 2 4 12" xfId="32116" xr:uid="{00000000-0005-0000-0000-00005E140000}"/>
    <cellStyle name="Calculation 3 2 4 13" xfId="35873" xr:uid="{00000000-0005-0000-0000-00005F140000}"/>
    <cellStyle name="Calculation 3 2 4 14" xfId="39884" xr:uid="{00000000-0005-0000-0000-000060140000}"/>
    <cellStyle name="Calculation 3 2 4 15" xfId="43699" xr:uid="{00000000-0005-0000-0000-000061140000}"/>
    <cellStyle name="Calculation 3 2 4 2" xfId="1177" xr:uid="{00000000-0005-0000-0000-000062140000}"/>
    <cellStyle name="Calculation 3 2 4 2 10" xfId="28786" xr:uid="{00000000-0005-0000-0000-000063140000}"/>
    <cellStyle name="Calculation 3 2 4 2 11" xfId="32469" xr:uid="{00000000-0005-0000-0000-000064140000}"/>
    <cellStyle name="Calculation 3 2 4 2 12" xfId="36235" xr:uid="{00000000-0005-0000-0000-000065140000}"/>
    <cellStyle name="Calculation 3 2 4 2 13" xfId="40230" xr:uid="{00000000-0005-0000-0000-000066140000}"/>
    <cellStyle name="Calculation 3 2 4 2 14" xfId="44061" xr:uid="{00000000-0005-0000-0000-000067140000}"/>
    <cellStyle name="Calculation 3 2 4 2 2" xfId="1899" xr:uid="{00000000-0005-0000-0000-000068140000}"/>
    <cellStyle name="Calculation 3 2 4 2 2 10" xfId="33186" xr:uid="{00000000-0005-0000-0000-000069140000}"/>
    <cellStyle name="Calculation 3 2 4 2 2 11" xfId="36956" xr:uid="{00000000-0005-0000-0000-00006A140000}"/>
    <cellStyle name="Calculation 3 2 4 2 2 12" xfId="40947" xr:uid="{00000000-0005-0000-0000-00006B140000}"/>
    <cellStyle name="Calculation 3 2 4 2 2 13" xfId="44778" xr:uid="{00000000-0005-0000-0000-00006C140000}"/>
    <cellStyle name="Calculation 3 2 4 2 2 2" xfId="3889" xr:uid="{00000000-0005-0000-0000-00006D140000}"/>
    <cellStyle name="Calculation 3 2 4 2 2 2 10" xfId="38940" xr:uid="{00000000-0005-0000-0000-00006E140000}"/>
    <cellStyle name="Calculation 3 2 4 2 2 2 11" xfId="42951" xr:uid="{00000000-0005-0000-0000-00006F140000}"/>
    <cellStyle name="Calculation 3 2 4 2 2 2 12" xfId="46716" xr:uid="{00000000-0005-0000-0000-000070140000}"/>
    <cellStyle name="Calculation 3 2 4 2 2 2 2" xfId="7756" xr:uid="{00000000-0005-0000-0000-000071140000}"/>
    <cellStyle name="Calculation 3 2 4 2 2 2 3" xfId="12191" xr:uid="{00000000-0005-0000-0000-000072140000}"/>
    <cellStyle name="Calculation 3 2 4 2 2 2 4" xfId="16036" xr:uid="{00000000-0005-0000-0000-000073140000}"/>
    <cellStyle name="Calculation 3 2 4 2 2 2 5" xfId="19883" xr:uid="{00000000-0005-0000-0000-000074140000}"/>
    <cellStyle name="Calculation 3 2 4 2 2 2 6" xfId="23799" xr:uid="{00000000-0005-0000-0000-000075140000}"/>
    <cellStyle name="Calculation 3 2 4 2 2 2 7" xfId="27633" xr:uid="{00000000-0005-0000-0000-000076140000}"/>
    <cellStyle name="Calculation 3 2 4 2 2 2 8" xfId="31496" xr:uid="{00000000-0005-0000-0000-000077140000}"/>
    <cellStyle name="Calculation 3 2 4 2 2 2 9" xfId="35154" xr:uid="{00000000-0005-0000-0000-000078140000}"/>
    <cellStyle name="Calculation 3 2 4 2 2 3" xfId="5832" xr:uid="{00000000-0005-0000-0000-000079140000}"/>
    <cellStyle name="Calculation 3 2 4 2 2 4" xfId="10190" xr:uid="{00000000-0005-0000-0000-00007A140000}"/>
    <cellStyle name="Calculation 3 2 4 2 2 5" xfId="14036" xr:uid="{00000000-0005-0000-0000-00007B140000}"/>
    <cellStyle name="Calculation 3 2 4 2 2 6" xfId="17865" xr:uid="{00000000-0005-0000-0000-00007C140000}"/>
    <cellStyle name="Calculation 3 2 4 2 2 7" xfId="21804" xr:uid="{00000000-0005-0000-0000-00007D140000}"/>
    <cellStyle name="Calculation 3 2 4 2 2 8" xfId="25617" xr:uid="{00000000-0005-0000-0000-00007E140000}"/>
    <cellStyle name="Calculation 3 2 4 2 2 9" xfId="29504" xr:uid="{00000000-0005-0000-0000-00007F140000}"/>
    <cellStyle name="Calculation 3 2 4 2 3" xfId="3167" xr:uid="{00000000-0005-0000-0000-000080140000}"/>
    <cellStyle name="Calculation 3 2 4 2 3 10" xfId="38219" xr:uid="{00000000-0005-0000-0000-000081140000}"/>
    <cellStyle name="Calculation 3 2 4 2 3 11" xfId="42230" xr:uid="{00000000-0005-0000-0000-000082140000}"/>
    <cellStyle name="Calculation 3 2 4 2 3 12" xfId="45999" xr:uid="{00000000-0005-0000-0000-000083140000}"/>
    <cellStyle name="Calculation 3 2 4 2 3 2" xfId="7039" xr:uid="{00000000-0005-0000-0000-000084140000}"/>
    <cellStyle name="Calculation 3 2 4 2 3 3" xfId="11471" xr:uid="{00000000-0005-0000-0000-000085140000}"/>
    <cellStyle name="Calculation 3 2 4 2 3 4" xfId="15315" xr:uid="{00000000-0005-0000-0000-000086140000}"/>
    <cellStyle name="Calculation 3 2 4 2 3 5" xfId="19161" xr:uid="{00000000-0005-0000-0000-000087140000}"/>
    <cellStyle name="Calculation 3 2 4 2 3 6" xfId="23080" xr:uid="{00000000-0005-0000-0000-000088140000}"/>
    <cellStyle name="Calculation 3 2 4 2 3 7" xfId="26912" xr:uid="{00000000-0005-0000-0000-000089140000}"/>
    <cellStyle name="Calculation 3 2 4 2 3 8" xfId="30784" xr:uid="{00000000-0005-0000-0000-00008A140000}"/>
    <cellStyle name="Calculation 3 2 4 2 3 9" xfId="34437" xr:uid="{00000000-0005-0000-0000-00008B140000}"/>
    <cellStyle name="Calculation 3 2 4 2 4" xfId="5115" xr:uid="{00000000-0005-0000-0000-00008C140000}"/>
    <cellStyle name="Calculation 3 2 4 2 5" xfId="9471" xr:uid="{00000000-0005-0000-0000-00008D140000}"/>
    <cellStyle name="Calculation 3 2 4 2 6" xfId="13315" xr:uid="{00000000-0005-0000-0000-00008E140000}"/>
    <cellStyle name="Calculation 3 2 4 2 7" xfId="17143" xr:uid="{00000000-0005-0000-0000-00008F140000}"/>
    <cellStyle name="Calculation 3 2 4 2 8" xfId="21085" xr:uid="{00000000-0005-0000-0000-000090140000}"/>
    <cellStyle name="Calculation 3 2 4 2 9" xfId="24896" xr:uid="{00000000-0005-0000-0000-000091140000}"/>
    <cellStyle name="Calculation 3 2 4 3" xfId="1546" xr:uid="{00000000-0005-0000-0000-000092140000}"/>
    <cellStyle name="Calculation 3 2 4 3 10" xfId="32833" xr:uid="{00000000-0005-0000-0000-000093140000}"/>
    <cellStyle name="Calculation 3 2 4 3 11" xfId="36603" xr:uid="{00000000-0005-0000-0000-000094140000}"/>
    <cellStyle name="Calculation 3 2 4 3 12" xfId="40594" xr:uid="{00000000-0005-0000-0000-000095140000}"/>
    <cellStyle name="Calculation 3 2 4 3 13" xfId="44425" xr:uid="{00000000-0005-0000-0000-000096140000}"/>
    <cellStyle name="Calculation 3 2 4 3 2" xfId="3536" xr:uid="{00000000-0005-0000-0000-000097140000}"/>
    <cellStyle name="Calculation 3 2 4 3 2 10" xfId="38587" xr:uid="{00000000-0005-0000-0000-000098140000}"/>
    <cellStyle name="Calculation 3 2 4 3 2 11" xfId="42598" xr:uid="{00000000-0005-0000-0000-000099140000}"/>
    <cellStyle name="Calculation 3 2 4 3 2 12" xfId="46363" xr:uid="{00000000-0005-0000-0000-00009A140000}"/>
    <cellStyle name="Calculation 3 2 4 3 2 2" xfId="7403" xr:uid="{00000000-0005-0000-0000-00009B140000}"/>
    <cellStyle name="Calculation 3 2 4 3 2 3" xfId="11838" xr:uid="{00000000-0005-0000-0000-00009C140000}"/>
    <cellStyle name="Calculation 3 2 4 3 2 4" xfId="15683" xr:uid="{00000000-0005-0000-0000-00009D140000}"/>
    <cellStyle name="Calculation 3 2 4 3 2 5" xfId="19530" xr:uid="{00000000-0005-0000-0000-00009E140000}"/>
    <cellStyle name="Calculation 3 2 4 3 2 6" xfId="23446" xr:uid="{00000000-0005-0000-0000-00009F140000}"/>
    <cellStyle name="Calculation 3 2 4 3 2 7" xfId="27280" xr:uid="{00000000-0005-0000-0000-0000A0140000}"/>
    <cellStyle name="Calculation 3 2 4 3 2 8" xfId="31147" xr:uid="{00000000-0005-0000-0000-0000A1140000}"/>
    <cellStyle name="Calculation 3 2 4 3 2 9" xfId="34801" xr:uid="{00000000-0005-0000-0000-0000A2140000}"/>
    <cellStyle name="Calculation 3 2 4 3 3" xfId="5479" xr:uid="{00000000-0005-0000-0000-0000A3140000}"/>
    <cellStyle name="Calculation 3 2 4 3 4" xfId="9837" xr:uid="{00000000-0005-0000-0000-0000A4140000}"/>
    <cellStyle name="Calculation 3 2 4 3 5" xfId="13683" xr:uid="{00000000-0005-0000-0000-0000A5140000}"/>
    <cellStyle name="Calculation 3 2 4 3 6" xfId="17512" xr:uid="{00000000-0005-0000-0000-0000A6140000}"/>
    <cellStyle name="Calculation 3 2 4 3 7" xfId="21451" xr:uid="{00000000-0005-0000-0000-0000A7140000}"/>
    <cellStyle name="Calculation 3 2 4 3 8" xfId="25264" xr:uid="{00000000-0005-0000-0000-0000A8140000}"/>
    <cellStyle name="Calculation 3 2 4 3 9" xfId="29151" xr:uid="{00000000-0005-0000-0000-0000A9140000}"/>
    <cellStyle name="Calculation 3 2 4 4" xfId="2805" xr:uid="{00000000-0005-0000-0000-0000AA140000}"/>
    <cellStyle name="Calculation 3 2 4 4 10" xfId="37857" xr:uid="{00000000-0005-0000-0000-0000AB140000}"/>
    <cellStyle name="Calculation 3 2 4 4 11" xfId="41869" xr:uid="{00000000-0005-0000-0000-0000AC140000}"/>
    <cellStyle name="Calculation 3 2 4 4 12" xfId="45646" xr:uid="{00000000-0005-0000-0000-0000AD140000}"/>
    <cellStyle name="Calculation 3 2 4 4 2" xfId="6685" xr:uid="{00000000-0005-0000-0000-0000AE140000}"/>
    <cellStyle name="Calculation 3 2 4 4 3" xfId="11112" xr:uid="{00000000-0005-0000-0000-0000AF140000}"/>
    <cellStyle name="Calculation 3 2 4 4 4" xfId="14957" xr:uid="{00000000-0005-0000-0000-0000B0140000}"/>
    <cellStyle name="Calculation 3 2 4 4 5" xfId="18799" xr:uid="{00000000-0005-0000-0000-0000B1140000}"/>
    <cellStyle name="Calculation 3 2 4 4 6" xfId="22725" xr:uid="{00000000-0005-0000-0000-0000B2140000}"/>
    <cellStyle name="Calculation 3 2 4 4 7" xfId="26550" xr:uid="{00000000-0005-0000-0000-0000B3140000}"/>
    <cellStyle name="Calculation 3 2 4 4 8" xfId="30428" xr:uid="{00000000-0005-0000-0000-0000B4140000}"/>
    <cellStyle name="Calculation 3 2 4 4 9" xfId="34084" xr:uid="{00000000-0005-0000-0000-0000B5140000}"/>
    <cellStyle name="Calculation 3 2 4 5" xfId="4761" xr:uid="{00000000-0005-0000-0000-0000B6140000}"/>
    <cellStyle name="Calculation 3 2 4 6" xfId="9115" xr:uid="{00000000-0005-0000-0000-0000B7140000}"/>
    <cellStyle name="Calculation 3 2 4 7" xfId="12956" xr:uid="{00000000-0005-0000-0000-0000B8140000}"/>
    <cellStyle name="Calculation 3 2 4 8" xfId="16781" xr:uid="{00000000-0005-0000-0000-0000B9140000}"/>
    <cellStyle name="Calculation 3 2 4 9" xfId="20723" xr:uid="{00000000-0005-0000-0000-0000BA140000}"/>
    <cellStyle name="Calculation 3 2 5" xfId="907" xr:uid="{00000000-0005-0000-0000-0000BB140000}"/>
    <cellStyle name="Calculation 3 2 5 10" xfId="24631" xr:uid="{00000000-0005-0000-0000-0000BC140000}"/>
    <cellStyle name="Calculation 3 2 5 11" xfId="28521" xr:uid="{00000000-0005-0000-0000-0000BD140000}"/>
    <cellStyle name="Calculation 3 2 5 12" xfId="32208" xr:uid="{00000000-0005-0000-0000-0000BE140000}"/>
    <cellStyle name="Calculation 3 2 5 13" xfId="35965" xr:uid="{00000000-0005-0000-0000-0000BF140000}"/>
    <cellStyle name="Calculation 3 2 5 14" xfId="39975" xr:uid="{00000000-0005-0000-0000-0000C0140000}"/>
    <cellStyle name="Calculation 3 2 5 15" xfId="43791" xr:uid="{00000000-0005-0000-0000-0000C1140000}"/>
    <cellStyle name="Calculation 3 2 5 2" xfId="1244" xr:uid="{00000000-0005-0000-0000-0000C2140000}"/>
    <cellStyle name="Calculation 3 2 5 2 10" xfId="28852" xr:uid="{00000000-0005-0000-0000-0000C3140000}"/>
    <cellStyle name="Calculation 3 2 5 2 11" xfId="32536" xr:uid="{00000000-0005-0000-0000-0000C4140000}"/>
    <cellStyle name="Calculation 3 2 5 2 12" xfId="36302" xr:uid="{00000000-0005-0000-0000-0000C5140000}"/>
    <cellStyle name="Calculation 3 2 5 2 13" xfId="40295" xr:uid="{00000000-0005-0000-0000-0000C6140000}"/>
    <cellStyle name="Calculation 3 2 5 2 14" xfId="44128" xr:uid="{00000000-0005-0000-0000-0000C7140000}"/>
    <cellStyle name="Calculation 3 2 5 2 2" xfId="1966" xr:uid="{00000000-0005-0000-0000-0000C8140000}"/>
    <cellStyle name="Calculation 3 2 5 2 2 10" xfId="33253" xr:uid="{00000000-0005-0000-0000-0000C9140000}"/>
    <cellStyle name="Calculation 3 2 5 2 2 11" xfId="37023" xr:uid="{00000000-0005-0000-0000-0000CA140000}"/>
    <cellStyle name="Calculation 3 2 5 2 2 12" xfId="41014" xr:uid="{00000000-0005-0000-0000-0000CB140000}"/>
    <cellStyle name="Calculation 3 2 5 2 2 13" xfId="44845" xr:uid="{00000000-0005-0000-0000-0000CC140000}"/>
    <cellStyle name="Calculation 3 2 5 2 2 2" xfId="3956" xr:uid="{00000000-0005-0000-0000-0000CD140000}"/>
    <cellStyle name="Calculation 3 2 5 2 2 2 10" xfId="39007" xr:uid="{00000000-0005-0000-0000-0000CE140000}"/>
    <cellStyle name="Calculation 3 2 5 2 2 2 11" xfId="43018" xr:uid="{00000000-0005-0000-0000-0000CF140000}"/>
    <cellStyle name="Calculation 3 2 5 2 2 2 12" xfId="46783" xr:uid="{00000000-0005-0000-0000-0000D0140000}"/>
    <cellStyle name="Calculation 3 2 5 2 2 2 2" xfId="7823" xr:uid="{00000000-0005-0000-0000-0000D1140000}"/>
    <cellStyle name="Calculation 3 2 5 2 2 2 3" xfId="12258" xr:uid="{00000000-0005-0000-0000-0000D2140000}"/>
    <cellStyle name="Calculation 3 2 5 2 2 2 4" xfId="16103" xr:uid="{00000000-0005-0000-0000-0000D3140000}"/>
    <cellStyle name="Calculation 3 2 5 2 2 2 5" xfId="19950" xr:uid="{00000000-0005-0000-0000-0000D4140000}"/>
    <cellStyle name="Calculation 3 2 5 2 2 2 6" xfId="23866" xr:uid="{00000000-0005-0000-0000-0000D5140000}"/>
    <cellStyle name="Calculation 3 2 5 2 2 2 7" xfId="27700" xr:uid="{00000000-0005-0000-0000-0000D6140000}"/>
    <cellStyle name="Calculation 3 2 5 2 2 2 8" xfId="31561" xr:uid="{00000000-0005-0000-0000-0000D7140000}"/>
    <cellStyle name="Calculation 3 2 5 2 2 2 9" xfId="35221" xr:uid="{00000000-0005-0000-0000-0000D8140000}"/>
    <cellStyle name="Calculation 3 2 5 2 2 3" xfId="5899" xr:uid="{00000000-0005-0000-0000-0000D9140000}"/>
    <cellStyle name="Calculation 3 2 5 2 2 4" xfId="10257" xr:uid="{00000000-0005-0000-0000-0000DA140000}"/>
    <cellStyle name="Calculation 3 2 5 2 2 5" xfId="14103" xr:uid="{00000000-0005-0000-0000-0000DB140000}"/>
    <cellStyle name="Calculation 3 2 5 2 2 6" xfId="17932" xr:uid="{00000000-0005-0000-0000-0000DC140000}"/>
    <cellStyle name="Calculation 3 2 5 2 2 7" xfId="21871" xr:uid="{00000000-0005-0000-0000-0000DD140000}"/>
    <cellStyle name="Calculation 3 2 5 2 2 8" xfId="25684" xr:uid="{00000000-0005-0000-0000-0000DE140000}"/>
    <cellStyle name="Calculation 3 2 5 2 2 9" xfId="29571" xr:uid="{00000000-0005-0000-0000-0000DF140000}"/>
    <cellStyle name="Calculation 3 2 5 2 3" xfId="3234" xr:uid="{00000000-0005-0000-0000-0000E0140000}"/>
    <cellStyle name="Calculation 3 2 5 2 3 10" xfId="38286" xr:uid="{00000000-0005-0000-0000-0000E1140000}"/>
    <cellStyle name="Calculation 3 2 5 2 3 11" xfId="42297" xr:uid="{00000000-0005-0000-0000-0000E2140000}"/>
    <cellStyle name="Calculation 3 2 5 2 3 12" xfId="46066" xr:uid="{00000000-0005-0000-0000-0000E3140000}"/>
    <cellStyle name="Calculation 3 2 5 2 3 2" xfId="7106" xr:uid="{00000000-0005-0000-0000-0000E4140000}"/>
    <cellStyle name="Calculation 3 2 5 2 3 3" xfId="11538" xr:uid="{00000000-0005-0000-0000-0000E5140000}"/>
    <cellStyle name="Calculation 3 2 5 2 3 4" xfId="15382" xr:uid="{00000000-0005-0000-0000-0000E6140000}"/>
    <cellStyle name="Calculation 3 2 5 2 3 5" xfId="19228" xr:uid="{00000000-0005-0000-0000-0000E7140000}"/>
    <cellStyle name="Calculation 3 2 5 2 3 6" xfId="23147" xr:uid="{00000000-0005-0000-0000-0000E8140000}"/>
    <cellStyle name="Calculation 3 2 5 2 3 7" xfId="26979" xr:uid="{00000000-0005-0000-0000-0000E9140000}"/>
    <cellStyle name="Calculation 3 2 5 2 3 8" xfId="30849" xr:uid="{00000000-0005-0000-0000-0000EA140000}"/>
    <cellStyle name="Calculation 3 2 5 2 3 9" xfId="34504" xr:uid="{00000000-0005-0000-0000-0000EB140000}"/>
    <cellStyle name="Calculation 3 2 5 2 4" xfId="5182" xr:uid="{00000000-0005-0000-0000-0000EC140000}"/>
    <cellStyle name="Calculation 3 2 5 2 5" xfId="9538" xr:uid="{00000000-0005-0000-0000-0000ED140000}"/>
    <cellStyle name="Calculation 3 2 5 2 6" xfId="13382" xr:uid="{00000000-0005-0000-0000-0000EE140000}"/>
    <cellStyle name="Calculation 3 2 5 2 7" xfId="17210" xr:uid="{00000000-0005-0000-0000-0000EF140000}"/>
    <cellStyle name="Calculation 3 2 5 2 8" xfId="21152" xr:uid="{00000000-0005-0000-0000-0000F0140000}"/>
    <cellStyle name="Calculation 3 2 5 2 9" xfId="24963" xr:uid="{00000000-0005-0000-0000-0000F1140000}"/>
    <cellStyle name="Calculation 3 2 5 3" xfId="1638" xr:uid="{00000000-0005-0000-0000-0000F2140000}"/>
    <cellStyle name="Calculation 3 2 5 3 10" xfId="32925" xr:uid="{00000000-0005-0000-0000-0000F3140000}"/>
    <cellStyle name="Calculation 3 2 5 3 11" xfId="36695" xr:uid="{00000000-0005-0000-0000-0000F4140000}"/>
    <cellStyle name="Calculation 3 2 5 3 12" xfId="40686" xr:uid="{00000000-0005-0000-0000-0000F5140000}"/>
    <cellStyle name="Calculation 3 2 5 3 13" xfId="44517" xr:uid="{00000000-0005-0000-0000-0000F6140000}"/>
    <cellStyle name="Calculation 3 2 5 3 2" xfId="3628" xr:uid="{00000000-0005-0000-0000-0000F7140000}"/>
    <cellStyle name="Calculation 3 2 5 3 2 10" xfId="38679" xr:uid="{00000000-0005-0000-0000-0000F8140000}"/>
    <cellStyle name="Calculation 3 2 5 3 2 11" xfId="42690" xr:uid="{00000000-0005-0000-0000-0000F9140000}"/>
    <cellStyle name="Calculation 3 2 5 3 2 12" xfId="46455" xr:uid="{00000000-0005-0000-0000-0000FA140000}"/>
    <cellStyle name="Calculation 3 2 5 3 2 2" xfId="7495" xr:uid="{00000000-0005-0000-0000-0000FB140000}"/>
    <cellStyle name="Calculation 3 2 5 3 2 3" xfId="11930" xr:uid="{00000000-0005-0000-0000-0000FC140000}"/>
    <cellStyle name="Calculation 3 2 5 3 2 4" xfId="15775" xr:uid="{00000000-0005-0000-0000-0000FD140000}"/>
    <cellStyle name="Calculation 3 2 5 3 2 5" xfId="19622" xr:uid="{00000000-0005-0000-0000-0000FE140000}"/>
    <cellStyle name="Calculation 3 2 5 3 2 6" xfId="23538" xr:uid="{00000000-0005-0000-0000-0000FF140000}"/>
    <cellStyle name="Calculation 3 2 5 3 2 7" xfId="27372" xr:uid="{00000000-0005-0000-0000-000000150000}"/>
    <cellStyle name="Calculation 3 2 5 3 2 8" xfId="31237" xr:uid="{00000000-0005-0000-0000-000001150000}"/>
    <cellStyle name="Calculation 3 2 5 3 2 9" xfId="34893" xr:uid="{00000000-0005-0000-0000-000002150000}"/>
    <cellStyle name="Calculation 3 2 5 3 3" xfId="5571" xr:uid="{00000000-0005-0000-0000-000003150000}"/>
    <cellStyle name="Calculation 3 2 5 3 4" xfId="9929" xr:uid="{00000000-0005-0000-0000-000004150000}"/>
    <cellStyle name="Calculation 3 2 5 3 5" xfId="13775" xr:uid="{00000000-0005-0000-0000-000005150000}"/>
    <cellStyle name="Calculation 3 2 5 3 6" xfId="17604" xr:uid="{00000000-0005-0000-0000-000006150000}"/>
    <cellStyle name="Calculation 3 2 5 3 7" xfId="21543" xr:uid="{00000000-0005-0000-0000-000007150000}"/>
    <cellStyle name="Calculation 3 2 5 3 8" xfId="25356" xr:uid="{00000000-0005-0000-0000-000008150000}"/>
    <cellStyle name="Calculation 3 2 5 3 9" xfId="29243" xr:uid="{00000000-0005-0000-0000-000009150000}"/>
    <cellStyle name="Calculation 3 2 5 4" xfId="2897" xr:uid="{00000000-0005-0000-0000-00000A150000}"/>
    <cellStyle name="Calculation 3 2 5 4 10" xfId="37949" xr:uid="{00000000-0005-0000-0000-00000B150000}"/>
    <cellStyle name="Calculation 3 2 5 4 11" xfId="41961" xr:uid="{00000000-0005-0000-0000-00000C150000}"/>
    <cellStyle name="Calculation 3 2 5 4 12" xfId="45738" xr:uid="{00000000-0005-0000-0000-00000D150000}"/>
    <cellStyle name="Calculation 3 2 5 4 2" xfId="6777" xr:uid="{00000000-0005-0000-0000-00000E150000}"/>
    <cellStyle name="Calculation 3 2 5 4 3" xfId="11204" xr:uid="{00000000-0005-0000-0000-00000F150000}"/>
    <cellStyle name="Calculation 3 2 5 4 4" xfId="15049" xr:uid="{00000000-0005-0000-0000-000010150000}"/>
    <cellStyle name="Calculation 3 2 5 4 5" xfId="18891" xr:uid="{00000000-0005-0000-0000-000011150000}"/>
    <cellStyle name="Calculation 3 2 5 4 6" xfId="22817" xr:uid="{00000000-0005-0000-0000-000012150000}"/>
    <cellStyle name="Calculation 3 2 5 4 7" xfId="26642" xr:uid="{00000000-0005-0000-0000-000013150000}"/>
    <cellStyle name="Calculation 3 2 5 4 8" xfId="30518" xr:uid="{00000000-0005-0000-0000-000014150000}"/>
    <cellStyle name="Calculation 3 2 5 4 9" xfId="34176" xr:uid="{00000000-0005-0000-0000-000015150000}"/>
    <cellStyle name="Calculation 3 2 5 5" xfId="4853" xr:uid="{00000000-0005-0000-0000-000016150000}"/>
    <cellStyle name="Calculation 3 2 5 6" xfId="9207" xr:uid="{00000000-0005-0000-0000-000017150000}"/>
    <cellStyle name="Calculation 3 2 5 7" xfId="13048" xr:uid="{00000000-0005-0000-0000-000018150000}"/>
    <cellStyle name="Calculation 3 2 5 8" xfId="16873" xr:uid="{00000000-0005-0000-0000-000019150000}"/>
    <cellStyle name="Calculation 3 2 5 9" xfId="20815" xr:uid="{00000000-0005-0000-0000-00001A150000}"/>
    <cellStyle name="Calculation 3 2 6" xfId="953" xr:uid="{00000000-0005-0000-0000-00001B150000}"/>
    <cellStyle name="Calculation 3 2 6 10" xfId="28565" xr:uid="{00000000-0005-0000-0000-00001C150000}"/>
    <cellStyle name="Calculation 3 2 6 11" xfId="32254" xr:uid="{00000000-0005-0000-0000-00001D150000}"/>
    <cellStyle name="Calculation 3 2 6 12" xfId="36011" xr:uid="{00000000-0005-0000-0000-00001E150000}"/>
    <cellStyle name="Calculation 3 2 6 13" xfId="40019" xr:uid="{00000000-0005-0000-0000-00001F150000}"/>
    <cellStyle name="Calculation 3 2 6 14" xfId="43837" xr:uid="{00000000-0005-0000-0000-000020150000}"/>
    <cellStyle name="Calculation 3 2 6 2" xfId="1684" xr:uid="{00000000-0005-0000-0000-000021150000}"/>
    <cellStyle name="Calculation 3 2 6 2 10" xfId="32971" xr:uid="{00000000-0005-0000-0000-000022150000}"/>
    <cellStyle name="Calculation 3 2 6 2 11" xfId="36741" xr:uid="{00000000-0005-0000-0000-000023150000}"/>
    <cellStyle name="Calculation 3 2 6 2 12" xfId="40732" xr:uid="{00000000-0005-0000-0000-000024150000}"/>
    <cellStyle name="Calculation 3 2 6 2 13" xfId="44563" xr:uid="{00000000-0005-0000-0000-000025150000}"/>
    <cellStyle name="Calculation 3 2 6 2 2" xfId="3674" xr:uid="{00000000-0005-0000-0000-000026150000}"/>
    <cellStyle name="Calculation 3 2 6 2 2 10" xfId="38725" xr:uid="{00000000-0005-0000-0000-000027150000}"/>
    <cellStyle name="Calculation 3 2 6 2 2 11" xfId="42736" xr:uid="{00000000-0005-0000-0000-000028150000}"/>
    <cellStyle name="Calculation 3 2 6 2 2 12" xfId="46501" xr:uid="{00000000-0005-0000-0000-000029150000}"/>
    <cellStyle name="Calculation 3 2 6 2 2 2" xfId="7541" xr:uid="{00000000-0005-0000-0000-00002A150000}"/>
    <cellStyle name="Calculation 3 2 6 2 2 3" xfId="11976" xr:uid="{00000000-0005-0000-0000-00002B150000}"/>
    <cellStyle name="Calculation 3 2 6 2 2 4" xfId="15821" xr:uid="{00000000-0005-0000-0000-00002C150000}"/>
    <cellStyle name="Calculation 3 2 6 2 2 5" xfId="19668" xr:uid="{00000000-0005-0000-0000-00002D150000}"/>
    <cellStyle name="Calculation 3 2 6 2 2 6" xfId="23584" xr:uid="{00000000-0005-0000-0000-00002E150000}"/>
    <cellStyle name="Calculation 3 2 6 2 2 7" xfId="27418" xr:uid="{00000000-0005-0000-0000-00002F150000}"/>
    <cellStyle name="Calculation 3 2 6 2 2 8" xfId="31282" xr:uid="{00000000-0005-0000-0000-000030150000}"/>
    <cellStyle name="Calculation 3 2 6 2 2 9" xfId="34939" xr:uid="{00000000-0005-0000-0000-000031150000}"/>
    <cellStyle name="Calculation 3 2 6 2 3" xfId="5617" xr:uid="{00000000-0005-0000-0000-000032150000}"/>
    <cellStyle name="Calculation 3 2 6 2 4" xfId="9975" xr:uid="{00000000-0005-0000-0000-000033150000}"/>
    <cellStyle name="Calculation 3 2 6 2 5" xfId="13821" xr:uid="{00000000-0005-0000-0000-000034150000}"/>
    <cellStyle name="Calculation 3 2 6 2 6" xfId="17650" xr:uid="{00000000-0005-0000-0000-000035150000}"/>
    <cellStyle name="Calculation 3 2 6 2 7" xfId="21589" xr:uid="{00000000-0005-0000-0000-000036150000}"/>
    <cellStyle name="Calculation 3 2 6 2 8" xfId="25402" xr:uid="{00000000-0005-0000-0000-000037150000}"/>
    <cellStyle name="Calculation 3 2 6 2 9" xfId="29289" xr:uid="{00000000-0005-0000-0000-000038150000}"/>
    <cellStyle name="Calculation 3 2 6 3" xfId="2943" xr:uid="{00000000-0005-0000-0000-000039150000}"/>
    <cellStyle name="Calculation 3 2 6 3 10" xfId="37995" xr:uid="{00000000-0005-0000-0000-00003A150000}"/>
    <cellStyle name="Calculation 3 2 6 3 11" xfId="42007" xr:uid="{00000000-0005-0000-0000-00003B150000}"/>
    <cellStyle name="Calculation 3 2 6 3 12" xfId="45784" xr:uid="{00000000-0005-0000-0000-00003C150000}"/>
    <cellStyle name="Calculation 3 2 6 3 2" xfId="6823" xr:uid="{00000000-0005-0000-0000-00003D150000}"/>
    <cellStyle name="Calculation 3 2 6 3 3" xfId="11250" xr:uid="{00000000-0005-0000-0000-00003E150000}"/>
    <cellStyle name="Calculation 3 2 6 3 4" xfId="15095" xr:uid="{00000000-0005-0000-0000-00003F150000}"/>
    <cellStyle name="Calculation 3 2 6 3 5" xfId="18937" xr:uid="{00000000-0005-0000-0000-000040150000}"/>
    <cellStyle name="Calculation 3 2 6 3 6" xfId="22863" xr:uid="{00000000-0005-0000-0000-000041150000}"/>
    <cellStyle name="Calculation 3 2 6 3 7" xfId="26688" xr:uid="{00000000-0005-0000-0000-000042150000}"/>
    <cellStyle name="Calculation 3 2 6 3 8" xfId="30563" xr:uid="{00000000-0005-0000-0000-000043150000}"/>
    <cellStyle name="Calculation 3 2 6 3 9" xfId="34222" xr:uid="{00000000-0005-0000-0000-000044150000}"/>
    <cellStyle name="Calculation 3 2 6 4" xfId="4899" xr:uid="{00000000-0005-0000-0000-000045150000}"/>
    <cellStyle name="Calculation 3 2 6 5" xfId="9253" xr:uid="{00000000-0005-0000-0000-000046150000}"/>
    <cellStyle name="Calculation 3 2 6 6" xfId="13094" xr:uid="{00000000-0005-0000-0000-000047150000}"/>
    <cellStyle name="Calculation 3 2 6 7" xfId="16919" xr:uid="{00000000-0005-0000-0000-000048150000}"/>
    <cellStyle name="Calculation 3 2 6 8" xfId="20861" xr:uid="{00000000-0005-0000-0000-000049150000}"/>
    <cellStyle name="Calculation 3 2 6 9" xfId="24677" xr:uid="{00000000-0005-0000-0000-00004A150000}"/>
    <cellStyle name="Calculation 3 2 7" xfId="1331" xr:uid="{00000000-0005-0000-0000-00004B150000}"/>
    <cellStyle name="Calculation 3 2 7 10" xfId="32618" xr:uid="{00000000-0005-0000-0000-00004C150000}"/>
    <cellStyle name="Calculation 3 2 7 11" xfId="36388" xr:uid="{00000000-0005-0000-0000-00004D150000}"/>
    <cellStyle name="Calculation 3 2 7 12" xfId="40379" xr:uid="{00000000-0005-0000-0000-00004E150000}"/>
    <cellStyle name="Calculation 3 2 7 13" xfId="44210" xr:uid="{00000000-0005-0000-0000-00004F150000}"/>
    <cellStyle name="Calculation 3 2 7 2" xfId="3321" xr:uid="{00000000-0005-0000-0000-000050150000}"/>
    <cellStyle name="Calculation 3 2 7 2 10" xfId="38372" xr:uid="{00000000-0005-0000-0000-000051150000}"/>
    <cellStyle name="Calculation 3 2 7 2 11" xfId="42383" xr:uid="{00000000-0005-0000-0000-000052150000}"/>
    <cellStyle name="Calculation 3 2 7 2 12" xfId="46148" xr:uid="{00000000-0005-0000-0000-000053150000}"/>
    <cellStyle name="Calculation 3 2 7 2 2" xfId="7188" xr:uid="{00000000-0005-0000-0000-000054150000}"/>
    <cellStyle name="Calculation 3 2 7 2 3" xfId="11623" xr:uid="{00000000-0005-0000-0000-000055150000}"/>
    <cellStyle name="Calculation 3 2 7 2 4" xfId="15468" xr:uid="{00000000-0005-0000-0000-000056150000}"/>
    <cellStyle name="Calculation 3 2 7 2 5" xfId="19315" xr:uid="{00000000-0005-0000-0000-000057150000}"/>
    <cellStyle name="Calculation 3 2 7 2 6" xfId="23231" xr:uid="{00000000-0005-0000-0000-000058150000}"/>
    <cellStyle name="Calculation 3 2 7 2 7" xfId="27065" xr:uid="{00000000-0005-0000-0000-000059150000}"/>
    <cellStyle name="Calculation 3 2 7 2 8" xfId="30934" xr:uid="{00000000-0005-0000-0000-00005A150000}"/>
    <cellStyle name="Calculation 3 2 7 2 9" xfId="34586" xr:uid="{00000000-0005-0000-0000-00005B150000}"/>
    <cellStyle name="Calculation 3 2 7 3" xfId="5264" xr:uid="{00000000-0005-0000-0000-00005C150000}"/>
    <cellStyle name="Calculation 3 2 7 4" xfId="9622" xr:uid="{00000000-0005-0000-0000-00005D150000}"/>
    <cellStyle name="Calculation 3 2 7 5" xfId="13468" xr:uid="{00000000-0005-0000-0000-00005E150000}"/>
    <cellStyle name="Calculation 3 2 7 6" xfId="17297" xr:uid="{00000000-0005-0000-0000-00005F150000}"/>
    <cellStyle name="Calculation 3 2 7 7" xfId="21236" xr:uid="{00000000-0005-0000-0000-000060150000}"/>
    <cellStyle name="Calculation 3 2 7 8" xfId="25049" xr:uid="{00000000-0005-0000-0000-000061150000}"/>
    <cellStyle name="Calculation 3 2 7 9" xfId="28936" xr:uid="{00000000-0005-0000-0000-000062150000}"/>
    <cellStyle name="Calculation 3 2 8" xfId="2028" xr:uid="{00000000-0005-0000-0000-000063150000}"/>
    <cellStyle name="Calculation 3 2 8 10" xfId="33313" xr:uid="{00000000-0005-0000-0000-000064150000}"/>
    <cellStyle name="Calculation 3 2 8 11" xfId="37084" xr:uid="{00000000-0005-0000-0000-000065150000}"/>
    <cellStyle name="Calculation 3 2 8 12" xfId="41076" xr:uid="{00000000-0005-0000-0000-000066150000}"/>
    <cellStyle name="Calculation 3 2 8 13" xfId="44904" xr:uid="{00000000-0005-0000-0000-000067150000}"/>
    <cellStyle name="Calculation 3 2 8 2" xfId="4017" xr:uid="{00000000-0005-0000-0000-000068150000}"/>
    <cellStyle name="Calculation 3 2 8 2 10" xfId="39068" xr:uid="{00000000-0005-0000-0000-000069150000}"/>
    <cellStyle name="Calculation 3 2 8 2 11" xfId="43079" xr:uid="{00000000-0005-0000-0000-00006A150000}"/>
    <cellStyle name="Calculation 3 2 8 2 12" xfId="46842" xr:uid="{00000000-0005-0000-0000-00006B150000}"/>
    <cellStyle name="Calculation 3 2 8 2 2" xfId="7882" xr:uid="{00000000-0005-0000-0000-00006C150000}"/>
    <cellStyle name="Calculation 3 2 8 2 3" xfId="12318" xr:uid="{00000000-0005-0000-0000-00006D150000}"/>
    <cellStyle name="Calculation 3 2 8 2 4" xfId="16163" xr:uid="{00000000-0005-0000-0000-00006E150000}"/>
    <cellStyle name="Calculation 3 2 8 2 5" xfId="20011" xr:uid="{00000000-0005-0000-0000-00006F150000}"/>
    <cellStyle name="Calculation 3 2 8 2 6" xfId="23926" xr:uid="{00000000-0005-0000-0000-000070150000}"/>
    <cellStyle name="Calculation 3 2 8 2 7" xfId="27761" xr:uid="{00000000-0005-0000-0000-000071150000}"/>
    <cellStyle name="Calculation 3 2 8 2 8" xfId="31621" xr:uid="{00000000-0005-0000-0000-000072150000}"/>
    <cellStyle name="Calculation 3 2 8 2 9" xfId="35280" xr:uid="{00000000-0005-0000-0000-000073150000}"/>
    <cellStyle name="Calculation 3 2 8 3" xfId="5958" xr:uid="{00000000-0005-0000-0000-000074150000}"/>
    <cellStyle name="Calculation 3 2 8 4" xfId="10317" xr:uid="{00000000-0005-0000-0000-000075150000}"/>
    <cellStyle name="Calculation 3 2 8 5" xfId="14164" xr:uid="{00000000-0005-0000-0000-000076150000}"/>
    <cellStyle name="Calculation 3 2 8 6" xfId="17994" xr:uid="{00000000-0005-0000-0000-000077150000}"/>
    <cellStyle name="Calculation 3 2 8 7" xfId="21932" xr:uid="{00000000-0005-0000-0000-000078150000}"/>
    <cellStyle name="Calculation 3 2 8 8" xfId="25746" xr:uid="{00000000-0005-0000-0000-000079150000}"/>
    <cellStyle name="Calculation 3 2 8 9" xfId="29633" xr:uid="{00000000-0005-0000-0000-00007A150000}"/>
    <cellStyle name="Calculation 3 2 9" xfId="2075" xr:uid="{00000000-0005-0000-0000-00007B150000}"/>
    <cellStyle name="Calculation 3 2 9 10" xfId="33357" xr:uid="{00000000-0005-0000-0000-00007C150000}"/>
    <cellStyle name="Calculation 3 2 9 11" xfId="37131" xr:uid="{00000000-0005-0000-0000-00007D150000}"/>
    <cellStyle name="Calculation 3 2 9 12" xfId="41121" xr:uid="{00000000-0005-0000-0000-00007E150000}"/>
    <cellStyle name="Calculation 3 2 9 13" xfId="44948" xr:uid="{00000000-0005-0000-0000-00007F150000}"/>
    <cellStyle name="Calculation 3 2 9 2" xfId="4064" xr:uid="{00000000-0005-0000-0000-000080150000}"/>
    <cellStyle name="Calculation 3 2 9 2 10" xfId="39115" xr:uid="{00000000-0005-0000-0000-000081150000}"/>
    <cellStyle name="Calculation 3 2 9 2 11" xfId="43125" xr:uid="{00000000-0005-0000-0000-000082150000}"/>
    <cellStyle name="Calculation 3 2 9 2 12" xfId="46886" xr:uid="{00000000-0005-0000-0000-000083150000}"/>
    <cellStyle name="Calculation 3 2 9 2 2" xfId="7927" xr:uid="{00000000-0005-0000-0000-000084150000}"/>
    <cellStyle name="Calculation 3 2 9 2 3" xfId="12364" xr:uid="{00000000-0005-0000-0000-000085150000}"/>
    <cellStyle name="Calculation 3 2 9 2 4" xfId="16209" xr:uid="{00000000-0005-0000-0000-000086150000}"/>
    <cellStyle name="Calculation 3 2 9 2 5" xfId="20058" xr:uid="{00000000-0005-0000-0000-000087150000}"/>
    <cellStyle name="Calculation 3 2 9 2 6" xfId="23972" xr:uid="{00000000-0005-0000-0000-000088150000}"/>
    <cellStyle name="Calculation 3 2 9 2 7" xfId="27808" xr:uid="{00000000-0005-0000-0000-000089150000}"/>
    <cellStyle name="Calculation 3 2 9 2 8" xfId="31667" xr:uid="{00000000-0005-0000-0000-00008A150000}"/>
    <cellStyle name="Calculation 3 2 9 2 9" xfId="35324" xr:uid="{00000000-0005-0000-0000-00008B150000}"/>
    <cellStyle name="Calculation 3 2 9 3" xfId="6003" xr:uid="{00000000-0005-0000-0000-00008C150000}"/>
    <cellStyle name="Calculation 3 2 9 4" xfId="10363" xr:uid="{00000000-0005-0000-0000-00008D150000}"/>
    <cellStyle name="Calculation 3 2 9 5" xfId="14210" xr:uid="{00000000-0005-0000-0000-00008E150000}"/>
    <cellStyle name="Calculation 3 2 9 6" xfId="18041" xr:uid="{00000000-0005-0000-0000-00008F150000}"/>
    <cellStyle name="Calculation 3 2 9 7" xfId="21978" xr:uid="{00000000-0005-0000-0000-000090150000}"/>
    <cellStyle name="Calculation 3 2 9 8" xfId="25793" xr:uid="{00000000-0005-0000-0000-000091150000}"/>
    <cellStyle name="Calculation 3 2 9 9" xfId="29679" xr:uid="{00000000-0005-0000-0000-000092150000}"/>
    <cellStyle name="Calculation 3 20" xfId="31090" xr:uid="{00000000-0005-0000-0000-000093150000}"/>
    <cellStyle name="Calculation 3 21" xfId="39593" xr:uid="{00000000-0005-0000-0000-000094150000}"/>
    <cellStyle name="Calculation 3 22" xfId="47307" xr:uid="{00000000-0005-0000-0000-000095150000}"/>
    <cellStyle name="Calculation 3 23" xfId="47406" xr:uid="{00000000-0005-0000-0000-000096150000}"/>
    <cellStyle name="Calculation 3 24" xfId="47608" xr:uid="{00000000-0005-0000-0000-000097150000}"/>
    <cellStyle name="Calculation 3 3" xfId="580" xr:uid="{00000000-0005-0000-0000-000098150000}"/>
    <cellStyle name="Calculation 3 3 10" xfId="20488" xr:uid="{00000000-0005-0000-0000-000099150000}"/>
    <cellStyle name="Calculation 3 3 11" xfId="25813" xr:uid="{00000000-0005-0000-0000-00009A150000}"/>
    <cellStyle name="Calculation 3 3 12" xfId="28788" xr:uid="{00000000-0005-0000-0000-00009B150000}"/>
    <cellStyle name="Calculation 3 3 13" xfId="8457" xr:uid="{00000000-0005-0000-0000-00009C150000}"/>
    <cellStyle name="Calculation 3 3 14" xfId="39677" xr:uid="{00000000-0005-0000-0000-00009D150000}"/>
    <cellStyle name="Calculation 3 3 15" xfId="39591" xr:uid="{00000000-0005-0000-0000-00009E150000}"/>
    <cellStyle name="Calculation 3 3 2" xfId="960" xr:uid="{00000000-0005-0000-0000-00009F150000}"/>
    <cellStyle name="Calculation 3 3 2 10" xfId="28571" xr:uid="{00000000-0005-0000-0000-0000A0150000}"/>
    <cellStyle name="Calculation 3 3 2 11" xfId="32261" xr:uid="{00000000-0005-0000-0000-0000A1150000}"/>
    <cellStyle name="Calculation 3 3 2 12" xfId="36018" xr:uid="{00000000-0005-0000-0000-0000A2150000}"/>
    <cellStyle name="Calculation 3 3 2 13" xfId="40025" xr:uid="{00000000-0005-0000-0000-0000A3150000}"/>
    <cellStyle name="Calculation 3 3 2 14" xfId="43844" xr:uid="{00000000-0005-0000-0000-0000A4150000}"/>
    <cellStyle name="Calculation 3 3 2 2" xfId="1691" xr:uid="{00000000-0005-0000-0000-0000A5150000}"/>
    <cellStyle name="Calculation 3 3 2 2 10" xfId="32978" xr:uid="{00000000-0005-0000-0000-0000A6150000}"/>
    <cellStyle name="Calculation 3 3 2 2 11" xfId="36748" xr:uid="{00000000-0005-0000-0000-0000A7150000}"/>
    <cellStyle name="Calculation 3 3 2 2 12" xfId="40739" xr:uid="{00000000-0005-0000-0000-0000A8150000}"/>
    <cellStyle name="Calculation 3 3 2 2 13" xfId="44570" xr:uid="{00000000-0005-0000-0000-0000A9150000}"/>
    <cellStyle name="Calculation 3 3 2 2 2" xfId="3681" xr:uid="{00000000-0005-0000-0000-0000AA150000}"/>
    <cellStyle name="Calculation 3 3 2 2 2 10" xfId="38732" xr:uid="{00000000-0005-0000-0000-0000AB150000}"/>
    <cellStyle name="Calculation 3 3 2 2 2 11" xfId="42743" xr:uid="{00000000-0005-0000-0000-0000AC150000}"/>
    <cellStyle name="Calculation 3 3 2 2 2 12" xfId="46508" xr:uid="{00000000-0005-0000-0000-0000AD150000}"/>
    <cellStyle name="Calculation 3 3 2 2 2 2" xfId="7548" xr:uid="{00000000-0005-0000-0000-0000AE150000}"/>
    <cellStyle name="Calculation 3 3 2 2 2 3" xfId="11983" xr:uid="{00000000-0005-0000-0000-0000AF150000}"/>
    <cellStyle name="Calculation 3 3 2 2 2 4" xfId="15828" xr:uid="{00000000-0005-0000-0000-0000B0150000}"/>
    <cellStyle name="Calculation 3 3 2 2 2 5" xfId="19675" xr:uid="{00000000-0005-0000-0000-0000B1150000}"/>
    <cellStyle name="Calculation 3 3 2 2 2 6" xfId="23591" xr:uid="{00000000-0005-0000-0000-0000B2150000}"/>
    <cellStyle name="Calculation 3 3 2 2 2 7" xfId="27425" xr:uid="{00000000-0005-0000-0000-0000B3150000}"/>
    <cellStyle name="Calculation 3 3 2 2 2 8" xfId="31289" xr:uid="{00000000-0005-0000-0000-0000B4150000}"/>
    <cellStyle name="Calculation 3 3 2 2 2 9" xfId="34946" xr:uid="{00000000-0005-0000-0000-0000B5150000}"/>
    <cellStyle name="Calculation 3 3 2 2 3" xfId="5624" xr:uid="{00000000-0005-0000-0000-0000B6150000}"/>
    <cellStyle name="Calculation 3 3 2 2 4" xfId="9982" xr:uid="{00000000-0005-0000-0000-0000B7150000}"/>
    <cellStyle name="Calculation 3 3 2 2 5" xfId="13828" xr:uid="{00000000-0005-0000-0000-0000B8150000}"/>
    <cellStyle name="Calculation 3 3 2 2 6" xfId="17657" xr:uid="{00000000-0005-0000-0000-0000B9150000}"/>
    <cellStyle name="Calculation 3 3 2 2 7" xfId="21596" xr:uid="{00000000-0005-0000-0000-0000BA150000}"/>
    <cellStyle name="Calculation 3 3 2 2 8" xfId="25409" xr:uid="{00000000-0005-0000-0000-0000BB150000}"/>
    <cellStyle name="Calculation 3 3 2 2 9" xfId="29296" xr:uid="{00000000-0005-0000-0000-0000BC150000}"/>
    <cellStyle name="Calculation 3 3 2 3" xfId="2950" xr:uid="{00000000-0005-0000-0000-0000BD150000}"/>
    <cellStyle name="Calculation 3 3 2 3 10" xfId="38002" xr:uid="{00000000-0005-0000-0000-0000BE150000}"/>
    <cellStyle name="Calculation 3 3 2 3 11" xfId="42014" xr:uid="{00000000-0005-0000-0000-0000BF150000}"/>
    <cellStyle name="Calculation 3 3 2 3 12" xfId="45791" xr:uid="{00000000-0005-0000-0000-0000C0150000}"/>
    <cellStyle name="Calculation 3 3 2 3 2" xfId="6830" xr:uid="{00000000-0005-0000-0000-0000C1150000}"/>
    <cellStyle name="Calculation 3 3 2 3 3" xfId="11257" xr:uid="{00000000-0005-0000-0000-0000C2150000}"/>
    <cellStyle name="Calculation 3 3 2 3 4" xfId="15102" xr:uid="{00000000-0005-0000-0000-0000C3150000}"/>
    <cellStyle name="Calculation 3 3 2 3 5" xfId="18944" xr:uid="{00000000-0005-0000-0000-0000C4150000}"/>
    <cellStyle name="Calculation 3 3 2 3 6" xfId="22870" xr:uid="{00000000-0005-0000-0000-0000C5150000}"/>
    <cellStyle name="Calculation 3 3 2 3 7" xfId="26695" xr:uid="{00000000-0005-0000-0000-0000C6150000}"/>
    <cellStyle name="Calculation 3 3 2 3 8" xfId="30569" xr:uid="{00000000-0005-0000-0000-0000C7150000}"/>
    <cellStyle name="Calculation 3 3 2 3 9" xfId="34229" xr:uid="{00000000-0005-0000-0000-0000C8150000}"/>
    <cellStyle name="Calculation 3 3 2 4" xfId="4906" xr:uid="{00000000-0005-0000-0000-0000C9150000}"/>
    <cellStyle name="Calculation 3 3 2 5" xfId="9260" xr:uid="{00000000-0005-0000-0000-0000CA150000}"/>
    <cellStyle name="Calculation 3 3 2 6" xfId="13101" xr:uid="{00000000-0005-0000-0000-0000CB150000}"/>
    <cellStyle name="Calculation 3 3 2 7" xfId="16926" xr:uid="{00000000-0005-0000-0000-0000CC150000}"/>
    <cellStyle name="Calculation 3 3 2 8" xfId="20868" xr:uid="{00000000-0005-0000-0000-0000CD150000}"/>
    <cellStyle name="Calculation 3 3 2 9" xfId="24684" xr:uid="{00000000-0005-0000-0000-0000CE150000}"/>
    <cellStyle name="Calculation 3 3 3" xfId="1338" xr:uid="{00000000-0005-0000-0000-0000CF150000}"/>
    <cellStyle name="Calculation 3 3 3 10" xfId="32625" xr:uid="{00000000-0005-0000-0000-0000D0150000}"/>
    <cellStyle name="Calculation 3 3 3 11" xfId="36395" xr:uid="{00000000-0005-0000-0000-0000D1150000}"/>
    <cellStyle name="Calculation 3 3 3 12" xfId="40386" xr:uid="{00000000-0005-0000-0000-0000D2150000}"/>
    <cellStyle name="Calculation 3 3 3 13" xfId="44217" xr:uid="{00000000-0005-0000-0000-0000D3150000}"/>
    <cellStyle name="Calculation 3 3 3 2" xfId="3328" xr:uid="{00000000-0005-0000-0000-0000D4150000}"/>
    <cellStyle name="Calculation 3 3 3 2 10" xfId="38379" xr:uid="{00000000-0005-0000-0000-0000D5150000}"/>
    <cellStyle name="Calculation 3 3 3 2 11" xfId="42390" xr:uid="{00000000-0005-0000-0000-0000D6150000}"/>
    <cellStyle name="Calculation 3 3 3 2 12" xfId="46155" xr:uid="{00000000-0005-0000-0000-0000D7150000}"/>
    <cellStyle name="Calculation 3 3 3 2 2" xfId="7195" xr:uid="{00000000-0005-0000-0000-0000D8150000}"/>
    <cellStyle name="Calculation 3 3 3 2 3" xfId="11630" xr:uid="{00000000-0005-0000-0000-0000D9150000}"/>
    <cellStyle name="Calculation 3 3 3 2 4" xfId="15475" xr:uid="{00000000-0005-0000-0000-0000DA150000}"/>
    <cellStyle name="Calculation 3 3 3 2 5" xfId="19322" xr:uid="{00000000-0005-0000-0000-0000DB150000}"/>
    <cellStyle name="Calculation 3 3 3 2 6" xfId="23238" xr:uid="{00000000-0005-0000-0000-0000DC150000}"/>
    <cellStyle name="Calculation 3 3 3 2 7" xfId="27072" xr:uid="{00000000-0005-0000-0000-0000DD150000}"/>
    <cellStyle name="Calculation 3 3 3 2 8" xfId="30940" xr:uid="{00000000-0005-0000-0000-0000DE150000}"/>
    <cellStyle name="Calculation 3 3 3 2 9" xfId="34593" xr:uid="{00000000-0005-0000-0000-0000DF150000}"/>
    <cellStyle name="Calculation 3 3 3 3" xfId="5271" xr:uid="{00000000-0005-0000-0000-0000E0150000}"/>
    <cellStyle name="Calculation 3 3 3 4" xfId="9629" xr:uid="{00000000-0005-0000-0000-0000E1150000}"/>
    <cellStyle name="Calculation 3 3 3 5" xfId="13475" xr:uid="{00000000-0005-0000-0000-0000E2150000}"/>
    <cellStyle name="Calculation 3 3 3 6" xfId="17304" xr:uid="{00000000-0005-0000-0000-0000E3150000}"/>
    <cellStyle name="Calculation 3 3 3 7" xfId="21243" xr:uid="{00000000-0005-0000-0000-0000E4150000}"/>
    <cellStyle name="Calculation 3 3 3 8" xfId="25056" xr:uid="{00000000-0005-0000-0000-0000E5150000}"/>
    <cellStyle name="Calculation 3 3 3 9" xfId="28943" xr:uid="{00000000-0005-0000-0000-0000E6150000}"/>
    <cellStyle name="Calculation 3 3 4" xfId="2583" xr:uid="{00000000-0005-0000-0000-0000E7150000}"/>
    <cellStyle name="Calculation 3 3 4 10" xfId="37635" xr:uid="{00000000-0005-0000-0000-0000E8150000}"/>
    <cellStyle name="Calculation 3 3 4 11" xfId="41649" xr:uid="{00000000-0005-0000-0000-0000E9150000}"/>
    <cellStyle name="Calculation 3 3 4 12" xfId="45438" xr:uid="{00000000-0005-0000-0000-0000EA150000}"/>
    <cellStyle name="Calculation 3 3 4 2" xfId="6475" xr:uid="{00000000-0005-0000-0000-0000EB150000}"/>
    <cellStyle name="Calculation 3 3 4 3" xfId="10898" xr:uid="{00000000-0005-0000-0000-0000EC150000}"/>
    <cellStyle name="Calculation 3 3 4 4" xfId="14742" xr:uid="{00000000-0005-0000-0000-0000ED150000}"/>
    <cellStyle name="Calculation 3 3 4 5" xfId="18577" xr:uid="{00000000-0005-0000-0000-0000EE150000}"/>
    <cellStyle name="Calculation 3 3 4 6" xfId="22512" xr:uid="{00000000-0005-0000-0000-0000EF150000}"/>
    <cellStyle name="Calculation 3 3 4 7" xfId="26328" xr:uid="{00000000-0005-0000-0000-0000F0150000}"/>
    <cellStyle name="Calculation 3 3 4 8" xfId="30207" xr:uid="{00000000-0005-0000-0000-0000F1150000}"/>
    <cellStyle name="Calculation 3 3 4 9" xfId="33876" xr:uid="{00000000-0005-0000-0000-0000F2150000}"/>
    <cellStyle name="Calculation 3 3 5" xfId="4551" xr:uid="{00000000-0005-0000-0000-0000F3150000}"/>
    <cellStyle name="Calculation 3 3 6" xfId="8890" xr:uid="{00000000-0005-0000-0000-0000F4150000}"/>
    <cellStyle name="Calculation 3 3 7" xfId="10382" xr:uid="{00000000-0005-0000-0000-0000F5150000}"/>
    <cellStyle name="Calculation 3 3 8" xfId="14216" xr:uid="{00000000-0005-0000-0000-0000F6150000}"/>
    <cellStyle name="Calculation 3 3 9" xfId="20493" xr:uid="{00000000-0005-0000-0000-0000F7150000}"/>
    <cellStyle name="Calculation 3 4" xfId="739" xr:uid="{00000000-0005-0000-0000-0000F8150000}"/>
    <cellStyle name="Calculation 3 4 10" xfId="24472" xr:uid="{00000000-0005-0000-0000-0000F9150000}"/>
    <cellStyle name="Calculation 3 4 11" xfId="28364" xr:uid="{00000000-0005-0000-0000-0000FA150000}"/>
    <cellStyle name="Calculation 3 4 12" xfId="9545" xr:uid="{00000000-0005-0000-0000-0000FB150000}"/>
    <cellStyle name="Calculation 3 4 13" xfId="35810" xr:uid="{00000000-0005-0000-0000-0000FC150000}"/>
    <cellStyle name="Calculation 3 4 14" xfId="39829" xr:uid="{00000000-0005-0000-0000-0000FD150000}"/>
    <cellStyle name="Calculation 3 4 15" xfId="43636" xr:uid="{00000000-0005-0000-0000-0000FE150000}"/>
    <cellStyle name="Calculation 3 4 2" xfId="1117" xr:uid="{00000000-0005-0000-0000-0000FF150000}"/>
    <cellStyle name="Calculation 3 4 2 10" xfId="28726" xr:uid="{00000000-0005-0000-0000-000000160000}"/>
    <cellStyle name="Calculation 3 4 2 11" xfId="32414" xr:uid="{00000000-0005-0000-0000-000001160000}"/>
    <cellStyle name="Calculation 3 4 2 12" xfId="36175" xr:uid="{00000000-0005-0000-0000-000002160000}"/>
    <cellStyle name="Calculation 3 4 2 13" xfId="40176" xr:uid="{00000000-0005-0000-0000-000003160000}"/>
    <cellStyle name="Calculation 3 4 2 14" xfId="44001" xr:uid="{00000000-0005-0000-0000-000004160000}"/>
    <cellStyle name="Calculation 3 4 2 2" xfId="1844" xr:uid="{00000000-0005-0000-0000-000005160000}"/>
    <cellStyle name="Calculation 3 4 2 2 10" xfId="33131" xr:uid="{00000000-0005-0000-0000-000006160000}"/>
    <cellStyle name="Calculation 3 4 2 2 11" xfId="36901" xr:uid="{00000000-0005-0000-0000-000007160000}"/>
    <cellStyle name="Calculation 3 4 2 2 12" xfId="40892" xr:uid="{00000000-0005-0000-0000-000008160000}"/>
    <cellStyle name="Calculation 3 4 2 2 13" xfId="44723" xr:uid="{00000000-0005-0000-0000-000009160000}"/>
    <cellStyle name="Calculation 3 4 2 2 2" xfId="3834" xr:uid="{00000000-0005-0000-0000-00000A160000}"/>
    <cellStyle name="Calculation 3 4 2 2 2 10" xfId="38885" xr:uid="{00000000-0005-0000-0000-00000B160000}"/>
    <cellStyle name="Calculation 3 4 2 2 2 11" xfId="42896" xr:uid="{00000000-0005-0000-0000-00000C160000}"/>
    <cellStyle name="Calculation 3 4 2 2 2 12" xfId="46661" xr:uid="{00000000-0005-0000-0000-00000D160000}"/>
    <cellStyle name="Calculation 3 4 2 2 2 2" xfId="7701" xr:uid="{00000000-0005-0000-0000-00000E160000}"/>
    <cellStyle name="Calculation 3 4 2 2 2 3" xfId="12136" xr:uid="{00000000-0005-0000-0000-00000F160000}"/>
    <cellStyle name="Calculation 3 4 2 2 2 4" xfId="15981" xr:uid="{00000000-0005-0000-0000-000010160000}"/>
    <cellStyle name="Calculation 3 4 2 2 2 5" xfId="19828" xr:uid="{00000000-0005-0000-0000-000011160000}"/>
    <cellStyle name="Calculation 3 4 2 2 2 6" xfId="23744" xr:uid="{00000000-0005-0000-0000-000012160000}"/>
    <cellStyle name="Calculation 3 4 2 2 2 7" xfId="27578" xr:uid="{00000000-0005-0000-0000-000013160000}"/>
    <cellStyle name="Calculation 3 4 2 2 2 8" xfId="31441" xr:uid="{00000000-0005-0000-0000-000014160000}"/>
    <cellStyle name="Calculation 3 4 2 2 2 9" xfId="35099" xr:uid="{00000000-0005-0000-0000-000015160000}"/>
    <cellStyle name="Calculation 3 4 2 2 3" xfId="5777" xr:uid="{00000000-0005-0000-0000-000016160000}"/>
    <cellStyle name="Calculation 3 4 2 2 4" xfId="10135" xr:uid="{00000000-0005-0000-0000-000017160000}"/>
    <cellStyle name="Calculation 3 4 2 2 5" xfId="13981" xr:uid="{00000000-0005-0000-0000-000018160000}"/>
    <cellStyle name="Calculation 3 4 2 2 6" xfId="17810" xr:uid="{00000000-0005-0000-0000-000019160000}"/>
    <cellStyle name="Calculation 3 4 2 2 7" xfId="21749" xr:uid="{00000000-0005-0000-0000-00001A160000}"/>
    <cellStyle name="Calculation 3 4 2 2 8" xfId="25562" xr:uid="{00000000-0005-0000-0000-00001B160000}"/>
    <cellStyle name="Calculation 3 4 2 2 9" xfId="29449" xr:uid="{00000000-0005-0000-0000-00001C160000}"/>
    <cellStyle name="Calculation 3 4 2 3" xfId="3107" xr:uid="{00000000-0005-0000-0000-00001D160000}"/>
    <cellStyle name="Calculation 3 4 2 3 10" xfId="38159" xr:uid="{00000000-0005-0000-0000-00001E160000}"/>
    <cellStyle name="Calculation 3 4 2 3 11" xfId="42171" xr:uid="{00000000-0005-0000-0000-00001F160000}"/>
    <cellStyle name="Calculation 3 4 2 3 12" xfId="45944" xr:uid="{00000000-0005-0000-0000-000020160000}"/>
    <cellStyle name="Calculation 3 4 2 3 2" xfId="6983" xr:uid="{00000000-0005-0000-0000-000021160000}"/>
    <cellStyle name="Calculation 3 4 2 3 3" xfId="11412" xr:uid="{00000000-0005-0000-0000-000022160000}"/>
    <cellStyle name="Calculation 3 4 2 3 4" xfId="15256" xr:uid="{00000000-0005-0000-0000-000023160000}"/>
    <cellStyle name="Calculation 3 4 2 3 5" xfId="19101" xr:uid="{00000000-0005-0000-0000-000024160000}"/>
    <cellStyle name="Calculation 3 4 2 3 6" xfId="23023" xr:uid="{00000000-0005-0000-0000-000025160000}"/>
    <cellStyle name="Calculation 3 4 2 3 7" xfId="26852" xr:uid="{00000000-0005-0000-0000-000026160000}"/>
    <cellStyle name="Calculation 3 4 2 3 8" xfId="30724" xr:uid="{00000000-0005-0000-0000-000027160000}"/>
    <cellStyle name="Calculation 3 4 2 3 9" xfId="34382" xr:uid="{00000000-0005-0000-0000-000028160000}"/>
    <cellStyle name="Calculation 3 4 2 4" xfId="5059" xr:uid="{00000000-0005-0000-0000-000029160000}"/>
    <cellStyle name="Calculation 3 4 2 5" xfId="9415" xr:uid="{00000000-0005-0000-0000-00002A160000}"/>
    <cellStyle name="Calculation 3 4 2 6" xfId="13255" xr:uid="{00000000-0005-0000-0000-00002B160000}"/>
    <cellStyle name="Calculation 3 4 2 7" xfId="17083" xr:uid="{00000000-0005-0000-0000-00002C160000}"/>
    <cellStyle name="Calculation 3 4 2 8" xfId="21025" xr:uid="{00000000-0005-0000-0000-00002D160000}"/>
    <cellStyle name="Calculation 3 4 2 9" xfId="24839" xr:uid="{00000000-0005-0000-0000-00002E160000}"/>
    <cellStyle name="Calculation 3 4 3" xfId="1491" xr:uid="{00000000-0005-0000-0000-00002F160000}"/>
    <cellStyle name="Calculation 3 4 3 10" xfId="32778" xr:uid="{00000000-0005-0000-0000-000030160000}"/>
    <cellStyle name="Calculation 3 4 3 11" xfId="36548" xr:uid="{00000000-0005-0000-0000-000031160000}"/>
    <cellStyle name="Calculation 3 4 3 12" xfId="40539" xr:uid="{00000000-0005-0000-0000-000032160000}"/>
    <cellStyle name="Calculation 3 4 3 13" xfId="44370" xr:uid="{00000000-0005-0000-0000-000033160000}"/>
    <cellStyle name="Calculation 3 4 3 2" xfId="3481" xr:uid="{00000000-0005-0000-0000-000034160000}"/>
    <cellStyle name="Calculation 3 4 3 2 10" xfId="38532" xr:uid="{00000000-0005-0000-0000-000035160000}"/>
    <cellStyle name="Calculation 3 4 3 2 11" xfId="42543" xr:uid="{00000000-0005-0000-0000-000036160000}"/>
    <cellStyle name="Calculation 3 4 3 2 12" xfId="46308" xr:uid="{00000000-0005-0000-0000-000037160000}"/>
    <cellStyle name="Calculation 3 4 3 2 2" xfId="7348" xr:uid="{00000000-0005-0000-0000-000038160000}"/>
    <cellStyle name="Calculation 3 4 3 2 3" xfId="11783" xr:uid="{00000000-0005-0000-0000-000039160000}"/>
    <cellStyle name="Calculation 3 4 3 2 4" xfId="15628" xr:uid="{00000000-0005-0000-0000-00003A160000}"/>
    <cellStyle name="Calculation 3 4 3 2 5" xfId="19475" xr:uid="{00000000-0005-0000-0000-00003B160000}"/>
    <cellStyle name="Calculation 3 4 3 2 6" xfId="23391" xr:uid="{00000000-0005-0000-0000-00003C160000}"/>
    <cellStyle name="Calculation 3 4 3 2 7" xfId="27225" xr:uid="{00000000-0005-0000-0000-00003D160000}"/>
    <cellStyle name="Calculation 3 4 3 2 8" xfId="31092" xr:uid="{00000000-0005-0000-0000-00003E160000}"/>
    <cellStyle name="Calculation 3 4 3 2 9" xfId="34746" xr:uid="{00000000-0005-0000-0000-00003F160000}"/>
    <cellStyle name="Calculation 3 4 3 3" xfId="5424" xr:uid="{00000000-0005-0000-0000-000040160000}"/>
    <cellStyle name="Calculation 3 4 3 4" xfId="9782" xr:uid="{00000000-0005-0000-0000-000041160000}"/>
    <cellStyle name="Calculation 3 4 3 5" xfId="13628" xr:uid="{00000000-0005-0000-0000-000042160000}"/>
    <cellStyle name="Calculation 3 4 3 6" xfId="17457" xr:uid="{00000000-0005-0000-0000-000043160000}"/>
    <cellStyle name="Calculation 3 4 3 7" xfId="21396" xr:uid="{00000000-0005-0000-0000-000044160000}"/>
    <cellStyle name="Calculation 3 4 3 8" xfId="25209" xr:uid="{00000000-0005-0000-0000-000045160000}"/>
    <cellStyle name="Calculation 3 4 3 9" xfId="29096" xr:uid="{00000000-0005-0000-0000-000046160000}"/>
    <cellStyle name="Calculation 3 4 4" xfId="2742" xr:uid="{00000000-0005-0000-0000-000047160000}"/>
    <cellStyle name="Calculation 3 4 4 10" xfId="37794" xr:uid="{00000000-0005-0000-0000-000048160000}"/>
    <cellStyle name="Calculation 3 4 4 11" xfId="41807" xr:uid="{00000000-0005-0000-0000-000049160000}"/>
    <cellStyle name="Calculation 3 4 4 12" xfId="45591" xr:uid="{00000000-0005-0000-0000-00004A160000}"/>
    <cellStyle name="Calculation 3 4 4 2" xfId="6629" xr:uid="{00000000-0005-0000-0000-00004B160000}"/>
    <cellStyle name="Calculation 3 4 4 3" xfId="11052" xr:uid="{00000000-0005-0000-0000-00004C160000}"/>
    <cellStyle name="Calculation 3 4 4 4" xfId="14898" xr:uid="{00000000-0005-0000-0000-00004D160000}"/>
    <cellStyle name="Calculation 3 4 4 5" xfId="18736" xr:uid="{00000000-0005-0000-0000-00004E160000}"/>
    <cellStyle name="Calculation 3 4 4 6" xfId="22667" xr:uid="{00000000-0005-0000-0000-00004F160000}"/>
    <cellStyle name="Calculation 3 4 4 7" xfId="26487" xr:uid="{00000000-0005-0000-0000-000050160000}"/>
    <cellStyle name="Calculation 3 4 4 8" xfId="30365" xr:uid="{00000000-0005-0000-0000-000051160000}"/>
    <cellStyle name="Calculation 3 4 4 9" xfId="34029" xr:uid="{00000000-0005-0000-0000-000052160000}"/>
    <cellStyle name="Calculation 3 4 5" xfId="4705" xr:uid="{00000000-0005-0000-0000-000053160000}"/>
    <cellStyle name="Calculation 3 4 6" xfId="9047" xr:uid="{00000000-0005-0000-0000-000054160000}"/>
    <cellStyle name="Calculation 3 4 7" xfId="12885" xr:uid="{00000000-0005-0000-0000-000055160000}"/>
    <cellStyle name="Calculation 3 4 8" xfId="16715" xr:uid="{00000000-0005-0000-0000-000056160000}"/>
    <cellStyle name="Calculation 3 4 9" xfId="20652" xr:uid="{00000000-0005-0000-0000-000057160000}"/>
    <cellStyle name="Calculation 3 5" xfId="783" xr:uid="{00000000-0005-0000-0000-000058160000}"/>
    <cellStyle name="Calculation 3 5 10" xfId="24510" xr:uid="{00000000-0005-0000-0000-000059160000}"/>
    <cellStyle name="Calculation 3 5 11" xfId="28399" xr:uid="{00000000-0005-0000-0000-00005A160000}"/>
    <cellStyle name="Calculation 3 5 12" xfId="29691" xr:uid="{00000000-0005-0000-0000-00005B160000}"/>
    <cellStyle name="Calculation 3 5 13" xfId="35842" xr:uid="{00000000-0005-0000-0000-00005C160000}"/>
    <cellStyle name="Calculation 3 5 14" xfId="39859" xr:uid="{00000000-0005-0000-0000-00005D160000}"/>
    <cellStyle name="Calculation 3 5 15" xfId="43668" xr:uid="{00000000-0005-0000-0000-00005E160000}"/>
    <cellStyle name="Calculation 3 5 2" xfId="1148" xr:uid="{00000000-0005-0000-0000-00005F160000}"/>
    <cellStyle name="Calculation 3 5 2 10" xfId="28757" xr:uid="{00000000-0005-0000-0000-000060160000}"/>
    <cellStyle name="Calculation 3 5 2 11" xfId="32443" xr:uid="{00000000-0005-0000-0000-000061160000}"/>
    <cellStyle name="Calculation 3 5 2 12" xfId="36206" xr:uid="{00000000-0005-0000-0000-000062160000}"/>
    <cellStyle name="Calculation 3 5 2 13" xfId="40205" xr:uid="{00000000-0005-0000-0000-000063160000}"/>
    <cellStyle name="Calculation 3 5 2 14" xfId="44032" xr:uid="{00000000-0005-0000-0000-000064160000}"/>
    <cellStyle name="Calculation 3 5 2 2" xfId="1873" xr:uid="{00000000-0005-0000-0000-000065160000}"/>
    <cellStyle name="Calculation 3 5 2 2 10" xfId="33160" xr:uid="{00000000-0005-0000-0000-000066160000}"/>
    <cellStyle name="Calculation 3 5 2 2 11" xfId="36930" xr:uid="{00000000-0005-0000-0000-000067160000}"/>
    <cellStyle name="Calculation 3 5 2 2 12" xfId="40921" xr:uid="{00000000-0005-0000-0000-000068160000}"/>
    <cellStyle name="Calculation 3 5 2 2 13" xfId="44752" xr:uid="{00000000-0005-0000-0000-000069160000}"/>
    <cellStyle name="Calculation 3 5 2 2 2" xfId="3863" xr:uid="{00000000-0005-0000-0000-00006A160000}"/>
    <cellStyle name="Calculation 3 5 2 2 2 10" xfId="38914" xr:uid="{00000000-0005-0000-0000-00006B160000}"/>
    <cellStyle name="Calculation 3 5 2 2 2 11" xfId="42925" xr:uid="{00000000-0005-0000-0000-00006C160000}"/>
    <cellStyle name="Calculation 3 5 2 2 2 12" xfId="46690" xr:uid="{00000000-0005-0000-0000-00006D160000}"/>
    <cellStyle name="Calculation 3 5 2 2 2 2" xfId="7730" xr:uid="{00000000-0005-0000-0000-00006E160000}"/>
    <cellStyle name="Calculation 3 5 2 2 2 3" xfId="12165" xr:uid="{00000000-0005-0000-0000-00006F160000}"/>
    <cellStyle name="Calculation 3 5 2 2 2 4" xfId="16010" xr:uid="{00000000-0005-0000-0000-000070160000}"/>
    <cellStyle name="Calculation 3 5 2 2 2 5" xfId="19857" xr:uid="{00000000-0005-0000-0000-000071160000}"/>
    <cellStyle name="Calculation 3 5 2 2 2 6" xfId="23773" xr:uid="{00000000-0005-0000-0000-000072160000}"/>
    <cellStyle name="Calculation 3 5 2 2 2 7" xfId="27607" xr:uid="{00000000-0005-0000-0000-000073160000}"/>
    <cellStyle name="Calculation 3 5 2 2 2 8" xfId="31470" xr:uid="{00000000-0005-0000-0000-000074160000}"/>
    <cellStyle name="Calculation 3 5 2 2 2 9" xfId="35128" xr:uid="{00000000-0005-0000-0000-000075160000}"/>
    <cellStyle name="Calculation 3 5 2 2 3" xfId="5806" xr:uid="{00000000-0005-0000-0000-000076160000}"/>
    <cellStyle name="Calculation 3 5 2 2 4" xfId="10164" xr:uid="{00000000-0005-0000-0000-000077160000}"/>
    <cellStyle name="Calculation 3 5 2 2 5" xfId="14010" xr:uid="{00000000-0005-0000-0000-000078160000}"/>
    <cellStyle name="Calculation 3 5 2 2 6" xfId="17839" xr:uid="{00000000-0005-0000-0000-000079160000}"/>
    <cellStyle name="Calculation 3 5 2 2 7" xfId="21778" xr:uid="{00000000-0005-0000-0000-00007A160000}"/>
    <cellStyle name="Calculation 3 5 2 2 8" xfId="25591" xr:uid="{00000000-0005-0000-0000-00007B160000}"/>
    <cellStyle name="Calculation 3 5 2 2 9" xfId="29478" xr:uid="{00000000-0005-0000-0000-00007C160000}"/>
    <cellStyle name="Calculation 3 5 2 3" xfId="3138" xr:uid="{00000000-0005-0000-0000-00007D160000}"/>
    <cellStyle name="Calculation 3 5 2 3 10" xfId="38190" xr:uid="{00000000-0005-0000-0000-00007E160000}"/>
    <cellStyle name="Calculation 3 5 2 3 11" xfId="42202" xr:uid="{00000000-0005-0000-0000-00007F160000}"/>
    <cellStyle name="Calculation 3 5 2 3 12" xfId="45973" xr:uid="{00000000-0005-0000-0000-000080160000}"/>
    <cellStyle name="Calculation 3 5 2 3 2" xfId="7012" xr:uid="{00000000-0005-0000-0000-000081160000}"/>
    <cellStyle name="Calculation 3 5 2 3 3" xfId="11442" xr:uid="{00000000-0005-0000-0000-000082160000}"/>
    <cellStyle name="Calculation 3 5 2 3 4" xfId="15287" xr:uid="{00000000-0005-0000-0000-000083160000}"/>
    <cellStyle name="Calculation 3 5 2 3 5" xfId="19132" xr:uid="{00000000-0005-0000-0000-000084160000}"/>
    <cellStyle name="Calculation 3 5 2 3 6" xfId="23052" xr:uid="{00000000-0005-0000-0000-000085160000}"/>
    <cellStyle name="Calculation 3 5 2 3 7" xfId="26883" xr:uid="{00000000-0005-0000-0000-000086160000}"/>
    <cellStyle name="Calculation 3 5 2 3 8" xfId="30755" xr:uid="{00000000-0005-0000-0000-000087160000}"/>
    <cellStyle name="Calculation 3 5 2 3 9" xfId="34411" xr:uid="{00000000-0005-0000-0000-000088160000}"/>
    <cellStyle name="Calculation 3 5 2 4" xfId="5088" xr:uid="{00000000-0005-0000-0000-000089160000}"/>
    <cellStyle name="Calculation 3 5 2 5" xfId="9444" xr:uid="{00000000-0005-0000-0000-00008A160000}"/>
    <cellStyle name="Calculation 3 5 2 6" xfId="13286" xr:uid="{00000000-0005-0000-0000-00008B160000}"/>
    <cellStyle name="Calculation 3 5 2 7" xfId="17114" xr:uid="{00000000-0005-0000-0000-00008C160000}"/>
    <cellStyle name="Calculation 3 5 2 8" xfId="21056" xr:uid="{00000000-0005-0000-0000-00008D160000}"/>
    <cellStyle name="Calculation 3 5 2 9" xfId="24869" xr:uid="{00000000-0005-0000-0000-00008E160000}"/>
    <cellStyle name="Calculation 3 5 3" xfId="1520" xr:uid="{00000000-0005-0000-0000-00008F160000}"/>
    <cellStyle name="Calculation 3 5 3 10" xfId="32807" xr:uid="{00000000-0005-0000-0000-000090160000}"/>
    <cellStyle name="Calculation 3 5 3 11" xfId="36577" xr:uid="{00000000-0005-0000-0000-000091160000}"/>
    <cellStyle name="Calculation 3 5 3 12" xfId="40568" xr:uid="{00000000-0005-0000-0000-000092160000}"/>
    <cellStyle name="Calculation 3 5 3 13" xfId="44399" xr:uid="{00000000-0005-0000-0000-000093160000}"/>
    <cellStyle name="Calculation 3 5 3 2" xfId="3510" xr:uid="{00000000-0005-0000-0000-000094160000}"/>
    <cellStyle name="Calculation 3 5 3 2 10" xfId="38561" xr:uid="{00000000-0005-0000-0000-000095160000}"/>
    <cellStyle name="Calculation 3 5 3 2 11" xfId="42572" xr:uid="{00000000-0005-0000-0000-000096160000}"/>
    <cellStyle name="Calculation 3 5 3 2 12" xfId="46337" xr:uid="{00000000-0005-0000-0000-000097160000}"/>
    <cellStyle name="Calculation 3 5 3 2 2" xfId="7377" xr:uid="{00000000-0005-0000-0000-000098160000}"/>
    <cellStyle name="Calculation 3 5 3 2 3" xfId="11812" xr:uid="{00000000-0005-0000-0000-000099160000}"/>
    <cellStyle name="Calculation 3 5 3 2 4" xfId="15657" xr:uid="{00000000-0005-0000-0000-00009A160000}"/>
    <cellStyle name="Calculation 3 5 3 2 5" xfId="19504" xr:uid="{00000000-0005-0000-0000-00009B160000}"/>
    <cellStyle name="Calculation 3 5 3 2 6" xfId="23420" xr:uid="{00000000-0005-0000-0000-00009C160000}"/>
    <cellStyle name="Calculation 3 5 3 2 7" xfId="27254" xr:uid="{00000000-0005-0000-0000-00009D160000}"/>
    <cellStyle name="Calculation 3 5 3 2 8" xfId="31121" xr:uid="{00000000-0005-0000-0000-00009E160000}"/>
    <cellStyle name="Calculation 3 5 3 2 9" xfId="34775" xr:uid="{00000000-0005-0000-0000-00009F160000}"/>
    <cellStyle name="Calculation 3 5 3 3" xfId="5453" xr:uid="{00000000-0005-0000-0000-0000A0160000}"/>
    <cellStyle name="Calculation 3 5 3 4" xfId="9811" xr:uid="{00000000-0005-0000-0000-0000A1160000}"/>
    <cellStyle name="Calculation 3 5 3 5" xfId="13657" xr:uid="{00000000-0005-0000-0000-0000A2160000}"/>
    <cellStyle name="Calculation 3 5 3 6" xfId="17486" xr:uid="{00000000-0005-0000-0000-0000A3160000}"/>
    <cellStyle name="Calculation 3 5 3 7" xfId="21425" xr:uid="{00000000-0005-0000-0000-0000A4160000}"/>
    <cellStyle name="Calculation 3 5 3 8" xfId="25238" xr:uid="{00000000-0005-0000-0000-0000A5160000}"/>
    <cellStyle name="Calculation 3 5 3 9" xfId="29125" xr:uid="{00000000-0005-0000-0000-0000A6160000}"/>
    <cellStyle name="Calculation 3 5 4" xfId="2774" xr:uid="{00000000-0005-0000-0000-0000A7160000}"/>
    <cellStyle name="Calculation 3 5 4 10" xfId="37826" xr:uid="{00000000-0005-0000-0000-0000A8160000}"/>
    <cellStyle name="Calculation 3 5 4 11" xfId="41839" xr:uid="{00000000-0005-0000-0000-0000A9160000}"/>
    <cellStyle name="Calculation 3 5 4 12" xfId="45620" xr:uid="{00000000-0005-0000-0000-0000AA160000}"/>
    <cellStyle name="Calculation 3 5 4 2" xfId="6658" xr:uid="{00000000-0005-0000-0000-0000AB160000}"/>
    <cellStyle name="Calculation 3 5 4 3" xfId="11083" xr:uid="{00000000-0005-0000-0000-0000AC160000}"/>
    <cellStyle name="Calculation 3 5 4 4" xfId="14929" xr:uid="{00000000-0005-0000-0000-0000AD160000}"/>
    <cellStyle name="Calculation 3 5 4 5" xfId="18768" xr:uid="{00000000-0005-0000-0000-0000AE160000}"/>
    <cellStyle name="Calculation 3 5 4 6" xfId="22696" xr:uid="{00000000-0005-0000-0000-0000AF160000}"/>
    <cellStyle name="Calculation 3 5 4 7" xfId="26519" xr:uid="{00000000-0005-0000-0000-0000B0160000}"/>
    <cellStyle name="Calculation 3 5 4 8" xfId="30397" xr:uid="{00000000-0005-0000-0000-0000B1160000}"/>
    <cellStyle name="Calculation 3 5 4 9" xfId="34058" xr:uid="{00000000-0005-0000-0000-0000B2160000}"/>
    <cellStyle name="Calculation 3 5 5" xfId="4734" xr:uid="{00000000-0005-0000-0000-0000B3160000}"/>
    <cellStyle name="Calculation 3 5 6" xfId="9085" xr:uid="{00000000-0005-0000-0000-0000B4160000}"/>
    <cellStyle name="Calculation 3 5 7" xfId="12925" xr:uid="{00000000-0005-0000-0000-0000B5160000}"/>
    <cellStyle name="Calculation 3 5 8" xfId="16751" xr:uid="{00000000-0005-0000-0000-0000B6160000}"/>
    <cellStyle name="Calculation 3 5 9" xfId="20692" xr:uid="{00000000-0005-0000-0000-0000B7160000}"/>
    <cellStyle name="Calculation 3 6" xfId="865" xr:uid="{00000000-0005-0000-0000-0000B8160000}"/>
    <cellStyle name="Calculation 3 6 10" xfId="28480" xr:uid="{00000000-0005-0000-0000-0000B9160000}"/>
    <cellStyle name="Calculation 3 6 11" xfId="32166" xr:uid="{00000000-0005-0000-0000-0000BA160000}"/>
    <cellStyle name="Calculation 3 6 12" xfId="35923" xr:uid="{00000000-0005-0000-0000-0000BB160000}"/>
    <cellStyle name="Calculation 3 6 13" xfId="39934" xr:uid="{00000000-0005-0000-0000-0000BC160000}"/>
    <cellStyle name="Calculation 3 6 14" xfId="43749" xr:uid="{00000000-0005-0000-0000-0000BD160000}"/>
    <cellStyle name="Calculation 3 6 2" xfId="1596" xr:uid="{00000000-0005-0000-0000-0000BE160000}"/>
    <cellStyle name="Calculation 3 6 2 10" xfId="32883" xr:uid="{00000000-0005-0000-0000-0000BF160000}"/>
    <cellStyle name="Calculation 3 6 2 11" xfId="36653" xr:uid="{00000000-0005-0000-0000-0000C0160000}"/>
    <cellStyle name="Calculation 3 6 2 12" xfId="40644" xr:uid="{00000000-0005-0000-0000-0000C1160000}"/>
    <cellStyle name="Calculation 3 6 2 13" xfId="44475" xr:uid="{00000000-0005-0000-0000-0000C2160000}"/>
    <cellStyle name="Calculation 3 6 2 2" xfId="3586" xr:uid="{00000000-0005-0000-0000-0000C3160000}"/>
    <cellStyle name="Calculation 3 6 2 2 10" xfId="38637" xr:uid="{00000000-0005-0000-0000-0000C4160000}"/>
    <cellStyle name="Calculation 3 6 2 2 11" xfId="42648" xr:uid="{00000000-0005-0000-0000-0000C5160000}"/>
    <cellStyle name="Calculation 3 6 2 2 12" xfId="46413" xr:uid="{00000000-0005-0000-0000-0000C6160000}"/>
    <cellStyle name="Calculation 3 6 2 2 2" xfId="7453" xr:uid="{00000000-0005-0000-0000-0000C7160000}"/>
    <cellStyle name="Calculation 3 6 2 2 3" xfId="11888" xr:uid="{00000000-0005-0000-0000-0000C8160000}"/>
    <cellStyle name="Calculation 3 6 2 2 4" xfId="15733" xr:uid="{00000000-0005-0000-0000-0000C9160000}"/>
    <cellStyle name="Calculation 3 6 2 2 5" xfId="19580" xr:uid="{00000000-0005-0000-0000-0000CA160000}"/>
    <cellStyle name="Calculation 3 6 2 2 6" xfId="23496" xr:uid="{00000000-0005-0000-0000-0000CB160000}"/>
    <cellStyle name="Calculation 3 6 2 2 7" xfId="27330" xr:uid="{00000000-0005-0000-0000-0000CC160000}"/>
    <cellStyle name="Calculation 3 6 2 2 8" xfId="31196" xr:uid="{00000000-0005-0000-0000-0000CD160000}"/>
    <cellStyle name="Calculation 3 6 2 2 9" xfId="34851" xr:uid="{00000000-0005-0000-0000-0000CE160000}"/>
    <cellStyle name="Calculation 3 6 2 3" xfId="5529" xr:uid="{00000000-0005-0000-0000-0000CF160000}"/>
    <cellStyle name="Calculation 3 6 2 4" xfId="9887" xr:uid="{00000000-0005-0000-0000-0000D0160000}"/>
    <cellStyle name="Calculation 3 6 2 5" xfId="13733" xr:uid="{00000000-0005-0000-0000-0000D1160000}"/>
    <cellStyle name="Calculation 3 6 2 6" xfId="17562" xr:uid="{00000000-0005-0000-0000-0000D2160000}"/>
    <cellStyle name="Calculation 3 6 2 7" xfId="21501" xr:uid="{00000000-0005-0000-0000-0000D3160000}"/>
    <cellStyle name="Calculation 3 6 2 8" xfId="25314" xr:uid="{00000000-0005-0000-0000-0000D4160000}"/>
    <cellStyle name="Calculation 3 6 2 9" xfId="29201" xr:uid="{00000000-0005-0000-0000-0000D5160000}"/>
    <cellStyle name="Calculation 3 6 3" xfId="2855" xr:uid="{00000000-0005-0000-0000-0000D6160000}"/>
    <cellStyle name="Calculation 3 6 3 10" xfId="37907" xr:uid="{00000000-0005-0000-0000-0000D7160000}"/>
    <cellStyle name="Calculation 3 6 3 11" xfId="41919" xr:uid="{00000000-0005-0000-0000-0000D8160000}"/>
    <cellStyle name="Calculation 3 6 3 12" xfId="45696" xr:uid="{00000000-0005-0000-0000-0000D9160000}"/>
    <cellStyle name="Calculation 3 6 3 2" xfId="6735" xr:uid="{00000000-0005-0000-0000-0000DA160000}"/>
    <cellStyle name="Calculation 3 6 3 3" xfId="11162" xr:uid="{00000000-0005-0000-0000-0000DB160000}"/>
    <cellStyle name="Calculation 3 6 3 4" xfId="15007" xr:uid="{00000000-0005-0000-0000-0000DC160000}"/>
    <cellStyle name="Calculation 3 6 3 5" xfId="18849" xr:uid="{00000000-0005-0000-0000-0000DD160000}"/>
    <cellStyle name="Calculation 3 6 3 6" xfId="22775" xr:uid="{00000000-0005-0000-0000-0000DE160000}"/>
    <cellStyle name="Calculation 3 6 3 7" xfId="26600" xr:uid="{00000000-0005-0000-0000-0000DF160000}"/>
    <cellStyle name="Calculation 3 6 3 8" xfId="30477" xr:uid="{00000000-0005-0000-0000-0000E0160000}"/>
    <cellStyle name="Calculation 3 6 3 9" xfId="34134" xr:uid="{00000000-0005-0000-0000-0000E1160000}"/>
    <cellStyle name="Calculation 3 6 4" xfId="4811" xr:uid="{00000000-0005-0000-0000-0000E2160000}"/>
    <cellStyle name="Calculation 3 6 5" xfId="9165" xr:uid="{00000000-0005-0000-0000-0000E3160000}"/>
    <cellStyle name="Calculation 3 6 6" xfId="13006" xr:uid="{00000000-0005-0000-0000-0000E4160000}"/>
    <cellStyle name="Calculation 3 6 7" xfId="16831" xr:uid="{00000000-0005-0000-0000-0000E5160000}"/>
    <cellStyle name="Calculation 3 6 8" xfId="20773" xr:uid="{00000000-0005-0000-0000-0000E6160000}"/>
    <cellStyle name="Calculation 3 6 9" xfId="24589" xr:uid="{00000000-0005-0000-0000-0000E7160000}"/>
    <cellStyle name="Calculation 3 7" xfId="2090" xr:uid="{00000000-0005-0000-0000-0000E8160000}"/>
    <cellStyle name="Calculation 3 7 10" xfId="33397" xr:uid="{00000000-0005-0000-0000-0000E9160000}"/>
    <cellStyle name="Calculation 3 7 11" xfId="37142" xr:uid="{00000000-0005-0000-0000-0000EA160000}"/>
    <cellStyle name="Calculation 3 7 12" xfId="41158" xr:uid="{00000000-0005-0000-0000-0000EB160000}"/>
    <cellStyle name="Calculation 3 7 13" xfId="44959" xr:uid="{00000000-0005-0000-0000-0000EC160000}"/>
    <cellStyle name="Calculation 3 7 2" xfId="4075" xr:uid="{00000000-0005-0000-0000-0000ED160000}"/>
    <cellStyle name="Calculation 3 7 2 10" xfId="39126" xr:uid="{00000000-0005-0000-0000-0000EE160000}"/>
    <cellStyle name="Calculation 3 7 2 11" xfId="43136" xr:uid="{00000000-0005-0000-0000-0000EF160000}"/>
    <cellStyle name="Calculation 3 7 2 12" xfId="46897" xr:uid="{00000000-0005-0000-0000-0000F0160000}"/>
    <cellStyle name="Calculation 3 7 2 2" xfId="7938" xr:uid="{00000000-0005-0000-0000-0000F1160000}"/>
    <cellStyle name="Calculation 3 7 2 3" xfId="12375" xr:uid="{00000000-0005-0000-0000-0000F2160000}"/>
    <cellStyle name="Calculation 3 7 2 4" xfId="16220" xr:uid="{00000000-0005-0000-0000-0000F3160000}"/>
    <cellStyle name="Calculation 3 7 2 5" xfId="20069" xr:uid="{00000000-0005-0000-0000-0000F4160000}"/>
    <cellStyle name="Calculation 3 7 2 6" xfId="23983" xr:uid="{00000000-0005-0000-0000-0000F5160000}"/>
    <cellStyle name="Calculation 3 7 2 7" xfId="27819" xr:uid="{00000000-0005-0000-0000-0000F6160000}"/>
    <cellStyle name="Calculation 3 7 2 8" xfId="31678" xr:uid="{00000000-0005-0000-0000-0000F7160000}"/>
    <cellStyle name="Calculation 3 7 2 9" xfId="35335" xr:uid="{00000000-0005-0000-0000-0000F8160000}"/>
    <cellStyle name="Calculation 3 7 3" xfId="6015" xr:uid="{00000000-0005-0000-0000-0000F9160000}"/>
    <cellStyle name="Calculation 3 7 4" xfId="10409" xr:uid="{00000000-0005-0000-0000-0000FA160000}"/>
    <cellStyle name="Calculation 3 7 5" xfId="14257" xr:uid="{00000000-0005-0000-0000-0000FB160000}"/>
    <cellStyle name="Calculation 3 7 6" xfId="18084" xr:uid="{00000000-0005-0000-0000-0000FC160000}"/>
    <cellStyle name="Calculation 3 7 7" xfId="22026" xr:uid="{00000000-0005-0000-0000-0000FD160000}"/>
    <cellStyle name="Calculation 3 7 8" xfId="25835" xr:uid="{00000000-0005-0000-0000-0000FE160000}"/>
    <cellStyle name="Calculation 3 7 9" xfId="29715" xr:uid="{00000000-0005-0000-0000-0000FF160000}"/>
    <cellStyle name="Calculation 3 8" xfId="2154" xr:uid="{00000000-0005-0000-0000-000000170000}"/>
    <cellStyle name="Calculation 3 8 10" xfId="33455" xr:uid="{00000000-0005-0000-0000-000001170000}"/>
    <cellStyle name="Calculation 3 8 11" xfId="37206" xr:uid="{00000000-0005-0000-0000-000002170000}"/>
    <cellStyle name="Calculation 3 8 12" xfId="41222" xr:uid="{00000000-0005-0000-0000-000003170000}"/>
    <cellStyle name="Calculation 3 8 13" xfId="45017" xr:uid="{00000000-0005-0000-0000-000004170000}"/>
    <cellStyle name="Calculation 3 8 2" xfId="4137" xr:uid="{00000000-0005-0000-0000-000005170000}"/>
    <cellStyle name="Calculation 3 8 2 10" xfId="39188" xr:uid="{00000000-0005-0000-0000-000006170000}"/>
    <cellStyle name="Calculation 3 8 2 11" xfId="43198" xr:uid="{00000000-0005-0000-0000-000007170000}"/>
    <cellStyle name="Calculation 3 8 2 12" xfId="46955" xr:uid="{00000000-0005-0000-0000-000008170000}"/>
    <cellStyle name="Calculation 3 8 2 2" xfId="7996" xr:uid="{00000000-0005-0000-0000-000009170000}"/>
    <cellStyle name="Calculation 3 8 2 3" xfId="12436" xr:uid="{00000000-0005-0000-0000-00000A170000}"/>
    <cellStyle name="Calculation 3 8 2 4" xfId="16281" xr:uid="{00000000-0005-0000-0000-00000B170000}"/>
    <cellStyle name="Calculation 3 8 2 5" xfId="20131" xr:uid="{00000000-0005-0000-0000-00000C170000}"/>
    <cellStyle name="Calculation 3 8 2 6" xfId="24043" xr:uid="{00000000-0005-0000-0000-00000D170000}"/>
    <cellStyle name="Calculation 3 8 2 7" xfId="27881" xr:uid="{00000000-0005-0000-0000-00000E170000}"/>
    <cellStyle name="Calculation 3 8 2 8" xfId="31740" xr:uid="{00000000-0005-0000-0000-00000F170000}"/>
    <cellStyle name="Calculation 3 8 2 9" xfId="35393" xr:uid="{00000000-0005-0000-0000-000010170000}"/>
    <cellStyle name="Calculation 3 8 3" xfId="6070" xr:uid="{00000000-0005-0000-0000-000011170000}"/>
    <cellStyle name="Calculation 3 8 4" xfId="10471" xr:uid="{00000000-0005-0000-0000-000012170000}"/>
    <cellStyle name="Calculation 3 8 5" xfId="14317" xr:uid="{00000000-0005-0000-0000-000013170000}"/>
    <cellStyle name="Calculation 3 8 6" xfId="18148" xr:uid="{00000000-0005-0000-0000-000014170000}"/>
    <cellStyle name="Calculation 3 8 7" xfId="22087" xr:uid="{00000000-0005-0000-0000-000015170000}"/>
    <cellStyle name="Calculation 3 8 8" xfId="25899" xr:uid="{00000000-0005-0000-0000-000016170000}"/>
    <cellStyle name="Calculation 3 8 9" xfId="29779" xr:uid="{00000000-0005-0000-0000-000017170000}"/>
    <cellStyle name="Calculation 3 9" xfId="2084" xr:uid="{00000000-0005-0000-0000-000018170000}"/>
    <cellStyle name="Calculation 3 9 10" xfId="33391" xr:uid="{00000000-0005-0000-0000-000019170000}"/>
    <cellStyle name="Calculation 3 9 11" xfId="37136" xr:uid="{00000000-0005-0000-0000-00001A170000}"/>
    <cellStyle name="Calculation 3 9 12" xfId="41152" xr:uid="{00000000-0005-0000-0000-00001B170000}"/>
    <cellStyle name="Calculation 3 9 13" xfId="44953" xr:uid="{00000000-0005-0000-0000-00001C170000}"/>
    <cellStyle name="Calculation 3 9 2" xfId="4069" xr:uid="{00000000-0005-0000-0000-00001D170000}"/>
    <cellStyle name="Calculation 3 9 2 10" xfId="39120" xr:uid="{00000000-0005-0000-0000-00001E170000}"/>
    <cellStyle name="Calculation 3 9 2 11" xfId="43130" xr:uid="{00000000-0005-0000-0000-00001F170000}"/>
    <cellStyle name="Calculation 3 9 2 12" xfId="46891" xr:uid="{00000000-0005-0000-0000-000020170000}"/>
    <cellStyle name="Calculation 3 9 2 2" xfId="7932" xr:uid="{00000000-0005-0000-0000-000021170000}"/>
    <cellStyle name="Calculation 3 9 2 3" xfId="12369" xr:uid="{00000000-0005-0000-0000-000022170000}"/>
    <cellStyle name="Calculation 3 9 2 4" xfId="16214" xr:uid="{00000000-0005-0000-0000-000023170000}"/>
    <cellStyle name="Calculation 3 9 2 5" xfId="20063" xr:uid="{00000000-0005-0000-0000-000024170000}"/>
    <cellStyle name="Calculation 3 9 2 6" xfId="23977" xr:uid="{00000000-0005-0000-0000-000025170000}"/>
    <cellStyle name="Calculation 3 9 2 7" xfId="27813" xr:uid="{00000000-0005-0000-0000-000026170000}"/>
    <cellStyle name="Calculation 3 9 2 8" xfId="31672" xr:uid="{00000000-0005-0000-0000-000027170000}"/>
    <cellStyle name="Calculation 3 9 2 9" xfId="35329" xr:uid="{00000000-0005-0000-0000-000028170000}"/>
    <cellStyle name="Calculation 3 9 3" xfId="6009" xr:uid="{00000000-0005-0000-0000-000029170000}"/>
    <cellStyle name="Calculation 3 9 4" xfId="10403" xr:uid="{00000000-0005-0000-0000-00002A170000}"/>
    <cellStyle name="Calculation 3 9 5" xfId="14251" xr:uid="{00000000-0005-0000-0000-00002B170000}"/>
    <cellStyle name="Calculation 3 9 6" xfId="18078" xr:uid="{00000000-0005-0000-0000-00002C170000}"/>
    <cellStyle name="Calculation 3 9 7" xfId="22020" xr:uid="{00000000-0005-0000-0000-00002D170000}"/>
    <cellStyle name="Calculation 3 9 8" xfId="25829" xr:uid="{00000000-0005-0000-0000-00002E170000}"/>
    <cellStyle name="Calculation 3 9 9" xfId="29709" xr:uid="{00000000-0005-0000-0000-00002F170000}"/>
    <cellStyle name="Check Cell" xfId="20" builtinId="23" customBuiltin="1"/>
    <cellStyle name="Check Cell 2" xfId="101" xr:uid="{00000000-0005-0000-0000-000031170000}"/>
    <cellStyle name="Check Cell 3" xfId="102" xr:uid="{00000000-0005-0000-0000-000032170000}"/>
    <cellStyle name="Comma" xfId="47722" builtinId="3"/>
    <cellStyle name="Comma 10" xfId="103" xr:uid="{00000000-0005-0000-0000-000034170000}"/>
    <cellStyle name="Comma 11" xfId="104" xr:uid="{00000000-0005-0000-0000-000035170000}"/>
    <cellStyle name="Comma 12" xfId="105" xr:uid="{00000000-0005-0000-0000-000036170000}"/>
    <cellStyle name="Comma 13" xfId="106" xr:uid="{00000000-0005-0000-0000-000037170000}"/>
    <cellStyle name="Comma 14" xfId="107" xr:uid="{00000000-0005-0000-0000-000038170000}"/>
    <cellStyle name="Comma 15" xfId="108" xr:uid="{00000000-0005-0000-0000-000039170000}"/>
    <cellStyle name="Comma 16" xfId="109" xr:uid="{00000000-0005-0000-0000-00003A170000}"/>
    <cellStyle name="Comma 17" xfId="110" xr:uid="{00000000-0005-0000-0000-00003B170000}"/>
    <cellStyle name="Comma 17 2" xfId="298" xr:uid="{00000000-0005-0000-0000-00003C170000}"/>
    <cellStyle name="Comma 18" xfId="299" xr:uid="{00000000-0005-0000-0000-00003D170000}"/>
    <cellStyle name="Comma 18 2" xfId="300" xr:uid="{00000000-0005-0000-0000-00003E170000}"/>
    <cellStyle name="Comma 18 3" xfId="301" xr:uid="{00000000-0005-0000-0000-00003F170000}"/>
    <cellStyle name="Comma 18 3 2" xfId="302" xr:uid="{00000000-0005-0000-0000-000040170000}"/>
    <cellStyle name="Comma 18 3 3" xfId="303" xr:uid="{00000000-0005-0000-0000-000041170000}"/>
    <cellStyle name="Comma 18 3 3 2" xfId="304" xr:uid="{00000000-0005-0000-0000-000042170000}"/>
    <cellStyle name="Comma 18 3 3 3" xfId="305" xr:uid="{00000000-0005-0000-0000-000043170000}"/>
    <cellStyle name="Comma 18 3 3 3 2" xfId="306" xr:uid="{00000000-0005-0000-0000-000044170000}"/>
    <cellStyle name="Comma 18 4" xfId="307" xr:uid="{00000000-0005-0000-0000-000045170000}"/>
    <cellStyle name="Comma 18 5" xfId="308" xr:uid="{00000000-0005-0000-0000-000046170000}"/>
    <cellStyle name="Comma 18 5 2" xfId="309" xr:uid="{00000000-0005-0000-0000-000047170000}"/>
    <cellStyle name="Comma 18 5 3" xfId="310" xr:uid="{00000000-0005-0000-0000-000048170000}"/>
    <cellStyle name="Comma 18 5 3 2" xfId="311" xr:uid="{00000000-0005-0000-0000-000049170000}"/>
    <cellStyle name="Comma 18 6" xfId="312" xr:uid="{00000000-0005-0000-0000-00004A170000}"/>
    <cellStyle name="Comma 19" xfId="313" xr:uid="{00000000-0005-0000-0000-00004B170000}"/>
    <cellStyle name="Comma 2" xfId="111" xr:uid="{00000000-0005-0000-0000-00004C170000}"/>
    <cellStyle name="Comma 2 2" xfId="314" xr:uid="{00000000-0005-0000-0000-00004D170000}"/>
    <cellStyle name="Comma 2 2 2" xfId="315" xr:uid="{00000000-0005-0000-0000-00004E170000}"/>
    <cellStyle name="Comma 2 2 2 2" xfId="47315" xr:uid="{00000000-0005-0000-0000-00004F170000}"/>
    <cellStyle name="Comma 2 3" xfId="316" xr:uid="{00000000-0005-0000-0000-000050170000}"/>
    <cellStyle name="Comma 2 3 2" xfId="317" xr:uid="{00000000-0005-0000-0000-000051170000}"/>
    <cellStyle name="Comma 2 3 3" xfId="744" xr:uid="{00000000-0005-0000-0000-000052170000}"/>
    <cellStyle name="Comma 2 4" xfId="522" xr:uid="{00000000-0005-0000-0000-000053170000}"/>
    <cellStyle name="Comma 20" xfId="318" xr:uid="{00000000-0005-0000-0000-000054170000}"/>
    <cellStyle name="Comma 21" xfId="319" xr:uid="{00000000-0005-0000-0000-000055170000}"/>
    <cellStyle name="Comma 22" xfId="2080" xr:uid="{00000000-0005-0000-0000-000056170000}"/>
    <cellStyle name="Comma 23" xfId="4492" xr:uid="{00000000-0005-0000-0000-000057170000}"/>
    <cellStyle name="Comma 3" xfId="112" xr:uid="{00000000-0005-0000-0000-000058170000}"/>
    <cellStyle name="Comma 3 2" xfId="113" xr:uid="{00000000-0005-0000-0000-000059170000}"/>
    <cellStyle name="Comma 3 2 2" xfId="773" xr:uid="{00000000-0005-0000-0000-00005A170000}"/>
    <cellStyle name="Comma 3 3" xfId="320" xr:uid="{00000000-0005-0000-0000-00005B170000}"/>
    <cellStyle name="Comma 3 3 2" xfId="774" xr:uid="{00000000-0005-0000-0000-00005C170000}"/>
    <cellStyle name="Comma 3 4" xfId="47309" xr:uid="{00000000-0005-0000-0000-00005D170000}"/>
    <cellStyle name="Comma 4" xfId="114" xr:uid="{00000000-0005-0000-0000-00005E170000}"/>
    <cellStyle name="Comma 4 2" xfId="115" xr:uid="{00000000-0005-0000-0000-00005F170000}"/>
    <cellStyle name="Comma 4 2 2" xfId="321" xr:uid="{00000000-0005-0000-0000-000060170000}"/>
    <cellStyle name="Comma 4 2 3" xfId="47311" xr:uid="{00000000-0005-0000-0000-000061170000}"/>
    <cellStyle name="Comma 4 3" xfId="322" xr:uid="{00000000-0005-0000-0000-000062170000}"/>
    <cellStyle name="Comma 4 4" xfId="745" xr:uid="{00000000-0005-0000-0000-000063170000}"/>
    <cellStyle name="Comma 5" xfId="116" xr:uid="{00000000-0005-0000-0000-000064170000}"/>
    <cellStyle name="Comma 5 2" xfId="323" xr:uid="{00000000-0005-0000-0000-000065170000}"/>
    <cellStyle name="Comma 5 2 2" xfId="47314" xr:uid="{00000000-0005-0000-0000-000066170000}"/>
    <cellStyle name="Comma 5 3" xfId="775" xr:uid="{00000000-0005-0000-0000-000067170000}"/>
    <cellStyle name="Comma 6" xfId="117" xr:uid="{00000000-0005-0000-0000-000068170000}"/>
    <cellStyle name="Comma 6 2" xfId="746" xr:uid="{00000000-0005-0000-0000-000069170000}"/>
    <cellStyle name="Comma 7" xfId="118" xr:uid="{00000000-0005-0000-0000-00006A170000}"/>
    <cellStyle name="Comma 8" xfId="119" xr:uid="{00000000-0005-0000-0000-00006B170000}"/>
    <cellStyle name="Comma 9" xfId="120" xr:uid="{00000000-0005-0000-0000-00006C170000}"/>
    <cellStyle name="Comma 9 2" xfId="121" xr:uid="{00000000-0005-0000-0000-00006D170000}"/>
    <cellStyle name="Comma 9 3" xfId="122" xr:uid="{00000000-0005-0000-0000-00006E170000}"/>
    <cellStyle name="Comma 9 4" xfId="123" xr:uid="{00000000-0005-0000-0000-00006F170000}"/>
    <cellStyle name="Comma 9 5" xfId="124" xr:uid="{00000000-0005-0000-0000-000070170000}"/>
    <cellStyle name="Comma 9 6" xfId="125" xr:uid="{00000000-0005-0000-0000-000071170000}"/>
    <cellStyle name="Comma 9 7" xfId="126" xr:uid="{00000000-0005-0000-0000-000072170000}"/>
    <cellStyle name="Comma 9 8" xfId="127" xr:uid="{00000000-0005-0000-0000-000073170000}"/>
    <cellStyle name="Currency" xfId="47727" builtinId="4"/>
    <cellStyle name="Currency 10" xfId="128" xr:uid="{00000000-0005-0000-0000-000074170000}"/>
    <cellStyle name="Currency 11" xfId="129" xr:uid="{00000000-0005-0000-0000-000075170000}"/>
    <cellStyle name="Currency 12" xfId="130" xr:uid="{00000000-0005-0000-0000-000076170000}"/>
    <cellStyle name="Currency 12 2" xfId="131" xr:uid="{00000000-0005-0000-0000-000077170000}"/>
    <cellStyle name="Currency 12 3" xfId="132" xr:uid="{00000000-0005-0000-0000-000078170000}"/>
    <cellStyle name="Currency 12 4" xfId="133" xr:uid="{00000000-0005-0000-0000-000079170000}"/>
    <cellStyle name="Currency 12 5" xfId="134" xr:uid="{00000000-0005-0000-0000-00007A170000}"/>
    <cellStyle name="Currency 12 6" xfId="135" xr:uid="{00000000-0005-0000-0000-00007B170000}"/>
    <cellStyle name="Currency 12 7" xfId="136" xr:uid="{00000000-0005-0000-0000-00007C170000}"/>
    <cellStyle name="Currency 12 8" xfId="137" xr:uid="{00000000-0005-0000-0000-00007D170000}"/>
    <cellStyle name="Currency 13" xfId="138" xr:uid="{00000000-0005-0000-0000-00007E170000}"/>
    <cellStyle name="Currency 14" xfId="139" xr:uid="{00000000-0005-0000-0000-00007F170000}"/>
    <cellStyle name="Currency 15" xfId="140" xr:uid="{00000000-0005-0000-0000-000080170000}"/>
    <cellStyle name="Currency 16" xfId="141" xr:uid="{00000000-0005-0000-0000-000081170000}"/>
    <cellStyle name="Currency 17" xfId="142" xr:uid="{00000000-0005-0000-0000-000082170000}"/>
    <cellStyle name="Currency 18" xfId="143" xr:uid="{00000000-0005-0000-0000-000083170000}"/>
    <cellStyle name="Currency 19" xfId="144" xr:uid="{00000000-0005-0000-0000-000084170000}"/>
    <cellStyle name="Currency 2" xfId="145" xr:uid="{00000000-0005-0000-0000-000085170000}"/>
    <cellStyle name="Currency 2 2" xfId="146" xr:uid="{00000000-0005-0000-0000-000086170000}"/>
    <cellStyle name="Currency 2 2 2" xfId="324" xr:uid="{00000000-0005-0000-0000-000087170000}"/>
    <cellStyle name="Currency 2 2 3" xfId="325" xr:uid="{00000000-0005-0000-0000-000088170000}"/>
    <cellStyle name="Currency 2 3" xfId="147" xr:uid="{00000000-0005-0000-0000-000089170000}"/>
    <cellStyle name="Currency 2 3 2" xfId="326" xr:uid="{00000000-0005-0000-0000-00008A170000}"/>
    <cellStyle name="Currency 2 4" xfId="327" xr:uid="{00000000-0005-0000-0000-00008B170000}"/>
    <cellStyle name="Currency 2 4 2" xfId="328" xr:uid="{00000000-0005-0000-0000-00008C170000}"/>
    <cellStyle name="Currency 2 5" xfId="329" xr:uid="{00000000-0005-0000-0000-00008D170000}"/>
    <cellStyle name="Currency 20" xfId="148" xr:uid="{00000000-0005-0000-0000-00008E170000}"/>
    <cellStyle name="Currency 20 2" xfId="330" xr:uid="{00000000-0005-0000-0000-00008F170000}"/>
    <cellStyle name="Currency 21" xfId="331" xr:uid="{00000000-0005-0000-0000-000090170000}"/>
    <cellStyle name="Currency 21 2" xfId="332" xr:uid="{00000000-0005-0000-0000-000091170000}"/>
    <cellStyle name="Currency 21 3" xfId="333" xr:uid="{00000000-0005-0000-0000-000092170000}"/>
    <cellStyle name="Currency 21 3 2" xfId="334" xr:uid="{00000000-0005-0000-0000-000093170000}"/>
    <cellStyle name="Currency 21 3 3" xfId="335" xr:uid="{00000000-0005-0000-0000-000094170000}"/>
    <cellStyle name="Currency 21 3 3 2" xfId="336" xr:uid="{00000000-0005-0000-0000-000095170000}"/>
    <cellStyle name="Currency 21 3 3 3" xfId="337" xr:uid="{00000000-0005-0000-0000-000096170000}"/>
    <cellStyle name="Currency 21 3 3 3 2" xfId="338" xr:uid="{00000000-0005-0000-0000-000097170000}"/>
    <cellStyle name="Currency 21 4" xfId="339" xr:uid="{00000000-0005-0000-0000-000098170000}"/>
    <cellStyle name="Currency 21 5" xfId="340" xr:uid="{00000000-0005-0000-0000-000099170000}"/>
    <cellStyle name="Currency 21 5 2" xfId="341" xr:uid="{00000000-0005-0000-0000-00009A170000}"/>
    <cellStyle name="Currency 21 5 3" xfId="342" xr:uid="{00000000-0005-0000-0000-00009B170000}"/>
    <cellStyle name="Currency 21 5 3 2" xfId="343" xr:uid="{00000000-0005-0000-0000-00009C170000}"/>
    <cellStyle name="Currency 21 6" xfId="344" xr:uid="{00000000-0005-0000-0000-00009D170000}"/>
    <cellStyle name="Currency 22" xfId="345" xr:uid="{00000000-0005-0000-0000-00009E170000}"/>
    <cellStyle name="Currency 23" xfId="346" xr:uid="{00000000-0005-0000-0000-00009F170000}"/>
    <cellStyle name="Currency 24" xfId="347" xr:uid="{00000000-0005-0000-0000-0000A0170000}"/>
    <cellStyle name="Currency 25" xfId="4493" xr:uid="{00000000-0005-0000-0000-0000A1170000}"/>
    <cellStyle name="Currency 3" xfId="149" xr:uid="{00000000-0005-0000-0000-0000A2170000}"/>
    <cellStyle name="Currency 3 2" xfId="150" xr:uid="{00000000-0005-0000-0000-0000A3170000}"/>
    <cellStyle name="Currency 3 3" xfId="151" xr:uid="{00000000-0005-0000-0000-0000A4170000}"/>
    <cellStyle name="Currency 3 3 2" xfId="152" xr:uid="{00000000-0005-0000-0000-0000A5170000}"/>
    <cellStyle name="Currency 3 4" xfId="153" xr:uid="{00000000-0005-0000-0000-0000A6170000}"/>
    <cellStyle name="Currency 3 5" xfId="348" xr:uid="{00000000-0005-0000-0000-0000A7170000}"/>
    <cellStyle name="Currency 4" xfId="154" xr:uid="{00000000-0005-0000-0000-0000A8170000}"/>
    <cellStyle name="Currency 4 2" xfId="349" xr:uid="{00000000-0005-0000-0000-0000A9170000}"/>
    <cellStyle name="Currency 5" xfId="155" xr:uid="{00000000-0005-0000-0000-0000AA170000}"/>
    <cellStyle name="Currency 5 2" xfId="350" xr:uid="{00000000-0005-0000-0000-0000AB170000}"/>
    <cellStyle name="Currency 6" xfId="156" xr:uid="{00000000-0005-0000-0000-0000AC170000}"/>
    <cellStyle name="Currency 6 2" xfId="157" xr:uid="{00000000-0005-0000-0000-0000AD170000}"/>
    <cellStyle name="Currency 6 3" xfId="158" xr:uid="{00000000-0005-0000-0000-0000AE170000}"/>
    <cellStyle name="Currency 6 4" xfId="159" xr:uid="{00000000-0005-0000-0000-0000AF170000}"/>
    <cellStyle name="Currency 6 5" xfId="160" xr:uid="{00000000-0005-0000-0000-0000B0170000}"/>
    <cellStyle name="Currency 6 6" xfId="161" xr:uid="{00000000-0005-0000-0000-0000B1170000}"/>
    <cellStyle name="Currency 7" xfId="162" xr:uid="{00000000-0005-0000-0000-0000B2170000}"/>
    <cellStyle name="Currency 7 2" xfId="163" xr:uid="{00000000-0005-0000-0000-0000B3170000}"/>
    <cellStyle name="Currency 7 2 2" xfId="351" xr:uid="{00000000-0005-0000-0000-0000B4170000}"/>
    <cellStyle name="Currency 7 2 3" xfId="47317" xr:uid="{00000000-0005-0000-0000-0000B5170000}"/>
    <cellStyle name="Currency 7 3" xfId="352" xr:uid="{00000000-0005-0000-0000-0000B6170000}"/>
    <cellStyle name="Currency 7 4" xfId="747" xr:uid="{00000000-0005-0000-0000-0000B7170000}"/>
    <cellStyle name="Currency 8" xfId="164" xr:uid="{00000000-0005-0000-0000-0000B8170000}"/>
    <cellStyle name="Currency 8 2" xfId="353" xr:uid="{00000000-0005-0000-0000-0000B9170000}"/>
    <cellStyle name="Currency 9" xfId="165" xr:uid="{00000000-0005-0000-0000-0000BA170000}"/>
    <cellStyle name="Default" xfId="523" xr:uid="{00000000-0005-0000-0000-0000BB170000}"/>
    <cellStyle name="Explanatory Text" xfId="23" builtinId="53" customBuiltin="1"/>
    <cellStyle name="Explanatory Text 2" xfId="166" xr:uid="{00000000-0005-0000-0000-0000BD170000}"/>
    <cellStyle name="Explanatory Text 3" xfId="167" xr:uid="{00000000-0005-0000-0000-0000BE170000}"/>
    <cellStyle name="Good" xfId="13" builtinId="26" customBuiltin="1"/>
    <cellStyle name="Good 2" xfId="168" xr:uid="{00000000-0005-0000-0000-0000C0170000}"/>
    <cellStyle name="Good 3" xfId="169" xr:uid="{00000000-0005-0000-0000-0000C1170000}"/>
    <cellStyle name="Heading 1" xfId="9" builtinId="16" customBuiltin="1"/>
    <cellStyle name="Heading 1 2" xfId="170" xr:uid="{00000000-0005-0000-0000-0000C3170000}"/>
    <cellStyle name="Heading 1 3" xfId="171" xr:uid="{00000000-0005-0000-0000-0000C4170000}"/>
    <cellStyle name="Heading 2" xfId="10" builtinId="17" customBuiltin="1"/>
    <cellStyle name="Heading 2 2" xfId="172" xr:uid="{00000000-0005-0000-0000-0000C6170000}"/>
    <cellStyle name="Heading 2 3" xfId="173" xr:uid="{00000000-0005-0000-0000-0000C7170000}"/>
    <cellStyle name="Heading 3" xfId="11" builtinId="18" customBuiltin="1"/>
    <cellStyle name="Heading 3 2" xfId="174" xr:uid="{00000000-0005-0000-0000-0000C9170000}"/>
    <cellStyle name="Heading 3 2 2" xfId="354" xr:uid="{00000000-0005-0000-0000-0000CA170000}"/>
    <cellStyle name="Heading 3 2 2 10" xfId="2093" xr:uid="{00000000-0005-0000-0000-0000CB170000}"/>
    <cellStyle name="Heading 3 2 2 10 2" xfId="18087" xr:uid="{00000000-0005-0000-0000-0000CC170000}"/>
    <cellStyle name="Heading 3 2 2 10 3" xfId="25838" xr:uid="{00000000-0005-0000-0000-0000CD170000}"/>
    <cellStyle name="Heading 3 2 2 10 4" xfId="29718" xr:uid="{00000000-0005-0000-0000-0000CE170000}"/>
    <cellStyle name="Heading 3 2 2 10 5" xfId="37145" xr:uid="{00000000-0005-0000-0000-0000CF170000}"/>
    <cellStyle name="Heading 3 2 2 10 6" xfId="41161" xr:uid="{00000000-0005-0000-0000-0000D0170000}"/>
    <cellStyle name="Heading 3 2 2 11" xfId="14600" xr:uid="{00000000-0005-0000-0000-0000D1170000}"/>
    <cellStyle name="Heading 3 2 2 12" xfId="18049" xr:uid="{00000000-0005-0000-0000-0000D2170000}"/>
    <cellStyle name="Heading 3 2 2 13" xfId="24516" xr:uid="{00000000-0005-0000-0000-0000D3170000}"/>
    <cellStyle name="Heading 3 2 2 14" xfId="33360" xr:uid="{00000000-0005-0000-0000-0000D4170000}"/>
    <cellStyle name="Heading 3 2 2 15" xfId="40094" xr:uid="{00000000-0005-0000-0000-0000D5170000}"/>
    <cellStyle name="Heading 3 2 2 16" xfId="47408" xr:uid="{00000000-0005-0000-0000-0000D6170000}"/>
    <cellStyle name="Heading 3 2 2 2" xfId="652" xr:uid="{00000000-0005-0000-0000-0000D7170000}"/>
    <cellStyle name="Heading 3 2 2 2 2" xfId="1032" xr:uid="{00000000-0005-0000-0000-0000D8170000}"/>
    <cellStyle name="Heading 3 2 2 2 2 2" xfId="3022" xr:uid="{00000000-0005-0000-0000-0000D9170000}"/>
    <cellStyle name="Heading 3 2 2 2 2 2 2" xfId="19016" xr:uid="{00000000-0005-0000-0000-0000DA170000}"/>
    <cellStyle name="Heading 3 2 2 2 2 2 3" xfId="26767" xr:uid="{00000000-0005-0000-0000-0000DB170000}"/>
    <cellStyle name="Heading 3 2 2 2 2 2 4" xfId="30641" xr:uid="{00000000-0005-0000-0000-0000DC170000}"/>
    <cellStyle name="Heading 3 2 2 2 2 2 5" xfId="38074" xr:uid="{00000000-0005-0000-0000-0000DD170000}"/>
    <cellStyle name="Heading 3 2 2 2 2 2 6" xfId="42086" xr:uid="{00000000-0005-0000-0000-0000DE170000}"/>
    <cellStyle name="Heading 3 2 2 2 2 3" xfId="16998" xr:uid="{00000000-0005-0000-0000-0000DF170000}"/>
    <cellStyle name="Heading 3 2 2 2 2 4" xfId="20940" xr:uid="{00000000-0005-0000-0000-0000E0170000}"/>
    <cellStyle name="Heading 3 2 2 2 2 5" xfId="28643" xr:uid="{00000000-0005-0000-0000-0000E1170000}"/>
    <cellStyle name="Heading 3 2 2 2 2 6" xfId="36090" xr:uid="{00000000-0005-0000-0000-0000E2170000}"/>
    <cellStyle name="Heading 3 2 2 2 2 7" xfId="43916" xr:uid="{00000000-0005-0000-0000-0000E3170000}"/>
    <cellStyle name="Heading 3 2 2 2 3" xfId="2655" xr:uid="{00000000-0005-0000-0000-0000E4170000}"/>
    <cellStyle name="Heading 3 2 2 2 3 2" xfId="18649" xr:uid="{00000000-0005-0000-0000-0000E5170000}"/>
    <cellStyle name="Heading 3 2 2 2 3 3" xfId="26400" xr:uid="{00000000-0005-0000-0000-0000E6170000}"/>
    <cellStyle name="Heading 3 2 2 2 3 4" xfId="30279" xr:uid="{00000000-0005-0000-0000-0000E7170000}"/>
    <cellStyle name="Heading 3 2 2 2 3 5" xfId="37707" xr:uid="{00000000-0005-0000-0000-0000E8170000}"/>
    <cellStyle name="Heading 3 2 2 2 3 6" xfId="41721" xr:uid="{00000000-0005-0000-0000-0000E9170000}"/>
    <cellStyle name="Heading 3 2 2 2 4" xfId="14226" xr:uid="{00000000-0005-0000-0000-0000EA170000}"/>
    <cellStyle name="Heading 3 2 2 2 5" xfId="20565" xr:uid="{00000000-0005-0000-0000-0000EB170000}"/>
    <cellStyle name="Heading 3 2 2 2 6" xfId="28279" xr:uid="{00000000-0005-0000-0000-0000EC170000}"/>
    <cellStyle name="Heading 3 2 2 2 7" xfId="33365" xr:uid="{00000000-0005-0000-0000-0000ED170000}"/>
    <cellStyle name="Heading 3 2 2 2 8" xfId="39543" xr:uid="{00000000-0005-0000-0000-0000EE170000}"/>
    <cellStyle name="Heading 3 2 2 3" xfId="589" xr:uid="{00000000-0005-0000-0000-0000EF170000}"/>
    <cellStyle name="Heading 3 2 2 3 2" xfId="969" xr:uid="{00000000-0005-0000-0000-0000F0170000}"/>
    <cellStyle name="Heading 3 2 2 3 2 2" xfId="2959" xr:uid="{00000000-0005-0000-0000-0000F1170000}"/>
    <cellStyle name="Heading 3 2 2 3 2 2 2" xfId="18953" xr:uid="{00000000-0005-0000-0000-0000F2170000}"/>
    <cellStyle name="Heading 3 2 2 3 2 2 3" xfId="26704" xr:uid="{00000000-0005-0000-0000-0000F3170000}"/>
    <cellStyle name="Heading 3 2 2 3 2 2 4" xfId="30578" xr:uid="{00000000-0005-0000-0000-0000F4170000}"/>
    <cellStyle name="Heading 3 2 2 3 2 2 5" xfId="38011" xr:uid="{00000000-0005-0000-0000-0000F5170000}"/>
    <cellStyle name="Heading 3 2 2 3 2 2 6" xfId="42023" xr:uid="{00000000-0005-0000-0000-0000F6170000}"/>
    <cellStyle name="Heading 3 2 2 3 2 3" xfId="16935" xr:uid="{00000000-0005-0000-0000-0000F7170000}"/>
    <cellStyle name="Heading 3 2 2 3 2 4" xfId="20877" xr:uid="{00000000-0005-0000-0000-0000F8170000}"/>
    <cellStyle name="Heading 3 2 2 3 2 5" xfId="28580" xr:uid="{00000000-0005-0000-0000-0000F9170000}"/>
    <cellStyle name="Heading 3 2 2 3 2 6" xfId="36027" xr:uid="{00000000-0005-0000-0000-0000FA170000}"/>
    <cellStyle name="Heading 3 2 2 3 2 7" xfId="43853" xr:uid="{00000000-0005-0000-0000-0000FB170000}"/>
    <cellStyle name="Heading 3 2 2 3 3" xfId="2592" xr:uid="{00000000-0005-0000-0000-0000FC170000}"/>
    <cellStyle name="Heading 3 2 2 3 3 2" xfId="18586" xr:uid="{00000000-0005-0000-0000-0000FD170000}"/>
    <cellStyle name="Heading 3 2 2 3 3 3" xfId="26337" xr:uid="{00000000-0005-0000-0000-0000FE170000}"/>
    <cellStyle name="Heading 3 2 2 3 3 4" xfId="30216" xr:uid="{00000000-0005-0000-0000-0000FF170000}"/>
    <cellStyle name="Heading 3 2 2 3 3 5" xfId="37644" xr:uid="{00000000-0005-0000-0000-000000180000}"/>
    <cellStyle name="Heading 3 2 2 3 3 6" xfId="41658" xr:uid="{00000000-0005-0000-0000-000001180000}"/>
    <cellStyle name="Heading 3 2 2 3 4" xfId="14237" xr:uid="{00000000-0005-0000-0000-000002180000}"/>
    <cellStyle name="Heading 3 2 2 3 5" xfId="20502" xr:uid="{00000000-0005-0000-0000-000003180000}"/>
    <cellStyle name="Heading 3 2 2 3 6" xfId="25801" xr:uid="{00000000-0005-0000-0000-000004180000}"/>
    <cellStyle name="Heading 3 2 2 3 7" xfId="33361" xr:uid="{00000000-0005-0000-0000-000005180000}"/>
    <cellStyle name="Heading 3 2 2 3 8" xfId="39585" xr:uid="{00000000-0005-0000-0000-000006180000}"/>
    <cellStyle name="Heading 3 2 2 4" xfId="779" xr:uid="{00000000-0005-0000-0000-000007180000}"/>
    <cellStyle name="Heading 3 2 2 4 2" xfId="1145" xr:uid="{00000000-0005-0000-0000-000008180000}"/>
    <cellStyle name="Heading 3 2 2 4 2 2" xfId="3135" xr:uid="{00000000-0005-0000-0000-000009180000}"/>
    <cellStyle name="Heading 3 2 2 4 2 2 2" xfId="19129" xr:uid="{00000000-0005-0000-0000-00000A180000}"/>
    <cellStyle name="Heading 3 2 2 4 2 2 3" xfId="26880" xr:uid="{00000000-0005-0000-0000-00000B180000}"/>
    <cellStyle name="Heading 3 2 2 4 2 2 4" xfId="30752" xr:uid="{00000000-0005-0000-0000-00000C180000}"/>
    <cellStyle name="Heading 3 2 2 4 2 2 5" xfId="38187" xr:uid="{00000000-0005-0000-0000-00000D180000}"/>
    <cellStyle name="Heading 3 2 2 4 2 2 6" xfId="42199" xr:uid="{00000000-0005-0000-0000-00000E180000}"/>
    <cellStyle name="Heading 3 2 2 4 2 3" xfId="17111" xr:uid="{00000000-0005-0000-0000-00000F180000}"/>
    <cellStyle name="Heading 3 2 2 4 2 4" xfId="21053" xr:uid="{00000000-0005-0000-0000-000010180000}"/>
    <cellStyle name="Heading 3 2 2 4 2 5" xfId="28754" xr:uid="{00000000-0005-0000-0000-000011180000}"/>
    <cellStyle name="Heading 3 2 2 4 2 6" xfId="36203" xr:uid="{00000000-0005-0000-0000-000012180000}"/>
    <cellStyle name="Heading 3 2 2 4 2 7" xfId="44029" xr:uid="{00000000-0005-0000-0000-000013180000}"/>
    <cellStyle name="Heading 3 2 2 4 3" xfId="2771" xr:uid="{00000000-0005-0000-0000-000014180000}"/>
    <cellStyle name="Heading 3 2 2 4 3 2" xfId="18765" xr:uid="{00000000-0005-0000-0000-000015180000}"/>
    <cellStyle name="Heading 3 2 2 4 3 3" xfId="26516" xr:uid="{00000000-0005-0000-0000-000016180000}"/>
    <cellStyle name="Heading 3 2 2 4 3 4" xfId="30394" xr:uid="{00000000-0005-0000-0000-000017180000}"/>
    <cellStyle name="Heading 3 2 2 4 3 5" xfId="37823" xr:uid="{00000000-0005-0000-0000-000018180000}"/>
    <cellStyle name="Heading 3 2 2 4 3 6" xfId="41836" xr:uid="{00000000-0005-0000-0000-000019180000}"/>
    <cellStyle name="Heading 3 2 2 4 4" xfId="16747" xr:uid="{00000000-0005-0000-0000-00001A180000}"/>
    <cellStyle name="Heading 3 2 2 4 5" xfId="20688" xr:uid="{00000000-0005-0000-0000-00001B180000}"/>
    <cellStyle name="Heading 3 2 2 4 6" xfId="28395" xr:uid="{00000000-0005-0000-0000-00001C180000}"/>
    <cellStyle name="Heading 3 2 2 4 7" xfId="35839" xr:uid="{00000000-0005-0000-0000-00001D180000}"/>
    <cellStyle name="Heading 3 2 2 4 8" xfId="43665" xr:uid="{00000000-0005-0000-0000-00001E180000}"/>
    <cellStyle name="Heading 3 2 2 5" xfId="753" xr:uid="{00000000-0005-0000-0000-00001F180000}"/>
    <cellStyle name="Heading 3 2 2 5 2" xfId="2750" xr:uid="{00000000-0005-0000-0000-000020180000}"/>
    <cellStyle name="Heading 3 2 2 5 2 2" xfId="18744" xr:uid="{00000000-0005-0000-0000-000021180000}"/>
    <cellStyle name="Heading 3 2 2 5 2 3" xfId="26495" xr:uid="{00000000-0005-0000-0000-000022180000}"/>
    <cellStyle name="Heading 3 2 2 5 2 4" xfId="30373" xr:uid="{00000000-0005-0000-0000-000023180000}"/>
    <cellStyle name="Heading 3 2 2 5 2 5" xfId="37802" xr:uid="{00000000-0005-0000-0000-000024180000}"/>
    <cellStyle name="Heading 3 2 2 5 2 6" xfId="41815" xr:uid="{00000000-0005-0000-0000-000025180000}"/>
    <cellStyle name="Heading 3 2 2 5 3" xfId="16724" xr:uid="{00000000-0005-0000-0000-000026180000}"/>
    <cellStyle name="Heading 3 2 2 5 4" xfId="20663" xr:uid="{00000000-0005-0000-0000-000027180000}"/>
    <cellStyle name="Heading 3 2 2 5 5" xfId="28373" xr:uid="{00000000-0005-0000-0000-000028180000}"/>
    <cellStyle name="Heading 3 2 2 5 6" xfId="35818" xr:uid="{00000000-0005-0000-0000-000029180000}"/>
    <cellStyle name="Heading 3 2 2 5 7" xfId="43644" xr:uid="{00000000-0005-0000-0000-00002A180000}"/>
    <cellStyle name="Heading 3 2 2 6" xfId="1252" xr:uid="{00000000-0005-0000-0000-00002B180000}"/>
    <cellStyle name="Heading 3 2 2 6 2" xfId="3242" xr:uid="{00000000-0005-0000-0000-00002C180000}"/>
    <cellStyle name="Heading 3 2 2 6 2 2" xfId="19236" xr:uid="{00000000-0005-0000-0000-00002D180000}"/>
    <cellStyle name="Heading 3 2 2 6 2 3" xfId="26986" xr:uid="{00000000-0005-0000-0000-00002E180000}"/>
    <cellStyle name="Heading 3 2 2 6 2 4" xfId="30856" xr:uid="{00000000-0005-0000-0000-00002F180000}"/>
    <cellStyle name="Heading 3 2 2 6 2 5" xfId="38293" xr:uid="{00000000-0005-0000-0000-000030180000}"/>
    <cellStyle name="Heading 3 2 2 6 2 6" xfId="42304" xr:uid="{00000000-0005-0000-0000-000031180000}"/>
    <cellStyle name="Heading 3 2 2 6 3" xfId="17218" xr:uid="{00000000-0005-0000-0000-000032180000}"/>
    <cellStyle name="Heading 3 2 2 6 4" xfId="24970" xr:uid="{00000000-0005-0000-0000-000033180000}"/>
    <cellStyle name="Heading 3 2 2 6 5" xfId="28858" xr:uid="{00000000-0005-0000-0000-000034180000}"/>
    <cellStyle name="Heading 3 2 2 6 6" xfId="36309" xr:uid="{00000000-0005-0000-0000-000035180000}"/>
    <cellStyle name="Heading 3 2 2 6 7" xfId="40301" xr:uid="{00000000-0005-0000-0000-000036180000}"/>
    <cellStyle name="Heading 3 2 2 7" xfId="1254" xr:uid="{00000000-0005-0000-0000-000037180000}"/>
    <cellStyle name="Heading 3 2 2 7 2" xfId="3244" xr:uid="{00000000-0005-0000-0000-000038180000}"/>
    <cellStyle name="Heading 3 2 2 7 2 2" xfId="19238" xr:uid="{00000000-0005-0000-0000-000039180000}"/>
    <cellStyle name="Heading 3 2 2 7 2 3" xfId="26988" xr:uid="{00000000-0005-0000-0000-00003A180000}"/>
    <cellStyle name="Heading 3 2 2 7 2 4" xfId="30858" xr:uid="{00000000-0005-0000-0000-00003B180000}"/>
    <cellStyle name="Heading 3 2 2 7 2 5" xfId="38295" xr:uid="{00000000-0005-0000-0000-00003C180000}"/>
    <cellStyle name="Heading 3 2 2 7 2 6" xfId="42306" xr:uid="{00000000-0005-0000-0000-00003D180000}"/>
    <cellStyle name="Heading 3 2 2 7 3" xfId="17220" xr:uid="{00000000-0005-0000-0000-00003E180000}"/>
    <cellStyle name="Heading 3 2 2 7 4" xfId="24972" xr:uid="{00000000-0005-0000-0000-00003F180000}"/>
    <cellStyle name="Heading 3 2 2 7 5" xfId="28860" xr:uid="{00000000-0005-0000-0000-000040180000}"/>
    <cellStyle name="Heading 3 2 2 7 6" xfId="36311" xr:uid="{00000000-0005-0000-0000-000041180000}"/>
    <cellStyle name="Heading 3 2 2 7 7" xfId="40303" xr:uid="{00000000-0005-0000-0000-000042180000}"/>
    <cellStyle name="Heading 3 2 2 8" xfId="2133" xr:uid="{00000000-0005-0000-0000-000043180000}"/>
    <cellStyle name="Heading 3 2 2 8 2" xfId="4117" xr:uid="{00000000-0005-0000-0000-000044180000}"/>
    <cellStyle name="Heading 3 2 2 8 2 2" xfId="20111" xr:uid="{00000000-0005-0000-0000-000045180000}"/>
    <cellStyle name="Heading 3 2 2 8 2 3" xfId="27861" xr:uid="{00000000-0005-0000-0000-000046180000}"/>
    <cellStyle name="Heading 3 2 2 8 2 4" xfId="31720" xr:uid="{00000000-0005-0000-0000-000047180000}"/>
    <cellStyle name="Heading 3 2 2 8 2 5" xfId="39168" xr:uid="{00000000-0005-0000-0000-000048180000}"/>
    <cellStyle name="Heading 3 2 2 8 2 6" xfId="43178" xr:uid="{00000000-0005-0000-0000-000049180000}"/>
    <cellStyle name="Heading 3 2 2 8 3" xfId="18127" xr:uid="{00000000-0005-0000-0000-00004A180000}"/>
    <cellStyle name="Heading 3 2 2 8 4" xfId="25878" xr:uid="{00000000-0005-0000-0000-00004B180000}"/>
    <cellStyle name="Heading 3 2 2 8 5" xfId="29758" xr:uid="{00000000-0005-0000-0000-00004C180000}"/>
    <cellStyle name="Heading 3 2 2 8 6" xfId="37185" xr:uid="{00000000-0005-0000-0000-00004D180000}"/>
    <cellStyle name="Heading 3 2 2 8 7" xfId="41201" xr:uid="{00000000-0005-0000-0000-00004E180000}"/>
    <cellStyle name="Heading 3 2 2 9" xfId="2132" xr:uid="{00000000-0005-0000-0000-00004F180000}"/>
    <cellStyle name="Heading 3 2 2 9 2" xfId="4116" xr:uid="{00000000-0005-0000-0000-000050180000}"/>
    <cellStyle name="Heading 3 2 2 9 2 2" xfId="20110" xr:uid="{00000000-0005-0000-0000-000051180000}"/>
    <cellStyle name="Heading 3 2 2 9 2 3" xfId="27860" xr:uid="{00000000-0005-0000-0000-000052180000}"/>
    <cellStyle name="Heading 3 2 2 9 2 4" xfId="31719" xr:uid="{00000000-0005-0000-0000-000053180000}"/>
    <cellStyle name="Heading 3 2 2 9 2 5" xfId="39167" xr:uid="{00000000-0005-0000-0000-000054180000}"/>
    <cellStyle name="Heading 3 2 2 9 2 6" xfId="43177" xr:uid="{00000000-0005-0000-0000-000055180000}"/>
    <cellStyle name="Heading 3 2 2 9 3" xfId="18126" xr:uid="{00000000-0005-0000-0000-000056180000}"/>
    <cellStyle name="Heading 3 2 2 9 4" xfId="25877" xr:uid="{00000000-0005-0000-0000-000057180000}"/>
    <cellStyle name="Heading 3 2 2 9 5" xfId="29757" xr:uid="{00000000-0005-0000-0000-000058180000}"/>
    <cellStyle name="Heading 3 2 2 9 6" xfId="37184" xr:uid="{00000000-0005-0000-0000-000059180000}"/>
    <cellStyle name="Heading 3 2 2 9 7" xfId="41200" xr:uid="{00000000-0005-0000-0000-00005A180000}"/>
    <cellStyle name="Heading 3 2 3" xfId="557" xr:uid="{00000000-0005-0000-0000-00005B180000}"/>
    <cellStyle name="Heading 3 2 3 10" xfId="16169" xr:uid="{00000000-0005-0000-0000-00005C180000}"/>
    <cellStyle name="Heading 3 2 3 11" xfId="8421" xr:uid="{00000000-0005-0000-0000-00005D180000}"/>
    <cellStyle name="Heading 3 2 3 12" xfId="24867" xr:uid="{00000000-0005-0000-0000-00005E180000}"/>
    <cellStyle name="Heading 3 2 3 13" xfId="39979" xr:uid="{00000000-0005-0000-0000-00005F180000}"/>
    <cellStyle name="Heading 3 2 3 14" xfId="47368" xr:uid="{00000000-0005-0000-0000-000060180000}"/>
    <cellStyle name="Heading 3 2 3 15" xfId="47503" xr:uid="{00000000-0005-0000-0000-000061180000}"/>
    <cellStyle name="Heading 3 2 3 2" xfId="790" xr:uid="{00000000-0005-0000-0000-000062180000}"/>
    <cellStyle name="Heading 3 2 3 2 2" xfId="1154" xr:uid="{00000000-0005-0000-0000-000063180000}"/>
    <cellStyle name="Heading 3 2 3 2 2 2" xfId="3144" xr:uid="{00000000-0005-0000-0000-000064180000}"/>
    <cellStyle name="Heading 3 2 3 2 2 2 2" xfId="19138" xr:uid="{00000000-0005-0000-0000-000065180000}"/>
    <cellStyle name="Heading 3 2 3 2 2 2 3" xfId="26889" xr:uid="{00000000-0005-0000-0000-000066180000}"/>
    <cellStyle name="Heading 3 2 3 2 2 2 4" xfId="30761" xr:uid="{00000000-0005-0000-0000-000067180000}"/>
    <cellStyle name="Heading 3 2 3 2 2 2 5" xfId="38196" xr:uid="{00000000-0005-0000-0000-000068180000}"/>
    <cellStyle name="Heading 3 2 3 2 2 2 6" xfId="42207" xr:uid="{00000000-0005-0000-0000-000069180000}"/>
    <cellStyle name="Heading 3 2 3 2 2 3" xfId="17120" xr:uid="{00000000-0005-0000-0000-00006A180000}"/>
    <cellStyle name="Heading 3 2 3 2 2 4" xfId="21062" xr:uid="{00000000-0005-0000-0000-00006B180000}"/>
    <cellStyle name="Heading 3 2 3 2 2 5" xfId="28763" xr:uid="{00000000-0005-0000-0000-00006C180000}"/>
    <cellStyle name="Heading 3 2 3 2 2 6" xfId="36212" xr:uid="{00000000-0005-0000-0000-00006D180000}"/>
    <cellStyle name="Heading 3 2 3 2 2 7" xfId="44038" xr:uid="{00000000-0005-0000-0000-00006E180000}"/>
    <cellStyle name="Heading 3 2 3 2 3" xfId="2780" xr:uid="{00000000-0005-0000-0000-00006F180000}"/>
    <cellStyle name="Heading 3 2 3 2 3 2" xfId="18774" xr:uid="{00000000-0005-0000-0000-000070180000}"/>
    <cellStyle name="Heading 3 2 3 2 3 3" xfId="26525" xr:uid="{00000000-0005-0000-0000-000071180000}"/>
    <cellStyle name="Heading 3 2 3 2 3 4" xfId="30403" xr:uid="{00000000-0005-0000-0000-000072180000}"/>
    <cellStyle name="Heading 3 2 3 2 3 5" xfId="37832" xr:uid="{00000000-0005-0000-0000-000073180000}"/>
    <cellStyle name="Heading 3 2 3 2 3 6" xfId="41844" xr:uid="{00000000-0005-0000-0000-000074180000}"/>
    <cellStyle name="Heading 3 2 3 2 4" xfId="16758" xr:uid="{00000000-0005-0000-0000-000075180000}"/>
    <cellStyle name="Heading 3 2 3 2 5" xfId="20698" xr:uid="{00000000-0005-0000-0000-000076180000}"/>
    <cellStyle name="Heading 3 2 3 2 6" xfId="28405" xr:uid="{00000000-0005-0000-0000-000077180000}"/>
    <cellStyle name="Heading 3 2 3 2 7" xfId="35848" xr:uid="{00000000-0005-0000-0000-000078180000}"/>
    <cellStyle name="Heading 3 2 3 2 8" xfId="43674" xr:uid="{00000000-0005-0000-0000-000079180000}"/>
    <cellStyle name="Heading 3 2 3 3" xfId="799" xr:uid="{00000000-0005-0000-0000-00007A180000}"/>
    <cellStyle name="Heading 3 2 3 3 2" xfId="2789" xr:uid="{00000000-0005-0000-0000-00007B180000}"/>
    <cellStyle name="Heading 3 2 3 3 2 2" xfId="18783" xr:uid="{00000000-0005-0000-0000-00007C180000}"/>
    <cellStyle name="Heading 3 2 3 3 2 3" xfId="26534" xr:uid="{00000000-0005-0000-0000-00007D180000}"/>
    <cellStyle name="Heading 3 2 3 3 2 4" xfId="30412" xr:uid="{00000000-0005-0000-0000-00007E180000}"/>
    <cellStyle name="Heading 3 2 3 3 2 5" xfId="37841" xr:uid="{00000000-0005-0000-0000-00007F180000}"/>
    <cellStyle name="Heading 3 2 3 3 2 6" xfId="41853" xr:uid="{00000000-0005-0000-0000-000080180000}"/>
    <cellStyle name="Heading 3 2 3 3 3" xfId="16765" xr:uid="{00000000-0005-0000-0000-000081180000}"/>
    <cellStyle name="Heading 3 2 3 3 4" xfId="20707" xr:uid="{00000000-0005-0000-0000-000082180000}"/>
    <cellStyle name="Heading 3 2 3 3 5" xfId="28414" xr:uid="{00000000-0005-0000-0000-000083180000}"/>
    <cellStyle name="Heading 3 2 3 3 6" xfId="35857" xr:uid="{00000000-0005-0000-0000-000084180000}"/>
    <cellStyle name="Heading 3 2 3 3 7" xfId="43683" xr:uid="{00000000-0005-0000-0000-000085180000}"/>
    <cellStyle name="Heading 3 2 3 4" xfId="2012" xr:uid="{00000000-0005-0000-0000-000086180000}"/>
    <cellStyle name="Heading 3 2 3 4 2" xfId="4001" xr:uid="{00000000-0005-0000-0000-000087180000}"/>
    <cellStyle name="Heading 3 2 3 4 2 2" xfId="19995" xr:uid="{00000000-0005-0000-0000-000088180000}"/>
    <cellStyle name="Heading 3 2 3 4 2 3" xfId="27745" xr:uid="{00000000-0005-0000-0000-000089180000}"/>
    <cellStyle name="Heading 3 2 3 4 2 4" xfId="31605" xr:uid="{00000000-0005-0000-0000-00008A180000}"/>
    <cellStyle name="Heading 3 2 3 4 2 5" xfId="39052" xr:uid="{00000000-0005-0000-0000-00008B180000}"/>
    <cellStyle name="Heading 3 2 3 4 2 6" xfId="43063" xr:uid="{00000000-0005-0000-0000-00008C180000}"/>
    <cellStyle name="Heading 3 2 3 4 3" xfId="17978" xr:uid="{00000000-0005-0000-0000-00008D180000}"/>
    <cellStyle name="Heading 3 2 3 4 4" xfId="25730" xr:uid="{00000000-0005-0000-0000-00008E180000}"/>
    <cellStyle name="Heading 3 2 3 4 5" xfId="29617" xr:uid="{00000000-0005-0000-0000-00008F180000}"/>
    <cellStyle name="Heading 3 2 3 4 6" xfId="37068" xr:uid="{00000000-0005-0000-0000-000090180000}"/>
    <cellStyle name="Heading 3 2 3 4 7" xfId="41060" xr:uid="{00000000-0005-0000-0000-000091180000}"/>
    <cellStyle name="Heading 3 2 3 5" xfId="2059" xr:uid="{00000000-0005-0000-0000-000092180000}"/>
    <cellStyle name="Heading 3 2 3 5 2" xfId="4048" xr:uid="{00000000-0005-0000-0000-000093180000}"/>
    <cellStyle name="Heading 3 2 3 5 2 2" xfId="20042" xr:uid="{00000000-0005-0000-0000-000094180000}"/>
    <cellStyle name="Heading 3 2 3 5 2 3" xfId="27792" xr:uid="{00000000-0005-0000-0000-000095180000}"/>
    <cellStyle name="Heading 3 2 3 5 2 4" xfId="31651" xr:uid="{00000000-0005-0000-0000-000096180000}"/>
    <cellStyle name="Heading 3 2 3 5 2 5" xfId="39099" xr:uid="{00000000-0005-0000-0000-000097180000}"/>
    <cellStyle name="Heading 3 2 3 5 2 6" xfId="43109" xr:uid="{00000000-0005-0000-0000-000098180000}"/>
    <cellStyle name="Heading 3 2 3 5 3" xfId="18025" xr:uid="{00000000-0005-0000-0000-000099180000}"/>
    <cellStyle name="Heading 3 2 3 5 4" xfId="25777" xr:uid="{00000000-0005-0000-0000-00009A180000}"/>
    <cellStyle name="Heading 3 2 3 5 5" xfId="29663" xr:uid="{00000000-0005-0000-0000-00009B180000}"/>
    <cellStyle name="Heading 3 2 3 5 6" xfId="37115" xr:uid="{00000000-0005-0000-0000-00009C180000}"/>
    <cellStyle name="Heading 3 2 3 5 7" xfId="41105" xr:uid="{00000000-0005-0000-0000-00009D180000}"/>
    <cellStyle name="Heading 3 2 3 6" xfId="2322" xr:uid="{00000000-0005-0000-0000-00009E180000}"/>
    <cellStyle name="Heading 3 2 3 6 2" xfId="4305" xr:uid="{00000000-0005-0000-0000-00009F180000}"/>
    <cellStyle name="Heading 3 2 3 6 2 2" xfId="20299" xr:uid="{00000000-0005-0000-0000-0000A0180000}"/>
    <cellStyle name="Heading 3 2 3 6 2 3" xfId="28049" xr:uid="{00000000-0005-0000-0000-0000A1180000}"/>
    <cellStyle name="Heading 3 2 3 6 2 4" xfId="31908" xr:uid="{00000000-0005-0000-0000-0000A2180000}"/>
    <cellStyle name="Heading 3 2 3 6 2 5" xfId="39356" xr:uid="{00000000-0005-0000-0000-0000A3180000}"/>
    <cellStyle name="Heading 3 2 3 6 2 6" xfId="43366" xr:uid="{00000000-0005-0000-0000-0000A4180000}"/>
    <cellStyle name="Heading 3 2 3 6 3" xfId="18316" xr:uid="{00000000-0005-0000-0000-0000A5180000}"/>
    <cellStyle name="Heading 3 2 3 6 4" xfId="26067" xr:uid="{00000000-0005-0000-0000-0000A6180000}"/>
    <cellStyle name="Heading 3 2 3 6 5" xfId="29947" xr:uid="{00000000-0005-0000-0000-0000A7180000}"/>
    <cellStyle name="Heading 3 2 3 6 6" xfId="37374" xr:uid="{00000000-0005-0000-0000-0000A8180000}"/>
    <cellStyle name="Heading 3 2 3 6 7" xfId="41390" xr:uid="{00000000-0005-0000-0000-0000A9180000}"/>
    <cellStyle name="Heading 3 2 3 7" xfId="2439" xr:uid="{00000000-0005-0000-0000-0000AA180000}"/>
    <cellStyle name="Heading 3 2 3 7 2" xfId="4422" xr:uid="{00000000-0005-0000-0000-0000AB180000}"/>
    <cellStyle name="Heading 3 2 3 7 2 2" xfId="20416" xr:uid="{00000000-0005-0000-0000-0000AC180000}"/>
    <cellStyle name="Heading 3 2 3 7 2 3" xfId="28166" xr:uid="{00000000-0005-0000-0000-0000AD180000}"/>
    <cellStyle name="Heading 3 2 3 7 2 4" xfId="32024" xr:uid="{00000000-0005-0000-0000-0000AE180000}"/>
    <cellStyle name="Heading 3 2 3 7 2 5" xfId="39473" xr:uid="{00000000-0005-0000-0000-0000AF180000}"/>
    <cellStyle name="Heading 3 2 3 7 2 6" xfId="43482" xr:uid="{00000000-0005-0000-0000-0000B0180000}"/>
    <cellStyle name="Heading 3 2 3 7 3" xfId="18433" xr:uid="{00000000-0005-0000-0000-0000B1180000}"/>
    <cellStyle name="Heading 3 2 3 7 4" xfId="26184" xr:uid="{00000000-0005-0000-0000-0000B2180000}"/>
    <cellStyle name="Heading 3 2 3 7 5" xfId="30063" xr:uid="{00000000-0005-0000-0000-0000B3180000}"/>
    <cellStyle name="Heading 3 2 3 7 6" xfId="37491" xr:uid="{00000000-0005-0000-0000-0000B4180000}"/>
    <cellStyle name="Heading 3 2 3 7 7" xfId="41506" xr:uid="{00000000-0005-0000-0000-0000B5180000}"/>
    <cellStyle name="Heading 3 2 3 8" xfId="2493" xr:uid="{00000000-0005-0000-0000-0000B6180000}"/>
    <cellStyle name="Heading 3 2 3 8 2" xfId="18487" xr:uid="{00000000-0005-0000-0000-0000B7180000}"/>
    <cellStyle name="Heading 3 2 3 8 3" xfId="26238" xr:uid="{00000000-0005-0000-0000-0000B8180000}"/>
    <cellStyle name="Heading 3 2 3 8 4" xfId="30117" xr:uid="{00000000-0005-0000-0000-0000B9180000}"/>
    <cellStyle name="Heading 3 2 3 8 5" xfId="37545" xr:uid="{00000000-0005-0000-0000-0000BA180000}"/>
    <cellStyle name="Heading 3 2 3 8 6" xfId="41559" xr:uid="{00000000-0005-0000-0000-0000BB180000}"/>
    <cellStyle name="Heading 3 2 3 9" xfId="8623" xr:uid="{00000000-0005-0000-0000-0000BC180000}"/>
    <cellStyle name="Heading 3 2 4" xfId="47527" xr:uid="{00000000-0005-0000-0000-0000BD180000}"/>
    <cellStyle name="Heading 3 3" xfId="175" xr:uid="{00000000-0005-0000-0000-0000BE180000}"/>
    <cellStyle name="Heading 3 3 2" xfId="355" xr:uid="{00000000-0005-0000-0000-0000BF180000}"/>
    <cellStyle name="Heading 3 3 2 10" xfId="2152" xr:uid="{00000000-0005-0000-0000-0000C0180000}"/>
    <cellStyle name="Heading 3 3 2 10 2" xfId="18146" xr:uid="{00000000-0005-0000-0000-0000C1180000}"/>
    <cellStyle name="Heading 3 3 2 10 3" xfId="25897" xr:uid="{00000000-0005-0000-0000-0000C2180000}"/>
    <cellStyle name="Heading 3 3 2 10 4" xfId="29777" xr:uid="{00000000-0005-0000-0000-0000C3180000}"/>
    <cellStyle name="Heading 3 3 2 10 5" xfId="37204" xr:uid="{00000000-0005-0000-0000-0000C4180000}"/>
    <cellStyle name="Heading 3 3 2 10 6" xfId="41220" xr:uid="{00000000-0005-0000-0000-0000C5180000}"/>
    <cellStyle name="Heading 3 3 2 11" xfId="16448" xr:uid="{00000000-0005-0000-0000-0000C6180000}"/>
    <cellStyle name="Heading 3 3 2 12" xfId="8791" xr:uid="{00000000-0005-0000-0000-0000C7180000}"/>
    <cellStyle name="Heading 3 3 2 13" xfId="8447" xr:uid="{00000000-0005-0000-0000-0000C8180000}"/>
    <cellStyle name="Heading 3 3 2 14" xfId="30522" xr:uid="{00000000-0005-0000-0000-0000C9180000}"/>
    <cellStyle name="Heading 3 3 2 15" xfId="39747" xr:uid="{00000000-0005-0000-0000-0000CA180000}"/>
    <cellStyle name="Heading 3 3 2 16" xfId="47407" xr:uid="{00000000-0005-0000-0000-0000CB180000}"/>
    <cellStyle name="Heading 3 3 2 2" xfId="653" xr:uid="{00000000-0005-0000-0000-0000CC180000}"/>
    <cellStyle name="Heading 3 3 2 2 2" xfId="1033" xr:uid="{00000000-0005-0000-0000-0000CD180000}"/>
    <cellStyle name="Heading 3 3 2 2 2 2" xfId="3023" xr:uid="{00000000-0005-0000-0000-0000CE180000}"/>
    <cellStyle name="Heading 3 3 2 2 2 2 2" xfId="19017" xr:uid="{00000000-0005-0000-0000-0000CF180000}"/>
    <cellStyle name="Heading 3 3 2 2 2 2 3" xfId="26768" xr:uid="{00000000-0005-0000-0000-0000D0180000}"/>
    <cellStyle name="Heading 3 3 2 2 2 2 4" xfId="30642" xr:uid="{00000000-0005-0000-0000-0000D1180000}"/>
    <cellStyle name="Heading 3 3 2 2 2 2 5" xfId="38075" xr:uid="{00000000-0005-0000-0000-0000D2180000}"/>
    <cellStyle name="Heading 3 3 2 2 2 2 6" xfId="42087" xr:uid="{00000000-0005-0000-0000-0000D3180000}"/>
    <cellStyle name="Heading 3 3 2 2 2 3" xfId="16999" xr:uid="{00000000-0005-0000-0000-0000D4180000}"/>
    <cellStyle name="Heading 3 3 2 2 2 4" xfId="20941" xr:uid="{00000000-0005-0000-0000-0000D5180000}"/>
    <cellStyle name="Heading 3 3 2 2 2 5" xfId="28644" xr:uid="{00000000-0005-0000-0000-0000D6180000}"/>
    <cellStyle name="Heading 3 3 2 2 2 6" xfId="36091" xr:uid="{00000000-0005-0000-0000-0000D7180000}"/>
    <cellStyle name="Heading 3 3 2 2 2 7" xfId="43917" xr:uid="{00000000-0005-0000-0000-0000D8180000}"/>
    <cellStyle name="Heading 3 3 2 2 3" xfId="2656" xr:uid="{00000000-0005-0000-0000-0000D9180000}"/>
    <cellStyle name="Heading 3 3 2 2 3 2" xfId="18650" xr:uid="{00000000-0005-0000-0000-0000DA180000}"/>
    <cellStyle name="Heading 3 3 2 2 3 3" xfId="26401" xr:uid="{00000000-0005-0000-0000-0000DB180000}"/>
    <cellStyle name="Heading 3 3 2 2 3 4" xfId="30280" xr:uid="{00000000-0005-0000-0000-0000DC180000}"/>
    <cellStyle name="Heading 3 3 2 2 3 5" xfId="37708" xr:uid="{00000000-0005-0000-0000-0000DD180000}"/>
    <cellStyle name="Heading 3 3 2 2 3 6" xfId="41722" xr:uid="{00000000-0005-0000-0000-0000DE180000}"/>
    <cellStyle name="Heading 3 3 2 2 4" xfId="8843" xr:uid="{00000000-0005-0000-0000-0000DF180000}"/>
    <cellStyle name="Heading 3 3 2 2 5" xfId="20566" xr:uid="{00000000-0005-0000-0000-0000E0180000}"/>
    <cellStyle name="Heading 3 3 2 2 6" xfId="28280" xr:uid="{00000000-0005-0000-0000-0000E1180000}"/>
    <cellStyle name="Heading 3 3 2 2 7" xfId="8417" xr:uid="{00000000-0005-0000-0000-0000E2180000}"/>
    <cellStyle name="Heading 3 3 2 2 8" xfId="39542" xr:uid="{00000000-0005-0000-0000-0000E3180000}"/>
    <cellStyle name="Heading 3 3 2 3" xfId="590" xr:uid="{00000000-0005-0000-0000-0000E4180000}"/>
    <cellStyle name="Heading 3 3 2 3 2" xfId="970" xr:uid="{00000000-0005-0000-0000-0000E5180000}"/>
    <cellStyle name="Heading 3 3 2 3 2 2" xfId="2960" xr:uid="{00000000-0005-0000-0000-0000E6180000}"/>
    <cellStyle name="Heading 3 3 2 3 2 2 2" xfId="18954" xr:uid="{00000000-0005-0000-0000-0000E7180000}"/>
    <cellStyle name="Heading 3 3 2 3 2 2 3" xfId="26705" xr:uid="{00000000-0005-0000-0000-0000E8180000}"/>
    <cellStyle name="Heading 3 3 2 3 2 2 4" xfId="30579" xr:uid="{00000000-0005-0000-0000-0000E9180000}"/>
    <cellStyle name="Heading 3 3 2 3 2 2 5" xfId="38012" xr:uid="{00000000-0005-0000-0000-0000EA180000}"/>
    <cellStyle name="Heading 3 3 2 3 2 2 6" xfId="42024" xr:uid="{00000000-0005-0000-0000-0000EB180000}"/>
    <cellStyle name="Heading 3 3 2 3 2 3" xfId="16936" xr:uid="{00000000-0005-0000-0000-0000EC180000}"/>
    <cellStyle name="Heading 3 3 2 3 2 4" xfId="20878" xr:uid="{00000000-0005-0000-0000-0000ED180000}"/>
    <cellStyle name="Heading 3 3 2 3 2 5" xfId="28581" xr:uid="{00000000-0005-0000-0000-0000EE180000}"/>
    <cellStyle name="Heading 3 3 2 3 2 6" xfId="36028" xr:uid="{00000000-0005-0000-0000-0000EF180000}"/>
    <cellStyle name="Heading 3 3 2 3 2 7" xfId="43854" xr:uid="{00000000-0005-0000-0000-0000F0180000}"/>
    <cellStyle name="Heading 3 3 2 3 3" xfId="2593" xr:uid="{00000000-0005-0000-0000-0000F1180000}"/>
    <cellStyle name="Heading 3 3 2 3 3 2" xfId="18587" xr:uid="{00000000-0005-0000-0000-0000F2180000}"/>
    <cellStyle name="Heading 3 3 2 3 3 3" xfId="26338" xr:uid="{00000000-0005-0000-0000-0000F3180000}"/>
    <cellStyle name="Heading 3 3 2 3 3 4" xfId="30217" xr:uid="{00000000-0005-0000-0000-0000F4180000}"/>
    <cellStyle name="Heading 3 3 2 3 3 5" xfId="37645" xr:uid="{00000000-0005-0000-0000-0000F5180000}"/>
    <cellStyle name="Heading 3 3 2 3 3 6" xfId="41659" xr:uid="{00000000-0005-0000-0000-0000F6180000}"/>
    <cellStyle name="Heading 3 3 2 3 4" xfId="8820" xr:uid="{00000000-0005-0000-0000-0000F7180000}"/>
    <cellStyle name="Heading 3 3 2 3 5" xfId="20503" xr:uid="{00000000-0005-0000-0000-0000F8180000}"/>
    <cellStyle name="Heading 3 3 2 3 6" xfId="23932" xr:uid="{00000000-0005-0000-0000-0000F9180000}"/>
    <cellStyle name="Heading 3 3 2 3 7" xfId="33317" xr:uid="{00000000-0005-0000-0000-0000FA180000}"/>
    <cellStyle name="Heading 3 3 2 3 8" xfId="39584" xr:uid="{00000000-0005-0000-0000-0000FB180000}"/>
    <cellStyle name="Heading 3 3 2 4" xfId="780" xr:uid="{00000000-0005-0000-0000-0000FC180000}"/>
    <cellStyle name="Heading 3 3 2 4 2" xfId="1146" xr:uid="{00000000-0005-0000-0000-0000FD180000}"/>
    <cellStyle name="Heading 3 3 2 4 2 2" xfId="3136" xr:uid="{00000000-0005-0000-0000-0000FE180000}"/>
    <cellStyle name="Heading 3 3 2 4 2 2 2" xfId="19130" xr:uid="{00000000-0005-0000-0000-0000FF180000}"/>
    <cellStyle name="Heading 3 3 2 4 2 2 3" xfId="26881" xr:uid="{00000000-0005-0000-0000-000000190000}"/>
    <cellStyle name="Heading 3 3 2 4 2 2 4" xfId="30753" xr:uid="{00000000-0005-0000-0000-000001190000}"/>
    <cellStyle name="Heading 3 3 2 4 2 2 5" xfId="38188" xr:uid="{00000000-0005-0000-0000-000002190000}"/>
    <cellStyle name="Heading 3 3 2 4 2 2 6" xfId="42200" xr:uid="{00000000-0005-0000-0000-000003190000}"/>
    <cellStyle name="Heading 3 3 2 4 2 3" xfId="17112" xr:uid="{00000000-0005-0000-0000-000004190000}"/>
    <cellStyle name="Heading 3 3 2 4 2 4" xfId="21054" xr:uid="{00000000-0005-0000-0000-000005190000}"/>
    <cellStyle name="Heading 3 3 2 4 2 5" xfId="28755" xr:uid="{00000000-0005-0000-0000-000006190000}"/>
    <cellStyle name="Heading 3 3 2 4 2 6" xfId="36204" xr:uid="{00000000-0005-0000-0000-000007190000}"/>
    <cellStyle name="Heading 3 3 2 4 2 7" xfId="44030" xr:uid="{00000000-0005-0000-0000-000008190000}"/>
    <cellStyle name="Heading 3 3 2 4 3" xfId="2772" xr:uid="{00000000-0005-0000-0000-000009190000}"/>
    <cellStyle name="Heading 3 3 2 4 3 2" xfId="18766" xr:uid="{00000000-0005-0000-0000-00000A190000}"/>
    <cellStyle name="Heading 3 3 2 4 3 3" xfId="26517" xr:uid="{00000000-0005-0000-0000-00000B190000}"/>
    <cellStyle name="Heading 3 3 2 4 3 4" xfId="30395" xr:uid="{00000000-0005-0000-0000-00000C190000}"/>
    <cellStyle name="Heading 3 3 2 4 3 5" xfId="37824" xr:uid="{00000000-0005-0000-0000-00000D190000}"/>
    <cellStyle name="Heading 3 3 2 4 3 6" xfId="41837" xr:uid="{00000000-0005-0000-0000-00000E190000}"/>
    <cellStyle name="Heading 3 3 2 4 4" xfId="16748" xr:uid="{00000000-0005-0000-0000-00000F190000}"/>
    <cellStyle name="Heading 3 3 2 4 5" xfId="20689" xr:uid="{00000000-0005-0000-0000-000010190000}"/>
    <cellStyle name="Heading 3 3 2 4 6" xfId="28396" xr:uid="{00000000-0005-0000-0000-000011190000}"/>
    <cellStyle name="Heading 3 3 2 4 7" xfId="35840" xr:uid="{00000000-0005-0000-0000-000012190000}"/>
    <cellStyle name="Heading 3 3 2 4 8" xfId="43666" xr:uid="{00000000-0005-0000-0000-000013190000}"/>
    <cellStyle name="Heading 3 3 2 5" xfId="713" xr:uid="{00000000-0005-0000-0000-000014190000}"/>
    <cellStyle name="Heading 3 3 2 5 2" xfId="2716" xr:uid="{00000000-0005-0000-0000-000015190000}"/>
    <cellStyle name="Heading 3 3 2 5 2 2" xfId="18710" xr:uid="{00000000-0005-0000-0000-000016190000}"/>
    <cellStyle name="Heading 3 3 2 5 2 3" xfId="26461" xr:uid="{00000000-0005-0000-0000-000017190000}"/>
    <cellStyle name="Heading 3 3 2 5 2 4" xfId="30340" xr:uid="{00000000-0005-0000-0000-000018190000}"/>
    <cellStyle name="Heading 3 3 2 5 2 5" xfId="37768" xr:uid="{00000000-0005-0000-0000-000019190000}"/>
    <cellStyle name="Heading 3 3 2 5 2 6" xfId="41782" xr:uid="{00000000-0005-0000-0000-00001A190000}"/>
    <cellStyle name="Heading 3 3 2 5 3" xfId="16689" xr:uid="{00000000-0005-0000-0000-00001B190000}"/>
    <cellStyle name="Heading 3 3 2 5 4" xfId="20626" xr:uid="{00000000-0005-0000-0000-00001C190000}"/>
    <cellStyle name="Heading 3 3 2 5 5" xfId="28339" xr:uid="{00000000-0005-0000-0000-00001D190000}"/>
    <cellStyle name="Heading 3 3 2 5 6" xfId="35784" xr:uid="{00000000-0005-0000-0000-00001E190000}"/>
    <cellStyle name="Heading 3 3 2 5 7" xfId="43610" xr:uid="{00000000-0005-0000-0000-00001F190000}"/>
    <cellStyle name="Heading 3 3 2 6" xfId="1251" xr:uid="{00000000-0005-0000-0000-000020190000}"/>
    <cellStyle name="Heading 3 3 2 6 2" xfId="3241" xr:uid="{00000000-0005-0000-0000-000021190000}"/>
    <cellStyle name="Heading 3 3 2 6 2 2" xfId="19235" xr:uid="{00000000-0005-0000-0000-000022190000}"/>
    <cellStyle name="Heading 3 3 2 6 2 3" xfId="26985" xr:uid="{00000000-0005-0000-0000-000023190000}"/>
    <cellStyle name="Heading 3 3 2 6 2 4" xfId="30855" xr:uid="{00000000-0005-0000-0000-000024190000}"/>
    <cellStyle name="Heading 3 3 2 6 2 5" xfId="38292" xr:uid="{00000000-0005-0000-0000-000025190000}"/>
    <cellStyle name="Heading 3 3 2 6 2 6" xfId="42303" xr:uid="{00000000-0005-0000-0000-000026190000}"/>
    <cellStyle name="Heading 3 3 2 6 3" xfId="17217" xr:uid="{00000000-0005-0000-0000-000027190000}"/>
    <cellStyle name="Heading 3 3 2 6 4" xfId="24969" xr:uid="{00000000-0005-0000-0000-000028190000}"/>
    <cellStyle name="Heading 3 3 2 6 5" xfId="28857" xr:uid="{00000000-0005-0000-0000-000029190000}"/>
    <cellStyle name="Heading 3 3 2 6 6" xfId="36308" xr:uid="{00000000-0005-0000-0000-00002A190000}"/>
    <cellStyle name="Heading 3 3 2 6 7" xfId="40300" xr:uid="{00000000-0005-0000-0000-00002B190000}"/>
    <cellStyle name="Heading 3 3 2 7" xfId="1253" xr:uid="{00000000-0005-0000-0000-00002C190000}"/>
    <cellStyle name="Heading 3 3 2 7 2" xfId="3243" xr:uid="{00000000-0005-0000-0000-00002D190000}"/>
    <cellStyle name="Heading 3 3 2 7 2 2" xfId="19237" xr:uid="{00000000-0005-0000-0000-00002E190000}"/>
    <cellStyle name="Heading 3 3 2 7 2 3" xfId="26987" xr:uid="{00000000-0005-0000-0000-00002F190000}"/>
    <cellStyle name="Heading 3 3 2 7 2 4" xfId="30857" xr:uid="{00000000-0005-0000-0000-000030190000}"/>
    <cellStyle name="Heading 3 3 2 7 2 5" xfId="38294" xr:uid="{00000000-0005-0000-0000-000031190000}"/>
    <cellStyle name="Heading 3 3 2 7 2 6" xfId="42305" xr:uid="{00000000-0005-0000-0000-000032190000}"/>
    <cellStyle name="Heading 3 3 2 7 3" xfId="17219" xr:uid="{00000000-0005-0000-0000-000033190000}"/>
    <cellStyle name="Heading 3 3 2 7 4" xfId="24971" xr:uid="{00000000-0005-0000-0000-000034190000}"/>
    <cellStyle name="Heading 3 3 2 7 5" xfId="28859" xr:uid="{00000000-0005-0000-0000-000035190000}"/>
    <cellStyle name="Heading 3 3 2 7 6" xfId="36310" xr:uid="{00000000-0005-0000-0000-000036190000}"/>
    <cellStyle name="Heading 3 3 2 7 7" xfId="40302" xr:uid="{00000000-0005-0000-0000-000037190000}"/>
    <cellStyle name="Heading 3 3 2 8" xfId="2109" xr:uid="{00000000-0005-0000-0000-000038190000}"/>
    <cellStyle name="Heading 3 3 2 8 2" xfId="4093" xr:uid="{00000000-0005-0000-0000-000039190000}"/>
    <cellStyle name="Heading 3 3 2 8 2 2" xfId="20087" xr:uid="{00000000-0005-0000-0000-00003A190000}"/>
    <cellStyle name="Heading 3 3 2 8 2 3" xfId="27837" xr:uid="{00000000-0005-0000-0000-00003B190000}"/>
    <cellStyle name="Heading 3 3 2 8 2 4" xfId="31696" xr:uid="{00000000-0005-0000-0000-00003C190000}"/>
    <cellStyle name="Heading 3 3 2 8 2 5" xfId="39144" xr:uid="{00000000-0005-0000-0000-00003D190000}"/>
    <cellStyle name="Heading 3 3 2 8 2 6" xfId="43154" xr:uid="{00000000-0005-0000-0000-00003E190000}"/>
    <cellStyle name="Heading 3 3 2 8 3" xfId="18103" xr:uid="{00000000-0005-0000-0000-00003F190000}"/>
    <cellStyle name="Heading 3 3 2 8 4" xfId="25854" xr:uid="{00000000-0005-0000-0000-000040190000}"/>
    <cellStyle name="Heading 3 3 2 8 5" xfId="29734" xr:uid="{00000000-0005-0000-0000-000041190000}"/>
    <cellStyle name="Heading 3 3 2 8 6" xfId="37161" xr:uid="{00000000-0005-0000-0000-000042190000}"/>
    <cellStyle name="Heading 3 3 2 8 7" xfId="41177" xr:uid="{00000000-0005-0000-0000-000043190000}"/>
    <cellStyle name="Heading 3 3 2 9" xfId="2107" xr:uid="{00000000-0005-0000-0000-000044190000}"/>
    <cellStyle name="Heading 3 3 2 9 2" xfId="4091" xr:uid="{00000000-0005-0000-0000-000045190000}"/>
    <cellStyle name="Heading 3 3 2 9 2 2" xfId="20085" xr:uid="{00000000-0005-0000-0000-000046190000}"/>
    <cellStyle name="Heading 3 3 2 9 2 3" xfId="27835" xr:uid="{00000000-0005-0000-0000-000047190000}"/>
    <cellStyle name="Heading 3 3 2 9 2 4" xfId="31694" xr:uid="{00000000-0005-0000-0000-000048190000}"/>
    <cellStyle name="Heading 3 3 2 9 2 5" xfId="39142" xr:uid="{00000000-0005-0000-0000-000049190000}"/>
    <cellStyle name="Heading 3 3 2 9 2 6" xfId="43152" xr:uid="{00000000-0005-0000-0000-00004A190000}"/>
    <cellStyle name="Heading 3 3 2 9 3" xfId="18101" xr:uid="{00000000-0005-0000-0000-00004B190000}"/>
    <cellStyle name="Heading 3 3 2 9 4" xfId="25852" xr:uid="{00000000-0005-0000-0000-00004C190000}"/>
    <cellStyle name="Heading 3 3 2 9 5" xfId="29732" xr:uid="{00000000-0005-0000-0000-00004D190000}"/>
    <cellStyle name="Heading 3 3 2 9 6" xfId="37159" xr:uid="{00000000-0005-0000-0000-00004E190000}"/>
    <cellStyle name="Heading 3 3 2 9 7" xfId="41175" xr:uid="{00000000-0005-0000-0000-00004F190000}"/>
    <cellStyle name="Heading 3 3 3" xfId="556" xr:uid="{00000000-0005-0000-0000-000050190000}"/>
    <cellStyle name="Heading 3 3 3 10" xfId="18070" xr:uid="{00000000-0005-0000-0000-000051190000}"/>
    <cellStyle name="Heading 3 3 3 11" xfId="25822" xr:uid="{00000000-0005-0000-0000-000052190000}"/>
    <cellStyle name="Heading 3 3 3 12" xfId="24483" xr:uid="{00000000-0005-0000-0000-000053190000}"/>
    <cellStyle name="Heading 3 3 3 13" xfId="40299" xr:uid="{00000000-0005-0000-0000-000054190000}"/>
    <cellStyle name="Heading 3 3 3 14" xfId="47367" xr:uid="{00000000-0005-0000-0000-000055190000}"/>
    <cellStyle name="Heading 3 3 3 15" xfId="47502" xr:uid="{00000000-0005-0000-0000-000056190000}"/>
    <cellStyle name="Heading 3 3 3 2" xfId="789" xr:uid="{00000000-0005-0000-0000-000057190000}"/>
    <cellStyle name="Heading 3 3 3 2 2" xfId="1153" xr:uid="{00000000-0005-0000-0000-000058190000}"/>
    <cellStyle name="Heading 3 3 3 2 2 2" xfId="3143" xr:uid="{00000000-0005-0000-0000-000059190000}"/>
    <cellStyle name="Heading 3 3 3 2 2 2 2" xfId="19137" xr:uid="{00000000-0005-0000-0000-00005A190000}"/>
    <cellStyle name="Heading 3 3 3 2 2 2 3" xfId="26888" xr:uid="{00000000-0005-0000-0000-00005B190000}"/>
    <cellStyle name="Heading 3 3 3 2 2 2 4" xfId="30760" xr:uid="{00000000-0005-0000-0000-00005C190000}"/>
    <cellStyle name="Heading 3 3 3 2 2 2 5" xfId="38195" xr:uid="{00000000-0005-0000-0000-00005D190000}"/>
    <cellStyle name="Heading 3 3 3 2 2 2 6" xfId="42206" xr:uid="{00000000-0005-0000-0000-00005E190000}"/>
    <cellStyle name="Heading 3 3 3 2 2 3" xfId="17119" xr:uid="{00000000-0005-0000-0000-00005F190000}"/>
    <cellStyle name="Heading 3 3 3 2 2 4" xfId="21061" xr:uid="{00000000-0005-0000-0000-000060190000}"/>
    <cellStyle name="Heading 3 3 3 2 2 5" xfId="28762" xr:uid="{00000000-0005-0000-0000-000061190000}"/>
    <cellStyle name="Heading 3 3 3 2 2 6" xfId="36211" xr:uid="{00000000-0005-0000-0000-000062190000}"/>
    <cellStyle name="Heading 3 3 3 2 2 7" xfId="44037" xr:uid="{00000000-0005-0000-0000-000063190000}"/>
    <cellStyle name="Heading 3 3 3 2 3" xfId="2779" xr:uid="{00000000-0005-0000-0000-000064190000}"/>
    <cellStyle name="Heading 3 3 3 2 3 2" xfId="18773" xr:uid="{00000000-0005-0000-0000-000065190000}"/>
    <cellStyle name="Heading 3 3 3 2 3 3" xfId="26524" xr:uid="{00000000-0005-0000-0000-000066190000}"/>
    <cellStyle name="Heading 3 3 3 2 3 4" xfId="30402" xr:uid="{00000000-0005-0000-0000-000067190000}"/>
    <cellStyle name="Heading 3 3 3 2 3 5" xfId="37831" xr:uid="{00000000-0005-0000-0000-000068190000}"/>
    <cellStyle name="Heading 3 3 3 2 3 6" xfId="41843" xr:uid="{00000000-0005-0000-0000-000069190000}"/>
    <cellStyle name="Heading 3 3 3 2 4" xfId="16757" xr:uid="{00000000-0005-0000-0000-00006A190000}"/>
    <cellStyle name="Heading 3 3 3 2 5" xfId="20697" xr:uid="{00000000-0005-0000-0000-00006B190000}"/>
    <cellStyle name="Heading 3 3 3 2 6" xfId="28404" xr:uid="{00000000-0005-0000-0000-00006C190000}"/>
    <cellStyle name="Heading 3 3 3 2 7" xfId="35847" xr:uid="{00000000-0005-0000-0000-00006D190000}"/>
    <cellStyle name="Heading 3 3 3 2 8" xfId="43673" xr:uid="{00000000-0005-0000-0000-00006E190000}"/>
    <cellStyle name="Heading 3 3 3 3" xfId="798" xr:uid="{00000000-0005-0000-0000-00006F190000}"/>
    <cellStyle name="Heading 3 3 3 3 2" xfId="2788" xr:uid="{00000000-0005-0000-0000-000070190000}"/>
    <cellStyle name="Heading 3 3 3 3 2 2" xfId="18782" xr:uid="{00000000-0005-0000-0000-000071190000}"/>
    <cellStyle name="Heading 3 3 3 3 2 3" xfId="26533" xr:uid="{00000000-0005-0000-0000-000072190000}"/>
    <cellStyle name="Heading 3 3 3 3 2 4" xfId="30411" xr:uid="{00000000-0005-0000-0000-000073190000}"/>
    <cellStyle name="Heading 3 3 3 3 2 5" xfId="37840" xr:uid="{00000000-0005-0000-0000-000074190000}"/>
    <cellStyle name="Heading 3 3 3 3 2 6" xfId="41852" xr:uid="{00000000-0005-0000-0000-000075190000}"/>
    <cellStyle name="Heading 3 3 3 3 3" xfId="16764" xr:uid="{00000000-0005-0000-0000-000076190000}"/>
    <cellStyle name="Heading 3 3 3 3 4" xfId="20706" xr:uid="{00000000-0005-0000-0000-000077190000}"/>
    <cellStyle name="Heading 3 3 3 3 5" xfId="28413" xr:uid="{00000000-0005-0000-0000-000078190000}"/>
    <cellStyle name="Heading 3 3 3 3 6" xfId="35856" xr:uid="{00000000-0005-0000-0000-000079190000}"/>
    <cellStyle name="Heading 3 3 3 3 7" xfId="43682" xr:uid="{00000000-0005-0000-0000-00007A190000}"/>
    <cellStyle name="Heading 3 3 3 4" xfId="2011" xr:uid="{00000000-0005-0000-0000-00007B190000}"/>
    <cellStyle name="Heading 3 3 3 4 2" xfId="4000" xr:uid="{00000000-0005-0000-0000-00007C190000}"/>
    <cellStyle name="Heading 3 3 3 4 2 2" xfId="19994" xr:uid="{00000000-0005-0000-0000-00007D190000}"/>
    <cellStyle name="Heading 3 3 3 4 2 3" xfId="27744" xr:uid="{00000000-0005-0000-0000-00007E190000}"/>
    <cellStyle name="Heading 3 3 3 4 2 4" xfId="31604" xr:uid="{00000000-0005-0000-0000-00007F190000}"/>
    <cellStyle name="Heading 3 3 3 4 2 5" xfId="39051" xr:uid="{00000000-0005-0000-0000-000080190000}"/>
    <cellStyle name="Heading 3 3 3 4 2 6" xfId="43062" xr:uid="{00000000-0005-0000-0000-000081190000}"/>
    <cellStyle name="Heading 3 3 3 4 3" xfId="17977" xr:uid="{00000000-0005-0000-0000-000082190000}"/>
    <cellStyle name="Heading 3 3 3 4 4" xfId="25729" xr:uid="{00000000-0005-0000-0000-000083190000}"/>
    <cellStyle name="Heading 3 3 3 4 5" xfId="29616" xr:uid="{00000000-0005-0000-0000-000084190000}"/>
    <cellStyle name="Heading 3 3 3 4 6" xfId="37067" xr:uid="{00000000-0005-0000-0000-000085190000}"/>
    <cellStyle name="Heading 3 3 3 4 7" xfId="41059" xr:uid="{00000000-0005-0000-0000-000086190000}"/>
    <cellStyle name="Heading 3 3 3 5" xfId="2058" xr:uid="{00000000-0005-0000-0000-000087190000}"/>
    <cellStyle name="Heading 3 3 3 5 2" xfId="4047" xr:uid="{00000000-0005-0000-0000-000088190000}"/>
    <cellStyle name="Heading 3 3 3 5 2 2" xfId="20041" xr:uid="{00000000-0005-0000-0000-000089190000}"/>
    <cellStyle name="Heading 3 3 3 5 2 3" xfId="27791" xr:uid="{00000000-0005-0000-0000-00008A190000}"/>
    <cellStyle name="Heading 3 3 3 5 2 4" xfId="31650" xr:uid="{00000000-0005-0000-0000-00008B190000}"/>
    <cellStyle name="Heading 3 3 3 5 2 5" xfId="39098" xr:uid="{00000000-0005-0000-0000-00008C190000}"/>
    <cellStyle name="Heading 3 3 3 5 2 6" xfId="43108" xr:uid="{00000000-0005-0000-0000-00008D190000}"/>
    <cellStyle name="Heading 3 3 3 5 3" xfId="18024" xr:uid="{00000000-0005-0000-0000-00008E190000}"/>
    <cellStyle name="Heading 3 3 3 5 4" xfId="25776" xr:uid="{00000000-0005-0000-0000-00008F190000}"/>
    <cellStyle name="Heading 3 3 3 5 5" xfId="29662" xr:uid="{00000000-0005-0000-0000-000090190000}"/>
    <cellStyle name="Heading 3 3 3 5 6" xfId="37114" xr:uid="{00000000-0005-0000-0000-000091190000}"/>
    <cellStyle name="Heading 3 3 3 5 7" xfId="41104" xr:uid="{00000000-0005-0000-0000-000092190000}"/>
    <cellStyle name="Heading 3 3 3 6" xfId="2321" xr:uid="{00000000-0005-0000-0000-000093190000}"/>
    <cellStyle name="Heading 3 3 3 6 2" xfId="4304" xr:uid="{00000000-0005-0000-0000-000094190000}"/>
    <cellStyle name="Heading 3 3 3 6 2 2" xfId="20298" xr:uid="{00000000-0005-0000-0000-000095190000}"/>
    <cellStyle name="Heading 3 3 3 6 2 3" xfId="28048" xr:uid="{00000000-0005-0000-0000-000096190000}"/>
    <cellStyle name="Heading 3 3 3 6 2 4" xfId="31907" xr:uid="{00000000-0005-0000-0000-000097190000}"/>
    <cellStyle name="Heading 3 3 3 6 2 5" xfId="39355" xr:uid="{00000000-0005-0000-0000-000098190000}"/>
    <cellStyle name="Heading 3 3 3 6 2 6" xfId="43365" xr:uid="{00000000-0005-0000-0000-000099190000}"/>
    <cellStyle name="Heading 3 3 3 6 3" xfId="18315" xr:uid="{00000000-0005-0000-0000-00009A190000}"/>
    <cellStyle name="Heading 3 3 3 6 4" xfId="26066" xr:uid="{00000000-0005-0000-0000-00009B190000}"/>
    <cellStyle name="Heading 3 3 3 6 5" xfId="29946" xr:uid="{00000000-0005-0000-0000-00009C190000}"/>
    <cellStyle name="Heading 3 3 3 6 6" xfId="37373" xr:uid="{00000000-0005-0000-0000-00009D190000}"/>
    <cellStyle name="Heading 3 3 3 6 7" xfId="41389" xr:uid="{00000000-0005-0000-0000-00009E190000}"/>
    <cellStyle name="Heading 3 3 3 7" xfId="2438" xr:uid="{00000000-0005-0000-0000-00009F190000}"/>
    <cellStyle name="Heading 3 3 3 7 2" xfId="4421" xr:uid="{00000000-0005-0000-0000-0000A0190000}"/>
    <cellStyle name="Heading 3 3 3 7 2 2" xfId="20415" xr:uid="{00000000-0005-0000-0000-0000A1190000}"/>
    <cellStyle name="Heading 3 3 3 7 2 3" xfId="28165" xr:uid="{00000000-0005-0000-0000-0000A2190000}"/>
    <cellStyle name="Heading 3 3 3 7 2 4" xfId="32023" xr:uid="{00000000-0005-0000-0000-0000A3190000}"/>
    <cellStyle name="Heading 3 3 3 7 2 5" xfId="39472" xr:uid="{00000000-0005-0000-0000-0000A4190000}"/>
    <cellStyle name="Heading 3 3 3 7 2 6" xfId="43481" xr:uid="{00000000-0005-0000-0000-0000A5190000}"/>
    <cellStyle name="Heading 3 3 3 7 3" xfId="18432" xr:uid="{00000000-0005-0000-0000-0000A6190000}"/>
    <cellStyle name="Heading 3 3 3 7 4" xfId="26183" xr:uid="{00000000-0005-0000-0000-0000A7190000}"/>
    <cellStyle name="Heading 3 3 3 7 5" xfId="30062" xr:uid="{00000000-0005-0000-0000-0000A8190000}"/>
    <cellStyle name="Heading 3 3 3 7 6" xfId="37490" xr:uid="{00000000-0005-0000-0000-0000A9190000}"/>
    <cellStyle name="Heading 3 3 3 7 7" xfId="41505" xr:uid="{00000000-0005-0000-0000-0000AA190000}"/>
    <cellStyle name="Heading 3 3 3 8" xfId="2492" xr:uid="{00000000-0005-0000-0000-0000AB190000}"/>
    <cellStyle name="Heading 3 3 3 8 2" xfId="18486" xr:uid="{00000000-0005-0000-0000-0000AC190000}"/>
    <cellStyle name="Heading 3 3 3 8 3" xfId="26237" xr:uid="{00000000-0005-0000-0000-0000AD190000}"/>
    <cellStyle name="Heading 3 3 3 8 4" xfId="30116" xr:uid="{00000000-0005-0000-0000-0000AE190000}"/>
    <cellStyle name="Heading 3 3 3 8 5" xfId="37544" xr:uid="{00000000-0005-0000-0000-0000AF190000}"/>
    <cellStyle name="Heading 3 3 3 8 6" xfId="41558" xr:uid="{00000000-0005-0000-0000-0000B0190000}"/>
    <cellStyle name="Heading 3 3 3 9" xfId="8624" xr:uid="{00000000-0005-0000-0000-0000B1190000}"/>
    <cellStyle name="Heading 3 3 4" xfId="47528" xr:uid="{00000000-0005-0000-0000-0000B2190000}"/>
    <cellStyle name="Heading 4" xfId="12" builtinId="19" customBuiltin="1"/>
    <cellStyle name="Heading 4 2" xfId="176" xr:uid="{00000000-0005-0000-0000-0000B4190000}"/>
    <cellStyle name="Heading 4 3" xfId="177" xr:uid="{00000000-0005-0000-0000-0000B5190000}"/>
    <cellStyle name="Hyperlink 2" xfId="4507" xr:uid="{00000000-0005-0000-0000-0000B6190000}"/>
    <cellStyle name="Input" xfId="16" builtinId="20" customBuiltin="1"/>
    <cellStyle name="Input 2" xfId="178" xr:uid="{00000000-0005-0000-0000-0000B8190000}"/>
    <cellStyle name="Input 2 10" xfId="2131" xr:uid="{00000000-0005-0000-0000-0000B9190000}"/>
    <cellStyle name="Input 2 10 10" xfId="37183" xr:uid="{00000000-0005-0000-0000-0000BA190000}"/>
    <cellStyle name="Input 2 10 11" xfId="41199" xr:uid="{00000000-0005-0000-0000-0000BB190000}"/>
    <cellStyle name="Input 2 10 12" xfId="44997" xr:uid="{00000000-0005-0000-0000-0000BC190000}"/>
    <cellStyle name="Input 2 10 2" xfId="4115" xr:uid="{00000000-0005-0000-0000-0000BD190000}"/>
    <cellStyle name="Input 2 10 2 10" xfId="39166" xr:uid="{00000000-0005-0000-0000-0000BE190000}"/>
    <cellStyle name="Input 2 10 2 11" xfId="43176" xr:uid="{00000000-0005-0000-0000-0000BF190000}"/>
    <cellStyle name="Input 2 10 2 12" xfId="46935" xr:uid="{00000000-0005-0000-0000-0000C0190000}"/>
    <cellStyle name="Input 2 10 2 2" xfId="7976" xr:uid="{00000000-0005-0000-0000-0000C1190000}"/>
    <cellStyle name="Input 2 10 2 3" xfId="12415" xr:uid="{00000000-0005-0000-0000-0000C2190000}"/>
    <cellStyle name="Input 2 10 2 4" xfId="16260" xr:uid="{00000000-0005-0000-0000-0000C3190000}"/>
    <cellStyle name="Input 2 10 2 5" xfId="20109" xr:uid="{00000000-0005-0000-0000-0000C4190000}"/>
    <cellStyle name="Input 2 10 2 6" xfId="24023" xr:uid="{00000000-0005-0000-0000-0000C5190000}"/>
    <cellStyle name="Input 2 10 2 7" xfId="27859" xr:uid="{00000000-0005-0000-0000-0000C6190000}"/>
    <cellStyle name="Input 2 10 2 8" xfId="31718" xr:uid="{00000000-0005-0000-0000-0000C7190000}"/>
    <cellStyle name="Input 2 10 2 9" xfId="35373" xr:uid="{00000000-0005-0000-0000-0000C8190000}"/>
    <cellStyle name="Input 2 10 3" xfId="10449" xr:uid="{00000000-0005-0000-0000-0000C9190000}"/>
    <cellStyle name="Input 2 10 4" xfId="14297" xr:uid="{00000000-0005-0000-0000-0000CA190000}"/>
    <cellStyle name="Input 2 10 5" xfId="18125" xr:uid="{00000000-0005-0000-0000-0000CB190000}"/>
    <cellStyle name="Input 2 10 6" xfId="22067" xr:uid="{00000000-0005-0000-0000-0000CC190000}"/>
    <cellStyle name="Input 2 10 7" xfId="25876" xr:uid="{00000000-0005-0000-0000-0000CD190000}"/>
    <cellStyle name="Input 2 10 8" xfId="29756" xr:uid="{00000000-0005-0000-0000-0000CE190000}"/>
    <cellStyle name="Input 2 10 9" xfId="33435" xr:uid="{00000000-0005-0000-0000-0000CF190000}"/>
    <cellStyle name="Input 2 11" xfId="2182" xr:uid="{00000000-0005-0000-0000-0000D0190000}"/>
    <cellStyle name="Input 2 11 10" xfId="33483" xr:uid="{00000000-0005-0000-0000-0000D1190000}"/>
    <cellStyle name="Input 2 11 11" xfId="37234" xr:uid="{00000000-0005-0000-0000-0000D2190000}"/>
    <cellStyle name="Input 2 11 12" xfId="41250" xr:uid="{00000000-0005-0000-0000-0000D3190000}"/>
    <cellStyle name="Input 2 11 13" xfId="45045" xr:uid="{00000000-0005-0000-0000-0000D4190000}"/>
    <cellStyle name="Input 2 11 2" xfId="4165" xr:uid="{00000000-0005-0000-0000-0000D5190000}"/>
    <cellStyle name="Input 2 11 2 10" xfId="39216" xr:uid="{00000000-0005-0000-0000-0000D6190000}"/>
    <cellStyle name="Input 2 11 2 11" xfId="43226" xr:uid="{00000000-0005-0000-0000-0000D7190000}"/>
    <cellStyle name="Input 2 11 2 12" xfId="46983" xr:uid="{00000000-0005-0000-0000-0000D8190000}"/>
    <cellStyle name="Input 2 11 2 2" xfId="8024" xr:uid="{00000000-0005-0000-0000-0000D9190000}"/>
    <cellStyle name="Input 2 11 2 3" xfId="12464" xr:uid="{00000000-0005-0000-0000-0000DA190000}"/>
    <cellStyle name="Input 2 11 2 4" xfId="16309" xr:uid="{00000000-0005-0000-0000-0000DB190000}"/>
    <cellStyle name="Input 2 11 2 5" xfId="20159" xr:uid="{00000000-0005-0000-0000-0000DC190000}"/>
    <cellStyle name="Input 2 11 2 6" xfId="24071" xr:uid="{00000000-0005-0000-0000-0000DD190000}"/>
    <cellStyle name="Input 2 11 2 7" xfId="27909" xr:uid="{00000000-0005-0000-0000-0000DE190000}"/>
    <cellStyle name="Input 2 11 2 8" xfId="31768" xr:uid="{00000000-0005-0000-0000-0000DF190000}"/>
    <cellStyle name="Input 2 11 2 9" xfId="35421" xr:uid="{00000000-0005-0000-0000-0000E0190000}"/>
    <cellStyle name="Input 2 11 3" xfId="6096" xr:uid="{00000000-0005-0000-0000-0000E1190000}"/>
    <cellStyle name="Input 2 11 4" xfId="10499" xr:uid="{00000000-0005-0000-0000-0000E2190000}"/>
    <cellStyle name="Input 2 11 5" xfId="14345" xr:uid="{00000000-0005-0000-0000-0000E3190000}"/>
    <cellStyle name="Input 2 11 6" xfId="18176" xr:uid="{00000000-0005-0000-0000-0000E4190000}"/>
    <cellStyle name="Input 2 11 7" xfId="22115" xr:uid="{00000000-0005-0000-0000-0000E5190000}"/>
    <cellStyle name="Input 2 11 8" xfId="25927" xr:uid="{00000000-0005-0000-0000-0000E6190000}"/>
    <cellStyle name="Input 2 11 9" xfId="29807" xr:uid="{00000000-0005-0000-0000-0000E7190000}"/>
    <cellStyle name="Input 2 12" xfId="2172" xr:uid="{00000000-0005-0000-0000-0000E8190000}"/>
    <cellStyle name="Input 2 12 10" xfId="33473" xr:uid="{00000000-0005-0000-0000-0000E9190000}"/>
    <cellStyle name="Input 2 12 11" xfId="37224" xr:uid="{00000000-0005-0000-0000-0000EA190000}"/>
    <cellStyle name="Input 2 12 12" xfId="41240" xr:uid="{00000000-0005-0000-0000-0000EB190000}"/>
    <cellStyle name="Input 2 12 13" xfId="45035" xr:uid="{00000000-0005-0000-0000-0000EC190000}"/>
    <cellStyle name="Input 2 12 2" xfId="4155" xr:uid="{00000000-0005-0000-0000-0000ED190000}"/>
    <cellStyle name="Input 2 12 2 10" xfId="39206" xr:uid="{00000000-0005-0000-0000-0000EE190000}"/>
    <cellStyle name="Input 2 12 2 11" xfId="43216" xr:uid="{00000000-0005-0000-0000-0000EF190000}"/>
    <cellStyle name="Input 2 12 2 12" xfId="46973" xr:uid="{00000000-0005-0000-0000-0000F0190000}"/>
    <cellStyle name="Input 2 12 2 2" xfId="8014" xr:uid="{00000000-0005-0000-0000-0000F1190000}"/>
    <cellStyle name="Input 2 12 2 3" xfId="12454" xr:uid="{00000000-0005-0000-0000-0000F2190000}"/>
    <cellStyle name="Input 2 12 2 4" xfId="16299" xr:uid="{00000000-0005-0000-0000-0000F3190000}"/>
    <cellStyle name="Input 2 12 2 5" xfId="20149" xr:uid="{00000000-0005-0000-0000-0000F4190000}"/>
    <cellStyle name="Input 2 12 2 6" xfId="24061" xr:uid="{00000000-0005-0000-0000-0000F5190000}"/>
    <cellStyle name="Input 2 12 2 7" xfId="27899" xr:uid="{00000000-0005-0000-0000-0000F6190000}"/>
    <cellStyle name="Input 2 12 2 8" xfId="31758" xr:uid="{00000000-0005-0000-0000-0000F7190000}"/>
    <cellStyle name="Input 2 12 2 9" xfId="35411" xr:uid="{00000000-0005-0000-0000-0000F8190000}"/>
    <cellStyle name="Input 2 12 3" xfId="6088" xr:uid="{00000000-0005-0000-0000-0000F9190000}"/>
    <cellStyle name="Input 2 12 4" xfId="10489" xr:uid="{00000000-0005-0000-0000-0000FA190000}"/>
    <cellStyle name="Input 2 12 5" xfId="14335" xr:uid="{00000000-0005-0000-0000-0000FB190000}"/>
    <cellStyle name="Input 2 12 6" xfId="18166" xr:uid="{00000000-0005-0000-0000-0000FC190000}"/>
    <cellStyle name="Input 2 12 7" xfId="22105" xr:uid="{00000000-0005-0000-0000-0000FD190000}"/>
    <cellStyle name="Input 2 12 8" xfId="25917" xr:uid="{00000000-0005-0000-0000-0000FE190000}"/>
    <cellStyle name="Input 2 12 9" xfId="29797" xr:uid="{00000000-0005-0000-0000-0000FF190000}"/>
    <cellStyle name="Input 2 13" xfId="2517" xr:uid="{00000000-0005-0000-0000-0000001A0000}"/>
    <cellStyle name="Input 2 13 10" xfId="37569" xr:uid="{00000000-0005-0000-0000-0000011A0000}"/>
    <cellStyle name="Input 2 13 11" xfId="41583" xr:uid="{00000000-0005-0000-0000-0000021A0000}"/>
    <cellStyle name="Input 2 13 12" xfId="45372" xr:uid="{00000000-0005-0000-0000-0000031A0000}"/>
    <cellStyle name="Input 2 13 2" xfId="6409" xr:uid="{00000000-0005-0000-0000-0000041A0000}"/>
    <cellStyle name="Input 2 13 3" xfId="10832" xr:uid="{00000000-0005-0000-0000-0000051A0000}"/>
    <cellStyle name="Input 2 13 4" xfId="14676" xr:uid="{00000000-0005-0000-0000-0000061A0000}"/>
    <cellStyle name="Input 2 13 5" xfId="18511" xr:uid="{00000000-0005-0000-0000-0000071A0000}"/>
    <cellStyle name="Input 2 13 6" xfId="22446" xr:uid="{00000000-0005-0000-0000-0000081A0000}"/>
    <cellStyle name="Input 2 13 7" xfId="26262" xr:uid="{00000000-0005-0000-0000-0000091A0000}"/>
    <cellStyle name="Input 2 13 8" xfId="30141" xr:uid="{00000000-0005-0000-0000-00000A1A0000}"/>
    <cellStyle name="Input 2 13 9" xfId="33810" xr:uid="{00000000-0005-0000-0000-00000B1A0000}"/>
    <cellStyle name="Input 2 14" xfId="8366" xr:uid="{00000000-0005-0000-0000-00000C1A0000}"/>
    <cellStyle name="Input 2 15" xfId="8490" xr:uid="{00000000-0005-0000-0000-00000D1A0000}"/>
    <cellStyle name="Input 2 16" xfId="8639" xr:uid="{00000000-0005-0000-0000-00000E1A0000}"/>
    <cellStyle name="Input 2 17" xfId="8402" xr:uid="{00000000-0005-0000-0000-00000F1A0000}"/>
    <cellStyle name="Input 2 18" xfId="12926" xr:uid="{00000000-0005-0000-0000-0000101A0000}"/>
    <cellStyle name="Input 2 19" xfId="8612" xr:uid="{00000000-0005-0000-0000-0000111A0000}"/>
    <cellStyle name="Input 2 2" xfId="555" xr:uid="{00000000-0005-0000-0000-0000121A0000}"/>
    <cellStyle name="Input 2 2 10" xfId="2207" xr:uid="{00000000-0005-0000-0000-0000131A0000}"/>
    <cellStyle name="Input 2 2 10 10" xfId="33508" xr:uid="{00000000-0005-0000-0000-0000141A0000}"/>
    <cellStyle name="Input 2 2 10 11" xfId="37259" xr:uid="{00000000-0005-0000-0000-0000151A0000}"/>
    <cellStyle name="Input 2 2 10 12" xfId="41275" xr:uid="{00000000-0005-0000-0000-0000161A0000}"/>
    <cellStyle name="Input 2 2 10 13" xfId="45070" xr:uid="{00000000-0005-0000-0000-0000171A0000}"/>
    <cellStyle name="Input 2 2 10 2" xfId="4190" xr:uid="{00000000-0005-0000-0000-0000181A0000}"/>
    <cellStyle name="Input 2 2 10 2 10" xfId="39241" xr:uid="{00000000-0005-0000-0000-0000191A0000}"/>
    <cellStyle name="Input 2 2 10 2 11" xfId="43251" xr:uid="{00000000-0005-0000-0000-00001A1A0000}"/>
    <cellStyle name="Input 2 2 10 2 12" xfId="47008" xr:uid="{00000000-0005-0000-0000-00001B1A0000}"/>
    <cellStyle name="Input 2 2 10 2 2" xfId="8049" xr:uid="{00000000-0005-0000-0000-00001C1A0000}"/>
    <cellStyle name="Input 2 2 10 2 3" xfId="12489" xr:uid="{00000000-0005-0000-0000-00001D1A0000}"/>
    <cellStyle name="Input 2 2 10 2 4" xfId="16334" xr:uid="{00000000-0005-0000-0000-00001E1A0000}"/>
    <cellStyle name="Input 2 2 10 2 5" xfId="20184" xr:uid="{00000000-0005-0000-0000-00001F1A0000}"/>
    <cellStyle name="Input 2 2 10 2 6" xfId="24096" xr:uid="{00000000-0005-0000-0000-0000201A0000}"/>
    <cellStyle name="Input 2 2 10 2 7" xfId="27934" xr:uid="{00000000-0005-0000-0000-0000211A0000}"/>
    <cellStyle name="Input 2 2 10 2 8" xfId="31793" xr:uid="{00000000-0005-0000-0000-0000221A0000}"/>
    <cellStyle name="Input 2 2 10 2 9" xfId="35446" xr:uid="{00000000-0005-0000-0000-0000231A0000}"/>
    <cellStyle name="Input 2 2 10 3" xfId="6121" xr:uid="{00000000-0005-0000-0000-0000241A0000}"/>
    <cellStyle name="Input 2 2 10 4" xfId="10524" xr:uid="{00000000-0005-0000-0000-0000251A0000}"/>
    <cellStyle name="Input 2 2 10 5" xfId="14370" xr:uid="{00000000-0005-0000-0000-0000261A0000}"/>
    <cellStyle name="Input 2 2 10 6" xfId="18201" xr:uid="{00000000-0005-0000-0000-0000271A0000}"/>
    <cellStyle name="Input 2 2 10 7" xfId="22140" xr:uid="{00000000-0005-0000-0000-0000281A0000}"/>
    <cellStyle name="Input 2 2 10 8" xfId="25952" xr:uid="{00000000-0005-0000-0000-0000291A0000}"/>
    <cellStyle name="Input 2 2 10 9" xfId="29832" xr:uid="{00000000-0005-0000-0000-00002A1A0000}"/>
    <cellStyle name="Input 2 2 11" xfId="2265" xr:uid="{00000000-0005-0000-0000-00002B1A0000}"/>
    <cellStyle name="Input 2 2 11 10" xfId="33566" xr:uid="{00000000-0005-0000-0000-00002C1A0000}"/>
    <cellStyle name="Input 2 2 11 11" xfId="37317" xr:uid="{00000000-0005-0000-0000-00002D1A0000}"/>
    <cellStyle name="Input 2 2 11 12" xfId="41333" xr:uid="{00000000-0005-0000-0000-00002E1A0000}"/>
    <cellStyle name="Input 2 2 11 13" xfId="45128" xr:uid="{00000000-0005-0000-0000-00002F1A0000}"/>
    <cellStyle name="Input 2 2 11 2" xfId="4248" xr:uid="{00000000-0005-0000-0000-0000301A0000}"/>
    <cellStyle name="Input 2 2 11 2 10" xfId="39299" xr:uid="{00000000-0005-0000-0000-0000311A0000}"/>
    <cellStyle name="Input 2 2 11 2 11" xfId="43309" xr:uid="{00000000-0005-0000-0000-0000321A0000}"/>
    <cellStyle name="Input 2 2 11 2 12" xfId="47066" xr:uid="{00000000-0005-0000-0000-0000331A0000}"/>
    <cellStyle name="Input 2 2 11 2 2" xfId="8107" xr:uid="{00000000-0005-0000-0000-0000341A0000}"/>
    <cellStyle name="Input 2 2 11 2 3" xfId="12547" xr:uid="{00000000-0005-0000-0000-0000351A0000}"/>
    <cellStyle name="Input 2 2 11 2 4" xfId="16392" xr:uid="{00000000-0005-0000-0000-0000361A0000}"/>
    <cellStyle name="Input 2 2 11 2 5" xfId="20242" xr:uid="{00000000-0005-0000-0000-0000371A0000}"/>
    <cellStyle name="Input 2 2 11 2 6" xfId="24154" xr:uid="{00000000-0005-0000-0000-0000381A0000}"/>
    <cellStyle name="Input 2 2 11 2 7" xfId="27992" xr:uid="{00000000-0005-0000-0000-0000391A0000}"/>
    <cellStyle name="Input 2 2 11 2 8" xfId="31851" xr:uid="{00000000-0005-0000-0000-00003A1A0000}"/>
    <cellStyle name="Input 2 2 11 2 9" xfId="35504" xr:uid="{00000000-0005-0000-0000-00003B1A0000}"/>
    <cellStyle name="Input 2 2 11 3" xfId="6179" xr:uid="{00000000-0005-0000-0000-00003C1A0000}"/>
    <cellStyle name="Input 2 2 11 4" xfId="10582" xr:uid="{00000000-0005-0000-0000-00003D1A0000}"/>
    <cellStyle name="Input 2 2 11 5" xfId="14428" xr:uid="{00000000-0005-0000-0000-00003E1A0000}"/>
    <cellStyle name="Input 2 2 11 6" xfId="18259" xr:uid="{00000000-0005-0000-0000-00003F1A0000}"/>
    <cellStyle name="Input 2 2 11 7" xfId="22198" xr:uid="{00000000-0005-0000-0000-0000401A0000}"/>
    <cellStyle name="Input 2 2 11 8" xfId="26010" xr:uid="{00000000-0005-0000-0000-0000411A0000}"/>
    <cellStyle name="Input 2 2 11 9" xfId="29890" xr:uid="{00000000-0005-0000-0000-0000421A0000}"/>
    <cellStyle name="Input 2 2 12" xfId="2320" xr:uid="{00000000-0005-0000-0000-0000431A0000}"/>
    <cellStyle name="Input 2 2 12 10" xfId="33621" xr:uid="{00000000-0005-0000-0000-0000441A0000}"/>
    <cellStyle name="Input 2 2 12 11" xfId="37372" xr:uid="{00000000-0005-0000-0000-0000451A0000}"/>
    <cellStyle name="Input 2 2 12 12" xfId="41388" xr:uid="{00000000-0005-0000-0000-0000461A0000}"/>
    <cellStyle name="Input 2 2 12 13" xfId="45183" xr:uid="{00000000-0005-0000-0000-0000471A0000}"/>
    <cellStyle name="Input 2 2 12 2" xfId="4303" xr:uid="{00000000-0005-0000-0000-0000481A0000}"/>
    <cellStyle name="Input 2 2 12 2 10" xfId="39354" xr:uid="{00000000-0005-0000-0000-0000491A0000}"/>
    <cellStyle name="Input 2 2 12 2 11" xfId="43364" xr:uid="{00000000-0005-0000-0000-00004A1A0000}"/>
    <cellStyle name="Input 2 2 12 2 12" xfId="47121" xr:uid="{00000000-0005-0000-0000-00004B1A0000}"/>
    <cellStyle name="Input 2 2 12 2 2" xfId="8162" xr:uid="{00000000-0005-0000-0000-00004C1A0000}"/>
    <cellStyle name="Input 2 2 12 2 3" xfId="12602" xr:uid="{00000000-0005-0000-0000-00004D1A0000}"/>
    <cellStyle name="Input 2 2 12 2 4" xfId="16447" xr:uid="{00000000-0005-0000-0000-00004E1A0000}"/>
    <cellStyle name="Input 2 2 12 2 5" xfId="20297" xr:uid="{00000000-0005-0000-0000-00004F1A0000}"/>
    <cellStyle name="Input 2 2 12 2 6" xfId="24209" xr:uid="{00000000-0005-0000-0000-0000501A0000}"/>
    <cellStyle name="Input 2 2 12 2 7" xfId="28047" xr:uid="{00000000-0005-0000-0000-0000511A0000}"/>
    <cellStyle name="Input 2 2 12 2 8" xfId="31906" xr:uid="{00000000-0005-0000-0000-0000521A0000}"/>
    <cellStyle name="Input 2 2 12 2 9" xfId="35559" xr:uid="{00000000-0005-0000-0000-0000531A0000}"/>
    <cellStyle name="Input 2 2 12 3" xfId="6234" xr:uid="{00000000-0005-0000-0000-0000541A0000}"/>
    <cellStyle name="Input 2 2 12 4" xfId="10637" xr:uid="{00000000-0005-0000-0000-0000551A0000}"/>
    <cellStyle name="Input 2 2 12 5" xfId="14483" xr:uid="{00000000-0005-0000-0000-0000561A0000}"/>
    <cellStyle name="Input 2 2 12 6" xfId="18314" xr:uid="{00000000-0005-0000-0000-0000571A0000}"/>
    <cellStyle name="Input 2 2 12 7" xfId="22253" xr:uid="{00000000-0005-0000-0000-0000581A0000}"/>
    <cellStyle name="Input 2 2 12 8" xfId="26065" xr:uid="{00000000-0005-0000-0000-0000591A0000}"/>
    <cellStyle name="Input 2 2 12 9" xfId="29945" xr:uid="{00000000-0005-0000-0000-00005A1A0000}"/>
    <cellStyle name="Input 2 2 13" xfId="2387" xr:uid="{00000000-0005-0000-0000-00005B1A0000}"/>
    <cellStyle name="Input 2 2 13 10" xfId="33685" xr:uid="{00000000-0005-0000-0000-00005C1A0000}"/>
    <cellStyle name="Input 2 2 13 11" xfId="37439" xr:uid="{00000000-0005-0000-0000-00005D1A0000}"/>
    <cellStyle name="Input 2 2 13 12" xfId="41454" xr:uid="{00000000-0005-0000-0000-00005E1A0000}"/>
    <cellStyle name="Input 2 2 13 13" xfId="45247" xr:uid="{00000000-0005-0000-0000-00005F1A0000}"/>
    <cellStyle name="Input 2 2 13 2" xfId="4370" xr:uid="{00000000-0005-0000-0000-0000601A0000}"/>
    <cellStyle name="Input 2 2 13 2 10" xfId="39421" xr:uid="{00000000-0005-0000-0000-0000611A0000}"/>
    <cellStyle name="Input 2 2 13 2 11" xfId="43430" xr:uid="{00000000-0005-0000-0000-0000621A0000}"/>
    <cellStyle name="Input 2 2 13 2 12" xfId="47185" xr:uid="{00000000-0005-0000-0000-0000631A0000}"/>
    <cellStyle name="Input 2 2 13 2 2" xfId="8227" xr:uid="{00000000-0005-0000-0000-0000641A0000}"/>
    <cellStyle name="Input 2 2 13 2 3" xfId="12668" xr:uid="{00000000-0005-0000-0000-0000651A0000}"/>
    <cellStyle name="Input 2 2 13 2 4" xfId="16513" xr:uid="{00000000-0005-0000-0000-0000661A0000}"/>
    <cellStyle name="Input 2 2 13 2 5" xfId="20364" xr:uid="{00000000-0005-0000-0000-0000671A0000}"/>
    <cellStyle name="Input 2 2 13 2 6" xfId="24275" xr:uid="{00000000-0005-0000-0000-0000681A0000}"/>
    <cellStyle name="Input 2 2 13 2 7" xfId="28114" xr:uid="{00000000-0005-0000-0000-0000691A0000}"/>
    <cellStyle name="Input 2 2 13 2 8" xfId="31972" xr:uid="{00000000-0005-0000-0000-00006A1A0000}"/>
    <cellStyle name="Input 2 2 13 2 9" xfId="35623" xr:uid="{00000000-0005-0000-0000-00006B1A0000}"/>
    <cellStyle name="Input 2 2 13 3" xfId="6283" xr:uid="{00000000-0005-0000-0000-00006C1A0000}"/>
    <cellStyle name="Input 2 2 13 4" xfId="10703" xr:uid="{00000000-0005-0000-0000-00006D1A0000}"/>
    <cellStyle name="Input 2 2 13 5" xfId="14549" xr:uid="{00000000-0005-0000-0000-00006E1A0000}"/>
    <cellStyle name="Input 2 2 13 6" xfId="18381" xr:uid="{00000000-0005-0000-0000-00006F1A0000}"/>
    <cellStyle name="Input 2 2 13 7" xfId="22319" xr:uid="{00000000-0005-0000-0000-0000701A0000}"/>
    <cellStyle name="Input 2 2 13 8" xfId="26132" xr:uid="{00000000-0005-0000-0000-0000711A0000}"/>
    <cellStyle name="Input 2 2 13 9" xfId="30012" xr:uid="{00000000-0005-0000-0000-0000721A0000}"/>
    <cellStyle name="Input 2 2 14" xfId="2437" xr:uid="{00000000-0005-0000-0000-0000731A0000}"/>
    <cellStyle name="Input 2 2 14 10" xfId="33735" xr:uid="{00000000-0005-0000-0000-0000741A0000}"/>
    <cellStyle name="Input 2 2 14 11" xfId="37489" xr:uid="{00000000-0005-0000-0000-0000751A0000}"/>
    <cellStyle name="Input 2 2 14 12" xfId="41504" xr:uid="{00000000-0005-0000-0000-0000761A0000}"/>
    <cellStyle name="Input 2 2 14 13" xfId="45297" xr:uid="{00000000-0005-0000-0000-0000771A0000}"/>
    <cellStyle name="Input 2 2 14 2" xfId="4420" xr:uid="{00000000-0005-0000-0000-0000781A0000}"/>
    <cellStyle name="Input 2 2 14 2 10" xfId="39471" xr:uid="{00000000-0005-0000-0000-0000791A0000}"/>
    <cellStyle name="Input 2 2 14 2 11" xfId="43480" xr:uid="{00000000-0005-0000-0000-00007A1A0000}"/>
    <cellStyle name="Input 2 2 14 2 12" xfId="47235" xr:uid="{00000000-0005-0000-0000-00007B1A0000}"/>
    <cellStyle name="Input 2 2 14 2 2" xfId="8277" xr:uid="{00000000-0005-0000-0000-00007C1A0000}"/>
    <cellStyle name="Input 2 2 14 2 3" xfId="12718" xr:uid="{00000000-0005-0000-0000-00007D1A0000}"/>
    <cellStyle name="Input 2 2 14 2 4" xfId="16563" xr:uid="{00000000-0005-0000-0000-00007E1A0000}"/>
    <cellStyle name="Input 2 2 14 2 5" xfId="20414" xr:uid="{00000000-0005-0000-0000-00007F1A0000}"/>
    <cellStyle name="Input 2 2 14 2 6" xfId="24325" xr:uid="{00000000-0005-0000-0000-0000801A0000}"/>
    <cellStyle name="Input 2 2 14 2 7" xfId="28164" xr:uid="{00000000-0005-0000-0000-0000811A0000}"/>
    <cellStyle name="Input 2 2 14 2 8" xfId="32022" xr:uid="{00000000-0005-0000-0000-0000821A0000}"/>
    <cellStyle name="Input 2 2 14 2 9" xfId="35673" xr:uid="{00000000-0005-0000-0000-0000831A0000}"/>
    <cellStyle name="Input 2 2 14 3" xfId="6333" xr:uid="{00000000-0005-0000-0000-0000841A0000}"/>
    <cellStyle name="Input 2 2 14 4" xfId="10753" xr:uid="{00000000-0005-0000-0000-0000851A0000}"/>
    <cellStyle name="Input 2 2 14 5" xfId="14599" xr:uid="{00000000-0005-0000-0000-0000861A0000}"/>
    <cellStyle name="Input 2 2 14 6" xfId="18431" xr:uid="{00000000-0005-0000-0000-0000871A0000}"/>
    <cellStyle name="Input 2 2 14 7" xfId="22369" xr:uid="{00000000-0005-0000-0000-0000881A0000}"/>
    <cellStyle name="Input 2 2 14 8" xfId="26182" xr:uid="{00000000-0005-0000-0000-0000891A0000}"/>
    <cellStyle name="Input 2 2 14 9" xfId="30061" xr:uid="{00000000-0005-0000-0000-00008A1A0000}"/>
    <cellStyle name="Input 2 2 15" xfId="2491" xr:uid="{00000000-0005-0000-0000-00008B1A0000}"/>
    <cellStyle name="Input 2 2 15 10" xfId="33786" xr:uid="{00000000-0005-0000-0000-00008C1A0000}"/>
    <cellStyle name="Input 2 2 15 11" xfId="37543" xr:uid="{00000000-0005-0000-0000-00008D1A0000}"/>
    <cellStyle name="Input 2 2 15 12" xfId="41557" xr:uid="{00000000-0005-0000-0000-00008E1A0000}"/>
    <cellStyle name="Input 2 2 15 13" xfId="45348" xr:uid="{00000000-0005-0000-0000-00008F1A0000}"/>
    <cellStyle name="Input 2 2 15 2" xfId="4473" xr:uid="{00000000-0005-0000-0000-0000901A0000}"/>
    <cellStyle name="Input 2 2 15 2 10" xfId="39524" xr:uid="{00000000-0005-0000-0000-0000911A0000}"/>
    <cellStyle name="Input 2 2 15 2 11" xfId="43533" xr:uid="{00000000-0005-0000-0000-0000921A0000}"/>
    <cellStyle name="Input 2 2 15 2 12" xfId="47286" xr:uid="{00000000-0005-0000-0000-0000931A0000}"/>
    <cellStyle name="Input 2 2 15 2 2" xfId="8328" xr:uid="{00000000-0005-0000-0000-0000941A0000}"/>
    <cellStyle name="Input 2 2 15 2 3" xfId="12771" xr:uid="{00000000-0005-0000-0000-0000951A0000}"/>
    <cellStyle name="Input 2 2 15 2 4" xfId="16614" xr:uid="{00000000-0005-0000-0000-0000961A0000}"/>
    <cellStyle name="Input 2 2 15 2 5" xfId="20467" xr:uid="{00000000-0005-0000-0000-0000971A0000}"/>
    <cellStyle name="Input 2 2 15 2 6" xfId="24377" xr:uid="{00000000-0005-0000-0000-0000981A0000}"/>
    <cellStyle name="Input 2 2 15 2 7" xfId="28217" xr:uid="{00000000-0005-0000-0000-0000991A0000}"/>
    <cellStyle name="Input 2 2 15 2 8" xfId="32075" xr:uid="{00000000-0005-0000-0000-00009A1A0000}"/>
    <cellStyle name="Input 2 2 15 2 9" xfId="35724" xr:uid="{00000000-0005-0000-0000-00009B1A0000}"/>
    <cellStyle name="Input 2 2 15 3" xfId="6385" xr:uid="{00000000-0005-0000-0000-00009C1A0000}"/>
    <cellStyle name="Input 2 2 15 4" xfId="10806" xr:uid="{00000000-0005-0000-0000-00009D1A0000}"/>
    <cellStyle name="Input 2 2 15 5" xfId="14652" xr:uid="{00000000-0005-0000-0000-00009E1A0000}"/>
    <cellStyle name="Input 2 2 15 6" xfId="18485" xr:uid="{00000000-0005-0000-0000-00009F1A0000}"/>
    <cellStyle name="Input 2 2 15 7" xfId="22422" xr:uid="{00000000-0005-0000-0000-0000A01A0000}"/>
    <cellStyle name="Input 2 2 15 8" xfId="26236" xr:uid="{00000000-0005-0000-0000-0000A11A0000}"/>
    <cellStyle name="Input 2 2 15 9" xfId="30115" xr:uid="{00000000-0005-0000-0000-0000A21A0000}"/>
    <cellStyle name="Input 2 2 16" xfId="2562" xr:uid="{00000000-0005-0000-0000-0000A31A0000}"/>
    <cellStyle name="Input 2 2 16 10" xfId="37614" xr:uid="{00000000-0005-0000-0000-0000A41A0000}"/>
    <cellStyle name="Input 2 2 16 11" xfId="41628" xr:uid="{00000000-0005-0000-0000-0000A51A0000}"/>
    <cellStyle name="Input 2 2 16 12" xfId="45417" xr:uid="{00000000-0005-0000-0000-0000A61A0000}"/>
    <cellStyle name="Input 2 2 16 2" xfId="6454" xr:uid="{00000000-0005-0000-0000-0000A71A0000}"/>
    <cellStyle name="Input 2 2 16 3" xfId="10877" xr:uid="{00000000-0005-0000-0000-0000A81A0000}"/>
    <cellStyle name="Input 2 2 16 4" xfId="14721" xr:uid="{00000000-0005-0000-0000-0000A91A0000}"/>
    <cellStyle name="Input 2 2 16 5" xfId="18556" xr:uid="{00000000-0005-0000-0000-0000AA1A0000}"/>
    <cellStyle name="Input 2 2 16 6" xfId="22491" xr:uid="{00000000-0005-0000-0000-0000AB1A0000}"/>
    <cellStyle name="Input 2 2 16 7" xfId="26307" xr:uid="{00000000-0005-0000-0000-0000AC1A0000}"/>
    <cellStyle name="Input 2 2 16 8" xfId="30186" xr:uid="{00000000-0005-0000-0000-0000AD1A0000}"/>
    <cellStyle name="Input 2 2 16 9" xfId="33855" xr:uid="{00000000-0005-0000-0000-0000AE1A0000}"/>
    <cellStyle name="Input 2 2 17" xfId="4530" xr:uid="{00000000-0005-0000-0000-0000AF1A0000}"/>
    <cellStyle name="Input 2 2 18" xfId="8360" xr:uid="{00000000-0005-0000-0000-0000B01A0000}"/>
    <cellStyle name="Input 2 2 19" xfId="8745" xr:uid="{00000000-0005-0000-0000-0000B11A0000}"/>
    <cellStyle name="Input 2 2 2" xfId="691" xr:uid="{00000000-0005-0000-0000-0000B21A0000}"/>
    <cellStyle name="Input 2 2 2 10" xfId="24425" xr:uid="{00000000-0005-0000-0000-0000B31A0000}"/>
    <cellStyle name="Input 2 2 2 11" xfId="28318" xr:uid="{00000000-0005-0000-0000-0000B41A0000}"/>
    <cellStyle name="Input 2 2 2 12" xfId="30698" xr:uid="{00000000-0005-0000-0000-0000B51A0000}"/>
    <cellStyle name="Input 2 2 2 13" xfId="35762" xr:uid="{00000000-0005-0000-0000-0000B61A0000}"/>
    <cellStyle name="Input 2 2 2 14" xfId="39785" xr:uid="{00000000-0005-0000-0000-0000B71A0000}"/>
    <cellStyle name="Input 2 2 2 15" xfId="43588" xr:uid="{00000000-0005-0000-0000-0000B81A0000}"/>
    <cellStyle name="Input 2 2 2 2" xfId="1071" xr:uid="{00000000-0005-0000-0000-0000B91A0000}"/>
    <cellStyle name="Input 2 2 2 2 10" xfId="28682" xr:uid="{00000000-0005-0000-0000-0000BA1A0000}"/>
    <cellStyle name="Input 2 2 2 2 11" xfId="32368" xr:uid="{00000000-0005-0000-0000-0000BB1A0000}"/>
    <cellStyle name="Input 2 2 2 2 12" xfId="36129" xr:uid="{00000000-0005-0000-0000-0000BC1A0000}"/>
    <cellStyle name="Input 2 2 2 2 13" xfId="40132" xr:uid="{00000000-0005-0000-0000-0000BD1A0000}"/>
    <cellStyle name="Input 2 2 2 2 14" xfId="43955" xr:uid="{00000000-0005-0000-0000-0000BE1A0000}"/>
    <cellStyle name="Input 2 2 2 2 2" xfId="1798" xr:uid="{00000000-0005-0000-0000-0000BF1A0000}"/>
    <cellStyle name="Input 2 2 2 2 2 10" xfId="33085" xr:uid="{00000000-0005-0000-0000-0000C01A0000}"/>
    <cellStyle name="Input 2 2 2 2 2 11" xfId="36855" xr:uid="{00000000-0005-0000-0000-0000C11A0000}"/>
    <cellStyle name="Input 2 2 2 2 2 12" xfId="40846" xr:uid="{00000000-0005-0000-0000-0000C21A0000}"/>
    <cellStyle name="Input 2 2 2 2 2 13" xfId="44677" xr:uid="{00000000-0005-0000-0000-0000C31A0000}"/>
    <cellStyle name="Input 2 2 2 2 2 2" xfId="3788" xr:uid="{00000000-0005-0000-0000-0000C41A0000}"/>
    <cellStyle name="Input 2 2 2 2 2 2 10" xfId="38839" xr:uid="{00000000-0005-0000-0000-0000C51A0000}"/>
    <cellStyle name="Input 2 2 2 2 2 2 11" xfId="42850" xr:uid="{00000000-0005-0000-0000-0000C61A0000}"/>
    <cellStyle name="Input 2 2 2 2 2 2 12" xfId="46615" xr:uid="{00000000-0005-0000-0000-0000C71A0000}"/>
    <cellStyle name="Input 2 2 2 2 2 2 2" xfId="7655" xr:uid="{00000000-0005-0000-0000-0000C81A0000}"/>
    <cellStyle name="Input 2 2 2 2 2 2 3" xfId="12090" xr:uid="{00000000-0005-0000-0000-0000C91A0000}"/>
    <cellStyle name="Input 2 2 2 2 2 2 4" xfId="15935" xr:uid="{00000000-0005-0000-0000-0000CA1A0000}"/>
    <cellStyle name="Input 2 2 2 2 2 2 5" xfId="19782" xr:uid="{00000000-0005-0000-0000-0000CB1A0000}"/>
    <cellStyle name="Input 2 2 2 2 2 2 6" xfId="23698" xr:uid="{00000000-0005-0000-0000-0000CC1A0000}"/>
    <cellStyle name="Input 2 2 2 2 2 2 7" xfId="27532" xr:uid="{00000000-0005-0000-0000-0000CD1A0000}"/>
    <cellStyle name="Input 2 2 2 2 2 2 8" xfId="31396" xr:uid="{00000000-0005-0000-0000-0000CE1A0000}"/>
    <cellStyle name="Input 2 2 2 2 2 2 9" xfId="35053" xr:uid="{00000000-0005-0000-0000-0000CF1A0000}"/>
    <cellStyle name="Input 2 2 2 2 2 3" xfId="5731" xr:uid="{00000000-0005-0000-0000-0000D01A0000}"/>
    <cellStyle name="Input 2 2 2 2 2 4" xfId="10089" xr:uid="{00000000-0005-0000-0000-0000D11A0000}"/>
    <cellStyle name="Input 2 2 2 2 2 5" xfId="13935" xr:uid="{00000000-0005-0000-0000-0000D21A0000}"/>
    <cellStyle name="Input 2 2 2 2 2 6" xfId="17764" xr:uid="{00000000-0005-0000-0000-0000D31A0000}"/>
    <cellStyle name="Input 2 2 2 2 2 7" xfId="21703" xr:uid="{00000000-0005-0000-0000-0000D41A0000}"/>
    <cellStyle name="Input 2 2 2 2 2 8" xfId="25516" xr:uid="{00000000-0005-0000-0000-0000D51A0000}"/>
    <cellStyle name="Input 2 2 2 2 2 9" xfId="29403" xr:uid="{00000000-0005-0000-0000-0000D61A0000}"/>
    <cellStyle name="Input 2 2 2 2 3" xfId="3061" xr:uid="{00000000-0005-0000-0000-0000D71A0000}"/>
    <cellStyle name="Input 2 2 2 2 3 10" xfId="38113" xr:uid="{00000000-0005-0000-0000-0000D81A0000}"/>
    <cellStyle name="Input 2 2 2 2 3 11" xfId="42125" xr:uid="{00000000-0005-0000-0000-0000D91A0000}"/>
    <cellStyle name="Input 2 2 2 2 3 12" xfId="45898" xr:uid="{00000000-0005-0000-0000-0000DA1A0000}"/>
    <cellStyle name="Input 2 2 2 2 3 2" xfId="6937" xr:uid="{00000000-0005-0000-0000-0000DB1A0000}"/>
    <cellStyle name="Input 2 2 2 2 3 3" xfId="11366" xr:uid="{00000000-0005-0000-0000-0000DC1A0000}"/>
    <cellStyle name="Input 2 2 2 2 3 4" xfId="15210" xr:uid="{00000000-0005-0000-0000-0000DD1A0000}"/>
    <cellStyle name="Input 2 2 2 2 3 5" xfId="19055" xr:uid="{00000000-0005-0000-0000-0000DE1A0000}"/>
    <cellStyle name="Input 2 2 2 2 3 6" xfId="22977" xr:uid="{00000000-0005-0000-0000-0000DF1A0000}"/>
    <cellStyle name="Input 2 2 2 2 3 7" xfId="26806" xr:uid="{00000000-0005-0000-0000-0000E01A0000}"/>
    <cellStyle name="Input 2 2 2 2 3 8" xfId="30680" xr:uid="{00000000-0005-0000-0000-0000E11A0000}"/>
    <cellStyle name="Input 2 2 2 2 3 9" xfId="34336" xr:uid="{00000000-0005-0000-0000-0000E21A0000}"/>
    <cellStyle name="Input 2 2 2 2 4" xfId="5013" xr:uid="{00000000-0005-0000-0000-0000E31A0000}"/>
    <cellStyle name="Input 2 2 2 2 5" xfId="9369" xr:uid="{00000000-0005-0000-0000-0000E41A0000}"/>
    <cellStyle name="Input 2 2 2 2 6" xfId="13209" xr:uid="{00000000-0005-0000-0000-0000E51A0000}"/>
    <cellStyle name="Input 2 2 2 2 7" xfId="17037" xr:uid="{00000000-0005-0000-0000-0000E61A0000}"/>
    <cellStyle name="Input 2 2 2 2 8" xfId="20979" xr:uid="{00000000-0005-0000-0000-0000E71A0000}"/>
    <cellStyle name="Input 2 2 2 2 9" xfId="24793" xr:uid="{00000000-0005-0000-0000-0000E81A0000}"/>
    <cellStyle name="Input 2 2 2 3" xfId="1445" xr:uid="{00000000-0005-0000-0000-0000E91A0000}"/>
    <cellStyle name="Input 2 2 2 3 10" xfId="32732" xr:uid="{00000000-0005-0000-0000-0000EA1A0000}"/>
    <cellStyle name="Input 2 2 2 3 11" xfId="36502" xr:uid="{00000000-0005-0000-0000-0000EB1A0000}"/>
    <cellStyle name="Input 2 2 2 3 12" xfId="40493" xr:uid="{00000000-0005-0000-0000-0000EC1A0000}"/>
    <cellStyle name="Input 2 2 2 3 13" xfId="44324" xr:uid="{00000000-0005-0000-0000-0000ED1A0000}"/>
    <cellStyle name="Input 2 2 2 3 2" xfId="3435" xr:uid="{00000000-0005-0000-0000-0000EE1A0000}"/>
    <cellStyle name="Input 2 2 2 3 2 10" xfId="38486" xr:uid="{00000000-0005-0000-0000-0000EF1A0000}"/>
    <cellStyle name="Input 2 2 2 3 2 11" xfId="42497" xr:uid="{00000000-0005-0000-0000-0000F01A0000}"/>
    <cellStyle name="Input 2 2 2 3 2 12" xfId="46262" xr:uid="{00000000-0005-0000-0000-0000F11A0000}"/>
    <cellStyle name="Input 2 2 2 3 2 2" xfId="7302" xr:uid="{00000000-0005-0000-0000-0000F21A0000}"/>
    <cellStyle name="Input 2 2 2 3 2 3" xfId="11737" xr:uid="{00000000-0005-0000-0000-0000F31A0000}"/>
    <cellStyle name="Input 2 2 2 3 2 4" xfId="15582" xr:uid="{00000000-0005-0000-0000-0000F41A0000}"/>
    <cellStyle name="Input 2 2 2 3 2 5" xfId="19429" xr:uid="{00000000-0005-0000-0000-0000F51A0000}"/>
    <cellStyle name="Input 2 2 2 3 2 6" xfId="23345" xr:uid="{00000000-0005-0000-0000-0000F61A0000}"/>
    <cellStyle name="Input 2 2 2 3 2 7" xfId="27179" xr:uid="{00000000-0005-0000-0000-0000F71A0000}"/>
    <cellStyle name="Input 2 2 2 3 2 8" xfId="31047" xr:uid="{00000000-0005-0000-0000-0000F81A0000}"/>
    <cellStyle name="Input 2 2 2 3 2 9" xfId="34700" xr:uid="{00000000-0005-0000-0000-0000F91A0000}"/>
    <cellStyle name="Input 2 2 2 3 3" xfId="5378" xr:uid="{00000000-0005-0000-0000-0000FA1A0000}"/>
    <cellStyle name="Input 2 2 2 3 4" xfId="9736" xr:uid="{00000000-0005-0000-0000-0000FB1A0000}"/>
    <cellStyle name="Input 2 2 2 3 5" xfId="13582" xr:uid="{00000000-0005-0000-0000-0000FC1A0000}"/>
    <cellStyle name="Input 2 2 2 3 6" xfId="17411" xr:uid="{00000000-0005-0000-0000-0000FD1A0000}"/>
    <cellStyle name="Input 2 2 2 3 7" xfId="21350" xr:uid="{00000000-0005-0000-0000-0000FE1A0000}"/>
    <cellStyle name="Input 2 2 2 3 8" xfId="25163" xr:uid="{00000000-0005-0000-0000-0000FF1A0000}"/>
    <cellStyle name="Input 2 2 2 3 9" xfId="29050" xr:uid="{00000000-0005-0000-0000-0000001B0000}"/>
    <cellStyle name="Input 2 2 2 4" xfId="2694" xr:uid="{00000000-0005-0000-0000-0000011B0000}"/>
    <cellStyle name="Input 2 2 2 4 10" xfId="37746" xr:uid="{00000000-0005-0000-0000-0000021B0000}"/>
    <cellStyle name="Input 2 2 2 4 11" xfId="41760" xr:uid="{00000000-0005-0000-0000-0000031B0000}"/>
    <cellStyle name="Input 2 2 2 4 12" xfId="45545" xr:uid="{00000000-0005-0000-0000-0000041B0000}"/>
    <cellStyle name="Input 2 2 2 4 2" xfId="6582" xr:uid="{00000000-0005-0000-0000-0000051B0000}"/>
    <cellStyle name="Input 2 2 2 4 3" xfId="11006" xr:uid="{00000000-0005-0000-0000-0000061B0000}"/>
    <cellStyle name="Input 2 2 2 4 4" xfId="14850" xr:uid="{00000000-0005-0000-0000-0000071B0000}"/>
    <cellStyle name="Input 2 2 2 4 5" xfId="18688" xr:uid="{00000000-0005-0000-0000-0000081B0000}"/>
    <cellStyle name="Input 2 2 2 4 6" xfId="22619" xr:uid="{00000000-0005-0000-0000-0000091B0000}"/>
    <cellStyle name="Input 2 2 2 4 7" xfId="26439" xr:uid="{00000000-0005-0000-0000-00000A1B0000}"/>
    <cellStyle name="Input 2 2 2 4 8" xfId="30318" xr:uid="{00000000-0005-0000-0000-00000B1B0000}"/>
    <cellStyle name="Input 2 2 2 4 9" xfId="33983" xr:uid="{00000000-0005-0000-0000-00000C1B0000}"/>
    <cellStyle name="Input 2 2 2 5" xfId="4658" xr:uid="{00000000-0005-0000-0000-00000D1B0000}"/>
    <cellStyle name="Input 2 2 2 6" xfId="9000" xr:uid="{00000000-0005-0000-0000-00000E1B0000}"/>
    <cellStyle name="Input 2 2 2 7" xfId="12837" xr:uid="{00000000-0005-0000-0000-00000F1B0000}"/>
    <cellStyle name="Input 2 2 2 8" xfId="16667" xr:uid="{00000000-0005-0000-0000-0000101B0000}"/>
    <cellStyle name="Input 2 2 2 9" xfId="20604" xr:uid="{00000000-0005-0000-0000-0000111B0000}"/>
    <cellStyle name="Input 2 2 20" xfId="8866" xr:uid="{00000000-0005-0000-0000-0000121B0000}"/>
    <cellStyle name="Input 2 2 21" xfId="8669" xr:uid="{00000000-0005-0000-0000-0000131B0000}"/>
    <cellStyle name="Input 2 2 22" xfId="8625" xr:uid="{00000000-0005-0000-0000-0000141B0000}"/>
    <cellStyle name="Input 2 2 23" xfId="14170" xr:uid="{00000000-0005-0000-0000-0000151B0000}"/>
    <cellStyle name="Input 2 2 24" xfId="8448" xr:uid="{00000000-0005-0000-0000-0000161B0000}"/>
    <cellStyle name="Input 2 2 25" xfId="15390" xr:uid="{00000000-0005-0000-0000-0000171B0000}"/>
    <cellStyle name="Input 2 2 26" xfId="30083" xr:uid="{00000000-0005-0000-0000-0000181B0000}"/>
    <cellStyle name="Input 2 2 27" xfId="15389" xr:uid="{00000000-0005-0000-0000-0000191B0000}"/>
    <cellStyle name="Input 2 2 28" xfId="39654" xr:uid="{00000000-0005-0000-0000-00001A1B0000}"/>
    <cellStyle name="Input 2 2 29" xfId="40023" xr:uid="{00000000-0005-0000-0000-00001B1B0000}"/>
    <cellStyle name="Input 2 2 3" xfId="630" xr:uid="{00000000-0005-0000-0000-00001C1B0000}"/>
    <cellStyle name="Input 2 2 3 10" xfId="22009" xr:uid="{00000000-0005-0000-0000-00001D1B0000}"/>
    <cellStyle name="Input 2 2 3 11" xfId="28257" xr:uid="{00000000-0005-0000-0000-00001E1B0000}"/>
    <cellStyle name="Input 2 2 3 12" xfId="30432" xr:uid="{00000000-0005-0000-0000-00001F1B0000}"/>
    <cellStyle name="Input 2 2 3 13" xfId="21916" xr:uid="{00000000-0005-0000-0000-0000201B0000}"/>
    <cellStyle name="Input 2 2 3 14" xfId="39725" xr:uid="{00000000-0005-0000-0000-0000211B0000}"/>
    <cellStyle name="Input 2 2 3 15" xfId="41134" xr:uid="{00000000-0005-0000-0000-0000221B0000}"/>
    <cellStyle name="Input 2 2 3 2" xfId="1010" xr:uid="{00000000-0005-0000-0000-0000231B0000}"/>
    <cellStyle name="Input 2 2 3 2 10" xfId="28621" xr:uid="{00000000-0005-0000-0000-0000241B0000}"/>
    <cellStyle name="Input 2 2 3 2 11" xfId="32309" xr:uid="{00000000-0005-0000-0000-0000251B0000}"/>
    <cellStyle name="Input 2 2 3 2 12" xfId="36068" xr:uid="{00000000-0005-0000-0000-0000261B0000}"/>
    <cellStyle name="Input 2 2 3 2 13" xfId="40073" xr:uid="{00000000-0005-0000-0000-0000271B0000}"/>
    <cellStyle name="Input 2 2 3 2 14" xfId="43894" xr:uid="{00000000-0005-0000-0000-0000281B0000}"/>
    <cellStyle name="Input 2 2 3 2 2" xfId="1739" xr:uid="{00000000-0005-0000-0000-0000291B0000}"/>
    <cellStyle name="Input 2 2 3 2 2 10" xfId="33026" xr:uid="{00000000-0005-0000-0000-00002A1B0000}"/>
    <cellStyle name="Input 2 2 3 2 2 11" xfId="36796" xr:uid="{00000000-0005-0000-0000-00002B1B0000}"/>
    <cellStyle name="Input 2 2 3 2 2 12" xfId="40787" xr:uid="{00000000-0005-0000-0000-00002C1B0000}"/>
    <cellStyle name="Input 2 2 3 2 2 13" xfId="44618" xr:uid="{00000000-0005-0000-0000-00002D1B0000}"/>
    <cellStyle name="Input 2 2 3 2 2 2" xfId="3729" xr:uid="{00000000-0005-0000-0000-00002E1B0000}"/>
    <cellStyle name="Input 2 2 3 2 2 2 10" xfId="38780" xr:uid="{00000000-0005-0000-0000-00002F1B0000}"/>
    <cellStyle name="Input 2 2 3 2 2 2 11" xfId="42791" xr:uid="{00000000-0005-0000-0000-0000301B0000}"/>
    <cellStyle name="Input 2 2 3 2 2 2 12" xfId="46556" xr:uid="{00000000-0005-0000-0000-0000311B0000}"/>
    <cellStyle name="Input 2 2 3 2 2 2 2" xfId="7596" xr:uid="{00000000-0005-0000-0000-0000321B0000}"/>
    <cellStyle name="Input 2 2 3 2 2 2 3" xfId="12031" xr:uid="{00000000-0005-0000-0000-0000331B0000}"/>
    <cellStyle name="Input 2 2 3 2 2 2 4" xfId="15876" xr:uid="{00000000-0005-0000-0000-0000341B0000}"/>
    <cellStyle name="Input 2 2 3 2 2 2 5" xfId="19723" xr:uid="{00000000-0005-0000-0000-0000351B0000}"/>
    <cellStyle name="Input 2 2 3 2 2 2 6" xfId="23639" xr:uid="{00000000-0005-0000-0000-0000361B0000}"/>
    <cellStyle name="Input 2 2 3 2 2 2 7" xfId="27473" xr:uid="{00000000-0005-0000-0000-0000371B0000}"/>
    <cellStyle name="Input 2 2 3 2 2 2 8" xfId="31337" xr:uid="{00000000-0005-0000-0000-0000381B0000}"/>
    <cellStyle name="Input 2 2 3 2 2 2 9" xfId="34994" xr:uid="{00000000-0005-0000-0000-0000391B0000}"/>
    <cellStyle name="Input 2 2 3 2 2 3" xfId="5672" xr:uid="{00000000-0005-0000-0000-00003A1B0000}"/>
    <cellStyle name="Input 2 2 3 2 2 4" xfId="10030" xr:uid="{00000000-0005-0000-0000-00003B1B0000}"/>
    <cellStyle name="Input 2 2 3 2 2 5" xfId="13876" xr:uid="{00000000-0005-0000-0000-00003C1B0000}"/>
    <cellStyle name="Input 2 2 3 2 2 6" xfId="17705" xr:uid="{00000000-0005-0000-0000-00003D1B0000}"/>
    <cellStyle name="Input 2 2 3 2 2 7" xfId="21644" xr:uid="{00000000-0005-0000-0000-00003E1B0000}"/>
    <cellStyle name="Input 2 2 3 2 2 8" xfId="25457" xr:uid="{00000000-0005-0000-0000-00003F1B0000}"/>
    <cellStyle name="Input 2 2 3 2 2 9" xfId="29344" xr:uid="{00000000-0005-0000-0000-0000401B0000}"/>
    <cellStyle name="Input 2 2 3 2 3" xfId="3000" xr:uid="{00000000-0005-0000-0000-0000411B0000}"/>
    <cellStyle name="Input 2 2 3 2 3 10" xfId="38052" xr:uid="{00000000-0005-0000-0000-0000421B0000}"/>
    <cellStyle name="Input 2 2 3 2 3 11" xfId="42064" xr:uid="{00000000-0005-0000-0000-0000431B0000}"/>
    <cellStyle name="Input 2 2 3 2 3 12" xfId="45839" xr:uid="{00000000-0005-0000-0000-0000441B0000}"/>
    <cellStyle name="Input 2 2 3 2 3 2" xfId="6878" xr:uid="{00000000-0005-0000-0000-0000451B0000}"/>
    <cellStyle name="Input 2 2 3 2 3 3" xfId="11306" xr:uid="{00000000-0005-0000-0000-0000461B0000}"/>
    <cellStyle name="Input 2 2 3 2 3 4" xfId="15151" xr:uid="{00000000-0005-0000-0000-0000471B0000}"/>
    <cellStyle name="Input 2 2 3 2 3 5" xfId="18994" xr:uid="{00000000-0005-0000-0000-0000481B0000}"/>
    <cellStyle name="Input 2 2 3 2 3 6" xfId="22918" xr:uid="{00000000-0005-0000-0000-0000491B0000}"/>
    <cellStyle name="Input 2 2 3 2 3 7" xfId="26745" xr:uid="{00000000-0005-0000-0000-00004A1B0000}"/>
    <cellStyle name="Input 2 2 3 2 3 8" xfId="30619" xr:uid="{00000000-0005-0000-0000-00004B1B0000}"/>
    <cellStyle name="Input 2 2 3 2 3 9" xfId="34277" xr:uid="{00000000-0005-0000-0000-00004C1B0000}"/>
    <cellStyle name="Input 2 2 3 2 4" xfId="4954" xr:uid="{00000000-0005-0000-0000-00004D1B0000}"/>
    <cellStyle name="Input 2 2 3 2 5" xfId="9309" xr:uid="{00000000-0005-0000-0000-00004E1B0000}"/>
    <cellStyle name="Input 2 2 3 2 6" xfId="13150" xr:uid="{00000000-0005-0000-0000-00004F1B0000}"/>
    <cellStyle name="Input 2 2 3 2 7" xfId="16976" xr:uid="{00000000-0005-0000-0000-0000501B0000}"/>
    <cellStyle name="Input 2 2 3 2 8" xfId="20918" xr:uid="{00000000-0005-0000-0000-0000511B0000}"/>
    <cellStyle name="Input 2 2 3 2 9" xfId="24733" xr:uid="{00000000-0005-0000-0000-0000521B0000}"/>
    <cellStyle name="Input 2 2 3 3" xfId="1386" xr:uid="{00000000-0005-0000-0000-0000531B0000}"/>
    <cellStyle name="Input 2 2 3 3 10" xfId="32673" xr:uid="{00000000-0005-0000-0000-0000541B0000}"/>
    <cellStyle name="Input 2 2 3 3 11" xfId="36443" xr:uid="{00000000-0005-0000-0000-0000551B0000}"/>
    <cellStyle name="Input 2 2 3 3 12" xfId="40434" xr:uid="{00000000-0005-0000-0000-0000561B0000}"/>
    <cellStyle name="Input 2 2 3 3 13" xfId="44265" xr:uid="{00000000-0005-0000-0000-0000571B0000}"/>
    <cellStyle name="Input 2 2 3 3 2" xfId="3376" xr:uid="{00000000-0005-0000-0000-0000581B0000}"/>
    <cellStyle name="Input 2 2 3 3 2 10" xfId="38427" xr:uid="{00000000-0005-0000-0000-0000591B0000}"/>
    <cellStyle name="Input 2 2 3 3 2 11" xfId="42438" xr:uid="{00000000-0005-0000-0000-00005A1B0000}"/>
    <cellStyle name="Input 2 2 3 3 2 12" xfId="46203" xr:uid="{00000000-0005-0000-0000-00005B1B0000}"/>
    <cellStyle name="Input 2 2 3 3 2 2" xfId="7243" xr:uid="{00000000-0005-0000-0000-00005C1B0000}"/>
    <cellStyle name="Input 2 2 3 3 2 3" xfId="11678" xr:uid="{00000000-0005-0000-0000-00005D1B0000}"/>
    <cellStyle name="Input 2 2 3 3 2 4" xfId="15523" xr:uid="{00000000-0005-0000-0000-00005E1B0000}"/>
    <cellStyle name="Input 2 2 3 3 2 5" xfId="19370" xr:uid="{00000000-0005-0000-0000-00005F1B0000}"/>
    <cellStyle name="Input 2 2 3 3 2 6" xfId="23286" xr:uid="{00000000-0005-0000-0000-0000601B0000}"/>
    <cellStyle name="Input 2 2 3 3 2 7" xfId="27120" xr:uid="{00000000-0005-0000-0000-0000611B0000}"/>
    <cellStyle name="Input 2 2 3 3 2 8" xfId="30988" xr:uid="{00000000-0005-0000-0000-0000621B0000}"/>
    <cellStyle name="Input 2 2 3 3 2 9" xfId="34641" xr:uid="{00000000-0005-0000-0000-0000631B0000}"/>
    <cellStyle name="Input 2 2 3 3 3" xfId="5319" xr:uid="{00000000-0005-0000-0000-0000641B0000}"/>
    <cellStyle name="Input 2 2 3 3 4" xfId="9677" xr:uid="{00000000-0005-0000-0000-0000651B0000}"/>
    <cellStyle name="Input 2 2 3 3 5" xfId="13523" xr:uid="{00000000-0005-0000-0000-0000661B0000}"/>
    <cellStyle name="Input 2 2 3 3 6" xfId="17352" xr:uid="{00000000-0005-0000-0000-0000671B0000}"/>
    <cellStyle name="Input 2 2 3 3 7" xfId="21291" xr:uid="{00000000-0005-0000-0000-0000681B0000}"/>
    <cellStyle name="Input 2 2 3 3 8" xfId="25104" xr:uid="{00000000-0005-0000-0000-0000691B0000}"/>
    <cellStyle name="Input 2 2 3 3 9" xfId="28991" xr:uid="{00000000-0005-0000-0000-00006A1B0000}"/>
    <cellStyle name="Input 2 2 3 4" xfId="2633" xr:uid="{00000000-0005-0000-0000-00006B1B0000}"/>
    <cellStyle name="Input 2 2 3 4 10" xfId="37685" xr:uid="{00000000-0005-0000-0000-00006C1B0000}"/>
    <cellStyle name="Input 2 2 3 4 11" xfId="41699" xr:uid="{00000000-0005-0000-0000-00006D1B0000}"/>
    <cellStyle name="Input 2 2 3 4 12" xfId="45486" xr:uid="{00000000-0005-0000-0000-00006E1B0000}"/>
    <cellStyle name="Input 2 2 3 4 2" xfId="6523" xr:uid="{00000000-0005-0000-0000-00006F1B0000}"/>
    <cellStyle name="Input 2 2 3 4 3" xfId="10947" xr:uid="{00000000-0005-0000-0000-0000701B0000}"/>
    <cellStyle name="Input 2 2 3 4 4" xfId="14791" xr:uid="{00000000-0005-0000-0000-0000711B0000}"/>
    <cellStyle name="Input 2 2 3 4 5" xfId="18627" xr:uid="{00000000-0005-0000-0000-0000721B0000}"/>
    <cellStyle name="Input 2 2 3 4 6" xfId="22560" xr:uid="{00000000-0005-0000-0000-0000731B0000}"/>
    <cellStyle name="Input 2 2 3 4 7" xfId="26378" xr:uid="{00000000-0005-0000-0000-0000741B0000}"/>
    <cellStyle name="Input 2 2 3 4 8" xfId="30257" xr:uid="{00000000-0005-0000-0000-0000751B0000}"/>
    <cellStyle name="Input 2 2 3 4 9" xfId="33924" xr:uid="{00000000-0005-0000-0000-0000761B0000}"/>
    <cellStyle name="Input 2 2 3 5" xfId="4599" xr:uid="{00000000-0005-0000-0000-0000771B0000}"/>
    <cellStyle name="Input 2 2 3 6" xfId="8939" xr:uid="{00000000-0005-0000-0000-0000781B0000}"/>
    <cellStyle name="Input 2 2 3 7" xfId="8551" xr:uid="{00000000-0005-0000-0000-0000791B0000}"/>
    <cellStyle name="Input 2 2 3 8" xfId="8719" xr:uid="{00000000-0005-0000-0000-00007A1B0000}"/>
    <cellStyle name="Input 2 2 3 9" xfId="20543" xr:uid="{00000000-0005-0000-0000-00007B1B0000}"/>
    <cellStyle name="Input 2 2 30" xfId="47366" xr:uid="{00000000-0005-0000-0000-00007C1B0000}"/>
    <cellStyle name="Input 2 2 31" xfId="47454" xr:uid="{00000000-0005-0000-0000-00007D1B0000}"/>
    <cellStyle name="Input 2 2 32" xfId="47501" xr:uid="{00000000-0005-0000-0000-00007E1B0000}"/>
    <cellStyle name="Input 2 2 4" xfId="797" xr:uid="{00000000-0005-0000-0000-00007F1B0000}"/>
    <cellStyle name="Input 2 2 4 10" xfId="24523" xr:uid="{00000000-0005-0000-0000-0000801B0000}"/>
    <cellStyle name="Input 2 2 4 11" xfId="28412" xr:uid="{00000000-0005-0000-0000-0000811B0000}"/>
    <cellStyle name="Input 2 2 4 12" xfId="32100" xr:uid="{00000000-0005-0000-0000-0000821B0000}"/>
    <cellStyle name="Input 2 2 4 13" xfId="35855" xr:uid="{00000000-0005-0000-0000-0000831B0000}"/>
    <cellStyle name="Input 2 2 4 14" xfId="39868" xr:uid="{00000000-0005-0000-0000-0000841B0000}"/>
    <cellStyle name="Input 2 2 4 15" xfId="43681" xr:uid="{00000000-0005-0000-0000-0000851B0000}"/>
    <cellStyle name="Input 2 2 4 2" xfId="1161" xr:uid="{00000000-0005-0000-0000-0000861B0000}"/>
    <cellStyle name="Input 2 2 4 2 10" xfId="28770" xr:uid="{00000000-0005-0000-0000-0000871B0000}"/>
    <cellStyle name="Input 2 2 4 2 11" xfId="32453" xr:uid="{00000000-0005-0000-0000-0000881B0000}"/>
    <cellStyle name="Input 2 2 4 2 12" xfId="36219" xr:uid="{00000000-0005-0000-0000-0000891B0000}"/>
    <cellStyle name="Input 2 2 4 2 13" xfId="40214" xr:uid="{00000000-0005-0000-0000-00008A1B0000}"/>
    <cellStyle name="Input 2 2 4 2 14" xfId="44045" xr:uid="{00000000-0005-0000-0000-00008B1B0000}"/>
    <cellStyle name="Input 2 2 4 2 2" xfId="1883" xr:uid="{00000000-0005-0000-0000-00008C1B0000}"/>
    <cellStyle name="Input 2 2 4 2 2 10" xfId="33170" xr:uid="{00000000-0005-0000-0000-00008D1B0000}"/>
    <cellStyle name="Input 2 2 4 2 2 11" xfId="36940" xr:uid="{00000000-0005-0000-0000-00008E1B0000}"/>
    <cellStyle name="Input 2 2 4 2 2 12" xfId="40931" xr:uid="{00000000-0005-0000-0000-00008F1B0000}"/>
    <cellStyle name="Input 2 2 4 2 2 13" xfId="44762" xr:uid="{00000000-0005-0000-0000-0000901B0000}"/>
    <cellStyle name="Input 2 2 4 2 2 2" xfId="3873" xr:uid="{00000000-0005-0000-0000-0000911B0000}"/>
    <cellStyle name="Input 2 2 4 2 2 2 10" xfId="38924" xr:uid="{00000000-0005-0000-0000-0000921B0000}"/>
    <cellStyle name="Input 2 2 4 2 2 2 11" xfId="42935" xr:uid="{00000000-0005-0000-0000-0000931B0000}"/>
    <cellStyle name="Input 2 2 4 2 2 2 12" xfId="46700" xr:uid="{00000000-0005-0000-0000-0000941B0000}"/>
    <cellStyle name="Input 2 2 4 2 2 2 2" xfId="7740" xr:uid="{00000000-0005-0000-0000-0000951B0000}"/>
    <cellStyle name="Input 2 2 4 2 2 2 3" xfId="12175" xr:uid="{00000000-0005-0000-0000-0000961B0000}"/>
    <cellStyle name="Input 2 2 4 2 2 2 4" xfId="16020" xr:uid="{00000000-0005-0000-0000-0000971B0000}"/>
    <cellStyle name="Input 2 2 4 2 2 2 5" xfId="19867" xr:uid="{00000000-0005-0000-0000-0000981B0000}"/>
    <cellStyle name="Input 2 2 4 2 2 2 6" xfId="23783" xr:uid="{00000000-0005-0000-0000-0000991B0000}"/>
    <cellStyle name="Input 2 2 4 2 2 2 7" xfId="27617" xr:uid="{00000000-0005-0000-0000-00009A1B0000}"/>
    <cellStyle name="Input 2 2 4 2 2 2 8" xfId="31480" xr:uid="{00000000-0005-0000-0000-00009B1B0000}"/>
    <cellStyle name="Input 2 2 4 2 2 2 9" xfId="35138" xr:uid="{00000000-0005-0000-0000-00009C1B0000}"/>
    <cellStyle name="Input 2 2 4 2 2 3" xfId="5816" xr:uid="{00000000-0005-0000-0000-00009D1B0000}"/>
    <cellStyle name="Input 2 2 4 2 2 4" xfId="10174" xr:uid="{00000000-0005-0000-0000-00009E1B0000}"/>
    <cellStyle name="Input 2 2 4 2 2 5" xfId="14020" xr:uid="{00000000-0005-0000-0000-00009F1B0000}"/>
    <cellStyle name="Input 2 2 4 2 2 6" xfId="17849" xr:uid="{00000000-0005-0000-0000-0000A01B0000}"/>
    <cellStyle name="Input 2 2 4 2 2 7" xfId="21788" xr:uid="{00000000-0005-0000-0000-0000A11B0000}"/>
    <cellStyle name="Input 2 2 4 2 2 8" xfId="25601" xr:uid="{00000000-0005-0000-0000-0000A21B0000}"/>
    <cellStyle name="Input 2 2 4 2 2 9" xfId="29488" xr:uid="{00000000-0005-0000-0000-0000A31B0000}"/>
    <cellStyle name="Input 2 2 4 2 3" xfId="3151" xr:uid="{00000000-0005-0000-0000-0000A41B0000}"/>
    <cellStyle name="Input 2 2 4 2 3 10" xfId="38203" xr:uid="{00000000-0005-0000-0000-0000A51B0000}"/>
    <cellStyle name="Input 2 2 4 2 3 11" xfId="42214" xr:uid="{00000000-0005-0000-0000-0000A61B0000}"/>
    <cellStyle name="Input 2 2 4 2 3 12" xfId="45983" xr:uid="{00000000-0005-0000-0000-0000A71B0000}"/>
    <cellStyle name="Input 2 2 4 2 3 2" xfId="7023" xr:uid="{00000000-0005-0000-0000-0000A81B0000}"/>
    <cellStyle name="Input 2 2 4 2 3 3" xfId="11455" xr:uid="{00000000-0005-0000-0000-0000A91B0000}"/>
    <cellStyle name="Input 2 2 4 2 3 4" xfId="15299" xr:uid="{00000000-0005-0000-0000-0000AA1B0000}"/>
    <cellStyle name="Input 2 2 4 2 3 5" xfId="19145" xr:uid="{00000000-0005-0000-0000-0000AB1B0000}"/>
    <cellStyle name="Input 2 2 4 2 3 6" xfId="23064" xr:uid="{00000000-0005-0000-0000-0000AC1B0000}"/>
    <cellStyle name="Input 2 2 4 2 3 7" xfId="26896" xr:uid="{00000000-0005-0000-0000-0000AD1B0000}"/>
    <cellStyle name="Input 2 2 4 2 3 8" xfId="30768" xr:uid="{00000000-0005-0000-0000-0000AE1B0000}"/>
    <cellStyle name="Input 2 2 4 2 3 9" xfId="34421" xr:uid="{00000000-0005-0000-0000-0000AF1B0000}"/>
    <cellStyle name="Input 2 2 4 2 4" xfId="5099" xr:uid="{00000000-0005-0000-0000-0000B01B0000}"/>
    <cellStyle name="Input 2 2 4 2 5" xfId="9455" xr:uid="{00000000-0005-0000-0000-0000B11B0000}"/>
    <cellStyle name="Input 2 2 4 2 6" xfId="13299" xr:uid="{00000000-0005-0000-0000-0000B21B0000}"/>
    <cellStyle name="Input 2 2 4 2 7" xfId="17127" xr:uid="{00000000-0005-0000-0000-0000B31B0000}"/>
    <cellStyle name="Input 2 2 4 2 8" xfId="21069" xr:uid="{00000000-0005-0000-0000-0000B41B0000}"/>
    <cellStyle name="Input 2 2 4 2 9" xfId="24880" xr:uid="{00000000-0005-0000-0000-0000B51B0000}"/>
    <cellStyle name="Input 2 2 4 3" xfId="1530" xr:uid="{00000000-0005-0000-0000-0000B61B0000}"/>
    <cellStyle name="Input 2 2 4 3 10" xfId="32817" xr:uid="{00000000-0005-0000-0000-0000B71B0000}"/>
    <cellStyle name="Input 2 2 4 3 11" xfId="36587" xr:uid="{00000000-0005-0000-0000-0000B81B0000}"/>
    <cellStyle name="Input 2 2 4 3 12" xfId="40578" xr:uid="{00000000-0005-0000-0000-0000B91B0000}"/>
    <cellStyle name="Input 2 2 4 3 13" xfId="44409" xr:uid="{00000000-0005-0000-0000-0000BA1B0000}"/>
    <cellStyle name="Input 2 2 4 3 2" xfId="3520" xr:uid="{00000000-0005-0000-0000-0000BB1B0000}"/>
    <cellStyle name="Input 2 2 4 3 2 10" xfId="38571" xr:uid="{00000000-0005-0000-0000-0000BC1B0000}"/>
    <cellStyle name="Input 2 2 4 3 2 11" xfId="42582" xr:uid="{00000000-0005-0000-0000-0000BD1B0000}"/>
    <cellStyle name="Input 2 2 4 3 2 12" xfId="46347" xr:uid="{00000000-0005-0000-0000-0000BE1B0000}"/>
    <cellStyle name="Input 2 2 4 3 2 2" xfId="7387" xr:uid="{00000000-0005-0000-0000-0000BF1B0000}"/>
    <cellStyle name="Input 2 2 4 3 2 3" xfId="11822" xr:uid="{00000000-0005-0000-0000-0000C01B0000}"/>
    <cellStyle name="Input 2 2 4 3 2 4" xfId="15667" xr:uid="{00000000-0005-0000-0000-0000C11B0000}"/>
    <cellStyle name="Input 2 2 4 3 2 5" xfId="19514" xr:uid="{00000000-0005-0000-0000-0000C21B0000}"/>
    <cellStyle name="Input 2 2 4 3 2 6" xfId="23430" xr:uid="{00000000-0005-0000-0000-0000C31B0000}"/>
    <cellStyle name="Input 2 2 4 3 2 7" xfId="27264" xr:uid="{00000000-0005-0000-0000-0000C41B0000}"/>
    <cellStyle name="Input 2 2 4 3 2 8" xfId="31131" xr:uid="{00000000-0005-0000-0000-0000C51B0000}"/>
    <cellStyle name="Input 2 2 4 3 2 9" xfId="34785" xr:uid="{00000000-0005-0000-0000-0000C61B0000}"/>
    <cellStyle name="Input 2 2 4 3 3" xfId="5463" xr:uid="{00000000-0005-0000-0000-0000C71B0000}"/>
    <cellStyle name="Input 2 2 4 3 4" xfId="9821" xr:uid="{00000000-0005-0000-0000-0000C81B0000}"/>
    <cellStyle name="Input 2 2 4 3 5" xfId="13667" xr:uid="{00000000-0005-0000-0000-0000C91B0000}"/>
    <cellStyle name="Input 2 2 4 3 6" xfId="17496" xr:uid="{00000000-0005-0000-0000-0000CA1B0000}"/>
    <cellStyle name="Input 2 2 4 3 7" xfId="21435" xr:uid="{00000000-0005-0000-0000-0000CB1B0000}"/>
    <cellStyle name="Input 2 2 4 3 8" xfId="25248" xr:uid="{00000000-0005-0000-0000-0000CC1B0000}"/>
    <cellStyle name="Input 2 2 4 3 9" xfId="29135" xr:uid="{00000000-0005-0000-0000-0000CD1B0000}"/>
    <cellStyle name="Input 2 2 4 4" xfId="2787" xr:uid="{00000000-0005-0000-0000-0000CE1B0000}"/>
    <cellStyle name="Input 2 2 4 4 10" xfId="37839" xr:uid="{00000000-0005-0000-0000-0000CF1B0000}"/>
    <cellStyle name="Input 2 2 4 4 11" xfId="41851" xr:uid="{00000000-0005-0000-0000-0000D01B0000}"/>
    <cellStyle name="Input 2 2 4 4 12" xfId="45630" xr:uid="{00000000-0005-0000-0000-0000D11B0000}"/>
    <cellStyle name="Input 2 2 4 4 2" xfId="6669" xr:uid="{00000000-0005-0000-0000-0000D21B0000}"/>
    <cellStyle name="Input 2 2 4 4 3" xfId="11095" xr:uid="{00000000-0005-0000-0000-0000D31B0000}"/>
    <cellStyle name="Input 2 2 4 4 4" xfId="14941" xr:uid="{00000000-0005-0000-0000-0000D41B0000}"/>
    <cellStyle name="Input 2 2 4 4 5" xfId="18781" xr:uid="{00000000-0005-0000-0000-0000D51B0000}"/>
    <cellStyle name="Input 2 2 4 4 6" xfId="22708" xr:uid="{00000000-0005-0000-0000-0000D61B0000}"/>
    <cellStyle name="Input 2 2 4 4 7" xfId="26532" xr:uid="{00000000-0005-0000-0000-0000D71B0000}"/>
    <cellStyle name="Input 2 2 4 4 8" xfId="30410" xr:uid="{00000000-0005-0000-0000-0000D81B0000}"/>
    <cellStyle name="Input 2 2 4 4 9" xfId="34068" xr:uid="{00000000-0005-0000-0000-0000D91B0000}"/>
    <cellStyle name="Input 2 2 4 5" xfId="4745" xr:uid="{00000000-0005-0000-0000-0000DA1B0000}"/>
    <cellStyle name="Input 2 2 4 6" xfId="9097" xr:uid="{00000000-0005-0000-0000-0000DB1B0000}"/>
    <cellStyle name="Input 2 2 4 7" xfId="12939" xr:uid="{00000000-0005-0000-0000-0000DC1B0000}"/>
    <cellStyle name="Input 2 2 4 8" xfId="16763" xr:uid="{00000000-0005-0000-0000-0000DD1B0000}"/>
    <cellStyle name="Input 2 2 4 9" xfId="20705" xr:uid="{00000000-0005-0000-0000-0000DE1B0000}"/>
    <cellStyle name="Input 2 2 5" xfId="891" xr:uid="{00000000-0005-0000-0000-0000DF1B0000}"/>
    <cellStyle name="Input 2 2 5 10" xfId="24615" xr:uid="{00000000-0005-0000-0000-0000E01B0000}"/>
    <cellStyle name="Input 2 2 5 11" xfId="28505" xr:uid="{00000000-0005-0000-0000-0000E11B0000}"/>
    <cellStyle name="Input 2 2 5 12" xfId="32192" xr:uid="{00000000-0005-0000-0000-0000E21B0000}"/>
    <cellStyle name="Input 2 2 5 13" xfId="35949" xr:uid="{00000000-0005-0000-0000-0000E31B0000}"/>
    <cellStyle name="Input 2 2 5 14" xfId="39959" xr:uid="{00000000-0005-0000-0000-0000E41B0000}"/>
    <cellStyle name="Input 2 2 5 15" xfId="43775" xr:uid="{00000000-0005-0000-0000-0000E51B0000}"/>
    <cellStyle name="Input 2 2 5 2" xfId="1228" xr:uid="{00000000-0005-0000-0000-0000E61B0000}"/>
    <cellStyle name="Input 2 2 5 2 10" xfId="28836" xr:uid="{00000000-0005-0000-0000-0000E71B0000}"/>
    <cellStyle name="Input 2 2 5 2 11" xfId="32520" xr:uid="{00000000-0005-0000-0000-0000E81B0000}"/>
    <cellStyle name="Input 2 2 5 2 12" xfId="36286" xr:uid="{00000000-0005-0000-0000-0000E91B0000}"/>
    <cellStyle name="Input 2 2 5 2 13" xfId="40279" xr:uid="{00000000-0005-0000-0000-0000EA1B0000}"/>
    <cellStyle name="Input 2 2 5 2 14" xfId="44112" xr:uid="{00000000-0005-0000-0000-0000EB1B0000}"/>
    <cellStyle name="Input 2 2 5 2 2" xfId="1950" xr:uid="{00000000-0005-0000-0000-0000EC1B0000}"/>
    <cellStyle name="Input 2 2 5 2 2 10" xfId="33237" xr:uid="{00000000-0005-0000-0000-0000ED1B0000}"/>
    <cellStyle name="Input 2 2 5 2 2 11" xfId="37007" xr:uid="{00000000-0005-0000-0000-0000EE1B0000}"/>
    <cellStyle name="Input 2 2 5 2 2 12" xfId="40998" xr:uid="{00000000-0005-0000-0000-0000EF1B0000}"/>
    <cellStyle name="Input 2 2 5 2 2 13" xfId="44829" xr:uid="{00000000-0005-0000-0000-0000F01B0000}"/>
    <cellStyle name="Input 2 2 5 2 2 2" xfId="3940" xr:uid="{00000000-0005-0000-0000-0000F11B0000}"/>
    <cellStyle name="Input 2 2 5 2 2 2 10" xfId="38991" xr:uid="{00000000-0005-0000-0000-0000F21B0000}"/>
    <cellStyle name="Input 2 2 5 2 2 2 11" xfId="43002" xr:uid="{00000000-0005-0000-0000-0000F31B0000}"/>
    <cellStyle name="Input 2 2 5 2 2 2 12" xfId="46767" xr:uid="{00000000-0005-0000-0000-0000F41B0000}"/>
    <cellStyle name="Input 2 2 5 2 2 2 2" xfId="7807" xr:uid="{00000000-0005-0000-0000-0000F51B0000}"/>
    <cellStyle name="Input 2 2 5 2 2 2 3" xfId="12242" xr:uid="{00000000-0005-0000-0000-0000F61B0000}"/>
    <cellStyle name="Input 2 2 5 2 2 2 4" xfId="16087" xr:uid="{00000000-0005-0000-0000-0000F71B0000}"/>
    <cellStyle name="Input 2 2 5 2 2 2 5" xfId="19934" xr:uid="{00000000-0005-0000-0000-0000F81B0000}"/>
    <cellStyle name="Input 2 2 5 2 2 2 6" xfId="23850" xr:uid="{00000000-0005-0000-0000-0000F91B0000}"/>
    <cellStyle name="Input 2 2 5 2 2 2 7" xfId="27684" xr:uid="{00000000-0005-0000-0000-0000FA1B0000}"/>
    <cellStyle name="Input 2 2 5 2 2 2 8" xfId="31545" xr:uid="{00000000-0005-0000-0000-0000FB1B0000}"/>
    <cellStyle name="Input 2 2 5 2 2 2 9" xfId="35205" xr:uid="{00000000-0005-0000-0000-0000FC1B0000}"/>
    <cellStyle name="Input 2 2 5 2 2 3" xfId="5883" xr:uid="{00000000-0005-0000-0000-0000FD1B0000}"/>
    <cellStyle name="Input 2 2 5 2 2 4" xfId="10241" xr:uid="{00000000-0005-0000-0000-0000FE1B0000}"/>
    <cellStyle name="Input 2 2 5 2 2 5" xfId="14087" xr:uid="{00000000-0005-0000-0000-0000FF1B0000}"/>
    <cellStyle name="Input 2 2 5 2 2 6" xfId="17916" xr:uid="{00000000-0005-0000-0000-0000001C0000}"/>
    <cellStyle name="Input 2 2 5 2 2 7" xfId="21855" xr:uid="{00000000-0005-0000-0000-0000011C0000}"/>
    <cellStyle name="Input 2 2 5 2 2 8" xfId="25668" xr:uid="{00000000-0005-0000-0000-0000021C0000}"/>
    <cellStyle name="Input 2 2 5 2 2 9" xfId="29555" xr:uid="{00000000-0005-0000-0000-0000031C0000}"/>
    <cellStyle name="Input 2 2 5 2 3" xfId="3218" xr:uid="{00000000-0005-0000-0000-0000041C0000}"/>
    <cellStyle name="Input 2 2 5 2 3 10" xfId="38270" xr:uid="{00000000-0005-0000-0000-0000051C0000}"/>
    <cellStyle name="Input 2 2 5 2 3 11" xfId="42281" xr:uid="{00000000-0005-0000-0000-0000061C0000}"/>
    <cellStyle name="Input 2 2 5 2 3 12" xfId="46050" xr:uid="{00000000-0005-0000-0000-0000071C0000}"/>
    <cellStyle name="Input 2 2 5 2 3 2" xfId="7090" xr:uid="{00000000-0005-0000-0000-0000081C0000}"/>
    <cellStyle name="Input 2 2 5 2 3 3" xfId="11522" xr:uid="{00000000-0005-0000-0000-0000091C0000}"/>
    <cellStyle name="Input 2 2 5 2 3 4" xfId="15366" xr:uid="{00000000-0005-0000-0000-00000A1C0000}"/>
    <cellStyle name="Input 2 2 5 2 3 5" xfId="19212" xr:uid="{00000000-0005-0000-0000-00000B1C0000}"/>
    <cellStyle name="Input 2 2 5 2 3 6" xfId="23131" xr:uid="{00000000-0005-0000-0000-00000C1C0000}"/>
    <cellStyle name="Input 2 2 5 2 3 7" xfId="26963" xr:uid="{00000000-0005-0000-0000-00000D1C0000}"/>
    <cellStyle name="Input 2 2 5 2 3 8" xfId="30833" xr:uid="{00000000-0005-0000-0000-00000E1C0000}"/>
    <cellStyle name="Input 2 2 5 2 3 9" xfId="34488" xr:uid="{00000000-0005-0000-0000-00000F1C0000}"/>
    <cellStyle name="Input 2 2 5 2 4" xfId="5166" xr:uid="{00000000-0005-0000-0000-0000101C0000}"/>
    <cellStyle name="Input 2 2 5 2 5" xfId="9522" xr:uid="{00000000-0005-0000-0000-0000111C0000}"/>
    <cellStyle name="Input 2 2 5 2 6" xfId="13366" xr:uid="{00000000-0005-0000-0000-0000121C0000}"/>
    <cellStyle name="Input 2 2 5 2 7" xfId="17194" xr:uid="{00000000-0005-0000-0000-0000131C0000}"/>
    <cellStyle name="Input 2 2 5 2 8" xfId="21136" xr:uid="{00000000-0005-0000-0000-0000141C0000}"/>
    <cellStyle name="Input 2 2 5 2 9" xfId="24947" xr:uid="{00000000-0005-0000-0000-0000151C0000}"/>
    <cellStyle name="Input 2 2 5 3" xfId="1622" xr:uid="{00000000-0005-0000-0000-0000161C0000}"/>
    <cellStyle name="Input 2 2 5 3 10" xfId="32909" xr:uid="{00000000-0005-0000-0000-0000171C0000}"/>
    <cellStyle name="Input 2 2 5 3 11" xfId="36679" xr:uid="{00000000-0005-0000-0000-0000181C0000}"/>
    <cellStyle name="Input 2 2 5 3 12" xfId="40670" xr:uid="{00000000-0005-0000-0000-0000191C0000}"/>
    <cellStyle name="Input 2 2 5 3 13" xfId="44501" xr:uid="{00000000-0005-0000-0000-00001A1C0000}"/>
    <cellStyle name="Input 2 2 5 3 2" xfId="3612" xr:uid="{00000000-0005-0000-0000-00001B1C0000}"/>
    <cellStyle name="Input 2 2 5 3 2 10" xfId="38663" xr:uid="{00000000-0005-0000-0000-00001C1C0000}"/>
    <cellStyle name="Input 2 2 5 3 2 11" xfId="42674" xr:uid="{00000000-0005-0000-0000-00001D1C0000}"/>
    <cellStyle name="Input 2 2 5 3 2 12" xfId="46439" xr:uid="{00000000-0005-0000-0000-00001E1C0000}"/>
    <cellStyle name="Input 2 2 5 3 2 2" xfId="7479" xr:uid="{00000000-0005-0000-0000-00001F1C0000}"/>
    <cellStyle name="Input 2 2 5 3 2 3" xfId="11914" xr:uid="{00000000-0005-0000-0000-0000201C0000}"/>
    <cellStyle name="Input 2 2 5 3 2 4" xfId="15759" xr:uid="{00000000-0005-0000-0000-0000211C0000}"/>
    <cellStyle name="Input 2 2 5 3 2 5" xfId="19606" xr:uid="{00000000-0005-0000-0000-0000221C0000}"/>
    <cellStyle name="Input 2 2 5 3 2 6" xfId="23522" xr:uid="{00000000-0005-0000-0000-0000231C0000}"/>
    <cellStyle name="Input 2 2 5 3 2 7" xfId="27356" xr:uid="{00000000-0005-0000-0000-0000241C0000}"/>
    <cellStyle name="Input 2 2 5 3 2 8" xfId="31221" xr:uid="{00000000-0005-0000-0000-0000251C0000}"/>
    <cellStyle name="Input 2 2 5 3 2 9" xfId="34877" xr:uid="{00000000-0005-0000-0000-0000261C0000}"/>
    <cellStyle name="Input 2 2 5 3 3" xfId="5555" xr:uid="{00000000-0005-0000-0000-0000271C0000}"/>
    <cellStyle name="Input 2 2 5 3 4" xfId="9913" xr:uid="{00000000-0005-0000-0000-0000281C0000}"/>
    <cellStyle name="Input 2 2 5 3 5" xfId="13759" xr:uid="{00000000-0005-0000-0000-0000291C0000}"/>
    <cellStyle name="Input 2 2 5 3 6" xfId="17588" xr:uid="{00000000-0005-0000-0000-00002A1C0000}"/>
    <cellStyle name="Input 2 2 5 3 7" xfId="21527" xr:uid="{00000000-0005-0000-0000-00002B1C0000}"/>
    <cellStyle name="Input 2 2 5 3 8" xfId="25340" xr:uid="{00000000-0005-0000-0000-00002C1C0000}"/>
    <cellStyle name="Input 2 2 5 3 9" xfId="29227" xr:uid="{00000000-0005-0000-0000-00002D1C0000}"/>
    <cellStyle name="Input 2 2 5 4" xfId="2881" xr:uid="{00000000-0005-0000-0000-00002E1C0000}"/>
    <cellStyle name="Input 2 2 5 4 10" xfId="37933" xr:uid="{00000000-0005-0000-0000-00002F1C0000}"/>
    <cellStyle name="Input 2 2 5 4 11" xfId="41945" xr:uid="{00000000-0005-0000-0000-0000301C0000}"/>
    <cellStyle name="Input 2 2 5 4 12" xfId="45722" xr:uid="{00000000-0005-0000-0000-0000311C0000}"/>
    <cellStyle name="Input 2 2 5 4 2" xfId="6761" xr:uid="{00000000-0005-0000-0000-0000321C0000}"/>
    <cellStyle name="Input 2 2 5 4 3" xfId="11188" xr:uid="{00000000-0005-0000-0000-0000331C0000}"/>
    <cellStyle name="Input 2 2 5 4 4" xfId="15033" xr:uid="{00000000-0005-0000-0000-0000341C0000}"/>
    <cellStyle name="Input 2 2 5 4 5" xfId="18875" xr:uid="{00000000-0005-0000-0000-0000351C0000}"/>
    <cellStyle name="Input 2 2 5 4 6" xfId="22801" xr:uid="{00000000-0005-0000-0000-0000361C0000}"/>
    <cellStyle name="Input 2 2 5 4 7" xfId="26626" xr:uid="{00000000-0005-0000-0000-0000371C0000}"/>
    <cellStyle name="Input 2 2 5 4 8" xfId="30502" xr:uid="{00000000-0005-0000-0000-0000381C0000}"/>
    <cellStyle name="Input 2 2 5 4 9" xfId="34160" xr:uid="{00000000-0005-0000-0000-0000391C0000}"/>
    <cellStyle name="Input 2 2 5 5" xfId="4837" xr:uid="{00000000-0005-0000-0000-00003A1C0000}"/>
    <cellStyle name="Input 2 2 5 6" xfId="9191" xr:uid="{00000000-0005-0000-0000-00003B1C0000}"/>
    <cellStyle name="Input 2 2 5 7" xfId="13032" xr:uid="{00000000-0005-0000-0000-00003C1C0000}"/>
    <cellStyle name="Input 2 2 5 8" xfId="16857" xr:uid="{00000000-0005-0000-0000-00003D1C0000}"/>
    <cellStyle name="Input 2 2 5 9" xfId="20799" xr:uid="{00000000-0005-0000-0000-00003E1C0000}"/>
    <cellStyle name="Input 2 2 6" xfId="937" xr:uid="{00000000-0005-0000-0000-00003F1C0000}"/>
    <cellStyle name="Input 2 2 6 10" xfId="28549" xr:uid="{00000000-0005-0000-0000-0000401C0000}"/>
    <cellStyle name="Input 2 2 6 11" xfId="32238" xr:uid="{00000000-0005-0000-0000-0000411C0000}"/>
    <cellStyle name="Input 2 2 6 12" xfId="35995" xr:uid="{00000000-0005-0000-0000-0000421C0000}"/>
    <cellStyle name="Input 2 2 6 13" xfId="40003" xr:uid="{00000000-0005-0000-0000-0000431C0000}"/>
    <cellStyle name="Input 2 2 6 14" xfId="43821" xr:uid="{00000000-0005-0000-0000-0000441C0000}"/>
    <cellStyle name="Input 2 2 6 2" xfId="1668" xr:uid="{00000000-0005-0000-0000-0000451C0000}"/>
    <cellStyle name="Input 2 2 6 2 10" xfId="32955" xr:uid="{00000000-0005-0000-0000-0000461C0000}"/>
    <cellStyle name="Input 2 2 6 2 11" xfId="36725" xr:uid="{00000000-0005-0000-0000-0000471C0000}"/>
    <cellStyle name="Input 2 2 6 2 12" xfId="40716" xr:uid="{00000000-0005-0000-0000-0000481C0000}"/>
    <cellStyle name="Input 2 2 6 2 13" xfId="44547" xr:uid="{00000000-0005-0000-0000-0000491C0000}"/>
    <cellStyle name="Input 2 2 6 2 2" xfId="3658" xr:uid="{00000000-0005-0000-0000-00004A1C0000}"/>
    <cellStyle name="Input 2 2 6 2 2 10" xfId="38709" xr:uid="{00000000-0005-0000-0000-00004B1C0000}"/>
    <cellStyle name="Input 2 2 6 2 2 11" xfId="42720" xr:uid="{00000000-0005-0000-0000-00004C1C0000}"/>
    <cellStyle name="Input 2 2 6 2 2 12" xfId="46485" xr:uid="{00000000-0005-0000-0000-00004D1C0000}"/>
    <cellStyle name="Input 2 2 6 2 2 2" xfId="7525" xr:uid="{00000000-0005-0000-0000-00004E1C0000}"/>
    <cellStyle name="Input 2 2 6 2 2 3" xfId="11960" xr:uid="{00000000-0005-0000-0000-00004F1C0000}"/>
    <cellStyle name="Input 2 2 6 2 2 4" xfId="15805" xr:uid="{00000000-0005-0000-0000-0000501C0000}"/>
    <cellStyle name="Input 2 2 6 2 2 5" xfId="19652" xr:uid="{00000000-0005-0000-0000-0000511C0000}"/>
    <cellStyle name="Input 2 2 6 2 2 6" xfId="23568" xr:uid="{00000000-0005-0000-0000-0000521C0000}"/>
    <cellStyle name="Input 2 2 6 2 2 7" xfId="27402" xr:uid="{00000000-0005-0000-0000-0000531C0000}"/>
    <cellStyle name="Input 2 2 6 2 2 8" xfId="31266" xr:uid="{00000000-0005-0000-0000-0000541C0000}"/>
    <cellStyle name="Input 2 2 6 2 2 9" xfId="34923" xr:uid="{00000000-0005-0000-0000-0000551C0000}"/>
    <cellStyle name="Input 2 2 6 2 3" xfId="5601" xr:uid="{00000000-0005-0000-0000-0000561C0000}"/>
    <cellStyle name="Input 2 2 6 2 4" xfId="9959" xr:uid="{00000000-0005-0000-0000-0000571C0000}"/>
    <cellStyle name="Input 2 2 6 2 5" xfId="13805" xr:uid="{00000000-0005-0000-0000-0000581C0000}"/>
    <cellStyle name="Input 2 2 6 2 6" xfId="17634" xr:uid="{00000000-0005-0000-0000-0000591C0000}"/>
    <cellStyle name="Input 2 2 6 2 7" xfId="21573" xr:uid="{00000000-0005-0000-0000-00005A1C0000}"/>
    <cellStyle name="Input 2 2 6 2 8" xfId="25386" xr:uid="{00000000-0005-0000-0000-00005B1C0000}"/>
    <cellStyle name="Input 2 2 6 2 9" xfId="29273" xr:uid="{00000000-0005-0000-0000-00005C1C0000}"/>
    <cellStyle name="Input 2 2 6 3" xfId="2927" xr:uid="{00000000-0005-0000-0000-00005D1C0000}"/>
    <cellStyle name="Input 2 2 6 3 10" xfId="37979" xr:uid="{00000000-0005-0000-0000-00005E1C0000}"/>
    <cellStyle name="Input 2 2 6 3 11" xfId="41991" xr:uid="{00000000-0005-0000-0000-00005F1C0000}"/>
    <cellStyle name="Input 2 2 6 3 12" xfId="45768" xr:uid="{00000000-0005-0000-0000-0000601C0000}"/>
    <cellStyle name="Input 2 2 6 3 2" xfId="6807" xr:uid="{00000000-0005-0000-0000-0000611C0000}"/>
    <cellStyle name="Input 2 2 6 3 3" xfId="11234" xr:uid="{00000000-0005-0000-0000-0000621C0000}"/>
    <cellStyle name="Input 2 2 6 3 4" xfId="15079" xr:uid="{00000000-0005-0000-0000-0000631C0000}"/>
    <cellStyle name="Input 2 2 6 3 5" xfId="18921" xr:uid="{00000000-0005-0000-0000-0000641C0000}"/>
    <cellStyle name="Input 2 2 6 3 6" xfId="22847" xr:uid="{00000000-0005-0000-0000-0000651C0000}"/>
    <cellStyle name="Input 2 2 6 3 7" xfId="26672" xr:uid="{00000000-0005-0000-0000-0000661C0000}"/>
    <cellStyle name="Input 2 2 6 3 8" xfId="30547" xr:uid="{00000000-0005-0000-0000-0000671C0000}"/>
    <cellStyle name="Input 2 2 6 3 9" xfId="34206" xr:uid="{00000000-0005-0000-0000-0000681C0000}"/>
    <cellStyle name="Input 2 2 6 4" xfId="4883" xr:uid="{00000000-0005-0000-0000-0000691C0000}"/>
    <cellStyle name="Input 2 2 6 5" xfId="9237" xr:uid="{00000000-0005-0000-0000-00006A1C0000}"/>
    <cellStyle name="Input 2 2 6 6" xfId="13078" xr:uid="{00000000-0005-0000-0000-00006B1C0000}"/>
    <cellStyle name="Input 2 2 6 7" xfId="16903" xr:uid="{00000000-0005-0000-0000-00006C1C0000}"/>
    <cellStyle name="Input 2 2 6 8" xfId="20845" xr:uid="{00000000-0005-0000-0000-00006D1C0000}"/>
    <cellStyle name="Input 2 2 6 9" xfId="24661" xr:uid="{00000000-0005-0000-0000-00006E1C0000}"/>
    <cellStyle name="Input 2 2 7" xfId="1315" xr:uid="{00000000-0005-0000-0000-00006F1C0000}"/>
    <cellStyle name="Input 2 2 7 10" xfId="32602" xr:uid="{00000000-0005-0000-0000-0000701C0000}"/>
    <cellStyle name="Input 2 2 7 11" xfId="36372" xr:uid="{00000000-0005-0000-0000-0000711C0000}"/>
    <cellStyle name="Input 2 2 7 12" xfId="40363" xr:uid="{00000000-0005-0000-0000-0000721C0000}"/>
    <cellStyle name="Input 2 2 7 13" xfId="44194" xr:uid="{00000000-0005-0000-0000-0000731C0000}"/>
    <cellStyle name="Input 2 2 7 2" xfId="3305" xr:uid="{00000000-0005-0000-0000-0000741C0000}"/>
    <cellStyle name="Input 2 2 7 2 10" xfId="38356" xr:uid="{00000000-0005-0000-0000-0000751C0000}"/>
    <cellStyle name="Input 2 2 7 2 11" xfId="42367" xr:uid="{00000000-0005-0000-0000-0000761C0000}"/>
    <cellStyle name="Input 2 2 7 2 12" xfId="46132" xr:uid="{00000000-0005-0000-0000-0000771C0000}"/>
    <cellStyle name="Input 2 2 7 2 2" xfId="7172" xr:uid="{00000000-0005-0000-0000-0000781C0000}"/>
    <cellStyle name="Input 2 2 7 2 3" xfId="11607" xr:uid="{00000000-0005-0000-0000-0000791C0000}"/>
    <cellStyle name="Input 2 2 7 2 4" xfId="15452" xr:uid="{00000000-0005-0000-0000-00007A1C0000}"/>
    <cellStyle name="Input 2 2 7 2 5" xfId="19299" xr:uid="{00000000-0005-0000-0000-00007B1C0000}"/>
    <cellStyle name="Input 2 2 7 2 6" xfId="23215" xr:uid="{00000000-0005-0000-0000-00007C1C0000}"/>
    <cellStyle name="Input 2 2 7 2 7" xfId="27049" xr:uid="{00000000-0005-0000-0000-00007D1C0000}"/>
    <cellStyle name="Input 2 2 7 2 8" xfId="30918" xr:uid="{00000000-0005-0000-0000-00007E1C0000}"/>
    <cellStyle name="Input 2 2 7 2 9" xfId="34570" xr:uid="{00000000-0005-0000-0000-00007F1C0000}"/>
    <cellStyle name="Input 2 2 7 3" xfId="5248" xr:uid="{00000000-0005-0000-0000-0000801C0000}"/>
    <cellStyle name="Input 2 2 7 4" xfId="9606" xr:uid="{00000000-0005-0000-0000-0000811C0000}"/>
    <cellStyle name="Input 2 2 7 5" xfId="13452" xr:uid="{00000000-0005-0000-0000-0000821C0000}"/>
    <cellStyle name="Input 2 2 7 6" xfId="17281" xr:uid="{00000000-0005-0000-0000-0000831C0000}"/>
    <cellStyle name="Input 2 2 7 7" xfId="21220" xr:uid="{00000000-0005-0000-0000-0000841C0000}"/>
    <cellStyle name="Input 2 2 7 8" xfId="25033" xr:uid="{00000000-0005-0000-0000-0000851C0000}"/>
    <cellStyle name="Input 2 2 7 9" xfId="28920" xr:uid="{00000000-0005-0000-0000-0000861C0000}"/>
    <cellStyle name="Input 2 2 8" xfId="2010" xr:uid="{00000000-0005-0000-0000-0000871C0000}"/>
    <cellStyle name="Input 2 2 8 10" xfId="33297" xr:uid="{00000000-0005-0000-0000-0000881C0000}"/>
    <cellStyle name="Input 2 2 8 11" xfId="37066" xr:uid="{00000000-0005-0000-0000-0000891C0000}"/>
    <cellStyle name="Input 2 2 8 12" xfId="41058" xr:uid="{00000000-0005-0000-0000-00008A1C0000}"/>
    <cellStyle name="Input 2 2 8 13" xfId="44888" xr:uid="{00000000-0005-0000-0000-00008B1C0000}"/>
    <cellStyle name="Input 2 2 8 2" xfId="3999" xr:uid="{00000000-0005-0000-0000-00008C1C0000}"/>
    <cellStyle name="Input 2 2 8 2 10" xfId="39050" xr:uid="{00000000-0005-0000-0000-00008D1C0000}"/>
    <cellStyle name="Input 2 2 8 2 11" xfId="43061" xr:uid="{00000000-0005-0000-0000-00008E1C0000}"/>
    <cellStyle name="Input 2 2 8 2 12" xfId="46826" xr:uid="{00000000-0005-0000-0000-00008F1C0000}"/>
    <cellStyle name="Input 2 2 8 2 2" xfId="7866" xr:uid="{00000000-0005-0000-0000-0000901C0000}"/>
    <cellStyle name="Input 2 2 8 2 3" xfId="12301" xr:uid="{00000000-0005-0000-0000-0000911C0000}"/>
    <cellStyle name="Input 2 2 8 2 4" xfId="16146" xr:uid="{00000000-0005-0000-0000-0000921C0000}"/>
    <cellStyle name="Input 2 2 8 2 5" xfId="19993" xr:uid="{00000000-0005-0000-0000-0000931C0000}"/>
    <cellStyle name="Input 2 2 8 2 6" xfId="23909" xr:uid="{00000000-0005-0000-0000-0000941C0000}"/>
    <cellStyle name="Input 2 2 8 2 7" xfId="27743" xr:uid="{00000000-0005-0000-0000-0000951C0000}"/>
    <cellStyle name="Input 2 2 8 2 8" xfId="31603" xr:uid="{00000000-0005-0000-0000-0000961C0000}"/>
    <cellStyle name="Input 2 2 8 2 9" xfId="35264" xr:uid="{00000000-0005-0000-0000-0000971C0000}"/>
    <cellStyle name="Input 2 2 8 3" xfId="5942" xr:uid="{00000000-0005-0000-0000-0000981C0000}"/>
    <cellStyle name="Input 2 2 8 4" xfId="10300" xr:uid="{00000000-0005-0000-0000-0000991C0000}"/>
    <cellStyle name="Input 2 2 8 5" xfId="14147" xr:uid="{00000000-0005-0000-0000-00009A1C0000}"/>
    <cellStyle name="Input 2 2 8 6" xfId="17976" xr:uid="{00000000-0005-0000-0000-00009B1C0000}"/>
    <cellStyle name="Input 2 2 8 7" xfId="21915" xr:uid="{00000000-0005-0000-0000-00009C1C0000}"/>
    <cellStyle name="Input 2 2 8 8" xfId="25728" xr:uid="{00000000-0005-0000-0000-00009D1C0000}"/>
    <cellStyle name="Input 2 2 8 9" xfId="29615" xr:uid="{00000000-0005-0000-0000-00009E1C0000}"/>
    <cellStyle name="Input 2 2 9" xfId="2057" xr:uid="{00000000-0005-0000-0000-00009F1C0000}"/>
    <cellStyle name="Input 2 2 9 10" xfId="33341" xr:uid="{00000000-0005-0000-0000-0000A01C0000}"/>
    <cellStyle name="Input 2 2 9 11" xfId="37113" xr:uid="{00000000-0005-0000-0000-0000A11C0000}"/>
    <cellStyle name="Input 2 2 9 12" xfId="41103" xr:uid="{00000000-0005-0000-0000-0000A21C0000}"/>
    <cellStyle name="Input 2 2 9 13" xfId="44932" xr:uid="{00000000-0005-0000-0000-0000A31C0000}"/>
    <cellStyle name="Input 2 2 9 2" xfId="4046" xr:uid="{00000000-0005-0000-0000-0000A41C0000}"/>
    <cellStyle name="Input 2 2 9 2 10" xfId="39097" xr:uid="{00000000-0005-0000-0000-0000A51C0000}"/>
    <cellStyle name="Input 2 2 9 2 11" xfId="43107" xr:uid="{00000000-0005-0000-0000-0000A61C0000}"/>
    <cellStyle name="Input 2 2 9 2 12" xfId="46870" xr:uid="{00000000-0005-0000-0000-0000A71C0000}"/>
    <cellStyle name="Input 2 2 9 2 2" xfId="7911" xr:uid="{00000000-0005-0000-0000-0000A81C0000}"/>
    <cellStyle name="Input 2 2 9 2 3" xfId="12346" xr:uid="{00000000-0005-0000-0000-0000A91C0000}"/>
    <cellStyle name="Input 2 2 9 2 4" xfId="16192" xr:uid="{00000000-0005-0000-0000-0000AA1C0000}"/>
    <cellStyle name="Input 2 2 9 2 5" xfId="20040" xr:uid="{00000000-0005-0000-0000-0000AB1C0000}"/>
    <cellStyle name="Input 2 2 9 2 6" xfId="23955" xr:uid="{00000000-0005-0000-0000-0000AC1C0000}"/>
    <cellStyle name="Input 2 2 9 2 7" xfId="27790" xr:uid="{00000000-0005-0000-0000-0000AD1C0000}"/>
    <cellStyle name="Input 2 2 9 2 8" xfId="31649" xr:uid="{00000000-0005-0000-0000-0000AE1C0000}"/>
    <cellStyle name="Input 2 2 9 2 9" xfId="35308" xr:uid="{00000000-0005-0000-0000-0000AF1C0000}"/>
    <cellStyle name="Input 2 2 9 3" xfId="5987" xr:uid="{00000000-0005-0000-0000-0000B01C0000}"/>
    <cellStyle name="Input 2 2 9 4" xfId="10345" xr:uid="{00000000-0005-0000-0000-0000B11C0000}"/>
    <cellStyle name="Input 2 2 9 5" xfId="14193" xr:uid="{00000000-0005-0000-0000-0000B21C0000}"/>
    <cellStyle name="Input 2 2 9 6" xfId="18023" xr:uid="{00000000-0005-0000-0000-0000B31C0000}"/>
    <cellStyle name="Input 2 2 9 7" xfId="21961" xr:uid="{00000000-0005-0000-0000-0000B41C0000}"/>
    <cellStyle name="Input 2 2 9 8" xfId="25775" xr:uid="{00000000-0005-0000-0000-0000B51C0000}"/>
    <cellStyle name="Input 2 2 9 9" xfId="29661" xr:uid="{00000000-0005-0000-0000-0000B61C0000}"/>
    <cellStyle name="Input 2 20" xfId="8503" xr:uid="{00000000-0005-0000-0000-0000B71C0000}"/>
    <cellStyle name="Input 2 21" xfId="39597" xr:uid="{00000000-0005-0000-0000-0000B81C0000}"/>
    <cellStyle name="Input 2 22" xfId="47305" xr:uid="{00000000-0005-0000-0000-0000B91C0000}"/>
    <cellStyle name="Input 2 23" xfId="47409" xr:uid="{00000000-0005-0000-0000-0000BA1C0000}"/>
    <cellStyle name="Input 2 24" xfId="47526" xr:uid="{00000000-0005-0000-0000-0000BB1C0000}"/>
    <cellStyle name="Input 2 3" xfId="581" xr:uid="{00000000-0005-0000-0000-0000BC1C0000}"/>
    <cellStyle name="Input 2 3 10" xfId="20520" xr:uid="{00000000-0005-0000-0000-0000BD1C0000}"/>
    <cellStyle name="Input 2 3 11" xfId="8663" xr:uid="{00000000-0005-0000-0000-0000BE1C0000}"/>
    <cellStyle name="Input 2 3 12" xfId="28432" xr:uid="{00000000-0005-0000-0000-0000BF1C0000}"/>
    <cellStyle name="Input 2 3 13" xfId="8400" xr:uid="{00000000-0005-0000-0000-0000C01C0000}"/>
    <cellStyle name="Input 2 3 14" xfId="39678" xr:uid="{00000000-0005-0000-0000-0000C11C0000}"/>
    <cellStyle name="Input 2 3 15" xfId="39590" xr:uid="{00000000-0005-0000-0000-0000C21C0000}"/>
    <cellStyle name="Input 2 3 2" xfId="961" xr:uid="{00000000-0005-0000-0000-0000C31C0000}"/>
    <cellStyle name="Input 2 3 2 10" xfId="28572" xr:uid="{00000000-0005-0000-0000-0000C41C0000}"/>
    <cellStyle name="Input 2 3 2 11" xfId="32262" xr:uid="{00000000-0005-0000-0000-0000C51C0000}"/>
    <cellStyle name="Input 2 3 2 12" xfId="36019" xr:uid="{00000000-0005-0000-0000-0000C61C0000}"/>
    <cellStyle name="Input 2 3 2 13" xfId="40026" xr:uid="{00000000-0005-0000-0000-0000C71C0000}"/>
    <cellStyle name="Input 2 3 2 14" xfId="43845" xr:uid="{00000000-0005-0000-0000-0000C81C0000}"/>
    <cellStyle name="Input 2 3 2 2" xfId="1692" xr:uid="{00000000-0005-0000-0000-0000C91C0000}"/>
    <cellStyle name="Input 2 3 2 2 10" xfId="32979" xr:uid="{00000000-0005-0000-0000-0000CA1C0000}"/>
    <cellStyle name="Input 2 3 2 2 11" xfId="36749" xr:uid="{00000000-0005-0000-0000-0000CB1C0000}"/>
    <cellStyle name="Input 2 3 2 2 12" xfId="40740" xr:uid="{00000000-0005-0000-0000-0000CC1C0000}"/>
    <cellStyle name="Input 2 3 2 2 13" xfId="44571" xr:uid="{00000000-0005-0000-0000-0000CD1C0000}"/>
    <cellStyle name="Input 2 3 2 2 2" xfId="3682" xr:uid="{00000000-0005-0000-0000-0000CE1C0000}"/>
    <cellStyle name="Input 2 3 2 2 2 10" xfId="38733" xr:uid="{00000000-0005-0000-0000-0000CF1C0000}"/>
    <cellStyle name="Input 2 3 2 2 2 11" xfId="42744" xr:uid="{00000000-0005-0000-0000-0000D01C0000}"/>
    <cellStyle name="Input 2 3 2 2 2 12" xfId="46509" xr:uid="{00000000-0005-0000-0000-0000D11C0000}"/>
    <cellStyle name="Input 2 3 2 2 2 2" xfId="7549" xr:uid="{00000000-0005-0000-0000-0000D21C0000}"/>
    <cellStyle name="Input 2 3 2 2 2 3" xfId="11984" xr:uid="{00000000-0005-0000-0000-0000D31C0000}"/>
    <cellStyle name="Input 2 3 2 2 2 4" xfId="15829" xr:uid="{00000000-0005-0000-0000-0000D41C0000}"/>
    <cellStyle name="Input 2 3 2 2 2 5" xfId="19676" xr:uid="{00000000-0005-0000-0000-0000D51C0000}"/>
    <cellStyle name="Input 2 3 2 2 2 6" xfId="23592" xr:uid="{00000000-0005-0000-0000-0000D61C0000}"/>
    <cellStyle name="Input 2 3 2 2 2 7" xfId="27426" xr:uid="{00000000-0005-0000-0000-0000D71C0000}"/>
    <cellStyle name="Input 2 3 2 2 2 8" xfId="31290" xr:uid="{00000000-0005-0000-0000-0000D81C0000}"/>
    <cellStyle name="Input 2 3 2 2 2 9" xfId="34947" xr:uid="{00000000-0005-0000-0000-0000D91C0000}"/>
    <cellStyle name="Input 2 3 2 2 3" xfId="5625" xr:uid="{00000000-0005-0000-0000-0000DA1C0000}"/>
    <cellStyle name="Input 2 3 2 2 4" xfId="9983" xr:uid="{00000000-0005-0000-0000-0000DB1C0000}"/>
    <cellStyle name="Input 2 3 2 2 5" xfId="13829" xr:uid="{00000000-0005-0000-0000-0000DC1C0000}"/>
    <cellStyle name="Input 2 3 2 2 6" xfId="17658" xr:uid="{00000000-0005-0000-0000-0000DD1C0000}"/>
    <cellStyle name="Input 2 3 2 2 7" xfId="21597" xr:uid="{00000000-0005-0000-0000-0000DE1C0000}"/>
    <cellStyle name="Input 2 3 2 2 8" xfId="25410" xr:uid="{00000000-0005-0000-0000-0000DF1C0000}"/>
    <cellStyle name="Input 2 3 2 2 9" xfId="29297" xr:uid="{00000000-0005-0000-0000-0000E01C0000}"/>
    <cellStyle name="Input 2 3 2 3" xfId="2951" xr:uid="{00000000-0005-0000-0000-0000E11C0000}"/>
    <cellStyle name="Input 2 3 2 3 10" xfId="38003" xr:uid="{00000000-0005-0000-0000-0000E21C0000}"/>
    <cellStyle name="Input 2 3 2 3 11" xfId="42015" xr:uid="{00000000-0005-0000-0000-0000E31C0000}"/>
    <cellStyle name="Input 2 3 2 3 12" xfId="45792" xr:uid="{00000000-0005-0000-0000-0000E41C0000}"/>
    <cellStyle name="Input 2 3 2 3 2" xfId="6831" xr:uid="{00000000-0005-0000-0000-0000E51C0000}"/>
    <cellStyle name="Input 2 3 2 3 3" xfId="11258" xr:uid="{00000000-0005-0000-0000-0000E61C0000}"/>
    <cellStyle name="Input 2 3 2 3 4" xfId="15103" xr:uid="{00000000-0005-0000-0000-0000E71C0000}"/>
    <cellStyle name="Input 2 3 2 3 5" xfId="18945" xr:uid="{00000000-0005-0000-0000-0000E81C0000}"/>
    <cellStyle name="Input 2 3 2 3 6" xfId="22871" xr:uid="{00000000-0005-0000-0000-0000E91C0000}"/>
    <cellStyle name="Input 2 3 2 3 7" xfId="26696" xr:uid="{00000000-0005-0000-0000-0000EA1C0000}"/>
    <cellStyle name="Input 2 3 2 3 8" xfId="30570" xr:uid="{00000000-0005-0000-0000-0000EB1C0000}"/>
    <cellStyle name="Input 2 3 2 3 9" xfId="34230" xr:uid="{00000000-0005-0000-0000-0000EC1C0000}"/>
    <cellStyle name="Input 2 3 2 4" xfId="4907" xr:uid="{00000000-0005-0000-0000-0000ED1C0000}"/>
    <cellStyle name="Input 2 3 2 5" xfId="9261" xr:uid="{00000000-0005-0000-0000-0000EE1C0000}"/>
    <cellStyle name="Input 2 3 2 6" xfId="13102" xr:uid="{00000000-0005-0000-0000-0000EF1C0000}"/>
    <cellStyle name="Input 2 3 2 7" xfId="16927" xr:uid="{00000000-0005-0000-0000-0000F01C0000}"/>
    <cellStyle name="Input 2 3 2 8" xfId="20869" xr:uid="{00000000-0005-0000-0000-0000F11C0000}"/>
    <cellStyle name="Input 2 3 2 9" xfId="24685" xr:uid="{00000000-0005-0000-0000-0000F21C0000}"/>
    <cellStyle name="Input 2 3 3" xfId="1339" xr:uid="{00000000-0005-0000-0000-0000F31C0000}"/>
    <cellStyle name="Input 2 3 3 10" xfId="32626" xr:uid="{00000000-0005-0000-0000-0000F41C0000}"/>
    <cellStyle name="Input 2 3 3 11" xfId="36396" xr:uid="{00000000-0005-0000-0000-0000F51C0000}"/>
    <cellStyle name="Input 2 3 3 12" xfId="40387" xr:uid="{00000000-0005-0000-0000-0000F61C0000}"/>
    <cellStyle name="Input 2 3 3 13" xfId="44218" xr:uid="{00000000-0005-0000-0000-0000F71C0000}"/>
    <cellStyle name="Input 2 3 3 2" xfId="3329" xr:uid="{00000000-0005-0000-0000-0000F81C0000}"/>
    <cellStyle name="Input 2 3 3 2 10" xfId="38380" xr:uid="{00000000-0005-0000-0000-0000F91C0000}"/>
    <cellStyle name="Input 2 3 3 2 11" xfId="42391" xr:uid="{00000000-0005-0000-0000-0000FA1C0000}"/>
    <cellStyle name="Input 2 3 3 2 12" xfId="46156" xr:uid="{00000000-0005-0000-0000-0000FB1C0000}"/>
    <cellStyle name="Input 2 3 3 2 2" xfId="7196" xr:uid="{00000000-0005-0000-0000-0000FC1C0000}"/>
    <cellStyle name="Input 2 3 3 2 3" xfId="11631" xr:uid="{00000000-0005-0000-0000-0000FD1C0000}"/>
    <cellStyle name="Input 2 3 3 2 4" xfId="15476" xr:uid="{00000000-0005-0000-0000-0000FE1C0000}"/>
    <cellStyle name="Input 2 3 3 2 5" xfId="19323" xr:uid="{00000000-0005-0000-0000-0000FF1C0000}"/>
    <cellStyle name="Input 2 3 3 2 6" xfId="23239" xr:uid="{00000000-0005-0000-0000-0000001D0000}"/>
    <cellStyle name="Input 2 3 3 2 7" xfId="27073" xr:uid="{00000000-0005-0000-0000-0000011D0000}"/>
    <cellStyle name="Input 2 3 3 2 8" xfId="30941" xr:uid="{00000000-0005-0000-0000-0000021D0000}"/>
    <cellStyle name="Input 2 3 3 2 9" xfId="34594" xr:uid="{00000000-0005-0000-0000-0000031D0000}"/>
    <cellStyle name="Input 2 3 3 3" xfId="5272" xr:uid="{00000000-0005-0000-0000-0000041D0000}"/>
    <cellStyle name="Input 2 3 3 4" xfId="9630" xr:uid="{00000000-0005-0000-0000-0000051D0000}"/>
    <cellStyle name="Input 2 3 3 5" xfId="13476" xr:uid="{00000000-0005-0000-0000-0000061D0000}"/>
    <cellStyle name="Input 2 3 3 6" xfId="17305" xr:uid="{00000000-0005-0000-0000-0000071D0000}"/>
    <cellStyle name="Input 2 3 3 7" xfId="21244" xr:uid="{00000000-0005-0000-0000-0000081D0000}"/>
    <cellStyle name="Input 2 3 3 8" xfId="25057" xr:uid="{00000000-0005-0000-0000-0000091D0000}"/>
    <cellStyle name="Input 2 3 3 9" xfId="28944" xr:uid="{00000000-0005-0000-0000-00000A1D0000}"/>
    <cellStyle name="Input 2 3 4" xfId="2584" xr:uid="{00000000-0005-0000-0000-00000B1D0000}"/>
    <cellStyle name="Input 2 3 4 10" xfId="37636" xr:uid="{00000000-0005-0000-0000-00000C1D0000}"/>
    <cellStyle name="Input 2 3 4 11" xfId="41650" xr:uid="{00000000-0005-0000-0000-00000D1D0000}"/>
    <cellStyle name="Input 2 3 4 12" xfId="45439" xr:uid="{00000000-0005-0000-0000-00000E1D0000}"/>
    <cellStyle name="Input 2 3 4 2" xfId="6476" xr:uid="{00000000-0005-0000-0000-00000F1D0000}"/>
    <cellStyle name="Input 2 3 4 3" xfId="10899" xr:uid="{00000000-0005-0000-0000-0000101D0000}"/>
    <cellStyle name="Input 2 3 4 4" xfId="14743" xr:uid="{00000000-0005-0000-0000-0000111D0000}"/>
    <cellStyle name="Input 2 3 4 5" xfId="18578" xr:uid="{00000000-0005-0000-0000-0000121D0000}"/>
    <cellStyle name="Input 2 3 4 6" xfId="22513" xr:uid="{00000000-0005-0000-0000-0000131D0000}"/>
    <cellStyle name="Input 2 3 4 7" xfId="26329" xr:uid="{00000000-0005-0000-0000-0000141D0000}"/>
    <cellStyle name="Input 2 3 4 8" xfId="30208" xr:uid="{00000000-0005-0000-0000-0000151D0000}"/>
    <cellStyle name="Input 2 3 4 9" xfId="33877" xr:uid="{00000000-0005-0000-0000-0000161D0000}"/>
    <cellStyle name="Input 2 3 5" xfId="4552" xr:uid="{00000000-0005-0000-0000-0000171D0000}"/>
    <cellStyle name="Input 2 3 6" xfId="8891" xr:uid="{00000000-0005-0000-0000-0000181D0000}"/>
    <cellStyle name="Input 2 3 7" xfId="8539" xr:uid="{00000000-0005-0000-0000-0000191D0000}"/>
    <cellStyle name="Input 2 3 8" xfId="8817" xr:uid="{00000000-0005-0000-0000-00001A1D0000}"/>
    <cellStyle name="Input 2 3 9" xfId="20494" xr:uid="{00000000-0005-0000-0000-00001B1D0000}"/>
    <cellStyle name="Input 2 4" xfId="751" xr:uid="{00000000-0005-0000-0000-00001C1D0000}"/>
    <cellStyle name="Input 2 4 10" xfId="24481" xr:uid="{00000000-0005-0000-0000-00001D1D0000}"/>
    <cellStyle name="Input 2 4 11" xfId="28371" xr:uid="{00000000-0005-0000-0000-00001E1D0000}"/>
    <cellStyle name="Input 2 4 12" xfId="9059" xr:uid="{00000000-0005-0000-0000-00001F1D0000}"/>
    <cellStyle name="Input 2 4 13" xfId="35816" xr:uid="{00000000-0005-0000-0000-0000201D0000}"/>
    <cellStyle name="Input 2 4 14" xfId="39836" xr:uid="{00000000-0005-0000-0000-0000211D0000}"/>
    <cellStyle name="Input 2 4 15" xfId="43642" xr:uid="{00000000-0005-0000-0000-0000221D0000}"/>
    <cellStyle name="Input 2 4 2" xfId="1123" xr:uid="{00000000-0005-0000-0000-0000231D0000}"/>
    <cellStyle name="Input 2 4 2 10" xfId="28732" xr:uid="{00000000-0005-0000-0000-0000241D0000}"/>
    <cellStyle name="Input 2 4 2 11" xfId="32420" xr:uid="{00000000-0005-0000-0000-0000251D0000}"/>
    <cellStyle name="Input 2 4 2 12" xfId="36181" xr:uid="{00000000-0005-0000-0000-0000261D0000}"/>
    <cellStyle name="Input 2 4 2 13" xfId="40182" xr:uid="{00000000-0005-0000-0000-0000271D0000}"/>
    <cellStyle name="Input 2 4 2 14" xfId="44007" xr:uid="{00000000-0005-0000-0000-0000281D0000}"/>
    <cellStyle name="Input 2 4 2 2" xfId="1850" xr:uid="{00000000-0005-0000-0000-0000291D0000}"/>
    <cellStyle name="Input 2 4 2 2 10" xfId="33137" xr:uid="{00000000-0005-0000-0000-00002A1D0000}"/>
    <cellStyle name="Input 2 4 2 2 11" xfId="36907" xr:uid="{00000000-0005-0000-0000-00002B1D0000}"/>
    <cellStyle name="Input 2 4 2 2 12" xfId="40898" xr:uid="{00000000-0005-0000-0000-00002C1D0000}"/>
    <cellStyle name="Input 2 4 2 2 13" xfId="44729" xr:uid="{00000000-0005-0000-0000-00002D1D0000}"/>
    <cellStyle name="Input 2 4 2 2 2" xfId="3840" xr:uid="{00000000-0005-0000-0000-00002E1D0000}"/>
    <cellStyle name="Input 2 4 2 2 2 10" xfId="38891" xr:uid="{00000000-0005-0000-0000-00002F1D0000}"/>
    <cellStyle name="Input 2 4 2 2 2 11" xfId="42902" xr:uid="{00000000-0005-0000-0000-0000301D0000}"/>
    <cellStyle name="Input 2 4 2 2 2 12" xfId="46667" xr:uid="{00000000-0005-0000-0000-0000311D0000}"/>
    <cellStyle name="Input 2 4 2 2 2 2" xfId="7707" xr:uid="{00000000-0005-0000-0000-0000321D0000}"/>
    <cellStyle name="Input 2 4 2 2 2 3" xfId="12142" xr:uid="{00000000-0005-0000-0000-0000331D0000}"/>
    <cellStyle name="Input 2 4 2 2 2 4" xfId="15987" xr:uid="{00000000-0005-0000-0000-0000341D0000}"/>
    <cellStyle name="Input 2 4 2 2 2 5" xfId="19834" xr:uid="{00000000-0005-0000-0000-0000351D0000}"/>
    <cellStyle name="Input 2 4 2 2 2 6" xfId="23750" xr:uid="{00000000-0005-0000-0000-0000361D0000}"/>
    <cellStyle name="Input 2 4 2 2 2 7" xfId="27584" xr:uid="{00000000-0005-0000-0000-0000371D0000}"/>
    <cellStyle name="Input 2 4 2 2 2 8" xfId="31447" xr:uid="{00000000-0005-0000-0000-0000381D0000}"/>
    <cellStyle name="Input 2 4 2 2 2 9" xfId="35105" xr:uid="{00000000-0005-0000-0000-0000391D0000}"/>
    <cellStyle name="Input 2 4 2 2 3" xfId="5783" xr:uid="{00000000-0005-0000-0000-00003A1D0000}"/>
    <cellStyle name="Input 2 4 2 2 4" xfId="10141" xr:uid="{00000000-0005-0000-0000-00003B1D0000}"/>
    <cellStyle name="Input 2 4 2 2 5" xfId="13987" xr:uid="{00000000-0005-0000-0000-00003C1D0000}"/>
    <cellStyle name="Input 2 4 2 2 6" xfId="17816" xr:uid="{00000000-0005-0000-0000-00003D1D0000}"/>
    <cellStyle name="Input 2 4 2 2 7" xfId="21755" xr:uid="{00000000-0005-0000-0000-00003E1D0000}"/>
    <cellStyle name="Input 2 4 2 2 8" xfId="25568" xr:uid="{00000000-0005-0000-0000-00003F1D0000}"/>
    <cellStyle name="Input 2 4 2 2 9" xfId="29455" xr:uid="{00000000-0005-0000-0000-0000401D0000}"/>
    <cellStyle name="Input 2 4 2 3" xfId="3113" xr:uid="{00000000-0005-0000-0000-0000411D0000}"/>
    <cellStyle name="Input 2 4 2 3 10" xfId="38165" xr:uid="{00000000-0005-0000-0000-0000421D0000}"/>
    <cellStyle name="Input 2 4 2 3 11" xfId="42177" xr:uid="{00000000-0005-0000-0000-0000431D0000}"/>
    <cellStyle name="Input 2 4 2 3 12" xfId="45950" xr:uid="{00000000-0005-0000-0000-0000441D0000}"/>
    <cellStyle name="Input 2 4 2 3 2" xfId="6989" xr:uid="{00000000-0005-0000-0000-0000451D0000}"/>
    <cellStyle name="Input 2 4 2 3 3" xfId="11418" xr:uid="{00000000-0005-0000-0000-0000461D0000}"/>
    <cellStyle name="Input 2 4 2 3 4" xfId="15262" xr:uid="{00000000-0005-0000-0000-0000471D0000}"/>
    <cellStyle name="Input 2 4 2 3 5" xfId="19107" xr:uid="{00000000-0005-0000-0000-0000481D0000}"/>
    <cellStyle name="Input 2 4 2 3 6" xfId="23029" xr:uid="{00000000-0005-0000-0000-0000491D0000}"/>
    <cellStyle name="Input 2 4 2 3 7" xfId="26858" xr:uid="{00000000-0005-0000-0000-00004A1D0000}"/>
    <cellStyle name="Input 2 4 2 3 8" xfId="30730" xr:uid="{00000000-0005-0000-0000-00004B1D0000}"/>
    <cellStyle name="Input 2 4 2 3 9" xfId="34388" xr:uid="{00000000-0005-0000-0000-00004C1D0000}"/>
    <cellStyle name="Input 2 4 2 4" xfId="5065" xr:uid="{00000000-0005-0000-0000-00004D1D0000}"/>
    <cellStyle name="Input 2 4 2 5" xfId="9421" xr:uid="{00000000-0005-0000-0000-00004E1D0000}"/>
    <cellStyle name="Input 2 4 2 6" xfId="13261" xr:uid="{00000000-0005-0000-0000-00004F1D0000}"/>
    <cellStyle name="Input 2 4 2 7" xfId="17089" xr:uid="{00000000-0005-0000-0000-0000501D0000}"/>
    <cellStyle name="Input 2 4 2 8" xfId="21031" xr:uid="{00000000-0005-0000-0000-0000511D0000}"/>
    <cellStyle name="Input 2 4 2 9" xfId="24845" xr:uid="{00000000-0005-0000-0000-0000521D0000}"/>
    <cellStyle name="Input 2 4 3" xfId="1497" xr:uid="{00000000-0005-0000-0000-0000531D0000}"/>
    <cellStyle name="Input 2 4 3 10" xfId="32784" xr:uid="{00000000-0005-0000-0000-0000541D0000}"/>
    <cellStyle name="Input 2 4 3 11" xfId="36554" xr:uid="{00000000-0005-0000-0000-0000551D0000}"/>
    <cellStyle name="Input 2 4 3 12" xfId="40545" xr:uid="{00000000-0005-0000-0000-0000561D0000}"/>
    <cellStyle name="Input 2 4 3 13" xfId="44376" xr:uid="{00000000-0005-0000-0000-0000571D0000}"/>
    <cellStyle name="Input 2 4 3 2" xfId="3487" xr:uid="{00000000-0005-0000-0000-0000581D0000}"/>
    <cellStyle name="Input 2 4 3 2 10" xfId="38538" xr:uid="{00000000-0005-0000-0000-0000591D0000}"/>
    <cellStyle name="Input 2 4 3 2 11" xfId="42549" xr:uid="{00000000-0005-0000-0000-00005A1D0000}"/>
    <cellStyle name="Input 2 4 3 2 12" xfId="46314" xr:uid="{00000000-0005-0000-0000-00005B1D0000}"/>
    <cellStyle name="Input 2 4 3 2 2" xfId="7354" xr:uid="{00000000-0005-0000-0000-00005C1D0000}"/>
    <cellStyle name="Input 2 4 3 2 3" xfId="11789" xr:uid="{00000000-0005-0000-0000-00005D1D0000}"/>
    <cellStyle name="Input 2 4 3 2 4" xfId="15634" xr:uid="{00000000-0005-0000-0000-00005E1D0000}"/>
    <cellStyle name="Input 2 4 3 2 5" xfId="19481" xr:uid="{00000000-0005-0000-0000-00005F1D0000}"/>
    <cellStyle name="Input 2 4 3 2 6" xfId="23397" xr:uid="{00000000-0005-0000-0000-0000601D0000}"/>
    <cellStyle name="Input 2 4 3 2 7" xfId="27231" xr:uid="{00000000-0005-0000-0000-0000611D0000}"/>
    <cellStyle name="Input 2 4 3 2 8" xfId="31098" xr:uid="{00000000-0005-0000-0000-0000621D0000}"/>
    <cellStyle name="Input 2 4 3 2 9" xfId="34752" xr:uid="{00000000-0005-0000-0000-0000631D0000}"/>
    <cellStyle name="Input 2 4 3 3" xfId="5430" xr:uid="{00000000-0005-0000-0000-0000641D0000}"/>
    <cellStyle name="Input 2 4 3 4" xfId="9788" xr:uid="{00000000-0005-0000-0000-0000651D0000}"/>
    <cellStyle name="Input 2 4 3 5" xfId="13634" xr:uid="{00000000-0005-0000-0000-0000661D0000}"/>
    <cellStyle name="Input 2 4 3 6" xfId="17463" xr:uid="{00000000-0005-0000-0000-0000671D0000}"/>
    <cellStyle name="Input 2 4 3 7" xfId="21402" xr:uid="{00000000-0005-0000-0000-0000681D0000}"/>
    <cellStyle name="Input 2 4 3 8" xfId="25215" xr:uid="{00000000-0005-0000-0000-0000691D0000}"/>
    <cellStyle name="Input 2 4 3 9" xfId="29102" xr:uid="{00000000-0005-0000-0000-00006A1D0000}"/>
    <cellStyle name="Input 2 4 4" xfId="2748" xr:uid="{00000000-0005-0000-0000-00006B1D0000}"/>
    <cellStyle name="Input 2 4 4 10" xfId="37800" xr:uid="{00000000-0005-0000-0000-00006C1D0000}"/>
    <cellStyle name="Input 2 4 4 11" xfId="41813" xr:uid="{00000000-0005-0000-0000-00006D1D0000}"/>
    <cellStyle name="Input 2 4 4 12" xfId="45597" xr:uid="{00000000-0005-0000-0000-00006E1D0000}"/>
    <cellStyle name="Input 2 4 4 2" xfId="6635" xr:uid="{00000000-0005-0000-0000-00006F1D0000}"/>
    <cellStyle name="Input 2 4 4 3" xfId="11058" xr:uid="{00000000-0005-0000-0000-0000701D0000}"/>
    <cellStyle name="Input 2 4 4 4" xfId="14904" xr:uid="{00000000-0005-0000-0000-0000711D0000}"/>
    <cellStyle name="Input 2 4 4 5" xfId="18742" xr:uid="{00000000-0005-0000-0000-0000721D0000}"/>
    <cellStyle name="Input 2 4 4 6" xfId="22673" xr:uid="{00000000-0005-0000-0000-0000731D0000}"/>
    <cellStyle name="Input 2 4 4 7" xfId="26493" xr:uid="{00000000-0005-0000-0000-0000741D0000}"/>
    <cellStyle name="Input 2 4 4 8" xfId="30371" xr:uid="{00000000-0005-0000-0000-0000751D0000}"/>
    <cellStyle name="Input 2 4 4 9" xfId="34035" xr:uid="{00000000-0005-0000-0000-0000761D0000}"/>
    <cellStyle name="Input 2 4 5" xfId="4711" xr:uid="{00000000-0005-0000-0000-0000771D0000}"/>
    <cellStyle name="Input 2 4 6" xfId="9056" xr:uid="{00000000-0005-0000-0000-0000781D0000}"/>
    <cellStyle name="Input 2 4 7" xfId="12896" xr:uid="{00000000-0005-0000-0000-0000791D0000}"/>
    <cellStyle name="Input 2 4 8" xfId="16722" xr:uid="{00000000-0005-0000-0000-00007A1D0000}"/>
    <cellStyle name="Input 2 4 9" xfId="20661" xr:uid="{00000000-0005-0000-0000-00007B1D0000}"/>
    <cellStyle name="Input 2 5" xfId="714" xr:uid="{00000000-0005-0000-0000-00007C1D0000}"/>
    <cellStyle name="Input 2 5 10" xfId="24447" xr:uid="{00000000-0005-0000-0000-00007D1D0000}"/>
    <cellStyle name="Input 2 5 11" xfId="28340" xr:uid="{00000000-0005-0000-0000-00007E1D0000}"/>
    <cellStyle name="Input 2 5 12" xfId="29682" xr:uid="{00000000-0005-0000-0000-00007F1D0000}"/>
    <cellStyle name="Input 2 5 13" xfId="35785" xr:uid="{00000000-0005-0000-0000-0000801D0000}"/>
    <cellStyle name="Input 2 5 14" xfId="39806" xr:uid="{00000000-0005-0000-0000-0000811D0000}"/>
    <cellStyle name="Input 2 5 15" xfId="43611" xr:uid="{00000000-0005-0000-0000-0000821D0000}"/>
    <cellStyle name="Input 2 5 2" xfId="1093" xr:uid="{00000000-0005-0000-0000-0000831D0000}"/>
    <cellStyle name="Input 2 5 2 10" xfId="28703" xr:uid="{00000000-0005-0000-0000-0000841D0000}"/>
    <cellStyle name="Input 2 5 2 11" xfId="32390" xr:uid="{00000000-0005-0000-0000-0000851D0000}"/>
    <cellStyle name="Input 2 5 2 12" xfId="36151" xr:uid="{00000000-0005-0000-0000-0000861D0000}"/>
    <cellStyle name="Input 2 5 2 13" xfId="40153" xr:uid="{00000000-0005-0000-0000-0000871D0000}"/>
    <cellStyle name="Input 2 5 2 14" xfId="43977" xr:uid="{00000000-0005-0000-0000-0000881D0000}"/>
    <cellStyle name="Input 2 5 2 2" xfId="1820" xr:uid="{00000000-0005-0000-0000-0000891D0000}"/>
    <cellStyle name="Input 2 5 2 2 10" xfId="33107" xr:uid="{00000000-0005-0000-0000-00008A1D0000}"/>
    <cellStyle name="Input 2 5 2 2 11" xfId="36877" xr:uid="{00000000-0005-0000-0000-00008B1D0000}"/>
    <cellStyle name="Input 2 5 2 2 12" xfId="40868" xr:uid="{00000000-0005-0000-0000-00008C1D0000}"/>
    <cellStyle name="Input 2 5 2 2 13" xfId="44699" xr:uid="{00000000-0005-0000-0000-00008D1D0000}"/>
    <cellStyle name="Input 2 5 2 2 2" xfId="3810" xr:uid="{00000000-0005-0000-0000-00008E1D0000}"/>
    <cellStyle name="Input 2 5 2 2 2 10" xfId="38861" xr:uid="{00000000-0005-0000-0000-00008F1D0000}"/>
    <cellStyle name="Input 2 5 2 2 2 11" xfId="42872" xr:uid="{00000000-0005-0000-0000-0000901D0000}"/>
    <cellStyle name="Input 2 5 2 2 2 12" xfId="46637" xr:uid="{00000000-0005-0000-0000-0000911D0000}"/>
    <cellStyle name="Input 2 5 2 2 2 2" xfId="7677" xr:uid="{00000000-0005-0000-0000-0000921D0000}"/>
    <cellStyle name="Input 2 5 2 2 2 3" xfId="12112" xr:uid="{00000000-0005-0000-0000-0000931D0000}"/>
    <cellStyle name="Input 2 5 2 2 2 4" xfId="15957" xr:uid="{00000000-0005-0000-0000-0000941D0000}"/>
    <cellStyle name="Input 2 5 2 2 2 5" xfId="19804" xr:uid="{00000000-0005-0000-0000-0000951D0000}"/>
    <cellStyle name="Input 2 5 2 2 2 6" xfId="23720" xr:uid="{00000000-0005-0000-0000-0000961D0000}"/>
    <cellStyle name="Input 2 5 2 2 2 7" xfId="27554" xr:uid="{00000000-0005-0000-0000-0000971D0000}"/>
    <cellStyle name="Input 2 5 2 2 2 8" xfId="31418" xr:uid="{00000000-0005-0000-0000-0000981D0000}"/>
    <cellStyle name="Input 2 5 2 2 2 9" xfId="35075" xr:uid="{00000000-0005-0000-0000-0000991D0000}"/>
    <cellStyle name="Input 2 5 2 2 3" xfId="5753" xr:uid="{00000000-0005-0000-0000-00009A1D0000}"/>
    <cellStyle name="Input 2 5 2 2 4" xfId="10111" xr:uid="{00000000-0005-0000-0000-00009B1D0000}"/>
    <cellStyle name="Input 2 5 2 2 5" xfId="13957" xr:uid="{00000000-0005-0000-0000-00009C1D0000}"/>
    <cellStyle name="Input 2 5 2 2 6" xfId="17786" xr:uid="{00000000-0005-0000-0000-00009D1D0000}"/>
    <cellStyle name="Input 2 5 2 2 7" xfId="21725" xr:uid="{00000000-0005-0000-0000-00009E1D0000}"/>
    <cellStyle name="Input 2 5 2 2 8" xfId="25538" xr:uid="{00000000-0005-0000-0000-00009F1D0000}"/>
    <cellStyle name="Input 2 5 2 2 9" xfId="29425" xr:uid="{00000000-0005-0000-0000-0000A01D0000}"/>
    <cellStyle name="Input 2 5 2 3" xfId="3083" xr:uid="{00000000-0005-0000-0000-0000A11D0000}"/>
    <cellStyle name="Input 2 5 2 3 10" xfId="38135" xr:uid="{00000000-0005-0000-0000-0000A21D0000}"/>
    <cellStyle name="Input 2 5 2 3 11" xfId="42147" xr:uid="{00000000-0005-0000-0000-0000A31D0000}"/>
    <cellStyle name="Input 2 5 2 3 12" xfId="45920" xr:uid="{00000000-0005-0000-0000-0000A41D0000}"/>
    <cellStyle name="Input 2 5 2 3 2" xfId="6959" xr:uid="{00000000-0005-0000-0000-0000A51D0000}"/>
    <cellStyle name="Input 2 5 2 3 3" xfId="11388" xr:uid="{00000000-0005-0000-0000-0000A61D0000}"/>
    <cellStyle name="Input 2 5 2 3 4" xfId="15232" xr:uid="{00000000-0005-0000-0000-0000A71D0000}"/>
    <cellStyle name="Input 2 5 2 3 5" xfId="19077" xr:uid="{00000000-0005-0000-0000-0000A81D0000}"/>
    <cellStyle name="Input 2 5 2 3 6" xfId="22999" xr:uid="{00000000-0005-0000-0000-0000A91D0000}"/>
    <cellStyle name="Input 2 5 2 3 7" xfId="26828" xr:uid="{00000000-0005-0000-0000-0000AA1D0000}"/>
    <cellStyle name="Input 2 5 2 3 8" xfId="30701" xr:uid="{00000000-0005-0000-0000-0000AB1D0000}"/>
    <cellStyle name="Input 2 5 2 3 9" xfId="34358" xr:uid="{00000000-0005-0000-0000-0000AC1D0000}"/>
    <cellStyle name="Input 2 5 2 4" xfId="5035" xr:uid="{00000000-0005-0000-0000-0000AD1D0000}"/>
    <cellStyle name="Input 2 5 2 5" xfId="9391" xr:uid="{00000000-0005-0000-0000-0000AE1D0000}"/>
    <cellStyle name="Input 2 5 2 6" xfId="13231" xr:uid="{00000000-0005-0000-0000-0000AF1D0000}"/>
    <cellStyle name="Input 2 5 2 7" xfId="17059" xr:uid="{00000000-0005-0000-0000-0000B01D0000}"/>
    <cellStyle name="Input 2 5 2 8" xfId="21001" xr:uid="{00000000-0005-0000-0000-0000B11D0000}"/>
    <cellStyle name="Input 2 5 2 9" xfId="24815" xr:uid="{00000000-0005-0000-0000-0000B21D0000}"/>
    <cellStyle name="Input 2 5 3" xfId="1467" xr:uid="{00000000-0005-0000-0000-0000B31D0000}"/>
    <cellStyle name="Input 2 5 3 10" xfId="32754" xr:uid="{00000000-0005-0000-0000-0000B41D0000}"/>
    <cellStyle name="Input 2 5 3 11" xfId="36524" xr:uid="{00000000-0005-0000-0000-0000B51D0000}"/>
    <cellStyle name="Input 2 5 3 12" xfId="40515" xr:uid="{00000000-0005-0000-0000-0000B61D0000}"/>
    <cellStyle name="Input 2 5 3 13" xfId="44346" xr:uid="{00000000-0005-0000-0000-0000B71D0000}"/>
    <cellStyle name="Input 2 5 3 2" xfId="3457" xr:uid="{00000000-0005-0000-0000-0000B81D0000}"/>
    <cellStyle name="Input 2 5 3 2 10" xfId="38508" xr:uid="{00000000-0005-0000-0000-0000B91D0000}"/>
    <cellStyle name="Input 2 5 3 2 11" xfId="42519" xr:uid="{00000000-0005-0000-0000-0000BA1D0000}"/>
    <cellStyle name="Input 2 5 3 2 12" xfId="46284" xr:uid="{00000000-0005-0000-0000-0000BB1D0000}"/>
    <cellStyle name="Input 2 5 3 2 2" xfId="7324" xr:uid="{00000000-0005-0000-0000-0000BC1D0000}"/>
    <cellStyle name="Input 2 5 3 2 3" xfId="11759" xr:uid="{00000000-0005-0000-0000-0000BD1D0000}"/>
    <cellStyle name="Input 2 5 3 2 4" xfId="15604" xr:uid="{00000000-0005-0000-0000-0000BE1D0000}"/>
    <cellStyle name="Input 2 5 3 2 5" xfId="19451" xr:uid="{00000000-0005-0000-0000-0000BF1D0000}"/>
    <cellStyle name="Input 2 5 3 2 6" xfId="23367" xr:uid="{00000000-0005-0000-0000-0000C01D0000}"/>
    <cellStyle name="Input 2 5 3 2 7" xfId="27201" xr:uid="{00000000-0005-0000-0000-0000C11D0000}"/>
    <cellStyle name="Input 2 5 3 2 8" xfId="31068" xr:uid="{00000000-0005-0000-0000-0000C21D0000}"/>
    <cellStyle name="Input 2 5 3 2 9" xfId="34722" xr:uid="{00000000-0005-0000-0000-0000C31D0000}"/>
    <cellStyle name="Input 2 5 3 3" xfId="5400" xr:uid="{00000000-0005-0000-0000-0000C41D0000}"/>
    <cellStyle name="Input 2 5 3 4" xfId="9758" xr:uid="{00000000-0005-0000-0000-0000C51D0000}"/>
    <cellStyle name="Input 2 5 3 5" xfId="13604" xr:uid="{00000000-0005-0000-0000-0000C61D0000}"/>
    <cellStyle name="Input 2 5 3 6" xfId="17433" xr:uid="{00000000-0005-0000-0000-0000C71D0000}"/>
    <cellStyle name="Input 2 5 3 7" xfId="21372" xr:uid="{00000000-0005-0000-0000-0000C81D0000}"/>
    <cellStyle name="Input 2 5 3 8" xfId="25185" xr:uid="{00000000-0005-0000-0000-0000C91D0000}"/>
    <cellStyle name="Input 2 5 3 9" xfId="29072" xr:uid="{00000000-0005-0000-0000-0000CA1D0000}"/>
    <cellStyle name="Input 2 5 4" xfId="2717" xr:uid="{00000000-0005-0000-0000-0000CB1D0000}"/>
    <cellStyle name="Input 2 5 4 10" xfId="37769" xr:uid="{00000000-0005-0000-0000-0000CC1D0000}"/>
    <cellStyle name="Input 2 5 4 11" xfId="41783" xr:uid="{00000000-0005-0000-0000-0000CD1D0000}"/>
    <cellStyle name="Input 2 5 4 12" xfId="45567" xr:uid="{00000000-0005-0000-0000-0000CE1D0000}"/>
    <cellStyle name="Input 2 5 4 2" xfId="6604" xr:uid="{00000000-0005-0000-0000-0000CF1D0000}"/>
    <cellStyle name="Input 2 5 4 3" xfId="11028" xr:uid="{00000000-0005-0000-0000-0000D01D0000}"/>
    <cellStyle name="Input 2 5 4 4" xfId="14873" xr:uid="{00000000-0005-0000-0000-0000D11D0000}"/>
    <cellStyle name="Input 2 5 4 5" xfId="18711" xr:uid="{00000000-0005-0000-0000-0000D21D0000}"/>
    <cellStyle name="Input 2 5 4 6" xfId="22642" xr:uid="{00000000-0005-0000-0000-0000D31D0000}"/>
    <cellStyle name="Input 2 5 4 7" xfId="26462" xr:uid="{00000000-0005-0000-0000-0000D41D0000}"/>
    <cellStyle name="Input 2 5 4 8" xfId="30341" xr:uid="{00000000-0005-0000-0000-0000D51D0000}"/>
    <cellStyle name="Input 2 5 4 9" xfId="34005" xr:uid="{00000000-0005-0000-0000-0000D61D0000}"/>
    <cellStyle name="Input 2 5 5" xfId="4680" xr:uid="{00000000-0005-0000-0000-0000D71D0000}"/>
    <cellStyle name="Input 2 5 6" xfId="9022" xr:uid="{00000000-0005-0000-0000-0000D81D0000}"/>
    <cellStyle name="Input 2 5 7" xfId="12860" xr:uid="{00000000-0005-0000-0000-0000D91D0000}"/>
    <cellStyle name="Input 2 5 8" xfId="16690" xr:uid="{00000000-0005-0000-0000-0000DA1D0000}"/>
    <cellStyle name="Input 2 5 9" xfId="20627" xr:uid="{00000000-0005-0000-0000-0000DB1D0000}"/>
    <cellStyle name="Input 2 6" xfId="839" xr:uid="{00000000-0005-0000-0000-0000DC1D0000}"/>
    <cellStyle name="Input 2 6 10" xfId="28454" xr:uid="{00000000-0005-0000-0000-0000DD1D0000}"/>
    <cellStyle name="Input 2 6 11" xfId="32140" xr:uid="{00000000-0005-0000-0000-0000DE1D0000}"/>
    <cellStyle name="Input 2 6 12" xfId="35897" xr:uid="{00000000-0005-0000-0000-0000DF1D0000}"/>
    <cellStyle name="Input 2 6 13" xfId="39908" xr:uid="{00000000-0005-0000-0000-0000E01D0000}"/>
    <cellStyle name="Input 2 6 14" xfId="43723" xr:uid="{00000000-0005-0000-0000-0000E11D0000}"/>
    <cellStyle name="Input 2 6 2" xfId="1570" xr:uid="{00000000-0005-0000-0000-0000E21D0000}"/>
    <cellStyle name="Input 2 6 2 10" xfId="32857" xr:uid="{00000000-0005-0000-0000-0000E31D0000}"/>
    <cellStyle name="Input 2 6 2 11" xfId="36627" xr:uid="{00000000-0005-0000-0000-0000E41D0000}"/>
    <cellStyle name="Input 2 6 2 12" xfId="40618" xr:uid="{00000000-0005-0000-0000-0000E51D0000}"/>
    <cellStyle name="Input 2 6 2 13" xfId="44449" xr:uid="{00000000-0005-0000-0000-0000E61D0000}"/>
    <cellStyle name="Input 2 6 2 2" xfId="3560" xr:uid="{00000000-0005-0000-0000-0000E71D0000}"/>
    <cellStyle name="Input 2 6 2 2 10" xfId="38611" xr:uid="{00000000-0005-0000-0000-0000E81D0000}"/>
    <cellStyle name="Input 2 6 2 2 11" xfId="42622" xr:uid="{00000000-0005-0000-0000-0000E91D0000}"/>
    <cellStyle name="Input 2 6 2 2 12" xfId="46387" xr:uid="{00000000-0005-0000-0000-0000EA1D0000}"/>
    <cellStyle name="Input 2 6 2 2 2" xfId="7427" xr:uid="{00000000-0005-0000-0000-0000EB1D0000}"/>
    <cellStyle name="Input 2 6 2 2 3" xfId="11862" xr:uid="{00000000-0005-0000-0000-0000EC1D0000}"/>
    <cellStyle name="Input 2 6 2 2 4" xfId="15707" xr:uid="{00000000-0005-0000-0000-0000ED1D0000}"/>
    <cellStyle name="Input 2 6 2 2 5" xfId="19554" xr:uid="{00000000-0005-0000-0000-0000EE1D0000}"/>
    <cellStyle name="Input 2 6 2 2 6" xfId="23470" xr:uid="{00000000-0005-0000-0000-0000EF1D0000}"/>
    <cellStyle name="Input 2 6 2 2 7" xfId="27304" xr:uid="{00000000-0005-0000-0000-0000F01D0000}"/>
    <cellStyle name="Input 2 6 2 2 8" xfId="31170" xr:uid="{00000000-0005-0000-0000-0000F11D0000}"/>
    <cellStyle name="Input 2 6 2 2 9" xfId="34825" xr:uid="{00000000-0005-0000-0000-0000F21D0000}"/>
    <cellStyle name="Input 2 6 2 3" xfId="5503" xr:uid="{00000000-0005-0000-0000-0000F31D0000}"/>
    <cellStyle name="Input 2 6 2 4" xfId="9861" xr:uid="{00000000-0005-0000-0000-0000F41D0000}"/>
    <cellStyle name="Input 2 6 2 5" xfId="13707" xr:uid="{00000000-0005-0000-0000-0000F51D0000}"/>
    <cellStyle name="Input 2 6 2 6" xfId="17536" xr:uid="{00000000-0005-0000-0000-0000F61D0000}"/>
    <cellStyle name="Input 2 6 2 7" xfId="21475" xr:uid="{00000000-0005-0000-0000-0000F71D0000}"/>
    <cellStyle name="Input 2 6 2 8" xfId="25288" xr:uid="{00000000-0005-0000-0000-0000F81D0000}"/>
    <cellStyle name="Input 2 6 2 9" xfId="29175" xr:uid="{00000000-0005-0000-0000-0000F91D0000}"/>
    <cellStyle name="Input 2 6 3" xfId="2829" xr:uid="{00000000-0005-0000-0000-0000FA1D0000}"/>
    <cellStyle name="Input 2 6 3 10" xfId="37881" xr:uid="{00000000-0005-0000-0000-0000FB1D0000}"/>
    <cellStyle name="Input 2 6 3 11" xfId="41893" xr:uid="{00000000-0005-0000-0000-0000FC1D0000}"/>
    <cellStyle name="Input 2 6 3 12" xfId="45670" xr:uid="{00000000-0005-0000-0000-0000FD1D0000}"/>
    <cellStyle name="Input 2 6 3 2" xfId="6709" xr:uid="{00000000-0005-0000-0000-0000FE1D0000}"/>
    <cellStyle name="Input 2 6 3 3" xfId="11136" xr:uid="{00000000-0005-0000-0000-0000FF1D0000}"/>
    <cellStyle name="Input 2 6 3 4" xfId="14981" xr:uid="{00000000-0005-0000-0000-0000001E0000}"/>
    <cellStyle name="Input 2 6 3 5" xfId="18823" xr:uid="{00000000-0005-0000-0000-0000011E0000}"/>
    <cellStyle name="Input 2 6 3 6" xfId="22749" xr:uid="{00000000-0005-0000-0000-0000021E0000}"/>
    <cellStyle name="Input 2 6 3 7" xfId="26574" xr:uid="{00000000-0005-0000-0000-0000031E0000}"/>
    <cellStyle name="Input 2 6 3 8" xfId="30451" xr:uid="{00000000-0005-0000-0000-0000041E0000}"/>
    <cellStyle name="Input 2 6 3 9" xfId="34108" xr:uid="{00000000-0005-0000-0000-0000051E0000}"/>
    <cellStyle name="Input 2 6 4" xfId="4785" xr:uid="{00000000-0005-0000-0000-0000061E0000}"/>
    <cellStyle name="Input 2 6 5" xfId="9139" xr:uid="{00000000-0005-0000-0000-0000071E0000}"/>
    <cellStyle name="Input 2 6 6" xfId="12980" xr:uid="{00000000-0005-0000-0000-0000081E0000}"/>
    <cellStyle name="Input 2 6 7" xfId="16805" xr:uid="{00000000-0005-0000-0000-0000091E0000}"/>
    <cellStyle name="Input 2 6 8" xfId="20747" xr:uid="{00000000-0005-0000-0000-00000A1E0000}"/>
    <cellStyle name="Input 2 6 9" xfId="24563" xr:uid="{00000000-0005-0000-0000-00000B1E0000}"/>
    <cellStyle name="Input 2 7" xfId="2098" xr:uid="{00000000-0005-0000-0000-00000C1E0000}"/>
    <cellStyle name="Input 2 7 10" xfId="33404" xr:uid="{00000000-0005-0000-0000-00000D1E0000}"/>
    <cellStyle name="Input 2 7 11" xfId="37150" xr:uid="{00000000-0005-0000-0000-00000E1E0000}"/>
    <cellStyle name="Input 2 7 12" xfId="41166" xr:uid="{00000000-0005-0000-0000-00000F1E0000}"/>
    <cellStyle name="Input 2 7 13" xfId="44966" xr:uid="{00000000-0005-0000-0000-0000101E0000}"/>
    <cellStyle name="Input 2 7 2" xfId="4082" xr:uid="{00000000-0005-0000-0000-0000111E0000}"/>
    <cellStyle name="Input 2 7 2 10" xfId="39133" xr:uid="{00000000-0005-0000-0000-0000121E0000}"/>
    <cellStyle name="Input 2 7 2 11" xfId="43143" xr:uid="{00000000-0005-0000-0000-0000131E0000}"/>
    <cellStyle name="Input 2 7 2 12" xfId="46904" xr:uid="{00000000-0005-0000-0000-0000141E0000}"/>
    <cellStyle name="Input 2 7 2 2" xfId="7945" xr:uid="{00000000-0005-0000-0000-0000151E0000}"/>
    <cellStyle name="Input 2 7 2 3" xfId="12382" xr:uid="{00000000-0005-0000-0000-0000161E0000}"/>
    <cellStyle name="Input 2 7 2 4" xfId="16227" xr:uid="{00000000-0005-0000-0000-0000171E0000}"/>
    <cellStyle name="Input 2 7 2 5" xfId="20076" xr:uid="{00000000-0005-0000-0000-0000181E0000}"/>
    <cellStyle name="Input 2 7 2 6" xfId="23990" xr:uid="{00000000-0005-0000-0000-0000191E0000}"/>
    <cellStyle name="Input 2 7 2 7" xfId="27826" xr:uid="{00000000-0005-0000-0000-00001A1E0000}"/>
    <cellStyle name="Input 2 7 2 8" xfId="31685" xr:uid="{00000000-0005-0000-0000-00001B1E0000}"/>
    <cellStyle name="Input 2 7 2 9" xfId="35342" xr:uid="{00000000-0005-0000-0000-00001C1E0000}"/>
    <cellStyle name="Input 2 7 3" xfId="6021" xr:uid="{00000000-0005-0000-0000-00001D1E0000}"/>
    <cellStyle name="Input 2 7 4" xfId="10417" xr:uid="{00000000-0005-0000-0000-00001E1E0000}"/>
    <cellStyle name="Input 2 7 5" xfId="14264" xr:uid="{00000000-0005-0000-0000-00001F1E0000}"/>
    <cellStyle name="Input 2 7 6" xfId="18092" xr:uid="{00000000-0005-0000-0000-0000201E0000}"/>
    <cellStyle name="Input 2 7 7" xfId="22034" xr:uid="{00000000-0005-0000-0000-0000211E0000}"/>
    <cellStyle name="Input 2 7 8" xfId="25843" xr:uid="{00000000-0005-0000-0000-0000221E0000}"/>
    <cellStyle name="Input 2 7 9" xfId="29723" xr:uid="{00000000-0005-0000-0000-0000231E0000}"/>
    <cellStyle name="Input 2 8" xfId="2150" xr:uid="{00000000-0005-0000-0000-0000241E0000}"/>
    <cellStyle name="Input 2 8 10" xfId="33452" xr:uid="{00000000-0005-0000-0000-0000251E0000}"/>
    <cellStyle name="Input 2 8 11" xfId="37202" xr:uid="{00000000-0005-0000-0000-0000261E0000}"/>
    <cellStyle name="Input 2 8 12" xfId="41218" xr:uid="{00000000-0005-0000-0000-0000271E0000}"/>
    <cellStyle name="Input 2 8 13" xfId="45014" xr:uid="{00000000-0005-0000-0000-0000281E0000}"/>
    <cellStyle name="Input 2 8 2" xfId="4134" xr:uid="{00000000-0005-0000-0000-0000291E0000}"/>
    <cellStyle name="Input 2 8 2 10" xfId="39185" xr:uid="{00000000-0005-0000-0000-00002A1E0000}"/>
    <cellStyle name="Input 2 8 2 11" xfId="43195" xr:uid="{00000000-0005-0000-0000-00002B1E0000}"/>
    <cellStyle name="Input 2 8 2 12" xfId="46952" xr:uid="{00000000-0005-0000-0000-00002C1E0000}"/>
    <cellStyle name="Input 2 8 2 2" xfId="7993" xr:uid="{00000000-0005-0000-0000-00002D1E0000}"/>
    <cellStyle name="Input 2 8 2 3" xfId="12433" xr:uid="{00000000-0005-0000-0000-00002E1E0000}"/>
    <cellStyle name="Input 2 8 2 4" xfId="16278" xr:uid="{00000000-0005-0000-0000-00002F1E0000}"/>
    <cellStyle name="Input 2 8 2 5" xfId="20128" xr:uid="{00000000-0005-0000-0000-0000301E0000}"/>
    <cellStyle name="Input 2 8 2 6" xfId="24040" xr:uid="{00000000-0005-0000-0000-0000311E0000}"/>
    <cellStyle name="Input 2 8 2 7" xfId="27878" xr:uid="{00000000-0005-0000-0000-0000321E0000}"/>
    <cellStyle name="Input 2 8 2 8" xfId="31737" xr:uid="{00000000-0005-0000-0000-0000331E0000}"/>
    <cellStyle name="Input 2 8 2 9" xfId="35390" xr:uid="{00000000-0005-0000-0000-0000341E0000}"/>
    <cellStyle name="Input 2 8 3" xfId="6067" xr:uid="{00000000-0005-0000-0000-0000351E0000}"/>
    <cellStyle name="Input 2 8 4" xfId="10467" xr:uid="{00000000-0005-0000-0000-0000361E0000}"/>
    <cellStyle name="Input 2 8 5" xfId="14314" xr:uid="{00000000-0005-0000-0000-0000371E0000}"/>
    <cellStyle name="Input 2 8 6" xfId="18144" xr:uid="{00000000-0005-0000-0000-0000381E0000}"/>
    <cellStyle name="Input 2 8 7" xfId="22084" xr:uid="{00000000-0005-0000-0000-0000391E0000}"/>
    <cellStyle name="Input 2 8 8" xfId="25895" xr:uid="{00000000-0005-0000-0000-00003A1E0000}"/>
    <cellStyle name="Input 2 8 9" xfId="29775" xr:uid="{00000000-0005-0000-0000-00003B1E0000}"/>
    <cellStyle name="Input 2 9" xfId="2091" xr:uid="{00000000-0005-0000-0000-00003C1E0000}"/>
    <cellStyle name="Input 2 9 10" xfId="33398" xr:uid="{00000000-0005-0000-0000-00003D1E0000}"/>
    <cellStyle name="Input 2 9 11" xfId="37143" xr:uid="{00000000-0005-0000-0000-00003E1E0000}"/>
    <cellStyle name="Input 2 9 12" xfId="41159" xr:uid="{00000000-0005-0000-0000-00003F1E0000}"/>
    <cellStyle name="Input 2 9 13" xfId="44960" xr:uid="{00000000-0005-0000-0000-0000401E0000}"/>
    <cellStyle name="Input 2 9 2" xfId="4076" xr:uid="{00000000-0005-0000-0000-0000411E0000}"/>
    <cellStyle name="Input 2 9 2 10" xfId="39127" xr:uid="{00000000-0005-0000-0000-0000421E0000}"/>
    <cellStyle name="Input 2 9 2 11" xfId="43137" xr:uid="{00000000-0005-0000-0000-0000431E0000}"/>
    <cellStyle name="Input 2 9 2 12" xfId="46898" xr:uid="{00000000-0005-0000-0000-0000441E0000}"/>
    <cellStyle name="Input 2 9 2 2" xfId="7939" xr:uid="{00000000-0005-0000-0000-0000451E0000}"/>
    <cellStyle name="Input 2 9 2 3" xfId="12376" xr:uid="{00000000-0005-0000-0000-0000461E0000}"/>
    <cellStyle name="Input 2 9 2 4" xfId="16221" xr:uid="{00000000-0005-0000-0000-0000471E0000}"/>
    <cellStyle name="Input 2 9 2 5" xfId="20070" xr:uid="{00000000-0005-0000-0000-0000481E0000}"/>
    <cellStyle name="Input 2 9 2 6" xfId="23984" xr:uid="{00000000-0005-0000-0000-0000491E0000}"/>
    <cellStyle name="Input 2 9 2 7" xfId="27820" xr:uid="{00000000-0005-0000-0000-00004A1E0000}"/>
    <cellStyle name="Input 2 9 2 8" xfId="31679" xr:uid="{00000000-0005-0000-0000-00004B1E0000}"/>
    <cellStyle name="Input 2 9 2 9" xfId="35336" xr:uid="{00000000-0005-0000-0000-00004C1E0000}"/>
    <cellStyle name="Input 2 9 3" xfId="6016" xr:uid="{00000000-0005-0000-0000-00004D1E0000}"/>
    <cellStyle name="Input 2 9 4" xfId="10410" xr:uid="{00000000-0005-0000-0000-00004E1E0000}"/>
    <cellStyle name="Input 2 9 5" xfId="14258" xr:uid="{00000000-0005-0000-0000-00004F1E0000}"/>
    <cellStyle name="Input 2 9 6" xfId="18085" xr:uid="{00000000-0005-0000-0000-0000501E0000}"/>
    <cellStyle name="Input 2 9 7" xfId="22027" xr:uid="{00000000-0005-0000-0000-0000511E0000}"/>
    <cellStyle name="Input 2 9 8" xfId="25836" xr:uid="{00000000-0005-0000-0000-0000521E0000}"/>
    <cellStyle name="Input 2 9 9" xfId="29716" xr:uid="{00000000-0005-0000-0000-0000531E0000}"/>
    <cellStyle name="Input 3" xfId="179" xr:uid="{00000000-0005-0000-0000-0000541E0000}"/>
    <cellStyle name="Input 3 10" xfId="2097" xr:uid="{00000000-0005-0000-0000-0000551E0000}"/>
    <cellStyle name="Input 3 10 10" xfId="37149" xr:uid="{00000000-0005-0000-0000-0000561E0000}"/>
    <cellStyle name="Input 3 10 11" xfId="41165" xr:uid="{00000000-0005-0000-0000-0000571E0000}"/>
    <cellStyle name="Input 3 10 12" xfId="44965" xr:uid="{00000000-0005-0000-0000-0000581E0000}"/>
    <cellStyle name="Input 3 10 2" xfId="4081" xr:uid="{00000000-0005-0000-0000-0000591E0000}"/>
    <cellStyle name="Input 3 10 2 10" xfId="39132" xr:uid="{00000000-0005-0000-0000-00005A1E0000}"/>
    <cellStyle name="Input 3 10 2 11" xfId="43142" xr:uid="{00000000-0005-0000-0000-00005B1E0000}"/>
    <cellStyle name="Input 3 10 2 12" xfId="46903" xr:uid="{00000000-0005-0000-0000-00005C1E0000}"/>
    <cellStyle name="Input 3 10 2 2" xfId="7944" xr:uid="{00000000-0005-0000-0000-00005D1E0000}"/>
    <cellStyle name="Input 3 10 2 3" xfId="12381" xr:uid="{00000000-0005-0000-0000-00005E1E0000}"/>
    <cellStyle name="Input 3 10 2 4" xfId="16226" xr:uid="{00000000-0005-0000-0000-00005F1E0000}"/>
    <cellStyle name="Input 3 10 2 5" xfId="20075" xr:uid="{00000000-0005-0000-0000-0000601E0000}"/>
    <cellStyle name="Input 3 10 2 6" xfId="23989" xr:uid="{00000000-0005-0000-0000-0000611E0000}"/>
    <cellStyle name="Input 3 10 2 7" xfId="27825" xr:uid="{00000000-0005-0000-0000-0000621E0000}"/>
    <cellStyle name="Input 3 10 2 8" xfId="31684" xr:uid="{00000000-0005-0000-0000-0000631E0000}"/>
    <cellStyle name="Input 3 10 2 9" xfId="35341" xr:uid="{00000000-0005-0000-0000-0000641E0000}"/>
    <cellStyle name="Input 3 10 3" xfId="10416" xr:uid="{00000000-0005-0000-0000-0000651E0000}"/>
    <cellStyle name="Input 3 10 4" xfId="14263" xr:uid="{00000000-0005-0000-0000-0000661E0000}"/>
    <cellStyle name="Input 3 10 5" xfId="18091" xr:uid="{00000000-0005-0000-0000-0000671E0000}"/>
    <cellStyle name="Input 3 10 6" xfId="22033" xr:uid="{00000000-0005-0000-0000-0000681E0000}"/>
    <cellStyle name="Input 3 10 7" xfId="25842" xr:uid="{00000000-0005-0000-0000-0000691E0000}"/>
    <cellStyle name="Input 3 10 8" xfId="29722" xr:uid="{00000000-0005-0000-0000-00006A1E0000}"/>
    <cellStyle name="Input 3 10 9" xfId="33403" xr:uid="{00000000-0005-0000-0000-00006B1E0000}"/>
    <cellStyle name="Input 3 11" xfId="2137" xr:uid="{00000000-0005-0000-0000-00006C1E0000}"/>
    <cellStyle name="Input 3 11 10" xfId="33439" xr:uid="{00000000-0005-0000-0000-00006D1E0000}"/>
    <cellStyle name="Input 3 11 11" xfId="37189" xr:uid="{00000000-0005-0000-0000-00006E1E0000}"/>
    <cellStyle name="Input 3 11 12" xfId="41205" xr:uid="{00000000-0005-0000-0000-00006F1E0000}"/>
    <cellStyle name="Input 3 11 13" xfId="45001" xr:uid="{00000000-0005-0000-0000-0000701E0000}"/>
    <cellStyle name="Input 3 11 2" xfId="4121" xr:uid="{00000000-0005-0000-0000-0000711E0000}"/>
    <cellStyle name="Input 3 11 2 10" xfId="39172" xr:uid="{00000000-0005-0000-0000-0000721E0000}"/>
    <cellStyle name="Input 3 11 2 11" xfId="43182" xr:uid="{00000000-0005-0000-0000-0000731E0000}"/>
    <cellStyle name="Input 3 11 2 12" xfId="46939" xr:uid="{00000000-0005-0000-0000-0000741E0000}"/>
    <cellStyle name="Input 3 11 2 2" xfId="7980" xr:uid="{00000000-0005-0000-0000-0000751E0000}"/>
    <cellStyle name="Input 3 11 2 3" xfId="12420" xr:uid="{00000000-0005-0000-0000-0000761E0000}"/>
    <cellStyle name="Input 3 11 2 4" xfId="16265" xr:uid="{00000000-0005-0000-0000-0000771E0000}"/>
    <cellStyle name="Input 3 11 2 5" xfId="20115" xr:uid="{00000000-0005-0000-0000-0000781E0000}"/>
    <cellStyle name="Input 3 11 2 6" xfId="24027" xr:uid="{00000000-0005-0000-0000-0000791E0000}"/>
    <cellStyle name="Input 3 11 2 7" xfId="27865" xr:uid="{00000000-0005-0000-0000-00007A1E0000}"/>
    <cellStyle name="Input 3 11 2 8" xfId="31724" xr:uid="{00000000-0005-0000-0000-00007B1E0000}"/>
    <cellStyle name="Input 3 11 2 9" xfId="35377" xr:uid="{00000000-0005-0000-0000-00007C1E0000}"/>
    <cellStyle name="Input 3 11 3" xfId="6054" xr:uid="{00000000-0005-0000-0000-00007D1E0000}"/>
    <cellStyle name="Input 3 11 4" xfId="10454" xr:uid="{00000000-0005-0000-0000-00007E1E0000}"/>
    <cellStyle name="Input 3 11 5" xfId="14301" xr:uid="{00000000-0005-0000-0000-00007F1E0000}"/>
    <cellStyle name="Input 3 11 6" xfId="18131" xr:uid="{00000000-0005-0000-0000-0000801E0000}"/>
    <cellStyle name="Input 3 11 7" xfId="22071" xr:uid="{00000000-0005-0000-0000-0000811E0000}"/>
    <cellStyle name="Input 3 11 8" xfId="25882" xr:uid="{00000000-0005-0000-0000-0000821E0000}"/>
    <cellStyle name="Input 3 11 9" xfId="29762" xr:uid="{00000000-0005-0000-0000-0000831E0000}"/>
    <cellStyle name="Input 3 12" xfId="2086" xr:uid="{00000000-0005-0000-0000-0000841E0000}"/>
    <cellStyle name="Input 3 12 10" xfId="33393" xr:uid="{00000000-0005-0000-0000-0000851E0000}"/>
    <cellStyle name="Input 3 12 11" xfId="37138" xr:uid="{00000000-0005-0000-0000-0000861E0000}"/>
    <cellStyle name="Input 3 12 12" xfId="41154" xr:uid="{00000000-0005-0000-0000-0000871E0000}"/>
    <cellStyle name="Input 3 12 13" xfId="44955" xr:uid="{00000000-0005-0000-0000-0000881E0000}"/>
    <cellStyle name="Input 3 12 2" xfId="4071" xr:uid="{00000000-0005-0000-0000-0000891E0000}"/>
    <cellStyle name="Input 3 12 2 10" xfId="39122" xr:uid="{00000000-0005-0000-0000-00008A1E0000}"/>
    <cellStyle name="Input 3 12 2 11" xfId="43132" xr:uid="{00000000-0005-0000-0000-00008B1E0000}"/>
    <cellStyle name="Input 3 12 2 12" xfId="46893" xr:uid="{00000000-0005-0000-0000-00008C1E0000}"/>
    <cellStyle name="Input 3 12 2 2" xfId="7934" xr:uid="{00000000-0005-0000-0000-00008D1E0000}"/>
    <cellStyle name="Input 3 12 2 3" xfId="12371" xr:uid="{00000000-0005-0000-0000-00008E1E0000}"/>
    <cellStyle name="Input 3 12 2 4" xfId="16216" xr:uid="{00000000-0005-0000-0000-00008F1E0000}"/>
    <cellStyle name="Input 3 12 2 5" xfId="20065" xr:uid="{00000000-0005-0000-0000-0000901E0000}"/>
    <cellStyle name="Input 3 12 2 6" xfId="23979" xr:uid="{00000000-0005-0000-0000-0000911E0000}"/>
    <cellStyle name="Input 3 12 2 7" xfId="27815" xr:uid="{00000000-0005-0000-0000-0000921E0000}"/>
    <cellStyle name="Input 3 12 2 8" xfId="31674" xr:uid="{00000000-0005-0000-0000-0000931E0000}"/>
    <cellStyle name="Input 3 12 2 9" xfId="35331" xr:uid="{00000000-0005-0000-0000-0000941E0000}"/>
    <cellStyle name="Input 3 12 3" xfId="6011" xr:uid="{00000000-0005-0000-0000-0000951E0000}"/>
    <cellStyle name="Input 3 12 4" xfId="10405" xr:uid="{00000000-0005-0000-0000-0000961E0000}"/>
    <cellStyle name="Input 3 12 5" xfId="14253" xr:uid="{00000000-0005-0000-0000-0000971E0000}"/>
    <cellStyle name="Input 3 12 6" xfId="18080" xr:uid="{00000000-0005-0000-0000-0000981E0000}"/>
    <cellStyle name="Input 3 12 7" xfId="22022" xr:uid="{00000000-0005-0000-0000-0000991E0000}"/>
    <cellStyle name="Input 3 12 8" xfId="25831" xr:uid="{00000000-0005-0000-0000-00009A1E0000}"/>
    <cellStyle name="Input 3 12 9" xfId="29711" xr:uid="{00000000-0005-0000-0000-00009B1E0000}"/>
    <cellStyle name="Input 3 13" xfId="2518" xr:uid="{00000000-0005-0000-0000-00009C1E0000}"/>
    <cellStyle name="Input 3 13 10" xfId="37570" xr:uid="{00000000-0005-0000-0000-00009D1E0000}"/>
    <cellStyle name="Input 3 13 11" xfId="41584" xr:uid="{00000000-0005-0000-0000-00009E1E0000}"/>
    <cellStyle name="Input 3 13 12" xfId="45373" xr:uid="{00000000-0005-0000-0000-00009F1E0000}"/>
    <cellStyle name="Input 3 13 2" xfId="6410" xr:uid="{00000000-0005-0000-0000-0000A01E0000}"/>
    <cellStyle name="Input 3 13 3" xfId="10833" xr:uid="{00000000-0005-0000-0000-0000A11E0000}"/>
    <cellStyle name="Input 3 13 4" xfId="14677" xr:uid="{00000000-0005-0000-0000-0000A21E0000}"/>
    <cellStyle name="Input 3 13 5" xfId="18512" xr:uid="{00000000-0005-0000-0000-0000A31E0000}"/>
    <cellStyle name="Input 3 13 6" xfId="22447" xr:uid="{00000000-0005-0000-0000-0000A41E0000}"/>
    <cellStyle name="Input 3 13 7" xfId="26263" xr:uid="{00000000-0005-0000-0000-0000A51E0000}"/>
    <cellStyle name="Input 3 13 8" xfId="30142" xr:uid="{00000000-0005-0000-0000-0000A61E0000}"/>
    <cellStyle name="Input 3 13 9" xfId="33811" xr:uid="{00000000-0005-0000-0000-0000A71E0000}"/>
    <cellStyle name="Input 3 14" xfId="8353" xr:uid="{00000000-0005-0000-0000-0000A81E0000}"/>
    <cellStyle name="Input 3 15" xfId="8491" xr:uid="{00000000-0005-0000-0000-0000A91E0000}"/>
    <cellStyle name="Input 3 16" xfId="8638" xr:uid="{00000000-0005-0000-0000-0000AA1E0000}"/>
    <cellStyle name="Input 3 17" xfId="8608" xr:uid="{00000000-0005-0000-0000-0000AB1E0000}"/>
    <cellStyle name="Input 3 18" xfId="8451" xr:uid="{00000000-0005-0000-0000-0000AC1E0000}"/>
    <cellStyle name="Input 3 19" xfId="8413" xr:uid="{00000000-0005-0000-0000-0000AD1E0000}"/>
    <cellStyle name="Input 3 2" xfId="554" xr:uid="{00000000-0005-0000-0000-0000AE1E0000}"/>
    <cellStyle name="Input 3 2 10" xfId="2206" xr:uid="{00000000-0005-0000-0000-0000AF1E0000}"/>
    <cellStyle name="Input 3 2 10 10" xfId="33507" xr:uid="{00000000-0005-0000-0000-0000B01E0000}"/>
    <cellStyle name="Input 3 2 10 11" xfId="37258" xr:uid="{00000000-0005-0000-0000-0000B11E0000}"/>
    <cellStyle name="Input 3 2 10 12" xfId="41274" xr:uid="{00000000-0005-0000-0000-0000B21E0000}"/>
    <cellStyle name="Input 3 2 10 13" xfId="45069" xr:uid="{00000000-0005-0000-0000-0000B31E0000}"/>
    <cellStyle name="Input 3 2 10 2" xfId="4189" xr:uid="{00000000-0005-0000-0000-0000B41E0000}"/>
    <cellStyle name="Input 3 2 10 2 10" xfId="39240" xr:uid="{00000000-0005-0000-0000-0000B51E0000}"/>
    <cellStyle name="Input 3 2 10 2 11" xfId="43250" xr:uid="{00000000-0005-0000-0000-0000B61E0000}"/>
    <cellStyle name="Input 3 2 10 2 12" xfId="47007" xr:uid="{00000000-0005-0000-0000-0000B71E0000}"/>
    <cellStyle name="Input 3 2 10 2 2" xfId="8048" xr:uid="{00000000-0005-0000-0000-0000B81E0000}"/>
    <cellStyle name="Input 3 2 10 2 3" xfId="12488" xr:uid="{00000000-0005-0000-0000-0000B91E0000}"/>
    <cellStyle name="Input 3 2 10 2 4" xfId="16333" xr:uid="{00000000-0005-0000-0000-0000BA1E0000}"/>
    <cellStyle name="Input 3 2 10 2 5" xfId="20183" xr:uid="{00000000-0005-0000-0000-0000BB1E0000}"/>
    <cellStyle name="Input 3 2 10 2 6" xfId="24095" xr:uid="{00000000-0005-0000-0000-0000BC1E0000}"/>
    <cellStyle name="Input 3 2 10 2 7" xfId="27933" xr:uid="{00000000-0005-0000-0000-0000BD1E0000}"/>
    <cellStyle name="Input 3 2 10 2 8" xfId="31792" xr:uid="{00000000-0005-0000-0000-0000BE1E0000}"/>
    <cellStyle name="Input 3 2 10 2 9" xfId="35445" xr:uid="{00000000-0005-0000-0000-0000BF1E0000}"/>
    <cellStyle name="Input 3 2 10 3" xfId="6120" xr:uid="{00000000-0005-0000-0000-0000C01E0000}"/>
    <cellStyle name="Input 3 2 10 4" xfId="10523" xr:uid="{00000000-0005-0000-0000-0000C11E0000}"/>
    <cellStyle name="Input 3 2 10 5" xfId="14369" xr:uid="{00000000-0005-0000-0000-0000C21E0000}"/>
    <cellStyle name="Input 3 2 10 6" xfId="18200" xr:uid="{00000000-0005-0000-0000-0000C31E0000}"/>
    <cellStyle name="Input 3 2 10 7" xfId="22139" xr:uid="{00000000-0005-0000-0000-0000C41E0000}"/>
    <cellStyle name="Input 3 2 10 8" xfId="25951" xr:uid="{00000000-0005-0000-0000-0000C51E0000}"/>
    <cellStyle name="Input 3 2 10 9" xfId="29831" xr:uid="{00000000-0005-0000-0000-0000C61E0000}"/>
    <cellStyle name="Input 3 2 11" xfId="2264" xr:uid="{00000000-0005-0000-0000-0000C71E0000}"/>
    <cellStyle name="Input 3 2 11 10" xfId="33565" xr:uid="{00000000-0005-0000-0000-0000C81E0000}"/>
    <cellStyle name="Input 3 2 11 11" xfId="37316" xr:uid="{00000000-0005-0000-0000-0000C91E0000}"/>
    <cellStyle name="Input 3 2 11 12" xfId="41332" xr:uid="{00000000-0005-0000-0000-0000CA1E0000}"/>
    <cellStyle name="Input 3 2 11 13" xfId="45127" xr:uid="{00000000-0005-0000-0000-0000CB1E0000}"/>
    <cellStyle name="Input 3 2 11 2" xfId="4247" xr:uid="{00000000-0005-0000-0000-0000CC1E0000}"/>
    <cellStyle name="Input 3 2 11 2 10" xfId="39298" xr:uid="{00000000-0005-0000-0000-0000CD1E0000}"/>
    <cellStyle name="Input 3 2 11 2 11" xfId="43308" xr:uid="{00000000-0005-0000-0000-0000CE1E0000}"/>
    <cellStyle name="Input 3 2 11 2 12" xfId="47065" xr:uid="{00000000-0005-0000-0000-0000CF1E0000}"/>
    <cellStyle name="Input 3 2 11 2 2" xfId="8106" xr:uid="{00000000-0005-0000-0000-0000D01E0000}"/>
    <cellStyle name="Input 3 2 11 2 3" xfId="12546" xr:uid="{00000000-0005-0000-0000-0000D11E0000}"/>
    <cellStyle name="Input 3 2 11 2 4" xfId="16391" xr:uid="{00000000-0005-0000-0000-0000D21E0000}"/>
    <cellStyle name="Input 3 2 11 2 5" xfId="20241" xr:uid="{00000000-0005-0000-0000-0000D31E0000}"/>
    <cellStyle name="Input 3 2 11 2 6" xfId="24153" xr:uid="{00000000-0005-0000-0000-0000D41E0000}"/>
    <cellStyle name="Input 3 2 11 2 7" xfId="27991" xr:uid="{00000000-0005-0000-0000-0000D51E0000}"/>
    <cellStyle name="Input 3 2 11 2 8" xfId="31850" xr:uid="{00000000-0005-0000-0000-0000D61E0000}"/>
    <cellStyle name="Input 3 2 11 2 9" xfId="35503" xr:uid="{00000000-0005-0000-0000-0000D71E0000}"/>
    <cellStyle name="Input 3 2 11 3" xfId="6178" xr:uid="{00000000-0005-0000-0000-0000D81E0000}"/>
    <cellStyle name="Input 3 2 11 4" xfId="10581" xr:uid="{00000000-0005-0000-0000-0000D91E0000}"/>
    <cellStyle name="Input 3 2 11 5" xfId="14427" xr:uid="{00000000-0005-0000-0000-0000DA1E0000}"/>
    <cellStyle name="Input 3 2 11 6" xfId="18258" xr:uid="{00000000-0005-0000-0000-0000DB1E0000}"/>
    <cellStyle name="Input 3 2 11 7" xfId="22197" xr:uid="{00000000-0005-0000-0000-0000DC1E0000}"/>
    <cellStyle name="Input 3 2 11 8" xfId="26009" xr:uid="{00000000-0005-0000-0000-0000DD1E0000}"/>
    <cellStyle name="Input 3 2 11 9" xfId="29889" xr:uid="{00000000-0005-0000-0000-0000DE1E0000}"/>
    <cellStyle name="Input 3 2 12" xfId="2319" xr:uid="{00000000-0005-0000-0000-0000DF1E0000}"/>
    <cellStyle name="Input 3 2 12 10" xfId="33620" xr:uid="{00000000-0005-0000-0000-0000E01E0000}"/>
    <cellStyle name="Input 3 2 12 11" xfId="37371" xr:uid="{00000000-0005-0000-0000-0000E11E0000}"/>
    <cellStyle name="Input 3 2 12 12" xfId="41387" xr:uid="{00000000-0005-0000-0000-0000E21E0000}"/>
    <cellStyle name="Input 3 2 12 13" xfId="45182" xr:uid="{00000000-0005-0000-0000-0000E31E0000}"/>
    <cellStyle name="Input 3 2 12 2" xfId="4302" xr:uid="{00000000-0005-0000-0000-0000E41E0000}"/>
    <cellStyle name="Input 3 2 12 2 10" xfId="39353" xr:uid="{00000000-0005-0000-0000-0000E51E0000}"/>
    <cellStyle name="Input 3 2 12 2 11" xfId="43363" xr:uid="{00000000-0005-0000-0000-0000E61E0000}"/>
    <cellStyle name="Input 3 2 12 2 12" xfId="47120" xr:uid="{00000000-0005-0000-0000-0000E71E0000}"/>
    <cellStyle name="Input 3 2 12 2 2" xfId="8161" xr:uid="{00000000-0005-0000-0000-0000E81E0000}"/>
    <cellStyle name="Input 3 2 12 2 3" xfId="12601" xr:uid="{00000000-0005-0000-0000-0000E91E0000}"/>
    <cellStyle name="Input 3 2 12 2 4" xfId="16446" xr:uid="{00000000-0005-0000-0000-0000EA1E0000}"/>
    <cellStyle name="Input 3 2 12 2 5" xfId="20296" xr:uid="{00000000-0005-0000-0000-0000EB1E0000}"/>
    <cellStyle name="Input 3 2 12 2 6" xfId="24208" xr:uid="{00000000-0005-0000-0000-0000EC1E0000}"/>
    <cellStyle name="Input 3 2 12 2 7" xfId="28046" xr:uid="{00000000-0005-0000-0000-0000ED1E0000}"/>
    <cellStyle name="Input 3 2 12 2 8" xfId="31905" xr:uid="{00000000-0005-0000-0000-0000EE1E0000}"/>
    <cellStyle name="Input 3 2 12 2 9" xfId="35558" xr:uid="{00000000-0005-0000-0000-0000EF1E0000}"/>
    <cellStyle name="Input 3 2 12 3" xfId="6233" xr:uid="{00000000-0005-0000-0000-0000F01E0000}"/>
    <cellStyle name="Input 3 2 12 4" xfId="10636" xr:uid="{00000000-0005-0000-0000-0000F11E0000}"/>
    <cellStyle name="Input 3 2 12 5" xfId="14482" xr:uid="{00000000-0005-0000-0000-0000F21E0000}"/>
    <cellStyle name="Input 3 2 12 6" xfId="18313" xr:uid="{00000000-0005-0000-0000-0000F31E0000}"/>
    <cellStyle name="Input 3 2 12 7" xfId="22252" xr:uid="{00000000-0005-0000-0000-0000F41E0000}"/>
    <cellStyle name="Input 3 2 12 8" xfId="26064" xr:uid="{00000000-0005-0000-0000-0000F51E0000}"/>
    <cellStyle name="Input 3 2 12 9" xfId="29944" xr:uid="{00000000-0005-0000-0000-0000F61E0000}"/>
    <cellStyle name="Input 3 2 13" xfId="2386" xr:uid="{00000000-0005-0000-0000-0000F71E0000}"/>
    <cellStyle name="Input 3 2 13 10" xfId="33684" xr:uid="{00000000-0005-0000-0000-0000F81E0000}"/>
    <cellStyle name="Input 3 2 13 11" xfId="37438" xr:uid="{00000000-0005-0000-0000-0000F91E0000}"/>
    <cellStyle name="Input 3 2 13 12" xfId="41453" xr:uid="{00000000-0005-0000-0000-0000FA1E0000}"/>
    <cellStyle name="Input 3 2 13 13" xfId="45246" xr:uid="{00000000-0005-0000-0000-0000FB1E0000}"/>
    <cellStyle name="Input 3 2 13 2" xfId="4369" xr:uid="{00000000-0005-0000-0000-0000FC1E0000}"/>
    <cellStyle name="Input 3 2 13 2 10" xfId="39420" xr:uid="{00000000-0005-0000-0000-0000FD1E0000}"/>
    <cellStyle name="Input 3 2 13 2 11" xfId="43429" xr:uid="{00000000-0005-0000-0000-0000FE1E0000}"/>
    <cellStyle name="Input 3 2 13 2 12" xfId="47184" xr:uid="{00000000-0005-0000-0000-0000FF1E0000}"/>
    <cellStyle name="Input 3 2 13 2 2" xfId="8226" xr:uid="{00000000-0005-0000-0000-0000001F0000}"/>
    <cellStyle name="Input 3 2 13 2 3" xfId="12667" xr:uid="{00000000-0005-0000-0000-0000011F0000}"/>
    <cellStyle name="Input 3 2 13 2 4" xfId="16512" xr:uid="{00000000-0005-0000-0000-0000021F0000}"/>
    <cellStyle name="Input 3 2 13 2 5" xfId="20363" xr:uid="{00000000-0005-0000-0000-0000031F0000}"/>
    <cellStyle name="Input 3 2 13 2 6" xfId="24274" xr:uid="{00000000-0005-0000-0000-0000041F0000}"/>
    <cellStyle name="Input 3 2 13 2 7" xfId="28113" xr:uid="{00000000-0005-0000-0000-0000051F0000}"/>
    <cellStyle name="Input 3 2 13 2 8" xfId="31971" xr:uid="{00000000-0005-0000-0000-0000061F0000}"/>
    <cellStyle name="Input 3 2 13 2 9" xfId="35622" xr:uid="{00000000-0005-0000-0000-0000071F0000}"/>
    <cellStyle name="Input 3 2 13 3" xfId="6282" xr:uid="{00000000-0005-0000-0000-0000081F0000}"/>
    <cellStyle name="Input 3 2 13 4" xfId="10702" xr:uid="{00000000-0005-0000-0000-0000091F0000}"/>
    <cellStyle name="Input 3 2 13 5" xfId="14548" xr:uid="{00000000-0005-0000-0000-00000A1F0000}"/>
    <cellStyle name="Input 3 2 13 6" xfId="18380" xr:uid="{00000000-0005-0000-0000-00000B1F0000}"/>
    <cellStyle name="Input 3 2 13 7" xfId="22318" xr:uid="{00000000-0005-0000-0000-00000C1F0000}"/>
    <cellStyle name="Input 3 2 13 8" xfId="26131" xr:uid="{00000000-0005-0000-0000-00000D1F0000}"/>
    <cellStyle name="Input 3 2 13 9" xfId="30011" xr:uid="{00000000-0005-0000-0000-00000E1F0000}"/>
    <cellStyle name="Input 3 2 14" xfId="2436" xr:uid="{00000000-0005-0000-0000-00000F1F0000}"/>
    <cellStyle name="Input 3 2 14 10" xfId="33734" xr:uid="{00000000-0005-0000-0000-0000101F0000}"/>
    <cellStyle name="Input 3 2 14 11" xfId="37488" xr:uid="{00000000-0005-0000-0000-0000111F0000}"/>
    <cellStyle name="Input 3 2 14 12" xfId="41503" xr:uid="{00000000-0005-0000-0000-0000121F0000}"/>
    <cellStyle name="Input 3 2 14 13" xfId="45296" xr:uid="{00000000-0005-0000-0000-0000131F0000}"/>
    <cellStyle name="Input 3 2 14 2" xfId="4419" xr:uid="{00000000-0005-0000-0000-0000141F0000}"/>
    <cellStyle name="Input 3 2 14 2 10" xfId="39470" xr:uid="{00000000-0005-0000-0000-0000151F0000}"/>
    <cellStyle name="Input 3 2 14 2 11" xfId="43479" xr:uid="{00000000-0005-0000-0000-0000161F0000}"/>
    <cellStyle name="Input 3 2 14 2 12" xfId="47234" xr:uid="{00000000-0005-0000-0000-0000171F0000}"/>
    <cellStyle name="Input 3 2 14 2 2" xfId="8276" xr:uid="{00000000-0005-0000-0000-0000181F0000}"/>
    <cellStyle name="Input 3 2 14 2 3" xfId="12717" xr:uid="{00000000-0005-0000-0000-0000191F0000}"/>
    <cellStyle name="Input 3 2 14 2 4" xfId="16562" xr:uid="{00000000-0005-0000-0000-00001A1F0000}"/>
    <cellStyle name="Input 3 2 14 2 5" xfId="20413" xr:uid="{00000000-0005-0000-0000-00001B1F0000}"/>
    <cellStyle name="Input 3 2 14 2 6" xfId="24324" xr:uid="{00000000-0005-0000-0000-00001C1F0000}"/>
    <cellStyle name="Input 3 2 14 2 7" xfId="28163" xr:uid="{00000000-0005-0000-0000-00001D1F0000}"/>
    <cellStyle name="Input 3 2 14 2 8" xfId="32021" xr:uid="{00000000-0005-0000-0000-00001E1F0000}"/>
    <cellStyle name="Input 3 2 14 2 9" xfId="35672" xr:uid="{00000000-0005-0000-0000-00001F1F0000}"/>
    <cellStyle name="Input 3 2 14 3" xfId="6332" xr:uid="{00000000-0005-0000-0000-0000201F0000}"/>
    <cellStyle name="Input 3 2 14 4" xfId="10752" xr:uid="{00000000-0005-0000-0000-0000211F0000}"/>
    <cellStyle name="Input 3 2 14 5" xfId="14598" xr:uid="{00000000-0005-0000-0000-0000221F0000}"/>
    <cellStyle name="Input 3 2 14 6" xfId="18430" xr:uid="{00000000-0005-0000-0000-0000231F0000}"/>
    <cellStyle name="Input 3 2 14 7" xfId="22368" xr:uid="{00000000-0005-0000-0000-0000241F0000}"/>
    <cellStyle name="Input 3 2 14 8" xfId="26181" xr:uid="{00000000-0005-0000-0000-0000251F0000}"/>
    <cellStyle name="Input 3 2 14 9" xfId="30060" xr:uid="{00000000-0005-0000-0000-0000261F0000}"/>
    <cellStyle name="Input 3 2 15" xfId="2490" xr:uid="{00000000-0005-0000-0000-0000271F0000}"/>
    <cellStyle name="Input 3 2 15 10" xfId="33785" xr:uid="{00000000-0005-0000-0000-0000281F0000}"/>
    <cellStyle name="Input 3 2 15 11" xfId="37542" xr:uid="{00000000-0005-0000-0000-0000291F0000}"/>
    <cellStyle name="Input 3 2 15 12" xfId="41556" xr:uid="{00000000-0005-0000-0000-00002A1F0000}"/>
    <cellStyle name="Input 3 2 15 13" xfId="45347" xr:uid="{00000000-0005-0000-0000-00002B1F0000}"/>
    <cellStyle name="Input 3 2 15 2" xfId="4472" xr:uid="{00000000-0005-0000-0000-00002C1F0000}"/>
    <cellStyle name="Input 3 2 15 2 10" xfId="39523" xr:uid="{00000000-0005-0000-0000-00002D1F0000}"/>
    <cellStyle name="Input 3 2 15 2 11" xfId="43532" xr:uid="{00000000-0005-0000-0000-00002E1F0000}"/>
    <cellStyle name="Input 3 2 15 2 12" xfId="47285" xr:uid="{00000000-0005-0000-0000-00002F1F0000}"/>
    <cellStyle name="Input 3 2 15 2 2" xfId="8327" xr:uid="{00000000-0005-0000-0000-0000301F0000}"/>
    <cellStyle name="Input 3 2 15 2 3" xfId="12770" xr:uid="{00000000-0005-0000-0000-0000311F0000}"/>
    <cellStyle name="Input 3 2 15 2 4" xfId="16613" xr:uid="{00000000-0005-0000-0000-0000321F0000}"/>
    <cellStyle name="Input 3 2 15 2 5" xfId="20466" xr:uid="{00000000-0005-0000-0000-0000331F0000}"/>
    <cellStyle name="Input 3 2 15 2 6" xfId="24376" xr:uid="{00000000-0005-0000-0000-0000341F0000}"/>
    <cellStyle name="Input 3 2 15 2 7" xfId="28216" xr:uid="{00000000-0005-0000-0000-0000351F0000}"/>
    <cellStyle name="Input 3 2 15 2 8" xfId="32074" xr:uid="{00000000-0005-0000-0000-0000361F0000}"/>
    <cellStyle name="Input 3 2 15 2 9" xfId="35723" xr:uid="{00000000-0005-0000-0000-0000371F0000}"/>
    <cellStyle name="Input 3 2 15 3" xfId="6384" xr:uid="{00000000-0005-0000-0000-0000381F0000}"/>
    <cellStyle name="Input 3 2 15 4" xfId="10805" xr:uid="{00000000-0005-0000-0000-0000391F0000}"/>
    <cellStyle name="Input 3 2 15 5" xfId="14651" xr:uid="{00000000-0005-0000-0000-00003A1F0000}"/>
    <cellStyle name="Input 3 2 15 6" xfId="18484" xr:uid="{00000000-0005-0000-0000-00003B1F0000}"/>
    <cellStyle name="Input 3 2 15 7" xfId="22421" xr:uid="{00000000-0005-0000-0000-00003C1F0000}"/>
    <cellStyle name="Input 3 2 15 8" xfId="26235" xr:uid="{00000000-0005-0000-0000-00003D1F0000}"/>
    <cellStyle name="Input 3 2 15 9" xfId="30114" xr:uid="{00000000-0005-0000-0000-00003E1F0000}"/>
    <cellStyle name="Input 3 2 16" xfId="2561" xr:uid="{00000000-0005-0000-0000-00003F1F0000}"/>
    <cellStyle name="Input 3 2 16 10" xfId="37613" xr:uid="{00000000-0005-0000-0000-0000401F0000}"/>
    <cellStyle name="Input 3 2 16 11" xfId="41627" xr:uid="{00000000-0005-0000-0000-0000411F0000}"/>
    <cellStyle name="Input 3 2 16 12" xfId="45416" xr:uid="{00000000-0005-0000-0000-0000421F0000}"/>
    <cellStyle name="Input 3 2 16 2" xfId="6453" xr:uid="{00000000-0005-0000-0000-0000431F0000}"/>
    <cellStyle name="Input 3 2 16 3" xfId="10876" xr:uid="{00000000-0005-0000-0000-0000441F0000}"/>
    <cellStyle name="Input 3 2 16 4" xfId="14720" xr:uid="{00000000-0005-0000-0000-0000451F0000}"/>
    <cellStyle name="Input 3 2 16 5" xfId="18555" xr:uid="{00000000-0005-0000-0000-0000461F0000}"/>
    <cellStyle name="Input 3 2 16 6" xfId="22490" xr:uid="{00000000-0005-0000-0000-0000471F0000}"/>
    <cellStyle name="Input 3 2 16 7" xfId="26306" xr:uid="{00000000-0005-0000-0000-0000481F0000}"/>
    <cellStyle name="Input 3 2 16 8" xfId="30185" xr:uid="{00000000-0005-0000-0000-0000491F0000}"/>
    <cellStyle name="Input 3 2 16 9" xfId="33854" xr:uid="{00000000-0005-0000-0000-00004A1F0000}"/>
    <cellStyle name="Input 3 2 17" xfId="4529" xr:uid="{00000000-0005-0000-0000-00004B1F0000}"/>
    <cellStyle name="Input 3 2 18" xfId="8385" xr:uid="{00000000-0005-0000-0000-00004C1F0000}"/>
    <cellStyle name="Input 3 2 19" xfId="8744" xr:uid="{00000000-0005-0000-0000-00004D1F0000}"/>
    <cellStyle name="Input 3 2 2" xfId="690" xr:uid="{00000000-0005-0000-0000-00004E1F0000}"/>
    <cellStyle name="Input 3 2 2 10" xfId="24424" xr:uid="{00000000-0005-0000-0000-00004F1F0000}"/>
    <cellStyle name="Input 3 2 2 11" xfId="28317" xr:uid="{00000000-0005-0000-0000-0000501F0000}"/>
    <cellStyle name="Input 3 2 2 12" xfId="31065" xr:uid="{00000000-0005-0000-0000-0000511F0000}"/>
    <cellStyle name="Input 3 2 2 13" xfId="35761" xr:uid="{00000000-0005-0000-0000-0000521F0000}"/>
    <cellStyle name="Input 3 2 2 14" xfId="39784" xr:uid="{00000000-0005-0000-0000-0000531F0000}"/>
    <cellStyle name="Input 3 2 2 15" xfId="43587" xr:uid="{00000000-0005-0000-0000-0000541F0000}"/>
    <cellStyle name="Input 3 2 2 2" xfId="1070" xr:uid="{00000000-0005-0000-0000-0000551F0000}"/>
    <cellStyle name="Input 3 2 2 2 10" xfId="28681" xr:uid="{00000000-0005-0000-0000-0000561F0000}"/>
    <cellStyle name="Input 3 2 2 2 11" xfId="32367" xr:uid="{00000000-0005-0000-0000-0000571F0000}"/>
    <cellStyle name="Input 3 2 2 2 12" xfId="36128" xr:uid="{00000000-0005-0000-0000-0000581F0000}"/>
    <cellStyle name="Input 3 2 2 2 13" xfId="40131" xr:uid="{00000000-0005-0000-0000-0000591F0000}"/>
    <cellStyle name="Input 3 2 2 2 14" xfId="43954" xr:uid="{00000000-0005-0000-0000-00005A1F0000}"/>
    <cellStyle name="Input 3 2 2 2 2" xfId="1797" xr:uid="{00000000-0005-0000-0000-00005B1F0000}"/>
    <cellStyle name="Input 3 2 2 2 2 10" xfId="33084" xr:uid="{00000000-0005-0000-0000-00005C1F0000}"/>
    <cellStyle name="Input 3 2 2 2 2 11" xfId="36854" xr:uid="{00000000-0005-0000-0000-00005D1F0000}"/>
    <cellStyle name="Input 3 2 2 2 2 12" xfId="40845" xr:uid="{00000000-0005-0000-0000-00005E1F0000}"/>
    <cellStyle name="Input 3 2 2 2 2 13" xfId="44676" xr:uid="{00000000-0005-0000-0000-00005F1F0000}"/>
    <cellStyle name="Input 3 2 2 2 2 2" xfId="3787" xr:uid="{00000000-0005-0000-0000-0000601F0000}"/>
    <cellStyle name="Input 3 2 2 2 2 2 10" xfId="38838" xr:uid="{00000000-0005-0000-0000-0000611F0000}"/>
    <cellStyle name="Input 3 2 2 2 2 2 11" xfId="42849" xr:uid="{00000000-0005-0000-0000-0000621F0000}"/>
    <cellStyle name="Input 3 2 2 2 2 2 12" xfId="46614" xr:uid="{00000000-0005-0000-0000-0000631F0000}"/>
    <cellStyle name="Input 3 2 2 2 2 2 2" xfId="7654" xr:uid="{00000000-0005-0000-0000-0000641F0000}"/>
    <cellStyle name="Input 3 2 2 2 2 2 3" xfId="12089" xr:uid="{00000000-0005-0000-0000-0000651F0000}"/>
    <cellStyle name="Input 3 2 2 2 2 2 4" xfId="15934" xr:uid="{00000000-0005-0000-0000-0000661F0000}"/>
    <cellStyle name="Input 3 2 2 2 2 2 5" xfId="19781" xr:uid="{00000000-0005-0000-0000-0000671F0000}"/>
    <cellStyle name="Input 3 2 2 2 2 2 6" xfId="23697" xr:uid="{00000000-0005-0000-0000-0000681F0000}"/>
    <cellStyle name="Input 3 2 2 2 2 2 7" xfId="27531" xr:uid="{00000000-0005-0000-0000-0000691F0000}"/>
    <cellStyle name="Input 3 2 2 2 2 2 8" xfId="31395" xr:uid="{00000000-0005-0000-0000-00006A1F0000}"/>
    <cellStyle name="Input 3 2 2 2 2 2 9" xfId="35052" xr:uid="{00000000-0005-0000-0000-00006B1F0000}"/>
    <cellStyle name="Input 3 2 2 2 2 3" xfId="5730" xr:uid="{00000000-0005-0000-0000-00006C1F0000}"/>
    <cellStyle name="Input 3 2 2 2 2 4" xfId="10088" xr:uid="{00000000-0005-0000-0000-00006D1F0000}"/>
    <cellStyle name="Input 3 2 2 2 2 5" xfId="13934" xr:uid="{00000000-0005-0000-0000-00006E1F0000}"/>
    <cellStyle name="Input 3 2 2 2 2 6" xfId="17763" xr:uid="{00000000-0005-0000-0000-00006F1F0000}"/>
    <cellStyle name="Input 3 2 2 2 2 7" xfId="21702" xr:uid="{00000000-0005-0000-0000-0000701F0000}"/>
    <cellStyle name="Input 3 2 2 2 2 8" xfId="25515" xr:uid="{00000000-0005-0000-0000-0000711F0000}"/>
    <cellStyle name="Input 3 2 2 2 2 9" xfId="29402" xr:uid="{00000000-0005-0000-0000-0000721F0000}"/>
    <cellStyle name="Input 3 2 2 2 3" xfId="3060" xr:uid="{00000000-0005-0000-0000-0000731F0000}"/>
    <cellStyle name="Input 3 2 2 2 3 10" xfId="38112" xr:uid="{00000000-0005-0000-0000-0000741F0000}"/>
    <cellStyle name="Input 3 2 2 2 3 11" xfId="42124" xr:uid="{00000000-0005-0000-0000-0000751F0000}"/>
    <cellStyle name="Input 3 2 2 2 3 12" xfId="45897" xr:uid="{00000000-0005-0000-0000-0000761F0000}"/>
    <cellStyle name="Input 3 2 2 2 3 2" xfId="6936" xr:uid="{00000000-0005-0000-0000-0000771F0000}"/>
    <cellStyle name="Input 3 2 2 2 3 3" xfId="11365" xr:uid="{00000000-0005-0000-0000-0000781F0000}"/>
    <cellStyle name="Input 3 2 2 2 3 4" xfId="15209" xr:uid="{00000000-0005-0000-0000-0000791F0000}"/>
    <cellStyle name="Input 3 2 2 2 3 5" xfId="19054" xr:uid="{00000000-0005-0000-0000-00007A1F0000}"/>
    <cellStyle name="Input 3 2 2 2 3 6" xfId="22976" xr:uid="{00000000-0005-0000-0000-00007B1F0000}"/>
    <cellStyle name="Input 3 2 2 2 3 7" xfId="26805" xr:uid="{00000000-0005-0000-0000-00007C1F0000}"/>
    <cellStyle name="Input 3 2 2 2 3 8" xfId="30679" xr:uid="{00000000-0005-0000-0000-00007D1F0000}"/>
    <cellStyle name="Input 3 2 2 2 3 9" xfId="34335" xr:uid="{00000000-0005-0000-0000-00007E1F0000}"/>
    <cellStyle name="Input 3 2 2 2 4" xfId="5012" xr:uid="{00000000-0005-0000-0000-00007F1F0000}"/>
    <cellStyle name="Input 3 2 2 2 5" xfId="9368" xr:uid="{00000000-0005-0000-0000-0000801F0000}"/>
    <cellStyle name="Input 3 2 2 2 6" xfId="13208" xr:uid="{00000000-0005-0000-0000-0000811F0000}"/>
    <cellStyle name="Input 3 2 2 2 7" xfId="17036" xr:uid="{00000000-0005-0000-0000-0000821F0000}"/>
    <cellStyle name="Input 3 2 2 2 8" xfId="20978" xr:uid="{00000000-0005-0000-0000-0000831F0000}"/>
    <cellStyle name="Input 3 2 2 2 9" xfId="24792" xr:uid="{00000000-0005-0000-0000-0000841F0000}"/>
    <cellStyle name="Input 3 2 2 3" xfId="1444" xr:uid="{00000000-0005-0000-0000-0000851F0000}"/>
    <cellStyle name="Input 3 2 2 3 10" xfId="32731" xr:uid="{00000000-0005-0000-0000-0000861F0000}"/>
    <cellStyle name="Input 3 2 2 3 11" xfId="36501" xr:uid="{00000000-0005-0000-0000-0000871F0000}"/>
    <cellStyle name="Input 3 2 2 3 12" xfId="40492" xr:uid="{00000000-0005-0000-0000-0000881F0000}"/>
    <cellStyle name="Input 3 2 2 3 13" xfId="44323" xr:uid="{00000000-0005-0000-0000-0000891F0000}"/>
    <cellStyle name="Input 3 2 2 3 2" xfId="3434" xr:uid="{00000000-0005-0000-0000-00008A1F0000}"/>
    <cellStyle name="Input 3 2 2 3 2 10" xfId="38485" xr:uid="{00000000-0005-0000-0000-00008B1F0000}"/>
    <cellStyle name="Input 3 2 2 3 2 11" xfId="42496" xr:uid="{00000000-0005-0000-0000-00008C1F0000}"/>
    <cellStyle name="Input 3 2 2 3 2 12" xfId="46261" xr:uid="{00000000-0005-0000-0000-00008D1F0000}"/>
    <cellStyle name="Input 3 2 2 3 2 2" xfId="7301" xr:uid="{00000000-0005-0000-0000-00008E1F0000}"/>
    <cellStyle name="Input 3 2 2 3 2 3" xfId="11736" xr:uid="{00000000-0005-0000-0000-00008F1F0000}"/>
    <cellStyle name="Input 3 2 2 3 2 4" xfId="15581" xr:uid="{00000000-0005-0000-0000-0000901F0000}"/>
    <cellStyle name="Input 3 2 2 3 2 5" xfId="19428" xr:uid="{00000000-0005-0000-0000-0000911F0000}"/>
    <cellStyle name="Input 3 2 2 3 2 6" xfId="23344" xr:uid="{00000000-0005-0000-0000-0000921F0000}"/>
    <cellStyle name="Input 3 2 2 3 2 7" xfId="27178" xr:uid="{00000000-0005-0000-0000-0000931F0000}"/>
    <cellStyle name="Input 3 2 2 3 2 8" xfId="31046" xr:uid="{00000000-0005-0000-0000-0000941F0000}"/>
    <cellStyle name="Input 3 2 2 3 2 9" xfId="34699" xr:uid="{00000000-0005-0000-0000-0000951F0000}"/>
    <cellStyle name="Input 3 2 2 3 3" xfId="5377" xr:uid="{00000000-0005-0000-0000-0000961F0000}"/>
    <cellStyle name="Input 3 2 2 3 4" xfId="9735" xr:uid="{00000000-0005-0000-0000-0000971F0000}"/>
    <cellStyle name="Input 3 2 2 3 5" xfId="13581" xr:uid="{00000000-0005-0000-0000-0000981F0000}"/>
    <cellStyle name="Input 3 2 2 3 6" xfId="17410" xr:uid="{00000000-0005-0000-0000-0000991F0000}"/>
    <cellStyle name="Input 3 2 2 3 7" xfId="21349" xr:uid="{00000000-0005-0000-0000-00009A1F0000}"/>
    <cellStyle name="Input 3 2 2 3 8" xfId="25162" xr:uid="{00000000-0005-0000-0000-00009B1F0000}"/>
    <cellStyle name="Input 3 2 2 3 9" xfId="29049" xr:uid="{00000000-0005-0000-0000-00009C1F0000}"/>
    <cellStyle name="Input 3 2 2 4" xfId="2693" xr:uid="{00000000-0005-0000-0000-00009D1F0000}"/>
    <cellStyle name="Input 3 2 2 4 10" xfId="37745" xr:uid="{00000000-0005-0000-0000-00009E1F0000}"/>
    <cellStyle name="Input 3 2 2 4 11" xfId="41759" xr:uid="{00000000-0005-0000-0000-00009F1F0000}"/>
    <cellStyle name="Input 3 2 2 4 12" xfId="45544" xr:uid="{00000000-0005-0000-0000-0000A01F0000}"/>
    <cellStyle name="Input 3 2 2 4 2" xfId="6581" xr:uid="{00000000-0005-0000-0000-0000A11F0000}"/>
    <cellStyle name="Input 3 2 2 4 3" xfId="11005" xr:uid="{00000000-0005-0000-0000-0000A21F0000}"/>
    <cellStyle name="Input 3 2 2 4 4" xfId="14849" xr:uid="{00000000-0005-0000-0000-0000A31F0000}"/>
    <cellStyle name="Input 3 2 2 4 5" xfId="18687" xr:uid="{00000000-0005-0000-0000-0000A41F0000}"/>
    <cellStyle name="Input 3 2 2 4 6" xfId="22618" xr:uid="{00000000-0005-0000-0000-0000A51F0000}"/>
    <cellStyle name="Input 3 2 2 4 7" xfId="26438" xr:uid="{00000000-0005-0000-0000-0000A61F0000}"/>
    <cellStyle name="Input 3 2 2 4 8" xfId="30317" xr:uid="{00000000-0005-0000-0000-0000A71F0000}"/>
    <cellStyle name="Input 3 2 2 4 9" xfId="33982" xr:uid="{00000000-0005-0000-0000-0000A81F0000}"/>
    <cellStyle name="Input 3 2 2 5" xfId="4657" xr:uid="{00000000-0005-0000-0000-0000A91F0000}"/>
    <cellStyle name="Input 3 2 2 6" xfId="8999" xr:uid="{00000000-0005-0000-0000-0000AA1F0000}"/>
    <cellStyle name="Input 3 2 2 7" xfId="12836" xr:uid="{00000000-0005-0000-0000-0000AB1F0000}"/>
    <cellStyle name="Input 3 2 2 8" xfId="16666" xr:uid="{00000000-0005-0000-0000-0000AC1F0000}"/>
    <cellStyle name="Input 3 2 2 9" xfId="20603" xr:uid="{00000000-0005-0000-0000-0000AD1F0000}"/>
    <cellStyle name="Input 3 2 20" xfId="8865" xr:uid="{00000000-0005-0000-0000-0000AE1F0000}"/>
    <cellStyle name="Input 3 2 21" xfId="8668" xr:uid="{00000000-0005-0000-0000-0000AF1F0000}"/>
    <cellStyle name="Input 3 2 22" xfId="8626" xr:uid="{00000000-0005-0000-0000-0000B01F0000}"/>
    <cellStyle name="Input 3 2 23" xfId="14124" xr:uid="{00000000-0005-0000-0000-0000B11F0000}"/>
    <cellStyle name="Input 3 2 24" xfId="14245" xr:uid="{00000000-0005-0000-0000-0000B21F0000}"/>
    <cellStyle name="Input 3 2 25" xfId="18074" xr:uid="{00000000-0005-0000-0000-0000B31F0000}"/>
    <cellStyle name="Input 3 2 26" xfId="32044" xr:uid="{00000000-0005-0000-0000-0000B41F0000}"/>
    <cellStyle name="Input 3 2 27" xfId="8577" xr:uid="{00000000-0005-0000-0000-0000B51F0000}"/>
    <cellStyle name="Input 3 2 28" xfId="39653" xr:uid="{00000000-0005-0000-0000-0000B61F0000}"/>
    <cellStyle name="Input 3 2 29" xfId="41080" xr:uid="{00000000-0005-0000-0000-0000B71F0000}"/>
    <cellStyle name="Input 3 2 3" xfId="629" xr:uid="{00000000-0005-0000-0000-0000B81F0000}"/>
    <cellStyle name="Input 3 2 3 10" xfId="10808" xr:uid="{00000000-0005-0000-0000-0000B91F0000}"/>
    <cellStyle name="Input 3 2 3 11" xfId="28256" xr:uid="{00000000-0005-0000-0000-0000BA1F0000}"/>
    <cellStyle name="Input 3 2 3 12" xfId="28525" xr:uid="{00000000-0005-0000-0000-0000BB1F0000}"/>
    <cellStyle name="Input 3 2 3 13" xfId="22709" xr:uid="{00000000-0005-0000-0000-0000BC1F0000}"/>
    <cellStyle name="Input 3 2 3 14" xfId="39724" xr:uid="{00000000-0005-0000-0000-0000BD1F0000}"/>
    <cellStyle name="Input 3 2 3 15" xfId="39558" xr:uid="{00000000-0005-0000-0000-0000BE1F0000}"/>
    <cellStyle name="Input 3 2 3 2" xfId="1009" xr:uid="{00000000-0005-0000-0000-0000BF1F0000}"/>
    <cellStyle name="Input 3 2 3 2 10" xfId="28620" xr:uid="{00000000-0005-0000-0000-0000C01F0000}"/>
    <cellStyle name="Input 3 2 3 2 11" xfId="32308" xr:uid="{00000000-0005-0000-0000-0000C11F0000}"/>
    <cellStyle name="Input 3 2 3 2 12" xfId="36067" xr:uid="{00000000-0005-0000-0000-0000C21F0000}"/>
    <cellStyle name="Input 3 2 3 2 13" xfId="40072" xr:uid="{00000000-0005-0000-0000-0000C31F0000}"/>
    <cellStyle name="Input 3 2 3 2 14" xfId="43893" xr:uid="{00000000-0005-0000-0000-0000C41F0000}"/>
    <cellStyle name="Input 3 2 3 2 2" xfId="1738" xr:uid="{00000000-0005-0000-0000-0000C51F0000}"/>
    <cellStyle name="Input 3 2 3 2 2 10" xfId="33025" xr:uid="{00000000-0005-0000-0000-0000C61F0000}"/>
    <cellStyle name="Input 3 2 3 2 2 11" xfId="36795" xr:uid="{00000000-0005-0000-0000-0000C71F0000}"/>
    <cellStyle name="Input 3 2 3 2 2 12" xfId="40786" xr:uid="{00000000-0005-0000-0000-0000C81F0000}"/>
    <cellStyle name="Input 3 2 3 2 2 13" xfId="44617" xr:uid="{00000000-0005-0000-0000-0000C91F0000}"/>
    <cellStyle name="Input 3 2 3 2 2 2" xfId="3728" xr:uid="{00000000-0005-0000-0000-0000CA1F0000}"/>
    <cellStyle name="Input 3 2 3 2 2 2 10" xfId="38779" xr:uid="{00000000-0005-0000-0000-0000CB1F0000}"/>
    <cellStyle name="Input 3 2 3 2 2 2 11" xfId="42790" xr:uid="{00000000-0005-0000-0000-0000CC1F0000}"/>
    <cellStyle name="Input 3 2 3 2 2 2 12" xfId="46555" xr:uid="{00000000-0005-0000-0000-0000CD1F0000}"/>
    <cellStyle name="Input 3 2 3 2 2 2 2" xfId="7595" xr:uid="{00000000-0005-0000-0000-0000CE1F0000}"/>
    <cellStyle name="Input 3 2 3 2 2 2 3" xfId="12030" xr:uid="{00000000-0005-0000-0000-0000CF1F0000}"/>
    <cellStyle name="Input 3 2 3 2 2 2 4" xfId="15875" xr:uid="{00000000-0005-0000-0000-0000D01F0000}"/>
    <cellStyle name="Input 3 2 3 2 2 2 5" xfId="19722" xr:uid="{00000000-0005-0000-0000-0000D11F0000}"/>
    <cellStyle name="Input 3 2 3 2 2 2 6" xfId="23638" xr:uid="{00000000-0005-0000-0000-0000D21F0000}"/>
    <cellStyle name="Input 3 2 3 2 2 2 7" xfId="27472" xr:uid="{00000000-0005-0000-0000-0000D31F0000}"/>
    <cellStyle name="Input 3 2 3 2 2 2 8" xfId="31336" xr:uid="{00000000-0005-0000-0000-0000D41F0000}"/>
    <cellStyle name="Input 3 2 3 2 2 2 9" xfId="34993" xr:uid="{00000000-0005-0000-0000-0000D51F0000}"/>
    <cellStyle name="Input 3 2 3 2 2 3" xfId="5671" xr:uid="{00000000-0005-0000-0000-0000D61F0000}"/>
    <cellStyle name="Input 3 2 3 2 2 4" xfId="10029" xr:uid="{00000000-0005-0000-0000-0000D71F0000}"/>
    <cellStyle name="Input 3 2 3 2 2 5" xfId="13875" xr:uid="{00000000-0005-0000-0000-0000D81F0000}"/>
    <cellStyle name="Input 3 2 3 2 2 6" xfId="17704" xr:uid="{00000000-0005-0000-0000-0000D91F0000}"/>
    <cellStyle name="Input 3 2 3 2 2 7" xfId="21643" xr:uid="{00000000-0005-0000-0000-0000DA1F0000}"/>
    <cellStyle name="Input 3 2 3 2 2 8" xfId="25456" xr:uid="{00000000-0005-0000-0000-0000DB1F0000}"/>
    <cellStyle name="Input 3 2 3 2 2 9" xfId="29343" xr:uid="{00000000-0005-0000-0000-0000DC1F0000}"/>
    <cellStyle name="Input 3 2 3 2 3" xfId="2999" xr:uid="{00000000-0005-0000-0000-0000DD1F0000}"/>
    <cellStyle name="Input 3 2 3 2 3 10" xfId="38051" xr:uid="{00000000-0005-0000-0000-0000DE1F0000}"/>
    <cellStyle name="Input 3 2 3 2 3 11" xfId="42063" xr:uid="{00000000-0005-0000-0000-0000DF1F0000}"/>
    <cellStyle name="Input 3 2 3 2 3 12" xfId="45838" xr:uid="{00000000-0005-0000-0000-0000E01F0000}"/>
    <cellStyle name="Input 3 2 3 2 3 2" xfId="6877" xr:uid="{00000000-0005-0000-0000-0000E11F0000}"/>
    <cellStyle name="Input 3 2 3 2 3 3" xfId="11305" xr:uid="{00000000-0005-0000-0000-0000E21F0000}"/>
    <cellStyle name="Input 3 2 3 2 3 4" xfId="15150" xr:uid="{00000000-0005-0000-0000-0000E31F0000}"/>
    <cellStyle name="Input 3 2 3 2 3 5" xfId="18993" xr:uid="{00000000-0005-0000-0000-0000E41F0000}"/>
    <cellStyle name="Input 3 2 3 2 3 6" xfId="22917" xr:uid="{00000000-0005-0000-0000-0000E51F0000}"/>
    <cellStyle name="Input 3 2 3 2 3 7" xfId="26744" xr:uid="{00000000-0005-0000-0000-0000E61F0000}"/>
    <cellStyle name="Input 3 2 3 2 3 8" xfId="30618" xr:uid="{00000000-0005-0000-0000-0000E71F0000}"/>
    <cellStyle name="Input 3 2 3 2 3 9" xfId="34276" xr:uid="{00000000-0005-0000-0000-0000E81F0000}"/>
    <cellStyle name="Input 3 2 3 2 4" xfId="4953" xr:uid="{00000000-0005-0000-0000-0000E91F0000}"/>
    <cellStyle name="Input 3 2 3 2 5" xfId="9308" xr:uid="{00000000-0005-0000-0000-0000EA1F0000}"/>
    <cellStyle name="Input 3 2 3 2 6" xfId="13149" xr:uid="{00000000-0005-0000-0000-0000EB1F0000}"/>
    <cellStyle name="Input 3 2 3 2 7" xfId="16975" xr:uid="{00000000-0005-0000-0000-0000EC1F0000}"/>
    <cellStyle name="Input 3 2 3 2 8" xfId="20917" xr:uid="{00000000-0005-0000-0000-0000ED1F0000}"/>
    <cellStyle name="Input 3 2 3 2 9" xfId="24732" xr:uid="{00000000-0005-0000-0000-0000EE1F0000}"/>
    <cellStyle name="Input 3 2 3 3" xfId="1385" xr:uid="{00000000-0005-0000-0000-0000EF1F0000}"/>
    <cellStyle name="Input 3 2 3 3 10" xfId="32672" xr:uid="{00000000-0005-0000-0000-0000F01F0000}"/>
    <cellStyle name="Input 3 2 3 3 11" xfId="36442" xr:uid="{00000000-0005-0000-0000-0000F11F0000}"/>
    <cellStyle name="Input 3 2 3 3 12" xfId="40433" xr:uid="{00000000-0005-0000-0000-0000F21F0000}"/>
    <cellStyle name="Input 3 2 3 3 13" xfId="44264" xr:uid="{00000000-0005-0000-0000-0000F31F0000}"/>
    <cellStyle name="Input 3 2 3 3 2" xfId="3375" xr:uid="{00000000-0005-0000-0000-0000F41F0000}"/>
    <cellStyle name="Input 3 2 3 3 2 10" xfId="38426" xr:uid="{00000000-0005-0000-0000-0000F51F0000}"/>
    <cellStyle name="Input 3 2 3 3 2 11" xfId="42437" xr:uid="{00000000-0005-0000-0000-0000F61F0000}"/>
    <cellStyle name="Input 3 2 3 3 2 12" xfId="46202" xr:uid="{00000000-0005-0000-0000-0000F71F0000}"/>
    <cellStyle name="Input 3 2 3 3 2 2" xfId="7242" xr:uid="{00000000-0005-0000-0000-0000F81F0000}"/>
    <cellStyle name="Input 3 2 3 3 2 3" xfId="11677" xr:uid="{00000000-0005-0000-0000-0000F91F0000}"/>
    <cellStyle name="Input 3 2 3 3 2 4" xfId="15522" xr:uid="{00000000-0005-0000-0000-0000FA1F0000}"/>
    <cellStyle name="Input 3 2 3 3 2 5" xfId="19369" xr:uid="{00000000-0005-0000-0000-0000FB1F0000}"/>
    <cellStyle name="Input 3 2 3 3 2 6" xfId="23285" xr:uid="{00000000-0005-0000-0000-0000FC1F0000}"/>
    <cellStyle name="Input 3 2 3 3 2 7" xfId="27119" xr:uid="{00000000-0005-0000-0000-0000FD1F0000}"/>
    <cellStyle name="Input 3 2 3 3 2 8" xfId="30987" xr:uid="{00000000-0005-0000-0000-0000FE1F0000}"/>
    <cellStyle name="Input 3 2 3 3 2 9" xfId="34640" xr:uid="{00000000-0005-0000-0000-0000FF1F0000}"/>
    <cellStyle name="Input 3 2 3 3 3" xfId="5318" xr:uid="{00000000-0005-0000-0000-000000200000}"/>
    <cellStyle name="Input 3 2 3 3 4" xfId="9676" xr:uid="{00000000-0005-0000-0000-000001200000}"/>
    <cellStyle name="Input 3 2 3 3 5" xfId="13522" xr:uid="{00000000-0005-0000-0000-000002200000}"/>
    <cellStyle name="Input 3 2 3 3 6" xfId="17351" xr:uid="{00000000-0005-0000-0000-000003200000}"/>
    <cellStyle name="Input 3 2 3 3 7" xfId="21290" xr:uid="{00000000-0005-0000-0000-000004200000}"/>
    <cellStyle name="Input 3 2 3 3 8" xfId="25103" xr:uid="{00000000-0005-0000-0000-000005200000}"/>
    <cellStyle name="Input 3 2 3 3 9" xfId="28990" xr:uid="{00000000-0005-0000-0000-000006200000}"/>
    <cellStyle name="Input 3 2 3 4" xfId="2632" xr:uid="{00000000-0005-0000-0000-000007200000}"/>
    <cellStyle name="Input 3 2 3 4 10" xfId="37684" xr:uid="{00000000-0005-0000-0000-000008200000}"/>
    <cellStyle name="Input 3 2 3 4 11" xfId="41698" xr:uid="{00000000-0005-0000-0000-000009200000}"/>
    <cellStyle name="Input 3 2 3 4 12" xfId="45485" xr:uid="{00000000-0005-0000-0000-00000A200000}"/>
    <cellStyle name="Input 3 2 3 4 2" xfId="6522" xr:uid="{00000000-0005-0000-0000-00000B200000}"/>
    <cellStyle name="Input 3 2 3 4 3" xfId="10946" xr:uid="{00000000-0005-0000-0000-00000C200000}"/>
    <cellStyle name="Input 3 2 3 4 4" xfId="14790" xr:uid="{00000000-0005-0000-0000-00000D200000}"/>
    <cellStyle name="Input 3 2 3 4 5" xfId="18626" xr:uid="{00000000-0005-0000-0000-00000E200000}"/>
    <cellStyle name="Input 3 2 3 4 6" xfId="22559" xr:uid="{00000000-0005-0000-0000-00000F200000}"/>
    <cellStyle name="Input 3 2 3 4 7" xfId="26377" xr:uid="{00000000-0005-0000-0000-000010200000}"/>
    <cellStyle name="Input 3 2 3 4 8" xfId="30256" xr:uid="{00000000-0005-0000-0000-000011200000}"/>
    <cellStyle name="Input 3 2 3 4 9" xfId="33923" xr:uid="{00000000-0005-0000-0000-000012200000}"/>
    <cellStyle name="Input 3 2 3 5" xfId="4598" xr:uid="{00000000-0005-0000-0000-000013200000}"/>
    <cellStyle name="Input 3 2 3 6" xfId="8938" xr:uid="{00000000-0005-0000-0000-000014200000}"/>
    <cellStyle name="Input 3 2 3 7" xfId="8550" xr:uid="{00000000-0005-0000-0000-000015200000}"/>
    <cellStyle name="Input 3 2 3 8" xfId="8478" xr:uid="{00000000-0005-0000-0000-000016200000}"/>
    <cellStyle name="Input 3 2 3 9" xfId="20542" xr:uid="{00000000-0005-0000-0000-000017200000}"/>
    <cellStyle name="Input 3 2 30" xfId="47365" xr:uid="{00000000-0005-0000-0000-000018200000}"/>
    <cellStyle name="Input 3 2 31" xfId="47453" xr:uid="{00000000-0005-0000-0000-000019200000}"/>
    <cellStyle name="Input 3 2 32" xfId="47500" xr:uid="{00000000-0005-0000-0000-00001A200000}"/>
    <cellStyle name="Input 3 2 4" xfId="796" xr:uid="{00000000-0005-0000-0000-00001B200000}"/>
    <cellStyle name="Input 3 2 4 10" xfId="24522" xr:uid="{00000000-0005-0000-0000-00001C200000}"/>
    <cellStyle name="Input 3 2 4 11" xfId="28411" xr:uid="{00000000-0005-0000-0000-00001D200000}"/>
    <cellStyle name="Input 3 2 4 12" xfId="32099" xr:uid="{00000000-0005-0000-0000-00001E200000}"/>
    <cellStyle name="Input 3 2 4 13" xfId="35854" xr:uid="{00000000-0005-0000-0000-00001F200000}"/>
    <cellStyle name="Input 3 2 4 14" xfId="39867" xr:uid="{00000000-0005-0000-0000-000020200000}"/>
    <cellStyle name="Input 3 2 4 15" xfId="43680" xr:uid="{00000000-0005-0000-0000-000021200000}"/>
    <cellStyle name="Input 3 2 4 2" xfId="1160" xr:uid="{00000000-0005-0000-0000-000022200000}"/>
    <cellStyle name="Input 3 2 4 2 10" xfId="28769" xr:uid="{00000000-0005-0000-0000-000023200000}"/>
    <cellStyle name="Input 3 2 4 2 11" xfId="32452" xr:uid="{00000000-0005-0000-0000-000024200000}"/>
    <cellStyle name="Input 3 2 4 2 12" xfId="36218" xr:uid="{00000000-0005-0000-0000-000025200000}"/>
    <cellStyle name="Input 3 2 4 2 13" xfId="40213" xr:uid="{00000000-0005-0000-0000-000026200000}"/>
    <cellStyle name="Input 3 2 4 2 14" xfId="44044" xr:uid="{00000000-0005-0000-0000-000027200000}"/>
    <cellStyle name="Input 3 2 4 2 2" xfId="1882" xr:uid="{00000000-0005-0000-0000-000028200000}"/>
    <cellStyle name="Input 3 2 4 2 2 10" xfId="33169" xr:uid="{00000000-0005-0000-0000-000029200000}"/>
    <cellStyle name="Input 3 2 4 2 2 11" xfId="36939" xr:uid="{00000000-0005-0000-0000-00002A200000}"/>
    <cellStyle name="Input 3 2 4 2 2 12" xfId="40930" xr:uid="{00000000-0005-0000-0000-00002B200000}"/>
    <cellStyle name="Input 3 2 4 2 2 13" xfId="44761" xr:uid="{00000000-0005-0000-0000-00002C200000}"/>
    <cellStyle name="Input 3 2 4 2 2 2" xfId="3872" xr:uid="{00000000-0005-0000-0000-00002D200000}"/>
    <cellStyle name="Input 3 2 4 2 2 2 10" xfId="38923" xr:uid="{00000000-0005-0000-0000-00002E200000}"/>
    <cellStyle name="Input 3 2 4 2 2 2 11" xfId="42934" xr:uid="{00000000-0005-0000-0000-00002F200000}"/>
    <cellStyle name="Input 3 2 4 2 2 2 12" xfId="46699" xr:uid="{00000000-0005-0000-0000-000030200000}"/>
    <cellStyle name="Input 3 2 4 2 2 2 2" xfId="7739" xr:uid="{00000000-0005-0000-0000-000031200000}"/>
    <cellStyle name="Input 3 2 4 2 2 2 3" xfId="12174" xr:uid="{00000000-0005-0000-0000-000032200000}"/>
    <cellStyle name="Input 3 2 4 2 2 2 4" xfId="16019" xr:uid="{00000000-0005-0000-0000-000033200000}"/>
    <cellStyle name="Input 3 2 4 2 2 2 5" xfId="19866" xr:uid="{00000000-0005-0000-0000-000034200000}"/>
    <cellStyle name="Input 3 2 4 2 2 2 6" xfId="23782" xr:uid="{00000000-0005-0000-0000-000035200000}"/>
    <cellStyle name="Input 3 2 4 2 2 2 7" xfId="27616" xr:uid="{00000000-0005-0000-0000-000036200000}"/>
    <cellStyle name="Input 3 2 4 2 2 2 8" xfId="31479" xr:uid="{00000000-0005-0000-0000-000037200000}"/>
    <cellStyle name="Input 3 2 4 2 2 2 9" xfId="35137" xr:uid="{00000000-0005-0000-0000-000038200000}"/>
    <cellStyle name="Input 3 2 4 2 2 3" xfId="5815" xr:uid="{00000000-0005-0000-0000-000039200000}"/>
    <cellStyle name="Input 3 2 4 2 2 4" xfId="10173" xr:uid="{00000000-0005-0000-0000-00003A200000}"/>
    <cellStyle name="Input 3 2 4 2 2 5" xfId="14019" xr:uid="{00000000-0005-0000-0000-00003B200000}"/>
    <cellStyle name="Input 3 2 4 2 2 6" xfId="17848" xr:uid="{00000000-0005-0000-0000-00003C200000}"/>
    <cellStyle name="Input 3 2 4 2 2 7" xfId="21787" xr:uid="{00000000-0005-0000-0000-00003D200000}"/>
    <cellStyle name="Input 3 2 4 2 2 8" xfId="25600" xr:uid="{00000000-0005-0000-0000-00003E200000}"/>
    <cellStyle name="Input 3 2 4 2 2 9" xfId="29487" xr:uid="{00000000-0005-0000-0000-00003F200000}"/>
    <cellStyle name="Input 3 2 4 2 3" xfId="3150" xr:uid="{00000000-0005-0000-0000-000040200000}"/>
    <cellStyle name="Input 3 2 4 2 3 10" xfId="38202" xr:uid="{00000000-0005-0000-0000-000041200000}"/>
    <cellStyle name="Input 3 2 4 2 3 11" xfId="42213" xr:uid="{00000000-0005-0000-0000-000042200000}"/>
    <cellStyle name="Input 3 2 4 2 3 12" xfId="45982" xr:uid="{00000000-0005-0000-0000-000043200000}"/>
    <cellStyle name="Input 3 2 4 2 3 2" xfId="7022" xr:uid="{00000000-0005-0000-0000-000044200000}"/>
    <cellStyle name="Input 3 2 4 2 3 3" xfId="11454" xr:uid="{00000000-0005-0000-0000-000045200000}"/>
    <cellStyle name="Input 3 2 4 2 3 4" xfId="15298" xr:uid="{00000000-0005-0000-0000-000046200000}"/>
    <cellStyle name="Input 3 2 4 2 3 5" xfId="19144" xr:uid="{00000000-0005-0000-0000-000047200000}"/>
    <cellStyle name="Input 3 2 4 2 3 6" xfId="23063" xr:uid="{00000000-0005-0000-0000-000048200000}"/>
    <cellStyle name="Input 3 2 4 2 3 7" xfId="26895" xr:uid="{00000000-0005-0000-0000-000049200000}"/>
    <cellStyle name="Input 3 2 4 2 3 8" xfId="30767" xr:uid="{00000000-0005-0000-0000-00004A200000}"/>
    <cellStyle name="Input 3 2 4 2 3 9" xfId="34420" xr:uid="{00000000-0005-0000-0000-00004B200000}"/>
    <cellStyle name="Input 3 2 4 2 4" xfId="5098" xr:uid="{00000000-0005-0000-0000-00004C200000}"/>
    <cellStyle name="Input 3 2 4 2 5" xfId="9454" xr:uid="{00000000-0005-0000-0000-00004D200000}"/>
    <cellStyle name="Input 3 2 4 2 6" xfId="13298" xr:uid="{00000000-0005-0000-0000-00004E200000}"/>
    <cellStyle name="Input 3 2 4 2 7" xfId="17126" xr:uid="{00000000-0005-0000-0000-00004F200000}"/>
    <cellStyle name="Input 3 2 4 2 8" xfId="21068" xr:uid="{00000000-0005-0000-0000-000050200000}"/>
    <cellStyle name="Input 3 2 4 2 9" xfId="24879" xr:uid="{00000000-0005-0000-0000-000051200000}"/>
    <cellStyle name="Input 3 2 4 3" xfId="1529" xr:uid="{00000000-0005-0000-0000-000052200000}"/>
    <cellStyle name="Input 3 2 4 3 10" xfId="32816" xr:uid="{00000000-0005-0000-0000-000053200000}"/>
    <cellStyle name="Input 3 2 4 3 11" xfId="36586" xr:uid="{00000000-0005-0000-0000-000054200000}"/>
    <cellStyle name="Input 3 2 4 3 12" xfId="40577" xr:uid="{00000000-0005-0000-0000-000055200000}"/>
    <cellStyle name="Input 3 2 4 3 13" xfId="44408" xr:uid="{00000000-0005-0000-0000-000056200000}"/>
    <cellStyle name="Input 3 2 4 3 2" xfId="3519" xr:uid="{00000000-0005-0000-0000-000057200000}"/>
    <cellStyle name="Input 3 2 4 3 2 10" xfId="38570" xr:uid="{00000000-0005-0000-0000-000058200000}"/>
    <cellStyle name="Input 3 2 4 3 2 11" xfId="42581" xr:uid="{00000000-0005-0000-0000-000059200000}"/>
    <cellStyle name="Input 3 2 4 3 2 12" xfId="46346" xr:uid="{00000000-0005-0000-0000-00005A200000}"/>
    <cellStyle name="Input 3 2 4 3 2 2" xfId="7386" xr:uid="{00000000-0005-0000-0000-00005B200000}"/>
    <cellStyle name="Input 3 2 4 3 2 3" xfId="11821" xr:uid="{00000000-0005-0000-0000-00005C200000}"/>
    <cellStyle name="Input 3 2 4 3 2 4" xfId="15666" xr:uid="{00000000-0005-0000-0000-00005D200000}"/>
    <cellStyle name="Input 3 2 4 3 2 5" xfId="19513" xr:uid="{00000000-0005-0000-0000-00005E200000}"/>
    <cellStyle name="Input 3 2 4 3 2 6" xfId="23429" xr:uid="{00000000-0005-0000-0000-00005F200000}"/>
    <cellStyle name="Input 3 2 4 3 2 7" xfId="27263" xr:uid="{00000000-0005-0000-0000-000060200000}"/>
    <cellStyle name="Input 3 2 4 3 2 8" xfId="31130" xr:uid="{00000000-0005-0000-0000-000061200000}"/>
    <cellStyle name="Input 3 2 4 3 2 9" xfId="34784" xr:uid="{00000000-0005-0000-0000-000062200000}"/>
    <cellStyle name="Input 3 2 4 3 3" xfId="5462" xr:uid="{00000000-0005-0000-0000-000063200000}"/>
    <cellStyle name="Input 3 2 4 3 4" xfId="9820" xr:uid="{00000000-0005-0000-0000-000064200000}"/>
    <cellStyle name="Input 3 2 4 3 5" xfId="13666" xr:uid="{00000000-0005-0000-0000-000065200000}"/>
    <cellStyle name="Input 3 2 4 3 6" xfId="17495" xr:uid="{00000000-0005-0000-0000-000066200000}"/>
    <cellStyle name="Input 3 2 4 3 7" xfId="21434" xr:uid="{00000000-0005-0000-0000-000067200000}"/>
    <cellStyle name="Input 3 2 4 3 8" xfId="25247" xr:uid="{00000000-0005-0000-0000-000068200000}"/>
    <cellStyle name="Input 3 2 4 3 9" xfId="29134" xr:uid="{00000000-0005-0000-0000-000069200000}"/>
    <cellStyle name="Input 3 2 4 4" xfId="2786" xr:uid="{00000000-0005-0000-0000-00006A200000}"/>
    <cellStyle name="Input 3 2 4 4 10" xfId="37838" xr:uid="{00000000-0005-0000-0000-00006B200000}"/>
    <cellStyle name="Input 3 2 4 4 11" xfId="41850" xr:uid="{00000000-0005-0000-0000-00006C200000}"/>
    <cellStyle name="Input 3 2 4 4 12" xfId="45629" xr:uid="{00000000-0005-0000-0000-00006D200000}"/>
    <cellStyle name="Input 3 2 4 4 2" xfId="6668" xr:uid="{00000000-0005-0000-0000-00006E200000}"/>
    <cellStyle name="Input 3 2 4 4 3" xfId="11094" xr:uid="{00000000-0005-0000-0000-00006F200000}"/>
    <cellStyle name="Input 3 2 4 4 4" xfId="14940" xr:uid="{00000000-0005-0000-0000-000070200000}"/>
    <cellStyle name="Input 3 2 4 4 5" xfId="18780" xr:uid="{00000000-0005-0000-0000-000071200000}"/>
    <cellStyle name="Input 3 2 4 4 6" xfId="22707" xr:uid="{00000000-0005-0000-0000-000072200000}"/>
    <cellStyle name="Input 3 2 4 4 7" xfId="26531" xr:uid="{00000000-0005-0000-0000-000073200000}"/>
    <cellStyle name="Input 3 2 4 4 8" xfId="30409" xr:uid="{00000000-0005-0000-0000-000074200000}"/>
    <cellStyle name="Input 3 2 4 4 9" xfId="34067" xr:uid="{00000000-0005-0000-0000-000075200000}"/>
    <cellStyle name="Input 3 2 4 5" xfId="4744" xr:uid="{00000000-0005-0000-0000-000076200000}"/>
    <cellStyle name="Input 3 2 4 6" xfId="9096" xr:uid="{00000000-0005-0000-0000-000077200000}"/>
    <cellStyle name="Input 3 2 4 7" xfId="12938" xr:uid="{00000000-0005-0000-0000-000078200000}"/>
    <cellStyle name="Input 3 2 4 8" xfId="16762" xr:uid="{00000000-0005-0000-0000-000079200000}"/>
    <cellStyle name="Input 3 2 4 9" xfId="20704" xr:uid="{00000000-0005-0000-0000-00007A200000}"/>
    <cellStyle name="Input 3 2 5" xfId="890" xr:uid="{00000000-0005-0000-0000-00007B200000}"/>
    <cellStyle name="Input 3 2 5 10" xfId="24614" xr:uid="{00000000-0005-0000-0000-00007C200000}"/>
    <cellStyle name="Input 3 2 5 11" xfId="28504" xr:uid="{00000000-0005-0000-0000-00007D200000}"/>
    <cellStyle name="Input 3 2 5 12" xfId="32191" xr:uid="{00000000-0005-0000-0000-00007E200000}"/>
    <cellStyle name="Input 3 2 5 13" xfId="35948" xr:uid="{00000000-0005-0000-0000-00007F200000}"/>
    <cellStyle name="Input 3 2 5 14" xfId="39958" xr:uid="{00000000-0005-0000-0000-000080200000}"/>
    <cellStyle name="Input 3 2 5 15" xfId="43774" xr:uid="{00000000-0005-0000-0000-000081200000}"/>
    <cellStyle name="Input 3 2 5 2" xfId="1227" xr:uid="{00000000-0005-0000-0000-000082200000}"/>
    <cellStyle name="Input 3 2 5 2 10" xfId="28835" xr:uid="{00000000-0005-0000-0000-000083200000}"/>
    <cellStyle name="Input 3 2 5 2 11" xfId="32519" xr:uid="{00000000-0005-0000-0000-000084200000}"/>
    <cellStyle name="Input 3 2 5 2 12" xfId="36285" xr:uid="{00000000-0005-0000-0000-000085200000}"/>
    <cellStyle name="Input 3 2 5 2 13" xfId="40278" xr:uid="{00000000-0005-0000-0000-000086200000}"/>
    <cellStyle name="Input 3 2 5 2 14" xfId="44111" xr:uid="{00000000-0005-0000-0000-000087200000}"/>
    <cellStyle name="Input 3 2 5 2 2" xfId="1949" xr:uid="{00000000-0005-0000-0000-000088200000}"/>
    <cellStyle name="Input 3 2 5 2 2 10" xfId="33236" xr:uid="{00000000-0005-0000-0000-000089200000}"/>
    <cellStyle name="Input 3 2 5 2 2 11" xfId="37006" xr:uid="{00000000-0005-0000-0000-00008A200000}"/>
    <cellStyle name="Input 3 2 5 2 2 12" xfId="40997" xr:uid="{00000000-0005-0000-0000-00008B200000}"/>
    <cellStyle name="Input 3 2 5 2 2 13" xfId="44828" xr:uid="{00000000-0005-0000-0000-00008C200000}"/>
    <cellStyle name="Input 3 2 5 2 2 2" xfId="3939" xr:uid="{00000000-0005-0000-0000-00008D200000}"/>
    <cellStyle name="Input 3 2 5 2 2 2 10" xfId="38990" xr:uid="{00000000-0005-0000-0000-00008E200000}"/>
    <cellStyle name="Input 3 2 5 2 2 2 11" xfId="43001" xr:uid="{00000000-0005-0000-0000-00008F200000}"/>
    <cellStyle name="Input 3 2 5 2 2 2 12" xfId="46766" xr:uid="{00000000-0005-0000-0000-000090200000}"/>
    <cellStyle name="Input 3 2 5 2 2 2 2" xfId="7806" xr:uid="{00000000-0005-0000-0000-000091200000}"/>
    <cellStyle name="Input 3 2 5 2 2 2 3" xfId="12241" xr:uid="{00000000-0005-0000-0000-000092200000}"/>
    <cellStyle name="Input 3 2 5 2 2 2 4" xfId="16086" xr:uid="{00000000-0005-0000-0000-000093200000}"/>
    <cellStyle name="Input 3 2 5 2 2 2 5" xfId="19933" xr:uid="{00000000-0005-0000-0000-000094200000}"/>
    <cellStyle name="Input 3 2 5 2 2 2 6" xfId="23849" xr:uid="{00000000-0005-0000-0000-000095200000}"/>
    <cellStyle name="Input 3 2 5 2 2 2 7" xfId="27683" xr:uid="{00000000-0005-0000-0000-000096200000}"/>
    <cellStyle name="Input 3 2 5 2 2 2 8" xfId="31544" xr:uid="{00000000-0005-0000-0000-000097200000}"/>
    <cellStyle name="Input 3 2 5 2 2 2 9" xfId="35204" xr:uid="{00000000-0005-0000-0000-000098200000}"/>
    <cellStyle name="Input 3 2 5 2 2 3" xfId="5882" xr:uid="{00000000-0005-0000-0000-000099200000}"/>
    <cellStyle name="Input 3 2 5 2 2 4" xfId="10240" xr:uid="{00000000-0005-0000-0000-00009A200000}"/>
    <cellStyle name="Input 3 2 5 2 2 5" xfId="14086" xr:uid="{00000000-0005-0000-0000-00009B200000}"/>
    <cellStyle name="Input 3 2 5 2 2 6" xfId="17915" xr:uid="{00000000-0005-0000-0000-00009C200000}"/>
    <cellStyle name="Input 3 2 5 2 2 7" xfId="21854" xr:uid="{00000000-0005-0000-0000-00009D200000}"/>
    <cellStyle name="Input 3 2 5 2 2 8" xfId="25667" xr:uid="{00000000-0005-0000-0000-00009E200000}"/>
    <cellStyle name="Input 3 2 5 2 2 9" xfId="29554" xr:uid="{00000000-0005-0000-0000-00009F200000}"/>
    <cellStyle name="Input 3 2 5 2 3" xfId="3217" xr:uid="{00000000-0005-0000-0000-0000A0200000}"/>
    <cellStyle name="Input 3 2 5 2 3 10" xfId="38269" xr:uid="{00000000-0005-0000-0000-0000A1200000}"/>
    <cellStyle name="Input 3 2 5 2 3 11" xfId="42280" xr:uid="{00000000-0005-0000-0000-0000A2200000}"/>
    <cellStyle name="Input 3 2 5 2 3 12" xfId="46049" xr:uid="{00000000-0005-0000-0000-0000A3200000}"/>
    <cellStyle name="Input 3 2 5 2 3 2" xfId="7089" xr:uid="{00000000-0005-0000-0000-0000A4200000}"/>
    <cellStyle name="Input 3 2 5 2 3 3" xfId="11521" xr:uid="{00000000-0005-0000-0000-0000A5200000}"/>
    <cellStyle name="Input 3 2 5 2 3 4" xfId="15365" xr:uid="{00000000-0005-0000-0000-0000A6200000}"/>
    <cellStyle name="Input 3 2 5 2 3 5" xfId="19211" xr:uid="{00000000-0005-0000-0000-0000A7200000}"/>
    <cellStyle name="Input 3 2 5 2 3 6" xfId="23130" xr:uid="{00000000-0005-0000-0000-0000A8200000}"/>
    <cellStyle name="Input 3 2 5 2 3 7" xfId="26962" xr:uid="{00000000-0005-0000-0000-0000A9200000}"/>
    <cellStyle name="Input 3 2 5 2 3 8" xfId="30832" xr:uid="{00000000-0005-0000-0000-0000AA200000}"/>
    <cellStyle name="Input 3 2 5 2 3 9" xfId="34487" xr:uid="{00000000-0005-0000-0000-0000AB200000}"/>
    <cellStyle name="Input 3 2 5 2 4" xfId="5165" xr:uid="{00000000-0005-0000-0000-0000AC200000}"/>
    <cellStyle name="Input 3 2 5 2 5" xfId="9521" xr:uid="{00000000-0005-0000-0000-0000AD200000}"/>
    <cellStyle name="Input 3 2 5 2 6" xfId="13365" xr:uid="{00000000-0005-0000-0000-0000AE200000}"/>
    <cellStyle name="Input 3 2 5 2 7" xfId="17193" xr:uid="{00000000-0005-0000-0000-0000AF200000}"/>
    <cellStyle name="Input 3 2 5 2 8" xfId="21135" xr:uid="{00000000-0005-0000-0000-0000B0200000}"/>
    <cellStyle name="Input 3 2 5 2 9" xfId="24946" xr:uid="{00000000-0005-0000-0000-0000B1200000}"/>
    <cellStyle name="Input 3 2 5 3" xfId="1621" xr:uid="{00000000-0005-0000-0000-0000B2200000}"/>
    <cellStyle name="Input 3 2 5 3 10" xfId="32908" xr:uid="{00000000-0005-0000-0000-0000B3200000}"/>
    <cellStyle name="Input 3 2 5 3 11" xfId="36678" xr:uid="{00000000-0005-0000-0000-0000B4200000}"/>
    <cellStyle name="Input 3 2 5 3 12" xfId="40669" xr:uid="{00000000-0005-0000-0000-0000B5200000}"/>
    <cellStyle name="Input 3 2 5 3 13" xfId="44500" xr:uid="{00000000-0005-0000-0000-0000B6200000}"/>
    <cellStyle name="Input 3 2 5 3 2" xfId="3611" xr:uid="{00000000-0005-0000-0000-0000B7200000}"/>
    <cellStyle name="Input 3 2 5 3 2 10" xfId="38662" xr:uid="{00000000-0005-0000-0000-0000B8200000}"/>
    <cellStyle name="Input 3 2 5 3 2 11" xfId="42673" xr:uid="{00000000-0005-0000-0000-0000B9200000}"/>
    <cellStyle name="Input 3 2 5 3 2 12" xfId="46438" xr:uid="{00000000-0005-0000-0000-0000BA200000}"/>
    <cellStyle name="Input 3 2 5 3 2 2" xfId="7478" xr:uid="{00000000-0005-0000-0000-0000BB200000}"/>
    <cellStyle name="Input 3 2 5 3 2 3" xfId="11913" xr:uid="{00000000-0005-0000-0000-0000BC200000}"/>
    <cellStyle name="Input 3 2 5 3 2 4" xfId="15758" xr:uid="{00000000-0005-0000-0000-0000BD200000}"/>
    <cellStyle name="Input 3 2 5 3 2 5" xfId="19605" xr:uid="{00000000-0005-0000-0000-0000BE200000}"/>
    <cellStyle name="Input 3 2 5 3 2 6" xfId="23521" xr:uid="{00000000-0005-0000-0000-0000BF200000}"/>
    <cellStyle name="Input 3 2 5 3 2 7" xfId="27355" xr:uid="{00000000-0005-0000-0000-0000C0200000}"/>
    <cellStyle name="Input 3 2 5 3 2 8" xfId="31220" xr:uid="{00000000-0005-0000-0000-0000C1200000}"/>
    <cellStyle name="Input 3 2 5 3 2 9" xfId="34876" xr:uid="{00000000-0005-0000-0000-0000C2200000}"/>
    <cellStyle name="Input 3 2 5 3 3" xfId="5554" xr:uid="{00000000-0005-0000-0000-0000C3200000}"/>
    <cellStyle name="Input 3 2 5 3 4" xfId="9912" xr:uid="{00000000-0005-0000-0000-0000C4200000}"/>
    <cellStyle name="Input 3 2 5 3 5" xfId="13758" xr:uid="{00000000-0005-0000-0000-0000C5200000}"/>
    <cellStyle name="Input 3 2 5 3 6" xfId="17587" xr:uid="{00000000-0005-0000-0000-0000C6200000}"/>
    <cellStyle name="Input 3 2 5 3 7" xfId="21526" xr:uid="{00000000-0005-0000-0000-0000C7200000}"/>
    <cellStyle name="Input 3 2 5 3 8" xfId="25339" xr:uid="{00000000-0005-0000-0000-0000C8200000}"/>
    <cellStyle name="Input 3 2 5 3 9" xfId="29226" xr:uid="{00000000-0005-0000-0000-0000C9200000}"/>
    <cellStyle name="Input 3 2 5 4" xfId="2880" xr:uid="{00000000-0005-0000-0000-0000CA200000}"/>
    <cellStyle name="Input 3 2 5 4 10" xfId="37932" xr:uid="{00000000-0005-0000-0000-0000CB200000}"/>
    <cellStyle name="Input 3 2 5 4 11" xfId="41944" xr:uid="{00000000-0005-0000-0000-0000CC200000}"/>
    <cellStyle name="Input 3 2 5 4 12" xfId="45721" xr:uid="{00000000-0005-0000-0000-0000CD200000}"/>
    <cellStyle name="Input 3 2 5 4 2" xfId="6760" xr:uid="{00000000-0005-0000-0000-0000CE200000}"/>
    <cellStyle name="Input 3 2 5 4 3" xfId="11187" xr:uid="{00000000-0005-0000-0000-0000CF200000}"/>
    <cellStyle name="Input 3 2 5 4 4" xfId="15032" xr:uid="{00000000-0005-0000-0000-0000D0200000}"/>
    <cellStyle name="Input 3 2 5 4 5" xfId="18874" xr:uid="{00000000-0005-0000-0000-0000D1200000}"/>
    <cellStyle name="Input 3 2 5 4 6" xfId="22800" xr:uid="{00000000-0005-0000-0000-0000D2200000}"/>
    <cellStyle name="Input 3 2 5 4 7" xfId="26625" xr:uid="{00000000-0005-0000-0000-0000D3200000}"/>
    <cellStyle name="Input 3 2 5 4 8" xfId="30501" xr:uid="{00000000-0005-0000-0000-0000D4200000}"/>
    <cellStyle name="Input 3 2 5 4 9" xfId="34159" xr:uid="{00000000-0005-0000-0000-0000D5200000}"/>
    <cellStyle name="Input 3 2 5 5" xfId="4836" xr:uid="{00000000-0005-0000-0000-0000D6200000}"/>
    <cellStyle name="Input 3 2 5 6" xfId="9190" xr:uid="{00000000-0005-0000-0000-0000D7200000}"/>
    <cellStyle name="Input 3 2 5 7" xfId="13031" xr:uid="{00000000-0005-0000-0000-0000D8200000}"/>
    <cellStyle name="Input 3 2 5 8" xfId="16856" xr:uid="{00000000-0005-0000-0000-0000D9200000}"/>
    <cellStyle name="Input 3 2 5 9" xfId="20798" xr:uid="{00000000-0005-0000-0000-0000DA200000}"/>
    <cellStyle name="Input 3 2 6" xfId="936" xr:uid="{00000000-0005-0000-0000-0000DB200000}"/>
    <cellStyle name="Input 3 2 6 10" xfId="28548" xr:uid="{00000000-0005-0000-0000-0000DC200000}"/>
    <cellStyle name="Input 3 2 6 11" xfId="32237" xr:uid="{00000000-0005-0000-0000-0000DD200000}"/>
    <cellStyle name="Input 3 2 6 12" xfId="35994" xr:uid="{00000000-0005-0000-0000-0000DE200000}"/>
    <cellStyle name="Input 3 2 6 13" xfId="40002" xr:uid="{00000000-0005-0000-0000-0000DF200000}"/>
    <cellStyle name="Input 3 2 6 14" xfId="43820" xr:uid="{00000000-0005-0000-0000-0000E0200000}"/>
    <cellStyle name="Input 3 2 6 2" xfId="1667" xr:uid="{00000000-0005-0000-0000-0000E1200000}"/>
    <cellStyle name="Input 3 2 6 2 10" xfId="32954" xr:uid="{00000000-0005-0000-0000-0000E2200000}"/>
    <cellStyle name="Input 3 2 6 2 11" xfId="36724" xr:uid="{00000000-0005-0000-0000-0000E3200000}"/>
    <cellStyle name="Input 3 2 6 2 12" xfId="40715" xr:uid="{00000000-0005-0000-0000-0000E4200000}"/>
    <cellStyle name="Input 3 2 6 2 13" xfId="44546" xr:uid="{00000000-0005-0000-0000-0000E5200000}"/>
    <cellStyle name="Input 3 2 6 2 2" xfId="3657" xr:uid="{00000000-0005-0000-0000-0000E6200000}"/>
    <cellStyle name="Input 3 2 6 2 2 10" xfId="38708" xr:uid="{00000000-0005-0000-0000-0000E7200000}"/>
    <cellStyle name="Input 3 2 6 2 2 11" xfId="42719" xr:uid="{00000000-0005-0000-0000-0000E8200000}"/>
    <cellStyle name="Input 3 2 6 2 2 12" xfId="46484" xr:uid="{00000000-0005-0000-0000-0000E9200000}"/>
    <cellStyle name="Input 3 2 6 2 2 2" xfId="7524" xr:uid="{00000000-0005-0000-0000-0000EA200000}"/>
    <cellStyle name="Input 3 2 6 2 2 3" xfId="11959" xr:uid="{00000000-0005-0000-0000-0000EB200000}"/>
    <cellStyle name="Input 3 2 6 2 2 4" xfId="15804" xr:uid="{00000000-0005-0000-0000-0000EC200000}"/>
    <cellStyle name="Input 3 2 6 2 2 5" xfId="19651" xr:uid="{00000000-0005-0000-0000-0000ED200000}"/>
    <cellStyle name="Input 3 2 6 2 2 6" xfId="23567" xr:uid="{00000000-0005-0000-0000-0000EE200000}"/>
    <cellStyle name="Input 3 2 6 2 2 7" xfId="27401" xr:uid="{00000000-0005-0000-0000-0000EF200000}"/>
    <cellStyle name="Input 3 2 6 2 2 8" xfId="31265" xr:uid="{00000000-0005-0000-0000-0000F0200000}"/>
    <cellStyle name="Input 3 2 6 2 2 9" xfId="34922" xr:uid="{00000000-0005-0000-0000-0000F1200000}"/>
    <cellStyle name="Input 3 2 6 2 3" xfId="5600" xr:uid="{00000000-0005-0000-0000-0000F2200000}"/>
    <cellStyle name="Input 3 2 6 2 4" xfId="9958" xr:uid="{00000000-0005-0000-0000-0000F3200000}"/>
    <cellStyle name="Input 3 2 6 2 5" xfId="13804" xr:uid="{00000000-0005-0000-0000-0000F4200000}"/>
    <cellStyle name="Input 3 2 6 2 6" xfId="17633" xr:uid="{00000000-0005-0000-0000-0000F5200000}"/>
    <cellStyle name="Input 3 2 6 2 7" xfId="21572" xr:uid="{00000000-0005-0000-0000-0000F6200000}"/>
    <cellStyle name="Input 3 2 6 2 8" xfId="25385" xr:uid="{00000000-0005-0000-0000-0000F7200000}"/>
    <cellStyle name="Input 3 2 6 2 9" xfId="29272" xr:uid="{00000000-0005-0000-0000-0000F8200000}"/>
    <cellStyle name="Input 3 2 6 3" xfId="2926" xr:uid="{00000000-0005-0000-0000-0000F9200000}"/>
    <cellStyle name="Input 3 2 6 3 10" xfId="37978" xr:uid="{00000000-0005-0000-0000-0000FA200000}"/>
    <cellStyle name="Input 3 2 6 3 11" xfId="41990" xr:uid="{00000000-0005-0000-0000-0000FB200000}"/>
    <cellStyle name="Input 3 2 6 3 12" xfId="45767" xr:uid="{00000000-0005-0000-0000-0000FC200000}"/>
    <cellStyle name="Input 3 2 6 3 2" xfId="6806" xr:uid="{00000000-0005-0000-0000-0000FD200000}"/>
    <cellStyle name="Input 3 2 6 3 3" xfId="11233" xr:uid="{00000000-0005-0000-0000-0000FE200000}"/>
    <cellStyle name="Input 3 2 6 3 4" xfId="15078" xr:uid="{00000000-0005-0000-0000-0000FF200000}"/>
    <cellStyle name="Input 3 2 6 3 5" xfId="18920" xr:uid="{00000000-0005-0000-0000-000000210000}"/>
    <cellStyle name="Input 3 2 6 3 6" xfId="22846" xr:uid="{00000000-0005-0000-0000-000001210000}"/>
    <cellStyle name="Input 3 2 6 3 7" xfId="26671" xr:uid="{00000000-0005-0000-0000-000002210000}"/>
    <cellStyle name="Input 3 2 6 3 8" xfId="30546" xr:uid="{00000000-0005-0000-0000-000003210000}"/>
    <cellStyle name="Input 3 2 6 3 9" xfId="34205" xr:uid="{00000000-0005-0000-0000-000004210000}"/>
    <cellStyle name="Input 3 2 6 4" xfId="4882" xr:uid="{00000000-0005-0000-0000-000005210000}"/>
    <cellStyle name="Input 3 2 6 5" xfId="9236" xr:uid="{00000000-0005-0000-0000-000006210000}"/>
    <cellStyle name="Input 3 2 6 6" xfId="13077" xr:uid="{00000000-0005-0000-0000-000007210000}"/>
    <cellStyle name="Input 3 2 6 7" xfId="16902" xr:uid="{00000000-0005-0000-0000-000008210000}"/>
    <cellStyle name="Input 3 2 6 8" xfId="20844" xr:uid="{00000000-0005-0000-0000-000009210000}"/>
    <cellStyle name="Input 3 2 6 9" xfId="24660" xr:uid="{00000000-0005-0000-0000-00000A210000}"/>
    <cellStyle name="Input 3 2 7" xfId="1314" xr:uid="{00000000-0005-0000-0000-00000B210000}"/>
    <cellStyle name="Input 3 2 7 10" xfId="32601" xr:uid="{00000000-0005-0000-0000-00000C210000}"/>
    <cellStyle name="Input 3 2 7 11" xfId="36371" xr:uid="{00000000-0005-0000-0000-00000D210000}"/>
    <cellStyle name="Input 3 2 7 12" xfId="40362" xr:uid="{00000000-0005-0000-0000-00000E210000}"/>
    <cellStyle name="Input 3 2 7 13" xfId="44193" xr:uid="{00000000-0005-0000-0000-00000F210000}"/>
    <cellStyle name="Input 3 2 7 2" xfId="3304" xr:uid="{00000000-0005-0000-0000-000010210000}"/>
    <cellStyle name="Input 3 2 7 2 10" xfId="38355" xr:uid="{00000000-0005-0000-0000-000011210000}"/>
    <cellStyle name="Input 3 2 7 2 11" xfId="42366" xr:uid="{00000000-0005-0000-0000-000012210000}"/>
    <cellStyle name="Input 3 2 7 2 12" xfId="46131" xr:uid="{00000000-0005-0000-0000-000013210000}"/>
    <cellStyle name="Input 3 2 7 2 2" xfId="7171" xr:uid="{00000000-0005-0000-0000-000014210000}"/>
    <cellStyle name="Input 3 2 7 2 3" xfId="11606" xr:uid="{00000000-0005-0000-0000-000015210000}"/>
    <cellStyle name="Input 3 2 7 2 4" xfId="15451" xr:uid="{00000000-0005-0000-0000-000016210000}"/>
    <cellStyle name="Input 3 2 7 2 5" xfId="19298" xr:uid="{00000000-0005-0000-0000-000017210000}"/>
    <cellStyle name="Input 3 2 7 2 6" xfId="23214" xr:uid="{00000000-0005-0000-0000-000018210000}"/>
    <cellStyle name="Input 3 2 7 2 7" xfId="27048" xr:uid="{00000000-0005-0000-0000-000019210000}"/>
    <cellStyle name="Input 3 2 7 2 8" xfId="30917" xr:uid="{00000000-0005-0000-0000-00001A210000}"/>
    <cellStyle name="Input 3 2 7 2 9" xfId="34569" xr:uid="{00000000-0005-0000-0000-00001B210000}"/>
    <cellStyle name="Input 3 2 7 3" xfId="5247" xr:uid="{00000000-0005-0000-0000-00001C210000}"/>
    <cellStyle name="Input 3 2 7 4" xfId="9605" xr:uid="{00000000-0005-0000-0000-00001D210000}"/>
    <cellStyle name="Input 3 2 7 5" xfId="13451" xr:uid="{00000000-0005-0000-0000-00001E210000}"/>
    <cellStyle name="Input 3 2 7 6" xfId="17280" xr:uid="{00000000-0005-0000-0000-00001F210000}"/>
    <cellStyle name="Input 3 2 7 7" xfId="21219" xr:uid="{00000000-0005-0000-0000-000020210000}"/>
    <cellStyle name="Input 3 2 7 8" xfId="25032" xr:uid="{00000000-0005-0000-0000-000021210000}"/>
    <cellStyle name="Input 3 2 7 9" xfId="28919" xr:uid="{00000000-0005-0000-0000-000022210000}"/>
    <cellStyle name="Input 3 2 8" xfId="2009" xr:uid="{00000000-0005-0000-0000-000023210000}"/>
    <cellStyle name="Input 3 2 8 10" xfId="33296" xr:uid="{00000000-0005-0000-0000-000024210000}"/>
    <cellStyle name="Input 3 2 8 11" xfId="37065" xr:uid="{00000000-0005-0000-0000-000025210000}"/>
    <cellStyle name="Input 3 2 8 12" xfId="41057" xr:uid="{00000000-0005-0000-0000-000026210000}"/>
    <cellStyle name="Input 3 2 8 13" xfId="44887" xr:uid="{00000000-0005-0000-0000-000027210000}"/>
    <cellStyle name="Input 3 2 8 2" xfId="3998" xr:uid="{00000000-0005-0000-0000-000028210000}"/>
    <cellStyle name="Input 3 2 8 2 10" xfId="39049" xr:uid="{00000000-0005-0000-0000-000029210000}"/>
    <cellStyle name="Input 3 2 8 2 11" xfId="43060" xr:uid="{00000000-0005-0000-0000-00002A210000}"/>
    <cellStyle name="Input 3 2 8 2 12" xfId="46825" xr:uid="{00000000-0005-0000-0000-00002B210000}"/>
    <cellStyle name="Input 3 2 8 2 2" xfId="7865" xr:uid="{00000000-0005-0000-0000-00002C210000}"/>
    <cellStyle name="Input 3 2 8 2 3" xfId="12300" xr:uid="{00000000-0005-0000-0000-00002D210000}"/>
    <cellStyle name="Input 3 2 8 2 4" xfId="16145" xr:uid="{00000000-0005-0000-0000-00002E210000}"/>
    <cellStyle name="Input 3 2 8 2 5" xfId="19992" xr:uid="{00000000-0005-0000-0000-00002F210000}"/>
    <cellStyle name="Input 3 2 8 2 6" xfId="23908" xr:uid="{00000000-0005-0000-0000-000030210000}"/>
    <cellStyle name="Input 3 2 8 2 7" xfId="27742" xr:uid="{00000000-0005-0000-0000-000031210000}"/>
    <cellStyle name="Input 3 2 8 2 8" xfId="31602" xr:uid="{00000000-0005-0000-0000-000032210000}"/>
    <cellStyle name="Input 3 2 8 2 9" xfId="35263" xr:uid="{00000000-0005-0000-0000-000033210000}"/>
    <cellStyle name="Input 3 2 8 3" xfId="5941" xr:uid="{00000000-0005-0000-0000-000034210000}"/>
    <cellStyle name="Input 3 2 8 4" xfId="10299" xr:uid="{00000000-0005-0000-0000-000035210000}"/>
    <cellStyle name="Input 3 2 8 5" xfId="14146" xr:uid="{00000000-0005-0000-0000-000036210000}"/>
    <cellStyle name="Input 3 2 8 6" xfId="17975" xr:uid="{00000000-0005-0000-0000-000037210000}"/>
    <cellStyle name="Input 3 2 8 7" xfId="21914" xr:uid="{00000000-0005-0000-0000-000038210000}"/>
    <cellStyle name="Input 3 2 8 8" xfId="25727" xr:uid="{00000000-0005-0000-0000-000039210000}"/>
    <cellStyle name="Input 3 2 8 9" xfId="29614" xr:uid="{00000000-0005-0000-0000-00003A210000}"/>
    <cellStyle name="Input 3 2 9" xfId="2056" xr:uid="{00000000-0005-0000-0000-00003B210000}"/>
    <cellStyle name="Input 3 2 9 10" xfId="33340" xr:uid="{00000000-0005-0000-0000-00003C210000}"/>
    <cellStyle name="Input 3 2 9 11" xfId="37112" xr:uid="{00000000-0005-0000-0000-00003D210000}"/>
    <cellStyle name="Input 3 2 9 12" xfId="41102" xr:uid="{00000000-0005-0000-0000-00003E210000}"/>
    <cellStyle name="Input 3 2 9 13" xfId="44931" xr:uid="{00000000-0005-0000-0000-00003F210000}"/>
    <cellStyle name="Input 3 2 9 2" xfId="4045" xr:uid="{00000000-0005-0000-0000-000040210000}"/>
    <cellStyle name="Input 3 2 9 2 10" xfId="39096" xr:uid="{00000000-0005-0000-0000-000041210000}"/>
    <cellStyle name="Input 3 2 9 2 11" xfId="43106" xr:uid="{00000000-0005-0000-0000-000042210000}"/>
    <cellStyle name="Input 3 2 9 2 12" xfId="46869" xr:uid="{00000000-0005-0000-0000-000043210000}"/>
    <cellStyle name="Input 3 2 9 2 2" xfId="7910" xr:uid="{00000000-0005-0000-0000-000044210000}"/>
    <cellStyle name="Input 3 2 9 2 3" xfId="12345" xr:uid="{00000000-0005-0000-0000-000045210000}"/>
    <cellStyle name="Input 3 2 9 2 4" xfId="16191" xr:uid="{00000000-0005-0000-0000-000046210000}"/>
    <cellStyle name="Input 3 2 9 2 5" xfId="20039" xr:uid="{00000000-0005-0000-0000-000047210000}"/>
    <cellStyle name="Input 3 2 9 2 6" xfId="23954" xr:uid="{00000000-0005-0000-0000-000048210000}"/>
    <cellStyle name="Input 3 2 9 2 7" xfId="27789" xr:uid="{00000000-0005-0000-0000-000049210000}"/>
    <cellStyle name="Input 3 2 9 2 8" xfId="31648" xr:uid="{00000000-0005-0000-0000-00004A210000}"/>
    <cellStyle name="Input 3 2 9 2 9" xfId="35307" xr:uid="{00000000-0005-0000-0000-00004B210000}"/>
    <cellStyle name="Input 3 2 9 3" xfId="5986" xr:uid="{00000000-0005-0000-0000-00004C210000}"/>
    <cellStyle name="Input 3 2 9 4" xfId="10344" xr:uid="{00000000-0005-0000-0000-00004D210000}"/>
    <cellStyle name="Input 3 2 9 5" xfId="14192" xr:uid="{00000000-0005-0000-0000-00004E210000}"/>
    <cellStyle name="Input 3 2 9 6" xfId="18022" xr:uid="{00000000-0005-0000-0000-00004F210000}"/>
    <cellStyle name="Input 3 2 9 7" xfId="21960" xr:uid="{00000000-0005-0000-0000-000050210000}"/>
    <cellStyle name="Input 3 2 9 8" xfId="25774" xr:uid="{00000000-0005-0000-0000-000051210000}"/>
    <cellStyle name="Input 3 2 9 9" xfId="29660" xr:uid="{00000000-0005-0000-0000-000052210000}"/>
    <cellStyle name="Input 3 20" xfId="8508" xr:uid="{00000000-0005-0000-0000-000053210000}"/>
    <cellStyle name="Input 3 21" xfId="39598" xr:uid="{00000000-0005-0000-0000-000054210000}"/>
    <cellStyle name="Input 3 22" xfId="47304" xr:uid="{00000000-0005-0000-0000-000055210000}"/>
    <cellStyle name="Input 3 23" xfId="47410" xr:uid="{00000000-0005-0000-0000-000056210000}"/>
    <cellStyle name="Input 3 24" xfId="47525" xr:uid="{00000000-0005-0000-0000-000057210000}"/>
    <cellStyle name="Input 3 3" xfId="582" xr:uid="{00000000-0005-0000-0000-000058210000}"/>
    <cellStyle name="Input 3 3 10" xfId="20700" xr:uid="{00000000-0005-0000-0000-000059210000}"/>
    <cellStyle name="Input 3 3 11" xfId="23056" xr:uid="{00000000-0005-0000-0000-00005A210000}"/>
    <cellStyle name="Input 3 3 12" xfId="30275" xr:uid="{00000000-0005-0000-0000-00005B210000}"/>
    <cellStyle name="Input 3 3 13" xfId="8659" xr:uid="{00000000-0005-0000-0000-00005C210000}"/>
    <cellStyle name="Input 3 3 14" xfId="39679" xr:uid="{00000000-0005-0000-0000-00005D210000}"/>
    <cellStyle name="Input 3 3 15" xfId="41123" xr:uid="{00000000-0005-0000-0000-00005E210000}"/>
    <cellStyle name="Input 3 3 2" xfId="962" xr:uid="{00000000-0005-0000-0000-00005F210000}"/>
    <cellStyle name="Input 3 3 2 10" xfId="28573" xr:uid="{00000000-0005-0000-0000-000060210000}"/>
    <cellStyle name="Input 3 3 2 11" xfId="32263" xr:uid="{00000000-0005-0000-0000-000061210000}"/>
    <cellStyle name="Input 3 3 2 12" xfId="36020" xr:uid="{00000000-0005-0000-0000-000062210000}"/>
    <cellStyle name="Input 3 3 2 13" xfId="40027" xr:uid="{00000000-0005-0000-0000-000063210000}"/>
    <cellStyle name="Input 3 3 2 14" xfId="43846" xr:uid="{00000000-0005-0000-0000-000064210000}"/>
    <cellStyle name="Input 3 3 2 2" xfId="1693" xr:uid="{00000000-0005-0000-0000-000065210000}"/>
    <cellStyle name="Input 3 3 2 2 10" xfId="32980" xr:uid="{00000000-0005-0000-0000-000066210000}"/>
    <cellStyle name="Input 3 3 2 2 11" xfId="36750" xr:uid="{00000000-0005-0000-0000-000067210000}"/>
    <cellStyle name="Input 3 3 2 2 12" xfId="40741" xr:uid="{00000000-0005-0000-0000-000068210000}"/>
    <cellStyle name="Input 3 3 2 2 13" xfId="44572" xr:uid="{00000000-0005-0000-0000-000069210000}"/>
    <cellStyle name="Input 3 3 2 2 2" xfId="3683" xr:uid="{00000000-0005-0000-0000-00006A210000}"/>
    <cellStyle name="Input 3 3 2 2 2 10" xfId="38734" xr:uid="{00000000-0005-0000-0000-00006B210000}"/>
    <cellStyle name="Input 3 3 2 2 2 11" xfId="42745" xr:uid="{00000000-0005-0000-0000-00006C210000}"/>
    <cellStyle name="Input 3 3 2 2 2 12" xfId="46510" xr:uid="{00000000-0005-0000-0000-00006D210000}"/>
    <cellStyle name="Input 3 3 2 2 2 2" xfId="7550" xr:uid="{00000000-0005-0000-0000-00006E210000}"/>
    <cellStyle name="Input 3 3 2 2 2 3" xfId="11985" xr:uid="{00000000-0005-0000-0000-00006F210000}"/>
    <cellStyle name="Input 3 3 2 2 2 4" xfId="15830" xr:uid="{00000000-0005-0000-0000-000070210000}"/>
    <cellStyle name="Input 3 3 2 2 2 5" xfId="19677" xr:uid="{00000000-0005-0000-0000-000071210000}"/>
    <cellStyle name="Input 3 3 2 2 2 6" xfId="23593" xr:uid="{00000000-0005-0000-0000-000072210000}"/>
    <cellStyle name="Input 3 3 2 2 2 7" xfId="27427" xr:uid="{00000000-0005-0000-0000-000073210000}"/>
    <cellStyle name="Input 3 3 2 2 2 8" xfId="31291" xr:uid="{00000000-0005-0000-0000-000074210000}"/>
    <cellStyle name="Input 3 3 2 2 2 9" xfId="34948" xr:uid="{00000000-0005-0000-0000-000075210000}"/>
    <cellStyle name="Input 3 3 2 2 3" xfId="5626" xr:uid="{00000000-0005-0000-0000-000076210000}"/>
    <cellStyle name="Input 3 3 2 2 4" xfId="9984" xr:uid="{00000000-0005-0000-0000-000077210000}"/>
    <cellStyle name="Input 3 3 2 2 5" xfId="13830" xr:uid="{00000000-0005-0000-0000-000078210000}"/>
    <cellStyle name="Input 3 3 2 2 6" xfId="17659" xr:uid="{00000000-0005-0000-0000-000079210000}"/>
    <cellStyle name="Input 3 3 2 2 7" xfId="21598" xr:uid="{00000000-0005-0000-0000-00007A210000}"/>
    <cellStyle name="Input 3 3 2 2 8" xfId="25411" xr:uid="{00000000-0005-0000-0000-00007B210000}"/>
    <cellStyle name="Input 3 3 2 2 9" xfId="29298" xr:uid="{00000000-0005-0000-0000-00007C210000}"/>
    <cellStyle name="Input 3 3 2 3" xfId="2952" xr:uid="{00000000-0005-0000-0000-00007D210000}"/>
    <cellStyle name="Input 3 3 2 3 10" xfId="38004" xr:uid="{00000000-0005-0000-0000-00007E210000}"/>
    <cellStyle name="Input 3 3 2 3 11" xfId="42016" xr:uid="{00000000-0005-0000-0000-00007F210000}"/>
    <cellStyle name="Input 3 3 2 3 12" xfId="45793" xr:uid="{00000000-0005-0000-0000-000080210000}"/>
    <cellStyle name="Input 3 3 2 3 2" xfId="6832" xr:uid="{00000000-0005-0000-0000-000081210000}"/>
    <cellStyle name="Input 3 3 2 3 3" xfId="11259" xr:uid="{00000000-0005-0000-0000-000082210000}"/>
    <cellStyle name="Input 3 3 2 3 4" xfId="15104" xr:uid="{00000000-0005-0000-0000-000083210000}"/>
    <cellStyle name="Input 3 3 2 3 5" xfId="18946" xr:uid="{00000000-0005-0000-0000-000084210000}"/>
    <cellStyle name="Input 3 3 2 3 6" xfId="22872" xr:uid="{00000000-0005-0000-0000-000085210000}"/>
    <cellStyle name="Input 3 3 2 3 7" xfId="26697" xr:uid="{00000000-0005-0000-0000-000086210000}"/>
    <cellStyle name="Input 3 3 2 3 8" xfId="30571" xr:uid="{00000000-0005-0000-0000-000087210000}"/>
    <cellStyle name="Input 3 3 2 3 9" xfId="34231" xr:uid="{00000000-0005-0000-0000-000088210000}"/>
    <cellStyle name="Input 3 3 2 4" xfId="4908" xr:uid="{00000000-0005-0000-0000-000089210000}"/>
    <cellStyle name="Input 3 3 2 5" xfId="9262" xr:uid="{00000000-0005-0000-0000-00008A210000}"/>
    <cellStyle name="Input 3 3 2 6" xfId="13103" xr:uid="{00000000-0005-0000-0000-00008B210000}"/>
    <cellStyle name="Input 3 3 2 7" xfId="16928" xr:uid="{00000000-0005-0000-0000-00008C210000}"/>
    <cellStyle name="Input 3 3 2 8" xfId="20870" xr:uid="{00000000-0005-0000-0000-00008D210000}"/>
    <cellStyle name="Input 3 3 2 9" xfId="24686" xr:uid="{00000000-0005-0000-0000-00008E210000}"/>
    <cellStyle name="Input 3 3 3" xfId="1340" xr:uid="{00000000-0005-0000-0000-00008F210000}"/>
    <cellStyle name="Input 3 3 3 10" xfId="32627" xr:uid="{00000000-0005-0000-0000-000090210000}"/>
    <cellStyle name="Input 3 3 3 11" xfId="36397" xr:uid="{00000000-0005-0000-0000-000091210000}"/>
    <cellStyle name="Input 3 3 3 12" xfId="40388" xr:uid="{00000000-0005-0000-0000-000092210000}"/>
    <cellStyle name="Input 3 3 3 13" xfId="44219" xr:uid="{00000000-0005-0000-0000-000093210000}"/>
    <cellStyle name="Input 3 3 3 2" xfId="3330" xr:uid="{00000000-0005-0000-0000-000094210000}"/>
    <cellStyle name="Input 3 3 3 2 10" xfId="38381" xr:uid="{00000000-0005-0000-0000-000095210000}"/>
    <cellStyle name="Input 3 3 3 2 11" xfId="42392" xr:uid="{00000000-0005-0000-0000-000096210000}"/>
    <cellStyle name="Input 3 3 3 2 12" xfId="46157" xr:uid="{00000000-0005-0000-0000-000097210000}"/>
    <cellStyle name="Input 3 3 3 2 2" xfId="7197" xr:uid="{00000000-0005-0000-0000-000098210000}"/>
    <cellStyle name="Input 3 3 3 2 3" xfId="11632" xr:uid="{00000000-0005-0000-0000-000099210000}"/>
    <cellStyle name="Input 3 3 3 2 4" xfId="15477" xr:uid="{00000000-0005-0000-0000-00009A210000}"/>
    <cellStyle name="Input 3 3 3 2 5" xfId="19324" xr:uid="{00000000-0005-0000-0000-00009B210000}"/>
    <cellStyle name="Input 3 3 3 2 6" xfId="23240" xr:uid="{00000000-0005-0000-0000-00009C210000}"/>
    <cellStyle name="Input 3 3 3 2 7" xfId="27074" xr:uid="{00000000-0005-0000-0000-00009D210000}"/>
    <cellStyle name="Input 3 3 3 2 8" xfId="30942" xr:uid="{00000000-0005-0000-0000-00009E210000}"/>
    <cellStyle name="Input 3 3 3 2 9" xfId="34595" xr:uid="{00000000-0005-0000-0000-00009F210000}"/>
    <cellStyle name="Input 3 3 3 3" xfId="5273" xr:uid="{00000000-0005-0000-0000-0000A0210000}"/>
    <cellStyle name="Input 3 3 3 4" xfId="9631" xr:uid="{00000000-0005-0000-0000-0000A1210000}"/>
    <cellStyle name="Input 3 3 3 5" xfId="13477" xr:uid="{00000000-0005-0000-0000-0000A2210000}"/>
    <cellStyle name="Input 3 3 3 6" xfId="17306" xr:uid="{00000000-0005-0000-0000-0000A3210000}"/>
    <cellStyle name="Input 3 3 3 7" xfId="21245" xr:uid="{00000000-0005-0000-0000-0000A4210000}"/>
    <cellStyle name="Input 3 3 3 8" xfId="25058" xr:uid="{00000000-0005-0000-0000-0000A5210000}"/>
    <cellStyle name="Input 3 3 3 9" xfId="28945" xr:uid="{00000000-0005-0000-0000-0000A6210000}"/>
    <cellStyle name="Input 3 3 4" xfId="2585" xr:uid="{00000000-0005-0000-0000-0000A7210000}"/>
    <cellStyle name="Input 3 3 4 10" xfId="37637" xr:uid="{00000000-0005-0000-0000-0000A8210000}"/>
    <cellStyle name="Input 3 3 4 11" xfId="41651" xr:uid="{00000000-0005-0000-0000-0000A9210000}"/>
    <cellStyle name="Input 3 3 4 12" xfId="45440" xr:uid="{00000000-0005-0000-0000-0000AA210000}"/>
    <cellStyle name="Input 3 3 4 2" xfId="6477" xr:uid="{00000000-0005-0000-0000-0000AB210000}"/>
    <cellStyle name="Input 3 3 4 3" xfId="10900" xr:uid="{00000000-0005-0000-0000-0000AC210000}"/>
    <cellStyle name="Input 3 3 4 4" xfId="14744" xr:uid="{00000000-0005-0000-0000-0000AD210000}"/>
    <cellStyle name="Input 3 3 4 5" xfId="18579" xr:uid="{00000000-0005-0000-0000-0000AE210000}"/>
    <cellStyle name="Input 3 3 4 6" xfId="22514" xr:uid="{00000000-0005-0000-0000-0000AF210000}"/>
    <cellStyle name="Input 3 3 4 7" xfId="26330" xr:uid="{00000000-0005-0000-0000-0000B0210000}"/>
    <cellStyle name="Input 3 3 4 8" xfId="30209" xr:uid="{00000000-0005-0000-0000-0000B1210000}"/>
    <cellStyle name="Input 3 3 4 9" xfId="33878" xr:uid="{00000000-0005-0000-0000-0000B2210000}"/>
    <cellStyle name="Input 3 3 5" xfId="4553" xr:uid="{00000000-0005-0000-0000-0000B3210000}"/>
    <cellStyle name="Input 3 3 6" xfId="8892" xr:uid="{00000000-0005-0000-0000-0000B4210000}"/>
    <cellStyle name="Input 3 3 7" xfId="8540" xr:uid="{00000000-0005-0000-0000-0000B5210000}"/>
    <cellStyle name="Input 3 3 8" xfId="8818" xr:uid="{00000000-0005-0000-0000-0000B6210000}"/>
    <cellStyle name="Input 3 3 9" xfId="20495" xr:uid="{00000000-0005-0000-0000-0000B7210000}"/>
    <cellStyle name="Input 3 4" xfId="752" xr:uid="{00000000-0005-0000-0000-0000B8210000}"/>
    <cellStyle name="Input 3 4 10" xfId="24482" xr:uid="{00000000-0005-0000-0000-0000B9210000}"/>
    <cellStyle name="Input 3 4 11" xfId="28372" xr:uid="{00000000-0005-0000-0000-0000BA210000}"/>
    <cellStyle name="Input 3 4 12" xfId="9043" xr:uid="{00000000-0005-0000-0000-0000BB210000}"/>
    <cellStyle name="Input 3 4 13" xfId="35817" xr:uid="{00000000-0005-0000-0000-0000BC210000}"/>
    <cellStyle name="Input 3 4 14" xfId="39837" xr:uid="{00000000-0005-0000-0000-0000BD210000}"/>
    <cellStyle name="Input 3 4 15" xfId="43643" xr:uid="{00000000-0005-0000-0000-0000BE210000}"/>
    <cellStyle name="Input 3 4 2" xfId="1124" xr:uid="{00000000-0005-0000-0000-0000BF210000}"/>
    <cellStyle name="Input 3 4 2 10" xfId="28733" xr:uid="{00000000-0005-0000-0000-0000C0210000}"/>
    <cellStyle name="Input 3 4 2 11" xfId="32421" xr:uid="{00000000-0005-0000-0000-0000C1210000}"/>
    <cellStyle name="Input 3 4 2 12" xfId="36182" xr:uid="{00000000-0005-0000-0000-0000C2210000}"/>
    <cellStyle name="Input 3 4 2 13" xfId="40183" xr:uid="{00000000-0005-0000-0000-0000C3210000}"/>
    <cellStyle name="Input 3 4 2 14" xfId="44008" xr:uid="{00000000-0005-0000-0000-0000C4210000}"/>
    <cellStyle name="Input 3 4 2 2" xfId="1851" xr:uid="{00000000-0005-0000-0000-0000C5210000}"/>
    <cellStyle name="Input 3 4 2 2 10" xfId="33138" xr:uid="{00000000-0005-0000-0000-0000C6210000}"/>
    <cellStyle name="Input 3 4 2 2 11" xfId="36908" xr:uid="{00000000-0005-0000-0000-0000C7210000}"/>
    <cellStyle name="Input 3 4 2 2 12" xfId="40899" xr:uid="{00000000-0005-0000-0000-0000C8210000}"/>
    <cellStyle name="Input 3 4 2 2 13" xfId="44730" xr:uid="{00000000-0005-0000-0000-0000C9210000}"/>
    <cellStyle name="Input 3 4 2 2 2" xfId="3841" xr:uid="{00000000-0005-0000-0000-0000CA210000}"/>
    <cellStyle name="Input 3 4 2 2 2 10" xfId="38892" xr:uid="{00000000-0005-0000-0000-0000CB210000}"/>
    <cellStyle name="Input 3 4 2 2 2 11" xfId="42903" xr:uid="{00000000-0005-0000-0000-0000CC210000}"/>
    <cellStyle name="Input 3 4 2 2 2 12" xfId="46668" xr:uid="{00000000-0005-0000-0000-0000CD210000}"/>
    <cellStyle name="Input 3 4 2 2 2 2" xfId="7708" xr:uid="{00000000-0005-0000-0000-0000CE210000}"/>
    <cellStyle name="Input 3 4 2 2 2 3" xfId="12143" xr:uid="{00000000-0005-0000-0000-0000CF210000}"/>
    <cellStyle name="Input 3 4 2 2 2 4" xfId="15988" xr:uid="{00000000-0005-0000-0000-0000D0210000}"/>
    <cellStyle name="Input 3 4 2 2 2 5" xfId="19835" xr:uid="{00000000-0005-0000-0000-0000D1210000}"/>
    <cellStyle name="Input 3 4 2 2 2 6" xfId="23751" xr:uid="{00000000-0005-0000-0000-0000D2210000}"/>
    <cellStyle name="Input 3 4 2 2 2 7" xfId="27585" xr:uid="{00000000-0005-0000-0000-0000D3210000}"/>
    <cellStyle name="Input 3 4 2 2 2 8" xfId="31448" xr:uid="{00000000-0005-0000-0000-0000D4210000}"/>
    <cellStyle name="Input 3 4 2 2 2 9" xfId="35106" xr:uid="{00000000-0005-0000-0000-0000D5210000}"/>
    <cellStyle name="Input 3 4 2 2 3" xfId="5784" xr:uid="{00000000-0005-0000-0000-0000D6210000}"/>
    <cellStyle name="Input 3 4 2 2 4" xfId="10142" xr:uid="{00000000-0005-0000-0000-0000D7210000}"/>
    <cellStyle name="Input 3 4 2 2 5" xfId="13988" xr:uid="{00000000-0005-0000-0000-0000D8210000}"/>
    <cellStyle name="Input 3 4 2 2 6" xfId="17817" xr:uid="{00000000-0005-0000-0000-0000D9210000}"/>
    <cellStyle name="Input 3 4 2 2 7" xfId="21756" xr:uid="{00000000-0005-0000-0000-0000DA210000}"/>
    <cellStyle name="Input 3 4 2 2 8" xfId="25569" xr:uid="{00000000-0005-0000-0000-0000DB210000}"/>
    <cellStyle name="Input 3 4 2 2 9" xfId="29456" xr:uid="{00000000-0005-0000-0000-0000DC210000}"/>
    <cellStyle name="Input 3 4 2 3" xfId="3114" xr:uid="{00000000-0005-0000-0000-0000DD210000}"/>
    <cellStyle name="Input 3 4 2 3 10" xfId="38166" xr:uid="{00000000-0005-0000-0000-0000DE210000}"/>
    <cellStyle name="Input 3 4 2 3 11" xfId="42178" xr:uid="{00000000-0005-0000-0000-0000DF210000}"/>
    <cellStyle name="Input 3 4 2 3 12" xfId="45951" xr:uid="{00000000-0005-0000-0000-0000E0210000}"/>
    <cellStyle name="Input 3 4 2 3 2" xfId="6990" xr:uid="{00000000-0005-0000-0000-0000E1210000}"/>
    <cellStyle name="Input 3 4 2 3 3" xfId="11419" xr:uid="{00000000-0005-0000-0000-0000E2210000}"/>
    <cellStyle name="Input 3 4 2 3 4" xfId="15263" xr:uid="{00000000-0005-0000-0000-0000E3210000}"/>
    <cellStyle name="Input 3 4 2 3 5" xfId="19108" xr:uid="{00000000-0005-0000-0000-0000E4210000}"/>
    <cellStyle name="Input 3 4 2 3 6" xfId="23030" xr:uid="{00000000-0005-0000-0000-0000E5210000}"/>
    <cellStyle name="Input 3 4 2 3 7" xfId="26859" xr:uid="{00000000-0005-0000-0000-0000E6210000}"/>
    <cellStyle name="Input 3 4 2 3 8" xfId="30731" xr:uid="{00000000-0005-0000-0000-0000E7210000}"/>
    <cellStyle name="Input 3 4 2 3 9" xfId="34389" xr:uid="{00000000-0005-0000-0000-0000E8210000}"/>
    <cellStyle name="Input 3 4 2 4" xfId="5066" xr:uid="{00000000-0005-0000-0000-0000E9210000}"/>
    <cellStyle name="Input 3 4 2 5" xfId="9422" xr:uid="{00000000-0005-0000-0000-0000EA210000}"/>
    <cellStyle name="Input 3 4 2 6" xfId="13262" xr:uid="{00000000-0005-0000-0000-0000EB210000}"/>
    <cellStyle name="Input 3 4 2 7" xfId="17090" xr:uid="{00000000-0005-0000-0000-0000EC210000}"/>
    <cellStyle name="Input 3 4 2 8" xfId="21032" xr:uid="{00000000-0005-0000-0000-0000ED210000}"/>
    <cellStyle name="Input 3 4 2 9" xfId="24846" xr:uid="{00000000-0005-0000-0000-0000EE210000}"/>
    <cellStyle name="Input 3 4 3" xfId="1498" xr:uid="{00000000-0005-0000-0000-0000EF210000}"/>
    <cellStyle name="Input 3 4 3 10" xfId="32785" xr:uid="{00000000-0005-0000-0000-0000F0210000}"/>
    <cellStyle name="Input 3 4 3 11" xfId="36555" xr:uid="{00000000-0005-0000-0000-0000F1210000}"/>
    <cellStyle name="Input 3 4 3 12" xfId="40546" xr:uid="{00000000-0005-0000-0000-0000F2210000}"/>
    <cellStyle name="Input 3 4 3 13" xfId="44377" xr:uid="{00000000-0005-0000-0000-0000F3210000}"/>
    <cellStyle name="Input 3 4 3 2" xfId="3488" xr:uid="{00000000-0005-0000-0000-0000F4210000}"/>
    <cellStyle name="Input 3 4 3 2 10" xfId="38539" xr:uid="{00000000-0005-0000-0000-0000F5210000}"/>
    <cellStyle name="Input 3 4 3 2 11" xfId="42550" xr:uid="{00000000-0005-0000-0000-0000F6210000}"/>
    <cellStyle name="Input 3 4 3 2 12" xfId="46315" xr:uid="{00000000-0005-0000-0000-0000F7210000}"/>
    <cellStyle name="Input 3 4 3 2 2" xfId="7355" xr:uid="{00000000-0005-0000-0000-0000F8210000}"/>
    <cellStyle name="Input 3 4 3 2 3" xfId="11790" xr:uid="{00000000-0005-0000-0000-0000F9210000}"/>
    <cellStyle name="Input 3 4 3 2 4" xfId="15635" xr:uid="{00000000-0005-0000-0000-0000FA210000}"/>
    <cellStyle name="Input 3 4 3 2 5" xfId="19482" xr:uid="{00000000-0005-0000-0000-0000FB210000}"/>
    <cellStyle name="Input 3 4 3 2 6" xfId="23398" xr:uid="{00000000-0005-0000-0000-0000FC210000}"/>
    <cellStyle name="Input 3 4 3 2 7" xfId="27232" xr:uid="{00000000-0005-0000-0000-0000FD210000}"/>
    <cellStyle name="Input 3 4 3 2 8" xfId="31099" xr:uid="{00000000-0005-0000-0000-0000FE210000}"/>
    <cellStyle name="Input 3 4 3 2 9" xfId="34753" xr:uid="{00000000-0005-0000-0000-0000FF210000}"/>
    <cellStyle name="Input 3 4 3 3" xfId="5431" xr:uid="{00000000-0005-0000-0000-000000220000}"/>
    <cellStyle name="Input 3 4 3 4" xfId="9789" xr:uid="{00000000-0005-0000-0000-000001220000}"/>
    <cellStyle name="Input 3 4 3 5" xfId="13635" xr:uid="{00000000-0005-0000-0000-000002220000}"/>
    <cellStyle name="Input 3 4 3 6" xfId="17464" xr:uid="{00000000-0005-0000-0000-000003220000}"/>
    <cellStyle name="Input 3 4 3 7" xfId="21403" xr:uid="{00000000-0005-0000-0000-000004220000}"/>
    <cellStyle name="Input 3 4 3 8" xfId="25216" xr:uid="{00000000-0005-0000-0000-000005220000}"/>
    <cellStyle name="Input 3 4 3 9" xfId="29103" xr:uid="{00000000-0005-0000-0000-000006220000}"/>
    <cellStyle name="Input 3 4 4" xfId="2749" xr:uid="{00000000-0005-0000-0000-000007220000}"/>
    <cellStyle name="Input 3 4 4 10" xfId="37801" xr:uid="{00000000-0005-0000-0000-000008220000}"/>
    <cellStyle name="Input 3 4 4 11" xfId="41814" xr:uid="{00000000-0005-0000-0000-000009220000}"/>
    <cellStyle name="Input 3 4 4 12" xfId="45598" xr:uid="{00000000-0005-0000-0000-00000A220000}"/>
    <cellStyle name="Input 3 4 4 2" xfId="6636" xr:uid="{00000000-0005-0000-0000-00000B220000}"/>
    <cellStyle name="Input 3 4 4 3" xfId="11059" xr:uid="{00000000-0005-0000-0000-00000C220000}"/>
    <cellStyle name="Input 3 4 4 4" xfId="14905" xr:uid="{00000000-0005-0000-0000-00000D220000}"/>
    <cellStyle name="Input 3 4 4 5" xfId="18743" xr:uid="{00000000-0005-0000-0000-00000E220000}"/>
    <cellStyle name="Input 3 4 4 6" xfId="22674" xr:uid="{00000000-0005-0000-0000-00000F220000}"/>
    <cellStyle name="Input 3 4 4 7" xfId="26494" xr:uid="{00000000-0005-0000-0000-000010220000}"/>
    <cellStyle name="Input 3 4 4 8" xfId="30372" xr:uid="{00000000-0005-0000-0000-000011220000}"/>
    <cellStyle name="Input 3 4 4 9" xfId="34036" xr:uid="{00000000-0005-0000-0000-000012220000}"/>
    <cellStyle name="Input 3 4 5" xfId="4712" xr:uid="{00000000-0005-0000-0000-000013220000}"/>
    <cellStyle name="Input 3 4 6" xfId="9057" xr:uid="{00000000-0005-0000-0000-000014220000}"/>
    <cellStyle name="Input 3 4 7" xfId="12897" xr:uid="{00000000-0005-0000-0000-000015220000}"/>
    <cellStyle name="Input 3 4 8" xfId="16723" xr:uid="{00000000-0005-0000-0000-000016220000}"/>
    <cellStyle name="Input 3 4 9" xfId="20662" xr:uid="{00000000-0005-0000-0000-000017220000}"/>
    <cellStyle name="Input 3 5" xfId="748" xr:uid="{00000000-0005-0000-0000-000018220000}"/>
    <cellStyle name="Input 3 5 10" xfId="24478" xr:uid="{00000000-0005-0000-0000-000019220000}"/>
    <cellStyle name="Input 3 5 11" xfId="28369" xr:uid="{00000000-0005-0000-0000-00001A220000}"/>
    <cellStyle name="Input 3 5 12" xfId="10450" xr:uid="{00000000-0005-0000-0000-00001B220000}"/>
    <cellStyle name="Input 3 5 13" xfId="35815" xr:uid="{00000000-0005-0000-0000-00001C220000}"/>
    <cellStyle name="Input 3 5 14" xfId="39835" xr:uid="{00000000-0005-0000-0000-00001D220000}"/>
    <cellStyle name="Input 3 5 15" xfId="43641" xr:uid="{00000000-0005-0000-0000-00001E220000}"/>
    <cellStyle name="Input 3 5 2" xfId="1122" xr:uid="{00000000-0005-0000-0000-00001F220000}"/>
    <cellStyle name="Input 3 5 2 10" xfId="28731" xr:uid="{00000000-0005-0000-0000-000020220000}"/>
    <cellStyle name="Input 3 5 2 11" xfId="32419" xr:uid="{00000000-0005-0000-0000-000021220000}"/>
    <cellStyle name="Input 3 5 2 12" xfId="36180" xr:uid="{00000000-0005-0000-0000-000022220000}"/>
    <cellStyle name="Input 3 5 2 13" xfId="40181" xr:uid="{00000000-0005-0000-0000-000023220000}"/>
    <cellStyle name="Input 3 5 2 14" xfId="44006" xr:uid="{00000000-0005-0000-0000-000024220000}"/>
    <cellStyle name="Input 3 5 2 2" xfId="1849" xr:uid="{00000000-0005-0000-0000-000025220000}"/>
    <cellStyle name="Input 3 5 2 2 10" xfId="33136" xr:uid="{00000000-0005-0000-0000-000026220000}"/>
    <cellStyle name="Input 3 5 2 2 11" xfId="36906" xr:uid="{00000000-0005-0000-0000-000027220000}"/>
    <cellStyle name="Input 3 5 2 2 12" xfId="40897" xr:uid="{00000000-0005-0000-0000-000028220000}"/>
    <cellStyle name="Input 3 5 2 2 13" xfId="44728" xr:uid="{00000000-0005-0000-0000-000029220000}"/>
    <cellStyle name="Input 3 5 2 2 2" xfId="3839" xr:uid="{00000000-0005-0000-0000-00002A220000}"/>
    <cellStyle name="Input 3 5 2 2 2 10" xfId="38890" xr:uid="{00000000-0005-0000-0000-00002B220000}"/>
    <cellStyle name="Input 3 5 2 2 2 11" xfId="42901" xr:uid="{00000000-0005-0000-0000-00002C220000}"/>
    <cellStyle name="Input 3 5 2 2 2 12" xfId="46666" xr:uid="{00000000-0005-0000-0000-00002D220000}"/>
    <cellStyle name="Input 3 5 2 2 2 2" xfId="7706" xr:uid="{00000000-0005-0000-0000-00002E220000}"/>
    <cellStyle name="Input 3 5 2 2 2 3" xfId="12141" xr:uid="{00000000-0005-0000-0000-00002F220000}"/>
    <cellStyle name="Input 3 5 2 2 2 4" xfId="15986" xr:uid="{00000000-0005-0000-0000-000030220000}"/>
    <cellStyle name="Input 3 5 2 2 2 5" xfId="19833" xr:uid="{00000000-0005-0000-0000-000031220000}"/>
    <cellStyle name="Input 3 5 2 2 2 6" xfId="23749" xr:uid="{00000000-0005-0000-0000-000032220000}"/>
    <cellStyle name="Input 3 5 2 2 2 7" xfId="27583" xr:uid="{00000000-0005-0000-0000-000033220000}"/>
    <cellStyle name="Input 3 5 2 2 2 8" xfId="31446" xr:uid="{00000000-0005-0000-0000-000034220000}"/>
    <cellStyle name="Input 3 5 2 2 2 9" xfId="35104" xr:uid="{00000000-0005-0000-0000-000035220000}"/>
    <cellStyle name="Input 3 5 2 2 3" xfId="5782" xr:uid="{00000000-0005-0000-0000-000036220000}"/>
    <cellStyle name="Input 3 5 2 2 4" xfId="10140" xr:uid="{00000000-0005-0000-0000-000037220000}"/>
    <cellStyle name="Input 3 5 2 2 5" xfId="13986" xr:uid="{00000000-0005-0000-0000-000038220000}"/>
    <cellStyle name="Input 3 5 2 2 6" xfId="17815" xr:uid="{00000000-0005-0000-0000-000039220000}"/>
    <cellStyle name="Input 3 5 2 2 7" xfId="21754" xr:uid="{00000000-0005-0000-0000-00003A220000}"/>
    <cellStyle name="Input 3 5 2 2 8" xfId="25567" xr:uid="{00000000-0005-0000-0000-00003B220000}"/>
    <cellStyle name="Input 3 5 2 2 9" xfId="29454" xr:uid="{00000000-0005-0000-0000-00003C220000}"/>
    <cellStyle name="Input 3 5 2 3" xfId="3112" xr:uid="{00000000-0005-0000-0000-00003D220000}"/>
    <cellStyle name="Input 3 5 2 3 10" xfId="38164" xr:uid="{00000000-0005-0000-0000-00003E220000}"/>
    <cellStyle name="Input 3 5 2 3 11" xfId="42176" xr:uid="{00000000-0005-0000-0000-00003F220000}"/>
    <cellStyle name="Input 3 5 2 3 12" xfId="45949" xr:uid="{00000000-0005-0000-0000-000040220000}"/>
    <cellStyle name="Input 3 5 2 3 2" xfId="6988" xr:uid="{00000000-0005-0000-0000-000041220000}"/>
    <cellStyle name="Input 3 5 2 3 3" xfId="11417" xr:uid="{00000000-0005-0000-0000-000042220000}"/>
    <cellStyle name="Input 3 5 2 3 4" xfId="15261" xr:uid="{00000000-0005-0000-0000-000043220000}"/>
    <cellStyle name="Input 3 5 2 3 5" xfId="19106" xr:uid="{00000000-0005-0000-0000-000044220000}"/>
    <cellStyle name="Input 3 5 2 3 6" xfId="23028" xr:uid="{00000000-0005-0000-0000-000045220000}"/>
    <cellStyle name="Input 3 5 2 3 7" xfId="26857" xr:uid="{00000000-0005-0000-0000-000046220000}"/>
    <cellStyle name="Input 3 5 2 3 8" xfId="30729" xr:uid="{00000000-0005-0000-0000-000047220000}"/>
    <cellStyle name="Input 3 5 2 3 9" xfId="34387" xr:uid="{00000000-0005-0000-0000-000048220000}"/>
    <cellStyle name="Input 3 5 2 4" xfId="5064" xr:uid="{00000000-0005-0000-0000-000049220000}"/>
    <cellStyle name="Input 3 5 2 5" xfId="9420" xr:uid="{00000000-0005-0000-0000-00004A220000}"/>
    <cellStyle name="Input 3 5 2 6" xfId="13260" xr:uid="{00000000-0005-0000-0000-00004B220000}"/>
    <cellStyle name="Input 3 5 2 7" xfId="17088" xr:uid="{00000000-0005-0000-0000-00004C220000}"/>
    <cellStyle name="Input 3 5 2 8" xfId="21030" xr:uid="{00000000-0005-0000-0000-00004D220000}"/>
    <cellStyle name="Input 3 5 2 9" xfId="24844" xr:uid="{00000000-0005-0000-0000-00004E220000}"/>
    <cellStyle name="Input 3 5 3" xfId="1496" xr:uid="{00000000-0005-0000-0000-00004F220000}"/>
    <cellStyle name="Input 3 5 3 10" xfId="32783" xr:uid="{00000000-0005-0000-0000-000050220000}"/>
    <cellStyle name="Input 3 5 3 11" xfId="36553" xr:uid="{00000000-0005-0000-0000-000051220000}"/>
    <cellStyle name="Input 3 5 3 12" xfId="40544" xr:uid="{00000000-0005-0000-0000-000052220000}"/>
    <cellStyle name="Input 3 5 3 13" xfId="44375" xr:uid="{00000000-0005-0000-0000-000053220000}"/>
    <cellStyle name="Input 3 5 3 2" xfId="3486" xr:uid="{00000000-0005-0000-0000-000054220000}"/>
    <cellStyle name="Input 3 5 3 2 10" xfId="38537" xr:uid="{00000000-0005-0000-0000-000055220000}"/>
    <cellStyle name="Input 3 5 3 2 11" xfId="42548" xr:uid="{00000000-0005-0000-0000-000056220000}"/>
    <cellStyle name="Input 3 5 3 2 12" xfId="46313" xr:uid="{00000000-0005-0000-0000-000057220000}"/>
    <cellStyle name="Input 3 5 3 2 2" xfId="7353" xr:uid="{00000000-0005-0000-0000-000058220000}"/>
    <cellStyle name="Input 3 5 3 2 3" xfId="11788" xr:uid="{00000000-0005-0000-0000-000059220000}"/>
    <cellStyle name="Input 3 5 3 2 4" xfId="15633" xr:uid="{00000000-0005-0000-0000-00005A220000}"/>
    <cellStyle name="Input 3 5 3 2 5" xfId="19480" xr:uid="{00000000-0005-0000-0000-00005B220000}"/>
    <cellStyle name="Input 3 5 3 2 6" xfId="23396" xr:uid="{00000000-0005-0000-0000-00005C220000}"/>
    <cellStyle name="Input 3 5 3 2 7" xfId="27230" xr:uid="{00000000-0005-0000-0000-00005D220000}"/>
    <cellStyle name="Input 3 5 3 2 8" xfId="31097" xr:uid="{00000000-0005-0000-0000-00005E220000}"/>
    <cellStyle name="Input 3 5 3 2 9" xfId="34751" xr:uid="{00000000-0005-0000-0000-00005F220000}"/>
    <cellStyle name="Input 3 5 3 3" xfId="5429" xr:uid="{00000000-0005-0000-0000-000060220000}"/>
    <cellStyle name="Input 3 5 3 4" xfId="9787" xr:uid="{00000000-0005-0000-0000-000061220000}"/>
    <cellStyle name="Input 3 5 3 5" xfId="13633" xr:uid="{00000000-0005-0000-0000-000062220000}"/>
    <cellStyle name="Input 3 5 3 6" xfId="17462" xr:uid="{00000000-0005-0000-0000-000063220000}"/>
    <cellStyle name="Input 3 5 3 7" xfId="21401" xr:uid="{00000000-0005-0000-0000-000064220000}"/>
    <cellStyle name="Input 3 5 3 8" xfId="25214" xr:uid="{00000000-0005-0000-0000-000065220000}"/>
    <cellStyle name="Input 3 5 3 9" xfId="29101" xr:uid="{00000000-0005-0000-0000-000066220000}"/>
    <cellStyle name="Input 3 5 4" xfId="2747" xr:uid="{00000000-0005-0000-0000-000067220000}"/>
    <cellStyle name="Input 3 5 4 10" xfId="37799" xr:uid="{00000000-0005-0000-0000-000068220000}"/>
    <cellStyle name="Input 3 5 4 11" xfId="41812" xr:uid="{00000000-0005-0000-0000-000069220000}"/>
    <cellStyle name="Input 3 5 4 12" xfId="45596" xr:uid="{00000000-0005-0000-0000-00006A220000}"/>
    <cellStyle name="Input 3 5 4 2" xfId="6634" xr:uid="{00000000-0005-0000-0000-00006B220000}"/>
    <cellStyle name="Input 3 5 4 3" xfId="11057" xr:uid="{00000000-0005-0000-0000-00006C220000}"/>
    <cellStyle name="Input 3 5 4 4" xfId="14903" xr:uid="{00000000-0005-0000-0000-00006D220000}"/>
    <cellStyle name="Input 3 5 4 5" xfId="18741" xr:uid="{00000000-0005-0000-0000-00006E220000}"/>
    <cellStyle name="Input 3 5 4 6" xfId="22672" xr:uid="{00000000-0005-0000-0000-00006F220000}"/>
    <cellStyle name="Input 3 5 4 7" xfId="26492" xr:uid="{00000000-0005-0000-0000-000070220000}"/>
    <cellStyle name="Input 3 5 4 8" xfId="30370" xr:uid="{00000000-0005-0000-0000-000071220000}"/>
    <cellStyle name="Input 3 5 4 9" xfId="34034" xr:uid="{00000000-0005-0000-0000-000072220000}"/>
    <cellStyle name="Input 3 5 5" xfId="4710" xr:uid="{00000000-0005-0000-0000-000073220000}"/>
    <cellStyle name="Input 3 5 6" xfId="9054" xr:uid="{00000000-0005-0000-0000-000074220000}"/>
    <cellStyle name="Input 3 5 7" xfId="12893" xr:uid="{00000000-0005-0000-0000-000075220000}"/>
    <cellStyle name="Input 3 5 8" xfId="16720" xr:uid="{00000000-0005-0000-0000-000076220000}"/>
    <cellStyle name="Input 3 5 9" xfId="20659" xr:uid="{00000000-0005-0000-0000-000077220000}"/>
    <cellStyle name="Input 3 6" xfId="838" xr:uid="{00000000-0005-0000-0000-000078220000}"/>
    <cellStyle name="Input 3 6 10" xfId="28453" xr:uid="{00000000-0005-0000-0000-000079220000}"/>
    <cellStyle name="Input 3 6 11" xfId="32139" xr:uid="{00000000-0005-0000-0000-00007A220000}"/>
    <cellStyle name="Input 3 6 12" xfId="35896" xr:uid="{00000000-0005-0000-0000-00007B220000}"/>
    <cellStyle name="Input 3 6 13" xfId="39907" xr:uid="{00000000-0005-0000-0000-00007C220000}"/>
    <cellStyle name="Input 3 6 14" xfId="43722" xr:uid="{00000000-0005-0000-0000-00007D220000}"/>
    <cellStyle name="Input 3 6 2" xfId="1569" xr:uid="{00000000-0005-0000-0000-00007E220000}"/>
    <cellStyle name="Input 3 6 2 10" xfId="32856" xr:uid="{00000000-0005-0000-0000-00007F220000}"/>
    <cellStyle name="Input 3 6 2 11" xfId="36626" xr:uid="{00000000-0005-0000-0000-000080220000}"/>
    <cellStyle name="Input 3 6 2 12" xfId="40617" xr:uid="{00000000-0005-0000-0000-000081220000}"/>
    <cellStyle name="Input 3 6 2 13" xfId="44448" xr:uid="{00000000-0005-0000-0000-000082220000}"/>
    <cellStyle name="Input 3 6 2 2" xfId="3559" xr:uid="{00000000-0005-0000-0000-000083220000}"/>
    <cellStyle name="Input 3 6 2 2 10" xfId="38610" xr:uid="{00000000-0005-0000-0000-000084220000}"/>
    <cellStyle name="Input 3 6 2 2 11" xfId="42621" xr:uid="{00000000-0005-0000-0000-000085220000}"/>
    <cellStyle name="Input 3 6 2 2 12" xfId="46386" xr:uid="{00000000-0005-0000-0000-000086220000}"/>
    <cellStyle name="Input 3 6 2 2 2" xfId="7426" xr:uid="{00000000-0005-0000-0000-000087220000}"/>
    <cellStyle name="Input 3 6 2 2 3" xfId="11861" xr:uid="{00000000-0005-0000-0000-000088220000}"/>
    <cellStyle name="Input 3 6 2 2 4" xfId="15706" xr:uid="{00000000-0005-0000-0000-000089220000}"/>
    <cellStyle name="Input 3 6 2 2 5" xfId="19553" xr:uid="{00000000-0005-0000-0000-00008A220000}"/>
    <cellStyle name="Input 3 6 2 2 6" xfId="23469" xr:uid="{00000000-0005-0000-0000-00008B220000}"/>
    <cellStyle name="Input 3 6 2 2 7" xfId="27303" xr:uid="{00000000-0005-0000-0000-00008C220000}"/>
    <cellStyle name="Input 3 6 2 2 8" xfId="31169" xr:uid="{00000000-0005-0000-0000-00008D220000}"/>
    <cellStyle name="Input 3 6 2 2 9" xfId="34824" xr:uid="{00000000-0005-0000-0000-00008E220000}"/>
    <cellStyle name="Input 3 6 2 3" xfId="5502" xr:uid="{00000000-0005-0000-0000-00008F220000}"/>
    <cellStyle name="Input 3 6 2 4" xfId="9860" xr:uid="{00000000-0005-0000-0000-000090220000}"/>
    <cellStyle name="Input 3 6 2 5" xfId="13706" xr:uid="{00000000-0005-0000-0000-000091220000}"/>
    <cellStyle name="Input 3 6 2 6" xfId="17535" xr:uid="{00000000-0005-0000-0000-000092220000}"/>
    <cellStyle name="Input 3 6 2 7" xfId="21474" xr:uid="{00000000-0005-0000-0000-000093220000}"/>
    <cellStyle name="Input 3 6 2 8" xfId="25287" xr:uid="{00000000-0005-0000-0000-000094220000}"/>
    <cellStyle name="Input 3 6 2 9" xfId="29174" xr:uid="{00000000-0005-0000-0000-000095220000}"/>
    <cellStyle name="Input 3 6 3" xfId="2828" xr:uid="{00000000-0005-0000-0000-000096220000}"/>
    <cellStyle name="Input 3 6 3 10" xfId="37880" xr:uid="{00000000-0005-0000-0000-000097220000}"/>
    <cellStyle name="Input 3 6 3 11" xfId="41892" xr:uid="{00000000-0005-0000-0000-000098220000}"/>
    <cellStyle name="Input 3 6 3 12" xfId="45669" xr:uid="{00000000-0005-0000-0000-000099220000}"/>
    <cellStyle name="Input 3 6 3 2" xfId="6708" xr:uid="{00000000-0005-0000-0000-00009A220000}"/>
    <cellStyle name="Input 3 6 3 3" xfId="11135" xr:uid="{00000000-0005-0000-0000-00009B220000}"/>
    <cellStyle name="Input 3 6 3 4" xfId="14980" xr:uid="{00000000-0005-0000-0000-00009C220000}"/>
    <cellStyle name="Input 3 6 3 5" xfId="18822" xr:uid="{00000000-0005-0000-0000-00009D220000}"/>
    <cellStyle name="Input 3 6 3 6" xfId="22748" xr:uid="{00000000-0005-0000-0000-00009E220000}"/>
    <cellStyle name="Input 3 6 3 7" xfId="26573" xr:uid="{00000000-0005-0000-0000-00009F220000}"/>
    <cellStyle name="Input 3 6 3 8" xfId="30450" xr:uid="{00000000-0005-0000-0000-0000A0220000}"/>
    <cellStyle name="Input 3 6 3 9" xfId="34107" xr:uid="{00000000-0005-0000-0000-0000A1220000}"/>
    <cellStyle name="Input 3 6 4" xfId="4784" xr:uid="{00000000-0005-0000-0000-0000A2220000}"/>
    <cellStyle name="Input 3 6 5" xfId="9138" xr:uid="{00000000-0005-0000-0000-0000A3220000}"/>
    <cellStyle name="Input 3 6 6" xfId="12979" xr:uid="{00000000-0005-0000-0000-0000A4220000}"/>
    <cellStyle name="Input 3 6 7" xfId="16804" xr:uid="{00000000-0005-0000-0000-0000A5220000}"/>
    <cellStyle name="Input 3 6 8" xfId="20746" xr:uid="{00000000-0005-0000-0000-0000A6220000}"/>
    <cellStyle name="Input 3 6 9" xfId="24562" xr:uid="{00000000-0005-0000-0000-0000A7220000}"/>
    <cellStyle name="Input 3 7" xfId="2099" xr:uid="{00000000-0005-0000-0000-0000A8220000}"/>
    <cellStyle name="Input 3 7 10" xfId="33405" xr:uid="{00000000-0005-0000-0000-0000A9220000}"/>
    <cellStyle name="Input 3 7 11" xfId="37151" xr:uid="{00000000-0005-0000-0000-0000AA220000}"/>
    <cellStyle name="Input 3 7 12" xfId="41167" xr:uid="{00000000-0005-0000-0000-0000AB220000}"/>
    <cellStyle name="Input 3 7 13" xfId="44967" xr:uid="{00000000-0005-0000-0000-0000AC220000}"/>
    <cellStyle name="Input 3 7 2" xfId="4083" xr:uid="{00000000-0005-0000-0000-0000AD220000}"/>
    <cellStyle name="Input 3 7 2 10" xfId="39134" xr:uid="{00000000-0005-0000-0000-0000AE220000}"/>
    <cellStyle name="Input 3 7 2 11" xfId="43144" xr:uid="{00000000-0005-0000-0000-0000AF220000}"/>
    <cellStyle name="Input 3 7 2 12" xfId="46905" xr:uid="{00000000-0005-0000-0000-0000B0220000}"/>
    <cellStyle name="Input 3 7 2 2" xfId="7946" xr:uid="{00000000-0005-0000-0000-0000B1220000}"/>
    <cellStyle name="Input 3 7 2 3" xfId="12383" xr:uid="{00000000-0005-0000-0000-0000B2220000}"/>
    <cellStyle name="Input 3 7 2 4" xfId="16228" xr:uid="{00000000-0005-0000-0000-0000B3220000}"/>
    <cellStyle name="Input 3 7 2 5" xfId="20077" xr:uid="{00000000-0005-0000-0000-0000B4220000}"/>
    <cellStyle name="Input 3 7 2 6" xfId="23991" xr:uid="{00000000-0005-0000-0000-0000B5220000}"/>
    <cellStyle name="Input 3 7 2 7" xfId="27827" xr:uid="{00000000-0005-0000-0000-0000B6220000}"/>
    <cellStyle name="Input 3 7 2 8" xfId="31686" xr:uid="{00000000-0005-0000-0000-0000B7220000}"/>
    <cellStyle name="Input 3 7 2 9" xfId="35343" xr:uid="{00000000-0005-0000-0000-0000B8220000}"/>
    <cellStyle name="Input 3 7 3" xfId="6022" xr:uid="{00000000-0005-0000-0000-0000B9220000}"/>
    <cellStyle name="Input 3 7 4" xfId="10418" xr:uid="{00000000-0005-0000-0000-0000BA220000}"/>
    <cellStyle name="Input 3 7 5" xfId="14265" xr:uid="{00000000-0005-0000-0000-0000BB220000}"/>
    <cellStyle name="Input 3 7 6" xfId="18093" xr:uid="{00000000-0005-0000-0000-0000BC220000}"/>
    <cellStyle name="Input 3 7 7" xfId="22035" xr:uid="{00000000-0005-0000-0000-0000BD220000}"/>
    <cellStyle name="Input 3 7 8" xfId="25844" xr:uid="{00000000-0005-0000-0000-0000BE220000}"/>
    <cellStyle name="Input 3 7 9" xfId="29724" xr:uid="{00000000-0005-0000-0000-0000BF220000}"/>
    <cellStyle name="Input 3 8" xfId="2149" xr:uid="{00000000-0005-0000-0000-0000C0220000}"/>
    <cellStyle name="Input 3 8 10" xfId="33451" xr:uid="{00000000-0005-0000-0000-0000C1220000}"/>
    <cellStyle name="Input 3 8 11" xfId="37201" xr:uid="{00000000-0005-0000-0000-0000C2220000}"/>
    <cellStyle name="Input 3 8 12" xfId="41217" xr:uid="{00000000-0005-0000-0000-0000C3220000}"/>
    <cellStyle name="Input 3 8 13" xfId="45013" xr:uid="{00000000-0005-0000-0000-0000C4220000}"/>
    <cellStyle name="Input 3 8 2" xfId="4133" xr:uid="{00000000-0005-0000-0000-0000C5220000}"/>
    <cellStyle name="Input 3 8 2 10" xfId="39184" xr:uid="{00000000-0005-0000-0000-0000C6220000}"/>
    <cellStyle name="Input 3 8 2 11" xfId="43194" xr:uid="{00000000-0005-0000-0000-0000C7220000}"/>
    <cellStyle name="Input 3 8 2 12" xfId="46951" xr:uid="{00000000-0005-0000-0000-0000C8220000}"/>
    <cellStyle name="Input 3 8 2 2" xfId="7992" xr:uid="{00000000-0005-0000-0000-0000C9220000}"/>
    <cellStyle name="Input 3 8 2 3" xfId="12432" xr:uid="{00000000-0005-0000-0000-0000CA220000}"/>
    <cellStyle name="Input 3 8 2 4" xfId="16277" xr:uid="{00000000-0005-0000-0000-0000CB220000}"/>
    <cellStyle name="Input 3 8 2 5" xfId="20127" xr:uid="{00000000-0005-0000-0000-0000CC220000}"/>
    <cellStyle name="Input 3 8 2 6" xfId="24039" xr:uid="{00000000-0005-0000-0000-0000CD220000}"/>
    <cellStyle name="Input 3 8 2 7" xfId="27877" xr:uid="{00000000-0005-0000-0000-0000CE220000}"/>
    <cellStyle name="Input 3 8 2 8" xfId="31736" xr:uid="{00000000-0005-0000-0000-0000CF220000}"/>
    <cellStyle name="Input 3 8 2 9" xfId="35389" xr:uid="{00000000-0005-0000-0000-0000D0220000}"/>
    <cellStyle name="Input 3 8 3" xfId="6066" xr:uid="{00000000-0005-0000-0000-0000D1220000}"/>
    <cellStyle name="Input 3 8 4" xfId="10466" xr:uid="{00000000-0005-0000-0000-0000D2220000}"/>
    <cellStyle name="Input 3 8 5" xfId="14313" xr:uid="{00000000-0005-0000-0000-0000D3220000}"/>
    <cellStyle name="Input 3 8 6" xfId="18143" xr:uid="{00000000-0005-0000-0000-0000D4220000}"/>
    <cellStyle name="Input 3 8 7" xfId="22083" xr:uid="{00000000-0005-0000-0000-0000D5220000}"/>
    <cellStyle name="Input 3 8 8" xfId="25894" xr:uid="{00000000-0005-0000-0000-0000D6220000}"/>
    <cellStyle name="Input 3 8 9" xfId="29774" xr:uid="{00000000-0005-0000-0000-0000D7220000}"/>
    <cellStyle name="Input 3 9" xfId="2140" xr:uid="{00000000-0005-0000-0000-0000D8220000}"/>
    <cellStyle name="Input 3 9 10" xfId="33442" xr:uid="{00000000-0005-0000-0000-0000D9220000}"/>
    <cellStyle name="Input 3 9 11" xfId="37192" xr:uid="{00000000-0005-0000-0000-0000DA220000}"/>
    <cellStyle name="Input 3 9 12" xfId="41208" xr:uid="{00000000-0005-0000-0000-0000DB220000}"/>
    <cellStyle name="Input 3 9 13" xfId="45004" xr:uid="{00000000-0005-0000-0000-0000DC220000}"/>
    <cellStyle name="Input 3 9 2" xfId="4124" xr:uid="{00000000-0005-0000-0000-0000DD220000}"/>
    <cellStyle name="Input 3 9 2 10" xfId="39175" xr:uid="{00000000-0005-0000-0000-0000DE220000}"/>
    <cellStyle name="Input 3 9 2 11" xfId="43185" xr:uid="{00000000-0005-0000-0000-0000DF220000}"/>
    <cellStyle name="Input 3 9 2 12" xfId="46942" xr:uid="{00000000-0005-0000-0000-0000E0220000}"/>
    <cellStyle name="Input 3 9 2 2" xfId="7983" xr:uid="{00000000-0005-0000-0000-0000E1220000}"/>
    <cellStyle name="Input 3 9 2 3" xfId="12423" xr:uid="{00000000-0005-0000-0000-0000E2220000}"/>
    <cellStyle name="Input 3 9 2 4" xfId="16268" xr:uid="{00000000-0005-0000-0000-0000E3220000}"/>
    <cellStyle name="Input 3 9 2 5" xfId="20118" xr:uid="{00000000-0005-0000-0000-0000E4220000}"/>
    <cellStyle name="Input 3 9 2 6" xfId="24030" xr:uid="{00000000-0005-0000-0000-0000E5220000}"/>
    <cellStyle name="Input 3 9 2 7" xfId="27868" xr:uid="{00000000-0005-0000-0000-0000E6220000}"/>
    <cellStyle name="Input 3 9 2 8" xfId="31727" xr:uid="{00000000-0005-0000-0000-0000E7220000}"/>
    <cellStyle name="Input 3 9 2 9" xfId="35380" xr:uid="{00000000-0005-0000-0000-0000E8220000}"/>
    <cellStyle name="Input 3 9 3" xfId="6057" xr:uid="{00000000-0005-0000-0000-0000E9220000}"/>
    <cellStyle name="Input 3 9 4" xfId="10457" xr:uid="{00000000-0005-0000-0000-0000EA220000}"/>
    <cellStyle name="Input 3 9 5" xfId="14304" xr:uid="{00000000-0005-0000-0000-0000EB220000}"/>
    <cellStyle name="Input 3 9 6" xfId="18134" xr:uid="{00000000-0005-0000-0000-0000EC220000}"/>
    <cellStyle name="Input 3 9 7" xfId="22074" xr:uid="{00000000-0005-0000-0000-0000ED220000}"/>
    <cellStyle name="Input 3 9 8" xfId="25885" xr:uid="{00000000-0005-0000-0000-0000EE220000}"/>
    <cellStyle name="Input 3 9 9" xfId="29765" xr:uid="{00000000-0005-0000-0000-0000EF220000}"/>
    <cellStyle name="Linked Cell" xfId="19" builtinId="24" customBuiltin="1"/>
    <cellStyle name="Linked Cell 2" xfId="180" xr:uid="{00000000-0005-0000-0000-0000F1220000}"/>
    <cellStyle name="Linked Cell 3" xfId="181" xr:uid="{00000000-0005-0000-0000-0000F2220000}"/>
    <cellStyle name="Neutral" xfId="15" builtinId="28" customBuiltin="1"/>
    <cellStyle name="Neutral 2" xfId="182" xr:uid="{00000000-0005-0000-0000-0000F4220000}"/>
    <cellStyle name="Neutral 3" xfId="183" xr:uid="{00000000-0005-0000-0000-0000F5220000}"/>
    <cellStyle name="Normal" xfId="0" builtinId="0"/>
    <cellStyle name="Normal 10" xfId="184" xr:uid="{00000000-0005-0000-0000-0000F7220000}"/>
    <cellStyle name="Normal 10 111 2" xfId="47724" xr:uid="{483F3E4C-FE93-4403-93AD-3F925D899D79}"/>
    <cellStyle name="Normal 10 2" xfId="356" xr:uid="{00000000-0005-0000-0000-0000F8220000}"/>
    <cellStyle name="Normal 10 2 2" xfId="47318" xr:uid="{00000000-0005-0000-0000-0000F9220000}"/>
    <cellStyle name="Normal 11" xfId="185" xr:uid="{00000000-0005-0000-0000-0000FA220000}"/>
    <cellStyle name="Normal 11 2" xfId="2077" xr:uid="{00000000-0005-0000-0000-0000FB220000}"/>
    <cellStyle name="Normal 11 2 2" xfId="47319" xr:uid="{00000000-0005-0000-0000-0000FC220000}"/>
    <cellStyle name="Normal 12" xfId="186" xr:uid="{00000000-0005-0000-0000-0000FD220000}"/>
    <cellStyle name="Normal 12 2" xfId="187" xr:uid="{00000000-0005-0000-0000-0000FE220000}"/>
    <cellStyle name="Normal 12 3" xfId="188" xr:uid="{00000000-0005-0000-0000-0000FF220000}"/>
    <cellStyle name="Normal 12 4" xfId="189" xr:uid="{00000000-0005-0000-0000-000000230000}"/>
    <cellStyle name="Normal 12 5" xfId="190" xr:uid="{00000000-0005-0000-0000-000001230000}"/>
    <cellStyle name="Normal 12 6" xfId="191" xr:uid="{00000000-0005-0000-0000-000002230000}"/>
    <cellStyle name="Normal 12 7" xfId="192" xr:uid="{00000000-0005-0000-0000-000003230000}"/>
    <cellStyle name="Normal 12 8" xfId="193" xr:uid="{00000000-0005-0000-0000-000004230000}"/>
    <cellStyle name="Normal 13" xfId="194" xr:uid="{00000000-0005-0000-0000-000005230000}"/>
    <cellStyle name="Normal 13 2" xfId="47321" xr:uid="{00000000-0005-0000-0000-000006230000}"/>
    <cellStyle name="Normal 14" xfId="195" xr:uid="{00000000-0005-0000-0000-000007230000}"/>
    <cellStyle name="Normal 14 2" xfId="47320" xr:uid="{00000000-0005-0000-0000-000008230000}"/>
    <cellStyle name="Normal 15" xfId="196" xr:uid="{00000000-0005-0000-0000-000009230000}"/>
    <cellStyle name="Normal 16" xfId="197" xr:uid="{00000000-0005-0000-0000-00000A230000}"/>
    <cellStyle name="Normal 17" xfId="198" xr:uid="{00000000-0005-0000-0000-00000B230000}"/>
    <cellStyle name="Normal 18" xfId="199" xr:uid="{00000000-0005-0000-0000-00000C230000}"/>
    <cellStyle name="Normal 19" xfId="200" xr:uid="{00000000-0005-0000-0000-00000D230000}"/>
    <cellStyle name="Normal 2 10" xfId="357" xr:uid="{00000000-0005-0000-0000-00000F230000}"/>
    <cellStyle name="Normal 2 10 2" xfId="47529" xr:uid="{00000000-0005-0000-0000-000010230000}"/>
    <cellStyle name="Normal 2 11" xfId="47530" xr:uid="{00000000-0005-0000-0000-000011230000}"/>
    <cellStyle name="Normal 2 12" xfId="47531" xr:uid="{00000000-0005-0000-0000-000012230000}"/>
    <cellStyle name="Normal 2 13" xfId="47532" xr:uid="{00000000-0005-0000-0000-000013230000}"/>
    <cellStyle name="Normal 2 14" xfId="47533" xr:uid="{00000000-0005-0000-0000-000014230000}"/>
    <cellStyle name="Normal 2 15" xfId="47534" xr:uid="{00000000-0005-0000-0000-000015230000}"/>
    <cellStyle name="Normal 2 16" xfId="47535" xr:uid="{00000000-0005-0000-0000-000016230000}"/>
    <cellStyle name="Normal 2 17" xfId="47536" xr:uid="{00000000-0005-0000-0000-000017230000}"/>
    <cellStyle name="Normal 2 18" xfId="47537" xr:uid="{00000000-0005-0000-0000-000018230000}"/>
    <cellStyle name="Normal 2 19" xfId="47538" xr:uid="{00000000-0005-0000-0000-000019230000}"/>
    <cellStyle name="Normal 2 2" xfId="201" xr:uid="{00000000-0005-0000-0000-00001A230000}"/>
    <cellStyle name="Normal 2 2 2" xfId="202" xr:uid="{00000000-0005-0000-0000-00001B230000}"/>
    <cellStyle name="Normal 2 2 2 2" xfId="203" xr:uid="{00000000-0005-0000-0000-00001C230000}"/>
    <cellStyle name="Normal 2 2 2 2 2" xfId="204" xr:uid="{00000000-0005-0000-0000-00001D230000}"/>
    <cellStyle name="Normal 2 2 2 2 2 2" xfId="358" xr:uid="{00000000-0005-0000-0000-00001E230000}"/>
    <cellStyle name="Normal 2 2 2 2 3" xfId="359" xr:uid="{00000000-0005-0000-0000-00001F230000}"/>
    <cellStyle name="Normal 2 2 2 3" xfId="205" xr:uid="{00000000-0005-0000-0000-000020230000}"/>
    <cellStyle name="Normal 2 2 2 3 2" xfId="206" xr:uid="{00000000-0005-0000-0000-000021230000}"/>
    <cellStyle name="Normal 2 2 2 3 2 2" xfId="207" xr:uid="{00000000-0005-0000-0000-000022230000}"/>
    <cellStyle name="Normal 2 2 2 3 2 2 2" xfId="360" xr:uid="{00000000-0005-0000-0000-000023230000}"/>
    <cellStyle name="Normal 2 2 2 3 2 3" xfId="361" xr:uid="{00000000-0005-0000-0000-000024230000}"/>
    <cellStyle name="Normal 2 2 2 3 3" xfId="362" xr:uid="{00000000-0005-0000-0000-000025230000}"/>
    <cellStyle name="Normal 2 2 2 4" xfId="208" xr:uid="{00000000-0005-0000-0000-000026230000}"/>
    <cellStyle name="Normal 2 2 2 4 2" xfId="363" xr:uid="{00000000-0005-0000-0000-000027230000}"/>
    <cellStyle name="Normal 2 2 2 5" xfId="209" xr:uid="{00000000-0005-0000-0000-000028230000}"/>
    <cellStyle name="Normal 2 2 2 6" xfId="210" xr:uid="{00000000-0005-0000-0000-000029230000}"/>
    <cellStyle name="Normal 2 2 2 7" xfId="364" xr:uid="{00000000-0005-0000-0000-00002A230000}"/>
    <cellStyle name="Normal 2 2 3" xfId="2" xr:uid="{00000000-0005-0000-0000-00002B230000}"/>
    <cellStyle name="Normal 2 2 4" xfId="211" xr:uid="{00000000-0005-0000-0000-00002C230000}"/>
    <cellStyle name="Normal 2 2 4 2" xfId="212" xr:uid="{00000000-0005-0000-0000-00002D230000}"/>
    <cellStyle name="Normal 2 2 5" xfId="213" xr:uid="{00000000-0005-0000-0000-00002E230000}"/>
    <cellStyle name="Normal 2 20" xfId="47539" xr:uid="{00000000-0005-0000-0000-00002F230000}"/>
    <cellStyle name="Normal 2 21" xfId="47540" xr:uid="{00000000-0005-0000-0000-000030230000}"/>
    <cellStyle name="Normal 2 22" xfId="47541" xr:uid="{00000000-0005-0000-0000-000031230000}"/>
    <cellStyle name="Normal 2 23" xfId="47542" xr:uid="{00000000-0005-0000-0000-000032230000}"/>
    <cellStyle name="Normal 2 24" xfId="47543" xr:uid="{00000000-0005-0000-0000-000033230000}"/>
    <cellStyle name="Normal 2 25" xfId="47544" xr:uid="{00000000-0005-0000-0000-000034230000}"/>
    <cellStyle name="Normal 2 26" xfId="47726" xr:uid="{7515367D-D06A-4130-A957-D05E1BB1B2CF}"/>
    <cellStyle name="Normal 2 26 2" xfId="47728" xr:uid="{A2142EF0-0E3E-4AFB-92A7-6086364B7E16}"/>
    <cellStyle name="Normal 2 3" xfId="214" xr:uid="{00000000-0005-0000-0000-000035230000}"/>
    <cellStyle name="Normal 2 3 2" xfId="215" xr:uid="{00000000-0005-0000-0000-000036230000}"/>
    <cellStyle name="Normal 2 3 2 2" xfId="365" xr:uid="{00000000-0005-0000-0000-000037230000}"/>
    <cellStyle name="Normal 2 3 3" xfId="216" xr:uid="{00000000-0005-0000-0000-000038230000}"/>
    <cellStyle name="Normal 2 3 3 2" xfId="217" xr:uid="{00000000-0005-0000-0000-000039230000}"/>
    <cellStyle name="Normal 2 3 3 2 2" xfId="366" xr:uid="{00000000-0005-0000-0000-00003A230000}"/>
    <cellStyle name="Normal 2 3 3 3" xfId="367" xr:uid="{00000000-0005-0000-0000-00003B230000}"/>
    <cellStyle name="Normal 2 3 4" xfId="218" xr:uid="{00000000-0005-0000-0000-00003C230000}"/>
    <cellStyle name="Normal 2 3 4 2" xfId="368" xr:uid="{00000000-0005-0000-0000-00003D230000}"/>
    <cellStyle name="Normal 2 3 5" xfId="369" xr:uid="{00000000-0005-0000-0000-00003E230000}"/>
    <cellStyle name="Normal 2 3 6" xfId="370" xr:uid="{00000000-0005-0000-0000-00003F230000}"/>
    <cellStyle name="Normal 2 3 7" xfId="371" xr:uid="{00000000-0005-0000-0000-000040230000}"/>
    <cellStyle name="Normal 2 4" xfId="219" xr:uid="{00000000-0005-0000-0000-000041230000}"/>
    <cellStyle name="Normal 2 4 2" xfId="372" xr:uid="{00000000-0005-0000-0000-000042230000}"/>
    <cellStyle name="Normal 2 4 3" xfId="2079" xr:uid="{00000000-0005-0000-0000-000043230000}"/>
    <cellStyle name="Normal 2 5" xfId="220" xr:uid="{00000000-0005-0000-0000-000044230000}"/>
    <cellStyle name="Normal 2 5 2" xfId="293" xr:uid="{00000000-0005-0000-0000-000045230000}"/>
    <cellStyle name="Normal 2 6" xfId="373" xr:uid="{00000000-0005-0000-0000-000046230000}"/>
    <cellStyle name="Normal 2 6 2" xfId="374" xr:uid="{00000000-0005-0000-0000-000047230000}"/>
    <cellStyle name="Normal 2 6 3" xfId="375" xr:uid="{00000000-0005-0000-0000-000048230000}"/>
    <cellStyle name="Normal 2 6 4" xfId="749" xr:uid="{00000000-0005-0000-0000-000049230000}"/>
    <cellStyle name="Normal 2 7" xfId="376" xr:uid="{00000000-0005-0000-0000-00004A230000}"/>
    <cellStyle name="Normal 2 7 2" xfId="377" xr:uid="{00000000-0005-0000-0000-00004B230000}"/>
    <cellStyle name="Normal 2 7 3" xfId="378" xr:uid="{00000000-0005-0000-0000-00004C230000}"/>
    <cellStyle name="Normal 2 8" xfId="379" xr:uid="{00000000-0005-0000-0000-00004D230000}"/>
    <cellStyle name="Normal 2 8 2" xfId="47545" xr:uid="{00000000-0005-0000-0000-00004E230000}"/>
    <cellStyle name="Normal 2 9" xfId="380" xr:uid="{00000000-0005-0000-0000-00004F230000}"/>
    <cellStyle name="Normal 2 9 2" xfId="381" xr:uid="{00000000-0005-0000-0000-000050230000}"/>
    <cellStyle name="Normal 2 9 2 2" xfId="382" xr:uid="{00000000-0005-0000-0000-000051230000}"/>
    <cellStyle name="Normal 2 9 2 3" xfId="383" xr:uid="{00000000-0005-0000-0000-000052230000}"/>
    <cellStyle name="Normal 2 9 2 3 2" xfId="384" xr:uid="{00000000-0005-0000-0000-000053230000}"/>
    <cellStyle name="Normal 2 9 2 3 3" xfId="385" xr:uid="{00000000-0005-0000-0000-000054230000}"/>
    <cellStyle name="Normal 2 9 2 3 3 2" xfId="386" xr:uid="{00000000-0005-0000-0000-000055230000}"/>
    <cellStyle name="Normal 2 9 3" xfId="387" xr:uid="{00000000-0005-0000-0000-000056230000}"/>
    <cellStyle name="Normal 2 9 4" xfId="388" xr:uid="{00000000-0005-0000-0000-000057230000}"/>
    <cellStyle name="Normal 2 9 4 2" xfId="389" xr:uid="{00000000-0005-0000-0000-000058230000}"/>
    <cellStyle name="Normal 2 9 4 3" xfId="390" xr:uid="{00000000-0005-0000-0000-000059230000}"/>
    <cellStyle name="Normal 2 9 4 3 2" xfId="391" xr:uid="{00000000-0005-0000-0000-00005A230000}"/>
    <cellStyle name="Normal 20" xfId="221" xr:uid="{00000000-0005-0000-0000-00005B230000}"/>
    <cellStyle name="Normal 20 10" xfId="47546" xr:uid="{00000000-0005-0000-0000-00005C230000}"/>
    <cellStyle name="Normal 20 10 2" xfId="47698" xr:uid="{00000000-0005-0000-0000-00005D230000}"/>
    <cellStyle name="Normal 20 11" xfId="47547" xr:uid="{00000000-0005-0000-0000-00005E230000}"/>
    <cellStyle name="Normal 20 11 2" xfId="47699" xr:uid="{00000000-0005-0000-0000-00005F230000}"/>
    <cellStyle name="Normal 20 12" xfId="47548" xr:uid="{00000000-0005-0000-0000-000060230000}"/>
    <cellStyle name="Normal 20 12 2" xfId="47700" xr:uid="{00000000-0005-0000-0000-000061230000}"/>
    <cellStyle name="Normal 20 2" xfId="392" xr:uid="{00000000-0005-0000-0000-000062230000}"/>
    <cellStyle name="Normal 20 3" xfId="393" xr:uid="{00000000-0005-0000-0000-000063230000}"/>
    <cellStyle name="Normal 20 3 2" xfId="394" xr:uid="{00000000-0005-0000-0000-000064230000}"/>
    <cellStyle name="Normal 20 3 2 2" xfId="395" xr:uid="{00000000-0005-0000-0000-000065230000}"/>
    <cellStyle name="Normal 20 3 2 3" xfId="396" xr:uid="{00000000-0005-0000-0000-000066230000}"/>
    <cellStyle name="Normal 20 3 2 3 2" xfId="397" xr:uid="{00000000-0005-0000-0000-000067230000}"/>
    <cellStyle name="Normal 20 3 2 3 3" xfId="398" xr:uid="{00000000-0005-0000-0000-000068230000}"/>
    <cellStyle name="Normal 20 3 2 3 3 2" xfId="399" xr:uid="{00000000-0005-0000-0000-000069230000}"/>
    <cellStyle name="Normal 20 3 3" xfId="400" xr:uid="{00000000-0005-0000-0000-00006A230000}"/>
    <cellStyle name="Normal 20 3 4" xfId="401" xr:uid="{00000000-0005-0000-0000-00006B230000}"/>
    <cellStyle name="Normal 20 3 4 2" xfId="402" xr:uid="{00000000-0005-0000-0000-00006C230000}"/>
    <cellStyle name="Normal 20 3 4 3" xfId="403" xr:uid="{00000000-0005-0000-0000-00006D230000}"/>
    <cellStyle name="Normal 20 3 4 3 2" xfId="404" xr:uid="{00000000-0005-0000-0000-00006E230000}"/>
    <cellStyle name="Normal 20 4" xfId="47549" xr:uid="{00000000-0005-0000-0000-00006F230000}"/>
    <cellStyle name="Normal 20 5" xfId="47550" xr:uid="{00000000-0005-0000-0000-000070230000}"/>
    <cellStyle name="Normal 20 5 2" xfId="47701" xr:uid="{00000000-0005-0000-0000-000071230000}"/>
    <cellStyle name="Normal 20 6" xfId="47551" xr:uid="{00000000-0005-0000-0000-000072230000}"/>
    <cellStyle name="Normal 20 6 2" xfId="47702" xr:uid="{00000000-0005-0000-0000-000073230000}"/>
    <cellStyle name="Normal 20 7" xfId="47552" xr:uid="{00000000-0005-0000-0000-000074230000}"/>
    <cellStyle name="Normal 20 7 2" xfId="47703" xr:uid="{00000000-0005-0000-0000-000075230000}"/>
    <cellStyle name="Normal 20 8" xfId="47553" xr:uid="{00000000-0005-0000-0000-000076230000}"/>
    <cellStyle name="Normal 20 8 2" xfId="47704" xr:uid="{00000000-0005-0000-0000-000077230000}"/>
    <cellStyle name="Normal 20 9" xfId="47554" xr:uid="{00000000-0005-0000-0000-000078230000}"/>
    <cellStyle name="Normal 20 9 2" xfId="47705" xr:uid="{00000000-0005-0000-0000-000079230000}"/>
    <cellStyle name="Normal 21" xfId="1" xr:uid="{00000000-0005-0000-0000-00007A230000}"/>
    <cellStyle name="Normal 21 2" xfId="405" xr:uid="{00000000-0005-0000-0000-00007B230000}"/>
    <cellStyle name="Normal 21 3" xfId="406" xr:uid="{00000000-0005-0000-0000-00007C230000}"/>
    <cellStyle name="Normal 21 3 2" xfId="407" xr:uid="{00000000-0005-0000-0000-00007D230000}"/>
    <cellStyle name="Normal 21 3 3" xfId="408" xr:uid="{00000000-0005-0000-0000-00007E230000}"/>
    <cellStyle name="Normal 21 3 3 2" xfId="409" xr:uid="{00000000-0005-0000-0000-00007F230000}"/>
    <cellStyle name="Normal 21 3 3 3" xfId="410" xr:uid="{00000000-0005-0000-0000-000080230000}"/>
    <cellStyle name="Normal 21 3 3 3 2" xfId="411" xr:uid="{00000000-0005-0000-0000-000081230000}"/>
    <cellStyle name="Normal 21 4" xfId="412" xr:uid="{00000000-0005-0000-0000-000082230000}"/>
    <cellStyle name="Normal 21 5" xfId="413" xr:uid="{00000000-0005-0000-0000-000083230000}"/>
    <cellStyle name="Normal 21 5 2" xfId="414" xr:uid="{00000000-0005-0000-0000-000084230000}"/>
    <cellStyle name="Normal 21 5 3" xfId="415" xr:uid="{00000000-0005-0000-0000-000085230000}"/>
    <cellStyle name="Normal 21 5 3 2" xfId="416" xr:uid="{00000000-0005-0000-0000-000086230000}"/>
    <cellStyle name="Normal 21 6" xfId="417" xr:uid="{00000000-0005-0000-0000-000087230000}"/>
    <cellStyle name="Normal 21 7" xfId="295" xr:uid="{00000000-0005-0000-0000-000088230000}"/>
    <cellStyle name="Normal 22" xfId="296" xr:uid="{00000000-0005-0000-0000-000089230000}"/>
    <cellStyle name="Normal 23" xfId="297" xr:uid="{00000000-0005-0000-0000-00008A230000}"/>
    <cellStyle name="Normal 23 2" xfId="418" xr:uid="{00000000-0005-0000-0000-00008B230000}"/>
    <cellStyle name="Normal 23 3" xfId="419" xr:uid="{00000000-0005-0000-0000-00008C230000}"/>
    <cellStyle name="Normal 23 3 2" xfId="420" xr:uid="{00000000-0005-0000-0000-00008D230000}"/>
    <cellStyle name="Normal 23 3 3" xfId="421" xr:uid="{00000000-0005-0000-0000-00008E230000}"/>
    <cellStyle name="Normal 23 3 3 2" xfId="422" xr:uid="{00000000-0005-0000-0000-00008F230000}"/>
    <cellStyle name="Normal 24" xfId="423" xr:uid="{00000000-0005-0000-0000-000090230000}"/>
    <cellStyle name="Normal 25" xfId="424" xr:uid="{00000000-0005-0000-0000-000091230000}"/>
    <cellStyle name="Normal 26" xfId="1250" xr:uid="{00000000-0005-0000-0000-000092230000}"/>
    <cellStyle name="Normal 26 2" xfId="3240" xr:uid="{00000000-0005-0000-0000-000093230000}"/>
    <cellStyle name="Normal 27" xfId="4491" xr:uid="{00000000-0005-0000-0000-000094230000}"/>
    <cellStyle name="Normal 27 2" xfId="43551" xr:uid="{00000000-0005-0000-0000-000095230000}"/>
    <cellStyle name="Normal 28" xfId="47725" xr:uid="{F92D014B-B38D-4B4B-B093-CBD9C14A9D3D}"/>
    <cellStyle name="Normal 3" xfId="3" xr:uid="{00000000-0005-0000-0000-000096230000}"/>
    <cellStyle name="Normal 3 10" xfId="4" xr:uid="{00000000-0005-0000-0000-000097230000}"/>
    <cellStyle name="Normal 3 11" xfId="4501" xr:uid="{00000000-0005-0000-0000-000098230000}"/>
    <cellStyle name="Normal 3 12" xfId="47555" xr:uid="{00000000-0005-0000-0000-000099230000}"/>
    <cellStyle name="Normal 3 13" xfId="47556" xr:uid="{00000000-0005-0000-0000-00009A230000}"/>
    <cellStyle name="Normal 3 14" xfId="47557" xr:uid="{00000000-0005-0000-0000-00009B230000}"/>
    <cellStyle name="Normal 3 15" xfId="47558" xr:uid="{00000000-0005-0000-0000-00009C230000}"/>
    <cellStyle name="Normal 3 16" xfId="47559" xr:uid="{00000000-0005-0000-0000-00009D230000}"/>
    <cellStyle name="Normal 3 17" xfId="47560" xr:uid="{00000000-0005-0000-0000-00009E230000}"/>
    <cellStyle name="Normal 3 18" xfId="47561" xr:uid="{00000000-0005-0000-0000-00009F230000}"/>
    <cellStyle name="Normal 3 19" xfId="47562" xr:uid="{00000000-0005-0000-0000-0000A0230000}"/>
    <cellStyle name="Normal 3 2" xfId="222" xr:uid="{00000000-0005-0000-0000-0000A1230000}"/>
    <cellStyle name="Normal 3 2 10" xfId="47563" xr:uid="{00000000-0005-0000-0000-0000A2230000}"/>
    <cellStyle name="Normal 3 2 11" xfId="47564" xr:uid="{00000000-0005-0000-0000-0000A3230000}"/>
    <cellStyle name="Normal 3 2 12" xfId="47565" xr:uid="{00000000-0005-0000-0000-0000A4230000}"/>
    <cellStyle name="Normal 3 2 13" xfId="47566" xr:uid="{00000000-0005-0000-0000-0000A5230000}"/>
    <cellStyle name="Normal 3 2 14" xfId="47567" xr:uid="{00000000-0005-0000-0000-0000A6230000}"/>
    <cellStyle name="Normal 3 2 15" xfId="47568" xr:uid="{00000000-0005-0000-0000-0000A7230000}"/>
    <cellStyle name="Normal 3 2 16" xfId="47569" xr:uid="{00000000-0005-0000-0000-0000A8230000}"/>
    <cellStyle name="Normal 3 2 17" xfId="47570" xr:uid="{00000000-0005-0000-0000-0000A9230000}"/>
    <cellStyle name="Normal 3 2 18" xfId="47571" xr:uid="{00000000-0005-0000-0000-0000AA230000}"/>
    <cellStyle name="Normal 3 2 19" xfId="47572" xr:uid="{00000000-0005-0000-0000-0000AB230000}"/>
    <cellStyle name="Normal 3 2 2" xfId="223" xr:uid="{00000000-0005-0000-0000-0000AC230000}"/>
    <cellStyle name="Normal 3 2 2 10" xfId="47573" xr:uid="{00000000-0005-0000-0000-0000AD230000}"/>
    <cellStyle name="Normal 3 2 2 11" xfId="47574" xr:uid="{00000000-0005-0000-0000-0000AE230000}"/>
    <cellStyle name="Normal 3 2 2 12" xfId="47575" xr:uid="{00000000-0005-0000-0000-0000AF230000}"/>
    <cellStyle name="Normal 3 2 2 13" xfId="47576" xr:uid="{00000000-0005-0000-0000-0000B0230000}"/>
    <cellStyle name="Normal 3 2 2 14" xfId="47577" xr:uid="{00000000-0005-0000-0000-0000B1230000}"/>
    <cellStyle name="Normal 3 2 2 15" xfId="47578" xr:uid="{00000000-0005-0000-0000-0000B2230000}"/>
    <cellStyle name="Normal 3 2 2 16" xfId="47579" xr:uid="{00000000-0005-0000-0000-0000B3230000}"/>
    <cellStyle name="Normal 3 2 2 17" xfId="47580" xr:uid="{00000000-0005-0000-0000-0000B4230000}"/>
    <cellStyle name="Normal 3 2 2 18" xfId="47581" xr:uid="{00000000-0005-0000-0000-0000B5230000}"/>
    <cellStyle name="Normal 3 2 2 19" xfId="47582" xr:uid="{00000000-0005-0000-0000-0000B6230000}"/>
    <cellStyle name="Normal 3 2 2 2" xfId="224" xr:uid="{00000000-0005-0000-0000-0000B7230000}"/>
    <cellStyle name="Normal 3 2 2 2 2" xfId="425" xr:uid="{00000000-0005-0000-0000-0000B8230000}"/>
    <cellStyle name="Normal 3 2 2 20" xfId="47583" xr:uid="{00000000-0005-0000-0000-0000B9230000}"/>
    <cellStyle name="Normal 3 2 2 21" xfId="47584" xr:uid="{00000000-0005-0000-0000-0000BA230000}"/>
    <cellStyle name="Normal 3 2 2 22" xfId="47585" xr:uid="{00000000-0005-0000-0000-0000BB230000}"/>
    <cellStyle name="Normal 3 2 2 23" xfId="47586" xr:uid="{00000000-0005-0000-0000-0000BC230000}"/>
    <cellStyle name="Normal 3 2 2 3" xfId="225" xr:uid="{00000000-0005-0000-0000-0000BD230000}"/>
    <cellStyle name="Normal 3 2 2 4" xfId="426" xr:uid="{00000000-0005-0000-0000-0000BE230000}"/>
    <cellStyle name="Normal 3 2 2 5" xfId="47587" xr:uid="{00000000-0005-0000-0000-0000BF230000}"/>
    <cellStyle name="Normal 3 2 2 6" xfId="47588" xr:uid="{00000000-0005-0000-0000-0000C0230000}"/>
    <cellStyle name="Normal 3 2 2 7" xfId="47589" xr:uid="{00000000-0005-0000-0000-0000C1230000}"/>
    <cellStyle name="Normal 3 2 2 8" xfId="47590" xr:uid="{00000000-0005-0000-0000-0000C2230000}"/>
    <cellStyle name="Normal 3 2 2 9" xfId="47591" xr:uid="{00000000-0005-0000-0000-0000C3230000}"/>
    <cellStyle name="Normal 3 2 20" xfId="47592" xr:uid="{00000000-0005-0000-0000-0000C4230000}"/>
    <cellStyle name="Normal 3 2 21" xfId="47593" xr:uid="{00000000-0005-0000-0000-0000C5230000}"/>
    <cellStyle name="Normal 3 2 22" xfId="47594" xr:uid="{00000000-0005-0000-0000-0000C6230000}"/>
    <cellStyle name="Normal 3 2 3" xfId="47595" xr:uid="{00000000-0005-0000-0000-0000C7230000}"/>
    <cellStyle name="Normal 3 2 4" xfId="47596" xr:uid="{00000000-0005-0000-0000-0000C8230000}"/>
    <cellStyle name="Normal 3 2 5" xfId="47597" xr:uid="{00000000-0005-0000-0000-0000C9230000}"/>
    <cellStyle name="Normal 3 2 6" xfId="47598" xr:uid="{00000000-0005-0000-0000-0000CA230000}"/>
    <cellStyle name="Normal 3 2 7" xfId="47599" xr:uid="{00000000-0005-0000-0000-0000CB230000}"/>
    <cellStyle name="Normal 3 2 8" xfId="47600" xr:uid="{00000000-0005-0000-0000-0000CC230000}"/>
    <cellStyle name="Normal 3 2 9" xfId="47601" xr:uid="{00000000-0005-0000-0000-0000CD230000}"/>
    <cellStyle name="Normal 3 20" xfId="47602" xr:uid="{00000000-0005-0000-0000-0000CE230000}"/>
    <cellStyle name="Normal 3 21" xfId="47603" xr:uid="{00000000-0005-0000-0000-0000CF230000}"/>
    <cellStyle name="Normal 3 22" xfId="47604" xr:uid="{00000000-0005-0000-0000-0000D0230000}"/>
    <cellStyle name="Normal 3 23" xfId="47605" xr:uid="{00000000-0005-0000-0000-0000D1230000}"/>
    <cellStyle name="Normal 3 24" xfId="47606" xr:uid="{00000000-0005-0000-0000-0000D2230000}"/>
    <cellStyle name="Normal 3 25" xfId="47607" xr:uid="{00000000-0005-0000-0000-0000D3230000}"/>
    <cellStyle name="Normal 3 3" xfId="226" xr:uid="{00000000-0005-0000-0000-0000D4230000}"/>
    <cellStyle name="Normal 3 3 2" xfId="227" xr:uid="{00000000-0005-0000-0000-0000D5230000}"/>
    <cellStyle name="Normal 3 3 2 2" xfId="228" xr:uid="{00000000-0005-0000-0000-0000D6230000}"/>
    <cellStyle name="Normal 3 3 3" xfId="229" xr:uid="{00000000-0005-0000-0000-0000D7230000}"/>
    <cellStyle name="Normal 3 3 3 2" xfId="427" xr:uid="{00000000-0005-0000-0000-0000D8230000}"/>
    <cellStyle name="Normal 3 3 4" xfId="230" xr:uid="{00000000-0005-0000-0000-0000D9230000}"/>
    <cellStyle name="Normal 3 3 5" xfId="428" xr:uid="{00000000-0005-0000-0000-0000DA230000}"/>
    <cellStyle name="Normal 3 3 6" xfId="429" xr:uid="{00000000-0005-0000-0000-0000DB230000}"/>
    <cellStyle name="Normal 3 4" xfId="231" xr:uid="{00000000-0005-0000-0000-0000DC230000}"/>
    <cellStyle name="Normal 3 4 2" xfId="430" xr:uid="{00000000-0005-0000-0000-0000DD230000}"/>
    <cellStyle name="Normal 3 4 3" xfId="47308" xr:uid="{00000000-0005-0000-0000-0000DE230000}"/>
    <cellStyle name="Normal 3 5" xfId="232" xr:uid="{00000000-0005-0000-0000-0000DF230000}"/>
    <cellStyle name="Normal 3 5 2" xfId="431" xr:uid="{00000000-0005-0000-0000-0000E0230000}"/>
    <cellStyle name="Normal 3 6" xfId="432" xr:uid="{00000000-0005-0000-0000-0000E1230000}"/>
    <cellStyle name="Normal 3 6 2" xfId="433" xr:uid="{00000000-0005-0000-0000-0000E2230000}"/>
    <cellStyle name="Normal 3 6 3" xfId="434" xr:uid="{00000000-0005-0000-0000-0000E3230000}"/>
    <cellStyle name="Normal 3 7" xfId="435" xr:uid="{00000000-0005-0000-0000-0000E4230000}"/>
    <cellStyle name="Normal 3 8" xfId="436" xr:uid="{00000000-0005-0000-0000-0000E5230000}"/>
    <cellStyle name="Normal 3 8 2" xfId="47610" xr:uid="{00000000-0005-0000-0000-0000E6230000}"/>
    <cellStyle name="Normal 3 9" xfId="2078" xr:uid="{00000000-0005-0000-0000-0000E7230000}"/>
    <cellStyle name="Normal 3 9 2" xfId="47611" xr:uid="{00000000-0005-0000-0000-0000E8230000}"/>
    <cellStyle name="Normal 3_2012" xfId="754" xr:uid="{00000000-0005-0000-0000-0000E9230000}"/>
    <cellStyle name="Normal 4" xfId="233" xr:uid="{00000000-0005-0000-0000-0000EA230000}"/>
    <cellStyle name="Normal 4 2" xfId="234" xr:uid="{00000000-0005-0000-0000-0000EB230000}"/>
    <cellStyle name="Normal 4 2 2" xfId="235" xr:uid="{00000000-0005-0000-0000-0000EC230000}"/>
    <cellStyle name="Normal 4 2 2 2" xfId="437" xr:uid="{00000000-0005-0000-0000-0000ED230000}"/>
    <cellStyle name="Normal 4 2 3" xfId="236" xr:uid="{00000000-0005-0000-0000-0000EE230000}"/>
    <cellStyle name="Normal 4 2 3 2" xfId="438" xr:uid="{00000000-0005-0000-0000-0000EF230000}"/>
    <cellStyle name="Normal 4 2 4" xfId="439" xr:uid="{00000000-0005-0000-0000-0000F0230000}"/>
    <cellStyle name="Normal 4 2 5" xfId="440" xr:uid="{00000000-0005-0000-0000-0000F1230000}"/>
    <cellStyle name="Normal 4 2 6" xfId="441" xr:uid="{00000000-0005-0000-0000-0000F2230000}"/>
    <cellStyle name="Normal 4 3" xfId="237" xr:uid="{00000000-0005-0000-0000-0000F3230000}"/>
    <cellStyle name="Normal 4 3 2" xfId="442" xr:uid="{00000000-0005-0000-0000-0000F4230000}"/>
    <cellStyle name="Normal 4 3 3" xfId="443" xr:uid="{00000000-0005-0000-0000-0000F5230000}"/>
    <cellStyle name="Normal 4 4" xfId="444" xr:uid="{00000000-0005-0000-0000-0000F6230000}"/>
    <cellStyle name="Normal 4 4 2" xfId="47310" xr:uid="{00000000-0005-0000-0000-0000F7230000}"/>
    <cellStyle name="Normal 4 5" xfId="445" xr:uid="{00000000-0005-0000-0000-0000F8230000}"/>
    <cellStyle name="Normal 4 6" xfId="446" xr:uid="{00000000-0005-0000-0000-0000F9230000}"/>
    <cellStyle name="Normal 5" xfId="238" xr:uid="{00000000-0005-0000-0000-0000FA230000}"/>
    <cellStyle name="Normal 5 2" xfId="291" xr:uid="{00000000-0005-0000-0000-0000FB230000}"/>
    <cellStyle name="Normal 5 2 2" xfId="447" xr:uid="{00000000-0005-0000-0000-0000FC230000}"/>
    <cellStyle name="Normal 5 3" xfId="292" xr:uid="{00000000-0005-0000-0000-0000FD230000}"/>
    <cellStyle name="Normal 5 4" xfId="448" xr:uid="{00000000-0005-0000-0000-0000FE230000}"/>
    <cellStyle name="Normal 6" xfId="239" xr:uid="{00000000-0005-0000-0000-0000FF230000}"/>
    <cellStyle name="Normal 6 2" xfId="449" xr:uid="{00000000-0005-0000-0000-000000240000}"/>
    <cellStyle name="Normal 6 2 2" xfId="784" xr:uid="{00000000-0005-0000-0000-000001240000}"/>
    <cellStyle name="Normal 6 3" xfId="450" xr:uid="{00000000-0005-0000-0000-000002240000}"/>
    <cellStyle name="Normal 6 4" xfId="451" xr:uid="{00000000-0005-0000-0000-000003240000}"/>
    <cellStyle name="Normal 7" xfId="240" xr:uid="{00000000-0005-0000-0000-000004240000}"/>
    <cellStyle name="Normal 7 2" xfId="452" xr:uid="{00000000-0005-0000-0000-000005240000}"/>
    <cellStyle name="Normal 7 3" xfId="453" xr:uid="{00000000-0005-0000-0000-000006240000}"/>
    <cellStyle name="Normal 8" xfId="241" xr:uid="{00000000-0005-0000-0000-000007240000}"/>
    <cellStyle name="Normal 8 2" xfId="242" xr:uid="{00000000-0005-0000-0000-000008240000}"/>
    <cellStyle name="Normal 8 3" xfId="243" xr:uid="{00000000-0005-0000-0000-000009240000}"/>
    <cellStyle name="Normal 8 4" xfId="244" xr:uid="{00000000-0005-0000-0000-00000A240000}"/>
    <cellStyle name="Normal 8 5" xfId="245" xr:uid="{00000000-0005-0000-0000-00000B240000}"/>
    <cellStyle name="Normal 8 6" xfId="246" xr:uid="{00000000-0005-0000-0000-00000C240000}"/>
    <cellStyle name="Normal 9" xfId="5" xr:uid="{00000000-0005-0000-0000-00000D240000}"/>
    <cellStyle name="Normal 9 10" xfId="47612" xr:uid="{00000000-0005-0000-0000-00000E240000}"/>
    <cellStyle name="Normal 9 10 2" xfId="47706" xr:uid="{00000000-0005-0000-0000-00000F240000}"/>
    <cellStyle name="Normal 9 11" xfId="47613" xr:uid="{00000000-0005-0000-0000-000010240000}"/>
    <cellStyle name="Normal 9 11 2" xfId="47707" xr:uid="{00000000-0005-0000-0000-000011240000}"/>
    <cellStyle name="Normal 9 12" xfId="47614" xr:uid="{00000000-0005-0000-0000-000012240000}"/>
    <cellStyle name="Normal 9 12 2" xfId="47708" xr:uid="{00000000-0005-0000-0000-000013240000}"/>
    <cellStyle name="Normal 9 13" xfId="47615" xr:uid="{00000000-0005-0000-0000-000014240000}"/>
    <cellStyle name="Normal 9 13 2" xfId="47709" xr:uid="{00000000-0005-0000-0000-000015240000}"/>
    <cellStyle name="Normal 9 14" xfId="47616" xr:uid="{00000000-0005-0000-0000-000016240000}"/>
    <cellStyle name="Normal 9 14 2" xfId="47710" xr:uid="{00000000-0005-0000-0000-000017240000}"/>
    <cellStyle name="Normal 9 15" xfId="47617" xr:uid="{00000000-0005-0000-0000-000018240000}"/>
    <cellStyle name="Normal 9 15 2" xfId="47711" xr:uid="{00000000-0005-0000-0000-000019240000}"/>
    <cellStyle name="Normal 9 2" xfId="247" xr:uid="{00000000-0005-0000-0000-00001A240000}"/>
    <cellStyle name="Normal 9 2 10" xfId="47618" xr:uid="{00000000-0005-0000-0000-00001B240000}"/>
    <cellStyle name="Normal 9 2 10 2" xfId="47712" xr:uid="{00000000-0005-0000-0000-00001C240000}"/>
    <cellStyle name="Normal 9 2 11" xfId="47619" xr:uid="{00000000-0005-0000-0000-00001D240000}"/>
    <cellStyle name="Normal 9 2 11 2" xfId="47713" xr:uid="{00000000-0005-0000-0000-00001E240000}"/>
    <cellStyle name="Normal 9 2 12" xfId="47620" xr:uid="{00000000-0005-0000-0000-00001F240000}"/>
    <cellStyle name="Normal 9 2 12 2" xfId="47714" xr:uid="{00000000-0005-0000-0000-000020240000}"/>
    <cellStyle name="Normal 9 2 2" xfId="454" xr:uid="{00000000-0005-0000-0000-000021240000}"/>
    <cellStyle name="Normal 9 2 2 2" xfId="455" xr:uid="{00000000-0005-0000-0000-000022240000}"/>
    <cellStyle name="Normal 9 2 2 2 2" xfId="456" xr:uid="{00000000-0005-0000-0000-000023240000}"/>
    <cellStyle name="Normal 9 2 2 2 3" xfId="457" xr:uid="{00000000-0005-0000-0000-000024240000}"/>
    <cellStyle name="Normal 9 2 2 2 3 2" xfId="458" xr:uid="{00000000-0005-0000-0000-000025240000}"/>
    <cellStyle name="Normal 9 2 2 2 3 3" xfId="459" xr:uid="{00000000-0005-0000-0000-000026240000}"/>
    <cellStyle name="Normal 9 2 2 2 3 3 2" xfId="460" xr:uid="{00000000-0005-0000-0000-000027240000}"/>
    <cellStyle name="Normal 9 2 2 3" xfId="461" xr:uid="{00000000-0005-0000-0000-000028240000}"/>
    <cellStyle name="Normal 9 2 2 4" xfId="462" xr:uid="{00000000-0005-0000-0000-000029240000}"/>
    <cellStyle name="Normal 9 2 2 4 2" xfId="463" xr:uid="{00000000-0005-0000-0000-00002A240000}"/>
    <cellStyle name="Normal 9 2 2 4 3" xfId="464" xr:uid="{00000000-0005-0000-0000-00002B240000}"/>
    <cellStyle name="Normal 9 2 2 4 3 2" xfId="465" xr:uid="{00000000-0005-0000-0000-00002C240000}"/>
    <cellStyle name="Normal 9 2 3" xfId="47313" xr:uid="{00000000-0005-0000-0000-00002D240000}"/>
    <cellStyle name="Normal 9 2 3 2" xfId="47621" xr:uid="{00000000-0005-0000-0000-00002E240000}"/>
    <cellStyle name="Normal 9 2 4" xfId="47622" xr:uid="{00000000-0005-0000-0000-00002F240000}"/>
    <cellStyle name="Normal 9 2 5" xfId="47623" xr:uid="{00000000-0005-0000-0000-000030240000}"/>
    <cellStyle name="Normal 9 2 5 2" xfId="47715" xr:uid="{00000000-0005-0000-0000-000031240000}"/>
    <cellStyle name="Normal 9 2 6" xfId="47624" xr:uid="{00000000-0005-0000-0000-000032240000}"/>
    <cellStyle name="Normal 9 2 6 2" xfId="47716" xr:uid="{00000000-0005-0000-0000-000033240000}"/>
    <cellStyle name="Normal 9 2 7" xfId="47625" xr:uid="{00000000-0005-0000-0000-000034240000}"/>
    <cellStyle name="Normal 9 2 7 2" xfId="47717" xr:uid="{00000000-0005-0000-0000-000035240000}"/>
    <cellStyle name="Normal 9 2 8" xfId="47626" xr:uid="{00000000-0005-0000-0000-000036240000}"/>
    <cellStyle name="Normal 9 2 8 2" xfId="47718" xr:uid="{00000000-0005-0000-0000-000037240000}"/>
    <cellStyle name="Normal 9 2 9" xfId="47627" xr:uid="{00000000-0005-0000-0000-000038240000}"/>
    <cellStyle name="Normal 9 2 9 2" xfId="47719" xr:uid="{00000000-0005-0000-0000-000039240000}"/>
    <cellStyle name="Normal 9 3" xfId="248" xr:uid="{00000000-0005-0000-0000-00003A240000}"/>
    <cellStyle name="Normal 9 4" xfId="249" xr:uid="{00000000-0005-0000-0000-00003B240000}"/>
    <cellStyle name="Normal 9 5" xfId="466" xr:uid="{00000000-0005-0000-0000-00003C240000}"/>
    <cellStyle name="Normal 9 5 2" xfId="467" xr:uid="{00000000-0005-0000-0000-00003D240000}"/>
    <cellStyle name="Normal 9 5 2 2" xfId="468" xr:uid="{00000000-0005-0000-0000-00003E240000}"/>
    <cellStyle name="Normal 9 5 2 3" xfId="469" xr:uid="{00000000-0005-0000-0000-00003F240000}"/>
    <cellStyle name="Normal 9 5 2 3 2" xfId="470" xr:uid="{00000000-0005-0000-0000-000040240000}"/>
    <cellStyle name="Normal 9 5 2 3 3" xfId="471" xr:uid="{00000000-0005-0000-0000-000041240000}"/>
    <cellStyle name="Normal 9 5 2 3 3 2" xfId="472" xr:uid="{00000000-0005-0000-0000-000042240000}"/>
    <cellStyle name="Normal 9 5 3" xfId="473" xr:uid="{00000000-0005-0000-0000-000043240000}"/>
    <cellStyle name="Normal 9 5 4" xfId="474" xr:uid="{00000000-0005-0000-0000-000044240000}"/>
    <cellStyle name="Normal 9 5 4 2" xfId="475" xr:uid="{00000000-0005-0000-0000-000045240000}"/>
    <cellStyle name="Normal 9 5 4 3" xfId="476" xr:uid="{00000000-0005-0000-0000-000046240000}"/>
    <cellStyle name="Normal 9 5 4 3 2" xfId="477" xr:uid="{00000000-0005-0000-0000-000047240000}"/>
    <cellStyle name="Normal 9 6" xfId="47628" xr:uid="{00000000-0005-0000-0000-000048240000}"/>
    <cellStyle name="Normal 9 7" xfId="47629" xr:uid="{00000000-0005-0000-0000-000049240000}"/>
    <cellStyle name="Normal 9 8" xfId="47630" xr:uid="{00000000-0005-0000-0000-00004A240000}"/>
    <cellStyle name="Normal 9 8 2" xfId="47720" xr:uid="{00000000-0005-0000-0000-00004B240000}"/>
    <cellStyle name="Normal 9 9" xfId="47631" xr:uid="{00000000-0005-0000-0000-00004C240000}"/>
    <cellStyle name="Normal 9 9 2" xfId="47721" xr:uid="{00000000-0005-0000-0000-00004D240000}"/>
    <cellStyle name="Note" xfId="22" builtinId="10" customBuiltin="1"/>
    <cellStyle name="Note 2" xfId="250" xr:uid="{00000000-0005-0000-0000-00004F240000}"/>
    <cellStyle name="Note 2 10" xfId="2113" xr:uid="{00000000-0005-0000-0000-000050240000}"/>
    <cellStyle name="Note 2 10 10" xfId="33417" xr:uid="{00000000-0005-0000-0000-000051240000}"/>
    <cellStyle name="Note 2 10 11" xfId="37165" xr:uid="{00000000-0005-0000-0000-000052240000}"/>
    <cellStyle name="Note 2 10 12" xfId="41181" xr:uid="{00000000-0005-0000-0000-000053240000}"/>
    <cellStyle name="Note 2 10 13" xfId="44979" xr:uid="{00000000-0005-0000-0000-000054240000}"/>
    <cellStyle name="Note 2 10 2" xfId="4097" xr:uid="{00000000-0005-0000-0000-000055240000}"/>
    <cellStyle name="Note 2 10 2 10" xfId="39148" xr:uid="{00000000-0005-0000-0000-000056240000}"/>
    <cellStyle name="Note 2 10 2 11" xfId="43158" xr:uid="{00000000-0005-0000-0000-000057240000}"/>
    <cellStyle name="Note 2 10 2 12" xfId="46917" xr:uid="{00000000-0005-0000-0000-000058240000}"/>
    <cellStyle name="Note 2 10 2 2" xfId="7958" xr:uid="{00000000-0005-0000-0000-000059240000}"/>
    <cellStyle name="Note 2 10 2 3" xfId="12397" xr:uid="{00000000-0005-0000-0000-00005A240000}"/>
    <cellStyle name="Note 2 10 2 4" xfId="16242" xr:uid="{00000000-0005-0000-0000-00005B240000}"/>
    <cellStyle name="Note 2 10 2 5" xfId="20091" xr:uid="{00000000-0005-0000-0000-00005C240000}"/>
    <cellStyle name="Note 2 10 2 6" xfId="24005" xr:uid="{00000000-0005-0000-0000-00005D240000}"/>
    <cellStyle name="Note 2 10 2 7" xfId="27841" xr:uid="{00000000-0005-0000-0000-00005E240000}"/>
    <cellStyle name="Note 2 10 2 8" xfId="31700" xr:uid="{00000000-0005-0000-0000-00005F240000}"/>
    <cellStyle name="Note 2 10 2 9" xfId="35355" xr:uid="{00000000-0005-0000-0000-000060240000}"/>
    <cellStyle name="Note 2 10 3" xfId="6033" xr:uid="{00000000-0005-0000-0000-000061240000}"/>
    <cellStyle name="Note 2 10 4" xfId="10431" xr:uid="{00000000-0005-0000-0000-000062240000}"/>
    <cellStyle name="Note 2 10 5" xfId="14279" xr:uid="{00000000-0005-0000-0000-000063240000}"/>
    <cellStyle name="Note 2 10 6" xfId="18107" xr:uid="{00000000-0005-0000-0000-000064240000}"/>
    <cellStyle name="Note 2 10 7" xfId="22049" xr:uid="{00000000-0005-0000-0000-000065240000}"/>
    <cellStyle name="Note 2 10 8" xfId="25858" xr:uid="{00000000-0005-0000-0000-000066240000}"/>
    <cellStyle name="Note 2 10 9" xfId="29738" xr:uid="{00000000-0005-0000-0000-000067240000}"/>
    <cellStyle name="Note 2 11" xfId="2106" xr:uid="{00000000-0005-0000-0000-000068240000}"/>
    <cellStyle name="Note 2 11 10" xfId="33412" xr:uid="{00000000-0005-0000-0000-000069240000}"/>
    <cellStyle name="Note 2 11 11" xfId="37158" xr:uid="{00000000-0005-0000-0000-00006A240000}"/>
    <cellStyle name="Note 2 11 12" xfId="41174" xr:uid="{00000000-0005-0000-0000-00006B240000}"/>
    <cellStyle name="Note 2 11 13" xfId="44974" xr:uid="{00000000-0005-0000-0000-00006C240000}"/>
    <cellStyle name="Note 2 11 2" xfId="4090" xr:uid="{00000000-0005-0000-0000-00006D240000}"/>
    <cellStyle name="Note 2 11 2 10" xfId="39141" xr:uid="{00000000-0005-0000-0000-00006E240000}"/>
    <cellStyle name="Note 2 11 2 11" xfId="43151" xr:uid="{00000000-0005-0000-0000-00006F240000}"/>
    <cellStyle name="Note 2 11 2 12" xfId="46912" xr:uid="{00000000-0005-0000-0000-000070240000}"/>
    <cellStyle name="Note 2 11 2 2" xfId="7953" xr:uid="{00000000-0005-0000-0000-000071240000}"/>
    <cellStyle name="Note 2 11 2 3" xfId="12390" xr:uid="{00000000-0005-0000-0000-000072240000}"/>
    <cellStyle name="Note 2 11 2 4" xfId="16235" xr:uid="{00000000-0005-0000-0000-000073240000}"/>
    <cellStyle name="Note 2 11 2 5" xfId="20084" xr:uid="{00000000-0005-0000-0000-000074240000}"/>
    <cellStyle name="Note 2 11 2 6" xfId="23998" xr:uid="{00000000-0005-0000-0000-000075240000}"/>
    <cellStyle name="Note 2 11 2 7" xfId="27834" xr:uid="{00000000-0005-0000-0000-000076240000}"/>
    <cellStyle name="Note 2 11 2 8" xfId="31693" xr:uid="{00000000-0005-0000-0000-000077240000}"/>
    <cellStyle name="Note 2 11 2 9" xfId="35350" xr:uid="{00000000-0005-0000-0000-000078240000}"/>
    <cellStyle name="Note 2 11 3" xfId="6028" xr:uid="{00000000-0005-0000-0000-000079240000}"/>
    <cellStyle name="Note 2 11 4" xfId="10425" xr:uid="{00000000-0005-0000-0000-00007A240000}"/>
    <cellStyle name="Note 2 11 5" xfId="14272" xr:uid="{00000000-0005-0000-0000-00007B240000}"/>
    <cellStyle name="Note 2 11 6" xfId="18100" xr:uid="{00000000-0005-0000-0000-00007C240000}"/>
    <cellStyle name="Note 2 11 7" xfId="22042" xr:uid="{00000000-0005-0000-0000-00007D240000}"/>
    <cellStyle name="Note 2 11 8" xfId="25851" xr:uid="{00000000-0005-0000-0000-00007E240000}"/>
    <cellStyle name="Note 2 11 9" xfId="29731" xr:uid="{00000000-0005-0000-0000-00007F240000}"/>
    <cellStyle name="Note 2 12" xfId="2141" xr:uid="{00000000-0005-0000-0000-000080240000}"/>
    <cellStyle name="Note 2 12 10" xfId="33443" xr:uid="{00000000-0005-0000-0000-000081240000}"/>
    <cellStyle name="Note 2 12 11" xfId="37193" xr:uid="{00000000-0005-0000-0000-000082240000}"/>
    <cellStyle name="Note 2 12 12" xfId="41209" xr:uid="{00000000-0005-0000-0000-000083240000}"/>
    <cellStyle name="Note 2 12 13" xfId="45005" xr:uid="{00000000-0005-0000-0000-000084240000}"/>
    <cellStyle name="Note 2 12 2" xfId="4125" xr:uid="{00000000-0005-0000-0000-000085240000}"/>
    <cellStyle name="Note 2 12 2 10" xfId="39176" xr:uid="{00000000-0005-0000-0000-000086240000}"/>
    <cellStyle name="Note 2 12 2 11" xfId="43186" xr:uid="{00000000-0005-0000-0000-000087240000}"/>
    <cellStyle name="Note 2 12 2 12" xfId="46943" xr:uid="{00000000-0005-0000-0000-000088240000}"/>
    <cellStyle name="Note 2 12 2 2" xfId="7984" xr:uid="{00000000-0005-0000-0000-000089240000}"/>
    <cellStyle name="Note 2 12 2 3" xfId="12424" xr:uid="{00000000-0005-0000-0000-00008A240000}"/>
    <cellStyle name="Note 2 12 2 4" xfId="16269" xr:uid="{00000000-0005-0000-0000-00008B240000}"/>
    <cellStyle name="Note 2 12 2 5" xfId="20119" xr:uid="{00000000-0005-0000-0000-00008C240000}"/>
    <cellStyle name="Note 2 12 2 6" xfId="24031" xr:uid="{00000000-0005-0000-0000-00008D240000}"/>
    <cellStyle name="Note 2 12 2 7" xfId="27869" xr:uid="{00000000-0005-0000-0000-00008E240000}"/>
    <cellStyle name="Note 2 12 2 8" xfId="31728" xr:uid="{00000000-0005-0000-0000-00008F240000}"/>
    <cellStyle name="Note 2 12 2 9" xfId="35381" xr:uid="{00000000-0005-0000-0000-000090240000}"/>
    <cellStyle name="Note 2 12 3" xfId="6058" xr:uid="{00000000-0005-0000-0000-000091240000}"/>
    <cellStyle name="Note 2 12 4" xfId="10458" xr:uid="{00000000-0005-0000-0000-000092240000}"/>
    <cellStyle name="Note 2 12 5" xfId="14305" xr:uid="{00000000-0005-0000-0000-000093240000}"/>
    <cellStyle name="Note 2 12 6" xfId="18135" xr:uid="{00000000-0005-0000-0000-000094240000}"/>
    <cellStyle name="Note 2 12 7" xfId="22075" xr:uid="{00000000-0005-0000-0000-000095240000}"/>
    <cellStyle name="Note 2 12 8" xfId="25886" xr:uid="{00000000-0005-0000-0000-000096240000}"/>
    <cellStyle name="Note 2 12 9" xfId="29766" xr:uid="{00000000-0005-0000-0000-000097240000}"/>
    <cellStyle name="Note 2 13" xfId="2130" xr:uid="{00000000-0005-0000-0000-000098240000}"/>
    <cellStyle name="Note 2 13 10" xfId="33434" xr:uid="{00000000-0005-0000-0000-000099240000}"/>
    <cellStyle name="Note 2 13 11" xfId="37182" xr:uid="{00000000-0005-0000-0000-00009A240000}"/>
    <cellStyle name="Note 2 13 12" xfId="41198" xr:uid="{00000000-0005-0000-0000-00009B240000}"/>
    <cellStyle name="Note 2 13 13" xfId="44996" xr:uid="{00000000-0005-0000-0000-00009C240000}"/>
    <cellStyle name="Note 2 13 2" xfId="4114" xr:uid="{00000000-0005-0000-0000-00009D240000}"/>
    <cellStyle name="Note 2 13 2 10" xfId="39165" xr:uid="{00000000-0005-0000-0000-00009E240000}"/>
    <cellStyle name="Note 2 13 2 11" xfId="43175" xr:uid="{00000000-0005-0000-0000-00009F240000}"/>
    <cellStyle name="Note 2 13 2 12" xfId="46934" xr:uid="{00000000-0005-0000-0000-0000A0240000}"/>
    <cellStyle name="Note 2 13 2 2" xfId="7975" xr:uid="{00000000-0005-0000-0000-0000A1240000}"/>
    <cellStyle name="Note 2 13 2 3" xfId="12414" xr:uid="{00000000-0005-0000-0000-0000A2240000}"/>
    <cellStyle name="Note 2 13 2 4" xfId="16259" xr:uid="{00000000-0005-0000-0000-0000A3240000}"/>
    <cellStyle name="Note 2 13 2 5" xfId="20108" xr:uid="{00000000-0005-0000-0000-0000A4240000}"/>
    <cellStyle name="Note 2 13 2 6" xfId="24022" xr:uid="{00000000-0005-0000-0000-0000A5240000}"/>
    <cellStyle name="Note 2 13 2 7" xfId="27858" xr:uid="{00000000-0005-0000-0000-0000A6240000}"/>
    <cellStyle name="Note 2 13 2 8" xfId="31717" xr:uid="{00000000-0005-0000-0000-0000A7240000}"/>
    <cellStyle name="Note 2 13 2 9" xfId="35372" xr:uid="{00000000-0005-0000-0000-0000A8240000}"/>
    <cellStyle name="Note 2 13 3" xfId="6050" xr:uid="{00000000-0005-0000-0000-0000A9240000}"/>
    <cellStyle name="Note 2 13 4" xfId="10448" xr:uid="{00000000-0005-0000-0000-0000AA240000}"/>
    <cellStyle name="Note 2 13 5" xfId="14296" xr:uid="{00000000-0005-0000-0000-0000AB240000}"/>
    <cellStyle name="Note 2 13 6" xfId="18124" xr:uid="{00000000-0005-0000-0000-0000AC240000}"/>
    <cellStyle name="Note 2 13 7" xfId="22066" xr:uid="{00000000-0005-0000-0000-0000AD240000}"/>
    <cellStyle name="Note 2 13 8" xfId="25875" xr:uid="{00000000-0005-0000-0000-0000AE240000}"/>
    <cellStyle name="Note 2 13 9" xfId="29755" xr:uid="{00000000-0005-0000-0000-0000AF240000}"/>
    <cellStyle name="Note 2 14" xfId="2111" xr:uid="{00000000-0005-0000-0000-0000B0240000}"/>
    <cellStyle name="Note 2 14 10" xfId="33415" xr:uid="{00000000-0005-0000-0000-0000B1240000}"/>
    <cellStyle name="Note 2 14 11" xfId="37163" xr:uid="{00000000-0005-0000-0000-0000B2240000}"/>
    <cellStyle name="Note 2 14 12" xfId="41179" xr:uid="{00000000-0005-0000-0000-0000B3240000}"/>
    <cellStyle name="Note 2 14 13" xfId="44977" xr:uid="{00000000-0005-0000-0000-0000B4240000}"/>
    <cellStyle name="Note 2 14 2" xfId="4095" xr:uid="{00000000-0005-0000-0000-0000B5240000}"/>
    <cellStyle name="Note 2 14 2 10" xfId="39146" xr:uid="{00000000-0005-0000-0000-0000B6240000}"/>
    <cellStyle name="Note 2 14 2 11" xfId="43156" xr:uid="{00000000-0005-0000-0000-0000B7240000}"/>
    <cellStyle name="Note 2 14 2 12" xfId="46915" xr:uid="{00000000-0005-0000-0000-0000B8240000}"/>
    <cellStyle name="Note 2 14 2 2" xfId="7956" xr:uid="{00000000-0005-0000-0000-0000B9240000}"/>
    <cellStyle name="Note 2 14 2 3" xfId="12395" xr:uid="{00000000-0005-0000-0000-0000BA240000}"/>
    <cellStyle name="Note 2 14 2 4" xfId="16240" xr:uid="{00000000-0005-0000-0000-0000BB240000}"/>
    <cellStyle name="Note 2 14 2 5" xfId="20089" xr:uid="{00000000-0005-0000-0000-0000BC240000}"/>
    <cellStyle name="Note 2 14 2 6" xfId="24003" xr:uid="{00000000-0005-0000-0000-0000BD240000}"/>
    <cellStyle name="Note 2 14 2 7" xfId="27839" xr:uid="{00000000-0005-0000-0000-0000BE240000}"/>
    <cellStyle name="Note 2 14 2 8" xfId="31698" xr:uid="{00000000-0005-0000-0000-0000BF240000}"/>
    <cellStyle name="Note 2 14 2 9" xfId="35353" xr:uid="{00000000-0005-0000-0000-0000C0240000}"/>
    <cellStyle name="Note 2 14 3" xfId="6031" xr:uid="{00000000-0005-0000-0000-0000C1240000}"/>
    <cellStyle name="Note 2 14 4" xfId="10429" xr:uid="{00000000-0005-0000-0000-0000C2240000}"/>
    <cellStyle name="Note 2 14 5" xfId="14277" xr:uid="{00000000-0005-0000-0000-0000C3240000}"/>
    <cellStyle name="Note 2 14 6" xfId="18105" xr:uid="{00000000-0005-0000-0000-0000C4240000}"/>
    <cellStyle name="Note 2 14 7" xfId="22047" xr:uid="{00000000-0005-0000-0000-0000C5240000}"/>
    <cellStyle name="Note 2 14 8" xfId="25856" xr:uid="{00000000-0005-0000-0000-0000C6240000}"/>
    <cellStyle name="Note 2 14 9" xfId="29736" xr:uid="{00000000-0005-0000-0000-0000C7240000}"/>
    <cellStyle name="Note 2 15" xfId="2108" xr:uid="{00000000-0005-0000-0000-0000C8240000}"/>
    <cellStyle name="Note 2 15 10" xfId="33413" xr:uid="{00000000-0005-0000-0000-0000C9240000}"/>
    <cellStyle name="Note 2 15 11" xfId="37160" xr:uid="{00000000-0005-0000-0000-0000CA240000}"/>
    <cellStyle name="Note 2 15 12" xfId="41176" xr:uid="{00000000-0005-0000-0000-0000CB240000}"/>
    <cellStyle name="Note 2 15 13" xfId="44975" xr:uid="{00000000-0005-0000-0000-0000CC240000}"/>
    <cellStyle name="Note 2 15 2" xfId="4092" xr:uid="{00000000-0005-0000-0000-0000CD240000}"/>
    <cellStyle name="Note 2 15 2 10" xfId="39143" xr:uid="{00000000-0005-0000-0000-0000CE240000}"/>
    <cellStyle name="Note 2 15 2 11" xfId="43153" xr:uid="{00000000-0005-0000-0000-0000CF240000}"/>
    <cellStyle name="Note 2 15 2 12" xfId="46913" xr:uid="{00000000-0005-0000-0000-0000D0240000}"/>
    <cellStyle name="Note 2 15 2 2" xfId="7954" xr:uid="{00000000-0005-0000-0000-0000D1240000}"/>
    <cellStyle name="Note 2 15 2 3" xfId="12392" xr:uid="{00000000-0005-0000-0000-0000D2240000}"/>
    <cellStyle name="Note 2 15 2 4" xfId="16237" xr:uid="{00000000-0005-0000-0000-0000D3240000}"/>
    <cellStyle name="Note 2 15 2 5" xfId="20086" xr:uid="{00000000-0005-0000-0000-0000D4240000}"/>
    <cellStyle name="Note 2 15 2 6" xfId="24000" xr:uid="{00000000-0005-0000-0000-0000D5240000}"/>
    <cellStyle name="Note 2 15 2 7" xfId="27836" xr:uid="{00000000-0005-0000-0000-0000D6240000}"/>
    <cellStyle name="Note 2 15 2 8" xfId="31695" xr:uid="{00000000-0005-0000-0000-0000D7240000}"/>
    <cellStyle name="Note 2 15 2 9" xfId="35351" xr:uid="{00000000-0005-0000-0000-0000D8240000}"/>
    <cellStyle name="Note 2 15 3" xfId="6029" xr:uid="{00000000-0005-0000-0000-0000D9240000}"/>
    <cellStyle name="Note 2 15 4" xfId="10427" xr:uid="{00000000-0005-0000-0000-0000DA240000}"/>
    <cellStyle name="Note 2 15 5" xfId="14274" xr:uid="{00000000-0005-0000-0000-0000DB240000}"/>
    <cellStyle name="Note 2 15 6" xfId="18102" xr:uid="{00000000-0005-0000-0000-0000DC240000}"/>
    <cellStyle name="Note 2 15 7" xfId="22044" xr:uid="{00000000-0005-0000-0000-0000DD240000}"/>
    <cellStyle name="Note 2 15 8" xfId="25853" xr:uid="{00000000-0005-0000-0000-0000DE240000}"/>
    <cellStyle name="Note 2 15 9" xfId="29733" xr:uid="{00000000-0005-0000-0000-0000DF240000}"/>
    <cellStyle name="Note 2 16" xfId="2519" xr:uid="{00000000-0005-0000-0000-0000E0240000}"/>
    <cellStyle name="Note 2 16 10" xfId="37571" xr:uid="{00000000-0005-0000-0000-0000E1240000}"/>
    <cellStyle name="Note 2 16 11" xfId="41585" xr:uid="{00000000-0005-0000-0000-0000E2240000}"/>
    <cellStyle name="Note 2 16 12" xfId="45374" xr:uid="{00000000-0005-0000-0000-0000E3240000}"/>
    <cellStyle name="Note 2 16 2" xfId="6411" xr:uid="{00000000-0005-0000-0000-0000E4240000}"/>
    <cellStyle name="Note 2 16 3" xfId="10834" xr:uid="{00000000-0005-0000-0000-0000E5240000}"/>
    <cellStyle name="Note 2 16 4" xfId="14678" xr:uid="{00000000-0005-0000-0000-0000E6240000}"/>
    <cellStyle name="Note 2 16 5" xfId="18513" xr:uid="{00000000-0005-0000-0000-0000E7240000}"/>
    <cellStyle name="Note 2 16 6" xfId="22448" xr:uid="{00000000-0005-0000-0000-0000E8240000}"/>
    <cellStyle name="Note 2 16 7" xfId="26264" xr:uid="{00000000-0005-0000-0000-0000E9240000}"/>
    <cellStyle name="Note 2 16 8" xfId="30143" xr:uid="{00000000-0005-0000-0000-0000EA240000}"/>
    <cellStyle name="Note 2 16 9" xfId="33812" xr:uid="{00000000-0005-0000-0000-0000EB240000}"/>
    <cellStyle name="Note 2 17" xfId="4496" xr:uid="{00000000-0005-0000-0000-0000EC240000}"/>
    <cellStyle name="Note 2 18" xfId="8544" xr:uid="{00000000-0005-0000-0000-0000ED240000}"/>
    <cellStyle name="Note 2 19" xfId="8499" xr:uid="{00000000-0005-0000-0000-0000EE240000}"/>
    <cellStyle name="Note 2 2" xfId="478" xr:uid="{00000000-0005-0000-0000-0000EF240000}"/>
    <cellStyle name="Note 2 2 10" xfId="1972" xr:uid="{00000000-0005-0000-0000-0000F0240000}"/>
    <cellStyle name="Note 2 2 10 10" xfId="33259" xr:uid="{00000000-0005-0000-0000-0000F1240000}"/>
    <cellStyle name="Note 2 2 10 11" xfId="37029" xr:uid="{00000000-0005-0000-0000-0000F2240000}"/>
    <cellStyle name="Note 2 2 10 12" xfId="41020" xr:uid="{00000000-0005-0000-0000-0000F3240000}"/>
    <cellStyle name="Note 2 2 10 13" xfId="44851" xr:uid="{00000000-0005-0000-0000-0000F4240000}"/>
    <cellStyle name="Note 2 2 10 2" xfId="3962" xr:uid="{00000000-0005-0000-0000-0000F5240000}"/>
    <cellStyle name="Note 2 2 10 2 10" xfId="39013" xr:uid="{00000000-0005-0000-0000-0000F6240000}"/>
    <cellStyle name="Note 2 2 10 2 11" xfId="43024" xr:uid="{00000000-0005-0000-0000-0000F7240000}"/>
    <cellStyle name="Note 2 2 10 2 12" xfId="46789" xr:uid="{00000000-0005-0000-0000-0000F8240000}"/>
    <cellStyle name="Note 2 2 10 2 2" xfId="7829" xr:uid="{00000000-0005-0000-0000-0000F9240000}"/>
    <cellStyle name="Note 2 2 10 2 3" xfId="12264" xr:uid="{00000000-0005-0000-0000-0000FA240000}"/>
    <cellStyle name="Note 2 2 10 2 4" xfId="16109" xr:uid="{00000000-0005-0000-0000-0000FB240000}"/>
    <cellStyle name="Note 2 2 10 2 5" xfId="19956" xr:uid="{00000000-0005-0000-0000-0000FC240000}"/>
    <cellStyle name="Note 2 2 10 2 6" xfId="23872" xr:uid="{00000000-0005-0000-0000-0000FD240000}"/>
    <cellStyle name="Note 2 2 10 2 7" xfId="27706" xr:uid="{00000000-0005-0000-0000-0000FE240000}"/>
    <cellStyle name="Note 2 2 10 2 8" xfId="31566" xr:uid="{00000000-0005-0000-0000-0000FF240000}"/>
    <cellStyle name="Note 2 2 10 2 9" xfId="35227" xr:uid="{00000000-0005-0000-0000-000000250000}"/>
    <cellStyle name="Note 2 2 10 3" xfId="5905" xr:uid="{00000000-0005-0000-0000-000001250000}"/>
    <cellStyle name="Note 2 2 10 4" xfId="10263" xr:uid="{00000000-0005-0000-0000-000002250000}"/>
    <cellStyle name="Note 2 2 10 5" xfId="14109" xr:uid="{00000000-0005-0000-0000-000003250000}"/>
    <cellStyle name="Note 2 2 10 6" xfId="17938" xr:uid="{00000000-0005-0000-0000-000004250000}"/>
    <cellStyle name="Note 2 2 10 7" xfId="21877" xr:uid="{00000000-0005-0000-0000-000005250000}"/>
    <cellStyle name="Note 2 2 10 8" xfId="25690" xr:uid="{00000000-0005-0000-0000-000006250000}"/>
    <cellStyle name="Note 2 2 10 9" xfId="29577" xr:uid="{00000000-0005-0000-0000-000007250000}"/>
    <cellStyle name="Note 2 2 11" xfId="1266" xr:uid="{00000000-0005-0000-0000-000008250000}"/>
    <cellStyle name="Note 2 2 11 10" xfId="32553" xr:uid="{00000000-0005-0000-0000-000009250000}"/>
    <cellStyle name="Note 2 2 11 11" xfId="36323" xr:uid="{00000000-0005-0000-0000-00000A250000}"/>
    <cellStyle name="Note 2 2 11 12" xfId="40315" xr:uid="{00000000-0005-0000-0000-00000B250000}"/>
    <cellStyle name="Note 2 2 11 13" xfId="44145" xr:uid="{00000000-0005-0000-0000-00000C250000}"/>
    <cellStyle name="Note 2 2 11 2" xfId="3256" xr:uid="{00000000-0005-0000-0000-00000D250000}"/>
    <cellStyle name="Note 2 2 11 2 10" xfId="38307" xr:uid="{00000000-0005-0000-0000-00000E250000}"/>
    <cellStyle name="Note 2 2 11 2 11" xfId="42318" xr:uid="{00000000-0005-0000-0000-00000F250000}"/>
    <cellStyle name="Note 2 2 11 2 12" xfId="46083" xr:uid="{00000000-0005-0000-0000-000010250000}"/>
    <cellStyle name="Note 2 2 11 2 2" xfId="7123" xr:uid="{00000000-0005-0000-0000-000011250000}"/>
    <cellStyle name="Note 2 2 11 2 3" xfId="11558" xr:uid="{00000000-0005-0000-0000-000012250000}"/>
    <cellStyle name="Note 2 2 11 2 4" xfId="15403" xr:uid="{00000000-0005-0000-0000-000013250000}"/>
    <cellStyle name="Note 2 2 11 2 5" xfId="19250" xr:uid="{00000000-0005-0000-0000-000014250000}"/>
    <cellStyle name="Note 2 2 11 2 6" xfId="23166" xr:uid="{00000000-0005-0000-0000-000015250000}"/>
    <cellStyle name="Note 2 2 11 2 7" xfId="27000" xr:uid="{00000000-0005-0000-0000-000016250000}"/>
    <cellStyle name="Note 2 2 11 2 8" xfId="30870" xr:uid="{00000000-0005-0000-0000-000017250000}"/>
    <cellStyle name="Note 2 2 11 2 9" xfId="34521" xr:uid="{00000000-0005-0000-0000-000018250000}"/>
    <cellStyle name="Note 2 2 11 3" xfId="5199" xr:uid="{00000000-0005-0000-0000-000019250000}"/>
    <cellStyle name="Note 2 2 11 4" xfId="9557" xr:uid="{00000000-0005-0000-0000-00001A250000}"/>
    <cellStyle name="Note 2 2 11 5" xfId="13403" xr:uid="{00000000-0005-0000-0000-00001B250000}"/>
    <cellStyle name="Note 2 2 11 6" xfId="17232" xr:uid="{00000000-0005-0000-0000-00001C250000}"/>
    <cellStyle name="Note 2 2 11 7" xfId="21171" xr:uid="{00000000-0005-0000-0000-00001D250000}"/>
    <cellStyle name="Note 2 2 11 8" xfId="24984" xr:uid="{00000000-0005-0000-0000-00001E250000}"/>
    <cellStyle name="Note 2 2 11 9" xfId="28872" xr:uid="{00000000-0005-0000-0000-00001F250000}"/>
    <cellStyle name="Note 2 2 12" xfId="2157" xr:uid="{00000000-0005-0000-0000-000020250000}"/>
    <cellStyle name="Note 2 2 12 10" xfId="33458" xr:uid="{00000000-0005-0000-0000-000021250000}"/>
    <cellStyle name="Note 2 2 12 11" xfId="37209" xr:uid="{00000000-0005-0000-0000-000022250000}"/>
    <cellStyle name="Note 2 2 12 12" xfId="41225" xr:uid="{00000000-0005-0000-0000-000023250000}"/>
    <cellStyle name="Note 2 2 12 13" xfId="45020" xr:uid="{00000000-0005-0000-0000-000024250000}"/>
    <cellStyle name="Note 2 2 12 2" xfId="4140" xr:uid="{00000000-0005-0000-0000-000025250000}"/>
    <cellStyle name="Note 2 2 12 2 10" xfId="39191" xr:uid="{00000000-0005-0000-0000-000026250000}"/>
    <cellStyle name="Note 2 2 12 2 11" xfId="43201" xr:uid="{00000000-0005-0000-0000-000027250000}"/>
    <cellStyle name="Note 2 2 12 2 12" xfId="46958" xr:uid="{00000000-0005-0000-0000-000028250000}"/>
    <cellStyle name="Note 2 2 12 2 2" xfId="7999" xr:uid="{00000000-0005-0000-0000-000029250000}"/>
    <cellStyle name="Note 2 2 12 2 3" xfId="12439" xr:uid="{00000000-0005-0000-0000-00002A250000}"/>
    <cellStyle name="Note 2 2 12 2 4" xfId="16284" xr:uid="{00000000-0005-0000-0000-00002B250000}"/>
    <cellStyle name="Note 2 2 12 2 5" xfId="20134" xr:uid="{00000000-0005-0000-0000-00002C250000}"/>
    <cellStyle name="Note 2 2 12 2 6" xfId="24046" xr:uid="{00000000-0005-0000-0000-00002D250000}"/>
    <cellStyle name="Note 2 2 12 2 7" xfId="27884" xr:uid="{00000000-0005-0000-0000-00002E250000}"/>
    <cellStyle name="Note 2 2 12 2 8" xfId="31743" xr:uid="{00000000-0005-0000-0000-00002F250000}"/>
    <cellStyle name="Note 2 2 12 2 9" xfId="35396" xr:uid="{00000000-0005-0000-0000-000030250000}"/>
    <cellStyle name="Note 2 2 12 3" xfId="6073" xr:uid="{00000000-0005-0000-0000-000031250000}"/>
    <cellStyle name="Note 2 2 12 4" xfId="10474" xr:uid="{00000000-0005-0000-0000-000032250000}"/>
    <cellStyle name="Note 2 2 12 5" xfId="14320" xr:uid="{00000000-0005-0000-0000-000033250000}"/>
    <cellStyle name="Note 2 2 12 6" xfId="18151" xr:uid="{00000000-0005-0000-0000-000034250000}"/>
    <cellStyle name="Note 2 2 12 7" xfId="22090" xr:uid="{00000000-0005-0000-0000-000035250000}"/>
    <cellStyle name="Note 2 2 12 8" xfId="25902" xr:uid="{00000000-0005-0000-0000-000036250000}"/>
    <cellStyle name="Note 2 2 12 9" xfId="29782" xr:uid="{00000000-0005-0000-0000-000037250000}"/>
    <cellStyle name="Note 2 2 13" xfId="2082" xr:uid="{00000000-0005-0000-0000-000038250000}"/>
    <cellStyle name="Note 2 2 13 10" xfId="33389" xr:uid="{00000000-0005-0000-0000-000039250000}"/>
    <cellStyle name="Note 2 2 13 11" xfId="37134" xr:uid="{00000000-0005-0000-0000-00003A250000}"/>
    <cellStyle name="Note 2 2 13 12" xfId="41150" xr:uid="{00000000-0005-0000-0000-00003B250000}"/>
    <cellStyle name="Note 2 2 13 13" xfId="44951" xr:uid="{00000000-0005-0000-0000-00003C250000}"/>
    <cellStyle name="Note 2 2 13 2" xfId="4067" xr:uid="{00000000-0005-0000-0000-00003D250000}"/>
    <cellStyle name="Note 2 2 13 2 10" xfId="39118" xr:uid="{00000000-0005-0000-0000-00003E250000}"/>
    <cellStyle name="Note 2 2 13 2 11" xfId="43128" xr:uid="{00000000-0005-0000-0000-00003F250000}"/>
    <cellStyle name="Note 2 2 13 2 12" xfId="46889" xr:uid="{00000000-0005-0000-0000-000040250000}"/>
    <cellStyle name="Note 2 2 13 2 2" xfId="7930" xr:uid="{00000000-0005-0000-0000-000041250000}"/>
    <cellStyle name="Note 2 2 13 2 3" xfId="12367" xr:uid="{00000000-0005-0000-0000-000042250000}"/>
    <cellStyle name="Note 2 2 13 2 4" xfId="16212" xr:uid="{00000000-0005-0000-0000-000043250000}"/>
    <cellStyle name="Note 2 2 13 2 5" xfId="20061" xr:uid="{00000000-0005-0000-0000-000044250000}"/>
    <cellStyle name="Note 2 2 13 2 6" xfId="23975" xr:uid="{00000000-0005-0000-0000-000045250000}"/>
    <cellStyle name="Note 2 2 13 2 7" xfId="27811" xr:uid="{00000000-0005-0000-0000-000046250000}"/>
    <cellStyle name="Note 2 2 13 2 8" xfId="31670" xr:uid="{00000000-0005-0000-0000-000047250000}"/>
    <cellStyle name="Note 2 2 13 2 9" xfId="35327" xr:uid="{00000000-0005-0000-0000-000048250000}"/>
    <cellStyle name="Note 2 2 13 3" xfId="6007" xr:uid="{00000000-0005-0000-0000-000049250000}"/>
    <cellStyle name="Note 2 2 13 4" xfId="10401" xr:uid="{00000000-0005-0000-0000-00004A250000}"/>
    <cellStyle name="Note 2 2 13 5" xfId="14249" xr:uid="{00000000-0005-0000-0000-00004B250000}"/>
    <cellStyle name="Note 2 2 13 6" xfId="18076" xr:uid="{00000000-0005-0000-0000-00004C250000}"/>
    <cellStyle name="Note 2 2 13 7" xfId="22018" xr:uid="{00000000-0005-0000-0000-00004D250000}"/>
    <cellStyle name="Note 2 2 13 8" xfId="25827" xr:uid="{00000000-0005-0000-0000-00004E250000}"/>
    <cellStyle name="Note 2 2 13 9" xfId="29707" xr:uid="{00000000-0005-0000-0000-00004F250000}"/>
    <cellStyle name="Note 2 2 14" xfId="2117" xr:uid="{00000000-0005-0000-0000-000050250000}"/>
    <cellStyle name="Note 2 2 14 10" xfId="33421" xr:uid="{00000000-0005-0000-0000-000051250000}"/>
    <cellStyle name="Note 2 2 14 11" xfId="37169" xr:uid="{00000000-0005-0000-0000-000052250000}"/>
    <cellStyle name="Note 2 2 14 12" xfId="41185" xr:uid="{00000000-0005-0000-0000-000053250000}"/>
    <cellStyle name="Note 2 2 14 13" xfId="44983" xr:uid="{00000000-0005-0000-0000-000054250000}"/>
    <cellStyle name="Note 2 2 14 2" xfId="4101" xr:uid="{00000000-0005-0000-0000-000055250000}"/>
    <cellStyle name="Note 2 2 14 2 10" xfId="39152" xr:uid="{00000000-0005-0000-0000-000056250000}"/>
    <cellStyle name="Note 2 2 14 2 11" xfId="43162" xr:uid="{00000000-0005-0000-0000-000057250000}"/>
    <cellStyle name="Note 2 2 14 2 12" xfId="46921" xr:uid="{00000000-0005-0000-0000-000058250000}"/>
    <cellStyle name="Note 2 2 14 2 2" xfId="7962" xr:uid="{00000000-0005-0000-0000-000059250000}"/>
    <cellStyle name="Note 2 2 14 2 3" xfId="12401" xr:uid="{00000000-0005-0000-0000-00005A250000}"/>
    <cellStyle name="Note 2 2 14 2 4" xfId="16246" xr:uid="{00000000-0005-0000-0000-00005B250000}"/>
    <cellStyle name="Note 2 2 14 2 5" xfId="20095" xr:uid="{00000000-0005-0000-0000-00005C250000}"/>
    <cellStyle name="Note 2 2 14 2 6" xfId="24009" xr:uid="{00000000-0005-0000-0000-00005D250000}"/>
    <cellStyle name="Note 2 2 14 2 7" xfId="27845" xr:uid="{00000000-0005-0000-0000-00005E250000}"/>
    <cellStyle name="Note 2 2 14 2 8" xfId="31704" xr:uid="{00000000-0005-0000-0000-00005F250000}"/>
    <cellStyle name="Note 2 2 14 2 9" xfId="35359" xr:uid="{00000000-0005-0000-0000-000060250000}"/>
    <cellStyle name="Note 2 2 14 3" xfId="6037" xr:uid="{00000000-0005-0000-0000-000061250000}"/>
    <cellStyle name="Note 2 2 14 4" xfId="10435" xr:uid="{00000000-0005-0000-0000-000062250000}"/>
    <cellStyle name="Note 2 2 14 5" xfId="14283" xr:uid="{00000000-0005-0000-0000-000063250000}"/>
    <cellStyle name="Note 2 2 14 6" xfId="18111" xr:uid="{00000000-0005-0000-0000-000064250000}"/>
    <cellStyle name="Note 2 2 14 7" xfId="22053" xr:uid="{00000000-0005-0000-0000-000065250000}"/>
    <cellStyle name="Note 2 2 14 8" xfId="25862" xr:uid="{00000000-0005-0000-0000-000066250000}"/>
    <cellStyle name="Note 2 2 14 9" xfId="29742" xr:uid="{00000000-0005-0000-0000-000067250000}"/>
    <cellStyle name="Note 2 2 15" xfId="2103" xr:uid="{00000000-0005-0000-0000-000068250000}"/>
    <cellStyle name="Note 2 2 15 10" xfId="37155" xr:uid="{00000000-0005-0000-0000-000069250000}"/>
    <cellStyle name="Note 2 2 15 11" xfId="41171" xr:uid="{00000000-0005-0000-0000-00006A250000}"/>
    <cellStyle name="Note 2 2 15 12" xfId="44971" xr:uid="{00000000-0005-0000-0000-00006B250000}"/>
    <cellStyle name="Note 2 2 15 2" xfId="4087" xr:uid="{00000000-0005-0000-0000-00006C250000}"/>
    <cellStyle name="Note 2 2 15 2 10" xfId="39138" xr:uid="{00000000-0005-0000-0000-00006D250000}"/>
    <cellStyle name="Note 2 2 15 2 11" xfId="43148" xr:uid="{00000000-0005-0000-0000-00006E250000}"/>
    <cellStyle name="Note 2 2 15 2 12" xfId="46909" xr:uid="{00000000-0005-0000-0000-00006F250000}"/>
    <cellStyle name="Note 2 2 15 2 2" xfId="7950" xr:uid="{00000000-0005-0000-0000-000070250000}"/>
    <cellStyle name="Note 2 2 15 2 3" xfId="12387" xr:uid="{00000000-0005-0000-0000-000071250000}"/>
    <cellStyle name="Note 2 2 15 2 4" xfId="16232" xr:uid="{00000000-0005-0000-0000-000072250000}"/>
    <cellStyle name="Note 2 2 15 2 5" xfId="20081" xr:uid="{00000000-0005-0000-0000-000073250000}"/>
    <cellStyle name="Note 2 2 15 2 6" xfId="23995" xr:uid="{00000000-0005-0000-0000-000074250000}"/>
    <cellStyle name="Note 2 2 15 2 7" xfId="27831" xr:uid="{00000000-0005-0000-0000-000075250000}"/>
    <cellStyle name="Note 2 2 15 2 8" xfId="31690" xr:uid="{00000000-0005-0000-0000-000076250000}"/>
    <cellStyle name="Note 2 2 15 2 9" xfId="35347" xr:uid="{00000000-0005-0000-0000-000077250000}"/>
    <cellStyle name="Note 2 2 15 3" xfId="10422" xr:uid="{00000000-0005-0000-0000-000078250000}"/>
    <cellStyle name="Note 2 2 15 4" xfId="14269" xr:uid="{00000000-0005-0000-0000-000079250000}"/>
    <cellStyle name="Note 2 2 15 5" xfId="18097" xr:uid="{00000000-0005-0000-0000-00007A250000}"/>
    <cellStyle name="Note 2 2 15 6" xfId="22039" xr:uid="{00000000-0005-0000-0000-00007B250000}"/>
    <cellStyle name="Note 2 2 15 7" xfId="25848" xr:uid="{00000000-0005-0000-0000-00007C250000}"/>
    <cellStyle name="Note 2 2 15 8" xfId="29728" xr:uid="{00000000-0005-0000-0000-00007D250000}"/>
    <cellStyle name="Note 2 2 15 9" xfId="33409" xr:uid="{00000000-0005-0000-0000-00007E250000}"/>
    <cellStyle name="Note 2 2 16" xfId="2291" xr:uid="{00000000-0005-0000-0000-00007F250000}"/>
    <cellStyle name="Note 2 2 16 10" xfId="33592" xr:uid="{00000000-0005-0000-0000-000080250000}"/>
    <cellStyle name="Note 2 2 16 11" xfId="37343" xr:uid="{00000000-0005-0000-0000-000081250000}"/>
    <cellStyle name="Note 2 2 16 12" xfId="41359" xr:uid="{00000000-0005-0000-0000-000082250000}"/>
    <cellStyle name="Note 2 2 16 13" xfId="45154" xr:uid="{00000000-0005-0000-0000-000083250000}"/>
    <cellStyle name="Note 2 2 16 2" xfId="4274" xr:uid="{00000000-0005-0000-0000-000084250000}"/>
    <cellStyle name="Note 2 2 16 2 10" xfId="39325" xr:uid="{00000000-0005-0000-0000-000085250000}"/>
    <cellStyle name="Note 2 2 16 2 11" xfId="43335" xr:uid="{00000000-0005-0000-0000-000086250000}"/>
    <cellStyle name="Note 2 2 16 2 12" xfId="47092" xr:uid="{00000000-0005-0000-0000-000087250000}"/>
    <cellStyle name="Note 2 2 16 2 2" xfId="8133" xr:uid="{00000000-0005-0000-0000-000088250000}"/>
    <cellStyle name="Note 2 2 16 2 3" xfId="12573" xr:uid="{00000000-0005-0000-0000-000089250000}"/>
    <cellStyle name="Note 2 2 16 2 4" xfId="16418" xr:uid="{00000000-0005-0000-0000-00008A250000}"/>
    <cellStyle name="Note 2 2 16 2 5" xfId="20268" xr:uid="{00000000-0005-0000-0000-00008B250000}"/>
    <cellStyle name="Note 2 2 16 2 6" xfId="24180" xr:uid="{00000000-0005-0000-0000-00008C250000}"/>
    <cellStyle name="Note 2 2 16 2 7" xfId="28018" xr:uid="{00000000-0005-0000-0000-00008D250000}"/>
    <cellStyle name="Note 2 2 16 2 8" xfId="31877" xr:uid="{00000000-0005-0000-0000-00008E250000}"/>
    <cellStyle name="Note 2 2 16 2 9" xfId="35530" xr:uid="{00000000-0005-0000-0000-00008F250000}"/>
    <cellStyle name="Note 2 2 16 3" xfId="6205" xr:uid="{00000000-0005-0000-0000-000090250000}"/>
    <cellStyle name="Note 2 2 16 4" xfId="10608" xr:uid="{00000000-0005-0000-0000-000091250000}"/>
    <cellStyle name="Note 2 2 16 5" xfId="14454" xr:uid="{00000000-0005-0000-0000-000092250000}"/>
    <cellStyle name="Note 2 2 16 6" xfId="18285" xr:uid="{00000000-0005-0000-0000-000093250000}"/>
    <cellStyle name="Note 2 2 16 7" xfId="22224" xr:uid="{00000000-0005-0000-0000-000094250000}"/>
    <cellStyle name="Note 2 2 16 8" xfId="26036" xr:uid="{00000000-0005-0000-0000-000095250000}"/>
    <cellStyle name="Note 2 2 16 9" xfId="29916" xr:uid="{00000000-0005-0000-0000-000096250000}"/>
    <cellStyle name="Note 2 2 17" xfId="2139" xr:uid="{00000000-0005-0000-0000-000097250000}"/>
    <cellStyle name="Note 2 2 17 10" xfId="33441" xr:uid="{00000000-0005-0000-0000-000098250000}"/>
    <cellStyle name="Note 2 2 17 11" xfId="37191" xr:uid="{00000000-0005-0000-0000-000099250000}"/>
    <cellStyle name="Note 2 2 17 12" xfId="41207" xr:uid="{00000000-0005-0000-0000-00009A250000}"/>
    <cellStyle name="Note 2 2 17 13" xfId="45003" xr:uid="{00000000-0005-0000-0000-00009B250000}"/>
    <cellStyle name="Note 2 2 17 2" xfId="4123" xr:uid="{00000000-0005-0000-0000-00009C250000}"/>
    <cellStyle name="Note 2 2 17 2 10" xfId="39174" xr:uid="{00000000-0005-0000-0000-00009D250000}"/>
    <cellStyle name="Note 2 2 17 2 11" xfId="43184" xr:uid="{00000000-0005-0000-0000-00009E250000}"/>
    <cellStyle name="Note 2 2 17 2 12" xfId="46941" xr:uid="{00000000-0005-0000-0000-00009F250000}"/>
    <cellStyle name="Note 2 2 17 2 2" xfId="7982" xr:uid="{00000000-0005-0000-0000-0000A0250000}"/>
    <cellStyle name="Note 2 2 17 2 3" xfId="12422" xr:uid="{00000000-0005-0000-0000-0000A1250000}"/>
    <cellStyle name="Note 2 2 17 2 4" xfId="16267" xr:uid="{00000000-0005-0000-0000-0000A2250000}"/>
    <cellStyle name="Note 2 2 17 2 5" xfId="20117" xr:uid="{00000000-0005-0000-0000-0000A3250000}"/>
    <cellStyle name="Note 2 2 17 2 6" xfId="24029" xr:uid="{00000000-0005-0000-0000-0000A4250000}"/>
    <cellStyle name="Note 2 2 17 2 7" xfId="27867" xr:uid="{00000000-0005-0000-0000-0000A5250000}"/>
    <cellStyle name="Note 2 2 17 2 8" xfId="31726" xr:uid="{00000000-0005-0000-0000-0000A6250000}"/>
    <cellStyle name="Note 2 2 17 2 9" xfId="35379" xr:uid="{00000000-0005-0000-0000-0000A7250000}"/>
    <cellStyle name="Note 2 2 17 3" xfId="6056" xr:uid="{00000000-0005-0000-0000-0000A8250000}"/>
    <cellStyle name="Note 2 2 17 4" xfId="10456" xr:uid="{00000000-0005-0000-0000-0000A9250000}"/>
    <cellStyle name="Note 2 2 17 5" xfId="14303" xr:uid="{00000000-0005-0000-0000-0000AA250000}"/>
    <cellStyle name="Note 2 2 17 6" xfId="18133" xr:uid="{00000000-0005-0000-0000-0000AB250000}"/>
    <cellStyle name="Note 2 2 17 7" xfId="22073" xr:uid="{00000000-0005-0000-0000-0000AC250000}"/>
    <cellStyle name="Note 2 2 17 8" xfId="25884" xr:uid="{00000000-0005-0000-0000-0000AD250000}"/>
    <cellStyle name="Note 2 2 17 9" xfId="29764" xr:uid="{00000000-0005-0000-0000-0000AE250000}"/>
    <cellStyle name="Note 2 2 18" xfId="2525" xr:uid="{00000000-0005-0000-0000-0000AF250000}"/>
    <cellStyle name="Note 2 2 18 10" xfId="37577" xr:uid="{00000000-0005-0000-0000-0000B0250000}"/>
    <cellStyle name="Note 2 2 18 11" xfId="41591" xr:uid="{00000000-0005-0000-0000-0000B1250000}"/>
    <cellStyle name="Note 2 2 18 12" xfId="45380" xr:uid="{00000000-0005-0000-0000-0000B2250000}"/>
    <cellStyle name="Note 2 2 18 2" xfId="6417" xr:uid="{00000000-0005-0000-0000-0000B3250000}"/>
    <cellStyle name="Note 2 2 18 3" xfId="10840" xr:uid="{00000000-0005-0000-0000-0000B4250000}"/>
    <cellStyle name="Note 2 2 18 4" xfId="14684" xr:uid="{00000000-0005-0000-0000-0000B5250000}"/>
    <cellStyle name="Note 2 2 18 5" xfId="18519" xr:uid="{00000000-0005-0000-0000-0000B6250000}"/>
    <cellStyle name="Note 2 2 18 6" xfId="22454" xr:uid="{00000000-0005-0000-0000-0000B7250000}"/>
    <cellStyle name="Note 2 2 18 7" xfId="26270" xr:uid="{00000000-0005-0000-0000-0000B8250000}"/>
    <cellStyle name="Note 2 2 18 8" xfId="30149" xr:uid="{00000000-0005-0000-0000-0000B9250000}"/>
    <cellStyle name="Note 2 2 18 9" xfId="33818" xr:uid="{00000000-0005-0000-0000-0000BA250000}"/>
    <cellStyle name="Note 2 2 19" xfId="8700" xr:uid="{00000000-0005-0000-0000-0000BB250000}"/>
    <cellStyle name="Note 2 2 2" xfId="558" xr:uid="{00000000-0005-0000-0000-0000BC250000}"/>
    <cellStyle name="Note 2 2 2 10" xfId="2208" xr:uid="{00000000-0005-0000-0000-0000BD250000}"/>
    <cellStyle name="Note 2 2 2 10 10" xfId="33509" xr:uid="{00000000-0005-0000-0000-0000BE250000}"/>
    <cellStyle name="Note 2 2 2 10 11" xfId="37260" xr:uid="{00000000-0005-0000-0000-0000BF250000}"/>
    <cellStyle name="Note 2 2 2 10 12" xfId="41276" xr:uid="{00000000-0005-0000-0000-0000C0250000}"/>
    <cellStyle name="Note 2 2 2 10 13" xfId="45071" xr:uid="{00000000-0005-0000-0000-0000C1250000}"/>
    <cellStyle name="Note 2 2 2 10 2" xfId="4191" xr:uid="{00000000-0005-0000-0000-0000C2250000}"/>
    <cellStyle name="Note 2 2 2 10 2 10" xfId="39242" xr:uid="{00000000-0005-0000-0000-0000C3250000}"/>
    <cellStyle name="Note 2 2 2 10 2 11" xfId="43252" xr:uid="{00000000-0005-0000-0000-0000C4250000}"/>
    <cellStyle name="Note 2 2 2 10 2 12" xfId="47009" xr:uid="{00000000-0005-0000-0000-0000C5250000}"/>
    <cellStyle name="Note 2 2 2 10 2 2" xfId="8050" xr:uid="{00000000-0005-0000-0000-0000C6250000}"/>
    <cellStyle name="Note 2 2 2 10 2 3" xfId="12490" xr:uid="{00000000-0005-0000-0000-0000C7250000}"/>
    <cellStyle name="Note 2 2 2 10 2 4" xfId="16335" xr:uid="{00000000-0005-0000-0000-0000C8250000}"/>
    <cellStyle name="Note 2 2 2 10 2 5" xfId="20185" xr:uid="{00000000-0005-0000-0000-0000C9250000}"/>
    <cellStyle name="Note 2 2 2 10 2 6" xfId="24097" xr:uid="{00000000-0005-0000-0000-0000CA250000}"/>
    <cellStyle name="Note 2 2 2 10 2 7" xfId="27935" xr:uid="{00000000-0005-0000-0000-0000CB250000}"/>
    <cellStyle name="Note 2 2 2 10 2 8" xfId="31794" xr:uid="{00000000-0005-0000-0000-0000CC250000}"/>
    <cellStyle name="Note 2 2 2 10 2 9" xfId="35447" xr:uid="{00000000-0005-0000-0000-0000CD250000}"/>
    <cellStyle name="Note 2 2 2 10 3" xfId="6122" xr:uid="{00000000-0005-0000-0000-0000CE250000}"/>
    <cellStyle name="Note 2 2 2 10 4" xfId="10525" xr:uid="{00000000-0005-0000-0000-0000CF250000}"/>
    <cellStyle name="Note 2 2 2 10 5" xfId="14371" xr:uid="{00000000-0005-0000-0000-0000D0250000}"/>
    <cellStyle name="Note 2 2 2 10 6" xfId="18202" xr:uid="{00000000-0005-0000-0000-0000D1250000}"/>
    <cellStyle name="Note 2 2 2 10 7" xfId="22141" xr:uid="{00000000-0005-0000-0000-0000D2250000}"/>
    <cellStyle name="Note 2 2 2 10 8" xfId="25953" xr:uid="{00000000-0005-0000-0000-0000D3250000}"/>
    <cellStyle name="Note 2 2 2 10 9" xfId="29833" xr:uid="{00000000-0005-0000-0000-0000D4250000}"/>
    <cellStyle name="Note 2 2 2 11" xfId="2266" xr:uid="{00000000-0005-0000-0000-0000D5250000}"/>
    <cellStyle name="Note 2 2 2 11 10" xfId="33567" xr:uid="{00000000-0005-0000-0000-0000D6250000}"/>
    <cellStyle name="Note 2 2 2 11 11" xfId="37318" xr:uid="{00000000-0005-0000-0000-0000D7250000}"/>
    <cellStyle name="Note 2 2 2 11 12" xfId="41334" xr:uid="{00000000-0005-0000-0000-0000D8250000}"/>
    <cellStyle name="Note 2 2 2 11 13" xfId="45129" xr:uid="{00000000-0005-0000-0000-0000D9250000}"/>
    <cellStyle name="Note 2 2 2 11 2" xfId="4249" xr:uid="{00000000-0005-0000-0000-0000DA250000}"/>
    <cellStyle name="Note 2 2 2 11 2 10" xfId="39300" xr:uid="{00000000-0005-0000-0000-0000DB250000}"/>
    <cellStyle name="Note 2 2 2 11 2 11" xfId="43310" xr:uid="{00000000-0005-0000-0000-0000DC250000}"/>
    <cellStyle name="Note 2 2 2 11 2 12" xfId="47067" xr:uid="{00000000-0005-0000-0000-0000DD250000}"/>
    <cellStyle name="Note 2 2 2 11 2 2" xfId="8108" xr:uid="{00000000-0005-0000-0000-0000DE250000}"/>
    <cellStyle name="Note 2 2 2 11 2 3" xfId="12548" xr:uid="{00000000-0005-0000-0000-0000DF250000}"/>
    <cellStyle name="Note 2 2 2 11 2 4" xfId="16393" xr:uid="{00000000-0005-0000-0000-0000E0250000}"/>
    <cellStyle name="Note 2 2 2 11 2 5" xfId="20243" xr:uid="{00000000-0005-0000-0000-0000E1250000}"/>
    <cellStyle name="Note 2 2 2 11 2 6" xfId="24155" xr:uid="{00000000-0005-0000-0000-0000E2250000}"/>
    <cellStyle name="Note 2 2 2 11 2 7" xfId="27993" xr:uid="{00000000-0005-0000-0000-0000E3250000}"/>
    <cellStyle name="Note 2 2 2 11 2 8" xfId="31852" xr:uid="{00000000-0005-0000-0000-0000E4250000}"/>
    <cellStyle name="Note 2 2 2 11 2 9" xfId="35505" xr:uid="{00000000-0005-0000-0000-0000E5250000}"/>
    <cellStyle name="Note 2 2 2 11 3" xfId="6180" xr:uid="{00000000-0005-0000-0000-0000E6250000}"/>
    <cellStyle name="Note 2 2 2 11 4" xfId="10583" xr:uid="{00000000-0005-0000-0000-0000E7250000}"/>
    <cellStyle name="Note 2 2 2 11 5" xfId="14429" xr:uid="{00000000-0005-0000-0000-0000E8250000}"/>
    <cellStyle name="Note 2 2 2 11 6" xfId="18260" xr:uid="{00000000-0005-0000-0000-0000E9250000}"/>
    <cellStyle name="Note 2 2 2 11 7" xfId="22199" xr:uid="{00000000-0005-0000-0000-0000EA250000}"/>
    <cellStyle name="Note 2 2 2 11 8" xfId="26011" xr:uid="{00000000-0005-0000-0000-0000EB250000}"/>
    <cellStyle name="Note 2 2 2 11 9" xfId="29891" xr:uid="{00000000-0005-0000-0000-0000EC250000}"/>
    <cellStyle name="Note 2 2 2 12" xfId="2323" xr:uid="{00000000-0005-0000-0000-0000ED250000}"/>
    <cellStyle name="Note 2 2 2 12 10" xfId="33622" xr:uid="{00000000-0005-0000-0000-0000EE250000}"/>
    <cellStyle name="Note 2 2 2 12 11" xfId="37375" xr:uid="{00000000-0005-0000-0000-0000EF250000}"/>
    <cellStyle name="Note 2 2 2 12 12" xfId="41391" xr:uid="{00000000-0005-0000-0000-0000F0250000}"/>
    <cellStyle name="Note 2 2 2 12 13" xfId="45184" xr:uid="{00000000-0005-0000-0000-0000F1250000}"/>
    <cellStyle name="Note 2 2 2 12 2" xfId="4306" xr:uid="{00000000-0005-0000-0000-0000F2250000}"/>
    <cellStyle name="Note 2 2 2 12 2 10" xfId="39357" xr:uid="{00000000-0005-0000-0000-0000F3250000}"/>
    <cellStyle name="Note 2 2 2 12 2 11" xfId="43367" xr:uid="{00000000-0005-0000-0000-0000F4250000}"/>
    <cellStyle name="Note 2 2 2 12 2 12" xfId="47122" xr:uid="{00000000-0005-0000-0000-0000F5250000}"/>
    <cellStyle name="Note 2 2 2 12 2 2" xfId="8163" xr:uid="{00000000-0005-0000-0000-0000F6250000}"/>
    <cellStyle name="Note 2 2 2 12 2 3" xfId="12605" xr:uid="{00000000-0005-0000-0000-0000F7250000}"/>
    <cellStyle name="Note 2 2 2 12 2 4" xfId="16449" xr:uid="{00000000-0005-0000-0000-0000F8250000}"/>
    <cellStyle name="Note 2 2 2 12 2 5" xfId="20300" xr:uid="{00000000-0005-0000-0000-0000F9250000}"/>
    <cellStyle name="Note 2 2 2 12 2 6" xfId="24211" xr:uid="{00000000-0005-0000-0000-0000FA250000}"/>
    <cellStyle name="Note 2 2 2 12 2 7" xfId="28050" xr:uid="{00000000-0005-0000-0000-0000FB250000}"/>
    <cellStyle name="Note 2 2 2 12 2 8" xfId="31909" xr:uid="{00000000-0005-0000-0000-0000FC250000}"/>
    <cellStyle name="Note 2 2 2 12 2 9" xfId="35560" xr:uid="{00000000-0005-0000-0000-0000FD250000}"/>
    <cellStyle name="Note 2 2 2 12 3" xfId="6235" xr:uid="{00000000-0005-0000-0000-0000FE250000}"/>
    <cellStyle name="Note 2 2 2 12 4" xfId="10640" xr:uid="{00000000-0005-0000-0000-0000FF250000}"/>
    <cellStyle name="Note 2 2 2 12 5" xfId="14485" xr:uid="{00000000-0005-0000-0000-000000260000}"/>
    <cellStyle name="Note 2 2 2 12 6" xfId="18317" xr:uid="{00000000-0005-0000-0000-000001260000}"/>
    <cellStyle name="Note 2 2 2 12 7" xfId="22255" xr:uid="{00000000-0005-0000-0000-000002260000}"/>
    <cellStyle name="Note 2 2 2 12 8" xfId="26068" xr:uid="{00000000-0005-0000-0000-000003260000}"/>
    <cellStyle name="Note 2 2 2 12 9" xfId="29948" xr:uid="{00000000-0005-0000-0000-000004260000}"/>
    <cellStyle name="Note 2 2 2 13" xfId="2388" xr:uid="{00000000-0005-0000-0000-000005260000}"/>
    <cellStyle name="Note 2 2 2 13 10" xfId="33686" xr:uid="{00000000-0005-0000-0000-000006260000}"/>
    <cellStyle name="Note 2 2 2 13 11" xfId="37440" xr:uid="{00000000-0005-0000-0000-000007260000}"/>
    <cellStyle name="Note 2 2 2 13 12" xfId="41455" xr:uid="{00000000-0005-0000-0000-000008260000}"/>
    <cellStyle name="Note 2 2 2 13 13" xfId="45248" xr:uid="{00000000-0005-0000-0000-000009260000}"/>
    <cellStyle name="Note 2 2 2 13 2" xfId="4371" xr:uid="{00000000-0005-0000-0000-00000A260000}"/>
    <cellStyle name="Note 2 2 2 13 2 10" xfId="39422" xr:uid="{00000000-0005-0000-0000-00000B260000}"/>
    <cellStyle name="Note 2 2 2 13 2 11" xfId="43431" xr:uid="{00000000-0005-0000-0000-00000C260000}"/>
    <cellStyle name="Note 2 2 2 13 2 12" xfId="47186" xr:uid="{00000000-0005-0000-0000-00000D260000}"/>
    <cellStyle name="Note 2 2 2 13 2 2" xfId="8228" xr:uid="{00000000-0005-0000-0000-00000E260000}"/>
    <cellStyle name="Note 2 2 2 13 2 3" xfId="12669" xr:uid="{00000000-0005-0000-0000-00000F260000}"/>
    <cellStyle name="Note 2 2 2 13 2 4" xfId="16514" xr:uid="{00000000-0005-0000-0000-000010260000}"/>
    <cellStyle name="Note 2 2 2 13 2 5" xfId="20365" xr:uid="{00000000-0005-0000-0000-000011260000}"/>
    <cellStyle name="Note 2 2 2 13 2 6" xfId="24276" xr:uid="{00000000-0005-0000-0000-000012260000}"/>
    <cellStyle name="Note 2 2 2 13 2 7" xfId="28115" xr:uid="{00000000-0005-0000-0000-000013260000}"/>
    <cellStyle name="Note 2 2 2 13 2 8" xfId="31973" xr:uid="{00000000-0005-0000-0000-000014260000}"/>
    <cellStyle name="Note 2 2 2 13 2 9" xfId="35624" xr:uid="{00000000-0005-0000-0000-000015260000}"/>
    <cellStyle name="Note 2 2 2 13 3" xfId="6284" xr:uid="{00000000-0005-0000-0000-000016260000}"/>
    <cellStyle name="Note 2 2 2 13 4" xfId="10704" xr:uid="{00000000-0005-0000-0000-000017260000}"/>
    <cellStyle name="Note 2 2 2 13 5" xfId="14550" xr:uid="{00000000-0005-0000-0000-000018260000}"/>
    <cellStyle name="Note 2 2 2 13 6" xfId="18382" xr:uid="{00000000-0005-0000-0000-000019260000}"/>
    <cellStyle name="Note 2 2 2 13 7" xfId="22320" xr:uid="{00000000-0005-0000-0000-00001A260000}"/>
    <cellStyle name="Note 2 2 2 13 8" xfId="26133" xr:uid="{00000000-0005-0000-0000-00001B260000}"/>
    <cellStyle name="Note 2 2 2 13 9" xfId="30013" xr:uid="{00000000-0005-0000-0000-00001C260000}"/>
    <cellStyle name="Note 2 2 2 14" xfId="2440" xr:uid="{00000000-0005-0000-0000-00001D260000}"/>
    <cellStyle name="Note 2 2 2 14 10" xfId="33736" xr:uid="{00000000-0005-0000-0000-00001E260000}"/>
    <cellStyle name="Note 2 2 2 14 11" xfId="37492" xr:uid="{00000000-0005-0000-0000-00001F260000}"/>
    <cellStyle name="Note 2 2 2 14 12" xfId="41507" xr:uid="{00000000-0005-0000-0000-000020260000}"/>
    <cellStyle name="Note 2 2 2 14 13" xfId="45298" xr:uid="{00000000-0005-0000-0000-000021260000}"/>
    <cellStyle name="Note 2 2 2 14 2" xfId="4423" xr:uid="{00000000-0005-0000-0000-000022260000}"/>
    <cellStyle name="Note 2 2 2 14 2 10" xfId="39474" xr:uid="{00000000-0005-0000-0000-000023260000}"/>
    <cellStyle name="Note 2 2 2 14 2 11" xfId="43483" xr:uid="{00000000-0005-0000-0000-000024260000}"/>
    <cellStyle name="Note 2 2 2 14 2 12" xfId="47236" xr:uid="{00000000-0005-0000-0000-000025260000}"/>
    <cellStyle name="Note 2 2 2 14 2 2" xfId="8278" xr:uid="{00000000-0005-0000-0000-000026260000}"/>
    <cellStyle name="Note 2 2 2 14 2 3" xfId="12721" xr:uid="{00000000-0005-0000-0000-000027260000}"/>
    <cellStyle name="Note 2 2 2 14 2 4" xfId="16564" xr:uid="{00000000-0005-0000-0000-000028260000}"/>
    <cellStyle name="Note 2 2 2 14 2 5" xfId="20417" xr:uid="{00000000-0005-0000-0000-000029260000}"/>
    <cellStyle name="Note 2 2 2 14 2 6" xfId="24327" xr:uid="{00000000-0005-0000-0000-00002A260000}"/>
    <cellStyle name="Note 2 2 2 14 2 7" xfId="28167" xr:uid="{00000000-0005-0000-0000-00002B260000}"/>
    <cellStyle name="Note 2 2 2 14 2 8" xfId="32025" xr:uid="{00000000-0005-0000-0000-00002C260000}"/>
    <cellStyle name="Note 2 2 2 14 2 9" xfId="35674" xr:uid="{00000000-0005-0000-0000-00002D260000}"/>
    <cellStyle name="Note 2 2 2 14 3" xfId="6334" xr:uid="{00000000-0005-0000-0000-00002E260000}"/>
    <cellStyle name="Note 2 2 2 14 4" xfId="10756" xr:uid="{00000000-0005-0000-0000-00002F260000}"/>
    <cellStyle name="Note 2 2 2 14 5" xfId="14601" xr:uid="{00000000-0005-0000-0000-000030260000}"/>
    <cellStyle name="Note 2 2 2 14 6" xfId="18434" xr:uid="{00000000-0005-0000-0000-000031260000}"/>
    <cellStyle name="Note 2 2 2 14 7" xfId="22371" xr:uid="{00000000-0005-0000-0000-000032260000}"/>
    <cellStyle name="Note 2 2 2 14 8" xfId="26185" xr:uid="{00000000-0005-0000-0000-000033260000}"/>
    <cellStyle name="Note 2 2 2 14 9" xfId="30064" xr:uid="{00000000-0005-0000-0000-000034260000}"/>
    <cellStyle name="Note 2 2 2 15" xfId="2494" xr:uid="{00000000-0005-0000-0000-000035260000}"/>
    <cellStyle name="Note 2 2 2 15 10" xfId="33787" xr:uid="{00000000-0005-0000-0000-000036260000}"/>
    <cellStyle name="Note 2 2 2 15 11" xfId="37546" xr:uid="{00000000-0005-0000-0000-000037260000}"/>
    <cellStyle name="Note 2 2 2 15 12" xfId="41560" xr:uid="{00000000-0005-0000-0000-000038260000}"/>
    <cellStyle name="Note 2 2 2 15 13" xfId="45349" xr:uid="{00000000-0005-0000-0000-000039260000}"/>
    <cellStyle name="Note 2 2 2 15 2" xfId="4474" xr:uid="{00000000-0005-0000-0000-00003A260000}"/>
    <cellStyle name="Note 2 2 2 15 2 10" xfId="39525" xr:uid="{00000000-0005-0000-0000-00003B260000}"/>
    <cellStyle name="Note 2 2 2 15 2 11" xfId="43534" xr:uid="{00000000-0005-0000-0000-00003C260000}"/>
    <cellStyle name="Note 2 2 2 15 2 12" xfId="47287" xr:uid="{00000000-0005-0000-0000-00003D260000}"/>
    <cellStyle name="Note 2 2 2 15 2 2" xfId="8329" xr:uid="{00000000-0005-0000-0000-00003E260000}"/>
    <cellStyle name="Note 2 2 2 15 2 3" xfId="12772" xr:uid="{00000000-0005-0000-0000-00003F260000}"/>
    <cellStyle name="Note 2 2 2 15 2 4" xfId="16615" xr:uid="{00000000-0005-0000-0000-000040260000}"/>
    <cellStyle name="Note 2 2 2 15 2 5" xfId="20468" xr:uid="{00000000-0005-0000-0000-000041260000}"/>
    <cellStyle name="Note 2 2 2 15 2 6" xfId="24378" xr:uid="{00000000-0005-0000-0000-000042260000}"/>
    <cellStyle name="Note 2 2 2 15 2 7" xfId="28218" xr:uid="{00000000-0005-0000-0000-000043260000}"/>
    <cellStyle name="Note 2 2 2 15 2 8" xfId="32076" xr:uid="{00000000-0005-0000-0000-000044260000}"/>
    <cellStyle name="Note 2 2 2 15 2 9" xfId="35725" xr:uid="{00000000-0005-0000-0000-000045260000}"/>
    <cellStyle name="Note 2 2 2 15 3" xfId="6386" xr:uid="{00000000-0005-0000-0000-000046260000}"/>
    <cellStyle name="Note 2 2 2 15 4" xfId="10809" xr:uid="{00000000-0005-0000-0000-000047260000}"/>
    <cellStyle name="Note 2 2 2 15 5" xfId="14653" xr:uid="{00000000-0005-0000-0000-000048260000}"/>
    <cellStyle name="Note 2 2 2 15 6" xfId="18488" xr:uid="{00000000-0005-0000-0000-000049260000}"/>
    <cellStyle name="Note 2 2 2 15 7" xfId="22423" xr:uid="{00000000-0005-0000-0000-00004A260000}"/>
    <cellStyle name="Note 2 2 2 15 8" xfId="26239" xr:uid="{00000000-0005-0000-0000-00004B260000}"/>
    <cellStyle name="Note 2 2 2 15 9" xfId="30118" xr:uid="{00000000-0005-0000-0000-00004C260000}"/>
    <cellStyle name="Note 2 2 2 16" xfId="2563" xr:uid="{00000000-0005-0000-0000-00004D260000}"/>
    <cellStyle name="Note 2 2 2 16 10" xfId="37615" xr:uid="{00000000-0005-0000-0000-00004E260000}"/>
    <cellStyle name="Note 2 2 2 16 11" xfId="41629" xr:uid="{00000000-0005-0000-0000-00004F260000}"/>
    <cellStyle name="Note 2 2 2 16 12" xfId="45418" xr:uid="{00000000-0005-0000-0000-000050260000}"/>
    <cellStyle name="Note 2 2 2 16 2" xfId="6455" xr:uid="{00000000-0005-0000-0000-000051260000}"/>
    <cellStyle name="Note 2 2 2 16 3" xfId="10878" xr:uid="{00000000-0005-0000-0000-000052260000}"/>
    <cellStyle name="Note 2 2 2 16 4" xfId="14722" xr:uid="{00000000-0005-0000-0000-000053260000}"/>
    <cellStyle name="Note 2 2 2 16 5" xfId="18557" xr:uid="{00000000-0005-0000-0000-000054260000}"/>
    <cellStyle name="Note 2 2 2 16 6" xfId="22492" xr:uid="{00000000-0005-0000-0000-000055260000}"/>
    <cellStyle name="Note 2 2 2 16 7" xfId="26308" xr:uid="{00000000-0005-0000-0000-000056260000}"/>
    <cellStyle name="Note 2 2 2 16 8" xfId="30187" xr:uid="{00000000-0005-0000-0000-000057260000}"/>
    <cellStyle name="Note 2 2 2 16 9" xfId="33856" xr:uid="{00000000-0005-0000-0000-000058260000}"/>
    <cellStyle name="Note 2 2 2 17" xfId="4531" xr:uid="{00000000-0005-0000-0000-000059260000}"/>
    <cellStyle name="Note 2 2 2 18" xfId="8384" xr:uid="{00000000-0005-0000-0000-00005A260000}"/>
    <cellStyle name="Note 2 2 2 19" xfId="8748" xr:uid="{00000000-0005-0000-0000-00005B260000}"/>
    <cellStyle name="Note 2 2 2 2" xfId="692" xr:uid="{00000000-0005-0000-0000-00005C260000}"/>
    <cellStyle name="Note 2 2 2 2 10" xfId="24426" xr:uid="{00000000-0005-0000-0000-00005D260000}"/>
    <cellStyle name="Note 2 2 2 2 11" xfId="28319" xr:uid="{00000000-0005-0000-0000-00005E260000}"/>
    <cellStyle name="Note 2 2 2 2 12" xfId="31415" xr:uid="{00000000-0005-0000-0000-00005F260000}"/>
    <cellStyle name="Note 2 2 2 2 13" xfId="35763" xr:uid="{00000000-0005-0000-0000-000060260000}"/>
    <cellStyle name="Note 2 2 2 2 14" xfId="39786" xr:uid="{00000000-0005-0000-0000-000061260000}"/>
    <cellStyle name="Note 2 2 2 2 15" xfId="43589" xr:uid="{00000000-0005-0000-0000-000062260000}"/>
    <cellStyle name="Note 2 2 2 2 2" xfId="1072" xr:uid="{00000000-0005-0000-0000-000063260000}"/>
    <cellStyle name="Note 2 2 2 2 2 10" xfId="28683" xr:uid="{00000000-0005-0000-0000-000064260000}"/>
    <cellStyle name="Note 2 2 2 2 2 11" xfId="32369" xr:uid="{00000000-0005-0000-0000-000065260000}"/>
    <cellStyle name="Note 2 2 2 2 2 12" xfId="36130" xr:uid="{00000000-0005-0000-0000-000066260000}"/>
    <cellStyle name="Note 2 2 2 2 2 13" xfId="40133" xr:uid="{00000000-0005-0000-0000-000067260000}"/>
    <cellStyle name="Note 2 2 2 2 2 14" xfId="43956" xr:uid="{00000000-0005-0000-0000-000068260000}"/>
    <cellStyle name="Note 2 2 2 2 2 2" xfId="1799" xr:uid="{00000000-0005-0000-0000-000069260000}"/>
    <cellStyle name="Note 2 2 2 2 2 2 10" xfId="33086" xr:uid="{00000000-0005-0000-0000-00006A260000}"/>
    <cellStyle name="Note 2 2 2 2 2 2 11" xfId="36856" xr:uid="{00000000-0005-0000-0000-00006B260000}"/>
    <cellStyle name="Note 2 2 2 2 2 2 12" xfId="40847" xr:uid="{00000000-0005-0000-0000-00006C260000}"/>
    <cellStyle name="Note 2 2 2 2 2 2 13" xfId="44678" xr:uid="{00000000-0005-0000-0000-00006D260000}"/>
    <cellStyle name="Note 2 2 2 2 2 2 2" xfId="3789" xr:uid="{00000000-0005-0000-0000-00006E260000}"/>
    <cellStyle name="Note 2 2 2 2 2 2 2 10" xfId="38840" xr:uid="{00000000-0005-0000-0000-00006F260000}"/>
    <cellStyle name="Note 2 2 2 2 2 2 2 11" xfId="42851" xr:uid="{00000000-0005-0000-0000-000070260000}"/>
    <cellStyle name="Note 2 2 2 2 2 2 2 12" xfId="46616" xr:uid="{00000000-0005-0000-0000-000071260000}"/>
    <cellStyle name="Note 2 2 2 2 2 2 2 2" xfId="7656" xr:uid="{00000000-0005-0000-0000-000072260000}"/>
    <cellStyle name="Note 2 2 2 2 2 2 2 3" xfId="12091" xr:uid="{00000000-0005-0000-0000-000073260000}"/>
    <cellStyle name="Note 2 2 2 2 2 2 2 4" xfId="15936" xr:uid="{00000000-0005-0000-0000-000074260000}"/>
    <cellStyle name="Note 2 2 2 2 2 2 2 5" xfId="19783" xr:uid="{00000000-0005-0000-0000-000075260000}"/>
    <cellStyle name="Note 2 2 2 2 2 2 2 6" xfId="23699" xr:uid="{00000000-0005-0000-0000-000076260000}"/>
    <cellStyle name="Note 2 2 2 2 2 2 2 7" xfId="27533" xr:uid="{00000000-0005-0000-0000-000077260000}"/>
    <cellStyle name="Note 2 2 2 2 2 2 2 8" xfId="31397" xr:uid="{00000000-0005-0000-0000-000078260000}"/>
    <cellStyle name="Note 2 2 2 2 2 2 2 9" xfId="35054" xr:uid="{00000000-0005-0000-0000-000079260000}"/>
    <cellStyle name="Note 2 2 2 2 2 2 3" xfId="5732" xr:uid="{00000000-0005-0000-0000-00007A260000}"/>
    <cellStyle name="Note 2 2 2 2 2 2 4" xfId="10090" xr:uid="{00000000-0005-0000-0000-00007B260000}"/>
    <cellStyle name="Note 2 2 2 2 2 2 5" xfId="13936" xr:uid="{00000000-0005-0000-0000-00007C260000}"/>
    <cellStyle name="Note 2 2 2 2 2 2 6" xfId="17765" xr:uid="{00000000-0005-0000-0000-00007D260000}"/>
    <cellStyle name="Note 2 2 2 2 2 2 7" xfId="21704" xr:uid="{00000000-0005-0000-0000-00007E260000}"/>
    <cellStyle name="Note 2 2 2 2 2 2 8" xfId="25517" xr:uid="{00000000-0005-0000-0000-00007F260000}"/>
    <cellStyle name="Note 2 2 2 2 2 2 9" xfId="29404" xr:uid="{00000000-0005-0000-0000-000080260000}"/>
    <cellStyle name="Note 2 2 2 2 2 3" xfId="3062" xr:uid="{00000000-0005-0000-0000-000081260000}"/>
    <cellStyle name="Note 2 2 2 2 2 3 10" xfId="38114" xr:uid="{00000000-0005-0000-0000-000082260000}"/>
    <cellStyle name="Note 2 2 2 2 2 3 11" xfId="42126" xr:uid="{00000000-0005-0000-0000-000083260000}"/>
    <cellStyle name="Note 2 2 2 2 2 3 12" xfId="45899" xr:uid="{00000000-0005-0000-0000-000084260000}"/>
    <cellStyle name="Note 2 2 2 2 2 3 2" xfId="6938" xr:uid="{00000000-0005-0000-0000-000085260000}"/>
    <cellStyle name="Note 2 2 2 2 2 3 3" xfId="11367" xr:uid="{00000000-0005-0000-0000-000086260000}"/>
    <cellStyle name="Note 2 2 2 2 2 3 4" xfId="15211" xr:uid="{00000000-0005-0000-0000-000087260000}"/>
    <cellStyle name="Note 2 2 2 2 2 3 5" xfId="19056" xr:uid="{00000000-0005-0000-0000-000088260000}"/>
    <cellStyle name="Note 2 2 2 2 2 3 6" xfId="22978" xr:uid="{00000000-0005-0000-0000-000089260000}"/>
    <cellStyle name="Note 2 2 2 2 2 3 7" xfId="26807" xr:uid="{00000000-0005-0000-0000-00008A260000}"/>
    <cellStyle name="Note 2 2 2 2 2 3 8" xfId="30681" xr:uid="{00000000-0005-0000-0000-00008B260000}"/>
    <cellStyle name="Note 2 2 2 2 2 3 9" xfId="34337" xr:uid="{00000000-0005-0000-0000-00008C260000}"/>
    <cellStyle name="Note 2 2 2 2 2 4" xfId="5014" xr:uid="{00000000-0005-0000-0000-00008D260000}"/>
    <cellStyle name="Note 2 2 2 2 2 5" xfId="9370" xr:uid="{00000000-0005-0000-0000-00008E260000}"/>
    <cellStyle name="Note 2 2 2 2 2 6" xfId="13210" xr:uid="{00000000-0005-0000-0000-00008F260000}"/>
    <cellStyle name="Note 2 2 2 2 2 7" xfId="17038" xr:uid="{00000000-0005-0000-0000-000090260000}"/>
    <cellStyle name="Note 2 2 2 2 2 8" xfId="20980" xr:uid="{00000000-0005-0000-0000-000091260000}"/>
    <cellStyle name="Note 2 2 2 2 2 9" xfId="24794" xr:uid="{00000000-0005-0000-0000-000092260000}"/>
    <cellStyle name="Note 2 2 2 2 3" xfId="1446" xr:uid="{00000000-0005-0000-0000-000093260000}"/>
    <cellStyle name="Note 2 2 2 2 3 10" xfId="32733" xr:uid="{00000000-0005-0000-0000-000094260000}"/>
    <cellStyle name="Note 2 2 2 2 3 11" xfId="36503" xr:uid="{00000000-0005-0000-0000-000095260000}"/>
    <cellStyle name="Note 2 2 2 2 3 12" xfId="40494" xr:uid="{00000000-0005-0000-0000-000096260000}"/>
    <cellStyle name="Note 2 2 2 2 3 13" xfId="44325" xr:uid="{00000000-0005-0000-0000-000097260000}"/>
    <cellStyle name="Note 2 2 2 2 3 2" xfId="3436" xr:uid="{00000000-0005-0000-0000-000098260000}"/>
    <cellStyle name="Note 2 2 2 2 3 2 10" xfId="38487" xr:uid="{00000000-0005-0000-0000-000099260000}"/>
    <cellStyle name="Note 2 2 2 2 3 2 11" xfId="42498" xr:uid="{00000000-0005-0000-0000-00009A260000}"/>
    <cellStyle name="Note 2 2 2 2 3 2 12" xfId="46263" xr:uid="{00000000-0005-0000-0000-00009B260000}"/>
    <cellStyle name="Note 2 2 2 2 3 2 2" xfId="7303" xr:uid="{00000000-0005-0000-0000-00009C260000}"/>
    <cellStyle name="Note 2 2 2 2 3 2 3" xfId="11738" xr:uid="{00000000-0005-0000-0000-00009D260000}"/>
    <cellStyle name="Note 2 2 2 2 3 2 4" xfId="15583" xr:uid="{00000000-0005-0000-0000-00009E260000}"/>
    <cellStyle name="Note 2 2 2 2 3 2 5" xfId="19430" xr:uid="{00000000-0005-0000-0000-00009F260000}"/>
    <cellStyle name="Note 2 2 2 2 3 2 6" xfId="23346" xr:uid="{00000000-0005-0000-0000-0000A0260000}"/>
    <cellStyle name="Note 2 2 2 2 3 2 7" xfId="27180" xr:uid="{00000000-0005-0000-0000-0000A1260000}"/>
    <cellStyle name="Note 2 2 2 2 3 2 8" xfId="31048" xr:uid="{00000000-0005-0000-0000-0000A2260000}"/>
    <cellStyle name="Note 2 2 2 2 3 2 9" xfId="34701" xr:uid="{00000000-0005-0000-0000-0000A3260000}"/>
    <cellStyle name="Note 2 2 2 2 3 3" xfId="5379" xr:uid="{00000000-0005-0000-0000-0000A4260000}"/>
    <cellStyle name="Note 2 2 2 2 3 4" xfId="9737" xr:uid="{00000000-0005-0000-0000-0000A5260000}"/>
    <cellStyle name="Note 2 2 2 2 3 5" xfId="13583" xr:uid="{00000000-0005-0000-0000-0000A6260000}"/>
    <cellStyle name="Note 2 2 2 2 3 6" xfId="17412" xr:uid="{00000000-0005-0000-0000-0000A7260000}"/>
    <cellStyle name="Note 2 2 2 2 3 7" xfId="21351" xr:uid="{00000000-0005-0000-0000-0000A8260000}"/>
    <cellStyle name="Note 2 2 2 2 3 8" xfId="25164" xr:uid="{00000000-0005-0000-0000-0000A9260000}"/>
    <cellStyle name="Note 2 2 2 2 3 9" xfId="29051" xr:uid="{00000000-0005-0000-0000-0000AA260000}"/>
    <cellStyle name="Note 2 2 2 2 4" xfId="2695" xr:uid="{00000000-0005-0000-0000-0000AB260000}"/>
    <cellStyle name="Note 2 2 2 2 4 10" xfId="37747" xr:uid="{00000000-0005-0000-0000-0000AC260000}"/>
    <cellStyle name="Note 2 2 2 2 4 11" xfId="41761" xr:uid="{00000000-0005-0000-0000-0000AD260000}"/>
    <cellStyle name="Note 2 2 2 2 4 12" xfId="45546" xr:uid="{00000000-0005-0000-0000-0000AE260000}"/>
    <cellStyle name="Note 2 2 2 2 4 2" xfId="6583" xr:uid="{00000000-0005-0000-0000-0000AF260000}"/>
    <cellStyle name="Note 2 2 2 2 4 3" xfId="11007" xr:uid="{00000000-0005-0000-0000-0000B0260000}"/>
    <cellStyle name="Note 2 2 2 2 4 4" xfId="14851" xr:uid="{00000000-0005-0000-0000-0000B1260000}"/>
    <cellStyle name="Note 2 2 2 2 4 5" xfId="18689" xr:uid="{00000000-0005-0000-0000-0000B2260000}"/>
    <cellStyle name="Note 2 2 2 2 4 6" xfId="22620" xr:uid="{00000000-0005-0000-0000-0000B3260000}"/>
    <cellStyle name="Note 2 2 2 2 4 7" xfId="26440" xr:uid="{00000000-0005-0000-0000-0000B4260000}"/>
    <cellStyle name="Note 2 2 2 2 4 8" xfId="30319" xr:uid="{00000000-0005-0000-0000-0000B5260000}"/>
    <cellStyle name="Note 2 2 2 2 4 9" xfId="33984" xr:uid="{00000000-0005-0000-0000-0000B6260000}"/>
    <cellStyle name="Note 2 2 2 2 5" xfId="4659" xr:uid="{00000000-0005-0000-0000-0000B7260000}"/>
    <cellStyle name="Note 2 2 2 2 6" xfId="9001" xr:uid="{00000000-0005-0000-0000-0000B8260000}"/>
    <cellStyle name="Note 2 2 2 2 7" xfId="12838" xr:uid="{00000000-0005-0000-0000-0000B9260000}"/>
    <cellStyle name="Note 2 2 2 2 8" xfId="16668" xr:uid="{00000000-0005-0000-0000-0000BA260000}"/>
    <cellStyle name="Note 2 2 2 2 9" xfId="20605" xr:uid="{00000000-0005-0000-0000-0000BB260000}"/>
    <cellStyle name="Note 2 2 2 20" xfId="8868" xr:uid="{00000000-0005-0000-0000-0000BC260000}"/>
    <cellStyle name="Note 2 2 2 21" xfId="8670" xr:uid="{00000000-0005-0000-0000-0000BD260000}"/>
    <cellStyle name="Note 2 2 2 22" xfId="8622" xr:uid="{00000000-0005-0000-0000-0000BE260000}"/>
    <cellStyle name="Note 2 2 2 23" xfId="14526" xr:uid="{00000000-0005-0000-0000-0000BF260000}"/>
    <cellStyle name="Note 2 2 2 24" xfId="14194" xr:uid="{00000000-0005-0000-0000-0000C0260000}"/>
    <cellStyle name="Note 2 2 2 25" xfId="14275" xr:uid="{00000000-0005-0000-0000-0000C1260000}"/>
    <cellStyle name="Note 2 2 2 26" xfId="29967" xr:uid="{00000000-0005-0000-0000-0000C2260000}"/>
    <cellStyle name="Note 2 2 2 27" xfId="15111" xr:uid="{00000000-0005-0000-0000-0000C3260000}"/>
    <cellStyle name="Note 2 2 2 28" xfId="39655" xr:uid="{00000000-0005-0000-0000-0000C4260000}"/>
    <cellStyle name="Note 2 2 2 29" xfId="40234" xr:uid="{00000000-0005-0000-0000-0000C5260000}"/>
    <cellStyle name="Note 2 2 2 3" xfId="631" xr:uid="{00000000-0005-0000-0000-0000C6260000}"/>
    <cellStyle name="Note 2 2 2 3 10" xfId="8788" xr:uid="{00000000-0005-0000-0000-0000C7260000}"/>
    <cellStyle name="Note 2 2 2 3 11" xfId="28258" xr:uid="{00000000-0005-0000-0000-0000C8260000}"/>
    <cellStyle name="Note 2 2 2 3 12" xfId="31151" xr:uid="{00000000-0005-0000-0000-0000C9260000}"/>
    <cellStyle name="Note 2 2 2 3 13" xfId="33370" xr:uid="{00000000-0005-0000-0000-0000CA260000}"/>
    <cellStyle name="Note 2 2 2 3 14" xfId="39726" xr:uid="{00000000-0005-0000-0000-0000CB260000}"/>
    <cellStyle name="Note 2 2 2 3 15" xfId="39557" xr:uid="{00000000-0005-0000-0000-0000CC260000}"/>
    <cellStyle name="Note 2 2 2 3 2" xfId="1011" xr:uid="{00000000-0005-0000-0000-0000CD260000}"/>
    <cellStyle name="Note 2 2 2 3 2 10" xfId="28622" xr:uid="{00000000-0005-0000-0000-0000CE260000}"/>
    <cellStyle name="Note 2 2 2 3 2 11" xfId="32310" xr:uid="{00000000-0005-0000-0000-0000CF260000}"/>
    <cellStyle name="Note 2 2 2 3 2 12" xfId="36069" xr:uid="{00000000-0005-0000-0000-0000D0260000}"/>
    <cellStyle name="Note 2 2 2 3 2 13" xfId="40074" xr:uid="{00000000-0005-0000-0000-0000D1260000}"/>
    <cellStyle name="Note 2 2 2 3 2 14" xfId="43895" xr:uid="{00000000-0005-0000-0000-0000D2260000}"/>
    <cellStyle name="Note 2 2 2 3 2 2" xfId="1740" xr:uid="{00000000-0005-0000-0000-0000D3260000}"/>
    <cellStyle name="Note 2 2 2 3 2 2 10" xfId="33027" xr:uid="{00000000-0005-0000-0000-0000D4260000}"/>
    <cellStyle name="Note 2 2 2 3 2 2 11" xfId="36797" xr:uid="{00000000-0005-0000-0000-0000D5260000}"/>
    <cellStyle name="Note 2 2 2 3 2 2 12" xfId="40788" xr:uid="{00000000-0005-0000-0000-0000D6260000}"/>
    <cellStyle name="Note 2 2 2 3 2 2 13" xfId="44619" xr:uid="{00000000-0005-0000-0000-0000D7260000}"/>
    <cellStyle name="Note 2 2 2 3 2 2 2" xfId="3730" xr:uid="{00000000-0005-0000-0000-0000D8260000}"/>
    <cellStyle name="Note 2 2 2 3 2 2 2 10" xfId="38781" xr:uid="{00000000-0005-0000-0000-0000D9260000}"/>
    <cellStyle name="Note 2 2 2 3 2 2 2 11" xfId="42792" xr:uid="{00000000-0005-0000-0000-0000DA260000}"/>
    <cellStyle name="Note 2 2 2 3 2 2 2 12" xfId="46557" xr:uid="{00000000-0005-0000-0000-0000DB260000}"/>
    <cellStyle name="Note 2 2 2 3 2 2 2 2" xfId="7597" xr:uid="{00000000-0005-0000-0000-0000DC260000}"/>
    <cellStyle name="Note 2 2 2 3 2 2 2 3" xfId="12032" xr:uid="{00000000-0005-0000-0000-0000DD260000}"/>
    <cellStyle name="Note 2 2 2 3 2 2 2 4" xfId="15877" xr:uid="{00000000-0005-0000-0000-0000DE260000}"/>
    <cellStyle name="Note 2 2 2 3 2 2 2 5" xfId="19724" xr:uid="{00000000-0005-0000-0000-0000DF260000}"/>
    <cellStyle name="Note 2 2 2 3 2 2 2 6" xfId="23640" xr:uid="{00000000-0005-0000-0000-0000E0260000}"/>
    <cellStyle name="Note 2 2 2 3 2 2 2 7" xfId="27474" xr:uid="{00000000-0005-0000-0000-0000E1260000}"/>
    <cellStyle name="Note 2 2 2 3 2 2 2 8" xfId="31338" xr:uid="{00000000-0005-0000-0000-0000E2260000}"/>
    <cellStyle name="Note 2 2 2 3 2 2 2 9" xfId="34995" xr:uid="{00000000-0005-0000-0000-0000E3260000}"/>
    <cellStyle name="Note 2 2 2 3 2 2 3" xfId="5673" xr:uid="{00000000-0005-0000-0000-0000E4260000}"/>
    <cellStyle name="Note 2 2 2 3 2 2 4" xfId="10031" xr:uid="{00000000-0005-0000-0000-0000E5260000}"/>
    <cellStyle name="Note 2 2 2 3 2 2 5" xfId="13877" xr:uid="{00000000-0005-0000-0000-0000E6260000}"/>
    <cellStyle name="Note 2 2 2 3 2 2 6" xfId="17706" xr:uid="{00000000-0005-0000-0000-0000E7260000}"/>
    <cellStyle name="Note 2 2 2 3 2 2 7" xfId="21645" xr:uid="{00000000-0005-0000-0000-0000E8260000}"/>
    <cellStyle name="Note 2 2 2 3 2 2 8" xfId="25458" xr:uid="{00000000-0005-0000-0000-0000E9260000}"/>
    <cellStyle name="Note 2 2 2 3 2 2 9" xfId="29345" xr:uid="{00000000-0005-0000-0000-0000EA260000}"/>
    <cellStyle name="Note 2 2 2 3 2 3" xfId="3001" xr:uid="{00000000-0005-0000-0000-0000EB260000}"/>
    <cellStyle name="Note 2 2 2 3 2 3 10" xfId="38053" xr:uid="{00000000-0005-0000-0000-0000EC260000}"/>
    <cellStyle name="Note 2 2 2 3 2 3 11" xfId="42065" xr:uid="{00000000-0005-0000-0000-0000ED260000}"/>
    <cellStyle name="Note 2 2 2 3 2 3 12" xfId="45840" xr:uid="{00000000-0005-0000-0000-0000EE260000}"/>
    <cellStyle name="Note 2 2 2 3 2 3 2" xfId="6879" xr:uid="{00000000-0005-0000-0000-0000EF260000}"/>
    <cellStyle name="Note 2 2 2 3 2 3 3" xfId="11307" xr:uid="{00000000-0005-0000-0000-0000F0260000}"/>
    <cellStyle name="Note 2 2 2 3 2 3 4" xfId="15152" xr:uid="{00000000-0005-0000-0000-0000F1260000}"/>
    <cellStyle name="Note 2 2 2 3 2 3 5" xfId="18995" xr:uid="{00000000-0005-0000-0000-0000F2260000}"/>
    <cellStyle name="Note 2 2 2 3 2 3 6" xfId="22919" xr:uid="{00000000-0005-0000-0000-0000F3260000}"/>
    <cellStyle name="Note 2 2 2 3 2 3 7" xfId="26746" xr:uid="{00000000-0005-0000-0000-0000F4260000}"/>
    <cellStyle name="Note 2 2 2 3 2 3 8" xfId="30620" xr:uid="{00000000-0005-0000-0000-0000F5260000}"/>
    <cellStyle name="Note 2 2 2 3 2 3 9" xfId="34278" xr:uid="{00000000-0005-0000-0000-0000F6260000}"/>
    <cellStyle name="Note 2 2 2 3 2 4" xfId="4955" xr:uid="{00000000-0005-0000-0000-0000F7260000}"/>
    <cellStyle name="Note 2 2 2 3 2 5" xfId="9310" xr:uid="{00000000-0005-0000-0000-0000F8260000}"/>
    <cellStyle name="Note 2 2 2 3 2 6" xfId="13151" xr:uid="{00000000-0005-0000-0000-0000F9260000}"/>
    <cellStyle name="Note 2 2 2 3 2 7" xfId="16977" xr:uid="{00000000-0005-0000-0000-0000FA260000}"/>
    <cellStyle name="Note 2 2 2 3 2 8" xfId="20919" xr:uid="{00000000-0005-0000-0000-0000FB260000}"/>
    <cellStyle name="Note 2 2 2 3 2 9" xfId="24734" xr:uid="{00000000-0005-0000-0000-0000FC260000}"/>
    <cellStyle name="Note 2 2 2 3 3" xfId="1387" xr:uid="{00000000-0005-0000-0000-0000FD260000}"/>
    <cellStyle name="Note 2 2 2 3 3 10" xfId="32674" xr:uid="{00000000-0005-0000-0000-0000FE260000}"/>
    <cellStyle name="Note 2 2 2 3 3 11" xfId="36444" xr:uid="{00000000-0005-0000-0000-0000FF260000}"/>
    <cellStyle name="Note 2 2 2 3 3 12" xfId="40435" xr:uid="{00000000-0005-0000-0000-000000270000}"/>
    <cellStyle name="Note 2 2 2 3 3 13" xfId="44266" xr:uid="{00000000-0005-0000-0000-000001270000}"/>
    <cellStyle name="Note 2 2 2 3 3 2" xfId="3377" xr:uid="{00000000-0005-0000-0000-000002270000}"/>
    <cellStyle name="Note 2 2 2 3 3 2 10" xfId="38428" xr:uid="{00000000-0005-0000-0000-000003270000}"/>
    <cellStyle name="Note 2 2 2 3 3 2 11" xfId="42439" xr:uid="{00000000-0005-0000-0000-000004270000}"/>
    <cellStyle name="Note 2 2 2 3 3 2 12" xfId="46204" xr:uid="{00000000-0005-0000-0000-000005270000}"/>
    <cellStyle name="Note 2 2 2 3 3 2 2" xfId="7244" xr:uid="{00000000-0005-0000-0000-000006270000}"/>
    <cellStyle name="Note 2 2 2 3 3 2 3" xfId="11679" xr:uid="{00000000-0005-0000-0000-000007270000}"/>
    <cellStyle name="Note 2 2 2 3 3 2 4" xfId="15524" xr:uid="{00000000-0005-0000-0000-000008270000}"/>
    <cellStyle name="Note 2 2 2 3 3 2 5" xfId="19371" xr:uid="{00000000-0005-0000-0000-000009270000}"/>
    <cellStyle name="Note 2 2 2 3 3 2 6" xfId="23287" xr:uid="{00000000-0005-0000-0000-00000A270000}"/>
    <cellStyle name="Note 2 2 2 3 3 2 7" xfId="27121" xr:uid="{00000000-0005-0000-0000-00000B270000}"/>
    <cellStyle name="Note 2 2 2 3 3 2 8" xfId="30989" xr:uid="{00000000-0005-0000-0000-00000C270000}"/>
    <cellStyle name="Note 2 2 2 3 3 2 9" xfId="34642" xr:uid="{00000000-0005-0000-0000-00000D270000}"/>
    <cellStyle name="Note 2 2 2 3 3 3" xfId="5320" xr:uid="{00000000-0005-0000-0000-00000E270000}"/>
    <cellStyle name="Note 2 2 2 3 3 4" xfId="9678" xr:uid="{00000000-0005-0000-0000-00000F270000}"/>
    <cellStyle name="Note 2 2 2 3 3 5" xfId="13524" xr:uid="{00000000-0005-0000-0000-000010270000}"/>
    <cellStyle name="Note 2 2 2 3 3 6" xfId="17353" xr:uid="{00000000-0005-0000-0000-000011270000}"/>
    <cellStyle name="Note 2 2 2 3 3 7" xfId="21292" xr:uid="{00000000-0005-0000-0000-000012270000}"/>
    <cellStyle name="Note 2 2 2 3 3 8" xfId="25105" xr:uid="{00000000-0005-0000-0000-000013270000}"/>
    <cellStyle name="Note 2 2 2 3 3 9" xfId="28992" xr:uid="{00000000-0005-0000-0000-000014270000}"/>
    <cellStyle name="Note 2 2 2 3 4" xfId="2634" xr:uid="{00000000-0005-0000-0000-000015270000}"/>
    <cellStyle name="Note 2 2 2 3 4 10" xfId="37686" xr:uid="{00000000-0005-0000-0000-000016270000}"/>
    <cellStyle name="Note 2 2 2 3 4 11" xfId="41700" xr:uid="{00000000-0005-0000-0000-000017270000}"/>
    <cellStyle name="Note 2 2 2 3 4 12" xfId="45487" xr:uid="{00000000-0005-0000-0000-000018270000}"/>
    <cellStyle name="Note 2 2 2 3 4 2" xfId="6524" xr:uid="{00000000-0005-0000-0000-000019270000}"/>
    <cellStyle name="Note 2 2 2 3 4 3" xfId="10948" xr:uid="{00000000-0005-0000-0000-00001A270000}"/>
    <cellStyle name="Note 2 2 2 3 4 4" xfId="14792" xr:uid="{00000000-0005-0000-0000-00001B270000}"/>
    <cellStyle name="Note 2 2 2 3 4 5" xfId="18628" xr:uid="{00000000-0005-0000-0000-00001C270000}"/>
    <cellStyle name="Note 2 2 2 3 4 6" xfId="22561" xr:uid="{00000000-0005-0000-0000-00001D270000}"/>
    <cellStyle name="Note 2 2 2 3 4 7" xfId="26379" xr:uid="{00000000-0005-0000-0000-00001E270000}"/>
    <cellStyle name="Note 2 2 2 3 4 8" xfId="30258" xr:uid="{00000000-0005-0000-0000-00001F270000}"/>
    <cellStyle name="Note 2 2 2 3 4 9" xfId="33925" xr:uid="{00000000-0005-0000-0000-000020270000}"/>
    <cellStyle name="Note 2 2 2 3 5" xfId="4600" xr:uid="{00000000-0005-0000-0000-000021270000}"/>
    <cellStyle name="Note 2 2 2 3 6" xfId="8940" xr:uid="{00000000-0005-0000-0000-000022270000}"/>
    <cellStyle name="Note 2 2 2 3 7" xfId="10387" xr:uid="{00000000-0005-0000-0000-000023270000}"/>
    <cellStyle name="Note 2 2 2 3 8" xfId="14231" xr:uid="{00000000-0005-0000-0000-000024270000}"/>
    <cellStyle name="Note 2 2 2 3 9" xfId="20544" xr:uid="{00000000-0005-0000-0000-000025270000}"/>
    <cellStyle name="Note 2 2 2 30" xfId="47369" xr:uid="{00000000-0005-0000-0000-000026270000}"/>
    <cellStyle name="Note 2 2 2 31" xfId="47455" xr:uid="{00000000-0005-0000-0000-000027270000}"/>
    <cellStyle name="Note 2 2 2 32" xfId="47504" xr:uid="{00000000-0005-0000-0000-000028270000}"/>
    <cellStyle name="Note 2 2 2 4" xfId="800" xr:uid="{00000000-0005-0000-0000-000029270000}"/>
    <cellStyle name="Note 2 2 2 4 10" xfId="24524" xr:uid="{00000000-0005-0000-0000-00002A270000}"/>
    <cellStyle name="Note 2 2 2 4 11" xfId="28415" xr:uid="{00000000-0005-0000-0000-00002B270000}"/>
    <cellStyle name="Note 2 2 2 4 12" xfId="32101" xr:uid="{00000000-0005-0000-0000-00002C270000}"/>
    <cellStyle name="Note 2 2 2 4 13" xfId="35858" xr:uid="{00000000-0005-0000-0000-00002D270000}"/>
    <cellStyle name="Note 2 2 2 4 14" xfId="39869" xr:uid="{00000000-0005-0000-0000-00002E270000}"/>
    <cellStyle name="Note 2 2 2 4 15" xfId="43684" xr:uid="{00000000-0005-0000-0000-00002F270000}"/>
    <cellStyle name="Note 2 2 2 4 2" xfId="1162" xr:uid="{00000000-0005-0000-0000-000030270000}"/>
    <cellStyle name="Note 2 2 2 4 2 10" xfId="28771" xr:uid="{00000000-0005-0000-0000-000031270000}"/>
    <cellStyle name="Note 2 2 2 4 2 11" xfId="32454" xr:uid="{00000000-0005-0000-0000-000032270000}"/>
    <cellStyle name="Note 2 2 2 4 2 12" xfId="36220" xr:uid="{00000000-0005-0000-0000-000033270000}"/>
    <cellStyle name="Note 2 2 2 4 2 13" xfId="40215" xr:uid="{00000000-0005-0000-0000-000034270000}"/>
    <cellStyle name="Note 2 2 2 4 2 14" xfId="44046" xr:uid="{00000000-0005-0000-0000-000035270000}"/>
    <cellStyle name="Note 2 2 2 4 2 2" xfId="1884" xr:uid="{00000000-0005-0000-0000-000036270000}"/>
    <cellStyle name="Note 2 2 2 4 2 2 10" xfId="33171" xr:uid="{00000000-0005-0000-0000-000037270000}"/>
    <cellStyle name="Note 2 2 2 4 2 2 11" xfId="36941" xr:uid="{00000000-0005-0000-0000-000038270000}"/>
    <cellStyle name="Note 2 2 2 4 2 2 12" xfId="40932" xr:uid="{00000000-0005-0000-0000-000039270000}"/>
    <cellStyle name="Note 2 2 2 4 2 2 13" xfId="44763" xr:uid="{00000000-0005-0000-0000-00003A270000}"/>
    <cellStyle name="Note 2 2 2 4 2 2 2" xfId="3874" xr:uid="{00000000-0005-0000-0000-00003B270000}"/>
    <cellStyle name="Note 2 2 2 4 2 2 2 10" xfId="38925" xr:uid="{00000000-0005-0000-0000-00003C270000}"/>
    <cellStyle name="Note 2 2 2 4 2 2 2 11" xfId="42936" xr:uid="{00000000-0005-0000-0000-00003D270000}"/>
    <cellStyle name="Note 2 2 2 4 2 2 2 12" xfId="46701" xr:uid="{00000000-0005-0000-0000-00003E270000}"/>
    <cellStyle name="Note 2 2 2 4 2 2 2 2" xfId="7741" xr:uid="{00000000-0005-0000-0000-00003F270000}"/>
    <cellStyle name="Note 2 2 2 4 2 2 2 3" xfId="12176" xr:uid="{00000000-0005-0000-0000-000040270000}"/>
    <cellStyle name="Note 2 2 2 4 2 2 2 4" xfId="16021" xr:uid="{00000000-0005-0000-0000-000041270000}"/>
    <cellStyle name="Note 2 2 2 4 2 2 2 5" xfId="19868" xr:uid="{00000000-0005-0000-0000-000042270000}"/>
    <cellStyle name="Note 2 2 2 4 2 2 2 6" xfId="23784" xr:uid="{00000000-0005-0000-0000-000043270000}"/>
    <cellStyle name="Note 2 2 2 4 2 2 2 7" xfId="27618" xr:uid="{00000000-0005-0000-0000-000044270000}"/>
    <cellStyle name="Note 2 2 2 4 2 2 2 8" xfId="31481" xr:uid="{00000000-0005-0000-0000-000045270000}"/>
    <cellStyle name="Note 2 2 2 4 2 2 2 9" xfId="35139" xr:uid="{00000000-0005-0000-0000-000046270000}"/>
    <cellStyle name="Note 2 2 2 4 2 2 3" xfId="5817" xr:uid="{00000000-0005-0000-0000-000047270000}"/>
    <cellStyle name="Note 2 2 2 4 2 2 4" xfId="10175" xr:uid="{00000000-0005-0000-0000-000048270000}"/>
    <cellStyle name="Note 2 2 2 4 2 2 5" xfId="14021" xr:uid="{00000000-0005-0000-0000-000049270000}"/>
    <cellStyle name="Note 2 2 2 4 2 2 6" xfId="17850" xr:uid="{00000000-0005-0000-0000-00004A270000}"/>
    <cellStyle name="Note 2 2 2 4 2 2 7" xfId="21789" xr:uid="{00000000-0005-0000-0000-00004B270000}"/>
    <cellStyle name="Note 2 2 2 4 2 2 8" xfId="25602" xr:uid="{00000000-0005-0000-0000-00004C270000}"/>
    <cellStyle name="Note 2 2 2 4 2 2 9" xfId="29489" xr:uid="{00000000-0005-0000-0000-00004D270000}"/>
    <cellStyle name="Note 2 2 2 4 2 3" xfId="3152" xr:uid="{00000000-0005-0000-0000-00004E270000}"/>
    <cellStyle name="Note 2 2 2 4 2 3 10" xfId="38204" xr:uid="{00000000-0005-0000-0000-00004F270000}"/>
    <cellStyle name="Note 2 2 2 4 2 3 11" xfId="42215" xr:uid="{00000000-0005-0000-0000-000050270000}"/>
    <cellStyle name="Note 2 2 2 4 2 3 12" xfId="45984" xr:uid="{00000000-0005-0000-0000-000051270000}"/>
    <cellStyle name="Note 2 2 2 4 2 3 2" xfId="7024" xr:uid="{00000000-0005-0000-0000-000052270000}"/>
    <cellStyle name="Note 2 2 2 4 2 3 3" xfId="11456" xr:uid="{00000000-0005-0000-0000-000053270000}"/>
    <cellStyle name="Note 2 2 2 4 2 3 4" xfId="15300" xr:uid="{00000000-0005-0000-0000-000054270000}"/>
    <cellStyle name="Note 2 2 2 4 2 3 5" xfId="19146" xr:uid="{00000000-0005-0000-0000-000055270000}"/>
    <cellStyle name="Note 2 2 2 4 2 3 6" xfId="23065" xr:uid="{00000000-0005-0000-0000-000056270000}"/>
    <cellStyle name="Note 2 2 2 4 2 3 7" xfId="26897" xr:uid="{00000000-0005-0000-0000-000057270000}"/>
    <cellStyle name="Note 2 2 2 4 2 3 8" xfId="30769" xr:uid="{00000000-0005-0000-0000-000058270000}"/>
    <cellStyle name="Note 2 2 2 4 2 3 9" xfId="34422" xr:uid="{00000000-0005-0000-0000-000059270000}"/>
    <cellStyle name="Note 2 2 2 4 2 4" xfId="5100" xr:uid="{00000000-0005-0000-0000-00005A270000}"/>
    <cellStyle name="Note 2 2 2 4 2 5" xfId="9456" xr:uid="{00000000-0005-0000-0000-00005B270000}"/>
    <cellStyle name="Note 2 2 2 4 2 6" xfId="13300" xr:uid="{00000000-0005-0000-0000-00005C270000}"/>
    <cellStyle name="Note 2 2 2 4 2 7" xfId="17128" xr:uid="{00000000-0005-0000-0000-00005D270000}"/>
    <cellStyle name="Note 2 2 2 4 2 8" xfId="21070" xr:uid="{00000000-0005-0000-0000-00005E270000}"/>
    <cellStyle name="Note 2 2 2 4 2 9" xfId="24881" xr:uid="{00000000-0005-0000-0000-00005F270000}"/>
    <cellStyle name="Note 2 2 2 4 3" xfId="1531" xr:uid="{00000000-0005-0000-0000-000060270000}"/>
    <cellStyle name="Note 2 2 2 4 3 10" xfId="32818" xr:uid="{00000000-0005-0000-0000-000061270000}"/>
    <cellStyle name="Note 2 2 2 4 3 11" xfId="36588" xr:uid="{00000000-0005-0000-0000-000062270000}"/>
    <cellStyle name="Note 2 2 2 4 3 12" xfId="40579" xr:uid="{00000000-0005-0000-0000-000063270000}"/>
    <cellStyle name="Note 2 2 2 4 3 13" xfId="44410" xr:uid="{00000000-0005-0000-0000-000064270000}"/>
    <cellStyle name="Note 2 2 2 4 3 2" xfId="3521" xr:uid="{00000000-0005-0000-0000-000065270000}"/>
    <cellStyle name="Note 2 2 2 4 3 2 10" xfId="38572" xr:uid="{00000000-0005-0000-0000-000066270000}"/>
    <cellStyle name="Note 2 2 2 4 3 2 11" xfId="42583" xr:uid="{00000000-0005-0000-0000-000067270000}"/>
    <cellStyle name="Note 2 2 2 4 3 2 12" xfId="46348" xr:uid="{00000000-0005-0000-0000-000068270000}"/>
    <cellStyle name="Note 2 2 2 4 3 2 2" xfId="7388" xr:uid="{00000000-0005-0000-0000-000069270000}"/>
    <cellStyle name="Note 2 2 2 4 3 2 3" xfId="11823" xr:uid="{00000000-0005-0000-0000-00006A270000}"/>
    <cellStyle name="Note 2 2 2 4 3 2 4" xfId="15668" xr:uid="{00000000-0005-0000-0000-00006B270000}"/>
    <cellStyle name="Note 2 2 2 4 3 2 5" xfId="19515" xr:uid="{00000000-0005-0000-0000-00006C270000}"/>
    <cellStyle name="Note 2 2 2 4 3 2 6" xfId="23431" xr:uid="{00000000-0005-0000-0000-00006D270000}"/>
    <cellStyle name="Note 2 2 2 4 3 2 7" xfId="27265" xr:uid="{00000000-0005-0000-0000-00006E270000}"/>
    <cellStyle name="Note 2 2 2 4 3 2 8" xfId="31132" xr:uid="{00000000-0005-0000-0000-00006F270000}"/>
    <cellStyle name="Note 2 2 2 4 3 2 9" xfId="34786" xr:uid="{00000000-0005-0000-0000-000070270000}"/>
    <cellStyle name="Note 2 2 2 4 3 3" xfId="5464" xr:uid="{00000000-0005-0000-0000-000071270000}"/>
    <cellStyle name="Note 2 2 2 4 3 4" xfId="9822" xr:uid="{00000000-0005-0000-0000-000072270000}"/>
    <cellStyle name="Note 2 2 2 4 3 5" xfId="13668" xr:uid="{00000000-0005-0000-0000-000073270000}"/>
    <cellStyle name="Note 2 2 2 4 3 6" xfId="17497" xr:uid="{00000000-0005-0000-0000-000074270000}"/>
    <cellStyle name="Note 2 2 2 4 3 7" xfId="21436" xr:uid="{00000000-0005-0000-0000-000075270000}"/>
    <cellStyle name="Note 2 2 2 4 3 8" xfId="25249" xr:uid="{00000000-0005-0000-0000-000076270000}"/>
    <cellStyle name="Note 2 2 2 4 3 9" xfId="29136" xr:uid="{00000000-0005-0000-0000-000077270000}"/>
    <cellStyle name="Note 2 2 2 4 4" xfId="2790" xr:uid="{00000000-0005-0000-0000-000078270000}"/>
    <cellStyle name="Note 2 2 2 4 4 10" xfId="37842" xr:uid="{00000000-0005-0000-0000-000079270000}"/>
    <cellStyle name="Note 2 2 2 4 4 11" xfId="41854" xr:uid="{00000000-0005-0000-0000-00007A270000}"/>
    <cellStyle name="Note 2 2 2 4 4 12" xfId="45631" xr:uid="{00000000-0005-0000-0000-00007B270000}"/>
    <cellStyle name="Note 2 2 2 4 4 2" xfId="6670" xr:uid="{00000000-0005-0000-0000-00007C270000}"/>
    <cellStyle name="Note 2 2 2 4 4 3" xfId="11097" xr:uid="{00000000-0005-0000-0000-00007D270000}"/>
    <cellStyle name="Note 2 2 2 4 4 4" xfId="14942" xr:uid="{00000000-0005-0000-0000-00007E270000}"/>
    <cellStyle name="Note 2 2 2 4 4 5" xfId="18784" xr:uid="{00000000-0005-0000-0000-00007F270000}"/>
    <cellStyle name="Note 2 2 2 4 4 6" xfId="22710" xr:uid="{00000000-0005-0000-0000-000080270000}"/>
    <cellStyle name="Note 2 2 2 4 4 7" xfId="26535" xr:uid="{00000000-0005-0000-0000-000081270000}"/>
    <cellStyle name="Note 2 2 2 4 4 8" xfId="30413" xr:uid="{00000000-0005-0000-0000-000082270000}"/>
    <cellStyle name="Note 2 2 2 4 4 9" xfId="34069" xr:uid="{00000000-0005-0000-0000-000083270000}"/>
    <cellStyle name="Note 2 2 2 4 5" xfId="4746" xr:uid="{00000000-0005-0000-0000-000084270000}"/>
    <cellStyle name="Note 2 2 2 4 6" xfId="9100" xr:uid="{00000000-0005-0000-0000-000085270000}"/>
    <cellStyle name="Note 2 2 2 4 7" xfId="12941" xr:uid="{00000000-0005-0000-0000-000086270000}"/>
    <cellStyle name="Note 2 2 2 4 8" xfId="16766" xr:uid="{00000000-0005-0000-0000-000087270000}"/>
    <cellStyle name="Note 2 2 2 4 9" xfId="20708" xr:uid="{00000000-0005-0000-0000-000088270000}"/>
    <cellStyle name="Note 2 2 2 5" xfId="892" xr:uid="{00000000-0005-0000-0000-000089270000}"/>
    <cellStyle name="Note 2 2 2 5 10" xfId="24616" xr:uid="{00000000-0005-0000-0000-00008A270000}"/>
    <cellStyle name="Note 2 2 2 5 11" xfId="28506" xr:uid="{00000000-0005-0000-0000-00008B270000}"/>
    <cellStyle name="Note 2 2 2 5 12" xfId="32193" xr:uid="{00000000-0005-0000-0000-00008C270000}"/>
    <cellStyle name="Note 2 2 2 5 13" xfId="35950" xr:uid="{00000000-0005-0000-0000-00008D270000}"/>
    <cellStyle name="Note 2 2 2 5 14" xfId="39960" xr:uid="{00000000-0005-0000-0000-00008E270000}"/>
    <cellStyle name="Note 2 2 2 5 15" xfId="43776" xr:uid="{00000000-0005-0000-0000-00008F270000}"/>
    <cellStyle name="Note 2 2 2 5 2" xfId="1229" xr:uid="{00000000-0005-0000-0000-000090270000}"/>
    <cellStyle name="Note 2 2 2 5 2 10" xfId="28837" xr:uid="{00000000-0005-0000-0000-000091270000}"/>
    <cellStyle name="Note 2 2 2 5 2 11" xfId="32521" xr:uid="{00000000-0005-0000-0000-000092270000}"/>
    <cellStyle name="Note 2 2 2 5 2 12" xfId="36287" xr:uid="{00000000-0005-0000-0000-000093270000}"/>
    <cellStyle name="Note 2 2 2 5 2 13" xfId="40280" xr:uid="{00000000-0005-0000-0000-000094270000}"/>
    <cellStyle name="Note 2 2 2 5 2 14" xfId="44113" xr:uid="{00000000-0005-0000-0000-000095270000}"/>
    <cellStyle name="Note 2 2 2 5 2 2" xfId="1951" xr:uid="{00000000-0005-0000-0000-000096270000}"/>
    <cellStyle name="Note 2 2 2 5 2 2 10" xfId="33238" xr:uid="{00000000-0005-0000-0000-000097270000}"/>
    <cellStyle name="Note 2 2 2 5 2 2 11" xfId="37008" xr:uid="{00000000-0005-0000-0000-000098270000}"/>
    <cellStyle name="Note 2 2 2 5 2 2 12" xfId="40999" xr:uid="{00000000-0005-0000-0000-000099270000}"/>
    <cellStyle name="Note 2 2 2 5 2 2 13" xfId="44830" xr:uid="{00000000-0005-0000-0000-00009A270000}"/>
    <cellStyle name="Note 2 2 2 5 2 2 2" xfId="3941" xr:uid="{00000000-0005-0000-0000-00009B270000}"/>
    <cellStyle name="Note 2 2 2 5 2 2 2 10" xfId="38992" xr:uid="{00000000-0005-0000-0000-00009C270000}"/>
    <cellStyle name="Note 2 2 2 5 2 2 2 11" xfId="43003" xr:uid="{00000000-0005-0000-0000-00009D270000}"/>
    <cellStyle name="Note 2 2 2 5 2 2 2 12" xfId="46768" xr:uid="{00000000-0005-0000-0000-00009E270000}"/>
    <cellStyle name="Note 2 2 2 5 2 2 2 2" xfId="7808" xr:uid="{00000000-0005-0000-0000-00009F270000}"/>
    <cellStyle name="Note 2 2 2 5 2 2 2 3" xfId="12243" xr:uid="{00000000-0005-0000-0000-0000A0270000}"/>
    <cellStyle name="Note 2 2 2 5 2 2 2 4" xfId="16088" xr:uid="{00000000-0005-0000-0000-0000A1270000}"/>
    <cellStyle name="Note 2 2 2 5 2 2 2 5" xfId="19935" xr:uid="{00000000-0005-0000-0000-0000A2270000}"/>
    <cellStyle name="Note 2 2 2 5 2 2 2 6" xfId="23851" xr:uid="{00000000-0005-0000-0000-0000A3270000}"/>
    <cellStyle name="Note 2 2 2 5 2 2 2 7" xfId="27685" xr:uid="{00000000-0005-0000-0000-0000A4270000}"/>
    <cellStyle name="Note 2 2 2 5 2 2 2 8" xfId="31546" xr:uid="{00000000-0005-0000-0000-0000A5270000}"/>
    <cellStyle name="Note 2 2 2 5 2 2 2 9" xfId="35206" xr:uid="{00000000-0005-0000-0000-0000A6270000}"/>
    <cellStyle name="Note 2 2 2 5 2 2 3" xfId="5884" xr:uid="{00000000-0005-0000-0000-0000A7270000}"/>
    <cellStyle name="Note 2 2 2 5 2 2 4" xfId="10242" xr:uid="{00000000-0005-0000-0000-0000A8270000}"/>
    <cellStyle name="Note 2 2 2 5 2 2 5" xfId="14088" xr:uid="{00000000-0005-0000-0000-0000A9270000}"/>
    <cellStyle name="Note 2 2 2 5 2 2 6" xfId="17917" xr:uid="{00000000-0005-0000-0000-0000AA270000}"/>
    <cellStyle name="Note 2 2 2 5 2 2 7" xfId="21856" xr:uid="{00000000-0005-0000-0000-0000AB270000}"/>
    <cellStyle name="Note 2 2 2 5 2 2 8" xfId="25669" xr:uid="{00000000-0005-0000-0000-0000AC270000}"/>
    <cellStyle name="Note 2 2 2 5 2 2 9" xfId="29556" xr:uid="{00000000-0005-0000-0000-0000AD270000}"/>
    <cellStyle name="Note 2 2 2 5 2 3" xfId="3219" xr:uid="{00000000-0005-0000-0000-0000AE270000}"/>
    <cellStyle name="Note 2 2 2 5 2 3 10" xfId="38271" xr:uid="{00000000-0005-0000-0000-0000AF270000}"/>
    <cellStyle name="Note 2 2 2 5 2 3 11" xfId="42282" xr:uid="{00000000-0005-0000-0000-0000B0270000}"/>
    <cellStyle name="Note 2 2 2 5 2 3 12" xfId="46051" xr:uid="{00000000-0005-0000-0000-0000B1270000}"/>
    <cellStyle name="Note 2 2 2 5 2 3 2" xfId="7091" xr:uid="{00000000-0005-0000-0000-0000B2270000}"/>
    <cellStyle name="Note 2 2 2 5 2 3 3" xfId="11523" xr:uid="{00000000-0005-0000-0000-0000B3270000}"/>
    <cellStyle name="Note 2 2 2 5 2 3 4" xfId="15367" xr:uid="{00000000-0005-0000-0000-0000B4270000}"/>
    <cellStyle name="Note 2 2 2 5 2 3 5" xfId="19213" xr:uid="{00000000-0005-0000-0000-0000B5270000}"/>
    <cellStyle name="Note 2 2 2 5 2 3 6" xfId="23132" xr:uid="{00000000-0005-0000-0000-0000B6270000}"/>
    <cellStyle name="Note 2 2 2 5 2 3 7" xfId="26964" xr:uid="{00000000-0005-0000-0000-0000B7270000}"/>
    <cellStyle name="Note 2 2 2 5 2 3 8" xfId="30834" xr:uid="{00000000-0005-0000-0000-0000B8270000}"/>
    <cellStyle name="Note 2 2 2 5 2 3 9" xfId="34489" xr:uid="{00000000-0005-0000-0000-0000B9270000}"/>
    <cellStyle name="Note 2 2 2 5 2 4" xfId="5167" xr:uid="{00000000-0005-0000-0000-0000BA270000}"/>
    <cellStyle name="Note 2 2 2 5 2 5" xfId="9523" xr:uid="{00000000-0005-0000-0000-0000BB270000}"/>
    <cellStyle name="Note 2 2 2 5 2 6" xfId="13367" xr:uid="{00000000-0005-0000-0000-0000BC270000}"/>
    <cellStyle name="Note 2 2 2 5 2 7" xfId="17195" xr:uid="{00000000-0005-0000-0000-0000BD270000}"/>
    <cellStyle name="Note 2 2 2 5 2 8" xfId="21137" xr:uid="{00000000-0005-0000-0000-0000BE270000}"/>
    <cellStyle name="Note 2 2 2 5 2 9" xfId="24948" xr:uid="{00000000-0005-0000-0000-0000BF270000}"/>
    <cellStyle name="Note 2 2 2 5 3" xfId="1623" xr:uid="{00000000-0005-0000-0000-0000C0270000}"/>
    <cellStyle name="Note 2 2 2 5 3 10" xfId="32910" xr:uid="{00000000-0005-0000-0000-0000C1270000}"/>
    <cellStyle name="Note 2 2 2 5 3 11" xfId="36680" xr:uid="{00000000-0005-0000-0000-0000C2270000}"/>
    <cellStyle name="Note 2 2 2 5 3 12" xfId="40671" xr:uid="{00000000-0005-0000-0000-0000C3270000}"/>
    <cellStyle name="Note 2 2 2 5 3 13" xfId="44502" xr:uid="{00000000-0005-0000-0000-0000C4270000}"/>
    <cellStyle name="Note 2 2 2 5 3 2" xfId="3613" xr:uid="{00000000-0005-0000-0000-0000C5270000}"/>
    <cellStyle name="Note 2 2 2 5 3 2 10" xfId="38664" xr:uid="{00000000-0005-0000-0000-0000C6270000}"/>
    <cellStyle name="Note 2 2 2 5 3 2 11" xfId="42675" xr:uid="{00000000-0005-0000-0000-0000C7270000}"/>
    <cellStyle name="Note 2 2 2 5 3 2 12" xfId="46440" xr:uid="{00000000-0005-0000-0000-0000C8270000}"/>
    <cellStyle name="Note 2 2 2 5 3 2 2" xfId="7480" xr:uid="{00000000-0005-0000-0000-0000C9270000}"/>
    <cellStyle name="Note 2 2 2 5 3 2 3" xfId="11915" xr:uid="{00000000-0005-0000-0000-0000CA270000}"/>
    <cellStyle name="Note 2 2 2 5 3 2 4" xfId="15760" xr:uid="{00000000-0005-0000-0000-0000CB270000}"/>
    <cellStyle name="Note 2 2 2 5 3 2 5" xfId="19607" xr:uid="{00000000-0005-0000-0000-0000CC270000}"/>
    <cellStyle name="Note 2 2 2 5 3 2 6" xfId="23523" xr:uid="{00000000-0005-0000-0000-0000CD270000}"/>
    <cellStyle name="Note 2 2 2 5 3 2 7" xfId="27357" xr:uid="{00000000-0005-0000-0000-0000CE270000}"/>
    <cellStyle name="Note 2 2 2 5 3 2 8" xfId="31222" xr:uid="{00000000-0005-0000-0000-0000CF270000}"/>
    <cellStyle name="Note 2 2 2 5 3 2 9" xfId="34878" xr:uid="{00000000-0005-0000-0000-0000D0270000}"/>
    <cellStyle name="Note 2 2 2 5 3 3" xfId="5556" xr:uid="{00000000-0005-0000-0000-0000D1270000}"/>
    <cellStyle name="Note 2 2 2 5 3 4" xfId="9914" xr:uid="{00000000-0005-0000-0000-0000D2270000}"/>
    <cellStyle name="Note 2 2 2 5 3 5" xfId="13760" xr:uid="{00000000-0005-0000-0000-0000D3270000}"/>
    <cellStyle name="Note 2 2 2 5 3 6" xfId="17589" xr:uid="{00000000-0005-0000-0000-0000D4270000}"/>
    <cellStyle name="Note 2 2 2 5 3 7" xfId="21528" xr:uid="{00000000-0005-0000-0000-0000D5270000}"/>
    <cellStyle name="Note 2 2 2 5 3 8" xfId="25341" xr:uid="{00000000-0005-0000-0000-0000D6270000}"/>
    <cellStyle name="Note 2 2 2 5 3 9" xfId="29228" xr:uid="{00000000-0005-0000-0000-0000D7270000}"/>
    <cellStyle name="Note 2 2 2 5 4" xfId="2882" xr:uid="{00000000-0005-0000-0000-0000D8270000}"/>
    <cellStyle name="Note 2 2 2 5 4 10" xfId="37934" xr:uid="{00000000-0005-0000-0000-0000D9270000}"/>
    <cellStyle name="Note 2 2 2 5 4 11" xfId="41946" xr:uid="{00000000-0005-0000-0000-0000DA270000}"/>
    <cellStyle name="Note 2 2 2 5 4 12" xfId="45723" xr:uid="{00000000-0005-0000-0000-0000DB270000}"/>
    <cellStyle name="Note 2 2 2 5 4 2" xfId="6762" xr:uid="{00000000-0005-0000-0000-0000DC270000}"/>
    <cellStyle name="Note 2 2 2 5 4 3" xfId="11189" xr:uid="{00000000-0005-0000-0000-0000DD270000}"/>
    <cellStyle name="Note 2 2 2 5 4 4" xfId="15034" xr:uid="{00000000-0005-0000-0000-0000DE270000}"/>
    <cellStyle name="Note 2 2 2 5 4 5" xfId="18876" xr:uid="{00000000-0005-0000-0000-0000DF270000}"/>
    <cellStyle name="Note 2 2 2 5 4 6" xfId="22802" xr:uid="{00000000-0005-0000-0000-0000E0270000}"/>
    <cellStyle name="Note 2 2 2 5 4 7" xfId="26627" xr:uid="{00000000-0005-0000-0000-0000E1270000}"/>
    <cellStyle name="Note 2 2 2 5 4 8" xfId="30503" xr:uid="{00000000-0005-0000-0000-0000E2270000}"/>
    <cellStyle name="Note 2 2 2 5 4 9" xfId="34161" xr:uid="{00000000-0005-0000-0000-0000E3270000}"/>
    <cellStyle name="Note 2 2 2 5 5" xfId="4838" xr:uid="{00000000-0005-0000-0000-0000E4270000}"/>
    <cellStyle name="Note 2 2 2 5 6" xfId="9192" xr:uid="{00000000-0005-0000-0000-0000E5270000}"/>
    <cellStyle name="Note 2 2 2 5 7" xfId="13033" xr:uid="{00000000-0005-0000-0000-0000E6270000}"/>
    <cellStyle name="Note 2 2 2 5 8" xfId="16858" xr:uid="{00000000-0005-0000-0000-0000E7270000}"/>
    <cellStyle name="Note 2 2 2 5 9" xfId="20800" xr:uid="{00000000-0005-0000-0000-0000E8270000}"/>
    <cellStyle name="Note 2 2 2 6" xfId="938" xr:uid="{00000000-0005-0000-0000-0000E9270000}"/>
    <cellStyle name="Note 2 2 2 6 10" xfId="28550" xr:uid="{00000000-0005-0000-0000-0000EA270000}"/>
    <cellStyle name="Note 2 2 2 6 11" xfId="32239" xr:uid="{00000000-0005-0000-0000-0000EB270000}"/>
    <cellStyle name="Note 2 2 2 6 12" xfId="35996" xr:uid="{00000000-0005-0000-0000-0000EC270000}"/>
    <cellStyle name="Note 2 2 2 6 13" xfId="40004" xr:uid="{00000000-0005-0000-0000-0000ED270000}"/>
    <cellStyle name="Note 2 2 2 6 14" xfId="43822" xr:uid="{00000000-0005-0000-0000-0000EE270000}"/>
    <cellStyle name="Note 2 2 2 6 2" xfId="1669" xr:uid="{00000000-0005-0000-0000-0000EF270000}"/>
    <cellStyle name="Note 2 2 2 6 2 10" xfId="32956" xr:uid="{00000000-0005-0000-0000-0000F0270000}"/>
    <cellStyle name="Note 2 2 2 6 2 11" xfId="36726" xr:uid="{00000000-0005-0000-0000-0000F1270000}"/>
    <cellStyle name="Note 2 2 2 6 2 12" xfId="40717" xr:uid="{00000000-0005-0000-0000-0000F2270000}"/>
    <cellStyle name="Note 2 2 2 6 2 13" xfId="44548" xr:uid="{00000000-0005-0000-0000-0000F3270000}"/>
    <cellStyle name="Note 2 2 2 6 2 2" xfId="3659" xr:uid="{00000000-0005-0000-0000-0000F4270000}"/>
    <cellStyle name="Note 2 2 2 6 2 2 10" xfId="38710" xr:uid="{00000000-0005-0000-0000-0000F5270000}"/>
    <cellStyle name="Note 2 2 2 6 2 2 11" xfId="42721" xr:uid="{00000000-0005-0000-0000-0000F6270000}"/>
    <cellStyle name="Note 2 2 2 6 2 2 12" xfId="46486" xr:uid="{00000000-0005-0000-0000-0000F7270000}"/>
    <cellStyle name="Note 2 2 2 6 2 2 2" xfId="7526" xr:uid="{00000000-0005-0000-0000-0000F8270000}"/>
    <cellStyle name="Note 2 2 2 6 2 2 3" xfId="11961" xr:uid="{00000000-0005-0000-0000-0000F9270000}"/>
    <cellStyle name="Note 2 2 2 6 2 2 4" xfId="15806" xr:uid="{00000000-0005-0000-0000-0000FA270000}"/>
    <cellStyle name="Note 2 2 2 6 2 2 5" xfId="19653" xr:uid="{00000000-0005-0000-0000-0000FB270000}"/>
    <cellStyle name="Note 2 2 2 6 2 2 6" xfId="23569" xr:uid="{00000000-0005-0000-0000-0000FC270000}"/>
    <cellStyle name="Note 2 2 2 6 2 2 7" xfId="27403" xr:uid="{00000000-0005-0000-0000-0000FD270000}"/>
    <cellStyle name="Note 2 2 2 6 2 2 8" xfId="31267" xr:uid="{00000000-0005-0000-0000-0000FE270000}"/>
    <cellStyle name="Note 2 2 2 6 2 2 9" xfId="34924" xr:uid="{00000000-0005-0000-0000-0000FF270000}"/>
    <cellStyle name="Note 2 2 2 6 2 3" xfId="5602" xr:uid="{00000000-0005-0000-0000-000000280000}"/>
    <cellStyle name="Note 2 2 2 6 2 4" xfId="9960" xr:uid="{00000000-0005-0000-0000-000001280000}"/>
    <cellStyle name="Note 2 2 2 6 2 5" xfId="13806" xr:uid="{00000000-0005-0000-0000-000002280000}"/>
    <cellStyle name="Note 2 2 2 6 2 6" xfId="17635" xr:uid="{00000000-0005-0000-0000-000003280000}"/>
    <cellStyle name="Note 2 2 2 6 2 7" xfId="21574" xr:uid="{00000000-0005-0000-0000-000004280000}"/>
    <cellStyle name="Note 2 2 2 6 2 8" xfId="25387" xr:uid="{00000000-0005-0000-0000-000005280000}"/>
    <cellStyle name="Note 2 2 2 6 2 9" xfId="29274" xr:uid="{00000000-0005-0000-0000-000006280000}"/>
    <cellStyle name="Note 2 2 2 6 3" xfId="2928" xr:uid="{00000000-0005-0000-0000-000007280000}"/>
    <cellStyle name="Note 2 2 2 6 3 10" xfId="37980" xr:uid="{00000000-0005-0000-0000-000008280000}"/>
    <cellStyle name="Note 2 2 2 6 3 11" xfId="41992" xr:uid="{00000000-0005-0000-0000-000009280000}"/>
    <cellStyle name="Note 2 2 2 6 3 12" xfId="45769" xr:uid="{00000000-0005-0000-0000-00000A280000}"/>
    <cellStyle name="Note 2 2 2 6 3 2" xfId="6808" xr:uid="{00000000-0005-0000-0000-00000B280000}"/>
    <cellStyle name="Note 2 2 2 6 3 3" xfId="11235" xr:uid="{00000000-0005-0000-0000-00000C280000}"/>
    <cellStyle name="Note 2 2 2 6 3 4" xfId="15080" xr:uid="{00000000-0005-0000-0000-00000D280000}"/>
    <cellStyle name="Note 2 2 2 6 3 5" xfId="18922" xr:uid="{00000000-0005-0000-0000-00000E280000}"/>
    <cellStyle name="Note 2 2 2 6 3 6" xfId="22848" xr:uid="{00000000-0005-0000-0000-00000F280000}"/>
    <cellStyle name="Note 2 2 2 6 3 7" xfId="26673" xr:uid="{00000000-0005-0000-0000-000010280000}"/>
    <cellStyle name="Note 2 2 2 6 3 8" xfId="30548" xr:uid="{00000000-0005-0000-0000-000011280000}"/>
    <cellStyle name="Note 2 2 2 6 3 9" xfId="34207" xr:uid="{00000000-0005-0000-0000-000012280000}"/>
    <cellStyle name="Note 2 2 2 6 4" xfId="4884" xr:uid="{00000000-0005-0000-0000-000013280000}"/>
    <cellStyle name="Note 2 2 2 6 5" xfId="9238" xr:uid="{00000000-0005-0000-0000-000014280000}"/>
    <cellStyle name="Note 2 2 2 6 6" xfId="13079" xr:uid="{00000000-0005-0000-0000-000015280000}"/>
    <cellStyle name="Note 2 2 2 6 7" xfId="16904" xr:uid="{00000000-0005-0000-0000-000016280000}"/>
    <cellStyle name="Note 2 2 2 6 8" xfId="20846" xr:uid="{00000000-0005-0000-0000-000017280000}"/>
    <cellStyle name="Note 2 2 2 6 9" xfId="24662" xr:uid="{00000000-0005-0000-0000-000018280000}"/>
    <cellStyle name="Note 2 2 2 7" xfId="1316" xr:uid="{00000000-0005-0000-0000-000019280000}"/>
    <cellStyle name="Note 2 2 2 7 10" xfId="32603" xr:uid="{00000000-0005-0000-0000-00001A280000}"/>
    <cellStyle name="Note 2 2 2 7 11" xfId="36373" xr:uid="{00000000-0005-0000-0000-00001B280000}"/>
    <cellStyle name="Note 2 2 2 7 12" xfId="40364" xr:uid="{00000000-0005-0000-0000-00001C280000}"/>
    <cellStyle name="Note 2 2 2 7 13" xfId="44195" xr:uid="{00000000-0005-0000-0000-00001D280000}"/>
    <cellStyle name="Note 2 2 2 7 2" xfId="3306" xr:uid="{00000000-0005-0000-0000-00001E280000}"/>
    <cellStyle name="Note 2 2 2 7 2 10" xfId="38357" xr:uid="{00000000-0005-0000-0000-00001F280000}"/>
    <cellStyle name="Note 2 2 2 7 2 11" xfId="42368" xr:uid="{00000000-0005-0000-0000-000020280000}"/>
    <cellStyle name="Note 2 2 2 7 2 12" xfId="46133" xr:uid="{00000000-0005-0000-0000-000021280000}"/>
    <cellStyle name="Note 2 2 2 7 2 2" xfId="7173" xr:uid="{00000000-0005-0000-0000-000022280000}"/>
    <cellStyle name="Note 2 2 2 7 2 3" xfId="11608" xr:uid="{00000000-0005-0000-0000-000023280000}"/>
    <cellStyle name="Note 2 2 2 7 2 4" xfId="15453" xr:uid="{00000000-0005-0000-0000-000024280000}"/>
    <cellStyle name="Note 2 2 2 7 2 5" xfId="19300" xr:uid="{00000000-0005-0000-0000-000025280000}"/>
    <cellStyle name="Note 2 2 2 7 2 6" xfId="23216" xr:uid="{00000000-0005-0000-0000-000026280000}"/>
    <cellStyle name="Note 2 2 2 7 2 7" xfId="27050" xr:uid="{00000000-0005-0000-0000-000027280000}"/>
    <cellStyle name="Note 2 2 2 7 2 8" xfId="30919" xr:uid="{00000000-0005-0000-0000-000028280000}"/>
    <cellStyle name="Note 2 2 2 7 2 9" xfId="34571" xr:uid="{00000000-0005-0000-0000-000029280000}"/>
    <cellStyle name="Note 2 2 2 7 3" xfId="5249" xr:uid="{00000000-0005-0000-0000-00002A280000}"/>
    <cellStyle name="Note 2 2 2 7 4" xfId="9607" xr:uid="{00000000-0005-0000-0000-00002B280000}"/>
    <cellStyle name="Note 2 2 2 7 5" xfId="13453" xr:uid="{00000000-0005-0000-0000-00002C280000}"/>
    <cellStyle name="Note 2 2 2 7 6" xfId="17282" xr:uid="{00000000-0005-0000-0000-00002D280000}"/>
    <cellStyle name="Note 2 2 2 7 7" xfId="21221" xr:uid="{00000000-0005-0000-0000-00002E280000}"/>
    <cellStyle name="Note 2 2 2 7 8" xfId="25034" xr:uid="{00000000-0005-0000-0000-00002F280000}"/>
    <cellStyle name="Note 2 2 2 7 9" xfId="28921" xr:uid="{00000000-0005-0000-0000-000030280000}"/>
    <cellStyle name="Note 2 2 2 8" xfId="2013" xr:uid="{00000000-0005-0000-0000-000031280000}"/>
    <cellStyle name="Note 2 2 2 8 10" xfId="33298" xr:uid="{00000000-0005-0000-0000-000032280000}"/>
    <cellStyle name="Note 2 2 2 8 11" xfId="37069" xr:uid="{00000000-0005-0000-0000-000033280000}"/>
    <cellStyle name="Note 2 2 2 8 12" xfId="41061" xr:uid="{00000000-0005-0000-0000-000034280000}"/>
    <cellStyle name="Note 2 2 2 8 13" xfId="44889" xr:uid="{00000000-0005-0000-0000-000035280000}"/>
    <cellStyle name="Note 2 2 2 8 2" xfId="4002" xr:uid="{00000000-0005-0000-0000-000036280000}"/>
    <cellStyle name="Note 2 2 2 8 2 10" xfId="39053" xr:uid="{00000000-0005-0000-0000-000037280000}"/>
    <cellStyle name="Note 2 2 2 8 2 11" xfId="43064" xr:uid="{00000000-0005-0000-0000-000038280000}"/>
    <cellStyle name="Note 2 2 2 8 2 12" xfId="46827" xr:uid="{00000000-0005-0000-0000-000039280000}"/>
    <cellStyle name="Note 2 2 2 8 2 2" xfId="7867" xr:uid="{00000000-0005-0000-0000-00003A280000}"/>
    <cellStyle name="Note 2 2 2 8 2 3" xfId="12303" xr:uid="{00000000-0005-0000-0000-00003B280000}"/>
    <cellStyle name="Note 2 2 2 8 2 4" xfId="16148" xr:uid="{00000000-0005-0000-0000-00003C280000}"/>
    <cellStyle name="Note 2 2 2 8 2 5" xfId="19996" xr:uid="{00000000-0005-0000-0000-00003D280000}"/>
    <cellStyle name="Note 2 2 2 8 2 6" xfId="23911" xr:uid="{00000000-0005-0000-0000-00003E280000}"/>
    <cellStyle name="Note 2 2 2 8 2 7" xfId="27746" xr:uid="{00000000-0005-0000-0000-00003F280000}"/>
    <cellStyle name="Note 2 2 2 8 2 8" xfId="31606" xr:uid="{00000000-0005-0000-0000-000040280000}"/>
    <cellStyle name="Note 2 2 2 8 2 9" xfId="35265" xr:uid="{00000000-0005-0000-0000-000041280000}"/>
    <cellStyle name="Note 2 2 2 8 3" xfId="5943" xr:uid="{00000000-0005-0000-0000-000042280000}"/>
    <cellStyle name="Note 2 2 2 8 4" xfId="10302" xr:uid="{00000000-0005-0000-0000-000043280000}"/>
    <cellStyle name="Note 2 2 2 8 5" xfId="14149" xr:uid="{00000000-0005-0000-0000-000044280000}"/>
    <cellStyle name="Note 2 2 2 8 6" xfId="17979" xr:uid="{00000000-0005-0000-0000-000045280000}"/>
    <cellStyle name="Note 2 2 2 8 7" xfId="21917" xr:uid="{00000000-0005-0000-0000-000046280000}"/>
    <cellStyle name="Note 2 2 2 8 8" xfId="25731" xr:uid="{00000000-0005-0000-0000-000047280000}"/>
    <cellStyle name="Note 2 2 2 8 9" xfId="29618" xr:uid="{00000000-0005-0000-0000-000048280000}"/>
    <cellStyle name="Note 2 2 2 9" xfId="2060" xr:uid="{00000000-0005-0000-0000-000049280000}"/>
    <cellStyle name="Note 2 2 2 9 10" xfId="33342" xr:uid="{00000000-0005-0000-0000-00004A280000}"/>
    <cellStyle name="Note 2 2 2 9 11" xfId="37116" xr:uid="{00000000-0005-0000-0000-00004B280000}"/>
    <cellStyle name="Note 2 2 2 9 12" xfId="41106" xr:uid="{00000000-0005-0000-0000-00004C280000}"/>
    <cellStyle name="Note 2 2 2 9 13" xfId="44933" xr:uid="{00000000-0005-0000-0000-00004D280000}"/>
    <cellStyle name="Note 2 2 2 9 2" xfId="4049" xr:uid="{00000000-0005-0000-0000-00004E280000}"/>
    <cellStyle name="Note 2 2 2 9 2 10" xfId="39100" xr:uid="{00000000-0005-0000-0000-00004F280000}"/>
    <cellStyle name="Note 2 2 2 9 2 11" xfId="43110" xr:uid="{00000000-0005-0000-0000-000050280000}"/>
    <cellStyle name="Note 2 2 2 9 2 12" xfId="46871" xr:uid="{00000000-0005-0000-0000-000051280000}"/>
    <cellStyle name="Note 2 2 2 9 2 2" xfId="7912" xr:uid="{00000000-0005-0000-0000-000052280000}"/>
    <cellStyle name="Note 2 2 2 9 2 3" xfId="12349" xr:uid="{00000000-0005-0000-0000-000053280000}"/>
    <cellStyle name="Note 2 2 2 9 2 4" xfId="16194" xr:uid="{00000000-0005-0000-0000-000054280000}"/>
    <cellStyle name="Note 2 2 2 9 2 5" xfId="20043" xr:uid="{00000000-0005-0000-0000-000055280000}"/>
    <cellStyle name="Note 2 2 2 9 2 6" xfId="23957" xr:uid="{00000000-0005-0000-0000-000056280000}"/>
    <cellStyle name="Note 2 2 2 9 2 7" xfId="27793" xr:uid="{00000000-0005-0000-0000-000057280000}"/>
    <cellStyle name="Note 2 2 2 9 2 8" xfId="31652" xr:uid="{00000000-0005-0000-0000-000058280000}"/>
    <cellStyle name="Note 2 2 2 9 2 9" xfId="35309" xr:uid="{00000000-0005-0000-0000-000059280000}"/>
    <cellStyle name="Note 2 2 2 9 3" xfId="5988" xr:uid="{00000000-0005-0000-0000-00005A280000}"/>
    <cellStyle name="Note 2 2 2 9 4" xfId="10348" xr:uid="{00000000-0005-0000-0000-00005B280000}"/>
    <cellStyle name="Note 2 2 2 9 5" xfId="14195" xr:uid="{00000000-0005-0000-0000-00005C280000}"/>
    <cellStyle name="Note 2 2 2 9 6" xfId="18026" xr:uid="{00000000-0005-0000-0000-00005D280000}"/>
    <cellStyle name="Note 2 2 2 9 7" xfId="21963" xr:uid="{00000000-0005-0000-0000-00005E280000}"/>
    <cellStyle name="Note 2 2 2 9 8" xfId="25778" xr:uid="{00000000-0005-0000-0000-00005F280000}"/>
    <cellStyle name="Note 2 2 2 9 9" xfId="29664" xr:uid="{00000000-0005-0000-0000-000060280000}"/>
    <cellStyle name="Note 2 2 20" xfId="8792" xr:uid="{00000000-0005-0000-0000-000061280000}"/>
    <cellStyle name="Note 2 2 21" xfId="8655" xr:uid="{00000000-0005-0000-0000-000062280000}"/>
    <cellStyle name="Note 2 2 22" xfId="10346" xr:uid="{00000000-0005-0000-0000-000063280000}"/>
    <cellStyle name="Note 2 2 23" xfId="10373" xr:uid="{00000000-0005-0000-0000-000064280000}"/>
    <cellStyle name="Note 2 2 24" xfId="8452" xr:uid="{00000000-0005-0000-0000-000065280000}"/>
    <cellStyle name="Note 2 2 25" xfId="21988" xr:uid="{00000000-0005-0000-0000-000066280000}"/>
    <cellStyle name="Note 2 2 26" xfId="14148" xr:uid="{00000000-0005-0000-0000-000067280000}"/>
    <cellStyle name="Note 2 2 27" xfId="39614" xr:uid="{00000000-0005-0000-0000-000068280000}"/>
    <cellStyle name="Note 2 2 28" xfId="39596" xr:uid="{00000000-0005-0000-0000-000069280000}"/>
    <cellStyle name="Note 2 2 29" xfId="47328" xr:uid="{00000000-0005-0000-0000-00006A280000}"/>
    <cellStyle name="Note 2 2 3" xfId="547" xr:uid="{00000000-0005-0000-0000-00006B280000}"/>
    <cellStyle name="Note 2 2 3 10" xfId="2199" xr:uid="{00000000-0005-0000-0000-00006C280000}"/>
    <cellStyle name="Note 2 2 3 10 10" xfId="33500" xr:uid="{00000000-0005-0000-0000-00006D280000}"/>
    <cellStyle name="Note 2 2 3 10 11" xfId="37251" xr:uid="{00000000-0005-0000-0000-00006E280000}"/>
    <cellStyle name="Note 2 2 3 10 12" xfId="41267" xr:uid="{00000000-0005-0000-0000-00006F280000}"/>
    <cellStyle name="Note 2 2 3 10 13" xfId="45062" xr:uid="{00000000-0005-0000-0000-000070280000}"/>
    <cellStyle name="Note 2 2 3 10 2" xfId="4182" xr:uid="{00000000-0005-0000-0000-000071280000}"/>
    <cellStyle name="Note 2 2 3 10 2 10" xfId="39233" xr:uid="{00000000-0005-0000-0000-000072280000}"/>
    <cellStyle name="Note 2 2 3 10 2 11" xfId="43243" xr:uid="{00000000-0005-0000-0000-000073280000}"/>
    <cellStyle name="Note 2 2 3 10 2 12" xfId="47000" xr:uid="{00000000-0005-0000-0000-000074280000}"/>
    <cellStyle name="Note 2 2 3 10 2 2" xfId="8041" xr:uid="{00000000-0005-0000-0000-000075280000}"/>
    <cellStyle name="Note 2 2 3 10 2 3" xfId="12481" xr:uid="{00000000-0005-0000-0000-000076280000}"/>
    <cellStyle name="Note 2 2 3 10 2 4" xfId="16326" xr:uid="{00000000-0005-0000-0000-000077280000}"/>
    <cellStyle name="Note 2 2 3 10 2 5" xfId="20176" xr:uid="{00000000-0005-0000-0000-000078280000}"/>
    <cellStyle name="Note 2 2 3 10 2 6" xfId="24088" xr:uid="{00000000-0005-0000-0000-000079280000}"/>
    <cellStyle name="Note 2 2 3 10 2 7" xfId="27926" xr:uid="{00000000-0005-0000-0000-00007A280000}"/>
    <cellStyle name="Note 2 2 3 10 2 8" xfId="31785" xr:uid="{00000000-0005-0000-0000-00007B280000}"/>
    <cellStyle name="Note 2 2 3 10 2 9" xfId="35438" xr:uid="{00000000-0005-0000-0000-00007C280000}"/>
    <cellStyle name="Note 2 2 3 10 3" xfId="6113" xr:uid="{00000000-0005-0000-0000-00007D280000}"/>
    <cellStyle name="Note 2 2 3 10 4" xfId="10516" xr:uid="{00000000-0005-0000-0000-00007E280000}"/>
    <cellStyle name="Note 2 2 3 10 5" xfId="14362" xr:uid="{00000000-0005-0000-0000-00007F280000}"/>
    <cellStyle name="Note 2 2 3 10 6" xfId="18193" xr:uid="{00000000-0005-0000-0000-000080280000}"/>
    <cellStyle name="Note 2 2 3 10 7" xfId="22132" xr:uid="{00000000-0005-0000-0000-000081280000}"/>
    <cellStyle name="Note 2 2 3 10 8" xfId="25944" xr:uid="{00000000-0005-0000-0000-000082280000}"/>
    <cellStyle name="Note 2 2 3 10 9" xfId="29824" xr:uid="{00000000-0005-0000-0000-000083280000}"/>
    <cellStyle name="Note 2 2 3 11" xfId="2257" xr:uid="{00000000-0005-0000-0000-000084280000}"/>
    <cellStyle name="Note 2 2 3 11 10" xfId="33558" xr:uid="{00000000-0005-0000-0000-000085280000}"/>
    <cellStyle name="Note 2 2 3 11 11" xfId="37309" xr:uid="{00000000-0005-0000-0000-000086280000}"/>
    <cellStyle name="Note 2 2 3 11 12" xfId="41325" xr:uid="{00000000-0005-0000-0000-000087280000}"/>
    <cellStyle name="Note 2 2 3 11 13" xfId="45120" xr:uid="{00000000-0005-0000-0000-000088280000}"/>
    <cellStyle name="Note 2 2 3 11 2" xfId="4240" xr:uid="{00000000-0005-0000-0000-000089280000}"/>
    <cellStyle name="Note 2 2 3 11 2 10" xfId="39291" xr:uid="{00000000-0005-0000-0000-00008A280000}"/>
    <cellStyle name="Note 2 2 3 11 2 11" xfId="43301" xr:uid="{00000000-0005-0000-0000-00008B280000}"/>
    <cellStyle name="Note 2 2 3 11 2 12" xfId="47058" xr:uid="{00000000-0005-0000-0000-00008C280000}"/>
    <cellStyle name="Note 2 2 3 11 2 2" xfId="8099" xr:uid="{00000000-0005-0000-0000-00008D280000}"/>
    <cellStyle name="Note 2 2 3 11 2 3" xfId="12539" xr:uid="{00000000-0005-0000-0000-00008E280000}"/>
    <cellStyle name="Note 2 2 3 11 2 4" xfId="16384" xr:uid="{00000000-0005-0000-0000-00008F280000}"/>
    <cellStyle name="Note 2 2 3 11 2 5" xfId="20234" xr:uid="{00000000-0005-0000-0000-000090280000}"/>
    <cellStyle name="Note 2 2 3 11 2 6" xfId="24146" xr:uid="{00000000-0005-0000-0000-000091280000}"/>
    <cellStyle name="Note 2 2 3 11 2 7" xfId="27984" xr:uid="{00000000-0005-0000-0000-000092280000}"/>
    <cellStyle name="Note 2 2 3 11 2 8" xfId="31843" xr:uid="{00000000-0005-0000-0000-000093280000}"/>
    <cellStyle name="Note 2 2 3 11 2 9" xfId="35496" xr:uid="{00000000-0005-0000-0000-000094280000}"/>
    <cellStyle name="Note 2 2 3 11 3" xfId="6171" xr:uid="{00000000-0005-0000-0000-000095280000}"/>
    <cellStyle name="Note 2 2 3 11 4" xfId="10574" xr:uid="{00000000-0005-0000-0000-000096280000}"/>
    <cellStyle name="Note 2 2 3 11 5" xfId="14420" xr:uid="{00000000-0005-0000-0000-000097280000}"/>
    <cellStyle name="Note 2 2 3 11 6" xfId="18251" xr:uid="{00000000-0005-0000-0000-000098280000}"/>
    <cellStyle name="Note 2 2 3 11 7" xfId="22190" xr:uid="{00000000-0005-0000-0000-000099280000}"/>
    <cellStyle name="Note 2 2 3 11 8" xfId="26002" xr:uid="{00000000-0005-0000-0000-00009A280000}"/>
    <cellStyle name="Note 2 2 3 11 9" xfId="29882" xr:uid="{00000000-0005-0000-0000-00009B280000}"/>
    <cellStyle name="Note 2 2 3 12" xfId="2312" xr:uid="{00000000-0005-0000-0000-00009C280000}"/>
    <cellStyle name="Note 2 2 3 12 10" xfId="33613" xr:uid="{00000000-0005-0000-0000-00009D280000}"/>
    <cellStyle name="Note 2 2 3 12 11" xfId="37364" xr:uid="{00000000-0005-0000-0000-00009E280000}"/>
    <cellStyle name="Note 2 2 3 12 12" xfId="41380" xr:uid="{00000000-0005-0000-0000-00009F280000}"/>
    <cellStyle name="Note 2 2 3 12 13" xfId="45175" xr:uid="{00000000-0005-0000-0000-0000A0280000}"/>
    <cellStyle name="Note 2 2 3 12 2" xfId="4295" xr:uid="{00000000-0005-0000-0000-0000A1280000}"/>
    <cellStyle name="Note 2 2 3 12 2 10" xfId="39346" xr:uid="{00000000-0005-0000-0000-0000A2280000}"/>
    <cellStyle name="Note 2 2 3 12 2 11" xfId="43356" xr:uid="{00000000-0005-0000-0000-0000A3280000}"/>
    <cellStyle name="Note 2 2 3 12 2 12" xfId="47113" xr:uid="{00000000-0005-0000-0000-0000A4280000}"/>
    <cellStyle name="Note 2 2 3 12 2 2" xfId="8154" xr:uid="{00000000-0005-0000-0000-0000A5280000}"/>
    <cellStyle name="Note 2 2 3 12 2 3" xfId="12594" xr:uid="{00000000-0005-0000-0000-0000A6280000}"/>
    <cellStyle name="Note 2 2 3 12 2 4" xfId="16439" xr:uid="{00000000-0005-0000-0000-0000A7280000}"/>
    <cellStyle name="Note 2 2 3 12 2 5" xfId="20289" xr:uid="{00000000-0005-0000-0000-0000A8280000}"/>
    <cellStyle name="Note 2 2 3 12 2 6" xfId="24201" xr:uid="{00000000-0005-0000-0000-0000A9280000}"/>
    <cellStyle name="Note 2 2 3 12 2 7" xfId="28039" xr:uid="{00000000-0005-0000-0000-0000AA280000}"/>
    <cellStyle name="Note 2 2 3 12 2 8" xfId="31898" xr:uid="{00000000-0005-0000-0000-0000AB280000}"/>
    <cellStyle name="Note 2 2 3 12 2 9" xfId="35551" xr:uid="{00000000-0005-0000-0000-0000AC280000}"/>
    <cellStyle name="Note 2 2 3 12 3" xfId="6226" xr:uid="{00000000-0005-0000-0000-0000AD280000}"/>
    <cellStyle name="Note 2 2 3 12 4" xfId="10629" xr:uid="{00000000-0005-0000-0000-0000AE280000}"/>
    <cellStyle name="Note 2 2 3 12 5" xfId="14475" xr:uid="{00000000-0005-0000-0000-0000AF280000}"/>
    <cellStyle name="Note 2 2 3 12 6" xfId="18306" xr:uid="{00000000-0005-0000-0000-0000B0280000}"/>
    <cellStyle name="Note 2 2 3 12 7" xfId="22245" xr:uid="{00000000-0005-0000-0000-0000B1280000}"/>
    <cellStyle name="Note 2 2 3 12 8" xfId="26057" xr:uid="{00000000-0005-0000-0000-0000B2280000}"/>
    <cellStyle name="Note 2 2 3 12 9" xfId="29937" xr:uid="{00000000-0005-0000-0000-0000B3280000}"/>
    <cellStyle name="Note 2 2 3 13" xfId="2379" xr:uid="{00000000-0005-0000-0000-0000B4280000}"/>
    <cellStyle name="Note 2 2 3 13 10" xfId="33677" xr:uid="{00000000-0005-0000-0000-0000B5280000}"/>
    <cellStyle name="Note 2 2 3 13 11" xfId="37431" xr:uid="{00000000-0005-0000-0000-0000B6280000}"/>
    <cellStyle name="Note 2 2 3 13 12" xfId="41446" xr:uid="{00000000-0005-0000-0000-0000B7280000}"/>
    <cellStyle name="Note 2 2 3 13 13" xfId="45239" xr:uid="{00000000-0005-0000-0000-0000B8280000}"/>
    <cellStyle name="Note 2 2 3 13 2" xfId="4362" xr:uid="{00000000-0005-0000-0000-0000B9280000}"/>
    <cellStyle name="Note 2 2 3 13 2 10" xfId="39413" xr:uid="{00000000-0005-0000-0000-0000BA280000}"/>
    <cellStyle name="Note 2 2 3 13 2 11" xfId="43422" xr:uid="{00000000-0005-0000-0000-0000BB280000}"/>
    <cellStyle name="Note 2 2 3 13 2 12" xfId="47177" xr:uid="{00000000-0005-0000-0000-0000BC280000}"/>
    <cellStyle name="Note 2 2 3 13 2 2" xfId="8219" xr:uid="{00000000-0005-0000-0000-0000BD280000}"/>
    <cellStyle name="Note 2 2 3 13 2 3" xfId="12660" xr:uid="{00000000-0005-0000-0000-0000BE280000}"/>
    <cellStyle name="Note 2 2 3 13 2 4" xfId="16505" xr:uid="{00000000-0005-0000-0000-0000BF280000}"/>
    <cellStyle name="Note 2 2 3 13 2 5" xfId="20356" xr:uid="{00000000-0005-0000-0000-0000C0280000}"/>
    <cellStyle name="Note 2 2 3 13 2 6" xfId="24267" xr:uid="{00000000-0005-0000-0000-0000C1280000}"/>
    <cellStyle name="Note 2 2 3 13 2 7" xfId="28106" xr:uid="{00000000-0005-0000-0000-0000C2280000}"/>
    <cellStyle name="Note 2 2 3 13 2 8" xfId="31964" xr:uid="{00000000-0005-0000-0000-0000C3280000}"/>
    <cellStyle name="Note 2 2 3 13 2 9" xfId="35615" xr:uid="{00000000-0005-0000-0000-0000C4280000}"/>
    <cellStyle name="Note 2 2 3 13 3" xfId="6275" xr:uid="{00000000-0005-0000-0000-0000C5280000}"/>
    <cellStyle name="Note 2 2 3 13 4" xfId="10695" xr:uid="{00000000-0005-0000-0000-0000C6280000}"/>
    <cellStyle name="Note 2 2 3 13 5" xfId="14541" xr:uid="{00000000-0005-0000-0000-0000C7280000}"/>
    <cellStyle name="Note 2 2 3 13 6" xfId="18373" xr:uid="{00000000-0005-0000-0000-0000C8280000}"/>
    <cellStyle name="Note 2 2 3 13 7" xfId="22311" xr:uid="{00000000-0005-0000-0000-0000C9280000}"/>
    <cellStyle name="Note 2 2 3 13 8" xfId="26124" xr:uid="{00000000-0005-0000-0000-0000CA280000}"/>
    <cellStyle name="Note 2 2 3 13 9" xfId="30004" xr:uid="{00000000-0005-0000-0000-0000CB280000}"/>
    <cellStyle name="Note 2 2 3 14" xfId="2429" xr:uid="{00000000-0005-0000-0000-0000CC280000}"/>
    <cellStyle name="Note 2 2 3 14 10" xfId="33727" xr:uid="{00000000-0005-0000-0000-0000CD280000}"/>
    <cellStyle name="Note 2 2 3 14 11" xfId="37481" xr:uid="{00000000-0005-0000-0000-0000CE280000}"/>
    <cellStyle name="Note 2 2 3 14 12" xfId="41496" xr:uid="{00000000-0005-0000-0000-0000CF280000}"/>
    <cellStyle name="Note 2 2 3 14 13" xfId="45289" xr:uid="{00000000-0005-0000-0000-0000D0280000}"/>
    <cellStyle name="Note 2 2 3 14 2" xfId="4412" xr:uid="{00000000-0005-0000-0000-0000D1280000}"/>
    <cellStyle name="Note 2 2 3 14 2 10" xfId="39463" xr:uid="{00000000-0005-0000-0000-0000D2280000}"/>
    <cellStyle name="Note 2 2 3 14 2 11" xfId="43472" xr:uid="{00000000-0005-0000-0000-0000D3280000}"/>
    <cellStyle name="Note 2 2 3 14 2 12" xfId="47227" xr:uid="{00000000-0005-0000-0000-0000D4280000}"/>
    <cellStyle name="Note 2 2 3 14 2 2" xfId="8269" xr:uid="{00000000-0005-0000-0000-0000D5280000}"/>
    <cellStyle name="Note 2 2 3 14 2 3" xfId="12710" xr:uid="{00000000-0005-0000-0000-0000D6280000}"/>
    <cellStyle name="Note 2 2 3 14 2 4" xfId="16555" xr:uid="{00000000-0005-0000-0000-0000D7280000}"/>
    <cellStyle name="Note 2 2 3 14 2 5" xfId="20406" xr:uid="{00000000-0005-0000-0000-0000D8280000}"/>
    <cellStyle name="Note 2 2 3 14 2 6" xfId="24317" xr:uid="{00000000-0005-0000-0000-0000D9280000}"/>
    <cellStyle name="Note 2 2 3 14 2 7" xfId="28156" xr:uid="{00000000-0005-0000-0000-0000DA280000}"/>
    <cellStyle name="Note 2 2 3 14 2 8" xfId="32014" xr:uid="{00000000-0005-0000-0000-0000DB280000}"/>
    <cellStyle name="Note 2 2 3 14 2 9" xfId="35665" xr:uid="{00000000-0005-0000-0000-0000DC280000}"/>
    <cellStyle name="Note 2 2 3 14 3" xfId="6325" xr:uid="{00000000-0005-0000-0000-0000DD280000}"/>
    <cellStyle name="Note 2 2 3 14 4" xfId="10745" xr:uid="{00000000-0005-0000-0000-0000DE280000}"/>
    <cellStyle name="Note 2 2 3 14 5" xfId="14591" xr:uid="{00000000-0005-0000-0000-0000DF280000}"/>
    <cellStyle name="Note 2 2 3 14 6" xfId="18423" xr:uid="{00000000-0005-0000-0000-0000E0280000}"/>
    <cellStyle name="Note 2 2 3 14 7" xfId="22361" xr:uid="{00000000-0005-0000-0000-0000E1280000}"/>
    <cellStyle name="Note 2 2 3 14 8" xfId="26174" xr:uid="{00000000-0005-0000-0000-0000E2280000}"/>
    <cellStyle name="Note 2 2 3 14 9" xfId="30053" xr:uid="{00000000-0005-0000-0000-0000E3280000}"/>
    <cellStyle name="Note 2 2 3 15" xfId="2483" xr:uid="{00000000-0005-0000-0000-0000E4280000}"/>
    <cellStyle name="Note 2 2 3 15 10" xfId="33778" xr:uid="{00000000-0005-0000-0000-0000E5280000}"/>
    <cellStyle name="Note 2 2 3 15 11" xfId="37535" xr:uid="{00000000-0005-0000-0000-0000E6280000}"/>
    <cellStyle name="Note 2 2 3 15 12" xfId="41549" xr:uid="{00000000-0005-0000-0000-0000E7280000}"/>
    <cellStyle name="Note 2 2 3 15 13" xfId="45340" xr:uid="{00000000-0005-0000-0000-0000E8280000}"/>
    <cellStyle name="Note 2 2 3 15 2" xfId="4465" xr:uid="{00000000-0005-0000-0000-0000E9280000}"/>
    <cellStyle name="Note 2 2 3 15 2 10" xfId="39516" xr:uid="{00000000-0005-0000-0000-0000EA280000}"/>
    <cellStyle name="Note 2 2 3 15 2 11" xfId="43525" xr:uid="{00000000-0005-0000-0000-0000EB280000}"/>
    <cellStyle name="Note 2 2 3 15 2 12" xfId="47278" xr:uid="{00000000-0005-0000-0000-0000EC280000}"/>
    <cellStyle name="Note 2 2 3 15 2 2" xfId="8320" xr:uid="{00000000-0005-0000-0000-0000ED280000}"/>
    <cellStyle name="Note 2 2 3 15 2 3" xfId="12763" xr:uid="{00000000-0005-0000-0000-0000EE280000}"/>
    <cellStyle name="Note 2 2 3 15 2 4" xfId="16606" xr:uid="{00000000-0005-0000-0000-0000EF280000}"/>
    <cellStyle name="Note 2 2 3 15 2 5" xfId="20459" xr:uid="{00000000-0005-0000-0000-0000F0280000}"/>
    <cellStyle name="Note 2 2 3 15 2 6" xfId="24369" xr:uid="{00000000-0005-0000-0000-0000F1280000}"/>
    <cellStyle name="Note 2 2 3 15 2 7" xfId="28209" xr:uid="{00000000-0005-0000-0000-0000F2280000}"/>
    <cellStyle name="Note 2 2 3 15 2 8" xfId="32067" xr:uid="{00000000-0005-0000-0000-0000F3280000}"/>
    <cellStyle name="Note 2 2 3 15 2 9" xfId="35716" xr:uid="{00000000-0005-0000-0000-0000F4280000}"/>
    <cellStyle name="Note 2 2 3 15 3" xfId="6377" xr:uid="{00000000-0005-0000-0000-0000F5280000}"/>
    <cellStyle name="Note 2 2 3 15 4" xfId="10798" xr:uid="{00000000-0005-0000-0000-0000F6280000}"/>
    <cellStyle name="Note 2 2 3 15 5" xfId="14644" xr:uid="{00000000-0005-0000-0000-0000F7280000}"/>
    <cellStyle name="Note 2 2 3 15 6" xfId="18477" xr:uid="{00000000-0005-0000-0000-0000F8280000}"/>
    <cellStyle name="Note 2 2 3 15 7" xfId="22414" xr:uid="{00000000-0005-0000-0000-0000F9280000}"/>
    <cellStyle name="Note 2 2 3 15 8" xfId="26228" xr:uid="{00000000-0005-0000-0000-0000FA280000}"/>
    <cellStyle name="Note 2 2 3 15 9" xfId="30107" xr:uid="{00000000-0005-0000-0000-0000FB280000}"/>
    <cellStyle name="Note 2 2 3 16" xfId="2554" xr:uid="{00000000-0005-0000-0000-0000FC280000}"/>
    <cellStyle name="Note 2 2 3 16 10" xfId="37606" xr:uid="{00000000-0005-0000-0000-0000FD280000}"/>
    <cellStyle name="Note 2 2 3 16 11" xfId="41620" xr:uid="{00000000-0005-0000-0000-0000FE280000}"/>
    <cellStyle name="Note 2 2 3 16 12" xfId="45409" xr:uid="{00000000-0005-0000-0000-0000FF280000}"/>
    <cellStyle name="Note 2 2 3 16 2" xfId="6446" xr:uid="{00000000-0005-0000-0000-000000290000}"/>
    <cellStyle name="Note 2 2 3 16 3" xfId="10869" xr:uid="{00000000-0005-0000-0000-000001290000}"/>
    <cellStyle name="Note 2 2 3 16 4" xfId="14713" xr:uid="{00000000-0005-0000-0000-000002290000}"/>
    <cellStyle name="Note 2 2 3 16 5" xfId="18548" xr:uid="{00000000-0005-0000-0000-000003290000}"/>
    <cellStyle name="Note 2 2 3 16 6" xfId="22483" xr:uid="{00000000-0005-0000-0000-000004290000}"/>
    <cellStyle name="Note 2 2 3 16 7" xfId="26299" xr:uid="{00000000-0005-0000-0000-000005290000}"/>
    <cellStyle name="Note 2 2 3 16 8" xfId="30178" xr:uid="{00000000-0005-0000-0000-000006290000}"/>
    <cellStyle name="Note 2 2 3 16 9" xfId="33847" xr:uid="{00000000-0005-0000-0000-000007290000}"/>
    <cellStyle name="Note 2 2 3 17" xfId="4522" xr:uid="{00000000-0005-0000-0000-000008290000}"/>
    <cellStyle name="Note 2 2 3 18" xfId="8392" xr:uid="{00000000-0005-0000-0000-000009290000}"/>
    <cellStyle name="Note 2 2 3 19" xfId="8737" xr:uid="{00000000-0005-0000-0000-00000A290000}"/>
    <cellStyle name="Note 2 2 3 2" xfId="683" xr:uid="{00000000-0005-0000-0000-00000B290000}"/>
    <cellStyle name="Note 2 2 3 2 10" xfId="24417" xr:uid="{00000000-0005-0000-0000-00000C290000}"/>
    <cellStyle name="Note 2 2 3 2 11" xfId="28310" xr:uid="{00000000-0005-0000-0000-00000D290000}"/>
    <cellStyle name="Note 2 2 3 2 12" xfId="30276" xr:uid="{00000000-0005-0000-0000-00000E290000}"/>
    <cellStyle name="Note 2 2 3 2 13" xfId="35754" xr:uid="{00000000-0005-0000-0000-00000F290000}"/>
    <cellStyle name="Note 2 2 3 2 14" xfId="39777" xr:uid="{00000000-0005-0000-0000-000010290000}"/>
    <cellStyle name="Note 2 2 3 2 15" xfId="43580" xr:uid="{00000000-0005-0000-0000-000011290000}"/>
    <cellStyle name="Note 2 2 3 2 2" xfId="1063" xr:uid="{00000000-0005-0000-0000-000012290000}"/>
    <cellStyle name="Note 2 2 3 2 2 10" xfId="28674" xr:uid="{00000000-0005-0000-0000-000013290000}"/>
    <cellStyle name="Note 2 2 3 2 2 11" xfId="32360" xr:uid="{00000000-0005-0000-0000-000014290000}"/>
    <cellStyle name="Note 2 2 3 2 2 12" xfId="36121" xr:uid="{00000000-0005-0000-0000-000015290000}"/>
    <cellStyle name="Note 2 2 3 2 2 13" xfId="40124" xr:uid="{00000000-0005-0000-0000-000016290000}"/>
    <cellStyle name="Note 2 2 3 2 2 14" xfId="43947" xr:uid="{00000000-0005-0000-0000-000017290000}"/>
    <cellStyle name="Note 2 2 3 2 2 2" xfId="1790" xr:uid="{00000000-0005-0000-0000-000018290000}"/>
    <cellStyle name="Note 2 2 3 2 2 2 10" xfId="33077" xr:uid="{00000000-0005-0000-0000-000019290000}"/>
    <cellStyle name="Note 2 2 3 2 2 2 11" xfId="36847" xr:uid="{00000000-0005-0000-0000-00001A290000}"/>
    <cellStyle name="Note 2 2 3 2 2 2 12" xfId="40838" xr:uid="{00000000-0005-0000-0000-00001B290000}"/>
    <cellStyle name="Note 2 2 3 2 2 2 13" xfId="44669" xr:uid="{00000000-0005-0000-0000-00001C290000}"/>
    <cellStyle name="Note 2 2 3 2 2 2 2" xfId="3780" xr:uid="{00000000-0005-0000-0000-00001D290000}"/>
    <cellStyle name="Note 2 2 3 2 2 2 2 10" xfId="38831" xr:uid="{00000000-0005-0000-0000-00001E290000}"/>
    <cellStyle name="Note 2 2 3 2 2 2 2 11" xfId="42842" xr:uid="{00000000-0005-0000-0000-00001F290000}"/>
    <cellStyle name="Note 2 2 3 2 2 2 2 12" xfId="46607" xr:uid="{00000000-0005-0000-0000-000020290000}"/>
    <cellStyle name="Note 2 2 3 2 2 2 2 2" xfId="7647" xr:uid="{00000000-0005-0000-0000-000021290000}"/>
    <cellStyle name="Note 2 2 3 2 2 2 2 3" xfId="12082" xr:uid="{00000000-0005-0000-0000-000022290000}"/>
    <cellStyle name="Note 2 2 3 2 2 2 2 4" xfId="15927" xr:uid="{00000000-0005-0000-0000-000023290000}"/>
    <cellStyle name="Note 2 2 3 2 2 2 2 5" xfId="19774" xr:uid="{00000000-0005-0000-0000-000024290000}"/>
    <cellStyle name="Note 2 2 3 2 2 2 2 6" xfId="23690" xr:uid="{00000000-0005-0000-0000-000025290000}"/>
    <cellStyle name="Note 2 2 3 2 2 2 2 7" xfId="27524" xr:uid="{00000000-0005-0000-0000-000026290000}"/>
    <cellStyle name="Note 2 2 3 2 2 2 2 8" xfId="31388" xr:uid="{00000000-0005-0000-0000-000027290000}"/>
    <cellStyle name="Note 2 2 3 2 2 2 2 9" xfId="35045" xr:uid="{00000000-0005-0000-0000-000028290000}"/>
    <cellStyle name="Note 2 2 3 2 2 2 3" xfId="5723" xr:uid="{00000000-0005-0000-0000-000029290000}"/>
    <cellStyle name="Note 2 2 3 2 2 2 4" xfId="10081" xr:uid="{00000000-0005-0000-0000-00002A290000}"/>
    <cellStyle name="Note 2 2 3 2 2 2 5" xfId="13927" xr:uid="{00000000-0005-0000-0000-00002B290000}"/>
    <cellStyle name="Note 2 2 3 2 2 2 6" xfId="17756" xr:uid="{00000000-0005-0000-0000-00002C290000}"/>
    <cellStyle name="Note 2 2 3 2 2 2 7" xfId="21695" xr:uid="{00000000-0005-0000-0000-00002D290000}"/>
    <cellStyle name="Note 2 2 3 2 2 2 8" xfId="25508" xr:uid="{00000000-0005-0000-0000-00002E290000}"/>
    <cellStyle name="Note 2 2 3 2 2 2 9" xfId="29395" xr:uid="{00000000-0005-0000-0000-00002F290000}"/>
    <cellStyle name="Note 2 2 3 2 2 3" xfId="3053" xr:uid="{00000000-0005-0000-0000-000030290000}"/>
    <cellStyle name="Note 2 2 3 2 2 3 10" xfId="38105" xr:uid="{00000000-0005-0000-0000-000031290000}"/>
    <cellStyle name="Note 2 2 3 2 2 3 11" xfId="42117" xr:uid="{00000000-0005-0000-0000-000032290000}"/>
    <cellStyle name="Note 2 2 3 2 2 3 12" xfId="45890" xr:uid="{00000000-0005-0000-0000-000033290000}"/>
    <cellStyle name="Note 2 2 3 2 2 3 2" xfId="6929" xr:uid="{00000000-0005-0000-0000-000034290000}"/>
    <cellStyle name="Note 2 2 3 2 2 3 3" xfId="11358" xr:uid="{00000000-0005-0000-0000-000035290000}"/>
    <cellStyle name="Note 2 2 3 2 2 3 4" xfId="15202" xr:uid="{00000000-0005-0000-0000-000036290000}"/>
    <cellStyle name="Note 2 2 3 2 2 3 5" xfId="19047" xr:uid="{00000000-0005-0000-0000-000037290000}"/>
    <cellStyle name="Note 2 2 3 2 2 3 6" xfId="22969" xr:uid="{00000000-0005-0000-0000-000038290000}"/>
    <cellStyle name="Note 2 2 3 2 2 3 7" xfId="26798" xr:uid="{00000000-0005-0000-0000-000039290000}"/>
    <cellStyle name="Note 2 2 3 2 2 3 8" xfId="30672" xr:uid="{00000000-0005-0000-0000-00003A290000}"/>
    <cellStyle name="Note 2 2 3 2 2 3 9" xfId="34328" xr:uid="{00000000-0005-0000-0000-00003B290000}"/>
    <cellStyle name="Note 2 2 3 2 2 4" xfId="5005" xr:uid="{00000000-0005-0000-0000-00003C290000}"/>
    <cellStyle name="Note 2 2 3 2 2 5" xfId="9361" xr:uid="{00000000-0005-0000-0000-00003D290000}"/>
    <cellStyle name="Note 2 2 3 2 2 6" xfId="13201" xr:uid="{00000000-0005-0000-0000-00003E290000}"/>
    <cellStyle name="Note 2 2 3 2 2 7" xfId="17029" xr:uid="{00000000-0005-0000-0000-00003F290000}"/>
    <cellStyle name="Note 2 2 3 2 2 8" xfId="20971" xr:uid="{00000000-0005-0000-0000-000040290000}"/>
    <cellStyle name="Note 2 2 3 2 2 9" xfId="24785" xr:uid="{00000000-0005-0000-0000-000041290000}"/>
    <cellStyle name="Note 2 2 3 2 3" xfId="1437" xr:uid="{00000000-0005-0000-0000-000042290000}"/>
    <cellStyle name="Note 2 2 3 2 3 10" xfId="32724" xr:uid="{00000000-0005-0000-0000-000043290000}"/>
    <cellStyle name="Note 2 2 3 2 3 11" xfId="36494" xr:uid="{00000000-0005-0000-0000-000044290000}"/>
    <cellStyle name="Note 2 2 3 2 3 12" xfId="40485" xr:uid="{00000000-0005-0000-0000-000045290000}"/>
    <cellStyle name="Note 2 2 3 2 3 13" xfId="44316" xr:uid="{00000000-0005-0000-0000-000046290000}"/>
    <cellStyle name="Note 2 2 3 2 3 2" xfId="3427" xr:uid="{00000000-0005-0000-0000-000047290000}"/>
    <cellStyle name="Note 2 2 3 2 3 2 10" xfId="38478" xr:uid="{00000000-0005-0000-0000-000048290000}"/>
    <cellStyle name="Note 2 2 3 2 3 2 11" xfId="42489" xr:uid="{00000000-0005-0000-0000-000049290000}"/>
    <cellStyle name="Note 2 2 3 2 3 2 12" xfId="46254" xr:uid="{00000000-0005-0000-0000-00004A290000}"/>
    <cellStyle name="Note 2 2 3 2 3 2 2" xfId="7294" xr:uid="{00000000-0005-0000-0000-00004B290000}"/>
    <cellStyle name="Note 2 2 3 2 3 2 3" xfId="11729" xr:uid="{00000000-0005-0000-0000-00004C290000}"/>
    <cellStyle name="Note 2 2 3 2 3 2 4" xfId="15574" xr:uid="{00000000-0005-0000-0000-00004D290000}"/>
    <cellStyle name="Note 2 2 3 2 3 2 5" xfId="19421" xr:uid="{00000000-0005-0000-0000-00004E290000}"/>
    <cellStyle name="Note 2 2 3 2 3 2 6" xfId="23337" xr:uid="{00000000-0005-0000-0000-00004F290000}"/>
    <cellStyle name="Note 2 2 3 2 3 2 7" xfId="27171" xr:uid="{00000000-0005-0000-0000-000050290000}"/>
    <cellStyle name="Note 2 2 3 2 3 2 8" xfId="31039" xr:uid="{00000000-0005-0000-0000-000051290000}"/>
    <cellStyle name="Note 2 2 3 2 3 2 9" xfId="34692" xr:uid="{00000000-0005-0000-0000-000052290000}"/>
    <cellStyle name="Note 2 2 3 2 3 3" xfId="5370" xr:uid="{00000000-0005-0000-0000-000053290000}"/>
    <cellStyle name="Note 2 2 3 2 3 4" xfId="9728" xr:uid="{00000000-0005-0000-0000-000054290000}"/>
    <cellStyle name="Note 2 2 3 2 3 5" xfId="13574" xr:uid="{00000000-0005-0000-0000-000055290000}"/>
    <cellStyle name="Note 2 2 3 2 3 6" xfId="17403" xr:uid="{00000000-0005-0000-0000-000056290000}"/>
    <cellStyle name="Note 2 2 3 2 3 7" xfId="21342" xr:uid="{00000000-0005-0000-0000-000057290000}"/>
    <cellStyle name="Note 2 2 3 2 3 8" xfId="25155" xr:uid="{00000000-0005-0000-0000-000058290000}"/>
    <cellStyle name="Note 2 2 3 2 3 9" xfId="29042" xr:uid="{00000000-0005-0000-0000-000059290000}"/>
    <cellStyle name="Note 2 2 3 2 4" xfId="2686" xr:uid="{00000000-0005-0000-0000-00005A290000}"/>
    <cellStyle name="Note 2 2 3 2 4 10" xfId="37738" xr:uid="{00000000-0005-0000-0000-00005B290000}"/>
    <cellStyle name="Note 2 2 3 2 4 11" xfId="41752" xr:uid="{00000000-0005-0000-0000-00005C290000}"/>
    <cellStyle name="Note 2 2 3 2 4 12" xfId="45537" xr:uid="{00000000-0005-0000-0000-00005D290000}"/>
    <cellStyle name="Note 2 2 3 2 4 2" xfId="6574" xr:uid="{00000000-0005-0000-0000-00005E290000}"/>
    <cellStyle name="Note 2 2 3 2 4 3" xfId="10998" xr:uid="{00000000-0005-0000-0000-00005F290000}"/>
    <cellStyle name="Note 2 2 3 2 4 4" xfId="14842" xr:uid="{00000000-0005-0000-0000-000060290000}"/>
    <cellStyle name="Note 2 2 3 2 4 5" xfId="18680" xr:uid="{00000000-0005-0000-0000-000061290000}"/>
    <cellStyle name="Note 2 2 3 2 4 6" xfId="22611" xr:uid="{00000000-0005-0000-0000-000062290000}"/>
    <cellStyle name="Note 2 2 3 2 4 7" xfId="26431" xr:uid="{00000000-0005-0000-0000-000063290000}"/>
    <cellStyle name="Note 2 2 3 2 4 8" xfId="30310" xr:uid="{00000000-0005-0000-0000-000064290000}"/>
    <cellStyle name="Note 2 2 3 2 4 9" xfId="33975" xr:uid="{00000000-0005-0000-0000-000065290000}"/>
    <cellStyle name="Note 2 2 3 2 5" xfId="4650" xr:uid="{00000000-0005-0000-0000-000066290000}"/>
    <cellStyle name="Note 2 2 3 2 6" xfId="8992" xr:uid="{00000000-0005-0000-0000-000067290000}"/>
    <cellStyle name="Note 2 2 3 2 7" xfId="12829" xr:uid="{00000000-0005-0000-0000-000068290000}"/>
    <cellStyle name="Note 2 2 3 2 8" xfId="16659" xr:uid="{00000000-0005-0000-0000-000069290000}"/>
    <cellStyle name="Note 2 2 3 2 9" xfId="20596" xr:uid="{00000000-0005-0000-0000-00006A290000}"/>
    <cellStyle name="Note 2 2 3 20" xfId="8858" xr:uid="{00000000-0005-0000-0000-00006B290000}"/>
    <cellStyle name="Note 2 2 3 21" xfId="8598" xr:uid="{00000000-0005-0000-0000-00006C290000}"/>
    <cellStyle name="Note 2 2 3 22" xfId="8632" xr:uid="{00000000-0005-0000-0000-00006D290000}"/>
    <cellStyle name="Note 2 2 3 23" xfId="18060" xr:uid="{00000000-0005-0000-0000-00006E290000}"/>
    <cellStyle name="Note 2 2 3 24" xfId="8721" xr:uid="{00000000-0005-0000-0000-00006F290000}"/>
    <cellStyle name="Note 2 2 3 25" xfId="25807" xr:uid="{00000000-0005-0000-0000-000070290000}"/>
    <cellStyle name="Note 2 2 3 26" xfId="30338" xr:uid="{00000000-0005-0000-0000-000071290000}"/>
    <cellStyle name="Note 2 2 3 27" xfId="17216" xr:uid="{00000000-0005-0000-0000-000072290000}"/>
    <cellStyle name="Note 2 2 3 28" xfId="39646" xr:uid="{00000000-0005-0000-0000-000073290000}"/>
    <cellStyle name="Note 2 2 3 29" xfId="39672" xr:uid="{00000000-0005-0000-0000-000074290000}"/>
    <cellStyle name="Note 2 2 3 3" xfId="622" xr:uid="{00000000-0005-0000-0000-000075290000}"/>
    <cellStyle name="Note 2 2 3 3 10" xfId="12348" xr:uid="{00000000-0005-0000-0000-000076290000}"/>
    <cellStyle name="Note 2 2 3 3 11" xfId="28249" xr:uid="{00000000-0005-0000-0000-000077290000}"/>
    <cellStyle name="Note 2 2 3 3 12" xfId="31287" xr:uid="{00000000-0005-0000-0000-000078290000}"/>
    <cellStyle name="Note 2 2 3 3 13" xfId="33382" xr:uid="{00000000-0005-0000-0000-000079290000}"/>
    <cellStyle name="Note 2 2 3 3 14" xfId="39717" xr:uid="{00000000-0005-0000-0000-00007A290000}"/>
    <cellStyle name="Note 2 2 3 3 15" xfId="39563" xr:uid="{00000000-0005-0000-0000-00007B290000}"/>
    <cellStyle name="Note 2 2 3 3 2" xfId="1002" xr:uid="{00000000-0005-0000-0000-00007C290000}"/>
    <cellStyle name="Note 2 2 3 3 2 10" xfId="28613" xr:uid="{00000000-0005-0000-0000-00007D290000}"/>
    <cellStyle name="Note 2 2 3 3 2 11" xfId="32301" xr:uid="{00000000-0005-0000-0000-00007E290000}"/>
    <cellStyle name="Note 2 2 3 3 2 12" xfId="36060" xr:uid="{00000000-0005-0000-0000-00007F290000}"/>
    <cellStyle name="Note 2 2 3 3 2 13" xfId="40065" xr:uid="{00000000-0005-0000-0000-000080290000}"/>
    <cellStyle name="Note 2 2 3 3 2 14" xfId="43886" xr:uid="{00000000-0005-0000-0000-000081290000}"/>
    <cellStyle name="Note 2 2 3 3 2 2" xfId="1731" xr:uid="{00000000-0005-0000-0000-000082290000}"/>
    <cellStyle name="Note 2 2 3 3 2 2 10" xfId="33018" xr:uid="{00000000-0005-0000-0000-000083290000}"/>
    <cellStyle name="Note 2 2 3 3 2 2 11" xfId="36788" xr:uid="{00000000-0005-0000-0000-000084290000}"/>
    <cellStyle name="Note 2 2 3 3 2 2 12" xfId="40779" xr:uid="{00000000-0005-0000-0000-000085290000}"/>
    <cellStyle name="Note 2 2 3 3 2 2 13" xfId="44610" xr:uid="{00000000-0005-0000-0000-000086290000}"/>
    <cellStyle name="Note 2 2 3 3 2 2 2" xfId="3721" xr:uid="{00000000-0005-0000-0000-000087290000}"/>
    <cellStyle name="Note 2 2 3 3 2 2 2 10" xfId="38772" xr:uid="{00000000-0005-0000-0000-000088290000}"/>
    <cellStyle name="Note 2 2 3 3 2 2 2 11" xfId="42783" xr:uid="{00000000-0005-0000-0000-000089290000}"/>
    <cellStyle name="Note 2 2 3 3 2 2 2 12" xfId="46548" xr:uid="{00000000-0005-0000-0000-00008A290000}"/>
    <cellStyle name="Note 2 2 3 3 2 2 2 2" xfId="7588" xr:uid="{00000000-0005-0000-0000-00008B290000}"/>
    <cellStyle name="Note 2 2 3 3 2 2 2 3" xfId="12023" xr:uid="{00000000-0005-0000-0000-00008C290000}"/>
    <cellStyle name="Note 2 2 3 3 2 2 2 4" xfId="15868" xr:uid="{00000000-0005-0000-0000-00008D290000}"/>
    <cellStyle name="Note 2 2 3 3 2 2 2 5" xfId="19715" xr:uid="{00000000-0005-0000-0000-00008E290000}"/>
    <cellStyle name="Note 2 2 3 3 2 2 2 6" xfId="23631" xr:uid="{00000000-0005-0000-0000-00008F290000}"/>
    <cellStyle name="Note 2 2 3 3 2 2 2 7" xfId="27465" xr:uid="{00000000-0005-0000-0000-000090290000}"/>
    <cellStyle name="Note 2 2 3 3 2 2 2 8" xfId="31329" xr:uid="{00000000-0005-0000-0000-000091290000}"/>
    <cellStyle name="Note 2 2 3 3 2 2 2 9" xfId="34986" xr:uid="{00000000-0005-0000-0000-000092290000}"/>
    <cellStyle name="Note 2 2 3 3 2 2 3" xfId="5664" xr:uid="{00000000-0005-0000-0000-000093290000}"/>
    <cellStyle name="Note 2 2 3 3 2 2 4" xfId="10022" xr:uid="{00000000-0005-0000-0000-000094290000}"/>
    <cellStyle name="Note 2 2 3 3 2 2 5" xfId="13868" xr:uid="{00000000-0005-0000-0000-000095290000}"/>
    <cellStyle name="Note 2 2 3 3 2 2 6" xfId="17697" xr:uid="{00000000-0005-0000-0000-000096290000}"/>
    <cellStyle name="Note 2 2 3 3 2 2 7" xfId="21636" xr:uid="{00000000-0005-0000-0000-000097290000}"/>
    <cellStyle name="Note 2 2 3 3 2 2 8" xfId="25449" xr:uid="{00000000-0005-0000-0000-000098290000}"/>
    <cellStyle name="Note 2 2 3 3 2 2 9" xfId="29336" xr:uid="{00000000-0005-0000-0000-000099290000}"/>
    <cellStyle name="Note 2 2 3 3 2 3" xfId="2992" xr:uid="{00000000-0005-0000-0000-00009A290000}"/>
    <cellStyle name="Note 2 2 3 3 2 3 10" xfId="38044" xr:uid="{00000000-0005-0000-0000-00009B290000}"/>
    <cellStyle name="Note 2 2 3 3 2 3 11" xfId="42056" xr:uid="{00000000-0005-0000-0000-00009C290000}"/>
    <cellStyle name="Note 2 2 3 3 2 3 12" xfId="45831" xr:uid="{00000000-0005-0000-0000-00009D290000}"/>
    <cellStyle name="Note 2 2 3 3 2 3 2" xfId="6870" xr:uid="{00000000-0005-0000-0000-00009E290000}"/>
    <cellStyle name="Note 2 2 3 3 2 3 3" xfId="11298" xr:uid="{00000000-0005-0000-0000-00009F290000}"/>
    <cellStyle name="Note 2 2 3 3 2 3 4" xfId="15143" xr:uid="{00000000-0005-0000-0000-0000A0290000}"/>
    <cellStyle name="Note 2 2 3 3 2 3 5" xfId="18986" xr:uid="{00000000-0005-0000-0000-0000A1290000}"/>
    <cellStyle name="Note 2 2 3 3 2 3 6" xfId="22910" xr:uid="{00000000-0005-0000-0000-0000A2290000}"/>
    <cellStyle name="Note 2 2 3 3 2 3 7" xfId="26737" xr:uid="{00000000-0005-0000-0000-0000A3290000}"/>
    <cellStyle name="Note 2 2 3 3 2 3 8" xfId="30611" xr:uid="{00000000-0005-0000-0000-0000A4290000}"/>
    <cellStyle name="Note 2 2 3 3 2 3 9" xfId="34269" xr:uid="{00000000-0005-0000-0000-0000A5290000}"/>
    <cellStyle name="Note 2 2 3 3 2 4" xfId="4946" xr:uid="{00000000-0005-0000-0000-0000A6290000}"/>
    <cellStyle name="Note 2 2 3 3 2 5" xfId="9301" xr:uid="{00000000-0005-0000-0000-0000A7290000}"/>
    <cellStyle name="Note 2 2 3 3 2 6" xfId="13142" xr:uid="{00000000-0005-0000-0000-0000A8290000}"/>
    <cellStyle name="Note 2 2 3 3 2 7" xfId="16968" xr:uid="{00000000-0005-0000-0000-0000A9290000}"/>
    <cellStyle name="Note 2 2 3 3 2 8" xfId="20910" xr:uid="{00000000-0005-0000-0000-0000AA290000}"/>
    <cellStyle name="Note 2 2 3 3 2 9" xfId="24725" xr:uid="{00000000-0005-0000-0000-0000AB290000}"/>
    <cellStyle name="Note 2 2 3 3 3" xfId="1378" xr:uid="{00000000-0005-0000-0000-0000AC290000}"/>
    <cellStyle name="Note 2 2 3 3 3 10" xfId="32665" xr:uid="{00000000-0005-0000-0000-0000AD290000}"/>
    <cellStyle name="Note 2 2 3 3 3 11" xfId="36435" xr:uid="{00000000-0005-0000-0000-0000AE290000}"/>
    <cellStyle name="Note 2 2 3 3 3 12" xfId="40426" xr:uid="{00000000-0005-0000-0000-0000AF290000}"/>
    <cellStyle name="Note 2 2 3 3 3 13" xfId="44257" xr:uid="{00000000-0005-0000-0000-0000B0290000}"/>
    <cellStyle name="Note 2 2 3 3 3 2" xfId="3368" xr:uid="{00000000-0005-0000-0000-0000B1290000}"/>
    <cellStyle name="Note 2 2 3 3 3 2 10" xfId="38419" xr:uid="{00000000-0005-0000-0000-0000B2290000}"/>
    <cellStyle name="Note 2 2 3 3 3 2 11" xfId="42430" xr:uid="{00000000-0005-0000-0000-0000B3290000}"/>
    <cellStyle name="Note 2 2 3 3 3 2 12" xfId="46195" xr:uid="{00000000-0005-0000-0000-0000B4290000}"/>
    <cellStyle name="Note 2 2 3 3 3 2 2" xfId="7235" xr:uid="{00000000-0005-0000-0000-0000B5290000}"/>
    <cellStyle name="Note 2 2 3 3 3 2 3" xfId="11670" xr:uid="{00000000-0005-0000-0000-0000B6290000}"/>
    <cellStyle name="Note 2 2 3 3 3 2 4" xfId="15515" xr:uid="{00000000-0005-0000-0000-0000B7290000}"/>
    <cellStyle name="Note 2 2 3 3 3 2 5" xfId="19362" xr:uid="{00000000-0005-0000-0000-0000B8290000}"/>
    <cellStyle name="Note 2 2 3 3 3 2 6" xfId="23278" xr:uid="{00000000-0005-0000-0000-0000B9290000}"/>
    <cellStyle name="Note 2 2 3 3 3 2 7" xfId="27112" xr:uid="{00000000-0005-0000-0000-0000BA290000}"/>
    <cellStyle name="Note 2 2 3 3 3 2 8" xfId="30980" xr:uid="{00000000-0005-0000-0000-0000BB290000}"/>
    <cellStyle name="Note 2 2 3 3 3 2 9" xfId="34633" xr:uid="{00000000-0005-0000-0000-0000BC290000}"/>
    <cellStyle name="Note 2 2 3 3 3 3" xfId="5311" xr:uid="{00000000-0005-0000-0000-0000BD290000}"/>
    <cellStyle name="Note 2 2 3 3 3 4" xfId="9669" xr:uid="{00000000-0005-0000-0000-0000BE290000}"/>
    <cellStyle name="Note 2 2 3 3 3 5" xfId="13515" xr:uid="{00000000-0005-0000-0000-0000BF290000}"/>
    <cellStyle name="Note 2 2 3 3 3 6" xfId="17344" xr:uid="{00000000-0005-0000-0000-0000C0290000}"/>
    <cellStyle name="Note 2 2 3 3 3 7" xfId="21283" xr:uid="{00000000-0005-0000-0000-0000C1290000}"/>
    <cellStyle name="Note 2 2 3 3 3 8" xfId="25096" xr:uid="{00000000-0005-0000-0000-0000C2290000}"/>
    <cellStyle name="Note 2 2 3 3 3 9" xfId="28983" xr:uid="{00000000-0005-0000-0000-0000C3290000}"/>
    <cellStyle name="Note 2 2 3 3 4" xfId="2625" xr:uid="{00000000-0005-0000-0000-0000C4290000}"/>
    <cellStyle name="Note 2 2 3 3 4 10" xfId="37677" xr:uid="{00000000-0005-0000-0000-0000C5290000}"/>
    <cellStyle name="Note 2 2 3 3 4 11" xfId="41691" xr:uid="{00000000-0005-0000-0000-0000C6290000}"/>
    <cellStyle name="Note 2 2 3 3 4 12" xfId="45478" xr:uid="{00000000-0005-0000-0000-0000C7290000}"/>
    <cellStyle name="Note 2 2 3 3 4 2" xfId="6515" xr:uid="{00000000-0005-0000-0000-0000C8290000}"/>
    <cellStyle name="Note 2 2 3 3 4 3" xfId="10939" xr:uid="{00000000-0005-0000-0000-0000C9290000}"/>
    <cellStyle name="Note 2 2 3 3 4 4" xfId="14783" xr:uid="{00000000-0005-0000-0000-0000CA290000}"/>
    <cellStyle name="Note 2 2 3 3 4 5" xfId="18619" xr:uid="{00000000-0005-0000-0000-0000CB290000}"/>
    <cellStyle name="Note 2 2 3 3 4 6" xfId="22552" xr:uid="{00000000-0005-0000-0000-0000CC290000}"/>
    <cellStyle name="Note 2 2 3 3 4 7" xfId="26370" xr:uid="{00000000-0005-0000-0000-0000CD290000}"/>
    <cellStyle name="Note 2 2 3 3 4 8" xfId="30249" xr:uid="{00000000-0005-0000-0000-0000CE290000}"/>
    <cellStyle name="Note 2 2 3 3 4 9" xfId="33916" xr:uid="{00000000-0005-0000-0000-0000CF290000}"/>
    <cellStyle name="Note 2 2 3 3 5" xfId="4591" xr:uid="{00000000-0005-0000-0000-0000D0290000}"/>
    <cellStyle name="Note 2 2 3 3 6" xfId="8931" xr:uid="{00000000-0005-0000-0000-0000D1290000}"/>
    <cellStyle name="Note 2 2 3 3 7" xfId="10376" xr:uid="{00000000-0005-0000-0000-0000D2290000}"/>
    <cellStyle name="Note 2 2 3 3 8" xfId="14242" xr:uid="{00000000-0005-0000-0000-0000D3290000}"/>
    <cellStyle name="Note 2 2 3 3 9" xfId="20535" xr:uid="{00000000-0005-0000-0000-0000D4290000}"/>
    <cellStyle name="Note 2 2 3 30" xfId="47358" xr:uid="{00000000-0005-0000-0000-0000D5290000}"/>
    <cellStyle name="Note 2 2 3 31" xfId="47446" xr:uid="{00000000-0005-0000-0000-0000D6290000}"/>
    <cellStyle name="Note 2 2 3 32" xfId="47493" xr:uid="{00000000-0005-0000-0000-0000D7290000}"/>
    <cellStyle name="Note 2 2 3 4" xfId="720" xr:uid="{00000000-0005-0000-0000-0000D8290000}"/>
    <cellStyle name="Note 2 2 3 4 10" xfId="24453" xr:uid="{00000000-0005-0000-0000-0000D9290000}"/>
    <cellStyle name="Note 2 2 3 4 11" xfId="28346" xr:uid="{00000000-0005-0000-0000-0000DA290000}"/>
    <cellStyle name="Note 2 2 3 4 12" xfId="29700" xr:uid="{00000000-0005-0000-0000-0000DB290000}"/>
    <cellStyle name="Note 2 2 3 4 13" xfId="35791" xr:uid="{00000000-0005-0000-0000-0000DC290000}"/>
    <cellStyle name="Note 2 2 3 4 14" xfId="39812" xr:uid="{00000000-0005-0000-0000-0000DD290000}"/>
    <cellStyle name="Note 2 2 3 4 15" xfId="43617" xr:uid="{00000000-0005-0000-0000-0000DE290000}"/>
    <cellStyle name="Note 2 2 3 4 2" xfId="1099" xr:uid="{00000000-0005-0000-0000-0000DF290000}"/>
    <cellStyle name="Note 2 2 3 4 2 10" xfId="28709" xr:uid="{00000000-0005-0000-0000-0000E0290000}"/>
    <cellStyle name="Note 2 2 3 4 2 11" xfId="32396" xr:uid="{00000000-0005-0000-0000-0000E1290000}"/>
    <cellStyle name="Note 2 2 3 4 2 12" xfId="36157" xr:uid="{00000000-0005-0000-0000-0000E2290000}"/>
    <cellStyle name="Note 2 2 3 4 2 13" xfId="40159" xr:uid="{00000000-0005-0000-0000-0000E3290000}"/>
    <cellStyle name="Note 2 2 3 4 2 14" xfId="43983" xr:uid="{00000000-0005-0000-0000-0000E4290000}"/>
    <cellStyle name="Note 2 2 3 4 2 2" xfId="1826" xr:uid="{00000000-0005-0000-0000-0000E5290000}"/>
    <cellStyle name="Note 2 2 3 4 2 2 10" xfId="33113" xr:uid="{00000000-0005-0000-0000-0000E6290000}"/>
    <cellStyle name="Note 2 2 3 4 2 2 11" xfId="36883" xr:uid="{00000000-0005-0000-0000-0000E7290000}"/>
    <cellStyle name="Note 2 2 3 4 2 2 12" xfId="40874" xr:uid="{00000000-0005-0000-0000-0000E8290000}"/>
    <cellStyle name="Note 2 2 3 4 2 2 13" xfId="44705" xr:uid="{00000000-0005-0000-0000-0000E9290000}"/>
    <cellStyle name="Note 2 2 3 4 2 2 2" xfId="3816" xr:uid="{00000000-0005-0000-0000-0000EA290000}"/>
    <cellStyle name="Note 2 2 3 4 2 2 2 10" xfId="38867" xr:uid="{00000000-0005-0000-0000-0000EB290000}"/>
    <cellStyle name="Note 2 2 3 4 2 2 2 11" xfId="42878" xr:uid="{00000000-0005-0000-0000-0000EC290000}"/>
    <cellStyle name="Note 2 2 3 4 2 2 2 12" xfId="46643" xr:uid="{00000000-0005-0000-0000-0000ED290000}"/>
    <cellStyle name="Note 2 2 3 4 2 2 2 2" xfId="7683" xr:uid="{00000000-0005-0000-0000-0000EE290000}"/>
    <cellStyle name="Note 2 2 3 4 2 2 2 3" xfId="12118" xr:uid="{00000000-0005-0000-0000-0000EF290000}"/>
    <cellStyle name="Note 2 2 3 4 2 2 2 4" xfId="15963" xr:uid="{00000000-0005-0000-0000-0000F0290000}"/>
    <cellStyle name="Note 2 2 3 4 2 2 2 5" xfId="19810" xr:uid="{00000000-0005-0000-0000-0000F1290000}"/>
    <cellStyle name="Note 2 2 3 4 2 2 2 6" xfId="23726" xr:uid="{00000000-0005-0000-0000-0000F2290000}"/>
    <cellStyle name="Note 2 2 3 4 2 2 2 7" xfId="27560" xr:uid="{00000000-0005-0000-0000-0000F3290000}"/>
    <cellStyle name="Note 2 2 3 4 2 2 2 8" xfId="31424" xr:uid="{00000000-0005-0000-0000-0000F4290000}"/>
    <cellStyle name="Note 2 2 3 4 2 2 2 9" xfId="35081" xr:uid="{00000000-0005-0000-0000-0000F5290000}"/>
    <cellStyle name="Note 2 2 3 4 2 2 3" xfId="5759" xr:uid="{00000000-0005-0000-0000-0000F6290000}"/>
    <cellStyle name="Note 2 2 3 4 2 2 4" xfId="10117" xr:uid="{00000000-0005-0000-0000-0000F7290000}"/>
    <cellStyle name="Note 2 2 3 4 2 2 5" xfId="13963" xr:uid="{00000000-0005-0000-0000-0000F8290000}"/>
    <cellStyle name="Note 2 2 3 4 2 2 6" xfId="17792" xr:uid="{00000000-0005-0000-0000-0000F9290000}"/>
    <cellStyle name="Note 2 2 3 4 2 2 7" xfId="21731" xr:uid="{00000000-0005-0000-0000-0000FA290000}"/>
    <cellStyle name="Note 2 2 3 4 2 2 8" xfId="25544" xr:uid="{00000000-0005-0000-0000-0000FB290000}"/>
    <cellStyle name="Note 2 2 3 4 2 2 9" xfId="29431" xr:uid="{00000000-0005-0000-0000-0000FC290000}"/>
    <cellStyle name="Note 2 2 3 4 2 3" xfId="3089" xr:uid="{00000000-0005-0000-0000-0000FD290000}"/>
    <cellStyle name="Note 2 2 3 4 2 3 10" xfId="38141" xr:uid="{00000000-0005-0000-0000-0000FE290000}"/>
    <cellStyle name="Note 2 2 3 4 2 3 11" xfId="42153" xr:uid="{00000000-0005-0000-0000-0000FF290000}"/>
    <cellStyle name="Note 2 2 3 4 2 3 12" xfId="45926" xr:uid="{00000000-0005-0000-0000-0000002A0000}"/>
    <cellStyle name="Note 2 2 3 4 2 3 2" xfId="6965" xr:uid="{00000000-0005-0000-0000-0000012A0000}"/>
    <cellStyle name="Note 2 2 3 4 2 3 3" xfId="11394" xr:uid="{00000000-0005-0000-0000-0000022A0000}"/>
    <cellStyle name="Note 2 2 3 4 2 3 4" xfId="15238" xr:uid="{00000000-0005-0000-0000-0000032A0000}"/>
    <cellStyle name="Note 2 2 3 4 2 3 5" xfId="19083" xr:uid="{00000000-0005-0000-0000-0000042A0000}"/>
    <cellStyle name="Note 2 2 3 4 2 3 6" xfId="23005" xr:uid="{00000000-0005-0000-0000-0000052A0000}"/>
    <cellStyle name="Note 2 2 3 4 2 3 7" xfId="26834" xr:uid="{00000000-0005-0000-0000-0000062A0000}"/>
    <cellStyle name="Note 2 2 3 4 2 3 8" xfId="30707" xr:uid="{00000000-0005-0000-0000-0000072A0000}"/>
    <cellStyle name="Note 2 2 3 4 2 3 9" xfId="34364" xr:uid="{00000000-0005-0000-0000-0000082A0000}"/>
    <cellStyle name="Note 2 2 3 4 2 4" xfId="5041" xr:uid="{00000000-0005-0000-0000-0000092A0000}"/>
    <cellStyle name="Note 2 2 3 4 2 5" xfId="9397" xr:uid="{00000000-0005-0000-0000-00000A2A0000}"/>
    <cellStyle name="Note 2 2 3 4 2 6" xfId="13237" xr:uid="{00000000-0005-0000-0000-00000B2A0000}"/>
    <cellStyle name="Note 2 2 3 4 2 7" xfId="17065" xr:uid="{00000000-0005-0000-0000-00000C2A0000}"/>
    <cellStyle name="Note 2 2 3 4 2 8" xfId="21007" xr:uid="{00000000-0005-0000-0000-00000D2A0000}"/>
    <cellStyle name="Note 2 2 3 4 2 9" xfId="24821" xr:uid="{00000000-0005-0000-0000-00000E2A0000}"/>
    <cellStyle name="Note 2 2 3 4 3" xfId="1473" xr:uid="{00000000-0005-0000-0000-00000F2A0000}"/>
    <cellStyle name="Note 2 2 3 4 3 10" xfId="32760" xr:uid="{00000000-0005-0000-0000-0000102A0000}"/>
    <cellStyle name="Note 2 2 3 4 3 11" xfId="36530" xr:uid="{00000000-0005-0000-0000-0000112A0000}"/>
    <cellStyle name="Note 2 2 3 4 3 12" xfId="40521" xr:uid="{00000000-0005-0000-0000-0000122A0000}"/>
    <cellStyle name="Note 2 2 3 4 3 13" xfId="44352" xr:uid="{00000000-0005-0000-0000-0000132A0000}"/>
    <cellStyle name="Note 2 2 3 4 3 2" xfId="3463" xr:uid="{00000000-0005-0000-0000-0000142A0000}"/>
    <cellStyle name="Note 2 2 3 4 3 2 10" xfId="38514" xr:uid="{00000000-0005-0000-0000-0000152A0000}"/>
    <cellStyle name="Note 2 2 3 4 3 2 11" xfId="42525" xr:uid="{00000000-0005-0000-0000-0000162A0000}"/>
    <cellStyle name="Note 2 2 3 4 3 2 12" xfId="46290" xr:uid="{00000000-0005-0000-0000-0000172A0000}"/>
    <cellStyle name="Note 2 2 3 4 3 2 2" xfId="7330" xr:uid="{00000000-0005-0000-0000-0000182A0000}"/>
    <cellStyle name="Note 2 2 3 4 3 2 3" xfId="11765" xr:uid="{00000000-0005-0000-0000-0000192A0000}"/>
    <cellStyle name="Note 2 2 3 4 3 2 4" xfId="15610" xr:uid="{00000000-0005-0000-0000-00001A2A0000}"/>
    <cellStyle name="Note 2 2 3 4 3 2 5" xfId="19457" xr:uid="{00000000-0005-0000-0000-00001B2A0000}"/>
    <cellStyle name="Note 2 2 3 4 3 2 6" xfId="23373" xr:uid="{00000000-0005-0000-0000-00001C2A0000}"/>
    <cellStyle name="Note 2 2 3 4 3 2 7" xfId="27207" xr:uid="{00000000-0005-0000-0000-00001D2A0000}"/>
    <cellStyle name="Note 2 2 3 4 3 2 8" xfId="31074" xr:uid="{00000000-0005-0000-0000-00001E2A0000}"/>
    <cellStyle name="Note 2 2 3 4 3 2 9" xfId="34728" xr:uid="{00000000-0005-0000-0000-00001F2A0000}"/>
    <cellStyle name="Note 2 2 3 4 3 3" xfId="5406" xr:uid="{00000000-0005-0000-0000-0000202A0000}"/>
    <cellStyle name="Note 2 2 3 4 3 4" xfId="9764" xr:uid="{00000000-0005-0000-0000-0000212A0000}"/>
    <cellStyle name="Note 2 2 3 4 3 5" xfId="13610" xr:uid="{00000000-0005-0000-0000-0000222A0000}"/>
    <cellStyle name="Note 2 2 3 4 3 6" xfId="17439" xr:uid="{00000000-0005-0000-0000-0000232A0000}"/>
    <cellStyle name="Note 2 2 3 4 3 7" xfId="21378" xr:uid="{00000000-0005-0000-0000-0000242A0000}"/>
    <cellStyle name="Note 2 2 3 4 3 8" xfId="25191" xr:uid="{00000000-0005-0000-0000-0000252A0000}"/>
    <cellStyle name="Note 2 2 3 4 3 9" xfId="29078" xr:uid="{00000000-0005-0000-0000-0000262A0000}"/>
    <cellStyle name="Note 2 2 3 4 4" xfId="2723" xr:uid="{00000000-0005-0000-0000-0000272A0000}"/>
    <cellStyle name="Note 2 2 3 4 4 10" xfId="37775" xr:uid="{00000000-0005-0000-0000-0000282A0000}"/>
    <cellStyle name="Note 2 2 3 4 4 11" xfId="41789" xr:uid="{00000000-0005-0000-0000-0000292A0000}"/>
    <cellStyle name="Note 2 2 3 4 4 12" xfId="45573" xr:uid="{00000000-0005-0000-0000-00002A2A0000}"/>
    <cellStyle name="Note 2 2 3 4 4 2" xfId="6610" xr:uid="{00000000-0005-0000-0000-00002B2A0000}"/>
    <cellStyle name="Note 2 2 3 4 4 3" xfId="11034" xr:uid="{00000000-0005-0000-0000-00002C2A0000}"/>
    <cellStyle name="Note 2 2 3 4 4 4" xfId="14879" xr:uid="{00000000-0005-0000-0000-00002D2A0000}"/>
    <cellStyle name="Note 2 2 3 4 4 5" xfId="18717" xr:uid="{00000000-0005-0000-0000-00002E2A0000}"/>
    <cellStyle name="Note 2 2 3 4 4 6" xfId="22648" xr:uid="{00000000-0005-0000-0000-00002F2A0000}"/>
    <cellStyle name="Note 2 2 3 4 4 7" xfId="26468" xr:uid="{00000000-0005-0000-0000-0000302A0000}"/>
    <cellStyle name="Note 2 2 3 4 4 8" xfId="30347" xr:uid="{00000000-0005-0000-0000-0000312A0000}"/>
    <cellStyle name="Note 2 2 3 4 4 9" xfId="34011" xr:uid="{00000000-0005-0000-0000-0000322A0000}"/>
    <cellStyle name="Note 2 2 3 4 5" xfId="4686" xr:uid="{00000000-0005-0000-0000-0000332A0000}"/>
    <cellStyle name="Note 2 2 3 4 6" xfId="9028" xr:uid="{00000000-0005-0000-0000-0000342A0000}"/>
    <cellStyle name="Note 2 2 3 4 7" xfId="12866" xr:uid="{00000000-0005-0000-0000-0000352A0000}"/>
    <cellStyle name="Note 2 2 3 4 8" xfId="16696" xr:uid="{00000000-0005-0000-0000-0000362A0000}"/>
    <cellStyle name="Note 2 2 3 4 9" xfId="20633" xr:uid="{00000000-0005-0000-0000-0000372A0000}"/>
    <cellStyle name="Note 2 2 3 5" xfId="883" xr:uid="{00000000-0005-0000-0000-0000382A0000}"/>
    <cellStyle name="Note 2 2 3 5 10" xfId="24607" xr:uid="{00000000-0005-0000-0000-0000392A0000}"/>
    <cellStyle name="Note 2 2 3 5 11" xfId="28497" xr:uid="{00000000-0005-0000-0000-00003A2A0000}"/>
    <cellStyle name="Note 2 2 3 5 12" xfId="32184" xr:uid="{00000000-0005-0000-0000-00003B2A0000}"/>
    <cellStyle name="Note 2 2 3 5 13" xfId="35941" xr:uid="{00000000-0005-0000-0000-00003C2A0000}"/>
    <cellStyle name="Note 2 2 3 5 14" xfId="39951" xr:uid="{00000000-0005-0000-0000-00003D2A0000}"/>
    <cellStyle name="Note 2 2 3 5 15" xfId="43767" xr:uid="{00000000-0005-0000-0000-00003E2A0000}"/>
    <cellStyle name="Note 2 2 3 5 2" xfId="1220" xr:uid="{00000000-0005-0000-0000-00003F2A0000}"/>
    <cellStyle name="Note 2 2 3 5 2 10" xfId="28828" xr:uid="{00000000-0005-0000-0000-0000402A0000}"/>
    <cellStyle name="Note 2 2 3 5 2 11" xfId="32512" xr:uid="{00000000-0005-0000-0000-0000412A0000}"/>
    <cellStyle name="Note 2 2 3 5 2 12" xfId="36278" xr:uid="{00000000-0005-0000-0000-0000422A0000}"/>
    <cellStyle name="Note 2 2 3 5 2 13" xfId="40271" xr:uid="{00000000-0005-0000-0000-0000432A0000}"/>
    <cellStyle name="Note 2 2 3 5 2 14" xfId="44104" xr:uid="{00000000-0005-0000-0000-0000442A0000}"/>
    <cellStyle name="Note 2 2 3 5 2 2" xfId="1942" xr:uid="{00000000-0005-0000-0000-0000452A0000}"/>
    <cellStyle name="Note 2 2 3 5 2 2 10" xfId="33229" xr:uid="{00000000-0005-0000-0000-0000462A0000}"/>
    <cellStyle name="Note 2 2 3 5 2 2 11" xfId="36999" xr:uid="{00000000-0005-0000-0000-0000472A0000}"/>
    <cellStyle name="Note 2 2 3 5 2 2 12" xfId="40990" xr:uid="{00000000-0005-0000-0000-0000482A0000}"/>
    <cellStyle name="Note 2 2 3 5 2 2 13" xfId="44821" xr:uid="{00000000-0005-0000-0000-0000492A0000}"/>
    <cellStyle name="Note 2 2 3 5 2 2 2" xfId="3932" xr:uid="{00000000-0005-0000-0000-00004A2A0000}"/>
    <cellStyle name="Note 2 2 3 5 2 2 2 10" xfId="38983" xr:uid="{00000000-0005-0000-0000-00004B2A0000}"/>
    <cellStyle name="Note 2 2 3 5 2 2 2 11" xfId="42994" xr:uid="{00000000-0005-0000-0000-00004C2A0000}"/>
    <cellStyle name="Note 2 2 3 5 2 2 2 12" xfId="46759" xr:uid="{00000000-0005-0000-0000-00004D2A0000}"/>
    <cellStyle name="Note 2 2 3 5 2 2 2 2" xfId="7799" xr:uid="{00000000-0005-0000-0000-00004E2A0000}"/>
    <cellStyle name="Note 2 2 3 5 2 2 2 3" xfId="12234" xr:uid="{00000000-0005-0000-0000-00004F2A0000}"/>
    <cellStyle name="Note 2 2 3 5 2 2 2 4" xfId="16079" xr:uid="{00000000-0005-0000-0000-0000502A0000}"/>
    <cellStyle name="Note 2 2 3 5 2 2 2 5" xfId="19926" xr:uid="{00000000-0005-0000-0000-0000512A0000}"/>
    <cellStyle name="Note 2 2 3 5 2 2 2 6" xfId="23842" xr:uid="{00000000-0005-0000-0000-0000522A0000}"/>
    <cellStyle name="Note 2 2 3 5 2 2 2 7" xfId="27676" xr:uid="{00000000-0005-0000-0000-0000532A0000}"/>
    <cellStyle name="Note 2 2 3 5 2 2 2 8" xfId="31537" xr:uid="{00000000-0005-0000-0000-0000542A0000}"/>
    <cellStyle name="Note 2 2 3 5 2 2 2 9" xfId="35197" xr:uid="{00000000-0005-0000-0000-0000552A0000}"/>
    <cellStyle name="Note 2 2 3 5 2 2 3" xfId="5875" xr:uid="{00000000-0005-0000-0000-0000562A0000}"/>
    <cellStyle name="Note 2 2 3 5 2 2 4" xfId="10233" xr:uid="{00000000-0005-0000-0000-0000572A0000}"/>
    <cellStyle name="Note 2 2 3 5 2 2 5" xfId="14079" xr:uid="{00000000-0005-0000-0000-0000582A0000}"/>
    <cellStyle name="Note 2 2 3 5 2 2 6" xfId="17908" xr:uid="{00000000-0005-0000-0000-0000592A0000}"/>
    <cellStyle name="Note 2 2 3 5 2 2 7" xfId="21847" xr:uid="{00000000-0005-0000-0000-00005A2A0000}"/>
    <cellStyle name="Note 2 2 3 5 2 2 8" xfId="25660" xr:uid="{00000000-0005-0000-0000-00005B2A0000}"/>
    <cellStyle name="Note 2 2 3 5 2 2 9" xfId="29547" xr:uid="{00000000-0005-0000-0000-00005C2A0000}"/>
    <cellStyle name="Note 2 2 3 5 2 3" xfId="3210" xr:uid="{00000000-0005-0000-0000-00005D2A0000}"/>
    <cellStyle name="Note 2 2 3 5 2 3 10" xfId="38262" xr:uid="{00000000-0005-0000-0000-00005E2A0000}"/>
    <cellStyle name="Note 2 2 3 5 2 3 11" xfId="42273" xr:uid="{00000000-0005-0000-0000-00005F2A0000}"/>
    <cellStyle name="Note 2 2 3 5 2 3 12" xfId="46042" xr:uid="{00000000-0005-0000-0000-0000602A0000}"/>
    <cellStyle name="Note 2 2 3 5 2 3 2" xfId="7082" xr:uid="{00000000-0005-0000-0000-0000612A0000}"/>
    <cellStyle name="Note 2 2 3 5 2 3 3" xfId="11514" xr:uid="{00000000-0005-0000-0000-0000622A0000}"/>
    <cellStyle name="Note 2 2 3 5 2 3 4" xfId="15358" xr:uid="{00000000-0005-0000-0000-0000632A0000}"/>
    <cellStyle name="Note 2 2 3 5 2 3 5" xfId="19204" xr:uid="{00000000-0005-0000-0000-0000642A0000}"/>
    <cellStyle name="Note 2 2 3 5 2 3 6" xfId="23123" xr:uid="{00000000-0005-0000-0000-0000652A0000}"/>
    <cellStyle name="Note 2 2 3 5 2 3 7" xfId="26955" xr:uid="{00000000-0005-0000-0000-0000662A0000}"/>
    <cellStyle name="Note 2 2 3 5 2 3 8" xfId="30825" xr:uid="{00000000-0005-0000-0000-0000672A0000}"/>
    <cellStyle name="Note 2 2 3 5 2 3 9" xfId="34480" xr:uid="{00000000-0005-0000-0000-0000682A0000}"/>
    <cellStyle name="Note 2 2 3 5 2 4" xfId="5158" xr:uid="{00000000-0005-0000-0000-0000692A0000}"/>
    <cellStyle name="Note 2 2 3 5 2 5" xfId="9514" xr:uid="{00000000-0005-0000-0000-00006A2A0000}"/>
    <cellStyle name="Note 2 2 3 5 2 6" xfId="13358" xr:uid="{00000000-0005-0000-0000-00006B2A0000}"/>
    <cellStyle name="Note 2 2 3 5 2 7" xfId="17186" xr:uid="{00000000-0005-0000-0000-00006C2A0000}"/>
    <cellStyle name="Note 2 2 3 5 2 8" xfId="21128" xr:uid="{00000000-0005-0000-0000-00006D2A0000}"/>
    <cellStyle name="Note 2 2 3 5 2 9" xfId="24939" xr:uid="{00000000-0005-0000-0000-00006E2A0000}"/>
    <cellStyle name="Note 2 2 3 5 3" xfId="1614" xr:uid="{00000000-0005-0000-0000-00006F2A0000}"/>
    <cellStyle name="Note 2 2 3 5 3 10" xfId="32901" xr:uid="{00000000-0005-0000-0000-0000702A0000}"/>
    <cellStyle name="Note 2 2 3 5 3 11" xfId="36671" xr:uid="{00000000-0005-0000-0000-0000712A0000}"/>
    <cellStyle name="Note 2 2 3 5 3 12" xfId="40662" xr:uid="{00000000-0005-0000-0000-0000722A0000}"/>
    <cellStyle name="Note 2 2 3 5 3 13" xfId="44493" xr:uid="{00000000-0005-0000-0000-0000732A0000}"/>
    <cellStyle name="Note 2 2 3 5 3 2" xfId="3604" xr:uid="{00000000-0005-0000-0000-0000742A0000}"/>
    <cellStyle name="Note 2 2 3 5 3 2 10" xfId="38655" xr:uid="{00000000-0005-0000-0000-0000752A0000}"/>
    <cellStyle name="Note 2 2 3 5 3 2 11" xfId="42666" xr:uid="{00000000-0005-0000-0000-0000762A0000}"/>
    <cellStyle name="Note 2 2 3 5 3 2 12" xfId="46431" xr:uid="{00000000-0005-0000-0000-0000772A0000}"/>
    <cellStyle name="Note 2 2 3 5 3 2 2" xfId="7471" xr:uid="{00000000-0005-0000-0000-0000782A0000}"/>
    <cellStyle name="Note 2 2 3 5 3 2 3" xfId="11906" xr:uid="{00000000-0005-0000-0000-0000792A0000}"/>
    <cellStyle name="Note 2 2 3 5 3 2 4" xfId="15751" xr:uid="{00000000-0005-0000-0000-00007A2A0000}"/>
    <cellStyle name="Note 2 2 3 5 3 2 5" xfId="19598" xr:uid="{00000000-0005-0000-0000-00007B2A0000}"/>
    <cellStyle name="Note 2 2 3 5 3 2 6" xfId="23514" xr:uid="{00000000-0005-0000-0000-00007C2A0000}"/>
    <cellStyle name="Note 2 2 3 5 3 2 7" xfId="27348" xr:uid="{00000000-0005-0000-0000-00007D2A0000}"/>
    <cellStyle name="Note 2 2 3 5 3 2 8" xfId="31213" xr:uid="{00000000-0005-0000-0000-00007E2A0000}"/>
    <cellStyle name="Note 2 2 3 5 3 2 9" xfId="34869" xr:uid="{00000000-0005-0000-0000-00007F2A0000}"/>
    <cellStyle name="Note 2 2 3 5 3 3" xfId="5547" xr:uid="{00000000-0005-0000-0000-0000802A0000}"/>
    <cellStyle name="Note 2 2 3 5 3 4" xfId="9905" xr:uid="{00000000-0005-0000-0000-0000812A0000}"/>
    <cellStyle name="Note 2 2 3 5 3 5" xfId="13751" xr:uid="{00000000-0005-0000-0000-0000822A0000}"/>
    <cellStyle name="Note 2 2 3 5 3 6" xfId="17580" xr:uid="{00000000-0005-0000-0000-0000832A0000}"/>
    <cellStyle name="Note 2 2 3 5 3 7" xfId="21519" xr:uid="{00000000-0005-0000-0000-0000842A0000}"/>
    <cellStyle name="Note 2 2 3 5 3 8" xfId="25332" xr:uid="{00000000-0005-0000-0000-0000852A0000}"/>
    <cellStyle name="Note 2 2 3 5 3 9" xfId="29219" xr:uid="{00000000-0005-0000-0000-0000862A0000}"/>
    <cellStyle name="Note 2 2 3 5 4" xfId="2873" xr:uid="{00000000-0005-0000-0000-0000872A0000}"/>
    <cellStyle name="Note 2 2 3 5 4 10" xfId="37925" xr:uid="{00000000-0005-0000-0000-0000882A0000}"/>
    <cellStyle name="Note 2 2 3 5 4 11" xfId="41937" xr:uid="{00000000-0005-0000-0000-0000892A0000}"/>
    <cellStyle name="Note 2 2 3 5 4 12" xfId="45714" xr:uid="{00000000-0005-0000-0000-00008A2A0000}"/>
    <cellStyle name="Note 2 2 3 5 4 2" xfId="6753" xr:uid="{00000000-0005-0000-0000-00008B2A0000}"/>
    <cellStyle name="Note 2 2 3 5 4 3" xfId="11180" xr:uid="{00000000-0005-0000-0000-00008C2A0000}"/>
    <cellStyle name="Note 2 2 3 5 4 4" xfId="15025" xr:uid="{00000000-0005-0000-0000-00008D2A0000}"/>
    <cellStyle name="Note 2 2 3 5 4 5" xfId="18867" xr:uid="{00000000-0005-0000-0000-00008E2A0000}"/>
    <cellStyle name="Note 2 2 3 5 4 6" xfId="22793" xr:uid="{00000000-0005-0000-0000-00008F2A0000}"/>
    <cellStyle name="Note 2 2 3 5 4 7" xfId="26618" xr:uid="{00000000-0005-0000-0000-0000902A0000}"/>
    <cellStyle name="Note 2 2 3 5 4 8" xfId="30494" xr:uid="{00000000-0005-0000-0000-0000912A0000}"/>
    <cellStyle name="Note 2 2 3 5 4 9" xfId="34152" xr:uid="{00000000-0005-0000-0000-0000922A0000}"/>
    <cellStyle name="Note 2 2 3 5 5" xfId="4829" xr:uid="{00000000-0005-0000-0000-0000932A0000}"/>
    <cellStyle name="Note 2 2 3 5 6" xfId="9183" xr:uid="{00000000-0005-0000-0000-0000942A0000}"/>
    <cellStyle name="Note 2 2 3 5 7" xfId="13024" xr:uid="{00000000-0005-0000-0000-0000952A0000}"/>
    <cellStyle name="Note 2 2 3 5 8" xfId="16849" xr:uid="{00000000-0005-0000-0000-0000962A0000}"/>
    <cellStyle name="Note 2 2 3 5 9" xfId="20791" xr:uid="{00000000-0005-0000-0000-0000972A0000}"/>
    <cellStyle name="Note 2 2 3 6" xfId="929" xr:uid="{00000000-0005-0000-0000-0000982A0000}"/>
    <cellStyle name="Note 2 2 3 6 10" xfId="28541" xr:uid="{00000000-0005-0000-0000-0000992A0000}"/>
    <cellStyle name="Note 2 2 3 6 11" xfId="32230" xr:uid="{00000000-0005-0000-0000-00009A2A0000}"/>
    <cellStyle name="Note 2 2 3 6 12" xfId="35987" xr:uid="{00000000-0005-0000-0000-00009B2A0000}"/>
    <cellStyle name="Note 2 2 3 6 13" xfId="39995" xr:uid="{00000000-0005-0000-0000-00009C2A0000}"/>
    <cellStyle name="Note 2 2 3 6 14" xfId="43813" xr:uid="{00000000-0005-0000-0000-00009D2A0000}"/>
    <cellStyle name="Note 2 2 3 6 2" xfId="1660" xr:uid="{00000000-0005-0000-0000-00009E2A0000}"/>
    <cellStyle name="Note 2 2 3 6 2 10" xfId="32947" xr:uid="{00000000-0005-0000-0000-00009F2A0000}"/>
    <cellStyle name="Note 2 2 3 6 2 11" xfId="36717" xr:uid="{00000000-0005-0000-0000-0000A02A0000}"/>
    <cellStyle name="Note 2 2 3 6 2 12" xfId="40708" xr:uid="{00000000-0005-0000-0000-0000A12A0000}"/>
    <cellStyle name="Note 2 2 3 6 2 13" xfId="44539" xr:uid="{00000000-0005-0000-0000-0000A22A0000}"/>
    <cellStyle name="Note 2 2 3 6 2 2" xfId="3650" xr:uid="{00000000-0005-0000-0000-0000A32A0000}"/>
    <cellStyle name="Note 2 2 3 6 2 2 10" xfId="38701" xr:uid="{00000000-0005-0000-0000-0000A42A0000}"/>
    <cellStyle name="Note 2 2 3 6 2 2 11" xfId="42712" xr:uid="{00000000-0005-0000-0000-0000A52A0000}"/>
    <cellStyle name="Note 2 2 3 6 2 2 12" xfId="46477" xr:uid="{00000000-0005-0000-0000-0000A62A0000}"/>
    <cellStyle name="Note 2 2 3 6 2 2 2" xfId="7517" xr:uid="{00000000-0005-0000-0000-0000A72A0000}"/>
    <cellStyle name="Note 2 2 3 6 2 2 3" xfId="11952" xr:uid="{00000000-0005-0000-0000-0000A82A0000}"/>
    <cellStyle name="Note 2 2 3 6 2 2 4" xfId="15797" xr:uid="{00000000-0005-0000-0000-0000A92A0000}"/>
    <cellStyle name="Note 2 2 3 6 2 2 5" xfId="19644" xr:uid="{00000000-0005-0000-0000-0000AA2A0000}"/>
    <cellStyle name="Note 2 2 3 6 2 2 6" xfId="23560" xr:uid="{00000000-0005-0000-0000-0000AB2A0000}"/>
    <cellStyle name="Note 2 2 3 6 2 2 7" xfId="27394" xr:uid="{00000000-0005-0000-0000-0000AC2A0000}"/>
    <cellStyle name="Note 2 2 3 6 2 2 8" xfId="31258" xr:uid="{00000000-0005-0000-0000-0000AD2A0000}"/>
    <cellStyle name="Note 2 2 3 6 2 2 9" xfId="34915" xr:uid="{00000000-0005-0000-0000-0000AE2A0000}"/>
    <cellStyle name="Note 2 2 3 6 2 3" xfId="5593" xr:uid="{00000000-0005-0000-0000-0000AF2A0000}"/>
    <cellStyle name="Note 2 2 3 6 2 4" xfId="9951" xr:uid="{00000000-0005-0000-0000-0000B02A0000}"/>
    <cellStyle name="Note 2 2 3 6 2 5" xfId="13797" xr:uid="{00000000-0005-0000-0000-0000B12A0000}"/>
    <cellStyle name="Note 2 2 3 6 2 6" xfId="17626" xr:uid="{00000000-0005-0000-0000-0000B22A0000}"/>
    <cellStyle name="Note 2 2 3 6 2 7" xfId="21565" xr:uid="{00000000-0005-0000-0000-0000B32A0000}"/>
    <cellStyle name="Note 2 2 3 6 2 8" xfId="25378" xr:uid="{00000000-0005-0000-0000-0000B42A0000}"/>
    <cellStyle name="Note 2 2 3 6 2 9" xfId="29265" xr:uid="{00000000-0005-0000-0000-0000B52A0000}"/>
    <cellStyle name="Note 2 2 3 6 3" xfId="2919" xr:uid="{00000000-0005-0000-0000-0000B62A0000}"/>
    <cellStyle name="Note 2 2 3 6 3 10" xfId="37971" xr:uid="{00000000-0005-0000-0000-0000B72A0000}"/>
    <cellStyle name="Note 2 2 3 6 3 11" xfId="41983" xr:uid="{00000000-0005-0000-0000-0000B82A0000}"/>
    <cellStyle name="Note 2 2 3 6 3 12" xfId="45760" xr:uid="{00000000-0005-0000-0000-0000B92A0000}"/>
    <cellStyle name="Note 2 2 3 6 3 2" xfId="6799" xr:uid="{00000000-0005-0000-0000-0000BA2A0000}"/>
    <cellStyle name="Note 2 2 3 6 3 3" xfId="11226" xr:uid="{00000000-0005-0000-0000-0000BB2A0000}"/>
    <cellStyle name="Note 2 2 3 6 3 4" xfId="15071" xr:uid="{00000000-0005-0000-0000-0000BC2A0000}"/>
    <cellStyle name="Note 2 2 3 6 3 5" xfId="18913" xr:uid="{00000000-0005-0000-0000-0000BD2A0000}"/>
    <cellStyle name="Note 2 2 3 6 3 6" xfId="22839" xr:uid="{00000000-0005-0000-0000-0000BE2A0000}"/>
    <cellStyle name="Note 2 2 3 6 3 7" xfId="26664" xr:uid="{00000000-0005-0000-0000-0000BF2A0000}"/>
    <cellStyle name="Note 2 2 3 6 3 8" xfId="30539" xr:uid="{00000000-0005-0000-0000-0000C02A0000}"/>
    <cellStyle name="Note 2 2 3 6 3 9" xfId="34198" xr:uid="{00000000-0005-0000-0000-0000C12A0000}"/>
    <cellStyle name="Note 2 2 3 6 4" xfId="4875" xr:uid="{00000000-0005-0000-0000-0000C22A0000}"/>
    <cellStyle name="Note 2 2 3 6 5" xfId="9229" xr:uid="{00000000-0005-0000-0000-0000C32A0000}"/>
    <cellStyle name="Note 2 2 3 6 6" xfId="13070" xr:uid="{00000000-0005-0000-0000-0000C42A0000}"/>
    <cellStyle name="Note 2 2 3 6 7" xfId="16895" xr:uid="{00000000-0005-0000-0000-0000C52A0000}"/>
    <cellStyle name="Note 2 2 3 6 8" xfId="20837" xr:uid="{00000000-0005-0000-0000-0000C62A0000}"/>
    <cellStyle name="Note 2 2 3 6 9" xfId="24653" xr:uid="{00000000-0005-0000-0000-0000C72A0000}"/>
    <cellStyle name="Note 2 2 3 7" xfId="1307" xr:uid="{00000000-0005-0000-0000-0000C82A0000}"/>
    <cellStyle name="Note 2 2 3 7 10" xfId="32594" xr:uid="{00000000-0005-0000-0000-0000C92A0000}"/>
    <cellStyle name="Note 2 2 3 7 11" xfId="36364" xr:uid="{00000000-0005-0000-0000-0000CA2A0000}"/>
    <cellStyle name="Note 2 2 3 7 12" xfId="40355" xr:uid="{00000000-0005-0000-0000-0000CB2A0000}"/>
    <cellStyle name="Note 2 2 3 7 13" xfId="44186" xr:uid="{00000000-0005-0000-0000-0000CC2A0000}"/>
    <cellStyle name="Note 2 2 3 7 2" xfId="3297" xr:uid="{00000000-0005-0000-0000-0000CD2A0000}"/>
    <cellStyle name="Note 2 2 3 7 2 10" xfId="38348" xr:uid="{00000000-0005-0000-0000-0000CE2A0000}"/>
    <cellStyle name="Note 2 2 3 7 2 11" xfId="42359" xr:uid="{00000000-0005-0000-0000-0000CF2A0000}"/>
    <cellStyle name="Note 2 2 3 7 2 12" xfId="46124" xr:uid="{00000000-0005-0000-0000-0000D02A0000}"/>
    <cellStyle name="Note 2 2 3 7 2 2" xfId="7164" xr:uid="{00000000-0005-0000-0000-0000D12A0000}"/>
    <cellStyle name="Note 2 2 3 7 2 3" xfId="11599" xr:uid="{00000000-0005-0000-0000-0000D22A0000}"/>
    <cellStyle name="Note 2 2 3 7 2 4" xfId="15444" xr:uid="{00000000-0005-0000-0000-0000D32A0000}"/>
    <cellStyle name="Note 2 2 3 7 2 5" xfId="19291" xr:uid="{00000000-0005-0000-0000-0000D42A0000}"/>
    <cellStyle name="Note 2 2 3 7 2 6" xfId="23207" xr:uid="{00000000-0005-0000-0000-0000D52A0000}"/>
    <cellStyle name="Note 2 2 3 7 2 7" xfId="27041" xr:uid="{00000000-0005-0000-0000-0000D62A0000}"/>
    <cellStyle name="Note 2 2 3 7 2 8" xfId="30910" xr:uid="{00000000-0005-0000-0000-0000D72A0000}"/>
    <cellStyle name="Note 2 2 3 7 2 9" xfId="34562" xr:uid="{00000000-0005-0000-0000-0000D82A0000}"/>
    <cellStyle name="Note 2 2 3 7 3" xfId="5240" xr:uid="{00000000-0005-0000-0000-0000D92A0000}"/>
    <cellStyle name="Note 2 2 3 7 4" xfId="9598" xr:uid="{00000000-0005-0000-0000-0000DA2A0000}"/>
    <cellStyle name="Note 2 2 3 7 5" xfId="13444" xr:uid="{00000000-0005-0000-0000-0000DB2A0000}"/>
    <cellStyle name="Note 2 2 3 7 6" xfId="17273" xr:uid="{00000000-0005-0000-0000-0000DC2A0000}"/>
    <cellStyle name="Note 2 2 3 7 7" xfId="21212" xr:uid="{00000000-0005-0000-0000-0000DD2A0000}"/>
    <cellStyle name="Note 2 2 3 7 8" xfId="25025" xr:uid="{00000000-0005-0000-0000-0000DE2A0000}"/>
    <cellStyle name="Note 2 2 3 7 9" xfId="28912" xr:uid="{00000000-0005-0000-0000-0000DF2A0000}"/>
    <cellStyle name="Note 2 2 3 8" xfId="2002" xr:uid="{00000000-0005-0000-0000-0000E02A0000}"/>
    <cellStyle name="Note 2 2 3 8 10" xfId="33289" xr:uid="{00000000-0005-0000-0000-0000E12A0000}"/>
    <cellStyle name="Note 2 2 3 8 11" xfId="37058" xr:uid="{00000000-0005-0000-0000-0000E22A0000}"/>
    <cellStyle name="Note 2 2 3 8 12" xfId="41050" xr:uid="{00000000-0005-0000-0000-0000E32A0000}"/>
    <cellStyle name="Note 2 2 3 8 13" xfId="44880" xr:uid="{00000000-0005-0000-0000-0000E42A0000}"/>
    <cellStyle name="Note 2 2 3 8 2" xfId="3991" xr:uid="{00000000-0005-0000-0000-0000E52A0000}"/>
    <cellStyle name="Note 2 2 3 8 2 10" xfId="39042" xr:uid="{00000000-0005-0000-0000-0000E62A0000}"/>
    <cellStyle name="Note 2 2 3 8 2 11" xfId="43053" xr:uid="{00000000-0005-0000-0000-0000E72A0000}"/>
    <cellStyle name="Note 2 2 3 8 2 12" xfId="46818" xr:uid="{00000000-0005-0000-0000-0000E82A0000}"/>
    <cellStyle name="Note 2 2 3 8 2 2" xfId="7858" xr:uid="{00000000-0005-0000-0000-0000E92A0000}"/>
    <cellStyle name="Note 2 2 3 8 2 3" xfId="12293" xr:uid="{00000000-0005-0000-0000-0000EA2A0000}"/>
    <cellStyle name="Note 2 2 3 8 2 4" xfId="16138" xr:uid="{00000000-0005-0000-0000-0000EB2A0000}"/>
    <cellStyle name="Note 2 2 3 8 2 5" xfId="19985" xr:uid="{00000000-0005-0000-0000-0000EC2A0000}"/>
    <cellStyle name="Note 2 2 3 8 2 6" xfId="23901" xr:uid="{00000000-0005-0000-0000-0000ED2A0000}"/>
    <cellStyle name="Note 2 2 3 8 2 7" xfId="27735" xr:uid="{00000000-0005-0000-0000-0000EE2A0000}"/>
    <cellStyle name="Note 2 2 3 8 2 8" xfId="31595" xr:uid="{00000000-0005-0000-0000-0000EF2A0000}"/>
    <cellStyle name="Note 2 2 3 8 2 9" xfId="35256" xr:uid="{00000000-0005-0000-0000-0000F02A0000}"/>
    <cellStyle name="Note 2 2 3 8 3" xfId="5934" xr:uid="{00000000-0005-0000-0000-0000F12A0000}"/>
    <cellStyle name="Note 2 2 3 8 4" xfId="10292" xr:uid="{00000000-0005-0000-0000-0000F22A0000}"/>
    <cellStyle name="Note 2 2 3 8 5" xfId="14139" xr:uid="{00000000-0005-0000-0000-0000F32A0000}"/>
    <cellStyle name="Note 2 2 3 8 6" xfId="17968" xr:uid="{00000000-0005-0000-0000-0000F42A0000}"/>
    <cellStyle name="Note 2 2 3 8 7" xfId="21907" xr:uid="{00000000-0005-0000-0000-0000F52A0000}"/>
    <cellStyle name="Note 2 2 3 8 8" xfId="25720" xr:uid="{00000000-0005-0000-0000-0000F62A0000}"/>
    <cellStyle name="Note 2 2 3 8 9" xfId="29607" xr:uid="{00000000-0005-0000-0000-0000F72A0000}"/>
    <cellStyle name="Note 2 2 3 9" xfId="2049" xr:uid="{00000000-0005-0000-0000-0000F82A0000}"/>
    <cellStyle name="Note 2 2 3 9 10" xfId="33333" xr:uid="{00000000-0005-0000-0000-0000F92A0000}"/>
    <cellStyle name="Note 2 2 3 9 11" xfId="37105" xr:uid="{00000000-0005-0000-0000-0000FA2A0000}"/>
    <cellStyle name="Note 2 2 3 9 12" xfId="41095" xr:uid="{00000000-0005-0000-0000-0000FB2A0000}"/>
    <cellStyle name="Note 2 2 3 9 13" xfId="44924" xr:uid="{00000000-0005-0000-0000-0000FC2A0000}"/>
    <cellStyle name="Note 2 2 3 9 2" xfId="4038" xr:uid="{00000000-0005-0000-0000-0000FD2A0000}"/>
    <cellStyle name="Note 2 2 3 9 2 10" xfId="39089" xr:uid="{00000000-0005-0000-0000-0000FE2A0000}"/>
    <cellStyle name="Note 2 2 3 9 2 11" xfId="43099" xr:uid="{00000000-0005-0000-0000-0000FF2A0000}"/>
    <cellStyle name="Note 2 2 3 9 2 12" xfId="46862" xr:uid="{00000000-0005-0000-0000-0000002B0000}"/>
    <cellStyle name="Note 2 2 3 9 2 2" xfId="7903" xr:uid="{00000000-0005-0000-0000-0000012B0000}"/>
    <cellStyle name="Note 2 2 3 9 2 3" xfId="12338" xr:uid="{00000000-0005-0000-0000-0000022B0000}"/>
    <cellStyle name="Note 2 2 3 9 2 4" xfId="16184" xr:uid="{00000000-0005-0000-0000-0000032B0000}"/>
    <cellStyle name="Note 2 2 3 9 2 5" xfId="20032" xr:uid="{00000000-0005-0000-0000-0000042B0000}"/>
    <cellStyle name="Note 2 2 3 9 2 6" xfId="23947" xr:uid="{00000000-0005-0000-0000-0000052B0000}"/>
    <cellStyle name="Note 2 2 3 9 2 7" xfId="27782" xr:uid="{00000000-0005-0000-0000-0000062B0000}"/>
    <cellStyle name="Note 2 2 3 9 2 8" xfId="31641" xr:uid="{00000000-0005-0000-0000-0000072B0000}"/>
    <cellStyle name="Note 2 2 3 9 2 9" xfId="35300" xr:uid="{00000000-0005-0000-0000-0000082B0000}"/>
    <cellStyle name="Note 2 2 3 9 3" xfId="5979" xr:uid="{00000000-0005-0000-0000-0000092B0000}"/>
    <cellStyle name="Note 2 2 3 9 4" xfId="10337" xr:uid="{00000000-0005-0000-0000-00000A2B0000}"/>
    <cellStyle name="Note 2 2 3 9 5" xfId="14185" xr:uid="{00000000-0005-0000-0000-00000B2B0000}"/>
    <cellStyle name="Note 2 2 3 9 6" xfId="18015" xr:uid="{00000000-0005-0000-0000-00000C2B0000}"/>
    <cellStyle name="Note 2 2 3 9 7" xfId="21953" xr:uid="{00000000-0005-0000-0000-00000D2B0000}"/>
    <cellStyle name="Note 2 2 3 9 8" xfId="25767" xr:uid="{00000000-0005-0000-0000-00000E2B0000}"/>
    <cellStyle name="Note 2 2 3 9 9" xfId="29653" xr:uid="{00000000-0005-0000-0000-00000F2B0000}"/>
    <cellStyle name="Note 2 2 30" xfId="47417" xr:uid="{00000000-0005-0000-0000-0000102B0000}"/>
    <cellStyle name="Note 2 2 31" xfId="47404" xr:uid="{00000000-0005-0000-0000-0000112B0000}"/>
    <cellStyle name="Note 2 2 4" xfId="654" xr:uid="{00000000-0005-0000-0000-0000122B0000}"/>
    <cellStyle name="Note 2 2 4 10" xfId="22000" xr:uid="{00000000-0005-0000-0000-0000132B0000}"/>
    <cellStyle name="Note 2 2 4 11" xfId="28281" xr:uid="{00000000-0005-0000-0000-0000142B0000}"/>
    <cellStyle name="Note 2 2 4 12" xfId="30138" xr:uid="{00000000-0005-0000-0000-0000152B0000}"/>
    <cellStyle name="Note 2 2 4 13" xfId="9099" xr:uid="{00000000-0005-0000-0000-0000162B0000}"/>
    <cellStyle name="Note 2 2 4 14" xfId="39748" xr:uid="{00000000-0005-0000-0000-0000172B0000}"/>
    <cellStyle name="Note 2 2 4 15" xfId="41125" xr:uid="{00000000-0005-0000-0000-0000182B0000}"/>
    <cellStyle name="Note 2 2 4 2" xfId="1034" xr:uid="{00000000-0005-0000-0000-0000192B0000}"/>
    <cellStyle name="Note 2 2 4 2 10" xfId="28645" xr:uid="{00000000-0005-0000-0000-00001A2B0000}"/>
    <cellStyle name="Note 2 2 4 2 11" xfId="32331" xr:uid="{00000000-0005-0000-0000-00001B2B0000}"/>
    <cellStyle name="Note 2 2 4 2 12" xfId="36092" xr:uid="{00000000-0005-0000-0000-00001C2B0000}"/>
    <cellStyle name="Note 2 2 4 2 13" xfId="40095" xr:uid="{00000000-0005-0000-0000-00001D2B0000}"/>
    <cellStyle name="Note 2 2 4 2 14" xfId="43918" xr:uid="{00000000-0005-0000-0000-00001E2B0000}"/>
    <cellStyle name="Note 2 2 4 2 2" xfId="1761" xr:uid="{00000000-0005-0000-0000-00001F2B0000}"/>
    <cellStyle name="Note 2 2 4 2 2 10" xfId="33048" xr:uid="{00000000-0005-0000-0000-0000202B0000}"/>
    <cellStyle name="Note 2 2 4 2 2 11" xfId="36818" xr:uid="{00000000-0005-0000-0000-0000212B0000}"/>
    <cellStyle name="Note 2 2 4 2 2 12" xfId="40809" xr:uid="{00000000-0005-0000-0000-0000222B0000}"/>
    <cellStyle name="Note 2 2 4 2 2 13" xfId="44640" xr:uid="{00000000-0005-0000-0000-0000232B0000}"/>
    <cellStyle name="Note 2 2 4 2 2 2" xfId="3751" xr:uid="{00000000-0005-0000-0000-0000242B0000}"/>
    <cellStyle name="Note 2 2 4 2 2 2 10" xfId="38802" xr:uid="{00000000-0005-0000-0000-0000252B0000}"/>
    <cellStyle name="Note 2 2 4 2 2 2 11" xfId="42813" xr:uid="{00000000-0005-0000-0000-0000262B0000}"/>
    <cellStyle name="Note 2 2 4 2 2 2 12" xfId="46578" xr:uid="{00000000-0005-0000-0000-0000272B0000}"/>
    <cellStyle name="Note 2 2 4 2 2 2 2" xfId="7618" xr:uid="{00000000-0005-0000-0000-0000282B0000}"/>
    <cellStyle name="Note 2 2 4 2 2 2 3" xfId="12053" xr:uid="{00000000-0005-0000-0000-0000292B0000}"/>
    <cellStyle name="Note 2 2 4 2 2 2 4" xfId="15898" xr:uid="{00000000-0005-0000-0000-00002A2B0000}"/>
    <cellStyle name="Note 2 2 4 2 2 2 5" xfId="19745" xr:uid="{00000000-0005-0000-0000-00002B2B0000}"/>
    <cellStyle name="Note 2 2 4 2 2 2 6" xfId="23661" xr:uid="{00000000-0005-0000-0000-00002C2B0000}"/>
    <cellStyle name="Note 2 2 4 2 2 2 7" xfId="27495" xr:uid="{00000000-0005-0000-0000-00002D2B0000}"/>
    <cellStyle name="Note 2 2 4 2 2 2 8" xfId="31359" xr:uid="{00000000-0005-0000-0000-00002E2B0000}"/>
    <cellStyle name="Note 2 2 4 2 2 2 9" xfId="35016" xr:uid="{00000000-0005-0000-0000-00002F2B0000}"/>
    <cellStyle name="Note 2 2 4 2 2 3" xfId="5694" xr:uid="{00000000-0005-0000-0000-0000302B0000}"/>
    <cellStyle name="Note 2 2 4 2 2 4" xfId="10052" xr:uid="{00000000-0005-0000-0000-0000312B0000}"/>
    <cellStyle name="Note 2 2 4 2 2 5" xfId="13898" xr:uid="{00000000-0005-0000-0000-0000322B0000}"/>
    <cellStyle name="Note 2 2 4 2 2 6" xfId="17727" xr:uid="{00000000-0005-0000-0000-0000332B0000}"/>
    <cellStyle name="Note 2 2 4 2 2 7" xfId="21666" xr:uid="{00000000-0005-0000-0000-0000342B0000}"/>
    <cellStyle name="Note 2 2 4 2 2 8" xfId="25479" xr:uid="{00000000-0005-0000-0000-0000352B0000}"/>
    <cellStyle name="Note 2 2 4 2 2 9" xfId="29366" xr:uid="{00000000-0005-0000-0000-0000362B0000}"/>
    <cellStyle name="Note 2 2 4 2 3" xfId="3024" xr:uid="{00000000-0005-0000-0000-0000372B0000}"/>
    <cellStyle name="Note 2 2 4 2 3 10" xfId="38076" xr:uid="{00000000-0005-0000-0000-0000382B0000}"/>
    <cellStyle name="Note 2 2 4 2 3 11" xfId="42088" xr:uid="{00000000-0005-0000-0000-0000392B0000}"/>
    <cellStyle name="Note 2 2 4 2 3 12" xfId="45861" xr:uid="{00000000-0005-0000-0000-00003A2B0000}"/>
    <cellStyle name="Note 2 2 4 2 3 2" xfId="6900" xr:uid="{00000000-0005-0000-0000-00003B2B0000}"/>
    <cellStyle name="Note 2 2 4 2 3 3" xfId="11329" xr:uid="{00000000-0005-0000-0000-00003C2B0000}"/>
    <cellStyle name="Note 2 2 4 2 3 4" xfId="15173" xr:uid="{00000000-0005-0000-0000-00003D2B0000}"/>
    <cellStyle name="Note 2 2 4 2 3 5" xfId="19018" xr:uid="{00000000-0005-0000-0000-00003E2B0000}"/>
    <cellStyle name="Note 2 2 4 2 3 6" xfId="22940" xr:uid="{00000000-0005-0000-0000-00003F2B0000}"/>
    <cellStyle name="Note 2 2 4 2 3 7" xfId="26769" xr:uid="{00000000-0005-0000-0000-0000402B0000}"/>
    <cellStyle name="Note 2 2 4 2 3 8" xfId="30643" xr:uid="{00000000-0005-0000-0000-0000412B0000}"/>
    <cellStyle name="Note 2 2 4 2 3 9" xfId="34299" xr:uid="{00000000-0005-0000-0000-0000422B0000}"/>
    <cellStyle name="Note 2 2 4 2 4" xfId="4976" xr:uid="{00000000-0005-0000-0000-0000432B0000}"/>
    <cellStyle name="Note 2 2 4 2 5" xfId="9332" xr:uid="{00000000-0005-0000-0000-0000442B0000}"/>
    <cellStyle name="Note 2 2 4 2 6" xfId="13172" xr:uid="{00000000-0005-0000-0000-0000452B0000}"/>
    <cellStyle name="Note 2 2 4 2 7" xfId="17000" xr:uid="{00000000-0005-0000-0000-0000462B0000}"/>
    <cellStyle name="Note 2 2 4 2 8" xfId="20942" xr:uid="{00000000-0005-0000-0000-0000472B0000}"/>
    <cellStyle name="Note 2 2 4 2 9" xfId="24756" xr:uid="{00000000-0005-0000-0000-0000482B0000}"/>
    <cellStyle name="Note 2 2 4 3" xfId="1408" xr:uid="{00000000-0005-0000-0000-0000492B0000}"/>
    <cellStyle name="Note 2 2 4 3 10" xfId="32695" xr:uid="{00000000-0005-0000-0000-00004A2B0000}"/>
    <cellStyle name="Note 2 2 4 3 11" xfId="36465" xr:uid="{00000000-0005-0000-0000-00004B2B0000}"/>
    <cellStyle name="Note 2 2 4 3 12" xfId="40456" xr:uid="{00000000-0005-0000-0000-00004C2B0000}"/>
    <cellStyle name="Note 2 2 4 3 13" xfId="44287" xr:uid="{00000000-0005-0000-0000-00004D2B0000}"/>
    <cellStyle name="Note 2 2 4 3 2" xfId="3398" xr:uid="{00000000-0005-0000-0000-00004E2B0000}"/>
    <cellStyle name="Note 2 2 4 3 2 10" xfId="38449" xr:uid="{00000000-0005-0000-0000-00004F2B0000}"/>
    <cellStyle name="Note 2 2 4 3 2 11" xfId="42460" xr:uid="{00000000-0005-0000-0000-0000502B0000}"/>
    <cellStyle name="Note 2 2 4 3 2 12" xfId="46225" xr:uid="{00000000-0005-0000-0000-0000512B0000}"/>
    <cellStyle name="Note 2 2 4 3 2 2" xfId="7265" xr:uid="{00000000-0005-0000-0000-0000522B0000}"/>
    <cellStyle name="Note 2 2 4 3 2 3" xfId="11700" xr:uid="{00000000-0005-0000-0000-0000532B0000}"/>
    <cellStyle name="Note 2 2 4 3 2 4" xfId="15545" xr:uid="{00000000-0005-0000-0000-0000542B0000}"/>
    <cellStyle name="Note 2 2 4 3 2 5" xfId="19392" xr:uid="{00000000-0005-0000-0000-0000552B0000}"/>
    <cellStyle name="Note 2 2 4 3 2 6" xfId="23308" xr:uid="{00000000-0005-0000-0000-0000562B0000}"/>
    <cellStyle name="Note 2 2 4 3 2 7" xfId="27142" xr:uid="{00000000-0005-0000-0000-0000572B0000}"/>
    <cellStyle name="Note 2 2 4 3 2 8" xfId="31010" xr:uid="{00000000-0005-0000-0000-0000582B0000}"/>
    <cellStyle name="Note 2 2 4 3 2 9" xfId="34663" xr:uid="{00000000-0005-0000-0000-0000592B0000}"/>
    <cellStyle name="Note 2 2 4 3 3" xfId="5341" xr:uid="{00000000-0005-0000-0000-00005A2B0000}"/>
    <cellStyle name="Note 2 2 4 3 4" xfId="9699" xr:uid="{00000000-0005-0000-0000-00005B2B0000}"/>
    <cellStyle name="Note 2 2 4 3 5" xfId="13545" xr:uid="{00000000-0005-0000-0000-00005C2B0000}"/>
    <cellStyle name="Note 2 2 4 3 6" xfId="17374" xr:uid="{00000000-0005-0000-0000-00005D2B0000}"/>
    <cellStyle name="Note 2 2 4 3 7" xfId="21313" xr:uid="{00000000-0005-0000-0000-00005E2B0000}"/>
    <cellStyle name="Note 2 2 4 3 8" xfId="25126" xr:uid="{00000000-0005-0000-0000-00005F2B0000}"/>
    <cellStyle name="Note 2 2 4 3 9" xfId="29013" xr:uid="{00000000-0005-0000-0000-0000602B0000}"/>
    <cellStyle name="Note 2 2 4 4" xfId="2657" xr:uid="{00000000-0005-0000-0000-0000612B0000}"/>
    <cellStyle name="Note 2 2 4 4 10" xfId="37709" xr:uid="{00000000-0005-0000-0000-0000622B0000}"/>
    <cellStyle name="Note 2 2 4 4 11" xfId="41723" xr:uid="{00000000-0005-0000-0000-0000632B0000}"/>
    <cellStyle name="Note 2 2 4 4 12" xfId="45508" xr:uid="{00000000-0005-0000-0000-0000642B0000}"/>
    <cellStyle name="Note 2 2 4 4 2" xfId="6545" xr:uid="{00000000-0005-0000-0000-0000652B0000}"/>
    <cellStyle name="Note 2 2 4 4 3" xfId="10969" xr:uid="{00000000-0005-0000-0000-0000662B0000}"/>
    <cellStyle name="Note 2 2 4 4 4" xfId="14813" xr:uid="{00000000-0005-0000-0000-0000672B0000}"/>
    <cellStyle name="Note 2 2 4 4 5" xfId="18651" xr:uid="{00000000-0005-0000-0000-0000682B0000}"/>
    <cellStyle name="Note 2 2 4 4 6" xfId="22582" xr:uid="{00000000-0005-0000-0000-0000692B0000}"/>
    <cellStyle name="Note 2 2 4 4 7" xfId="26402" xr:uid="{00000000-0005-0000-0000-00006A2B0000}"/>
    <cellStyle name="Note 2 2 4 4 8" xfId="30281" xr:uid="{00000000-0005-0000-0000-00006B2B0000}"/>
    <cellStyle name="Note 2 2 4 4 9" xfId="33946" xr:uid="{00000000-0005-0000-0000-00006C2B0000}"/>
    <cellStyle name="Note 2 2 4 5" xfId="4621" xr:uid="{00000000-0005-0000-0000-00006D2B0000}"/>
    <cellStyle name="Note 2 2 4 6" xfId="8963" xr:uid="{00000000-0005-0000-0000-00006E2B0000}"/>
    <cellStyle name="Note 2 2 4 7" xfId="12800" xr:uid="{00000000-0005-0000-0000-00006F2B0000}"/>
    <cellStyle name="Note 2 2 4 8" xfId="9089" xr:uid="{00000000-0005-0000-0000-0000702B0000}"/>
    <cellStyle name="Note 2 2 4 9" xfId="20567" xr:uid="{00000000-0005-0000-0000-0000712B0000}"/>
    <cellStyle name="Note 2 2 5" xfId="591" xr:uid="{00000000-0005-0000-0000-0000722B0000}"/>
    <cellStyle name="Note 2 2 5 10" xfId="22011" xr:uid="{00000000-0005-0000-0000-0000732B0000}"/>
    <cellStyle name="Note 2 2 5 11" xfId="22296" xr:uid="{00000000-0005-0000-0000-0000742B0000}"/>
    <cellStyle name="Note 2 2 5 12" xfId="31414" xr:uid="{00000000-0005-0000-0000-0000752B0000}"/>
    <cellStyle name="Note 2 2 5 13" xfId="33315" xr:uid="{00000000-0005-0000-0000-0000762B0000}"/>
    <cellStyle name="Note 2 2 5 14" xfId="39686" xr:uid="{00000000-0005-0000-0000-0000772B0000}"/>
    <cellStyle name="Note 2 2 5 15" xfId="41136" xr:uid="{00000000-0005-0000-0000-0000782B0000}"/>
    <cellStyle name="Note 2 2 5 2" xfId="971" xr:uid="{00000000-0005-0000-0000-0000792B0000}"/>
    <cellStyle name="Note 2 2 5 2 10" xfId="28582" xr:uid="{00000000-0005-0000-0000-00007A2B0000}"/>
    <cellStyle name="Note 2 2 5 2 11" xfId="32270" xr:uid="{00000000-0005-0000-0000-00007B2B0000}"/>
    <cellStyle name="Note 2 2 5 2 12" xfId="36029" xr:uid="{00000000-0005-0000-0000-00007C2B0000}"/>
    <cellStyle name="Note 2 2 5 2 13" xfId="40034" xr:uid="{00000000-0005-0000-0000-00007D2B0000}"/>
    <cellStyle name="Note 2 2 5 2 14" xfId="43855" xr:uid="{00000000-0005-0000-0000-00007E2B0000}"/>
    <cellStyle name="Note 2 2 5 2 2" xfId="1700" xr:uid="{00000000-0005-0000-0000-00007F2B0000}"/>
    <cellStyle name="Note 2 2 5 2 2 10" xfId="32987" xr:uid="{00000000-0005-0000-0000-0000802B0000}"/>
    <cellStyle name="Note 2 2 5 2 2 11" xfId="36757" xr:uid="{00000000-0005-0000-0000-0000812B0000}"/>
    <cellStyle name="Note 2 2 5 2 2 12" xfId="40748" xr:uid="{00000000-0005-0000-0000-0000822B0000}"/>
    <cellStyle name="Note 2 2 5 2 2 13" xfId="44579" xr:uid="{00000000-0005-0000-0000-0000832B0000}"/>
    <cellStyle name="Note 2 2 5 2 2 2" xfId="3690" xr:uid="{00000000-0005-0000-0000-0000842B0000}"/>
    <cellStyle name="Note 2 2 5 2 2 2 10" xfId="38741" xr:uid="{00000000-0005-0000-0000-0000852B0000}"/>
    <cellStyle name="Note 2 2 5 2 2 2 11" xfId="42752" xr:uid="{00000000-0005-0000-0000-0000862B0000}"/>
    <cellStyle name="Note 2 2 5 2 2 2 12" xfId="46517" xr:uid="{00000000-0005-0000-0000-0000872B0000}"/>
    <cellStyle name="Note 2 2 5 2 2 2 2" xfId="7557" xr:uid="{00000000-0005-0000-0000-0000882B0000}"/>
    <cellStyle name="Note 2 2 5 2 2 2 3" xfId="11992" xr:uid="{00000000-0005-0000-0000-0000892B0000}"/>
    <cellStyle name="Note 2 2 5 2 2 2 4" xfId="15837" xr:uid="{00000000-0005-0000-0000-00008A2B0000}"/>
    <cellStyle name="Note 2 2 5 2 2 2 5" xfId="19684" xr:uid="{00000000-0005-0000-0000-00008B2B0000}"/>
    <cellStyle name="Note 2 2 5 2 2 2 6" xfId="23600" xr:uid="{00000000-0005-0000-0000-00008C2B0000}"/>
    <cellStyle name="Note 2 2 5 2 2 2 7" xfId="27434" xr:uid="{00000000-0005-0000-0000-00008D2B0000}"/>
    <cellStyle name="Note 2 2 5 2 2 2 8" xfId="31298" xr:uid="{00000000-0005-0000-0000-00008E2B0000}"/>
    <cellStyle name="Note 2 2 5 2 2 2 9" xfId="34955" xr:uid="{00000000-0005-0000-0000-00008F2B0000}"/>
    <cellStyle name="Note 2 2 5 2 2 3" xfId="5633" xr:uid="{00000000-0005-0000-0000-0000902B0000}"/>
    <cellStyle name="Note 2 2 5 2 2 4" xfId="9991" xr:uid="{00000000-0005-0000-0000-0000912B0000}"/>
    <cellStyle name="Note 2 2 5 2 2 5" xfId="13837" xr:uid="{00000000-0005-0000-0000-0000922B0000}"/>
    <cellStyle name="Note 2 2 5 2 2 6" xfId="17666" xr:uid="{00000000-0005-0000-0000-0000932B0000}"/>
    <cellStyle name="Note 2 2 5 2 2 7" xfId="21605" xr:uid="{00000000-0005-0000-0000-0000942B0000}"/>
    <cellStyle name="Note 2 2 5 2 2 8" xfId="25418" xr:uid="{00000000-0005-0000-0000-0000952B0000}"/>
    <cellStyle name="Note 2 2 5 2 2 9" xfId="29305" xr:uid="{00000000-0005-0000-0000-0000962B0000}"/>
    <cellStyle name="Note 2 2 5 2 3" xfId="2961" xr:uid="{00000000-0005-0000-0000-0000972B0000}"/>
    <cellStyle name="Note 2 2 5 2 3 10" xfId="38013" xr:uid="{00000000-0005-0000-0000-0000982B0000}"/>
    <cellStyle name="Note 2 2 5 2 3 11" xfId="42025" xr:uid="{00000000-0005-0000-0000-0000992B0000}"/>
    <cellStyle name="Note 2 2 5 2 3 12" xfId="45800" xr:uid="{00000000-0005-0000-0000-00009A2B0000}"/>
    <cellStyle name="Note 2 2 5 2 3 2" xfId="6839" xr:uid="{00000000-0005-0000-0000-00009B2B0000}"/>
    <cellStyle name="Note 2 2 5 2 3 3" xfId="11267" xr:uid="{00000000-0005-0000-0000-00009C2B0000}"/>
    <cellStyle name="Note 2 2 5 2 3 4" xfId="15112" xr:uid="{00000000-0005-0000-0000-00009D2B0000}"/>
    <cellStyle name="Note 2 2 5 2 3 5" xfId="18955" xr:uid="{00000000-0005-0000-0000-00009E2B0000}"/>
    <cellStyle name="Note 2 2 5 2 3 6" xfId="22879" xr:uid="{00000000-0005-0000-0000-00009F2B0000}"/>
    <cellStyle name="Note 2 2 5 2 3 7" xfId="26706" xr:uid="{00000000-0005-0000-0000-0000A02B0000}"/>
    <cellStyle name="Note 2 2 5 2 3 8" xfId="30580" xr:uid="{00000000-0005-0000-0000-0000A12B0000}"/>
    <cellStyle name="Note 2 2 5 2 3 9" xfId="34238" xr:uid="{00000000-0005-0000-0000-0000A22B0000}"/>
    <cellStyle name="Note 2 2 5 2 4" xfId="4915" xr:uid="{00000000-0005-0000-0000-0000A32B0000}"/>
    <cellStyle name="Note 2 2 5 2 5" xfId="9270" xr:uid="{00000000-0005-0000-0000-0000A42B0000}"/>
    <cellStyle name="Note 2 2 5 2 6" xfId="13111" xr:uid="{00000000-0005-0000-0000-0000A52B0000}"/>
    <cellStyle name="Note 2 2 5 2 7" xfId="16937" xr:uid="{00000000-0005-0000-0000-0000A62B0000}"/>
    <cellStyle name="Note 2 2 5 2 8" xfId="20879" xr:uid="{00000000-0005-0000-0000-0000A72B0000}"/>
    <cellStyle name="Note 2 2 5 2 9" xfId="24694" xr:uid="{00000000-0005-0000-0000-0000A82B0000}"/>
    <cellStyle name="Note 2 2 5 3" xfId="1347" xr:uid="{00000000-0005-0000-0000-0000A92B0000}"/>
    <cellStyle name="Note 2 2 5 3 10" xfId="32634" xr:uid="{00000000-0005-0000-0000-0000AA2B0000}"/>
    <cellStyle name="Note 2 2 5 3 11" xfId="36404" xr:uid="{00000000-0005-0000-0000-0000AB2B0000}"/>
    <cellStyle name="Note 2 2 5 3 12" xfId="40395" xr:uid="{00000000-0005-0000-0000-0000AC2B0000}"/>
    <cellStyle name="Note 2 2 5 3 13" xfId="44226" xr:uid="{00000000-0005-0000-0000-0000AD2B0000}"/>
    <cellStyle name="Note 2 2 5 3 2" xfId="3337" xr:uid="{00000000-0005-0000-0000-0000AE2B0000}"/>
    <cellStyle name="Note 2 2 5 3 2 10" xfId="38388" xr:uid="{00000000-0005-0000-0000-0000AF2B0000}"/>
    <cellStyle name="Note 2 2 5 3 2 11" xfId="42399" xr:uid="{00000000-0005-0000-0000-0000B02B0000}"/>
    <cellStyle name="Note 2 2 5 3 2 12" xfId="46164" xr:uid="{00000000-0005-0000-0000-0000B12B0000}"/>
    <cellStyle name="Note 2 2 5 3 2 2" xfId="7204" xr:uid="{00000000-0005-0000-0000-0000B22B0000}"/>
    <cellStyle name="Note 2 2 5 3 2 3" xfId="11639" xr:uid="{00000000-0005-0000-0000-0000B32B0000}"/>
    <cellStyle name="Note 2 2 5 3 2 4" xfId="15484" xr:uid="{00000000-0005-0000-0000-0000B42B0000}"/>
    <cellStyle name="Note 2 2 5 3 2 5" xfId="19331" xr:uid="{00000000-0005-0000-0000-0000B52B0000}"/>
    <cellStyle name="Note 2 2 5 3 2 6" xfId="23247" xr:uid="{00000000-0005-0000-0000-0000B62B0000}"/>
    <cellStyle name="Note 2 2 5 3 2 7" xfId="27081" xr:uid="{00000000-0005-0000-0000-0000B72B0000}"/>
    <cellStyle name="Note 2 2 5 3 2 8" xfId="30949" xr:uid="{00000000-0005-0000-0000-0000B82B0000}"/>
    <cellStyle name="Note 2 2 5 3 2 9" xfId="34602" xr:uid="{00000000-0005-0000-0000-0000B92B0000}"/>
    <cellStyle name="Note 2 2 5 3 3" xfId="5280" xr:uid="{00000000-0005-0000-0000-0000BA2B0000}"/>
    <cellStyle name="Note 2 2 5 3 4" xfId="9638" xr:uid="{00000000-0005-0000-0000-0000BB2B0000}"/>
    <cellStyle name="Note 2 2 5 3 5" xfId="13484" xr:uid="{00000000-0005-0000-0000-0000BC2B0000}"/>
    <cellStyle name="Note 2 2 5 3 6" xfId="17313" xr:uid="{00000000-0005-0000-0000-0000BD2B0000}"/>
    <cellStyle name="Note 2 2 5 3 7" xfId="21252" xr:uid="{00000000-0005-0000-0000-0000BE2B0000}"/>
    <cellStyle name="Note 2 2 5 3 8" xfId="25065" xr:uid="{00000000-0005-0000-0000-0000BF2B0000}"/>
    <cellStyle name="Note 2 2 5 3 9" xfId="28952" xr:uid="{00000000-0005-0000-0000-0000C02B0000}"/>
    <cellStyle name="Note 2 2 5 4" xfId="2594" xr:uid="{00000000-0005-0000-0000-0000C12B0000}"/>
    <cellStyle name="Note 2 2 5 4 10" xfId="37646" xr:uid="{00000000-0005-0000-0000-0000C22B0000}"/>
    <cellStyle name="Note 2 2 5 4 11" xfId="41660" xr:uid="{00000000-0005-0000-0000-0000C32B0000}"/>
    <cellStyle name="Note 2 2 5 4 12" xfId="45447" xr:uid="{00000000-0005-0000-0000-0000C42B0000}"/>
    <cellStyle name="Note 2 2 5 4 2" xfId="6484" xr:uid="{00000000-0005-0000-0000-0000C52B0000}"/>
    <cellStyle name="Note 2 2 5 4 3" xfId="10908" xr:uid="{00000000-0005-0000-0000-0000C62B0000}"/>
    <cellStyle name="Note 2 2 5 4 4" xfId="14752" xr:uid="{00000000-0005-0000-0000-0000C72B0000}"/>
    <cellStyle name="Note 2 2 5 4 5" xfId="18588" xr:uid="{00000000-0005-0000-0000-0000C82B0000}"/>
    <cellStyle name="Note 2 2 5 4 6" xfId="22521" xr:uid="{00000000-0005-0000-0000-0000C92B0000}"/>
    <cellStyle name="Note 2 2 5 4 7" xfId="26339" xr:uid="{00000000-0005-0000-0000-0000CA2B0000}"/>
    <cellStyle name="Note 2 2 5 4 8" xfId="30218" xr:uid="{00000000-0005-0000-0000-0000CB2B0000}"/>
    <cellStyle name="Note 2 2 5 4 9" xfId="33885" xr:uid="{00000000-0005-0000-0000-0000CC2B0000}"/>
    <cellStyle name="Note 2 2 5 5" xfId="4560" xr:uid="{00000000-0005-0000-0000-0000CD2B0000}"/>
    <cellStyle name="Note 2 2 5 6" xfId="8900" xr:uid="{00000000-0005-0000-0000-0000CE2B0000}"/>
    <cellStyle name="Note 2 2 5 7" xfId="8680" xr:uid="{00000000-0005-0000-0000-0000CF2B0000}"/>
    <cellStyle name="Note 2 2 5 8" xfId="8487" xr:uid="{00000000-0005-0000-0000-0000D02B0000}"/>
    <cellStyle name="Note 2 2 5 9" xfId="20504" xr:uid="{00000000-0005-0000-0000-0000D12B0000}"/>
    <cellStyle name="Note 2 2 6" xfId="771" xr:uid="{00000000-0005-0000-0000-0000D22B0000}"/>
    <cellStyle name="Note 2 2 6 10" xfId="24500" xr:uid="{00000000-0005-0000-0000-0000D32B0000}"/>
    <cellStyle name="Note 2 2 6 11" xfId="28390" xr:uid="{00000000-0005-0000-0000-0000D42B0000}"/>
    <cellStyle name="Note 2 2 6 12" xfId="29705" xr:uid="{00000000-0005-0000-0000-0000D52B0000}"/>
    <cellStyle name="Note 2 2 6 13" xfId="35835" xr:uid="{00000000-0005-0000-0000-0000D62B0000}"/>
    <cellStyle name="Note 2 2 6 14" xfId="39854" xr:uid="{00000000-0005-0000-0000-0000D72B0000}"/>
    <cellStyle name="Note 2 2 6 15" xfId="43661" xr:uid="{00000000-0005-0000-0000-0000D82B0000}"/>
    <cellStyle name="Note 2 2 6 2" xfId="1141" xr:uid="{00000000-0005-0000-0000-0000D92B0000}"/>
    <cellStyle name="Note 2 2 6 2 10" xfId="28750" xr:uid="{00000000-0005-0000-0000-0000DA2B0000}"/>
    <cellStyle name="Note 2 2 6 2 11" xfId="32438" xr:uid="{00000000-0005-0000-0000-0000DB2B0000}"/>
    <cellStyle name="Note 2 2 6 2 12" xfId="36199" xr:uid="{00000000-0005-0000-0000-0000DC2B0000}"/>
    <cellStyle name="Note 2 2 6 2 13" xfId="40200" xr:uid="{00000000-0005-0000-0000-0000DD2B0000}"/>
    <cellStyle name="Note 2 2 6 2 14" xfId="44025" xr:uid="{00000000-0005-0000-0000-0000DE2B0000}"/>
    <cellStyle name="Note 2 2 6 2 2" xfId="1868" xr:uid="{00000000-0005-0000-0000-0000DF2B0000}"/>
    <cellStyle name="Note 2 2 6 2 2 10" xfId="33155" xr:uid="{00000000-0005-0000-0000-0000E02B0000}"/>
    <cellStyle name="Note 2 2 6 2 2 11" xfId="36925" xr:uid="{00000000-0005-0000-0000-0000E12B0000}"/>
    <cellStyle name="Note 2 2 6 2 2 12" xfId="40916" xr:uid="{00000000-0005-0000-0000-0000E22B0000}"/>
    <cellStyle name="Note 2 2 6 2 2 13" xfId="44747" xr:uid="{00000000-0005-0000-0000-0000E32B0000}"/>
    <cellStyle name="Note 2 2 6 2 2 2" xfId="3858" xr:uid="{00000000-0005-0000-0000-0000E42B0000}"/>
    <cellStyle name="Note 2 2 6 2 2 2 10" xfId="38909" xr:uid="{00000000-0005-0000-0000-0000E52B0000}"/>
    <cellStyle name="Note 2 2 6 2 2 2 11" xfId="42920" xr:uid="{00000000-0005-0000-0000-0000E62B0000}"/>
    <cellStyle name="Note 2 2 6 2 2 2 12" xfId="46685" xr:uid="{00000000-0005-0000-0000-0000E72B0000}"/>
    <cellStyle name="Note 2 2 6 2 2 2 2" xfId="7725" xr:uid="{00000000-0005-0000-0000-0000E82B0000}"/>
    <cellStyle name="Note 2 2 6 2 2 2 3" xfId="12160" xr:uid="{00000000-0005-0000-0000-0000E92B0000}"/>
    <cellStyle name="Note 2 2 6 2 2 2 4" xfId="16005" xr:uid="{00000000-0005-0000-0000-0000EA2B0000}"/>
    <cellStyle name="Note 2 2 6 2 2 2 5" xfId="19852" xr:uid="{00000000-0005-0000-0000-0000EB2B0000}"/>
    <cellStyle name="Note 2 2 6 2 2 2 6" xfId="23768" xr:uid="{00000000-0005-0000-0000-0000EC2B0000}"/>
    <cellStyle name="Note 2 2 6 2 2 2 7" xfId="27602" xr:uid="{00000000-0005-0000-0000-0000ED2B0000}"/>
    <cellStyle name="Note 2 2 6 2 2 2 8" xfId="31465" xr:uid="{00000000-0005-0000-0000-0000EE2B0000}"/>
    <cellStyle name="Note 2 2 6 2 2 2 9" xfId="35123" xr:uid="{00000000-0005-0000-0000-0000EF2B0000}"/>
    <cellStyle name="Note 2 2 6 2 2 3" xfId="5801" xr:uid="{00000000-0005-0000-0000-0000F02B0000}"/>
    <cellStyle name="Note 2 2 6 2 2 4" xfId="10159" xr:uid="{00000000-0005-0000-0000-0000F12B0000}"/>
    <cellStyle name="Note 2 2 6 2 2 5" xfId="14005" xr:uid="{00000000-0005-0000-0000-0000F22B0000}"/>
    <cellStyle name="Note 2 2 6 2 2 6" xfId="17834" xr:uid="{00000000-0005-0000-0000-0000F32B0000}"/>
    <cellStyle name="Note 2 2 6 2 2 7" xfId="21773" xr:uid="{00000000-0005-0000-0000-0000F42B0000}"/>
    <cellStyle name="Note 2 2 6 2 2 8" xfId="25586" xr:uid="{00000000-0005-0000-0000-0000F52B0000}"/>
    <cellStyle name="Note 2 2 6 2 2 9" xfId="29473" xr:uid="{00000000-0005-0000-0000-0000F62B0000}"/>
    <cellStyle name="Note 2 2 6 2 3" xfId="3131" xr:uid="{00000000-0005-0000-0000-0000F72B0000}"/>
    <cellStyle name="Note 2 2 6 2 3 10" xfId="38183" xr:uid="{00000000-0005-0000-0000-0000F82B0000}"/>
    <cellStyle name="Note 2 2 6 2 3 11" xfId="42195" xr:uid="{00000000-0005-0000-0000-0000F92B0000}"/>
    <cellStyle name="Note 2 2 6 2 3 12" xfId="45968" xr:uid="{00000000-0005-0000-0000-0000FA2B0000}"/>
    <cellStyle name="Note 2 2 6 2 3 2" xfId="7007" xr:uid="{00000000-0005-0000-0000-0000FB2B0000}"/>
    <cellStyle name="Note 2 2 6 2 3 3" xfId="11436" xr:uid="{00000000-0005-0000-0000-0000FC2B0000}"/>
    <cellStyle name="Note 2 2 6 2 3 4" xfId="15280" xr:uid="{00000000-0005-0000-0000-0000FD2B0000}"/>
    <cellStyle name="Note 2 2 6 2 3 5" xfId="19125" xr:uid="{00000000-0005-0000-0000-0000FE2B0000}"/>
    <cellStyle name="Note 2 2 6 2 3 6" xfId="23047" xr:uid="{00000000-0005-0000-0000-0000FF2B0000}"/>
    <cellStyle name="Note 2 2 6 2 3 7" xfId="26876" xr:uid="{00000000-0005-0000-0000-0000002C0000}"/>
    <cellStyle name="Note 2 2 6 2 3 8" xfId="30748" xr:uid="{00000000-0005-0000-0000-0000012C0000}"/>
    <cellStyle name="Note 2 2 6 2 3 9" xfId="34406" xr:uid="{00000000-0005-0000-0000-0000022C0000}"/>
    <cellStyle name="Note 2 2 6 2 4" xfId="5083" xr:uid="{00000000-0005-0000-0000-0000032C0000}"/>
    <cellStyle name="Note 2 2 6 2 5" xfId="9439" xr:uid="{00000000-0005-0000-0000-0000042C0000}"/>
    <cellStyle name="Note 2 2 6 2 6" xfId="13279" xr:uid="{00000000-0005-0000-0000-0000052C0000}"/>
    <cellStyle name="Note 2 2 6 2 7" xfId="17107" xr:uid="{00000000-0005-0000-0000-0000062C0000}"/>
    <cellStyle name="Note 2 2 6 2 8" xfId="21049" xr:uid="{00000000-0005-0000-0000-0000072C0000}"/>
    <cellStyle name="Note 2 2 6 2 9" xfId="24863" xr:uid="{00000000-0005-0000-0000-0000082C0000}"/>
    <cellStyle name="Note 2 2 6 3" xfId="1515" xr:uid="{00000000-0005-0000-0000-0000092C0000}"/>
    <cellStyle name="Note 2 2 6 3 10" xfId="32802" xr:uid="{00000000-0005-0000-0000-00000A2C0000}"/>
    <cellStyle name="Note 2 2 6 3 11" xfId="36572" xr:uid="{00000000-0005-0000-0000-00000B2C0000}"/>
    <cellStyle name="Note 2 2 6 3 12" xfId="40563" xr:uid="{00000000-0005-0000-0000-00000C2C0000}"/>
    <cellStyle name="Note 2 2 6 3 13" xfId="44394" xr:uid="{00000000-0005-0000-0000-00000D2C0000}"/>
    <cellStyle name="Note 2 2 6 3 2" xfId="3505" xr:uid="{00000000-0005-0000-0000-00000E2C0000}"/>
    <cellStyle name="Note 2 2 6 3 2 10" xfId="38556" xr:uid="{00000000-0005-0000-0000-00000F2C0000}"/>
    <cellStyle name="Note 2 2 6 3 2 11" xfId="42567" xr:uid="{00000000-0005-0000-0000-0000102C0000}"/>
    <cellStyle name="Note 2 2 6 3 2 12" xfId="46332" xr:uid="{00000000-0005-0000-0000-0000112C0000}"/>
    <cellStyle name="Note 2 2 6 3 2 2" xfId="7372" xr:uid="{00000000-0005-0000-0000-0000122C0000}"/>
    <cellStyle name="Note 2 2 6 3 2 3" xfId="11807" xr:uid="{00000000-0005-0000-0000-0000132C0000}"/>
    <cellStyle name="Note 2 2 6 3 2 4" xfId="15652" xr:uid="{00000000-0005-0000-0000-0000142C0000}"/>
    <cellStyle name="Note 2 2 6 3 2 5" xfId="19499" xr:uid="{00000000-0005-0000-0000-0000152C0000}"/>
    <cellStyle name="Note 2 2 6 3 2 6" xfId="23415" xr:uid="{00000000-0005-0000-0000-0000162C0000}"/>
    <cellStyle name="Note 2 2 6 3 2 7" xfId="27249" xr:uid="{00000000-0005-0000-0000-0000172C0000}"/>
    <cellStyle name="Note 2 2 6 3 2 8" xfId="31116" xr:uid="{00000000-0005-0000-0000-0000182C0000}"/>
    <cellStyle name="Note 2 2 6 3 2 9" xfId="34770" xr:uid="{00000000-0005-0000-0000-0000192C0000}"/>
    <cellStyle name="Note 2 2 6 3 3" xfId="5448" xr:uid="{00000000-0005-0000-0000-00001A2C0000}"/>
    <cellStyle name="Note 2 2 6 3 4" xfId="9806" xr:uid="{00000000-0005-0000-0000-00001B2C0000}"/>
    <cellStyle name="Note 2 2 6 3 5" xfId="13652" xr:uid="{00000000-0005-0000-0000-00001C2C0000}"/>
    <cellStyle name="Note 2 2 6 3 6" xfId="17481" xr:uid="{00000000-0005-0000-0000-00001D2C0000}"/>
    <cellStyle name="Note 2 2 6 3 7" xfId="21420" xr:uid="{00000000-0005-0000-0000-00001E2C0000}"/>
    <cellStyle name="Note 2 2 6 3 8" xfId="25233" xr:uid="{00000000-0005-0000-0000-00001F2C0000}"/>
    <cellStyle name="Note 2 2 6 3 9" xfId="29120" xr:uid="{00000000-0005-0000-0000-0000202C0000}"/>
    <cellStyle name="Note 2 2 6 4" xfId="2767" xr:uid="{00000000-0005-0000-0000-0000212C0000}"/>
    <cellStyle name="Note 2 2 6 4 10" xfId="37819" xr:uid="{00000000-0005-0000-0000-0000222C0000}"/>
    <cellStyle name="Note 2 2 6 4 11" xfId="41832" xr:uid="{00000000-0005-0000-0000-0000232C0000}"/>
    <cellStyle name="Note 2 2 6 4 12" xfId="45615" xr:uid="{00000000-0005-0000-0000-0000242C0000}"/>
    <cellStyle name="Note 2 2 6 4 2" xfId="6653" xr:uid="{00000000-0005-0000-0000-0000252C0000}"/>
    <cellStyle name="Note 2 2 6 4 3" xfId="11077" xr:uid="{00000000-0005-0000-0000-0000262C0000}"/>
    <cellStyle name="Note 2 2 6 4 4" xfId="14922" xr:uid="{00000000-0005-0000-0000-0000272C0000}"/>
    <cellStyle name="Note 2 2 6 4 5" xfId="18761" xr:uid="{00000000-0005-0000-0000-0000282C0000}"/>
    <cellStyle name="Note 2 2 6 4 6" xfId="22691" xr:uid="{00000000-0005-0000-0000-0000292C0000}"/>
    <cellStyle name="Note 2 2 6 4 7" xfId="26512" xr:uid="{00000000-0005-0000-0000-00002A2C0000}"/>
    <cellStyle name="Note 2 2 6 4 8" xfId="30390" xr:uid="{00000000-0005-0000-0000-00002B2C0000}"/>
    <cellStyle name="Note 2 2 6 4 9" xfId="34053" xr:uid="{00000000-0005-0000-0000-00002C2C0000}"/>
    <cellStyle name="Note 2 2 6 5" xfId="4729" xr:uid="{00000000-0005-0000-0000-00002D2C0000}"/>
    <cellStyle name="Note 2 2 6 6" xfId="9076" xr:uid="{00000000-0005-0000-0000-00002E2C0000}"/>
    <cellStyle name="Note 2 2 6 7" xfId="12915" xr:uid="{00000000-0005-0000-0000-00002F2C0000}"/>
    <cellStyle name="Note 2 2 6 8" xfId="16741" xr:uid="{00000000-0005-0000-0000-0000302C0000}"/>
    <cellStyle name="Note 2 2 6 9" xfId="20680" xr:uid="{00000000-0005-0000-0000-0000312C0000}"/>
    <cellStyle name="Note 2 2 7" xfId="850" xr:uid="{00000000-0005-0000-0000-0000322C0000}"/>
    <cellStyle name="Note 2 2 7 10" xfId="24574" xr:uid="{00000000-0005-0000-0000-0000332C0000}"/>
    <cellStyle name="Note 2 2 7 11" xfId="28465" xr:uid="{00000000-0005-0000-0000-0000342C0000}"/>
    <cellStyle name="Note 2 2 7 12" xfId="32151" xr:uid="{00000000-0005-0000-0000-0000352C0000}"/>
    <cellStyle name="Note 2 2 7 13" xfId="35908" xr:uid="{00000000-0005-0000-0000-0000362C0000}"/>
    <cellStyle name="Note 2 2 7 14" xfId="39919" xr:uid="{00000000-0005-0000-0000-0000372C0000}"/>
    <cellStyle name="Note 2 2 7 15" xfId="43734" xr:uid="{00000000-0005-0000-0000-0000382C0000}"/>
    <cellStyle name="Note 2 2 7 2" xfId="1189" xr:uid="{00000000-0005-0000-0000-0000392C0000}"/>
    <cellStyle name="Note 2 2 7 2 10" xfId="28798" xr:uid="{00000000-0005-0000-0000-00003A2C0000}"/>
    <cellStyle name="Note 2 2 7 2 11" xfId="32481" xr:uid="{00000000-0005-0000-0000-00003B2C0000}"/>
    <cellStyle name="Note 2 2 7 2 12" xfId="36247" xr:uid="{00000000-0005-0000-0000-00003C2C0000}"/>
    <cellStyle name="Note 2 2 7 2 13" xfId="40241" xr:uid="{00000000-0005-0000-0000-00003D2C0000}"/>
    <cellStyle name="Note 2 2 7 2 14" xfId="44073" xr:uid="{00000000-0005-0000-0000-00003E2C0000}"/>
    <cellStyle name="Note 2 2 7 2 2" xfId="1911" xr:uid="{00000000-0005-0000-0000-00003F2C0000}"/>
    <cellStyle name="Note 2 2 7 2 2 10" xfId="33198" xr:uid="{00000000-0005-0000-0000-0000402C0000}"/>
    <cellStyle name="Note 2 2 7 2 2 11" xfId="36968" xr:uid="{00000000-0005-0000-0000-0000412C0000}"/>
    <cellStyle name="Note 2 2 7 2 2 12" xfId="40959" xr:uid="{00000000-0005-0000-0000-0000422C0000}"/>
    <cellStyle name="Note 2 2 7 2 2 13" xfId="44790" xr:uid="{00000000-0005-0000-0000-0000432C0000}"/>
    <cellStyle name="Note 2 2 7 2 2 2" xfId="3901" xr:uid="{00000000-0005-0000-0000-0000442C0000}"/>
    <cellStyle name="Note 2 2 7 2 2 2 10" xfId="38952" xr:uid="{00000000-0005-0000-0000-0000452C0000}"/>
    <cellStyle name="Note 2 2 7 2 2 2 11" xfId="42963" xr:uid="{00000000-0005-0000-0000-0000462C0000}"/>
    <cellStyle name="Note 2 2 7 2 2 2 12" xfId="46728" xr:uid="{00000000-0005-0000-0000-0000472C0000}"/>
    <cellStyle name="Note 2 2 7 2 2 2 2" xfId="7768" xr:uid="{00000000-0005-0000-0000-0000482C0000}"/>
    <cellStyle name="Note 2 2 7 2 2 2 3" xfId="12203" xr:uid="{00000000-0005-0000-0000-0000492C0000}"/>
    <cellStyle name="Note 2 2 7 2 2 2 4" xfId="16048" xr:uid="{00000000-0005-0000-0000-00004A2C0000}"/>
    <cellStyle name="Note 2 2 7 2 2 2 5" xfId="19895" xr:uid="{00000000-0005-0000-0000-00004B2C0000}"/>
    <cellStyle name="Note 2 2 7 2 2 2 6" xfId="23811" xr:uid="{00000000-0005-0000-0000-00004C2C0000}"/>
    <cellStyle name="Note 2 2 7 2 2 2 7" xfId="27645" xr:uid="{00000000-0005-0000-0000-00004D2C0000}"/>
    <cellStyle name="Note 2 2 7 2 2 2 8" xfId="31507" xr:uid="{00000000-0005-0000-0000-00004E2C0000}"/>
    <cellStyle name="Note 2 2 7 2 2 2 9" xfId="35166" xr:uid="{00000000-0005-0000-0000-00004F2C0000}"/>
    <cellStyle name="Note 2 2 7 2 2 3" xfId="5844" xr:uid="{00000000-0005-0000-0000-0000502C0000}"/>
    <cellStyle name="Note 2 2 7 2 2 4" xfId="10202" xr:uid="{00000000-0005-0000-0000-0000512C0000}"/>
    <cellStyle name="Note 2 2 7 2 2 5" xfId="14048" xr:uid="{00000000-0005-0000-0000-0000522C0000}"/>
    <cellStyle name="Note 2 2 7 2 2 6" xfId="17877" xr:uid="{00000000-0005-0000-0000-0000532C0000}"/>
    <cellStyle name="Note 2 2 7 2 2 7" xfId="21816" xr:uid="{00000000-0005-0000-0000-0000542C0000}"/>
    <cellStyle name="Note 2 2 7 2 2 8" xfId="25629" xr:uid="{00000000-0005-0000-0000-0000552C0000}"/>
    <cellStyle name="Note 2 2 7 2 2 9" xfId="29516" xr:uid="{00000000-0005-0000-0000-0000562C0000}"/>
    <cellStyle name="Note 2 2 7 2 3" xfId="3179" xr:uid="{00000000-0005-0000-0000-0000572C0000}"/>
    <cellStyle name="Note 2 2 7 2 3 10" xfId="38231" xr:uid="{00000000-0005-0000-0000-0000582C0000}"/>
    <cellStyle name="Note 2 2 7 2 3 11" xfId="42242" xr:uid="{00000000-0005-0000-0000-0000592C0000}"/>
    <cellStyle name="Note 2 2 7 2 3 12" xfId="46011" xr:uid="{00000000-0005-0000-0000-00005A2C0000}"/>
    <cellStyle name="Note 2 2 7 2 3 2" xfId="7051" xr:uid="{00000000-0005-0000-0000-00005B2C0000}"/>
    <cellStyle name="Note 2 2 7 2 3 3" xfId="11483" xr:uid="{00000000-0005-0000-0000-00005C2C0000}"/>
    <cellStyle name="Note 2 2 7 2 3 4" xfId="15327" xr:uid="{00000000-0005-0000-0000-00005D2C0000}"/>
    <cellStyle name="Note 2 2 7 2 3 5" xfId="19173" xr:uid="{00000000-0005-0000-0000-00005E2C0000}"/>
    <cellStyle name="Note 2 2 7 2 3 6" xfId="23092" xr:uid="{00000000-0005-0000-0000-00005F2C0000}"/>
    <cellStyle name="Note 2 2 7 2 3 7" xfId="26924" xr:uid="{00000000-0005-0000-0000-0000602C0000}"/>
    <cellStyle name="Note 2 2 7 2 3 8" xfId="30795" xr:uid="{00000000-0005-0000-0000-0000612C0000}"/>
    <cellStyle name="Note 2 2 7 2 3 9" xfId="34449" xr:uid="{00000000-0005-0000-0000-0000622C0000}"/>
    <cellStyle name="Note 2 2 7 2 4" xfId="5127" xr:uid="{00000000-0005-0000-0000-0000632C0000}"/>
    <cellStyle name="Note 2 2 7 2 5" xfId="9483" xr:uid="{00000000-0005-0000-0000-0000642C0000}"/>
    <cellStyle name="Note 2 2 7 2 6" xfId="13327" xr:uid="{00000000-0005-0000-0000-0000652C0000}"/>
    <cellStyle name="Note 2 2 7 2 7" xfId="17155" xr:uid="{00000000-0005-0000-0000-0000662C0000}"/>
    <cellStyle name="Note 2 2 7 2 8" xfId="21097" xr:uid="{00000000-0005-0000-0000-0000672C0000}"/>
    <cellStyle name="Note 2 2 7 2 9" xfId="24908" xr:uid="{00000000-0005-0000-0000-0000682C0000}"/>
    <cellStyle name="Note 2 2 7 3" xfId="1581" xr:uid="{00000000-0005-0000-0000-0000692C0000}"/>
    <cellStyle name="Note 2 2 7 3 10" xfId="32868" xr:uid="{00000000-0005-0000-0000-00006A2C0000}"/>
    <cellStyle name="Note 2 2 7 3 11" xfId="36638" xr:uid="{00000000-0005-0000-0000-00006B2C0000}"/>
    <cellStyle name="Note 2 2 7 3 12" xfId="40629" xr:uid="{00000000-0005-0000-0000-00006C2C0000}"/>
    <cellStyle name="Note 2 2 7 3 13" xfId="44460" xr:uid="{00000000-0005-0000-0000-00006D2C0000}"/>
    <cellStyle name="Note 2 2 7 3 2" xfId="3571" xr:uid="{00000000-0005-0000-0000-00006E2C0000}"/>
    <cellStyle name="Note 2 2 7 3 2 10" xfId="38622" xr:uid="{00000000-0005-0000-0000-00006F2C0000}"/>
    <cellStyle name="Note 2 2 7 3 2 11" xfId="42633" xr:uid="{00000000-0005-0000-0000-0000702C0000}"/>
    <cellStyle name="Note 2 2 7 3 2 12" xfId="46398" xr:uid="{00000000-0005-0000-0000-0000712C0000}"/>
    <cellStyle name="Note 2 2 7 3 2 2" xfId="7438" xr:uid="{00000000-0005-0000-0000-0000722C0000}"/>
    <cellStyle name="Note 2 2 7 3 2 3" xfId="11873" xr:uid="{00000000-0005-0000-0000-0000732C0000}"/>
    <cellStyle name="Note 2 2 7 3 2 4" xfId="15718" xr:uid="{00000000-0005-0000-0000-0000742C0000}"/>
    <cellStyle name="Note 2 2 7 3 2 5" xfId="19565" xr:uid="{00000000-0005-0000-0000-0000752C0000}"/>
    <cellStyle name="Note 2 2 7 3 2 6" xfId="23481" xr:uid="{00000000-0005-0000-0000-0000762C0000}"/>
    <cellStyle name="Note 2 2 7 3 2 7" xfId="27315" xr:uid="{00000000-0005-0000-0000-0000772C0000}"/>
    <cellStyle name="Note 2 2 7 3 2 8" xfId="31181" xr:uid="{00000000-0005-0000-0000-0000782C0000}"/>
    <cellStyle name="Note 2 2 7 3 2 9" xfId="34836" xr:uid="{00000000-0005-0000-0000-0000792C0000}"/>
    <cellStyle name="Note 2 2 7 3 3" xfId="5514" xr:uid="{00000000-0005-0000-0000-00007A2C0000}"/>
    <cellStyle name="Note 2 2 7 3 4" xfId="9872" xr:uid="{00000000-0005-0000-0000-00007B2C0000}"/>
    <cellStyle name="Note 2 2 7 3 5" xfId="13718" xr:uid="{00000000-0005-0000-0000-00007C2C0000}"/>
    <cellStyle name="Note 2 2 7 3 6" xfId="17547" xr:uid="{00000000-0005-0000-0000-00007D2C0000}"/>
    <cellStyle name="Note 2 2 7 3 7" xfId="21486" xr:uid="{00000000-0005-0000-0000-00007E2C0000}"/>
    <cellStyle name="Note 2 2 7 3 8" xfId="25299" xr:uid="{00000000-0005-0000-0000-00007F2C0000}"/>
    <cellStyle name="Note 2 2 7 3 9" xfId="29186" xr:uid="{00000000-0005-0000-0000-0000802C0000}"/>
    <cellStyle name="Note 2 2 7 4" xfId="2840" xr:uid="{00000000-0005-0000-0000-0000812C0000}"/>
    <cellStyle name="Note 2 2 7 4 10" xfId="37892" xr:uid="{00000000-0005-0000-0000-0000822C0000}"/>
    <cellStyle name="Note 2 2 7 4 11" xfId="41904" xr:uid="{00000000-0005-0000-0000-0000832C0000}"/>
    <cellStyle name="Note 2 2 7 4 12" xfId="45681" xr:uid="{00000000-0005-0000-0000-0000842C0000}"/>
    <cellStyle name="Note 2 2 7 4 2" xfId="6720" xr:uid="{00000000-0005-0000-0000-0000852C0000}"/>
    <cellStyle name="Note 2 2 7 4 3" xfId="11147" xr:uid="{00000000-0005-0000-0000-0000862C0000}"/>
    <cellStyle name="Note 2 2 7 4 4" xfId="14992" xr:uid="{00000000-0005-0000-0000-0000872C0000}"/>
    <cellStyle name="Note 2 2 7 4 5" xfId="18834" xr:uid="{00000000-0005-0000-0000-0000882C0000}"/>
    <cellStyle name="Note 2 2 7 4 6" xfId="22760" xr:uid="{00000000-0005-0000-0000-0000892C0000}"/>
    <cellStyle name="Note 2 2 7 4 7" xfId="26585" xr:uid="{00000000-0005-0000-0000-00008A2C0000}"/>
    <cellStyle name="Note 2 2 7 4 8" xfId="30462" xr:uid="{00000000-0005-0000-0000-00008B2C0000}"/>
    <cellStyle name="Note 2 2 7 4 9" xfId="34119" xr:uid="{00000000-0005-0000-0000-00008C2C0000}"/>
    <cellStyle name="Note 2 2 7 5" xfId="4796" xr:uid="{00000000-0005-0000-0000-00008D2C0000}"/>
    <cellStyle name="Note 2 2 7 6" xfId="9150" xr:uid="{00000000-0005-0000-0000-00008E2C0000}"/>
    <cellStyle name="Note 2 2 7 7" xfId="12991" xr:uid="{00000000-0005-0000-0000-00008F2C0000}"/>
    <cellStyle name="Note 2 2 7 8" xfId="16816" xr:uid="{00000000-0005-0000-0000-0000902C0000}"/>
    <cellStyle name="Note 2 2 7 9" xfId="20758" xr:uid="{00000000-0005-0000-0000-0000912C0000}"/>
    <cellStyle name="Note 2 2 8" xfId="835" xr:uid="{00000000-0005-0000-0000-0000922C0000}"/>
    <cellStyle name="Note 2 2 8 10" xfId="28450" xr:uid="{00000000-0005-0000-0000-0000932C0000}"/>
    <cellStyle name="Note 2 2 8 11" xfId="32136" xr:uid="{00000000-0005-0000-0000-0000942C0000}"/>
    <cellStyle name="Note 2 2 8 12" xfId="35893" xr:uid="{00000000-0005-0000-0000-0000952C0000}"/>
    <cellStyle name="Note 2 2 8 13" xfId="39904" xr:uid="{00000000-0005-0000-0000-0000962C0000}"/>
    <cellStyle name="Note 2 2 8 14" xfId="43719" xr:uid="{00000000-0005-0000-0000-0000972C0000}"/>
    <cellStyle name="Note 2 2 8 2" xfId="1566" xr:uid="{00000000-0005-0000-0000-0000982C0000}"/>
    <cellStyle name="Note 2 2 8 2 10" xfId="32853" xr:uid="{00000000-0005-0000-0000-0000992C0000}"/>
    <cellStyle name="Note 2 2 8 2 11" xfId="36623" xr:uid="{00000000-0005-0000-0000-00009A2C0000}"/>
    <cellStyle name="Note 2 2 8 2 12" xfId="40614" xr:uid="{00000000-0005-0000-0000-00009B2C0000}"/>
    <cellStyle name="Note 2 2 8 2 13" xfId="44445" xr:uid="{00000000-0005-0000-0000-00009C2C0000}"/>
    <cellStyle name="Note 2 2 8 2 2" xfId="3556" xr:uid="{00000000-0005-0000-0000-00009D2C0000}"/>
    <cellStyle name="Note 2 2 8 2 2 10" xfId="38607" xr:uid="{00000000-0005-0000-0000-00009E2C0000}"/>
    <cellStyle name="Note 2 2 8 2 2 11" xfId="42618" xr:uid="{00000000-0005-0000-0000-00009F2C0000}"/>
    <cellStyle name="Note 2 2 8 2 2 12" xfId="46383" xr:uid="{00000000-0005-0000-0000-0000A02C0000}"/>
    <cellStyle name="Note 2 2 8 2 2 2" xfId="7423" xr:uid="{00000000-0005-0000-0000-0000A12C0000}"/>
    <cellStyle name="Note 2 2 8 2 2 3" xfId="11858" xr:uid="{00000000-0005-0000-0000-0000A22C0000}"/>
    <cellStyle name="Note 2 2 8 2 2 4" xfId="15703" xr:uid="{00000000-0005-0000-0000-0000A32C0000}"/>
    <cellStyle name="Note 2 2 8 2 2 5" xfId="19550" xr:uid="{00000000-0005-0000-0000-0000A42C0000}"/>
    <cellStyle name="Note 2 2 8 2 2 6" xfId="23466" xr:uid="{00000000-0005-0000-0000-0000A52C0000}"/>
    <cellStyle name="Note 2 2 8 2 2 7" xfId="27300" xr:uid="{00000000-0005-0000-0000-0000A62C0000}"/>
    <cellStyle name="Note 2 2 8 2 2 8" xfId="31166" xr:uid="{00000000-0005-0000-0000-0000A72C0000}"/>
    <cellStyle name="Note 2 2 8 2 2 9" xfId="34821" xr:uid="{00000000-0005-0000-0000-0000A82C0000}"/>
    <cellStyle name="Note 2 2 8 2 3" xfId="5499" xr:uid="{00000000-0005-0000-0000-0000A92C0000}"/>
    <cellStyle name="Note 2 2 8 2 4" xfId="9857" xr:uid="{00000000-0005-0000-0000-0000AA2C0000}"/>
    <cellStyle name="Note 2 2 8 2 5" xfId="13703" xr:uid="{00000000-0005-0000-0000-0000AB2C0000}"/>
    <cellStyle name="Note 2 2 8 2 6" xfId="17532" xr:uid="{00000000-0005-0000-0000-0000AC2C0000}"/>
    <cellStyle name="Note 2 2 8 2 7" xfId="21471" xr:uid="{00000000-0005-0000-0000-0000AD2C0000}"/>
    <cellStyle name="Note 2 2 8 2 8" xfId="25284" xr:uid="{00000000-0005-0000-0000-0000AE2C0000}"/>
    <cellStyle name="Note 2 2 8 2 9" xfId="29171" xr:uid="{00000000-0005-0000-0000-0000AF2C0000}"/>
    <cellStyle name="Note 2 2 8 3" xfId="2825" xr:uid="{00000000-0005-0000-0000-0000B02C0000}"/>
    <cellStyle name="Note 2 2 8 3 10" xfId="37877" xr:uid="{00000000-0005-0000-0000-0000B12C0000}"/>
    <cellStyle name="Note 2 2 8 3 11" xfId="41889" xr:uid="{00000000-0005-0000-0000-0000B22C0000}"/>
    <cellStyle name="Note 2 2 8 3 12" xfId="45666" xr:uid="{00000000-0005-0000-0000-0000B32C0000}"/>
    <cellStyle name="Note 2 2 8 3 2" xfId="6705" xr:uid="{00000000-0005-0000-0000-0000B42C0000}"/>
    <cellStyle name="Note 2 2 8 3 3" xfId="11132" xr:uid="{00000000-0005-0000-0000-0000B52C0000}"/>
    <cellStyle name="Note 2 2 8 3 4" xfId="14977" xr:uid="{00000000-0005-0000-0000-0000B62C0000}"/>
    <cellStyle name="Note 2 2 8 3 5" xfId="18819" xr:uid="{00000000-0005-0000-0000-0000B72C0000}"/>
    <cellStyle name="Note 2 2 8 3 6" xfId="22745" xr:uid="{00000000-0005-0000-0000-0000B82C0000}"/>
    <cellStyle name="Note 2 2 8 3 7" xfId="26570" xr:uid="{00000000-0005-0000-0000-0000B92C0000}"/>
    <cellStyle name="Note 2 2 8 3 8" xfId="30447" xr:uid="{00000000-0005-0000-0000-0000BA2C0000}"/>
    <cellStyle name="Note 2 2 8 3 9" xfId="34104" xr:uid="{00000000-0005-0000-0000-0000BB2C0000}"/>
    <cellStyle name="Note 2 2 8 4" xfId="4781" xr:uid="{00000000-0005-0000-0000-0000BC2C0000}"/>
    <cellStyle name="Note 2 2 8 5" xfId="9135" xr:uid="{00000000-0005-0000-0000-0000BD2C0000}"/>
    <cellStyle name="Note 2 2 8 6" xfId="12976" xr:uid="{00000000-0005-0000-0000-0000BE2C0000}"/>
    <cellStyle name="Note 2 2 8 7" xfId="16801" xr:uid="{00000000-0005-0000-0000-0000BF2C0000}"/>
    <cellStyle name="Note 2 2 8 8" xfId="20743" xr:uid="{00000000-0005-0000-0000-0000C02C0000}"/>
    <cellStyle name="Note 2 2 8 9" xfId="24559" xr:uid="{00000000-0005-0000-0000-0000C12C0000}"/>
    <cellStyle name="Note 2 2 9" xfId="1276" xr:uid="{00000000-0005-0000-0000-0000C22C0000}"/>
    <cellStyle name="Note 2 2 9 10" xfId="32563" xr:uid="{00000000-0005-0000-0000-0000C32C0000}"/>
    <cellStyle name="Note 2 2 9 11" xfId="36333" xr:uid="{00000000-0005-0000-0000-0000C42C0000}"/>
    <cellStyle name="Note 2 2 9 12" xfId="40325" xr:uid="{00000000-0005-0000-0000-0000C52C0000}"/>
    <cellStyle name="Note 2 2 9 13" xfId="44155" xr:uid="{00000000-0005-0000-0000-0000C62C0000}"/>
    <cellStyle name="Note 2 2 9 2" xfId="3266" xr:uid="{00000000-0005-0000-0000-0000C72C0000}"/>
    <cellStyle name="Note 2 2 9 2 10" xfId="38317" xr:uid="{00000000-0005-0000-0000-0000C82C0000}"/>
    <cellStyle name="Note 2 2 9 2 11" xfId="42328" xr:uid="{00000000-0005-0000-0000-0000C92C0000}"/>
    <cellStyle name="Note 2 2 9 2 12" xfId="46093" xr:uid="{00000000-0005-0000-0000-0000CA2C0000}"/>
    <cellStyle name="Note 2 2 9 2 2" xfId="7133" xr:uid="{00000000-0005-0000-0000-0000CB2C0000}"/>
    <cellStyle name="Note 2 2 9 2 3" xfId="11568" xr:uid="{00000000-0005-0000-0000-0000CC2C0000}"/>
    <cellStyle name="Note 2 2 9 2 4" xfId="15413" xr:uid="{00000000-0005-0000-0000-0000CD2C0000}"/>
    <cellStyle name="Note 2 2 9 2 5" xfId="19260" xr:uid="{00000000-0005-0000-0000-0000CE2C0000}"/>
    <cellStyle name="Note 2 2 9 2 6" xfId="23176" xr:uid="{00000000-0005-0000-0000-0000CF2C0000}"/>
    <cellStyle name="Note 2 2 9 2 7" xfId="27010" xr:uid="{00000000-0005-0000-0000-0000D02C0000}"/>
    <cellStyle name="Note 2 2 9 2 8" xfId="30880" xr:uid="{00000000-0005-0000-0000-0000D12C0000}"/>
    <cellStyle name="Note 2 2 9 2 9" xfId="34531" xr:uid="{00000000-0005-0000-0000-0000D22C0000}"/>
    <cellStyle name="Note 2 2 9 3" xfId="5209" xr:uid="{00000000-0005-0000-0000-0000D32C0000}"/>
    <cellStyle name="Note 2 2 9 4" xfId="9567" xr:uid="{00000000-0005-0000-0000-0000D42C0000}"/>
    <cellStyle name="Note 2 2 9 5" xfId="13413" xr:uid="{00000000-0005-0000-0000-0000D52C0000}"/>
    <cellStyle name="Note 2 2 9 6" xfId="17242" xr:uid="{00000000-0005-0000-0000-0000D62C0000}"/>
    <cellStyle name="Note 2 2 9 7" xfId="21181" xr:uid="{00000000-0005-0000-0000-0000D72C0000}"/>
    <cellStyle name="Note 2 2 9 8" xfId="24994" xr:uid="{00000000-0005-0000-0000-0000D82C0000}"/>
    <cellStyle name="Note 2 2 9 9" xfId="28882" xr:uid="{00000000-0005-0000-0000-0000D92C0000}"/>
    <cellStyle name="Note 2 20" xfId="8564" xr:uid="{00000000-0005-0000-0000-0000DA2C0000}"/>
    <cellStyle name="Note 2 21" xfId="11440" xr:uid="{00000000-0005-0000-0000-0000DB2C0000}"/>
    <cellStyle name="Note 2 22" xfId="12940" xr:uid="{00000000-0005-0000-0000-0000DC2C0000}"/>
    <cellStyle name="Note 2 23" xfId="8435" xr:uid="{00000000-0005-0000-0000-0000DD2C0000}"/>
    <cellStyle name="Note 2 24" xfId="39599" xr:uid="{00000000-0005-0000-0000-0000DE2C0000}"/>
    <cellStyle name="Note 2 25" xfId="47322" xr:uid="{00000000-0005-0000-0000-0000DF2C0000}"/>
    <cellStyle name="Note 2 26" xfId="47411" xr:uid="{00000000-0005-0000-0000-0000E02C0000}"/>
    <cellStyle name="Note 2 27" xfId="47632" xr:uid="{00000000-0005-0000-0000-0000E12C0000}"/>
    <cellStyle name="Note 2 3" xfId="553" xr:uid="{00000000-0005-0000-0000-0000E22C0000}"/>
    <cellStyle name="Note 2 3 10" xfId="2205" xr:uid="{00000000-0005-0000-0000-0000E32C0000}"/>
    <cellStyle name="Note 2 3 10 10" xfId="33506" xr:uid="{00000000-0005-0000-0000-0000E42C0000}"/>
    <cellStyle name="Note 2 3 10 11" xfId="37257" xr:uid="{00000000-0005-0000-0000-0000E52C0000}"/>
    <cellStyle name="Note 2 3 10 12" xfId="41273" xr:uid="{00000000-0005-0000-0000-0000E62C0000}"/>
    <cellStyle name="Note 2 3 10 13" xfId="45068" xr:uid="{00000000-0005-0000-0000-0000E72C0000}"/>
    <cellStyle name="Note 2 3 10 2" xfId="4188" xr:uid="{00000000-0005-0000-0000-0000E82C0000}"/>
    <cellStyle name="Note 2 3 10 2 10" xfId="39239" xr:uid="{00000000-0005-0000-0000-0000E92C0000}"/>
    <cellStyle name="Note 2 3 10 2 11" xfId="43249" xr:uid="{00000000-0005-0000-0000-0000EA2C0000}"/>
    <cellStyle name="Note 2 3 10 2 12" xfId="47006" xr:uid="{00000000-0005-0000-0000-0000EB2C0000}"/>
    <cellStyle name="Note 2 3 10 2 2" xfId="8047" xr:uid="{00000000-0005-0000-0000-0000EC2C0000}"/>
    <cellStyle name="Note 2 3 10 2 3" xfId="12487" xr:uid="{00000000-0005-0000-0000-0000ED2C0000}"/>
    <cellStyle name="Note 2 3 10 2 4" xfId="16332" xr:uid="{00000000-0005-0000-0000-0000EE2C0000}"/>
    <cellStyle name="Note 2 3 10 2 5" xfId="20182" xr:uid="{00000000-0005-0000-0000-0000EF2C0000}"/>
    <cellStyle name="Note 2 3 10 2 6" xfId="24094" xr:uid="{00000000-0005-0000-0000-0000F02C0000}"/>
    <cellStyle name="Note 2 3 10 2 7" xfId="27932" xr:uid="{00000000-0005-0000-0000-0000F12C0000}"/>
    <cellStyle name="Note 2 3 10 2 8" xfId="31791" xr:uid="{00000000-0005-0000-0000-0000F22C0000}"/>
    <cellStyle name="Note 2 3 10 2 9" xfId="35444" xr:uid="{00000000-0005-0000-0000-0000F32C0000}"/>
    <cellStyle name="Note 2 3 10 3" xfId="6119" xr:uid="{00000000-0005-0000-0000-0000F42C0000}"/>
    <cellStyle name="Note 2 3 10 4" xfId="10522" xr:uid="{00000000-0005-0000-0000-0000F52C0000}"/>
    <cellStyle name="Note 2 3 10 5" xfId="14368" xr:uid="{00000000-0005-0000-0000-0000F62C0000}"/>
    <cellStyle name="Note 2 3 10 6" xfId="18199" xr:uid="{00000000-0005-0000-0000-0000F72C0000}"/>
    <cellStyle name="Note 2 3 10 7" xfId="22138" xr:uid="{00000000-0005-0000-0000-0000F82C0000}"/>
    <cellStyle name="Note 2 3 10 8" xfId="25950" xr:uid="{00000000-0005-0000-0000-0000F92C0000}"/>
    <cellStyle name="Note 2 3 10 9" xfId="29830" xr:uid="{00000000-0005-0000-0000-0000FA2C0000}"/>
    <cellStyle name="Note 2 3 11" xfId="2263" xr:uid="{00000000-0005-0000-0000-0000FB2C0000}"/>
    <cellStyle name="Note 2 3 11 10" xfId="33564" xr:uid="{00000000-0005-0000-0000-0000FC2C0000}"/>
    <cellStyle name="Note 2 3 11 11" xfId="37315" xr:uid="{00000000-0005-0000-0000-0000FD2C0000}"/>
    <cellStyle name="Note 2 3 11 12" xfId="41331" xr:uid="{00000000-0005-0000-0000-0000FE2C0000}"/>
    <cellStyle name="Note 2 3 11 13" xfId="45126" xr:uid="{00000000-0005-0000-0000-0000FF2C0000}"/>
    <cellStyle name="Note 2 3 11 2" xfId="4246" xr:uid="{00000000-0005-0000-0000-0000002D0000}"/>
    <cellStyle name="Note 2 3 11 2 10" xfId="39297" xr:uid="{00000000-0005-0000-0000-0000012D0000}"/>
    <cellStyle name="Note 2 3 11 2 11" xfId="43307" xr:uid="{00000000-0005-0000-0000-0000022D0000}"/>
    <cellStyle name="Note 2 3 11 2 12" xfId="47064" xr:uid="{00000000-0005-0000-0000-0000032D0000}"/>
    <cellStyle name="Note 2 3 11 2 2" xfId="8105" xr:uid="{00000000-0005-0000-0000-0000042D0000}"/>
    <cellStyle name="Note 2 3 11 2 3" xfId="12545" xr:uid="{00000000-0005-0000-0000-0000052D0000}"/>
    <cellStyle name="Note 2 3 11 2 4" xfId="16390" xr:uid="{00000000-0005-0000-0000-0000062D0000}"/>
    <cellStyle name="Note 2 3 11 2 5" xfId="20240" xr:uid="{00000000-0005-0000-0000-0000072D0000}"/>
    <cellStyle name="Note 2 3 11 2 6" xfId="24152" xr:uid="{00000000-0005-0000-0000-0000082D0000}"/>
    <cellStyle name="Note 2 3 11 2 7" xfId="27990" xr:uid="{00000000-0005-0000-0000-0000092D0000}"/>
    <cellStyle name="Note 2 3 11 2 8" xfId="31849" xr:uid="{00000000-0005-0000-0000-00000A2D0000}"/>
    <cellStyle name="Note 2 3 11 2 9" xfId="35502" xr:uid="{00000000-0005-0000-0000-00000B2D0000}"/>
    <cellStyle name="Note 2 3 11 3" xfId="6177" xr:uid="{00000000-0005-0000-0000-00000C2D0000}"/>
    <cellStyle name="Note 2 3 11 4" xfId="10580" xr:uid="{00000000-0005-0000-0000-00000D2D0000}"/>
    <cellStyle name="Note 2 3 11 5" xfId="14426" xr:uid="{00000000-0005-0000-0000-00000E2D0000}"/>
    <cellStyle name="Note 2 3 11 6" xfId="18257" xr:uid="{00000000-0005-0000-0000-00000F2D0000}"/>
    <cellStyle name="Note 2 3 11 7" xfId="22196" xr:uid="{00000000-0005-0000-0000-0000102D0000}"/>
    <cellStyle name="Note 2 3 11 8" xfId="26008" xr:uid="{00000000-0005-0000-0000-0000112D0000}"/>
    <cellStyle name="Note 2 3 11 9" xfId="29888" xr:uid="{00000000-0005-0000-0000-0000122D0000}"/>
    <cellStyle name="Note 2 3 12" xfId="2318" xr:uid="{00000000-0005-0000-0000-0000132D0000}"/>
    <cellStyle name="Note 2 3 12 10" xfId="33619" xr:uid="{00000000-0005-0000-0000-0000142D0000}"/>
    <cellStyle name="Note 2 3 12 11" xfId="37370" xr:uid="{00000000-0005-0000-0000-0000152D0000}"/>
    <cellStyle name="Note 2 3 12 12" xfId="41386" xr:uid="{00000000-0005-0000-0000-0000162D0000}"/>
    <cellStyle name="Note 2 3 12 13" xfId="45181" xr:uid="{00000000-0005-0000-0000-0000172D0000}"/>
    <cellStyle name="Note 2 3 12 2" xfId="4301" xr:uid="{00000000-0005-0000-0000-0000182D0000}"/>
    <cellStyle name="Note 2 3 12 2 10" xfId="39352" xr:uid="{00000000-0005-0000-0000-0000192D0000}"/>
    <cellStyle name="Note 2 3 12 2 11" xfId="43362" xr:uid="{00000000-0005-0000-0000-00001A2D0000}"/>
    <cellStyle name="Note 2 3 12 2 12" xfId="47119" xr:uid="{00000000-0005-0000-0000-00001B2D0000}"/>
    <cellStyle name="Note 2 3 12 2 2" xfId="8160" xr:uid="{00000000-0005-0000-0000-00001C2D0000}"/>
    <cellStyle name="Note 2 3 12 2 3" xfId="12600" xr:uid="{00000000-0005-0000-0000-00001D2D0000}"/>
    <cellStyle name="Note 2 3 12 2 4" xfId="16445" xr:uid="{00000000-0005-0000-0000-00001E2D0000}"/>
    <cellStyle name="Note 2 3 12 2 5" xfId="20295" xr:uid="{00000000-0005-0000-0000-00001F2D0000}"/>
    <cellStyle name="Note 2 3 12 2 6" xfId="24207" xr:uid="{00000000-0005-0000-0000-0000202D0000}"/>
    <cellStyle name="Note 2 3 12 2 7" xfId="28045" xr:uid="{00000000-0005-0000-0000-0000212D0000}"/>
    <cellStyle name="Note 2 3 12 2 8" xfId="31904" xr:uid="{00000000-0005-0000-0000-0000222D0000}"/>
    <cellStyle name="Note 2 3 12 2 9" xfId="35557" xr:uid="{00000000-0005-0000-0000-0000232D0000}"/>
    <cellStyle name="Note 2 3 12 3" xfId="6232" xr:uid="{00000000-0005-0000-0000-0000242D0000}"/>
    <cellStyle name="Note 2 3 12 4" xfId="10635" xr:uid="{00000000-0005-0000-0000-0000252D0000}"/>
    <cellStyle name="Note 2 3 12 5" xfId="14481" xr:uid="{00000000-0005-0000-0000-0000262D0000}"/>
    <cellStyle name="Note 2 3 12 6" xfId="18312" xr:uid="{00000000-0005-0000-0000-0000272D0000}"/>
    <cellStyle name="Note 2 3 12 7" xfId="22251" xr:uid="{00000000-0005-0000-0000-0000282D0000}"/>
    <cellStyle name="Note 2 3 12 8" xfId="26063" xr:uid="{00000000-0005-0000-0000-0000292D0000}"/>
    <cellStyle name="Note 2 3 12 9" xfId="29943" xr:uid="{00000000-0005-0000-0000-00002A2D0000}"/>
    <cellStyle name="Note 2 3 13" xfId="2385" xr:uid="{00000000-0005-0000-0000-00002B2D0000}"/>
    <cellStyle name="Note 2 3 13 10" xfId="33683" xr:uid="{00000000-0005-0000-0000-00002C2D0000}"/>
    <cellStyle name="Note 2 3 13 11" xfId="37437" xr:uid="{00000000-0005-0000-0000-00002D2D0000}"/>
    <cellStyle name="Note 2 3 13 12" xfId="41452" xr:uid="{00000000-0005-0000-0000-00002E2D0000}"/>
    <cellStyle name="Note 2 3 13 13" xfId="45245" xr:uid="{00000000-0005-0000-0000-00002F2D0000}"/>
    <cellStyle name="Note 2 3 13 2" xfId="4368" xr:uid="{00000000-0005-0000-0000-0000302D0000}"/>
    <cellStyle name="Note 2 3 13 2 10" xfId="39419" xr:uid="{00000000-0005-0000-0000-0000312D0000}"/>
    <cellStyle name="Note 2 3 13 2 11" xfId="43428" xr:uid="{00000000-0005-0000-0000-0000322D0000}"/>
    <cellStyle name="Note 2 3 13 2 12" xfId="47183" xr:uid="{00000000-0005-0000-0000-0000332D0000}"/>
    <cellStyle name="Note 2 3 13 2 2" xfId="8225" xr:uid="{00000000-0005-0000-0000-0000342D0000}"/>
    <cellStyle name="Note 2 3 13 2 3" xfId="12666" xr:uid="{00000000-0005-0000-0000-0000352D0000}"/>
    <cellStyle name="Note 2 3 13 2 4" xfId="16511" xr:uid="{00000000-0005-0000-0000-0000362D0000}"/>
    <cellStyle name="Note 2 3 13 2 5" xfId="20362" xr:uid="{00000000-0005-0000-0000-0000372D0000}"/>
    <cellStyle name="Note 2 3 13 2 6" xfId="24273" xr:uid="{00000000-0005-0000-0000-0000382D0000}"/>
    <cellStyle name="Note 2 3 13 2 7" xfId="28112" xr:uid="{00000000-0005-0000-0000-0000392D0000}"/>
    <cellStyle name="Note 2 3 13 2 8" xfId="31970" xr:uid="{00000000-0005-0000-0000-00003A2D0000}"/>
    <cellStyle name="Note 2 3 13 2 9" xfId="35621" xr:uid="{00000000-0005-0000-0000-00003B2D0000}"/>
    <cellStyle name="Note 2 3 13 3" xfId="6281" xr:uid="{00000000-0005-0000-0000-00003C2D0000}"/>
    <cellStyle name="Note 2 3 13 4" xfId="10701" xr:uid="{00000000-0005-0000-0000-00003D2D0000}"/>
    <cellStyle name="Note 2 3 13 5" xfId="14547" xr:uid="{00000000-0005-0000-0000-00003E2D0000}"/>
    <cellStyle name="Note 2 3 13 6" xfId="18379" xr:uid="{00000000-0005-0000-0000-00003F2D0000}"/>
    <cellStyle name="Note 2 3 13 7" xfId="22317" xr:uid="{00000000-0005-0000-0000-0000402D0000}"/>
    <cellStyle name="Note 2 3 13 8" xfId="26130" xr:uid="{00000000-0005-0000-0000-0000412D0000}"/>
    <cellStyle name="Note 2 3 13 9" xfId="30010" xr:uid="{00000000-0005-0000-0000-0000422D0000}"/>
    <cellStyle name="Note 2 3 14" xfId="2435" xr:uid="{00000000-0005-0000-0000-0000432D0000}"/>
    <cellStyle name="Note 2 3 14 10" xfId="33733" xr:uid="{00000000-0005-0000-0000-0000442D0000}"/>
    <cellStyle name="Note 2 3 14 11" xfId="37487" xr:uid="{00000000-0005-0000-0000-0000452D0000}"/>
    <cellStyle name="Note 2 3 14 12" xfId="41502" xr:uid="{00000000-0005-0000-0000-0000462D0000}"/>
    <cellStyle name="Note 2 3 14 13" xfId="45295" xr:uid="{00000000-0005-0000-0000-0000472D0000}"/>
    <cellStyle name="Note 2 3 14 2" xfId="4418" xr:uid="{00000000-0005-0000-0000-0000482D0000}"/>
    <cellStyle name="Note 2 3 14 2 10" xfId="39469" xr:uid="{00000000-0005-0000-0000-0000492D0000}"/>
    <cellStyle name="Note 2 3 14 2 11" xfId="43478" xr:uid="{00000000-0005-0000-0000-00004A2D0000}"/>
    <cellStyle name="Note 2 3 14 2 12" xfId="47233" xr:uid="{00000000-0005-0000-0000-00004B2D0000}"/>
    <cellStyle name="Note 2 3 14 2 2" xfId="8275" xr:uid="{00000000-0005-0000-0000-00004C2D0000}"/>
    <cellStyle name="Note 2 3 14 2 3" xfId="12716" xr:uid="{00000000-0005-0000-0000-00004D2D0000}"/>
    <cellStyle name="Note 2 3 14 2 4" xfId="16561" xr:uid="{00000000-0005-0000-0000-00004E2D0000}"/>
    <cellStyle name="Note 2 3 14 2 5" xfId="20412" xr:uid="{00000000-0005-0000-0000-00004F2D0000}"/>
    <cellStyle name="Note 2 3 14 2 6" xfId="24323" xr:uid="{00000000-0005-0000-0000-0000502D0000}"/>
    <cellStyle name="Note 2 3 14 2 7" xfId="28162" xr:uid="{00000000-0005-0000-0000-0000512D0000}"/>
    <cellStyle name="Note 2 3 14 2 8" xfId="32020" xr:uid="{00000000-0005-0000-0000-0000522D0000}"/>
    <cellStyle name="Note 2 3 14 2 9" xfId="35671" xr:uid="{00000000-0005-0000-0000-0000532D0000}"/>
    <cellStyle name="Note 2 3 14 3" xfId="6331" xr:uid="{00000000-0005-0000-0000-0000542D0000}"/>
    <cellStyle name="Note 2 3 14 4" xfId="10751" xr:uid="{00000000-0005-0000-0000-0000552D0000}"/>
    <cellStyle name="Note 2 3 14 5" xfId="14597" xr:uid="{00000000-0005-0000-0000-0000562D0000}"/>
    <cellStyle name="Note 2 3 14 6" xfId="18429" xr:uid="{00000000-0005-0000-0000-0000572D0000}"/>
    <cellStyle name="Note 2 3 14 7" xfId="22367" xr:uid="{00000000-0005-0000-0000-0000582D0000}"/>
    <cellStyle name="Note 2 3 14 8" xfId="26180" xr:uid="{00000000-0005-0000-0000-0000592D0000}"/>
    <cellStyle name="Note 2 3 14 9" xfId="30059" xr:uid="{00000000-0005-0000-0000-00005A2D0000}"/>
    <cellStyle name="Note 2 3 15" xfId="2489" xr:uid="{00000000-0005-0000-0000-00005B2D0000}"/>
    <cellStyle name="Note 2 3 15 10" xfId="33784" xr:uid="{00000000-0005-0000-0000-00005C2D0000}"/>
    <cellStyle name="Note 2 3 15 11" xfId="37541" xr:uid="{00000000-0005-0000-0000-00005D2D0000}"/>
    <cellStyle name="Note 2 3 15 12" xfId="41555" xr:uid="{00000000-0005-0000-0000-00005E2D0000}"/>
    <cellStyle name="Note 2 3 15 13" xfId="45346" xr:uid="{00000000-0005-0000-0000-00005F2D0000}"/>
    <cellStyle name="Note 2 3 15 2" xfId="4471" xr:uid="{00000000-0005-0000-0000-0000602D0000}"/>
    <cellStyle name="Note 2 3 15 2 10" xfId="39522" xr:uid="{00000000-0005-0000-0000-0000612D0000}"/>
    <cellStyle name="Note 2 3 15 2 11" xfId="43531" xr:uid="{00000000-0005-0000-0000-0000622D0000}"/>
    <cellStyle name="Note 2 3 15 2 12" xfId="47284" xr:uid="{00000000-0005-0000-0000-0000632D0000}"/>
    <cellStyle name="Note 2 3 15 2 2" xfId="8326" xr:uid="{00000000-0005-0000-0000-0000642D0000}"/>
    <cellStyle name="Note 2 3 15 2 3" xfId="12769" xr:uid="{00000000-0005-0000-0000-0000652D0000}"/>
    <cellStyle name="Note 2 3 15 2 4" xfId="16612" xr:uid="{00000000-0005-0000-0000-0000662D0000}"/>
    <cellStyle name="Note 2 3 15 2 5" xfId="20465" xr:uid="{00000000-0005-0000-0000-0000672D0000}"/>
    <cellStyle name="Note 2 3 15 2 6" xfId="24375" xr:uid="{00000000-0005-0000-0000-0000682D0000}"/>
    <cellStyle name="Note 2 3 15 2 7" xfId="28215" xr:uid="{00000000-0005-0000-0000-0000692D0000}"/>
    <cellStyle name="Note 2 3 15 2 8" xfId="32073" xr:uid="{00000000-0005-0000-0000-00006A2D0000}"/>
    <cellStyle name="Note 2 3 15 2 9" xfId="35722" xr:uid="{00000000-0005-0000-0000-00006B2D0000}"/>
    <cellStyle name="Note 2 3 15 3" xfId="6383" xr:uid="{00000000-0005-0000-0000-00006C2D0000}"/>
    <cellStyle name="Note 2 3 15 4" xfId="10804" xr:uid="{00000000-0005-0000-0000-00006D2D0000}"/>
    <cellStyle name="Note 2 3 15 5" xfId="14650" xr:uid="{00000000-0005-0000-0000-00006E2D0000}"/>
    <cellStyle name="Note 2 3 15 6" xfId="18483" xr:uid="{00000000-0005-0000-0000-00006F2D0000}"/>
    <cellStyle name="Note 2 3 15 7" xfId="22420" xr:uid="{00000000-0005-0000-0000-0000702D0000}"/>
    <cellStyle name="Note 2 3 15 8" xfId="26234" xr:uid="{00000000-0005-0000-0000-0000712D0000}"/>
    <cellStyle name="Note 2 3 15 9" xfId="30113" xr:uid="{00000000-0005-0000-0000-0000722D0000}"/>
    <cellStyle name="Note 2 3 16" xfId="2560" xr:uid="{00000000-0005-0000-0000-0000732D0000}"/>
    <cellStyle name="Note 2 3 16 10" xfId="37612" xr:uid="{00000000-0005-0000-0000-0000742D0000}"/>
    <cellStyle name="Note 2 3 16 11" xfId="41626" xr:uid="{00000000-0005-0000-0000-0000752D0000}"/>
    <cellStyle name="Note 2 3 16 12" xfId="45415" xr:uid="{00000000-0005-0000-0000-0000762D0000}"/>
    <cellStyle name="Note 2 3 16 2" xfId="6452" xr:uid="{00000000-0005-0000-0000-0000772D0000}"/>
    <cellStyle name="Note 2 3 16 3" xfId="10875" xr:uid="{00000000-0005-0000-0000-0000782D0000}"/>
    <cellStyle name="Note 2 3 16 4" xfId="14719" xr:uid="{00000000-0005-0000-0000-0000792D0000}"/>
    <cellStyle name="Note 2 3 16 5" xfId="18554" xr:uid="{00000000-0005-0000-0000-00007A2D0000}"/>
    <cellStyle name="Note 2 3 16 6" xfId="22489" xr:uid="{00000000-0005-0000-0000-00007B2D0000}"/>
    <cellStyle name="Note 2 3 16 7" xfId="26305" xr:uid="{00000000-0005-0000-0000-00007C2D0000}"/>
    <cellStyle name="Note 2 3 16 8" xfId="30184" xr:uid="{00000000-0005-0000-0000-00007D2D0000}"/>
    <cellStyle name="Note 2 3 16 9" xfId="33853" xr:uid="{00000000-0005-0000-0000-00007E2D0000}"/>
    <cellStyle name="Note 2 3 17" xfId="4528" xr:uid="{00000000-0005-0000-0000-00007F2D0000}"/>
    <cellStyle name="Note 2 3 18" xfId="8374" xr:uid="{00000000-0005-0000-0000-0000802D0000}"/>
    <cellStyle name="Note 2 3 19" xfId="8743" xr:uid="{00000000-0005-0000-0000-0000812D0000}"/>
    <cellStyle name="Note 2 3 2" xfId="689" xr:uid="{00000000-0005-0000-0000-0000822D0000}"/>
    <cellStyle name="Note 2 3 2 10" xfId="24423" xr:uid="{00000000-0005-0000-0000-0000832D0000}"/>
    <cellStyle name="Note 2 3 2 11" xfId="28316" xr:uid="{00000000-0005-0000-0000-0000842D0000}"/>
    <cellStyle name="Note 2 3 2 12" xfId="30337" xr:uid="{00000000-0005-0000-0000-0000852D0000}"/>
    <cellStyle name="Note 2 3 2 13" xfId="35760" xr:uid="{00000000-0005-0000-0000-0000862D0000}"/>
    <cellStyle name="Note 2 3 2 14" xfId="39783" xr:uid="{00000000-0005-0000-0000-0000872D0000}"/>
    <cellStyle name="Note 2 3 2 15" xfId="43586" xr:uid="{00000000-0005-0000-0000-0000882D0000}"/>
    <cellStyle name="Note 2 3 2 2" xfId="1069" xr:uid="{00000000-0005-0000-0000-0000892D0000}"/>
    <cellStyle name="Note 2 3 2 2 10" xfId="28680" xr:uid="{00000000-0005-0000-0000-00008A2D0000}"/>
    <cellStyle name="Note 2 3 2 2 11" xfId="32366" xr:uid="{00000000-0005-0000-0000-00008B2D0000}"/>
    <cellStyle name="Note 2 3 2 2 12" xfId="36127" xr:uid="{00000000-0005-0000-0000-00008C2D0000}"/>
    <cellStyle name="Note 2 3 2 2 13" xfId="40130" xr:uid="{00000000-0005-0000-0000-00008D2D0000}"/>
    <cellStyle name="Note 2 3 2 2 14" xfId="43953" xr:uid="{00000000-0005-0000-0000-00008E2D0000}"/>
    <cellStyle name="Note 2 3 2 2 2" xfId="1796" xr:uid="{00000000-0005-0000-0000-00008F2D0000}"/>
    <cellStyle name="Note 2 3 2 2 2 10" xfId="33083" xr:uid="{00000000-0005-0000-0000-0000902D0000}"/>
    <cellStyle name="Note 2 3 2 2 2 11" xfId="36853" xr:uid="{00000000-0005-0000-0000-0000912D0000}"/>
    <cellStyle name="Note 2 3 2 2 2 12" xfId="40844" xr:uid="{00000000-0005-0000-0000-0000922D0000}"/>
    <cellStyle name="Note 2 3 2 2 2 13" xfId="44675" xr:uid="{00000000-0005-0000-0000-0000932D0000}"/>
    <cellStyle name="Note 2 3 2 2 2 2" xfId="3786" xr:uid="{00000000-0005-0000-0000-0000942D0000}"/>
    <cellStyle name="Note 2 3 2 2 2 2 10" xfId="38837" xr:uid="{00000000-0005-0000-0000-0000952D0000}"/>
    <cellStyle name="Note 2 3 2 2 2 2 11" xfId="42848" xr:uid="{00000000-0005-0000-0000-0000962D0000}"/>
    <cellStyle name="Note 2 3 2 2 2 2 12" xfId="46613" xr:uid="{00000000-0005-0000-0000-0000972D0000}"/>
    <cellStyle name="Note 2 3 2 2 2 2 2" xfId="7653" xr:uid="{00000000-0005-0000-0000-0000982D0000}"/>
    <cellStyle name="Note 2 3 2 2 2 2 3" xfId="12088" xr:uid="{00000000-0005-0000-0000-0000992D0000}"/>
    <cellStyle name="Note 2 3 2 2 2 2 4" xfId="15933" xr:uid="{00000000-0005-0000-0000-00009A2D0000}"/>
    <cellStyle name="Note 2 3 2 2 2 2 5" xfId="19780" xr:uid="{00000000-0005-0000-0000-00009B2D0000}"/>
    <cellStyle name="Note 2 3 2 2 2 2 6" xfId="23696" xr:uid="{00000000-0005-0000-0000-00009C2D0000}"/>
    <cellStyle name="Note 2 3 2 2 2 2 7" xfId="27530" xr:uid="{00000000-0005-0000-0000-00009D2D0000}"/>
    <cellStyle name="Note 2 3 2 2 2 2 8" xfId="31394" xr:uid="{00000000-0005-0000-0000-00009E2D0000}"/>
    <cellStyle name="Note 2 3 2 2 2 2 9" xfId="35051" xr:uid="{00000000-0005-0000-0000-00009F2D0000}"/>
    <cellStyle name="Note 2 3 2 2 2 3" xfId="5729" xr:uid="{00000000-0005-0000-0000-0000A02D0000}"/>
    <cellStyle name="Note 2 3 2 2 2 4" xfId="10087" xr:uid="{00000000-0005-0000-0000-0000A12D0000}"/>
    <cellStyle name="Note 2 3 2 2 2 5" xfId="13933" xr:uid="{00000000-0005-0000-0000-0000A22D0000}"/>
    <cellStyle name="Note 2 3 2 2 2 6" xfId="17762" xr:uid="{00000000-0005-0000-0000-0000A32D0000}"/>
    <cellStyle name="Note 2 3 2 2 2 7" xfId="21701" xr:uid="{00000000-0005-0000-0000-0000A42D0000}"/>
    <cellStyle name="Note 2 3 2 2 2 8" xfId="25514" xr:uid="{00000000-0005-0000-0000-0000A52D0000}"/>
    <cellStyle name="Note 2 3 2 2 2 9" xfId="29401" xr:uid="{00000000-0005-0000-0000-0000A62D0000}"/>
    <cellStyle name="Note 2 3 2 2 3" xfId="3059" xr:uid="{00000000-0005-0000-0000-0000A72D0000}"/>
    <cellStyle name="Note 2 3 2 2 3 10" xfId="38111" xr:uid="{00000000-0005-0000-0000-0000A82D0000}"/>
    <cellStyle name="Note 2 3 2 2 3 11" xfId="42123" xr:uid="{00000000-0005-0000-0000-0000A92D0000}"/>
    <cellStyle name="Note 2 3 2 2 3 12" xfId="45896" xr:uid="{00000000-0005-0000-0000-0000AA2D0000}"/>
    <cellStyle name="Note 2 3 2 2 3 2" xfId="6935" xr:uid="{00000000-0005-0000-0000-0000AB2D0000}"/>
    <cellStyle name="Note 2 3 2 2 3 3" xfId="11364" xr:uid="{00000000-0005-0000-0000-0000AC2D0000}"/>
    <cellStyle name="Note 2 3 2 2 3 4" xfId="15208" xr:uid="{00000000-0005-0000-0000-0000AD2D0000}"/>
    <cellStyle name="Note 2 3 2 2 3 5" xfId="19053" xr:uid="{00000000-0005-0000-0000-0000AE2D0000}"/>
    <cellStyle name="Note 2 3 2 2 3 6" xfId="22975" xr:uid="{00000000-0005-0000-0000-0000AF2D0000}"/>
    <cellStyle name="Note 2 3 2 2 3 7" xfId="26804" xr:uid="{00000000-0005-0000-0000-0000B02D0000}"/>
    <cellStyle name="Note 2 3 2 2 3 8" xfId="30678" xr:uid="{00000000-0005-0000-0000-0000B12D0000}"/>
    <cellStyle name="Note 2 3 2 2 3 9" xfId="34334" xr:uid="{00000000-0005-0000-0000-0000B22D0000}"/>
    <cellStyle name="Note 2 3 2 2 4" xfId="5011" xr:uid="{00000000-0005-0000-0000-0000B32D0000}"/>
    <cellStyle name="Note 2 3 2 2 5" xfId="9367" xr:uid="{00000000-0005-0000-0000-0000B42D0000}"/>
    <cellStyle name="Note 2 3 2 2 6" xfId="13207" xr:uid="{00000000-0005-0000-0000-0000B52D0000}"/>
    <cellStyle name="Note 2 3 2 2 7" xfId="17035" xr:uid="{00000000-0005-0000-0000-0000B62D0000}"/>
    <cellStyle name="Note 2 3 2 2 8" xfId="20977" xr:uid="{00000000-0005-0000-0000-0000B72D0000}"/>
    <cellStyle name="Note 2 3 2 2 9" xfId="24791" xr:uid="{00000000-0005-0000-0000-0000B82D0000}"/>
    <cellStyle name="Note 2 3 2 3" xfId="1443" xr:uid="{00000000-0005-0000-0000-0000B92D0000}"/>
    <cellStyle name="Note 2 3 2 3 10" xfId="32730" xr:uid="{00000000-0005-0000-0000-0000BA2D0000}"/>
    <cellStyle name="Note 2 3 2 3 11" xfId="36500" xr:uid="{00000000-0005-0000-0000-0000BB2D0000}"/>
    <cellStyle name="Note 2 3 2 3 12" xfId="40491" xr:uid="{00000000-0005-0000-0000-0000BC2D0000}"/>
    <cellStyle name="Note 2 3 2 3 13" xfId="44322" xr:uid="{00000000-0005-0000-0000-0000BD2D0000}"/>
    <cellStyle name="Note 2 3 2 3 2" xfId="3433" xr:uid="{00000000-0005-0000-0000-0000BE2D0000}"/>
    <cellStyle name="Note 2 3 2 3 2 10" xfId="38484" xr:uid="{00000000-0005-0000-0000-0000BF2D0000}"/>
    <cellStyle name="Note 2 3 2 3 2 11" xfId="42495" xr:uid="{00000000-0005-0000-0000-0000C02D0000}"/>
    <cellStyle name="Note 2 3 2 3 2 12" xfId="46260" xr:uid="{00000000-0005-0000-0000-0000C12D0000}"/>
    <cellStyle name="Note 2 3 2 3 2 2" xfId="7300" xr:uid="{00000000-0005-0000-0000-0000C22D0000}"/>
    <cellStyle name="Note 2 3 2 3 2 3" xfId="11735" xr:uid="{00000000-0005-0000-0000-0000C32D0000}"/>
    <cellStyle name="Note 2 3 2 3 2 4" xfId="15580" xr:uid="{00000000-0005-0000-0000-0000C42D0000}"/>
    <cellStyle name="Note 2 3 2 3 2 5" xfId="19427" xr:uid="{00000000-0005-0000-0000-0000C52D0000}"/>
    <cellStyle name="Note 2 3 2 3 2 6" xfId="23343" xr:uid="{00000000-0005-0000-0000-0000C62D0000}"/>
    <cellStyle name="Note 2 3 2 3 2 7" xfId="27177" xr:uid="{00000000-0005-0000-0000-0000C72D0000}"/>
    <cellStyle name="Note 2 3 2 3 2 8" xfId="31045" xr:uid="{00000000-0005-0000-0000-0000C82D0000}"/>
    <cellStyle name="Note 2 3 2 3 2 9" xfId="34698" xr:uid="{00000000-0005-0000-0000-0000C92D0000}"/>
    <cellStyle name="Note 2 3 2 3 3" xfId="5376" xr:uid="{00000000-0005-0000-0000-0000CA2D0000}"/>
    <cellStyle name="Note 2 3 2 3 4" xfId="9734" xr:uid="{00000000-0005-0000-0000-0000CB2D0000}"/>
    <cellStyle name="Note 2 3 2 3 5" xfId="13580" xr:uid="{00000000-0005-0000-0000-0000CC2D0000}"/>
    <cellStyle name="Note 2 3 2 3 6" xfId="17409" xr:uid="{00000000-0005-0000-0000-0000CD2D0000}"/>
    <cellStyle name="Note 2 3 2 3 7" xfId="21348" xr:uid="{00000000-0005-0000-0000-0000CE2D0000}"/>
    <cellStyle name="Note 2 3 2 3 8" xfId="25161" xr:uid="{00000000-0005-0000-0000-0000CF2D0000}"/>
    <cellStyle name="Note 2 3 2 3 9" xfId="29048" xr:uid="{00000000-0005-0000-0000-0000D02D0000}"/>
    <cellStyle name="Note 2 3 2 4" xfId="2692" xr:uid="{00000000-0005-0000-0000-0000D12D0000}"/>
    <cellStyle name="Note 2 3 2 4 10" xfId="37744" xr:uid="{00000000-0005-0000-0000-0000D22D0000}"/>
    <cellStyle name="Note 2 3 2 4 11" xfId="41758" xr:uid="{00000000-0005-0000-0000-0000D32D0000}"/>
    <cellStyle name="Note 2 3 2 4 12" xfId="45543" xr:uid="{00000000-0005-0000-0000-0000D42D0000}"/>
    <cellStyle name="Note 2 3 2 4 2" xfId="6580" xr:uid="{00000000-0005-0000-0000-0000D52D0000}"/>
    <cellStyle name="Note 2 3 2 4 3" xfId="11004" xr:uid="{00000000-0005-0000-0000-0000D62D0000}"/>
    <cellStyle name="Note 2 3 2 4 4" xfId="14848" xr:uid="{00000000-0005-0000-0000-0000D72D0000}"/>
    <cellStyle name="Note 2 3 2 4 5" xfId="18686" xr:uid="{00000000-0005-0000-0000-0000D82D0000}"/>
    <cellStyle name="Note 2 3 2 4 6" xfId="22617" xr:uid="{00000000-0005-0000-0000-0000D92D0000}"/>
    <cellStyle name="Note 2 3 2 4 7" xfId="26437" xr:uid="{00000000-0005-0000-0000-0000DA2D0000}"/>
    <cellStyle name="Note 2 3 2 4 8" xfId="30316" xr:uid="{00000000-0005-0000-0000-0000DB2D0000}"/>
    <cellStyle name="Note 2 3 2 4 9" xfId="33981" xr:uid="{00000000-0005-0000-0000-0000DC2D0000}"/>
    <cellStyle name="Note 2 3 2 5" xfId="4656" xr:uid="{00000000-0005-0000-0000-0000DD2D0000}"/>
    <cellStyle name="Note 2 3 2 6" xfId="8998" xr:uid="{00000000-0005-0000-0000-0000DE2D0000}"/>
    <cellStyle name="Note 2 3 2 7" xfId="12835" xr:uid="{00000000-0005-0000-0000-0000DF2D0000}"/>
    <cellStyle name="Note 2 3 2 8" xfId="16665" xr:uid="{00000000-0005-0000-0000-0000E02D0000}"/>
    <cellStyle name="Note 2 3 2 9" xfId="20602" xr:uid="{00000000-0005-0000-0000-0000E12D0000}"/>
    <cellStyle name="Note 2 3 20" xfId="8864" xr:uid="{00000000-0005-0000-0000-0000E22D0000}"/>
    <cellStyle name="Note 2 3 21" xfId="8667" xr:uid="{00000000-0005-0000-0000-0000E32D0000}"/>
    <cellStyle name="Note 2 3 22" xfId="8627" xr:uid="{00000000-0005-0000-0000-0000E42D0000}"/>
    <cellStyle name="Note 2 3 23" xfId="18052" xr:uid="{00000000-0005-0000-0000-0000E52D0000}"/>
    <cellStyle name="Note 2 3 24" xfId="16193" xr:uid="{00000000-0005-0000-0000-0000E62D0000}"/>
    <cellStyle name="Note 2 3 25" xfId="25799" xr:uid="{00000000-0005-0000-0000-0000E72D0000}"/>
    <cellStyle name="Note 2 3 26" xfId="30137" xr:uid="{00000000-0005-0000-0000-0000E82D0000}"/>
    <cellStyle name="Note 2 3 27" xfId="29695" xr:uid="{00000000-0005-0000-0000-0000E92D0000}"/>
    <cellStyle name="Note 2 3 28" xfId="39652" xr:uid="{00000000-0005-0000-0000-0000EA2D0000}"/>
    <cellStyle name="Note 2 3 29" xfId="39827" xr:uid="{00000000-0005-0000-0000-0000EB2D0000}"/>
    <cellStyle name="Note 2 3 3" xfId="628" xr:uid="{00000000-0005-0000-0000-0000EC2D0000}"/>
    <cellStyle name="Note 2 3 3 10" xfId="12720" xr:uid="{00000000-0005-0000-0000-0000ED2D0000}"/>
    <cellStyle name="Note 2 3 3 11" xfId="28255" xr:uid="{00000000-0005-0000-0000-0000EE2D0000}"/>
    <cellStyle name="Note 2 3 3 12" xfId="28856" xr:uid="{00000000-0005-0000-0000-0000EF2D0000}"/>
    <cellStyle name="Note 2 3 3 13" xfId="33374" xr:uid="{00000000-0005-0000-0000-0000F02D0000}"/>
    <cellStyle name="Note 2 3 3 14" xfId="39723" xr:uid="{00000000-0005-0000-0000-0000F12D0000}"/>
    <cellStyle name="Note 2 3 3 15" xfId="39559" xr:uid="{00000000-0005-0000-0000-0000F22D0000}"/>
    <cellStyle name="Note 2 3 3 2" xfId="1008" xr:uid="{00000000-0005-0000-0000-0000F32D0000}"/>
    <cellStyle name="Note 2 3 3 2 10" xfId="28619" xr:uid="{00000000-0005-0000-0000-0000F42D0000}"/>
    <cellStyle name="Note 2 3 3 2 11" xfId="32307" xr:uid="{00000000-0005-0000-0000-0000F52D0000}"/>
    <cellStyle name="Note 2 3 3 2 12" xfId="36066" xr:uid="{00000000-0005-0000-0000-0000F62D0000}"/>
    <cellStyle name="Note 2 3 3 2 13" xfId="40071" xr:uid="{00000000-0005-0000-0000-0000F72D0000}"/>
    <cellStyle name="Note 2 3 3 2 14" xfId="43892" xr:uid="{00000000-0005-0000-0000-0000F82D0000}"/>
    <cellStyle name="Note 2 3 3 2 2" xfId="1737" xr:uid="{00000000-0005-0000-0000-0000F92D0000}"/>
    <cellStyle name="Note 2 3 3 2 2 10" xfId="33024" xr:uid="{00000000-0005-0000-0000-0000FA2D0000}"/>
    <cellStyle name="Note 2 3 3 2 2 11" xfId="36794" xr:uid="{00000000-0005-0000-0000-0000FB2D0000}"/>
    <cellStyle name="Note 2 3 3 2 2 12" xfId="40785" xr:uid="{00000000-0005-0000-0000-0000FC2D0000}"/>
    <cellStyle name="Note 2 3 3 2 2 13" xfId="44616" xr:uid="{00000000-0005-0000-0000-0000FD2D0000}"/>
    <cellStyle name="Note 2 3 3 2 2 2" xfId="3727" xr:uid="{00000000-0005-0000-0000-0000FE2D0000}"/>
    <cellStyle name="Note 2 3 3 2 2 2 10" xfId="38778" xr:uid="{00000000-0005-0000-0000-0000FF2D0000}"/>
    <cellStyle name="Note 2 3 3 2 2 2 11" xfId="42789" xr:uid="{00000000-0005-0000-0000-0000002E0000}"/>
    <cellStyle name="Note 2 3 3 2 2 2 12" xfId="46554" xr:uid="{00000000-0005-0000-0000-0000012E0000}"/>
    <cellStyle name="Note 2 3 3 2 2 2 2" xfId="7594" xr:uid="{00000000-0005-0000-0000-0000022E0000}"/>
    <cellStyle name="Note 2 3 3 2 2 2 3" xfId="12029" xr:uid="{00000000-0005-0000-0000-0000032E0000}"/>
    <cellStyle name="Note 2 3 3 2 2 2 4" xfId="15874" xr:uid="{00000000-0005-0000-0000-0000042E0000}"/>
    <cellStyle name="Note 2 3 3 2 2 2 5" xfId="19721" xr:uid="{00000000-0005-0000-0000-0000052E0000}"/>
    <cellStyle name="Note 2 3 3 2 2 2 6" xfId="23637" xr:uid="{00000000-0005-0000-0000-0000062E0000}"/>
    <cellStyle name="Note 2 3 3 2 2 2 7" xfId="27471" xr:uid="{00000000-0005-0000-0000-0000072E0000}"/>
    <cellStyle name="Note 2 3 3 2 2 2 8" xfId="31335" xr:uid="{00000000-0005-0000-0000-0000082E0000}"/>
    <cellStyle name="Note 2 3 3 2 2 2 9" xfId="34992" xr:uid="{00000000-0005-0000-0000-0000092E0000}"/>
    <cellStyle name="Note 2 3 3 2 2 3" xfId="5670" xr:uid="{00000000-0005-0000-0000-00000A2E0000}"/>
    <cellStyle name="Note 2 3 3 2 2 4" xfId="10028" xr:uid="{00000000-0005-0000-0000-00000B2E0000}"/>
    <cellStyle name="Note 2 3 3 2 2 5" xfId="13874" xr:uid="{00000000-0005-0000-0000-00000C2E0000}"/>
    <cellStyle name="Note 2 3 3 2 2 6" xfId="17703" xr:uid="{00000000-0005-0000-0000-00000D2E0000}"/>
    <cellStyle name="Note 2 3 3 2 2 7" xfId="21642" xr:uid="{00000000-0005-0000-0000-00000E2E0000}"/>
    <cellStyle name="Note 2 3 3 2 2 8" xfId="25455" xr:uid="{00000000-0005-0000-0000-00000F2E0000}"/>
    <cellStyle name="Note 2 3 3 2 2 9" xfId="29342" xr:uid="{00000000-0005-0000-0000-0000102E0000}"/>
    <cellStyle name="Note 2 3 3 2 3" xfId="2998" xr:uid="{00000000-0005-0000-0000-0000112E0000}"/>
    <cellStyle name="Note 2 3 3 2 3 10" xfId="38050" xr:uid="{00000000-0005-0000-0000-0000122E0000}"/>
    <cellStyle name="Note 2 3 3 2 3 11" xfId="42062" xr:uid="{00000000-0005-0000-0000-0000132E0000}"/>
    <cellStyle name="Note 2 3 3 2 3 12" xfId="45837" xr:uid="{00000000-0005-0000-0000-0000142E0000}"/>
    <cellStyle name="Note 2 3 3 2 3 2" xfId="6876" xr:uid="{00000000-0005-0000-0000-0000152E0000}"/>
    <cellStyle name="Note 2 3 3 2 3 3" xfId="11304" xr:uid="{00000000-0005-0000-0000-0000162E0000}"/>
    <cellStyle name="Note 2 3 3 2 3 4" xfId="15149" xr:uid="{00000000-0005-0000-0000-0000172E0000}"/>
    <cellStyle name="Note 2 3 3 2 3 5" xfId="18992" xr:uid="{00000000-0005-0000-0000-0000182E0000}"/>
    <cellStyle name="Note 2 3 3 2 3 6" xfId="22916" xr:uid="{00000000-0005-0000-0000-0000192E0000}"/>
    <cellStyle name="Note 2 3 3 2 3 7" xfId="26743" xr:uid="{00000000-0005-0000-0000-00001A2E0000}"/>
    <cellStyle name="Note 2 3 3 2 3 8" xfId="30617" xr:uid="{00000000-0005-0000-0000-00001B2E0000}"/>
    <cellStyle name="Note 2 3 3 2 3 9" xfId="34275" xr:uid="{00000000-0005-0000-0000-00001C2E0000}"/>
    <cellStyle name="Note 2 3 3 2 4" xfId="4952" xr:uid="{00000000-0005-0000-0000-00001D2E0000}"/>
    <cellStyle name="Note 2 3 3 2 5" xfId="9307" xr:uid="{00000000-0005-0000-0000-00001E2E0000}"/>
    <cellStyle name="Note 2 3 3 2 6" xfId="13148" xr:uid="{00000000-0005-0000-0000-00001F2E0000}"/>
    <cellStyle name="Note 2 3 3 2 7" xfId="16974" xr:uid="{00000000-0005-0000-0000-0000202E0000}"/>
    <cellStyle name="Note 2 3 3 2 8" xfId="20916" xr:uid="{00000000-0005-0000-0000-0000212E0000}"/>
    <cellStyle name="Note 2 3 3 2 9" xfId="24731" xr:uid="{00000000-0005-0000-0000-0000222E0000}"/>
    <cellStyle name="Note 2 3 3 3" xfId="1384" xr:uid="{00000000-0005-0000-0000-0000232E0000}"/>
    <cellStyle name="Note 2 3 3 3 10" xfId="32671" xr:uid="{00000000-0005-0000-0000-0000242E0000}"/>
    <cellStyle name="Note 2 3 3 3 11" xfId="36441" xr:uid="{00000000-0005-0000-0000-0000252E0000}"/>
    <cellStyle name="Note 2 3 3 3 12" xfId="40432" xr:uid="{00000000-0005-0000-0000-0000262E0000}"/>
    <cellStyle name="Note 2 3 3 3 13" xfId="44263" xr:uid="{00000000-0005-0000-0000-0000272E0000}"/>
    <cellStyle name="Note 2 3 3 3 2" xfId="3374" xr:uid="{00000000-0005-0000-0000-0000282E0000}"/>
    <cellStyle name="Note 2 3 3 3 2 10" xfId="38425" xr:uid="{00000000-0005-0000-0000-0000292E0000}"/>
    <cellStyle name="Note 2 3 3 3 2 11" xfId="42436" xr:uid="{00000000-0005-0000-0000-00002A2E0000}"/>
    <cellStyle name="Note 2 3 3 3 2 12" xfId="46201" xr:uid="{00000000-0005-0000-0000-00002B2E0000}"/>
    <cellStyle name="Note 2 3 3 3 2 2" xfId="7241" xr:uid="{00000000-0005-0000-0000-00002C2E0000}"/>
    <cellStyle name="Note 2 3 3 3 2 3" xfId="11676" xr:uid="{00000000-0005-0000-0000-00002D2E0000}"/>
    <cellStyle name="Note 2 3 3 3 2 4" xfId="15521" xr:uid="{00000000-0005-0000-0000-00002E2E0000}"/>
    <cellStyle name="Note 2 3 3 3 2 5" xfId="19368" xr:uid="{00000000-0005-0000-0000-00002F2E0000}"/>
    <cellStyle name="Note 2 3 3 3 2 6" xfId="23284" xr:uid="{00000000-0005-0000-0000-0000302E0000}"/>
    <cellStyle name="Note 2 3 3 3 2 7" xfId="27118" xr:uid="{00000000-0005-0000-0000-0000312E0000}"/>
    <cellStyle name="Note 2 3 3 3 2 8" xfId="30986" xr:uid="{00000000-0005-0000-0000-0000322E0000}"/>
    <cellStyle name="Note 2 3 3 3 2 9" xfId="34639" xr:uid="{00000000-0005-0000-0000-0000332E0000}"/>
    <cellStyle name="Note 2 3 3 3 3" xfId="5317" xr:uid="{00000000-0005-0000-0000-0000342E0000}"/>
    <cellStyle name="Note 2 3 3 3 4" xfId="9675" xr:uid="{00000000-0005-0000-0000-0000352E0000}"/>
    <cellStyle name="Note 2 3 3 3 5" xfId="13521" xr:uid="{00000000-0005-0000-0000-0000362E0000}"/>
    <cellStyle name="Note 2 3 3 3 6" xfId="17350" xr:uid="{00000000-0005-0000-0000-0000372E0000}"/>
    <cellStyle name="Note 2 3 3 3 7" xfId="21289" xr:uid="{00000000-0005-0000-0000-0000382E0000}"/>
    <cellStyle name="Note 2 3 3 3 8" xfId="25102" xr:uid="{00000000-0005-0000-0000-0000392E0000}"/>
    <cellStyle name="Note 2 3 3 3 9" xfId="28989" xr:uid="{00000000-0005-0000-0000-00003A2E0000}"/>
    <cellStyle name="Note 2 3 3 4" xfId="2631" xr:uid="{00000000-0005-0000-0000-00003B2E0000}"/>
    <cellStyle name="Note 2 3 3 4 10" xfId="37683" xr:uid="{00000000-0005-0000-0000-00003C2E0000}"/>
    <cellStyle name="Note 2 3 3 4 11" xfId="41697" xr:uid="{00000000-0005-0000-0000-00003D2E0000}"/>
    <cellStyle name="Note 2 3 3 4 12" xfId="45484" xr:uid="{00000000-0005-0000-0000-00003E2E0000}"/>
    <cellStyle name="Note 2 3 3 4 2" xfId="6521" xr:uid="{00000000-0005-0000-0000-00003F2E0000}"/>
    <cellStyle name="Note 2 3 3 4 3" xfId="10945" xr:uid="{00000000-0005-0000-0000-0000402E0000}"/>
    <cellStyle name="Note 2 3 3 4 4" xfId="14789" xr:uid="{00000000-0005-0000-0000-0000412E0000}"/>
    <cellStyle name="Note 2 3 3 4 5" xfId="18625" xr:uid="{00000000-0005-0000-0000-0000422E0000}"/>
    <cellStyle name="Note 2 3 3 4 6" xfId="22558" xr:uid="{00000000-0005-0000-0000-0000432E0000}"/>
    <cellStyle name="Note 2 3 3 4 7" xfId="26376" xr:uid="{00000000-0005-0000-0000-0000442E0000}"/>
    <cellStyle name="Note 2 3 3 4 8" xfId="30255" xr:uid="{00000000-0005-0000-0000-0000452E0000}"/>
    <cellStyle name="Note 2 3 3 4 9" xfId="33922" xr:uid="{00000000-0005-0000-0000-0000462E0000}"/>
    <cellStyle name="Note 2 3 3 5" xfId="4597" xr:uid="{00000000-0005-0000-0000-0000472E0000}"/>
    <cellStyle name="Note 2 3 3 6" xfId="8937" xr:uid="{00000000-0005-0000-0000-0000482E0000}"/>
    <cellStyle name="Note 2 3 3 7" xfId="10391" xr:uid="{00000000-0005-0000-0000-0000492E0000}"/>
    <cellStyle name="Note 2 3 3 8" xfId="14235" xr:uid="{00000000-0005-0000-0000-00004A2E0000}"/>
    <cellStyle name="Note 2 3 3 9" xfId="20541" xr:uid="{00000000-0005-0000-0000-00004B2E0000}"/>
    <cellStyle name="Note 2 3 30" xfId="47364" xr:uid="{00000000-0005-0000-0000-00004C2E0000}"/>
    <cellStyle name="Note 2 3 31" xfId="47452" xr:uid="{00000000-0005-0000-0000-00004D2E0000}"/>
    <cellStyle name="Note 2 3 32" xfId="47499" xr:uid="{00000000-0005-0000-0000-00004E2E0000}"/>
    <cellStyle name="Note 2 3 4" xfId="795" xr:uid="{00000000-0005-0000-0000-00004F2E0000}"/>
    <cellStyle name="Note 2 3 4 10" xfId="24521" xr:uid="{00000000-0005-0000-0000-0000502E0000}"/>
    <cellStyle name="Note 2 3 4 11" xfId="28410" xr:uid="{00000000-0005-0000-0000-0000512E0000}"/>
    <cellStyle name="Note 2 3 4 12" xfId="32098" xr:uid="{00000000-0005-0000-0000-0000522E0000}"/>
    <cellStyle name="Note 2 3 4 13" xfId="35853" xr:uid="{00000000-0005-0000-0000-0000532E0000}"/>
    <cellStyle name="Note 2 3 4 14" xfId="39866" xr:uid="{00000000-0005-0000-0000-0000542E0000}"/>
    <cellStyle name="Note 2 3 4 15" xfId="43679" xr:uid="{00000000-0005-0000-0000-0000552E0000}"/>
    <cellStyle name="Note 2 3 4 2" xfId="1159" xr:uid="{00000000-0005-0000-0000-0000562E0000}"/>
    <cellStyle name="Note 2 3 4 2 10" xfId="28768" xr:uid="{00000000-0005-0000-0000-0000572E0000}"/>
    <cellStyle name="Note 2 3 4 2 11" xfId="32451" xr:uid="{00000000-0005-0000-0000-0000582E0000}"/>
    <cellStyle name="Note 2 3 4 2 12" xfId="36217" xr:uid="{00000000-0005-0000-0000-0000592E0000}"/>
    <cellStyle name="Note 2 3 4 2 13" xfId="40212" xr:uid="{00000000-0005-0000-0000-00005A2E0000}"/>
    <cellStyle name="Note 2 3 4 2 14" xfId="44043" xr:uid="{00000000-0005-0000-0000-00005B2E0000}"/>
    <cellStyle name="Note 2 3 4 2 2" xfId="1881" xr:uid="{00000000-0005-0000-0000-00005C2E0000}"/>
    <cellStyle name="Note 2 3 4 2 2 10" xfId="33168" xr:uid="{00000000-0005-0000-0000-00005D2E0000}"/>
    <cellStyle name="Note 2 3 4 2 2 11" xfId="36938" xr:uid="{00000000-0005-0000-0000-00005E2E0000}"/>
    <cellStyle name="Note 2 3 4 2 2 12" xfId="40929" xr:uid="{00000000-0005-0000-0000-00005F2E0000}"/>
    <cellStyle name="Note 2 3 4 2 2 13" xfId="44760" xr:uid="{00000000-0005-0000-0000-0000602E0000}"/>
    <cellStyle name="Note 2 3 4 2 2 2" xfId="3871" xr:uid="{00000000-0005-0000-0000-0000612E0000}"/>
    <cellStyle name="Note 2 3 4 2 2 2 10" xfId="38922" xr:uid="{00000000-0005-0000-0000-0000622E0000}"/>
    <cellStyle name="Note 2 3 4 2 2 2 11" xfId="42933" xr:uid="{00000000-0005-0000-0000-0000632E0000}"/>
    <cellStyle name="Note 2 3 4 2 2 2 12" xfId="46698" xr:uid="{00000000-0005-0000-0000-0000642E0000}"/>
    <cellStyle name="Note 2 3 4 2 2 2 2" xfId="7738" xr:uid="{00000000-0005-0000-0000-0000652E0000}"/>
    <cellStyle name="Note 2 3 4 2 2 2 3" xfId="12173" xr:uid="{00000000-0005-0000-0000-0000662E0000}"/>
    <cellStyle name="Note 2 3 4 2 2 2 4" xfId="16018" xr:uid="{00000000-0005-0000-0000-0000672E0000}"/>
    <cellStyle name="Note 2 3 4 2 2 2 5" xfId="19865" xr:uid="{00000000-0005-0000-0000-0000682E0000}"/>
    <cellStyle name="Note 2 3 4 2 2 2 6" xfId="23781" xr:uid="{00000000-0005-0000-0000-0000692E0000}"/>
    <cellStyle name="Note 2 3 4 2 2 2 7" xfId="27615" xr:uid="{00000000-0005-0000-0000-00006A2E0000}"/>
    <cellStyle name="Note 2 3 4 2 2 2 8" xfId="31478" xr:uid="{00000000-0005-0000-0000-00006B2E0000}"/>
    <cellStyle name="Note 2 3 4 2 2 2 9" xfId="35136" xr:uid="{00000000-0005-0000-0000-00006C2E0000}"/>
    <cellStyle name="Note 2 3 4 2 2 3" xfId="5814" xr:uid="{00000000-0005-0000-0000-00006D2E0000}"/>
    <cellStyle name="Note 2 3 4 2 2 4" xfId="10172" xr:uid="{00000000-0005-0000-0000-00006E2E0000}"/>
    <cellStyle name="Note 2 3 4 2 2 5" xfId="14018" xr:uid="{00000000-0005-0000-0000-00006F2E0000}"/>
    <cellStyle name="Note 2 3 4 2 2 6" xfId="17847" xr:uid="{00000000-0005-0000-0000-0000702E0000}"/>
    <cellStyle name="Note 2 3 4 2 2 7" xfId="21786" xr:uid="{00000000-0005-0000-0000-0000712E0000}"/>
    <cellStyle name="Note 2 3 4 2 2 8" xfId="25599" xr:uid="{00000000-0005-0000-0000-0000722E0000}"/>
    <cellStyle name="Note 2 3 4 2 2 9" xfId="29486" xr:uid="{00000000-0005-0000-0000-0000732E0000}"/>
    <cellStyle name="Note 2 3 4 2 3" xfId="3149" xr:uid="{00000000-0005-0000-0000-0000742E0000}"/>
    <cellStyle name="Note 2 3 4 2 3 10" xfId="38201" xr:uid="{00000000-0005-0000-0000-0000752E0000}"/>
    <cellStyle name="Note 2 3 4 2 3 11" xfId="42212" xr:uid="{00000000-0005-0000-0000-0000762E0000}"/>
    <cellStyle name="Note 2 3 4 2 3 12" xfId="45981" xr:uid="{00000000-0005-0000-0000-0000772E0000}"/>
    <cellStyle name="Note 2 3 4 2 3 2" xfId="7021" xr:uid="{00000000-0005-0000-0000-0000782E0000}"/>
    <cellStyle name="Note 2 3 4 2 3 3" xfId="11453" xr:uid="{00000000-0005-0000-0000-0000792E0000}"/>
    <cellStyle name="Note 2 3 4 2 3 4" xfId="15297" xr:uid="{00000000-0005-0000-0000-00007A2E0000}"/>
    <cellStyle name="Note 2 3 4 2 3 5" xfId="19143" xr:uid="{00000000-0005-0000-0000-00007B2E0000}"/>
    <cellStyle name="Note 2 3 4 2 3 6" xfId="23062" xr:uid="{00000000-0005-0000-0000-00007C2E0000}"/>
    <cellStyle name="Note 2 3 4 2 3 7" xfId="26894" xr:uid="{00000000-0005-0000-0000-00007D2E0000}"/>
    <cellStyle name="Note 2 3 4 2 3 8" xfId="30766" xr:uid="{00000000-0005-0000-0000-00007E2E0000}"/>
    <cellStyle name="Note 2 3 4 2 3 9" xfId="34419" xr:uid="{00000000-0005-0000-0000-00007F2E0000}"/>
    <cellStyle name="Note 2 3 4 2 4" xfId="5097" xr:uid="{00000000-0005-0000-0000-0000802E0000}"/>
    <cellStyle name="Note 2 3 4 2 5" xfId="9453" xr:uid="{00000000-0005-0000-0000-0000812E0000}"/>
    <cellStyle name="Note 2 3 4 2 6" xfId="13297" xr:uid="{00000000-0005-0000-0000-0000822E0000}"/>
    <cellStyle name="Note 2 3 4 2 7" xfId="17125" xr:uid="{00000000-0005-0000-0000-0000832E0000}"/>
    <cellStyle name="Note 2 3 4 2 8" xfId="21067" xr:uid="{00000000-0005-0000-0000-0000842E0000}"/>
    <cellStyle name="Note 2 3 4 2 9" xfId="24878" xr:uid="{00000000-0005-0000-0000-0000852E0000}"/>
    <cellStyle name="Note 2 3 4 3" xfId="1528" xr:uid="{00000000-0005-0000-0000-0000862E0000}"/>
    <cellStyle name="Note 2 3 4 3 10" xfId="32815" xr:uid="{00000000-0005-0000-0000-0000872E0000}"/>
    <cellStyle name="Note 2 3 4 3 11" xfId="36585" xr:uid="{00000000-0005-0000-0000-0000882E0000}"/>
    <cellStyle name="Note 2 3 4 3 12" xfId="40576" xr:uid="{00000000-0005-0000-0000-0000892E0000}"/>
    <cellStyle name="Note 2 3 4 3 13" xfId="44407" xr:uid="{00000000-0005-0000-0000-00008A2E0000}"/>
    <cellStyle name="Note 2 3 4 3 2" xfId="3518" xr:uid="{00000000-0005-0000-0000-00008B2E0000}"/>
    <cellStyle name="Note 2 3 4 3 2 10" xfId="38569" xr:uid="{00000000-0005-0000-0000-00008C2E0000}"/>
    <cellStyle name="Note 2 3 4 3 2 11" xfId="42580" xr:uid="{00000000-0005-0000-0000-00008D2E0000}"/>
    <cellStyle name="Note 2 3 4 3 2 12" xfId="46345" xr:uid="{00000000-0005-0000-0000-00008E2E0000}"/>
    <cellStyle name="Note 2 3 4 3 2 2" xfId="7385" xr:uid="{00000000-0005-0000-0000-00008F2E0000}"/>
    <cellStyle name="Note 2 3 4 3 2 3" xfId="11820" xr:uid="{00000000-0005-0000-0000-0000902E0000}"/>
    <cellStyle name="Note 2 3 4 3 2 4" xfId="15665" xr:uid="{00000000-0005-0000-0000-0000912E0000}"/>
    <cellStyle name="Note 2 3 4 3 2 5" xfId="19512" xr:uid="{00000000-0005-0000-0000-0000922E0000}"/>
    <cellStyle name="Note 2 3 4 3 2 6" xfId="23428" xr:uid="{00000000-0005-0000-0000-0000932E0000}"/>
    <cellStyle name="Note 2 3 4 3 2 7" xfId="27262" xr:uid="{00000000-0005-0000-0000-0000942E0000}"/>
    <cellStyle name="Note 2 3 4 3 2 8" xfId="31129" xr:uid="{00000000-0005-0000-0000-0000952E0000}"/>
    <cellStyle name="Note 2 3 4 3 2 9" xfId="34783" xr:uid="{00000000-0005-0000-0000-0000962E0000}"/>
    <cellStyle name="Note 2 3 4 3 3" xfId="5461" xr:uid="{00000000-0005-0000-0000-0000972E0000}"/>
    <cellStyle name="Note 2 3 4 3 4" xfId="9819" xr:uid="{00000000-0005-0000-0000-0000982E0000}"/>
    <cellStyle name="Note 2 3 4 3 5" xfId="13665" xr:uid="{00000000-0005-0000-0000-0000992E0000}"/>
    <cellStyle name="Note 2 3 4 3 6" xfId="17494" xr:uid="{00000000-0005-0000-0000-00009A2E0000}"/>
    <cellStyle name="Note 2 3 4 3 7" xfId="21433" xr:uid="{00000000-0005-0000-0000-00009B2E0000}"/>
    <cellStyle name="Note 2 3 4 3 8" xfId="25246" xr:uid="{00000000-0005-0000-0000-00009C2E0000}"/>
    <cellStyle name="Note 2 3 4 3 9" xfId="29133" xr:uid="{00000000-0005-0000-0000-00009D2E0000}"/>
    <cellStyle name="Note 2 3 4 4" xfId="2785" xr:uid="{00000000-0005-0000-0000-00009E2E0000}"/>
    <cellStyle name="Note 2 3 4 4 10" xfId="37837" xr:uid="{00000000-0005-0000-0000-00009F2E0000}"/>
    <cellStyle name="Note 2 3 4 4 11" xfId="41849" xr:uid="{00000000-0005-0000-0000-0000A02E0000}"/>
    <cellStyle name="Note 2 3 4 4 12" xfId="45628" xr:uid="{00000000-0005-0000-0000-0000A12E0000}"/>
    <cellStyle name="Note 2 3 4 4 2" xfId="6667" xr:uid="{00000000-0005-0000-0000-0000A22E0000}"/>
    <cellStyle name="Note 2 3 4 4 3" xfId="11093" xr:uid="{00000000-0005-0000-0000-0000A32E0000}"/>
    <cellStyle name="Note 2 3 4 4 4" xfId="14939" xr:uid="{00000000-0005-0000-0000-0000A42E0000}"/>
    <cellStyle name="Note 2 3 4 4 5" xfId="18779" xr:uid="{00000000-0005-0000-0000-0000A52E0000}"/>
    <cellStyle name="Note 2 3 4 4 6" xfId="22706" xr:uid="{00000000-0005-0000-0000-0000A62E0000}"/>
    <cellStyle name="Note 2 3 4 4 7" xfId="26530" xr:uid="{00000000-0005-0000-0000-0000A72E0000}"/>
    <cellStyle name="Note 2 3 4 4 8" xfId="30408" xr:uid="{00000000-0005-0000-0000-0000A82E0000}"/>
    <cellStyle name="Note 2 3 4 4 9" xfId="34066" xr:uid="{00000000-0005-0000-0000-0000A92E0000}"/>
    <cellStyle name="Note 2 3 4 5" xfId="4743" xr:uid="{00000000-0005-0000-0000-0000AA2E0000}"/>
    <cellStyle name="Note 2 3 4 6" xfId="9095" xr:uid="{00000000-0005-0000-0000-0000AB2E0000}"/>
    <cellStyle name="Note 2 3 4 7" xfId="12937" xr:uid="{00000000-0005-0000-0000-0000AC2E0000}"/>
    <cellStyle name="Note 2 3 4 8" xfId="16761" xr:uid="{00000000-0005-0000-0000-0000AD2E0000}"/>
    <cellStyle name="Note 2 3 4 9" xfId="20703" xr:uid="{00000000-0005-0000-0000-0000AE2E0000}"/>
    <cellStyle name="Note 2 3 5" xfId="889" xr:uid="{00000000-0005-0000-0000-0000AF2E0000}"/>
    <cellStyle name="Note 2 3 5 10" xfId="24613" xr:uid="{00000000-0005-0000-0000-0000B02E0000}"/>
    <cellStyle name="Note 2 3 5 11" xfId="28503" xr:uid="{00000000-0005-0000-0000-0000B12E0000}"/>
    <cellStyle name="Note 2 3 5 12" xfId="32190" xr:uid="{00000000-0005-0000-0000-0000B22E0000}"/>
    <cellStyle name="Note 2 3 5 13" xfId="35947" xr:uid="{00000000-0005-0000-0000-0000B32E0000}"/>
    <cellStyle name="Note 2 3 5 14" xfId="39957" xr:uid="{00000000-0005-0000-0000-0000B42E0000}"/>
    <cellStyle name="Note 2 3 5 15" xfId="43773" xr:uid="{00000000-0005-0000-0000-0000B52E0000}"/>
    <cellStyle name="Note 2 3 5 2" xfId="1226" xr:uid="{00000000-0005-0000-0000-0000B62E0000}"/>
    <cellStyle name="Note 2 3 5 2 10" xfId="28834" xr:uid="{00000000-0005-0000-0000-0000B72E0000}"/>
    <cellStyle name="Note 2 3 5 2 11" xfId="32518" xr:uid="{00000000-0005-0000-0000-0000B82E0000}"/>
    <cellStyle name="Note 2 3 5 2 12" xfId="36284" xr:uid="{00000000-0005-0000-0000-0000B92E0000}"/>
    <cellStyle name="Note 2 3 5 2 13" xfId="40277" xr:uid="{00000000-0005-0000-0000-0000BA2E0000}"/>
    <cellStyle name="Note 2 3 5 2 14" xfId="44110" xr:uid="{00000000-0005-0000-0000-0000BB2E0000}"/>
    <cellStyle name="Note 2 3 5 2 2" xfId="1948" xr:uid="{00000000-0005-0000-0000-0000BC2E0000}"/>
    <cellStyle name="Note 2 3 5 2 2 10" xfId="33235" xr:uid="{00000000-0005-0000-0000-0000BD2E0000}"/>
    <cellStyle name="Note 2 3 5 2 2 11" xfId="37005" xr:uid="{00000000-0005-0000-0000-0000BE2E0000}"/>
    <cellStyle name="Note 2 3 5 2 2 12" xfId="40996" xr:uid="{00000000-0005-0000-0000-0000BF2E0000}"/>
    <cellStyle name="Note 2 3 5 2 2 13" xfId="44827" xr:uid="{00000000-0005-0000-0000-0000C02E0000}"/>
    <cellStyle name="Note 2 3 5 2 2 2" xfId="3938" xr:uid="{00000000-0005-0000-0000-0000C12E0000}"/>
    <cellStyle name="Note 2 3 5 2 2 2 10" xfId="38989" xr:uid="{00000000-0005-0000-0000-0000C22E0000}"/>
    <cellStyle name="Note 2 3 5 2 2 2 11" xfId="43000" xr:uid="{00000000-0005-0000-0000-0000C32E0000}"/>
    <cellStyle name="Note 2 3 5 2 2 2 12" xfId="46765" xr:uid="{00000000-0005-0000-0000-0000C42E0000}"/>
    <cellStyle name="Note 2 3 5 2 2 2 2" xfId="7805" xr:uid="{00000000-0005-0000-0000-0000C52E0000}"/>
    <cellStyle name="Note 2 3 5 2 2 2 3" xfId="12240" xr:uid="{00000000-0005-0000-0000-0000C62E0000}"/>
    <cellStyle name="Note 2 3 5 2 2 2 4" xfId="16085" xr:uid="{00000000-0005-0000-0000-0000C72E0000}"/>
    <cellStyle name="Note 2 3 5 2 2 2 5" xfId="19932" xr:uid="{00000000-0005-0000-0000-0000C82E0000}"/>
    <cellStyle name="Note 2 3 5 2 2 2 6" xfId="23848" xr:uid="{00000000-0005-0000-0000-0000C92E0000}"/>
    <cellStyle name="Note 2 3 5 2 2 2 7" xfId="27682" xr:uid="{00000000-0005-0000-0000-0000CA2E0000}"/>
    <cellStyle name="Note 2 3 5 2 2 2 8" xfId="31543" xr:uid="{00000000-0005-0000-0000-0000CB2E0000}"/>
    <cellStyle name="Note 2 3 5 2 2 2 9" xfId="35203" xr:uid="{00000000-0005-0000-0000-0000CC2E0000}"/>
    <cellStyle name="Note 2 3 5 2 2 3" xfId="5881" xr:uid="{00000000-0005-0000-0000-0000CD2E0000}"/>
    <cellStyle name="Note 2 3 5 2 2 4" xfId="10239" xr:uid="{00000000-0005-0000-0000-0000CE2E0000}"/>
    <cellStyle name="Note 2 3 5 2 2 5" xfId="14085" xr:uid="{00000000-0005-0000-0000-0000CF2E0000}"/>
    <cellStyle name="Note 2 3 5 2 2 6" xfId="17914" xr:uid="{00000000-0005-0000-0000-0000D02E0000}"/>
    <cellStyle name="Note 2 3 5 2 2 7" xfId="21853" xr:uid="{00000000-0005-0000-0000-0000D12E0000}"/>
    <cellStyle name="Note 2 3 5 2 2 8" xfId="25666" xr:uid="{00000000-0005-0000-0000-0000D22E0000}"/>
    <cellStyle name="Note 2 3 5 2 2 9" xfId="29553" xr:uid="{00000000-0005-0000-0000-0000D32E0000}"/>
    <cellStyle name="Note 2 3 5 2 3" xfId="3216" xr:uid="{00000000-0005-0000-0000-0000D42E0000}"/>
    <cellStyle name="Note 2 3 5 2 3 10" xfId="38268" xr:uid="{00000000-0005-0000-0000-0000D52E0000}"/>
    <cellStyle name="Note 2 3 5 2 3 11" xfId="42279" xr:uid="{00000000-0005-0000-0000-0000D62E0000}"/>
    <cellStyle name="Note 2 3 5 2 3 12" xfId="46048" xr:uid="{00000000-0005-0000-0000-0000D72E0000}"/>
    <cellStyle name="Note 2 3 5 2 3 2" xfId="7088" xr:uid="{00000000-0005-0000-0000-0000D82E0000}"/>
    <cellStyle name="Note 2 3 5 2 3 3" xfId="11520" xr:uid="{00000000-0005-0000-0000-0000D92E0000}"/>
    <cellStyle name="Note 2 3 5 2 3 4" xfId="15364" xr:uid="{00000000-0005-0000-0000-0000DA2E0000}"/>
    <cellStyle name="Note 2 3 5 2 3 5" xfId="19210" xr:uid="{00000000-0005-0000-0000-0000DB2E0000}"/>
    <cellStyle name="Note 2 3 5 2 3 6" xfId="23129" xr:uid="{00000000-0005-0000-0000-0000DC2E0000}"/>
    <cellStyle name="Note 2 3 5 2 3 7" xfId="26961" xr:uid="{00000000-0005-0000-0000-0000DD2E0000}"/>
    <cellStyle name="Note 2 3 5 2 3 8" xfId="30831" xr:uid="{00000000-0005-0000-0000-0000DE2E0000}"/>
    <cellStyle name="Note 2 3 5 2 3 9" xfId="34486" xr:uid="{00000000-0005-0000-0000-0000DF2E0000}"/>
    <cellStyle name="Note 2 3 5 2 4" xfId="5164" xr:uid="{00000000-0005-0000-0000-0000E02E0000}"/>
    <cellStyle name="Note 2 3 5 2 5" xfId="9520" xr:uid="{00000000-0005-0000-0000-0000E12E0000}"/>
    <cellStyle name="Note 2 3 5 2 6" xfId="13364" xr:uid="{00000000-0005-0000-0000-0000E22E0000}"/>
    <cellStyle name="Note 2 3 5 2 7" xfId="17192" xr:uid="{00000000-0005-0000-0000-0000E32E0000}"/>
    <cellStyle name="Note 2 3 5 2 8" xfId="21134" xr:uid="{00000000-0005-0000-0000-0000E42E0000}"/>
    <cellStyle name="Note 2 3 5 2 9" xfId="24945" xr:uid="{00000000-0005-0000-0000-0000E52E0000}"/>
    <cellStyle name="Note 2 3 5 3" xfId="1620" xr:uid="{00000000-0005-0000-0000-0000E62E0000}"/>
    <cellStyle name="Note 2 3 5 3 10" xfId="32907" xr:uid="{00000000-0005-0000-0000-0000E72E0000}"/>
    <cellStyle name="Note 2 3 5 3 11" xfId="36677" xr:uid="{00000000-0005-0000-0000-0000E82E0000}"/>
    <cellStyle name="Note 2 3 5 3 12" xfId="40668" xr:uid="{00000000-0005-0000-0000-0000E92E0000}"/>
    <cellStyle name="Note 2 3 5 3 13" xfId="44499" xr:uid="{00000000-0005-0000-0000-0000EA2E0000}"/>
    <cellStyle name="Note 2 3 5 3 2" xfId="3610" xr:uid="{00000000-0005-0000-0000-0000EB2E0000}"/>
    <cellStyle name="Note 2 3 5 3 2 10" xfId="38661" xr:uid="{00000000-0005-0000-0000-0000EC2E0000}"/>
    <cellStyle name="Note 2 3 5 3 2 11" xfId="42672" xr:uid="{00000000-0005-0000-0000-0000ED2E0000}"/>
    <cellStyle name="Note 2 3 5 3 2 12" xfId="46437" xr:uid="{00000000-0005-0000-0000-0000EE2E0000}"/>
    <cellStyle name="Note 2 3 5 3 2 2" xfId="7477" xr:uid="{00000000-0005-0000-0000-0000EF2E0000}"/>
    <cellStyle name="Note 2 3 5 3 2 3" xfId="11912" xr:uid="{00000000-0005-0000-0000-0000F02E0000}"/>
    <cellStyle name="Note 2 3 5 3 2 4" xfId="15757" xr:uid="{00000000-0005-0000-0000-0000F12E0000}"/>
    <cellStyle name="Note 2 3 5 3 2 5" xfId="19604" xr:uid="{00000000-0005-0000-0000-0000F22E0000}"/>
    <cellStyle name="Note 2 3 5 3 2 6" xfId="23520" xr:uid="{00000000-0005-0000-0000-0000F32E0000}"/>
    <cellStyle name="Note 2 3 5 3 2 7" xfId="27354" xr:uid="{00000000-0005-0000-0000-0000F42E0000}"/>
    <cellStyle name="Note 2 3 5 3 2 8" xfId="31219" xr:uid="{00000000-0005-0000-0000-0000F52E0000}"/>
    <cellStyle name="Note 2 3 5 3 2 9" xfId="34875" xr:uid="{00000000-0005-0000-0000-0000F62E0000}"/>
    <cellStyle name="Note 2 3 5 3 3" xfId="5553" xr:uid="{00000000-0005-0000-0000-0000F72E0000}"/>
    <cellStyle name="Note 2 3 5 3 4" xfId="9911" xr:uid="{00000000-0005-0000-0000-0000F82E0000}"/>
    <cellStyle name="Note 2 3 5 3 5" xfId="13757" xr:uid="{00000000-0005-0000-0000-0000F92E0000}"/>
    <cellStyle name="Note 2 3 5 3 6" xfId="17586" xr:uid="{00000000-0005-0000-0000-0000FA2E0000}"/>
    <cellStyle name="Note 2 3 5 3 7" xfId="21525" xr:uid="{00000000-0005-0000-0000-0000FB2E0000}"/>
    <cellStyle name="Note 2 3 5 3 8" xfId="25338" xr:uid="{00000000-0005-0000-0000-0000FC2E0000}"/>
    <cellStyle name="Note 2 3 5 3 9" xfId="29225" xr:uid="{00000000-0005-0000-0000-0000FD2E0000}"/>
    <cellStyle name="Note 2 3 5 4" xfId="2879" xr:uid="{00000000-0005-0000-0000-0000FE2E0000}"/>
    <cellStyle name="Note 2 3 5 4 10" xfId="37931" xr:uid="{00000000-0005-0000-0000-0000FF2E0000}"/>
    <cellStyle name="Note 2 3 5 4 11" xfId="41943" xr:uid="{00000000-0005-0000-0000-0000002F0000}"/>
    <cellStyle name="Note 2 3 5 4 12" xfId="45720" xr:uid="{00000000-0005-0000-0000-0000012F0000}"/>
    <cellStyle name="Note 2 3 5 4 2" xfId="6759" xr:uid="{00000000-0005-0000-0000-0000022F0000}"/>
    <cellStyle name="Note 2 3 5 4 3" xfId="11186" xr:uid="{00000000-0005-0000-0000-0000032F0000}"/>
    <cellStyle name="Note 2 3 5 4 4" xfId="15031" xr:uid="{00000000-0005-0000-0000-0000042F0000}"/>
    <cellStyle name="Note 2 3 5 4 5" xfId="18873" xr:uid="{00000000-0005-0000-0000-0000052F0000}"/>
    <cellStyle name="Note 2 3 5 4 6" xfId="22799" xr:uid="{00000000-0005-0000-0000-0000062F0000}"/>
    <cellStyle name="Note 2 3 5 4 7" xfId="26624" xr:uid="{00000000-0005-0000-0000-0000072F0000}"/>
    <cellStyle name="Note 2 3 5 4 8" xfId="30500" xr:uid="{00000000-0005-0000-0000-0000082F0000}"/>
    <cellStyle name="Note 2 3 5 4 9" xfId="34158" xr:uid="{00000000-0005-0000-0000-0000092F0000}"/>
    <cellStyle name="Note 2 3 5 5" xfId="4835" xr:uid="{00000000-0005-0000-0000-00000A2F0000}"/>
    <cellStyle name="Note 2 3 5 6" xfId="9189" xr:uid="{00000000-0005-0000-0000-00000B2F0000}"/>
    <cellStyle name="Note 2 3 5 7" xfId="13030" xr:uid="{00000000-0005-0000-0000-00000C2F0000}"/>
    <cellStyle name="Note 2 3 5 8" xfId="16855" xr:uid="{00000000-0005-0000-0000-00000D2F0000}"/>
    <cellStyle name="Note 2 3 5 9" xfId="20797" xr:uid="{00000000-0005-0000-0000-00000E2F0000}"/>
    <cellStyle name="Note 2 3 6" xfId="935" xr:uid="{00000000-0005-0000-0000-00000F2F0000}"/>
    <cellStyle name="Note 2 3 6 10" xfId="28547" xr:uid="{00000000-0005-0000-0000-0000102F0000}"/>
    <cellStyle name="Note 2 3 6 11" xfId="32236" xr:uid="{00000000-0005-0000-0000-0000112F0000}"/>
    <cellStyle name="Note 2 3 6 12" xfId="35993" xr:uid="{00000000-0005-0000-0000-0000122F0000}"/>
    <cellStyle name="Note 2 3 6 13" xfId="40001" xr:uid="{00000000-0005-0000-0000-0000132F0000}"/>
    <cellStyle name="Note 2 3 6 14" xfId="43819" xr:uid="{00000000-0005-0000-0000-0000142F0000}"/>
    <cellStyle name="Note 2 3 6 2" xfId="1666" xr:uid="{00000000-0005-0000-0000-0000152F0000}"/>
    <cellStyle name="Note 2 3 6 2 10" xfId="32953" xr:uid="{00000000-0005-0000-0000-0000162F0000}"/>
    <cellStyle name="Note 2 3 6 2 11" xfId="36723" xr:uid="{00000000-0005-0000-0000-0000172F0000}"/>
    <cellStyle name="Note 2 3 6 2 12" xfId="40714" xr:uid="{00000000-0005-0000-0000-0000182F0000}"/>
    <cellStyle name="Note 2 3 6 2 13" xfId="44545" xr:uid="{00000000-0005-0000-0000-0000192F0000}"/>
    <cellStyle name="Note 2 3 6 2 2" xfId="3656" xr:uid="{00000000-0005-0000-0000-00001A2F0000}"/>
    <cellStyle name="Note 2 3 6 2 2 10" xfId="38707" xr:uid="{00000000-0005-0000-0000-00001B2F0000}"/>
    <cellStyle name="Note 2 3 6 2 2 11" xfId="42718" xr:uid="{00000000-0005-0000-0000-00001C2F0000}"/>
    <cellStyle name="Note 2 3 6 2 2 12" xfId="46483" xr:uid="{00000000-0005-0000-0000-00001D2F0000}"/>
    <cellStyle name="Note 2 3 6 2 2 2" xfId="7523" xr:uid="{00000000-0005-0000-0000-00001E2F0000}"/>
    <cellStyle name="Note 2 3 6 2 2 3" xfId="11958" xr:uid="{00000000-0005-0000-0000-00001F2F0000}"/>
    <cellStyle name="Note 2 3 6 2 2 4" xfId="15803" xr:uid="{00000000-0005-0000-0000-0000202F0000}"/>
    <cellStyle name="Note 2 3 6 2 2 5" xfId="19650" xr:uid="{00000000-0005-0000-0000-0000212F0000}"/>
    <cellStyle name="Note 2 3 6 2 2 6" xfId="23566" xr:uid="{00000000-0005-0000-0000-0000222F0000}"/>
    <cellStyle name="Note 2 3 6 2 2 7" xfId="27400" xr:uid="{00000000-0005-0000-0000-0000232F0000}"/>
    <cellStyle name="Note 2 3 6 2 2 8" xfId="31264" xr:uid="{00000000-0005-0000-0000-0000242F0000}"/>
    <cellStyle name="Note 2 3 6 2 2 9" xfId="34921" xr:uid="{00000000-0005-0000-0000-0000252F0000}"/>
    <cellStyle name="Note 2 3 6 2 3" xfId="5599" xr:uid="{00000000-0005-0000-0000-0000262F0000}"/>
    <cellStyle name="Note 2 3 6 2 4" xfId="9957" xr:uid="{00000000-0005-0000-0000-0000272F0000}"/>
    <cellStyle name="Note 2 3 6 2 5" xfId="13803" xr:uid="{00000000-0005-0000-0000-0000282F0000}"/>
    <cellStyle name="Note 2 3 6 2 6" xfId="17632" xr:uid="{00000000-0005-0000-0000-0000292F0000}"/>
    <cellStyle name="Note 2 3 6 2 7" xfId="21571" xr:uid="{00000000-0005-0000-0000-00002A2F0000}"/>
    <cellStyle name="Note 2 3 6 2 8" xfId="25384" xr:uid="{00000000-0005-0000-0000-00002B2F0000}"/>
    <cellStyle name="Note 2 3 6 2 9" xfId="29271" xr:uid="{00000000-0005-0000-0000-00002C2F0000}"/>
    <cellStyle name="Note 2 3 6 3" xfId="2925" xr:uid="{00000000-0005-0000-0000-00002D2F0000}"/>
    <cellStyle name="Note 2 3 6 3 10" xfId="37977" xr:uid="{00000000-0005-0000-0000-00002E2F0000}"/>
    <cellStyle name="Note 2 3 6 3 11" xfId="41989" xr:uid="{00000000-0005-0000-0000-00002F2F0000}"/>
    <cellStyle name="Note 2 3 6 3 12" xfId="45766" xr:uid="{00000000-0005-0000-0000-0000302F0000}"/>
    <cellStyle name="Note 2 3 6 3 2" xfId="6805" xr:uid="{00000000-0005-0000-0000-0000312F0000}"/>
    <cellStyle name="Note 2 3 6 3 3" xfId="11232" xr:uid="{00000000-0005-0000-0000-0000322F0000}"/>
    <cellStyle name="Note 2 3 6 3 4" xfId="15077" xr:uid="{00000000-0005-0000-0000-0000332F0000}"/>
    <cellStyle name="Note 2 3 6 3 5" xfId="18919" xr:uid="{00000000-0005-0000-0000-0000342F0000}"/>
    <cellStyle name="Note 2 3 6 3 6" xfId="22845" xr:uid="{00000000-0005-0000-0000-0000352F0000}"/>
    <cellStyle name="Note 2 3 6 3 7" xfId="26670" xr:uid="{00000000-0005-0000-0000-0000362F0000}"/>
    <cellStyle name="Note 2 3 6 3 8" xfId="30545" xr:uid="{00000000-0005-0000-0000-0000372F0000}"/>
    <cellStyle name="Note 2 3 6 3 9" xfId="34204" xr:uid="{00000000-0005-0000-0000-0000382F0000}"/>
    <cellStyle name="Note 2 3 6 4" xfId="4881" xr:uid="{00000000-0005-0000-0000-0000392F0000}"/>
    <cellStyle name="Note 2 3 6 5" xfId="9235" xr:uid="{00000000-0005-0000-0000-00003A2F0000}"/>
    <cellStyle name="Note 2 3 6 6" xfId="13076" xr:uid="{00000000-0005-0000-0000-00003B2F0000}"/>
    <cellStyle name="Note 2 3 6 7" xfId="16901" xr:uid="{00000000-0005-0000-0000-00003C2F0000}"/>
    <cellStyle name="Note 2 3 6 8" xfId="20843" xr:uid="{00000000-0005-0000-0000-00003D2F0000}"/>
    <cellStyle name="Note 2 3 6 9" xfId="24659" xr:uid="{00000000-0005-0000-0000-00003E2F0000}"/>
    <cellStyle name="Note 2 3 7" xfId="1313" xr:uid="{00000000-0005-0000-0000-00003F2F0000}"/>
    <cellStyle name="Note 2 3 7 10" xfId="32600" xr:uid="{00000000-0005-0000-0000-0000402F0000}"/>
    <cellStyle name="Note 2 3 7 11" xfId="36370" xr:uid="{00000000-0005-0000-0000-0000412F0000}"/>
    <cellStyle name="Note 2 3 7 12" xfId="40361" xr:uid="{00000000-0005-0000-0000-0000422F0000}"/>
    <cellStyle name="Note 2 3 7 13" xfId="44192" xr:uid="{00000000-0005-0000-0000-0000432F0000}"/>
    <cellStyle name="Note 2 3 7 2" xfId="3303" xr:uid="{00000000-0005-0000-0000-0000442F0000}"/>
    <cellStyle name="Note 2 3 7 2 10" xfId="38354" xr:uid="{00000000-0005-0000-0000-0000452F0000}"/>
    <cellStyle name="Note 2 3 7 2 11" xfId="42365" xr:uid="{00000000-0005-0000-0000-0000462F0000}"/>
    <cellStyle name="Note 2 3 7 2 12" xfId="46130" xr:uid="{00000000-0005-0000-0000-0000472F0000}"/>
    <cellStyle name="Note 2 3 7 2 2" xfId="7170" xr:uid="{00000000-0005-0000-0000-0000482F0000}"/>
    <cellStyle name="Note 2 3 7 2 3" xfId="11605" xr:uid="{00000000-0005-0000-0000-0000492F0000}"/>
    <cellStyle name="Note 2 3 7 2 4" xfId="15450" xr:uid="{00000000-0005-0000-0000-00004A2F0000}"/>
    <cellStyle name="Note 2 3 7 2 5" xfId="19297" xr:uid="{00000000-0005-0000-0000-00004B2F0000}"/>
    <cellStyle name="Note 2 3 7 2 6" xfId="23213" xr:uid="{00000000-0005-0000-0000-00004C2F0000}"/>
    <cellStyle name="Note 2 3 7 2 7" xfId="27047" xr:uid="{00000000-0005-0000-0000-00004D2F0000}"/>
    <cellStyle name="Note 2 3 7 2 8" xfId="30916" xr:uid="{00000000-0005-0000-0000-00004E2F0000}"/>
    <cellStyle name="Note 2 3 7 2 9" xfId="34568" xr:uid="{00000000-0005-0000-0000-00004F2F0000}"/>
    <cellStyle name="Note 2 3 7 3" xfId="5246" xr:uid="{00000000-0005-0000-0000-0000502F0000}"/>
    <cellStyle name="Note 2 3 7 4" xfId="9604" xr:uid="{00000000-0005-0000-0000-0000512F0000}"/>
    <cellStyle name="Note 2 3 7 5" xfId="13450" xr:uid="{00000000-0005-0000-0000-0000522F0000}"/>
    <cellStyle name="Note 2 3 7 6" xfId="17279" xr:uid="{00000000-0005-0000-0000-0000532F0000}"/>
    <cellStyle name="Note 2 3 7 7" xfId="21218" xr:uid="{00000000-0005-0000-0000-0000542F0000}"/>
    <cellStyle name="Note 2 3 7 8" xfId="25031" xr:uid="{00000000-0005-0000-0000-0000552F0000}"/>
    <cellStyle name="Note 2 3 7 9" xfId="28918" xr:uid="{00000000-0005-0000-0000-0000562F0000}"/>
    <cellStyle name="Note 2 3 8" xfId="2008" xr:uid="{00000000-0005-0000-0000-0000572F0000}"/>
    <cellStyle name="Note 2 3 8 10" xfId="33295" xr:uid="{00000000-0005-0000-0000-0000582F0000}"/>
    <cellStyle name="Note 2 3 8 11" xfId="37064" xr:uid="{00000000-0005-0000-0000-0000592F0000}"/>
    <cellStyle name="Note 2 3 8 12" xfId="41056" xr:uid="{00000000-0005-0000-0000-00005A2F0000}"/>
    <cellStyle name="Note 2 3 8 13" xfId="44886" xr:uid="{00000000-0005-0000-0000-00005B2F0000}"/>
    <cellStyle name="Note 2 3 8 2" xfId="3997" xr:uid="{00000000-0005-0000-0000-00005C2F0000}"/>
    <cellStyle name="Note 2 3 8 2 10" xfId="39048" xr:uid="{00000000-0005-0000-0000-00005D2F0000}"/>
    <cellStyle name="Note 2 3 8 2 11" xfId="43059" xr:uid="{00000000-0005-0000-0000-00005E2F0000}"/>
    <cellStyle name="Note 2 3 8 2 12" xfId="46824" xr:uid="{00000000-0005-0000-0000-00005F2F0000}"/>
    <cellStyle name="Note 2 3 8 2 2" xfId="7864" xr:uid="{00000000-0005-0000-0000-0000602F0000}"/>
    <cellStyle name="Note 2 3 8 2 3" xfId="12299" xr:uid="{00000000-0005-0000-0000-0000612F0000}"/>
    <cellStyle name="Note 2 3 8 2 4" xfId="16144" xr:uid="{00000000-0005-0000-0000-0000622F0000}"/>
    <cellStyle name="Note 2 3 8 2 5" xfId="19991" xr:uid="{00000000-0005-0000-0000-0000632F0000}"/>
    <cellStyle name="Note 2 3 8 2 6" xfId="23907" xr:uid="{00000000-0005-0000-0000-0000642F0000}"/>
    <cellStyle name="Note 2 3 8 2 7" xfId="27741" xr:uid="{00000000-0005-0000-0000-0000652F0000}"/>
    <cellStyle name="Note 2 3 8 2 8" xfId="31601" xr:uid="{00000000-0005-0000-0000-0000662F0000}"/>
    <cellStyle name="Note 2 3 8 2 9" xfId="35262" xr:uid="{00000000-0005-0000-0000-0000672F0000}"/>
    <cellStyle name="Note 2 3 8 3" xfId="5940" xr:uid="{00000000-0005-0000-0000-0000682F0000}"/>
    <cellStyle name="Note 2 3 8 4" xfId="10298" xr:uid="{00000000-0005-0000-0000-0000692F0000}"/>
    <cellStyle name="Note 2 3 8 5" xfId="14145" xr:uid="{00000000-0005-0000-0000-00006A2F0000}"/>
    <cellStyle name="Note 2 3 8 6" xfId="17974" xr:uid="{00000000-0005-0000-0000-00006B2F0000}"/>
    <cellStyle name="Note 2 3 8 7" xfId="21913" xr:uid="{00000000-0005-0000-0000-00006C2F0000}"/>
    <cellStyle name="Note 2 3 8 8" xfId="25726" xr:uid="{00000000-0005-0000-0000-00006D2F0000}"/>
    <cellStyle name="Note 2 3 8 9" xfId="29613" xr:uid="{00000000-0005-0000-0000-00006E2F0000}"/>
    <cellStyle name="Note 2 3 9" xfId="2055" xr:uid="{00000000-0005-0000-0000-00006F2F0000}"/>
    <cellStyle name="Note 2 3 9 10" xfId="33339" xr:uid="{00000000-0005-0000-0000-0000702F0000}"/>
    <cellStyle name="Note 2 3 9 11" xfId="37111" xr:uid="{00000000-0005-0000-0000-0000712F0000}"/>
    <cellStyle name="Note 2 3 9 12" xfId="41101" xr:uid="{00000000-0005-0000-0000-0000722F0000}"/>
    <cellStyle name="Note 2 3 9 13" xfId="44930" xr:uid="{00000000-0005-0000-0000-0000732F0000}"/>
    <cellStyle name="Note 2 3 9 2" xfId="4044" xr:uid="{00000000-0005-0000-0000-0000742F0000}"/>
    <cellStyle name="Note 2 3 9 2 10" xfId="39095" xr:uid="{00000000-0005-0000-0000-0000752F0000}"/>
    <cellStyle name="Note 2 3 9 2 11" xfId="43105" xr:uid="{00000000-0005-0000-0000-0000762F0000}"/>
    <cellStyle name="Note 2 3 9 2 12" xfId="46868" xr:uid="{00000000-0005-0000-0000-0000772F0000}"/>
    <cellStyle name="Note 2 3 9 2 2" xfId="7909" xr:uid="{00000000-0005-0000-0000-0000782F0000}"/>
    <cellStyle name="Note 2 3 9 2 3" xfId="12344" xr:uid="{00000000-0005-0000-0000-0000792F0000}"/>
    <cellStyle name="Note 2 3 9 2 4" xfId="16190" xr:uid="{00000000-0005-0000-0000-00007A2F0000}"/>
    <cellStyle name="Note 2 3 9 2 5" xfId="20038" xr:uid="{00000000-0005-0000-0000-00007B2F0000}"/>
    <cellStyle name="Note 2 3 9 2 6" xfId="23953" xr:uid="{00000000-0005-0000-0000-00007C2F0000}"/>
    <cellStyle name="Note 2 3 9 2 7" xfId="27788" xr:uid="{00000000-0005-0000-0000-00007D2F0000}"/>
    <cellStyle name="Note 2 3 9 2 8" xfId="31647" xr:uid="{00000000-0005-0000-0000-00007E2F0000}"/>
    <cellStyle name="Note 2 3 9 2 9" xfId="35306" xr:uid="{00000000-0005-0000-0000-00007F2F0000}"/>
    <cellStyle name="Note 2 3 9 3" xfId="5985" xr:uid="{00000000-0005-0000-0000-0000802F0000}"/>
    <cellStyle name="Note 2 3 9 4" xfId="10343" xr:uid="{00000000-0005-0000-0000-0000812F0000}"/>
    <cellStyle name="Note 2 3 9 5" xfId="14191" xr:uid="{00000000-0005-0000-0000-0000822F0000}"/>
    <cellStyle name="Note 2 3 9 6" xfId="18021" xr:uid="{00000000-0005-0000-0000-0000832F0000}"/>
    <cellStyle name="Note 2 3 9 7" xfId="21959" xr:uid="{00000000-0005-0000-0000-0000842F0000}"/>
    <cellStyle name="Note 2 3 9 8" xfId="25773" xr:uid="{00000000-0005-0000-0000-0000852F0000}"/>
    <cellStyle name="Note 2 3 9 9" xfId="29659" xr:uid="{00000000-0005-0000-0000-0000862F0000}"/>
    <cellStyle name="Note 2 4" xfId="583" xr:uid="{00000000-0005-0000-0000-0000872F0000}"/>
    <cellStyle name="Note 2 4 10" xfId="20489" xr:uid="{00000000-0005-0000-0000-0000882F0000}"/>
    <cellStyle name="Note 2 4 11" xfId="25809" xr:uid="{00000000-0005-0000-0000-0000892F0000}"/>
    <cellStyle name="Note 2 4 12" xfId="31006" xr:uid="{00000000-0005-0000-0000-00008A2F0000}"/>
    <cellStyle name="Note 2 4 13" xfId="21983" xr:uid="{00000000-0005-0000-0000-00008B2F0000}"/>
    <cellStyle name="Note 2 4 14" xfId="39680" xr:uid="{00000000-0005-0000-0000-00008C2F0000}"/>
    <cellStyle name="Note 2 4 15" xfId="39589" xr:uid="{00000000-0005-0000-0000-00008D2F0000}"/>
    <cellStyle name="Note 2 4 2" xfId="963" xr:uid="{00000000-0005-0000-0000-00008E2F0000}"/>
    <cellStyle name="Note 2 4 2 10" xfId="28574" xr:uid="{00000000-0005-0000-0000-00008F2F0000}"/>
    <cellStyle name="Note 2 4 2 11" xfId="32264" xr:uid="{00000000-0005-0000-0000-0000902F0000}"/>
    <cellStyle name="Note 2 4 2 12" xfId="36021" xr:uid="{00000000-0005-0000-0000-0000912F0000}"/>
    <cellStyle name="Note 2 4 2 13" xfId="40028" xr:uid="{00000000-0005-0000-0000-0000922F0000}"/>
    <cellStyle name="Note 2 4 2 14" xfId="43847" xr:uid="{00000000-0005-0000-0000-0000932F0000}"/>
    <cellStyle name="Note 2 4 2 2" xfId="1694" xr:uid="{00000000-0005-0000-0000-0000942F0000}"/>
    <cellStyle name="Note 2 4 2 2 10" xfId="32981" xr:uid="{00000000-0005-0000-0000-0000952F0000}"/>
    <cellStyle name="Note 2 4 2 2 11" xfId="36751" xr:uid="{00000000-0005-0000-0000-0000962F0000}"/>
    <cellStyle name="Note 2 4 2 2 12" xfId="40742" xr:uid="{00000000-0005-0000-0000-0000972F0000}"/>
    <cellStyle name="Note 2 4 2 2 13" xfId="44573" xr:uid="{00000000-0005-0000-0000-0000982F0000}"/>
    <cellStyle name="Note 2 4 2 2 2" xfId="3684" xr:uid="{00000000-0005-0000-0000-0000992F0000}"/>
    <cellStyle name="Note 2 4 2 2 2 10" xfId="38735" xr:uid="{00000000-0005-0000-0000-00009A2F0000}"/>
    <cellStyle name="Note 2 4 2 2 2 11" xfId="42746" xr:uid="{00000000-0005-0000-0000-00009B2F0000}"/>
    <cellStyle name="Note 2 4 2 2 2 12" xfId="46511" xr:uid="{00000000-0005-0000-0000-00009C2F0000}"/>
    <cellStyle name="Note 2 4 2 2 2 2" xfId="7551" xr:uid="{00000000-0005-0000-0000-00009D2F0000}"/>
    <cellStyle name="Note 2 4 2 2 2 3" xfId="11986" xr:uid="{00000000-0005-0000-0000-00009E2F0000}"/>
    <cellStyle name="Note 2 4 2 2 2 4" xfId="15831" xr:uid="{00000000-0005-0000-0000-00009F2F0000}"/>
    <cellStyle name="Note 2 4 2 2 2 5" xfId="19678" xr:uid="{00000000-0005-0000-0000-0000A02F0000}"/>
    <cellStyle name="Note 2 4 2 2 2 6" xfId="23594" xr:uid="{00000000-0005-0000-0000-0000A12F0000}"/>
    <cellStyle name="Note 2 4 2 2 2 7" xfId="27428" xr:uid="{00000000-0005-0000-0000-0000A22F0000}"/>
    <cellStyle name="Note 2 4 2 2 2 8" xfId="31292" xr:uid="{00000000-0005-0000-0000-0000A32F0000}"/>
    <cellStyle name="Note 2 4 2 2 2 9" xfId="34949" xr:uid="{00000000-0005-0000-0000-0000A42F0000}"/>
    <cellStyle name="Note 2 4 2 2 3" xfId="5627" xr:uid="{00000000-0005-0000-0000-0000A52F0000}"/>
    <cellStyle name="Note 2 4 2 2 4" xfId="9985" xr:uid="{00000000-0005-0000-0000-0000A62F0000}"/>
    <cellStyle name="Note 2 4 2 2 5" xfId="13831" xr:uid="{00000000-0005-0000-0000-0000A72F0000}"/>
    <cellStyle name="Note 2 4 2 2 6" xfId="17660" xr:uid="{00000000-0005-0000-0000-0000A82F0000}"/>
    <cellStyle name="Note 2 4 2 2 7" xfId="21599" xr:uid="{00000000-0005-0000-0000-0000A92F0000}"/>
    <cellStyle name="Note 2 4 2 2 8" xfId="25412" xr:uid="{00000000-0005-0000-0000-0000AA2F0000}"/>
    <cellStyle name="Note 2 4 2 2 9" xfId="29299" xr:uid="{00000000-0005-0000-0000-0000AB2F0000}"/>
    <cellStyle name="Note 2 4 2 3" xfId="2953" xr:uid="{00000000-0005-0000-0000-0000AC2F0000}"/>
    <cellStyle name="Note 2 4 2 3 10" xfId="38005" xr:uid="{00000000-0005-0000-0000-0000AD2F0000}"/>
    <cellStyle name="Note 2 4 2 3 11" xfId="42017" xr:uid="{00000000-0005-0000-0000-0000AE2F0000}"/>
    <cellStyle name="Note 2 4 2 3 12" xfId="45794" xr:uid="{00000000-0005-0000-0000-0000AF2F0000}"/>
    <cellStyle name="Note 2 4 2 3 2" xfId="6833" xr:uid="{00000000-0005-0000-0000-0000B02F0000}"/>
    <cellStyle name="Note 2 4 2 3 3" xfId="11260" xr:uid="{00000000-0005-0000-0000-0000B12F0000}"/>
    <cellStyle name="Note 2 4 2 3 4" xfId="15105" xr:uid="{00000000-0005-0000-0000-0000B22F0000}"/>
    <cellStyle name="Note 2 4 2 3 5" xfId="18947" xr:uid="{00000000-0005-0000-0000-0000B32F0000}"/>
    <cellStyle name="Note 2 4 2 3 6" xfId="22873" xr:uid="{00000000-0005-0000-0000-0000B42F0000}"/>
    <cellStyle name="Note 2 4 2 3 7" xfId="26698" xr:uid="{00000000-0005-0000-0000-0000B52F0000}"/>
    <cellStyle name="Note 2 4 2 3 8" xfId="30572" xr:uid="{00000000-0005-0000-0000-0000B62F0000}"/>
    <cellStyle name="Note 2 4 2 3 9" xfId="34232" xr:uid="{00000000-0005-0000-0000-0000B72F0000}"/>
    <cellStyle name="Note 2 4 2 4" xfId="4909" xr:uid="{00000000-0005-0000-0000-0000B82F0000}"/>
    <cellStyle name="Note 2 4 2 5" xfId="9263" xr:uid="{00000000-0005-0000-0000-0000B92F0000}"/>
    <cellStyle name="Note 2 4 2 6" xfId="13104" xr:uid="{00000000-0005-0000-0000-0000BA2F0000}"/>
    <cellStyle name="Note 2 4 2 7" xfId="16929" xr:uid="{00000000-0005-0000-0000-0000BB2F0000}"/>
    <cellStyle name="Note 2 4 2 8" xfId="20871" xr:uid="{00000000-0005-0000-0000-0000BC2F0000}"/>
    <cellStyle name="Note 2 4 2 9" xfId="24687" xr:uid="{00000000-0005-0000-0000-0000BD2F0000}"/>
    <cellStyle name="Note 2 4 3" xfId="1341" xr:uid="{00000000-0005-0000-0000-0000BE2F0000}"/>
    <cellStyle name="Note 2 4 3 10" xfId="32628" xr:uid="{00000000-0005-0000-0000-0000BF2F0000}"/>
    <cellStyle name="Note 2 4 3 11" xfId="36398" xr:uid="{00000000-0005-0000-0000-0000C02F0000}"/>
    <cellStyle name="Note 2 4 3 12" xfId="40389" xr:uid="{00000000-0005-0000-0000-0000C12F0000}"/>
    <cellStyle name="Note 2 4 3 13" xfId="44220" xr:uid="{00000000-0005-0000-0000-0000C22F0000}"/>
    <cellStyle name="Note 2 4 3 2" xfId="3331" xr:uid="{00000000-0005-0000-0000-0000C32F0000}"/>
    <cellStyle name="Note 2 4 3 2 10" xfId="38382" xr:uid="{00000000-0005-0000-0000-0000C42F0000}"/>
    <cellStyle name="Note 2 4 3 2 11" xfId="42393" xr:uid="{00000000-0005-0000-0000-0000C52F0000}"/>
    <cellStyle name="Note 2 4 3 2 12" xfId="46158" xr:uid="{00000000-0005-0000-0000-0000C62F0000}"/>
    <cellStyle name="Note 2 4 3 2 2" xfId="7198" xr:uid="{00000000-0005-0000-0000-0000C72F0000}"/>
    <cellStyle name="Note 2 4 3 2 3" xfId="11633" xr:uid="{00000000-0005-0000-0000-0000C82F0000}"/>
    <cellStyle name="Note 2 4 3 2 4" xfId="15478" xr:uid="{00000000-0005-0000-0000-0000C92F0000}"/>
    <cellStyle name="Note 2 4 3 2 5" xfId="19325" xr:uid="{00000000-0005-0000-0000-0000CA2F0000}"/>
    <cellStyle name="Note 2 4 3 2 6" xfId="23241" xr:uid="{00000000-0005-0000-0000-0000CB2F0000}"/>
    <cellStyle name="Note 2 4 3 2 7" xfId="27075" xr:uid="{00000000-0005-0000-0000-0000CC2F0000}"/>
    <cellStyle name="Note 2 4 3 2 8" xfId="30943" xr:uid="{00000000-0005-0000-0000-0000CD2F0000}"/>
    <cellStyle name="Note 2 4 3 2 9" xfId="34596" xr:uid="{00000000-0005-0000-0000-0000CE2F0000}"/>
    <cellStyle name="Note 2 4 3 3" xfId="5274" xr:uid="{00000000-0005-0000-0000-0000CF2F0000}"/>
    <cellStyle name="Note 2 4 3 4" xfId="9632" xr:uid="{00000000-0005-0000-0000-0000D02F0000}"/>
    <cellStyle name="Note 2 4 3 5" xfId="13478" xr:uid="{00000000-0005-0000-0000-0000D12F0000}"/>
    <cellStyle name="Note 2 4 3 6" xfId="17307" xr:uid="{00000000-0005-0000-0000-0000D22F0000}"/>
    <cellStyle name="Note 2 4 3 7" xfId="21246" xr:uid="{00000000-0005-0000-0000-0000D32F0000}"/>
    <cellStyle name="Note 2 4 3 8" xfId="25059" xr:uid="{00000000-0005-0000-0000-0000D42F0000}"/>
    <cellStyle name="Note 2 4 3 9" xfId="28946" xr:uid="{00000000-0005-0000-0000-0000D52F0000}"/>
    <cellStyle name="Note 2 4 4" xfId="2586" xr:uid="{00000000-0005-0000-0000-0000D62F0000}"/>
    <cellStyle name="Note 2 4 4 10" xfId="37638" xr:uid="{00000000-0005-0000-0000-0000D72F0000}"/>
    <cellStyle name="Note 2 4 4 11" xfId="41652" xr:uid="{00000000-0005-0000-0000-0000D82F0000}"/>
    <cellStyle name="Note 2 4 4 12" xfId="45441" xr:uid="{00000000-0005-0000-0000-0000D92F0000}"/>
    <cellStyle name="Note 2 4 4 2" xfId="6478" xr:uid="{00000000-0005-0000-0000-0000DA2F0000}"/>
    <cellStyle name="Note 2 4 4 3" xfId="10901" xr:uid="{00000000-0005-0000-0000-0000DB2F0000}"/>
    <cellStyle name="Note 2 4 4 4" xfId="14745" xr:uid="{00000000-0005-0000-0000-0000DC2F0000}"/>
    <cellStyle name="Note 2 4 4 5" xfId="18580" xr:uid="{00000000-0005-0000-0000-0000DD2F0000}"/>
    <cellStyle name="Note 2 4 4 6" xfId="22515" xr:uid="{00000000-0005-0000-0000-0000DE2F0000}"/>
    <cellStyle name="Note 2 4 4 7" xfId="26331" xr:uid="{00000000-0005-0000-0000-0000DF2F0000}"/>
    <cellStyle name="Note 2 4 4 8" xfId="30210" xr:uid="{00000000-0005-0000-0000-0000E02F0000}"/>
    <cellStyle name="Note 2 4 4 9" xfId="33879" xr:uid="{00000000-0005-0000-0000-0000E12F0000}"/>
    <cellStyle name="Note 2 4 5" xfId="4554" xr:uid="{00000000-0005-0000-0000-0000E22F0000}"/>
    <cellStyle name="Note 2 4 6" xfId="8893" xr:uid="{00000000-0005-0000-0000-0000E32F0000}"/>
    <cellStyle name="Note 2 4 7" xfId="10378" xr:uid="{00000000-0005-0000-0000-0000E42F0000}"/>
    <cellStyle name="Note 2 4 8" xfId="14213" xr:uid="{00000000-0005-0000-0000-0000E52F0000}"/>
    <cellStyle name="Note 2 4 9" xfId="20496" xr:uid="{00000000-0005-0000-0000-0000E62F0000}"/>
    <cellStyle name="Note 2 5" xfId="755" xr:uid="{00000000-0005-0000-0000-0000E72F0000}"/>
    <cellStyle name="Note 2 5 10" xfId="24484" xr:uid="{00000000-0005-0000-0000-0000E82F0000}"/>
    <cellStyle name="Note 2 5 11" xfId="28374" xr:uid="{00000000-0005-0000-0000-0000E92F0000}"/>
    <cellStyle name="Note 2 5 12" xfId="20658" xr:uid="{00000000-0005-0000-0000-0000EA2F0000}"/>
    <cellStyle name="Note 2 5 13" xfId="35819" xr:uid="{00000000-0005-0000-0000-0000EB2F0000}"/>
    <cellStyle name="Note 2 5 14" xfId="39838" xr:uid="{00000000-0005-0000-0000-0000EC2F0000}"/>
    <cellStyle name="Note 2 5 15" xfId="43645" xr:uid="{00000000-0005-0000-0000-0000ED2F0000}"/>
    <cellStyle name="Note 2 5 2" xfId="1125" xr:uid="{00000000-0005-0000-0000-0000EE2F0000}"/>
    <cellStyle name="Note 2 5 2 10" xfId="28734" xr:uid="{00000000-0005-0000-0000-0000EF2F0000}"/>
    <cellStyle name="Note 2 5 2 11" xfId="32422" xr:uid="{00000000-0005-0000-0000-0000F02F0000}"/>
    <cellStyle name="Note 2 5 2 12" xfId="36183" xr:uid="{00000000-0005-0000-0000-0000F12F0000}"/>
    <cellStyle name="Note 2 5 2 13" xfId="40184" xr:uid="{00000000-0005-0000-0000-0000F22F0000}"/>
    <cellStyle name="Note 2 5 2 14" xfId="44009" xr:uid="{00000000-0005-0000-0000-0000F32F0000}"/>
    <cellStyle name="Note 2 5 2 2" xfId="1852" xr:uid="{00000000-0005-0000-0000-0000F42F0000}"/>
    <cellStyle name="Note 2 5 2 2 10" xfId="33139" xr:uid="{00000000-0005-0000-0000-0000F52F0000}"/>
    <cellStyle name="Note 2 5 2 2 11" xfId="36909" xr:uid="{00000000-0005-0000-0000-0000F62F0000}"/>
    <cellStyle name="Note 2 5 2 2 12" xfId="40900" xr:uid="{00000000-0005-0000-0000-0000F72F0000}"/>
    <cellStyle name="Note 2 5 2 2 13" xfId="44731" xr:uid="{00000000-0005-0000-0000-0000F82F0000}"/>
    <cellStyle name="Note 2 5 2 2 2" xfId="3842" xr:uid="{00000000-0005-0000-0000-0000F92F0000}"/>
    <cellStyle name="Note 2 5 2 2 2 10" xfId="38893" xr:uid="{00000000-0005-0000-0000-0000FA2F0000}"/>
    <cellStyle name="Note 2 5 2 2 2 11" xfId="42904" xr:uid="{00000000-0005-0000-0000-0000FB2F0000}"/>
    <cellStyle name="Note 2 5 2 2 2 12" xfId="46669" xr:uid="{00000000-0005-0000-0000-0000FC2F0000}"/>
    <cellStyle name="Note 2 5 2 2 2 2" xfId="7709" xr:uid="{00000000-0005-0000-0000-0000FD2F0000}"/>
    <cellStyle name="Note 2 5 2 2 2 3" xfId="12144" xr:uid="{00000000-0005-0000-0000-0000FE2F0000}"/>
    <cellStyle name="Note 2 5 2 2 2 4" xfId="15989" xr:uid="{00000000-0005-0000-0000-0000FF2F0000}"/>
    <cellStyle name="Note 2 5 2 2 2 5" xfId="19836" xr:uid="{00000000-0005-0000-0000-000000300000}"/>
    <cellStyle name="Note 2 5 2 2 2 6" xfId="23752" xr:uid="{00000000-0005-0000-0000-000001300000}"/>
    <cellStyle name="Note 2 5 2 2 2 7" xfId="27586" xr:uid="{00000000-0005-0000-0000-000002300000}"/>
    <cellStyle name="Note 2 5 2 2 2 8" xfId="31449" xr:uid="{00000000-0005-0000-0000-000003300000}"/>
    <cellStyle name="Note 2 5 2 2 2 9" xfId="35107" xr:uid="{00000000-0005-0000-0000-000004300000}"/>
    <cellStyle name="Note 2 5 2 2 3" xfId="5785" xr:uid="{00000000-0005-0000-0000-000005300000}"/>
    <cellStyle name="Note 2 5 2 2 4" xfId="10143" xr:uid="{00000000-0005-0000-0000-000006300000}"/>
    <cellStyle name="Note 2 5 2 2 5" xfId="13989" xr:uid="{00000000-0005-0000-0000-000007300000}"/>
    <cellStyle name="Note 2 5 2 2 6" xfId="17818" xr:uid="{00000000-0005-0000-0000-000008300000}"/>
    <cellStyle name="Note 2 5 2 2 7" xfId="21757" xr:uid="{00000000-0005-0000-0000-000009300000}"/>
    <cellStyle name="Note 2 5 2 2 8" xfId="25570" xr:uid="{00000000-0005-0000-0000-00000A300000}"/>
    <cellStyle name="Note 2 5 2 2 9" xfId="29457" xr:uid="{00000000-0005-0000-0000-00000B300000}"/>
    <cellStyle name="Note 2 5 2 3" xfId="3115" xr:uid="{00000000-0005-0000-0000-00000C300000}"/>
    <cellStyle name="Note 2 5 2 3 10" xfId="38167" xr:uid="{00000000-0005-0000-0000-00000D300000}"/>
    <cellStyle name="Note 2 5 2 3 11" xfId="42179" xr:uid="{00000000-0005-0000-0000-00000E300000}"/>
    <cellStyle name="Note 2 5 2 3 12" xfId="45952" xr:uid="{00000000-0005-0000-0000-00000F300000}"/>
    <cellStyle name="Note 2 5 2 3 2" xfId="6991" xr:uid="{00000000-0005-0000-0000-000010300000}"/>
    <cellStyle name="Note 2 5 2 3 3" xfId="11420" xr:uid="{00000000-0005-0000-0000-000011300000}"/>
    <cellStyle name="Note 2 5 2 3 4" xfId="15264" xr:uid="{00000000-0005-0000-0000-000012300000}"/>
    <cellStyle name="Note 2 5 2 3 5" xfId="19109" xr:uid="{00000000-0005-0000-0000-000013300000}"/>
    <cellStyle name="Note 2 5 2 3 6" xfId="23031" xr:uid="{00000000-0005-0000-0000-000014300000}"/>
    <cellStyle name="Note 2 5 2 3 7" xfId="26860" xr:uid="{00000000-0005-0000-0000-000015300000}"/>
    <cellStyle name="Note 2 5 2 3 8" xfId="30732" xr:uid="{00000000-0005-0000-0000-000016300000}"/>
    <cellStyle name="Note 2 5 2 3 9" xfId="34390" xr:uid="{00000000-0005-0000-0000-000017300000}"/>
    <cellStyle name="Note 2 5 2 4" xfId="5067" xr:uid="{00000000-0005-0000-0000-000018300000}"/>
    <cellStyle name="Note 2 5 2 5" xfId="9423" xr:uid="{00000000-0005-0000-0000-000019300000}"/>
    <cellStyle name="Note 2 5 2 6" xfId="13263" xr:uid="{00000000-0005-0000-0000-00001A300000}"/>
    <cellStyle name="Note 2 5 2 7" xfId="17091" xr:uid="{00000000-0005-0000-0000-00001B300000}"/>
    <cellStyle name="Note 2 5 2 8" xfId="21033" xr:uid="{00000000-0005-0000-0000-00001C300000}"/>
    <cellStyle name="Note 2 5 2 9" xfId="24847" xr:uid="{00000000-0005-0000-0000-00001D300000}"/>
    <cellStyle name="Note 2 5 3" xfId="1499" xr:uid="{00000000-0005-0000-0000-00001E300000}"/>
    <cellStyle name="Note 2 5 3 10" xfId="32786" xr:uid="{00000000-0005-0000-0000-00001F300000}"/>
    <cellStyle name="Note 2 5 3 11" xfId="36556" xr:uid="{00000000-0005-0000-0000-000020300000}"/>
    <cellStyle name="Note 2 5 3 12" xfId="40547" xr:uid="{00000000-0005-0000-0000-000021300000}"/>
    <cellStyle name="Note 2 5 3 13" xfId="44378" xr:uid="{00000000-0005-0000-0000-000022300000}"/>
    <cellStyle name="Note 2 5 3 2" xfId="3489" xr:uid="{00000000-0005-0000-0000-000023300000}"/>
    <cellStyle name="Note 2 5 3 2 10" xfId="38540" xr:uid="{00000000-0005-0000-0000-000024300000}"/>
    <cellStyle name="Note 2 5 3 2 11" xfId="42551" xr:uid="{00000000-0005-0000-0000-000025300000}"/>
    <cellStyle name="Note 2 5 3 2 12" xfId="46316" xr:uid="{00000000-0005-0000-0000-000026300000}"/>
    <cellStyle name="Note 2 5 3 2 2" xfId="7356" xr:uid="{00000000-0005-0000-0000-000027300000}"/>
    <cellStyle name="Note 2 5 3 2 3" xfId="11791" xr:uid="{00000000-0005-0000-0000-000028300000}"/>
    <cellStyle name="Note 2 5 3 2 4" xfId="15636" xr:uid="{00000000-0005-0000-0000-000029300000}"/>
    <cellStyle name="Note 2 5 3 2 5" xfId="19483" xr:uid="{00000000-0005-0000-0000-00002A300000}"/>
    <cellStyle name="Note 2 5 3 2 6" xfId="23399" xr:uid="{00000000-0005-0000-0000-00002B300000}"/>
    <cellStyle name="Note 2 5 3 2 7" xfId="27233" xr:uid="{00000000-0005-0000-0000-00002C300000}"/>
    <cellStyle name="Note 2 5 3 2 8" xfId="31100" xr:uid="{00000000-0005-0000-0000-00002D300000}"/>
    <cellStyle name="Note 2 5 3 2 9" xfId="34754" xr:uid="{00000000-0005-0000-0000-00002E300000}"/>
    <cellStyle name="Note 2 5 3 3" xfId="5432" xr:uid="{00000000-0005-0000-0000-00002F300000}"/>
    <cellStyle name="Note 2 5 3 4" xfId="9790" xr:uid="{00000000-0005-0000-0000-000030300000}"/>
    <cellStyle name="Note 2 5 3 5" xfId="13636" xr:uid="{00000000-0005-0000-0000-000031300000}"/>
    <cellStyle name="Note 2 5 3 6" xfId="17465" xr:uid="{00000000-0005-0000-0000-000032300000}"/>
    <cellStyle name="Note 2 5 3 7" xfId="21404" xr:uid="{00000000-0005-0000-0000-000033300000}"/>
    <cellStyle name="Note 2 5 3 8" xfId="25217" xr:uid="{00000000-0005-0000-0000-000034300000}"/>
    <cellStyle name="Note 2 5 3 9" xfId="29104" xr:uid="{00000000-0005-0000-0000-000035300000}"/>
    <cellStyle name="Note 2 5 4" xfId="2751" xr:uid="{00000000-0005-0000-0000-000036300000}"/>
    <cellStyle name="Note 2 5 4 10" xfId="37803" xr:uid="{00000000-0005-0000-0000-000037300000}"/>
    <cellStyle name="Note 2 5 4 11" xfId="41816" xr:uid="{00000000-0005-0000-0000-000038300000}"/>
    <cellStyle name="Note 2 5 4 12" xfId="45599" xr:uid="{00000000-0005-0000-0000-000039300000}"/>
    <cellStyle name="Note 2 5 4 2" xfId="6637" xr:uid="{00000000-0005-0000-0000-00003A300000}"/>
    <cellStyle name="Note 2 5 4 3" xfId="11061" xr:uid="{00000000-0005-0000-0000-00003B300000}"/>
    <cellStyle name="Note 2 5 4 4" xfId="14906" xr:uid="{00000000-0005-0000-0000-00003C300000}"/>
    <cellStyle name="Note 2 5 4 5" xfId="18745" xr:uid="{00000000-0005-0000-0000-00003D300000}"/>
    <cellStyle name="Note 2 5 4 6" xfId="22675" xr:uid="{00000000-0005-0000-0000-00003E300000}"/>
    <cellStyle name="Note 2 5 4 7" xfId="26496" xr:uid="{00000000-0005-0000-0000-00003F300000}"/>
    <cellStyle name="Note 2 5 4 8" xfId="30374" xr:uid="{00000000-0005-0000-0000-000040300000}"/>
    <cellStyle name="Note 2 5 4 9" xfId="34037" xr:uid="{00000000-0005-0000-0000-000041300000}"/>
    <cellStyle name="Note 2 5 5" xfId="4713" xr:uid="{00000000-0005-0000-0000-000042300000}"/>
    <cellStyle name="Note 2 5 6" xfId="9060" xr:uid="{00000000-0005-0000-0000-000043300000}"/>
    <cellStyle name="Note 2 5 7" xfId="12899" xr:uid="{00000000-0005-0000-0000-000044300000}"/>
    <cellStyle name="Note 2 5 8" xfId="16725" xr:uid="{00000000-0005-0000-0000-000045300000}"/>
    <cellStyle name="Note 2 5 9" xfId="20664" xr:uid="{00000000-0005-0000-0000-000046300000}"/>
    <cellStyle name="Note 2 6" xfId="785" xr:uid="{00000000-0005-0000-0000-000047300000}"/>
    <cellStyle name="Note 2 6 10" xfId="24512" xr:uid="{00000000-0005-0000-0000-000048300000}"/>
    <cellStyle name="Note 2 6 11" xfId="28400" xr:uid="{00000000-0005-0000-0000-000049300000}"/>
    <cellStyle name="Note 2 6 12" xfId="8506" xr:uid="{00000000-0005-0000-0000-00004A300000}"/>
    <cellStyle name="Note 2 6 13" xfId="35843" xr:uid="{00000000-0005-0000-0000-00004B300000}"/>
    <cellStyle name="Note 2 6 14" xfId="39860" xr:uid="{00000000-0005-0000-0000-00004C300000}"/>
    <cellStyle name="Note 2 6 15" xfId="43669" xr:uid="{00000000-0005-0000-0000-00004D300000}"/>
    <cellStyle name="Note 2 6 2" xfId="1149" xr:uid="{00000000-0005-0000-0000-00004E300000}"/>
    <cellStyle name="Note 2 6 2 10" xfId="28758" xr:uid="{00000000-0005-0000-0000-00004F300000}"/>
    <cellStyle name="Note 2 6 2 11" xfId="32444" xr:uid="{00000000-0005-0000-0000-000050300000}"/>
    <cellStyle name="Note 2 6 2 12" xfId="36207" xr:uid="{00000000-0005-0000-0000-000051300000}"/>
    <cellStyle name="Note 2 6 2 13" xfId="40206" xr:uid="{00000000-0005-0000-0000-000052300000}"/>
    <cellStyle name="Note 2 6 2 14" xfId="44033" xr:uid="{00000000-0005-0000-0000-000053300000}"/>
    <cellStyle name="Note 2 6 2 2" xfId="1874" xr:uid="{00000000-0005-0000-0000-000054300000}"/>
    <cellStyle name="Note 2 6 2 2 10" xfId="33161" xr:uid="{00000000-0005-0000-0000-000055300000}"/>
    <cellStyle name="Note 2 6 2 2 11" xfId="36931" xr:uid="{00000000-0005-0000-0000-000056300000}"/>
    <cellStyle name="Note 2 6 2 2 12" xfId="40922" xr:uid="{00000000-0005-0000-0000-000057300000}"/>
    <cellStyle name="Note 2 6 2 2 13" xfId="44753" xr:uid="{00000000-0005-0000-0000-000058300000}"/>
    <cellStyle name="Note 2 6 2 2 2" xfId="3864" xr:uid="{00000000-0005-0000-0000-000059300000}"/>
    <cellStyle name="Note 2 6 2 2 2 10" xfId="38915" xr:uid="{00000000-0005-0000-0000-00005A300000}"/>
    <cellStyle name="Note 2 6 2 2 2 11" xfId="42926" xr:uid="{00000000-0005-0000-0000-00005B300000}"/>
    <cellStyle name="Note 2 6 2 2 2 12" xfId="46691" xr:uid="{00000000-0005-0000-0000-00005C300000}"/>
    <cellStyle name="Note 2 6 2 2 2 2" xfId="7731" xr:uid="{00000000-0005-0000-0000-00005D300000}"/>
    <cellStyle name="Note 2 6 2 2 2 3" xfId="12166" xr:uid="{00000000-0005-0000-0000-00005E300000}"/>
    <cellStyle name="Note 2 6 2 2 2 4" xfId="16011" xr:uid="{00000000-0005-0000-0000-00005F300000}"/>
    <cellStyle name="Note 2 6 2 2 2 5" xfId="19858" xr:uid="{00000000-0005-0000-0000-000060300000}"/>
    <cellStyle name="Note 2 6 2 2 2 6" xfId="23774" xr:uid="{00000000-0005-0000-0000-000061300000}"/>
    <cellStyle name="Note 2 6 2 2 2 7" xfId="27608" xr:uid="{00000000-0005-0000-0000-000062300000}"/>
    <cellStyle name="Note 2 6 2 2 2 8" xfId="31471" xr:uid="{00000000-0005-0000-0000-000063300000}"/>
    <cellStyle name="Note 2 6 2 2 2 9" xfId="35129" xr:uid="{00000000-0005-0000-0000-000064300000}"/>
    <cellStyle name="Note 2 6 2 2 3" xfId="5807" xr:uid="{00000000-0005-0000-0000-000065300000}"/>
    <cellStyle name="Note 2 6 2 2 4" xfId="10165" xr:uid="{00000000-0005-0000-0000-000066300000}"/>
    <cellStyle name="Note 2 6 2 2 5" xfId="14011" xr:uid="{00000000-0005-0000-0000-000067300000}"/>
    <cellStyle name="Note 2 6 2 2 6" xfId="17840" xr:uid="{00000000-0005-0000-0000-000068300000}"/>
    <cellStyle name="Note 2 6 2 2 7" xfId="21779" xr:uid="{00000000-0005-0000-0000-000069300000}"/>
    <cellStyle name="Note 2 6 2 2 8" xfId="25592" xr:uid="{00000000-0005-0000-0000-00006A300000}"/>
    <cellStyle name="Note 2 6 2 2 9" xfId="29479" xr:uid="{00000000-0005-0000-0000-00006B300000}"/>
    <cellStyle name="Note 2 6 2 3" xfId="3139" xr:uid="{00000000-0005-0000-0000-00006C300000}"/>
    <cellStyle name="Note 2 6 2 3 10" xfId="38191" xr:uid="{00000000-0005-0000-0000-00006D300000}"/>
    <cellStyle name="Note 2 6 2 3 11" xfId="42203" xr:uid="{00000000-0005-0000-0000-00006E300000}"/>
    <cellStyle name="Note 2 6 2 3 12" xfId="45974" xr:uid="{00000000-0005-0000-0000-00006F300000}"/>
    <cellStyle name="Note 2 6 2 3 2" xfId="7013" xr:uid="{00000000-0005-0000-0000-000070300000}"/>
    <cellStyle name="Note 2 6 2 3 3" xfId="11443" xr:uid="{00000000-0005-0000-0000-000071300000}"/>
    <cellStyle name="Note 2 6 2 3 4" xfId="15288" xr:uid="{00000000-0005-0000-0000-000072300000}"/>
    <cellStyle name="Note 2 6 2 3 5" xfId="19133" xr:uid="{00000000-0005-0000-0000-000073300000}"/>
    <cellStyle name="Note 2 6 2 3 6" xfId="23053" xr:uid="{00000000-0005-0000-0000-000074300000}"/>
    <cellStyle name="Note 2 6 2 3 7" xfId="26884" xr:uid="{00000000-0005-0000-0000-000075300000}"/>
    <cellStyle name="Note 2 6 2 3 8" xfId="30756" xr:uid="{00000000-0005-0000-0000-000076300000}"/>
    <cellStyle name="Note 2 6 2 3 9" xfId="34412" xr:uid="{00000000-0005-0000-0000-000077300000}"/>
    <cellStyle name="Note 2 6 2 4" xfId="5089" xr:uid="{00000000-0005-0000-0000-000078300000}"/>
    <cellStyle name="Note 2 6 2 5" xfId="9445" xr:uid="{00000000-0005-0000-0000-000079300000}"/>
    <cellStyle name="Note 2 6 2 6" xfId="13287" xr:uid="{00000000-0005-0000-0000-00007A300000}"/>
    <cellStyle name="Note 2 6 2 7" xfId="17115" xr:uid="{00000000-0005-0000-0000-00007B300000}"/>
    <cellStyle name="Note 2 6 2 8" xfId="21057" xr:uid="{00000000-0005-0000-0000-00007C300000}"/>
    <cellStyle name="Note 2 6 2 9" xfId="24870" xr:uid="{00000000-0005-0000-0000-00007D300000}"/>
    <cellStyle name="Note 2 6 3" xfId="1521" xr:uid="{00000000-0005-0000-0000-00007E300000}"/>
    <cellStyle name="Note 2 6 3 10" xfId="32808" xr:uid="{00000000-0005-0000-0000-00007F300000}"/>
    <cellStyle name="Note 2 6 3 11" xfId="36578" xr:uid="{00000000-0005-0000-0000-000080300000}"/>
    <cellStyle name="Note 2 6 3 12" xfId="40569" xr:uid="{00000000-0005-0000-0000-000081300000}"/>
    <cellStyle name="Note 2 6 3 13" xfId="44400" xr:uid="{00000000-0005-0000-0000-000082300000}"/>
    <cellStyle name="Note 2 6 3 2" xfId="3511" xr:uid="{00000000-0005-0000-0000-000083300000}"/>
    <cellStyle name="Note 2 6 3 2 10" xfId="38562" xr:uid="{00000000-0005-0000-0000-000084300000}"/>
    <cellStyle name="Note 2 6 3 2 11" xfId="42573" xr:uid="{00000000-0005-0000-0000-000085300000}"/>
    <cellStyle name="Note 2 6 3 2 12" xfId="46338" xr:uid="{00000000-0005-0000-0000-000086300000}"/>
    <cellStyle name="Note 2 6 3 2 2" xfId="7378" xr:uid="{00000000-0005-0000-0000-000087300000}"/>
    <cellStyle name="Note 2 6 3 2 3" xfId="11813" xr:uid="{00000000-0005-0000-0000-000088300000}"/>
    <cellStyle name="Note 2 6 3 2 4" xfId="15658" xr:uid="{00000000-0005-0000-0000-000089300000}"/>
    <cellStyle name="Note 2 6 3 2 5" xfId="19505" xr:uid="{00000000-0005-0000-0000-00008A300000}"/>
    <cellStyle name="Note 2 6 3 2 6" xfId="23421" xr:uid="{00000000-0005-0000-0000-00008B300000}"/>
    <cellStyle name="Note 2 6 3 2 7" xfId="27255" xr:uid="{00000000-0005-0000-0000-00008C300000}"/>
    <cellStyle name="Note 2 6 3 2 8" xfId="31122" xr:uid="{00000000-0005-0000-0000-00008D300000}"/>
    <cellStyle name="Note 2 6 3 2 9" xfId="34776" xr:uid="{00000000-0005-0000-0000-00008E300000}"/>
    <cellStyle name="Note 2 6 3 3" xfId="5454" xr:uid="{00000000-0005-0000-0000-00008F300000}"/>
    <cellStyle name="Note 2 6 3 4" xfId="9812" xr:uid="{00000000-0005-0000-0000-000090300000}"/>
    <cellStyle name="Note 2 6 3 5" xfId="13658" xr:uid="{00000000-0005-0000-0000-000091300000}"/>
    <cellStyle name="Note 2 6 3 6" xfId="17487" xr:uid="{00000000-0005-0000-0000-000092300000}"/>
    <cellStyle name="Note 2 6 3 7" xfId="21426" xr:uid="{00000000-0005-0000-0000-000093300000}"/>
    <cellStyle name="Note 2 6 3 8" xfId="25239" xr:uid="{00000000-0005-0000-0000-000094300000}"/>
    <cellStyle name="Note 2 6 3 9" xfId="29126" xr:uid="{00000000-0005-0000-0000-000095300000}"/>
    <cellStyle name="Note 2 6 4" xfId="2775" xr:uid="{00000000-0005-0000-0000-000096300000}"/>
    <cellStyle name="Note 2 6 4 10" xfId="37827" xr:uid="{00000000-0005-0000-0000-000097300000}"/>
    <cellStyle name="Note 2 6 4 11" xfId="41840" xr:uid="{00000000-0005-0000-0000-000098300000}"/>
    <cellStyle name="Note 2 6 4 12" xfId="45621" xr:uid="{00000000-0005-0000-0000-000099300000}"/>
    <cellStyle name="Note 2 6 4 2" xfId="6659" xr:uid="{00000000-0005-0000-0000-00009A300000}"/>
    <cellStyle name="Note 2 6 4 3" xfId="11084" xr:uid="{00000000-0005-0000-0000-00009B300000}"/>
    <cellStyle name="Note 2 6 4 4" xfId="14930" xr:uid="{00000000-0005-0000-0000-00009C300000}"/>
    <cellStyle name="Note 2 6 4 5" xfId="18769" xr:uid="{00000000-0005-0000-0000-00009D300000}"/>
    <cellStyle name="Note 2 6 4 6" xfId="22697" xr:uid="{00000000-0005-0000-0000-00009E300000}"/>
    <cellStyle name="Note 2 6 4 7" xfId="26520" xr:uid="{00000000-0005-0000-0000-00009F300000}"/>
    <cellStyle name="Note 2 6 4 8" xfId="30398" xr:uid="{00000000-0005-0000-0000-0000A0300000}"/>
    <cellStyle name="Note 2 6 4 9" xfId="34059" xr:uid="{00000000-0005-0000-0000-0000A1300000}"/>
    <cellStyle name="Note 2 6 5" xfId="4735" xr:uid="{00000000-0005-0000-0000-0000A2300000}"/>
    <cellStyle name="Note 2 6 6" xfId="9086" xr:uid="{00000000-0005-0000-0000-0000A3300000}"/>
    <cellStyle name="Note 2 6 7" xfId="12927" xr:uid="{00000000-0005-0000-0000-0000A4300000}"/>
    <cellStyle name="Note 2 6 8" xfId="16753" xr:uid="{00000000-0005-0000-0000-0000A5300000}"/>
    <cellStyle name="Note 2 6 9" xfId="20693" xr:uid="{00000000-0005-0000-0000-0000A6300000}"/>
    <cellStyle name="Note 2 7" xfId="840" xr:uid="{00000000-0005-0000-0000-0000A7300000}"/>
    <cellStyle name="Note 2 7 10" xfId="24564" xr:uid="{00000000-0005-0000-0000-0000A8300000}"/>
    <cellStyle name="Note 2 7 11" xfId="28455" xr:uid="{00000000-0005-0000-0000-0000A9300000}"/>
    <cellStyle name="Note 2 7 12" xfId="32141" xr:uid="{00000000-0005-0000-0000-0000AA300000}"/>
    <cellStyle name="Note 2 7 13" xfId="35898" xr:uid="{00000000-0005-0000-0000-0000AB300000}"/>
    <cellStyle name="Note 2 7 14" xfId="39909" xr:uid="{00000000-0005-0000-0000-0000AC300000}"/>
    <cellStyle name="Note 2 7 15" xfId="43724" xr:uid="{00000000-0005-0000-0000-0000AD300000}"/>
    <cellStyle name="Note 2 7 2" xfId="1183" xr:uid="{00000000-0005-0000-0000-0000AE300000}"/>
    <cellStyle name="Note 2 7 2 10" xfId="28792" xr:uid="{00000000-0005-0000-0000-0000AF300000}"/>
    <cellStyle name="Note 2 7 2 11" xfId="32475" xr:uid="{00000000-0005-0000-0000-0000B0300000}"/>
    <cellStyle name="Note 2 7 2 12" xfId="36241" xr:uid="{00000000-0005-0000-0000-0000B1300000}"/>
    <cellStyle name="Note 2 7 2 13" xfId="40235" xr:uid="{00000000-0005-0000-0000-0000B2300000}"/>
    <cellStyle name="Note 2 7 2 14" xfId="44067" xr:uid="{00000000-0005-0000-0000-0000B3300000}"/>
    <cellStyle name="Note 2 7 2 2" xfId="1905" xr:uid="{00000000-0005-0000-0000-0000B4300000}"/>
    <cellStyle name="Note 2 7 2 2 10" xfId="33192" xr:uid="{00000000-0005-0000-0000-0000B5300000}"/>
    <cellStyle name="Note 2 7 2 2 11" xfId="36962" xr:uid="{00000000-0005-0000-0000-0000B6300000}"/>
    <cellStyle name="Note 2 7 2 2 12" xfId="40953" xr:uid="{00000000-0005-0000-0000-0000B7300000}"/>
    <cellStyle name="Note 2 7 2 2 13" xfId="44784" xr:uid="{00000000-0005-0000-0000-0000B8300000}"/>
    <cellStyle name="Note 2 7 2 2 2" xfId="3895" xr:uid="{00000000-0005-0000-0000-0000B9300000}"/>
    <cellStyle name="Note 2 7 2 2 2 10" xfId="38946" xr:uid="{00000000-0005-0000-0000-0000BA300000}"/>
    <cellStyle name="Note 2 7 2 2 2 11" xfId="42957" xr:uid="{00000000-0005-0000-0000-0000BB300000}"/>
    <cellStyle name="Note 2 7 2 2 2 12" xfId="46722" xr:uid="{00000000-0005-0000-0000-0000BC300000}"/>
    <cellStyle name="Note 2 7 2 2 2 2" xfId="7762" xr:uid="{00000000-0005-0000-0000-0000BD300000}"/>
    <cellStyle name="Note 2 7 2 2 2 3" xfId="12197" xr:uid="{00000000-0005-0000-0000-0000BE300000}"/>
    <cellStyle name="Note 2 7 2 2 2 4" xfId="16042" xr:uid="{00000000-0005-0000-0000-0000BF300000}"/>
    <cellStyle name="Note 2 7 2 2 2 5" xfId="19889" xr:uid="{00000000-0005-0000-0000-0000C0300000}"/>
    <cellStyle name="Note 2 7 2 2 2 6" xfId="23805" xr:uid="{00000000-0005-0000-0000-0000C1300000}"/>
    <cellStyle name="Note 2 7 2 2 2 7" xfId="27639" xr:uid="{00000000-0005-0000-0000-0000C2300000}"/>
    <cellStyle name="Note 2 7 2 2 2 8" xfId="31501" xr:uid="{00000000-0005-0000-0000-0000C3300000}"/>
    <cellStyle name="Note 2 7 2 2 2 9" xfId="35160" xr:uid="{00000000-0005-0000-0000-0000C4300000}"/>
    <cellStyle name="Note 2 7 2 2 3" xfId="5838" xr:uid="{00000000-0005-0000-0000-0000C5300000}"/>
    <cellStyle name="Note 2 7 2 2 4" xfId="10196" xr:uid="{00000000-0005-0000-0000-0000C6300000}"/>
    <cellStyle name="Note 2 7 2 2 5" xfId="14042" xr:uid="{00000000-0005-0000-0000-0000C7300000}"/>
    <cellStyle name="Note 2 7 2 2 6" xfId="17871" xr:uid="{00000000-0005-0000-0000-0000C8300000}"/>
    <cellStyle name="Note 2 7 2 2 7" xfId="21810" xr:uid="{00000000-0005-0000-0000-0000C9300000}"/>
    <cellStyle name="Note 2 7 2 2 8" xfId="25623" xr:uid="{00000000-0005-0000-0000-0000CA300000}"/>
    <cellStyle name="Note 2 7 2 2 9" xfId="29510" xr:uid="{00000000-0005-0000-0000-0000CB300000}"/>
    <cellStyle name="Note 2 7 2 3" xfId="3173" xr:uid="{00000000-0005-0000-0000-0000CC300000}"/>
    <cellStyle name="Note 2 7 2 3 10" xfId="38225" xr:uid="{00000000-0005-0000-0000-0000CD300000}"/>
    <cellStyle name="Note 2 7 2 3 11" xfId="42236" xr:uid="{00000000-0005-0000-0000-0000CE300000}"/>
    <cellStyle name="Note 2 7 2 3 12" xfId="46005" xr:uid="{00000000-0005-0000-0000-0000CF300000}"/>
    <cellStyle name="Note 2 7 2 3 2" xfId="7045" xr:uid="{00000000-0005-0000-0000-0000D0300000}"/>
    <cellStyle name="Note 2 7 2 3 3" xfId="11477" xr:uid="{00000000-0005-0000-0000-0000D1300000}"/>
    <cellStyle name="Note 2 7 2 3 4" xfId="15321" xr:uid="{00000000-0005-0000-0000-0000D2300000}"/>
    <cellStyle name="Note 2 7 2 3 5" xfId="19167" xr:uid="{00000000-0005-0000-0000-0000D3300000}"/>
    <cellStyle name="Note 2 7 2 3 6" xfId="23086" xr:uid="{00000000-0005-0000-0000-0000D4300000}"/>
    <cellStyle name="Note 2 7 2 3 7" xfId="26918" xr:uid="{00000000-0005-0000-0000-0000D5300000}"/>
    <cellStyle name="Note 2 7 2 3 8" xfId="30789" xr:uid="{00000000-0005-0000-0000-0000D6300000}"/>
    <cellStyle name="Note 2 7 2 3 9" xfId="34443" xr:uid="{00000000-0005-0000-0000-0000D7300000}"/>
    <cellStyle name="Note 2 7 2 4" xfId="5121" xr:uid="{00000000-0005-0000-0000-0000D8300000}"/>
    <cellStyle name="Note 2 7 2 5" xfId="9477" xr:uid="{00000000-0005-0000-0000-0000D9300000}"/>
    <cellStyle name="Note 2 7 2 6" xfId="13321" xr:uid="{00000000-0005-0000-0000-0000DA300000}"/>
    <cellStyle name="Note 2 7 2 7" xfId="17149" xr:uid="{00000000-0005-0000-0000-0000DB300000}"/>
    <cellStyle name="Note 2 7 2 8" xfId="21091" xr:uid="{00000000-0005-0000-0000-0000DC300000}"/>
    <cellStyle name="Note 2 7 2 9" xfId="24902" xr:uid="{00000000-0005-0000-0000-0000DD300000}"/>
    <cellStyle name="Note 2 7 3" xfId="1571" xr:uid="{00000000-0005-0000-0000-0000DE300000}"/>
    <cellStyle name="Note 2 7 3 10" xfId="32858" xr:uid="{00000000-0005-0000-0000-0000DF300000}"/>
    <cellStyle name="Note 2 7 3 11" xfId="36628" xr:uid="{00000000-0005-0000-0000-0000E0300000}"/>
    <cellStyle name="Note 2 7 3 12" xfId="40619" xr:uid="{00000000-0005-0000-0000-0000E1300000}"/>
    <cellStyle name="Note 2 7 3 13" xfId="44450" xr:uid="{00000000-0005-0000-0000-0000E2300000}"/>
    <cellStyle name="Note 2 7 3 2" xfId="3561" xr:uid="{00000000-0005-0000-0000-0000E3300000}"/>
    <cellStyle name="Note 2 7 3 2 10" xfId="38612" xr:uid="{00000000-0005-0000-0000-0000E4300000}"/>
    <cellStyle name="Note 2 7 3 2 11" xfId="42623" xr:uid="{00000000-0005-0000-0000-0000E5300000}"/>
    <cellStyle name="Note 2 7 3 2 12" xfId="46388" xr:uid="{00000000-0005-0000-0000-0000E6300000}"/>
    <cellStyle name="Note 2 7 3 2 2" xfId="7428" xr:uid="{00000000-0005-0000-0000-0000E7300000}"/>
    <cellStyle name="Note 2 7 3 2 3" xfId="11863" xr:uid="{00000000-0005-0000-0000-0000E8300000}"/>
    <cellStyle name="Note 2 7 3 2 4" xfId="15708" xr:uid="{00000000-0005-0000-0000-0000E9300000}"/>
    <cellStyle name="Note 2 7 3 2 5" xfId="19555" xr:uid="{00000000-0005-0000-0000-0000EA300000}"/>
    <cellStyle name="Note 2 7 3 2 6" xfId="23471" xr:uid="{00000000-0005-0000-0000-0000EB300000}"/>
    <cellStyle name="Note 2 7 3 2 7" xfId="27305" xr:uid="{00000000-0005-0000-0000-0000EC300000}"/>
    <cellStyle name="Note 2 7 3 2 8" xfId="31171" xr:uid="{00000000-0005-0000-0000-0000ED300000}"/>
    <cellStyle name="Note 2 7 3 2 9" xfId="34826" xr:uid="{00000000-0005-0000-0000-0000EE300000}"/>
    <cellStyle name="Note 2 7 3 3" xfId="5504" xr:uid="{00000000-0005-0000-0000-0000EF300000}"/>
    <cellStyle name="Note 2 7 3 4" xfId="9862" xr:uid="{00000000-0005-0000-0000-0000F0300000}"/>
    <cellStyle name="Note 2 7 3 5" xfId="13708" xr:uid="{00000000-0005-0000-0000-0000F1300000}"/>
    <cellStyle name="Note 2 7 3 6" xfId="17537" xr:uid="{00000000-0005-0000-0000-0000F2300000}"/>
    <cellStyle name="Note 2 7 3 7" xfId="21476" xr:uid="{00000000-0005-0000-0000-0000F3300000}"/>
    <cellStyle name="Note 2 7 3 8" xfId="25289" xr:uid="{00000000-0005-0000-0000-0000F4300000}"/>
    <cellStyle name="Note 2 7 3 9" xfId="29176" xr:uid="{00000000-0005-0000-0000-0000F5300000}"/>
    <cellStyle name="Note 2 7 4" xfId="2830" xr:uid="{00000000-0005-0000-0000-0000F6300000}"/>
    <cellStyle name="Note 2 7 4 10" xfId="37882" xr:uid="{00000000-0005-0000-0000-0000F7300000}"/>
    <cellStyle name="Note 2 7 4 11" xfId="41894" xr:uid="{00000000-0005-0000-0000-0000F8300000}"/>
    <cellStyle name="Note 2 7 4 12" xfId="45671" xr:uid="{00000000-0005-0000-0000-0000F9300000}"/>
    <cellStyle name="Note 2 7 4 2" xfId="6710" xr:uid="{00000000-0005-0000-0000-0000FA300000}"/>
    <cellStyle name="Note 2 7 4 3" xfId="11137" xr:uid="{00000000-0005-0000-0000-0000FB300000}"/>
    <cellStyle name="Note 2 7 4 4" xfId="14982" xr:uid="{00000000-0005-0000-0000-0000FC300000}"/>
    <cellStyle name="Note 2 7 4 5" xfId="18824" xr:uid="{00000000-0005-0000-0000-0000FD300000}"/>
    <cellStyle name="Note 2 7 4 6" xfId="22750" xr:uid="{00000000-0005-0000-0000-0000FE300000}"/>
    <cellStyle name="Note 2 7 4 7" xfId="26575" xr:uid="{00000000-0005-0000-0000-0000FF300000}"/>
    <cellStyle name="Note 2 7 4 8" xfId="30452" xr:uid="{00000000-0005-0000-0000-000000310000}"/>
    <cellStyle name="Note 2 7 4 9" xfId="34109" xr:uid="{00000000-0005-0000-0000-000001310000}"/>
    <cellStyle name="Note 2 7 5" xfId="4786" xr:uid="{00000000-0005-0000-0000-000002310000}"/>
    <cellStyle name="Note 2 7 6" xfId="9140" xr:uid="{00000000-0005-0000-0000-000003310000}"/>
    <cellStyle name="Note 2 7 7" xfId="12981" xr:uid="{00000000-0005-0000-0000-000004310000}"/>
    <cellStyle name="Note 2 7 8" xfId="16806" xr:uid="{00000000-0005-0000-0000-000005310000}"/>
    <cellStyle name="Note 2 7 9" xfId="20748" xr:uid="{00000000-0005-0000-0000-000006310000}"/>
    <cellStyle name="Note 2 8" xfId="849" xr:uid="{00000000-0005-0000-0000-000007310000}"/>
    <cellStyle name="Note 2 8 10" xfId="28464" xr:uid="{00000000-0005-0000-0000-000008310000}"/>
    <cellStyle name="Note 2 8 11" xfId="32150" xr:uid="{00000000-0005-0000-0000-000009310000}"/>
    <cellStyle name="Note 2 8 12" xfId="35907" xr:uid="{00000000-0005-0000-0000-00000A310000}"/>
    <cellStyle name="Note 2 8 13" xfId="39918" xr:uid="{00000000-0005-0000-0000-00000B310000}"/>
    <cellStyle name="Note 2 8 14" xfId="43733" xr:uid="{00000000-0005-0000-0000-00000C310000}"/>
    <cellStyle name="Note 2 8 2" xfId="1580" xr:uid="{00000000-0005-0000-0000-00000D310000}"/>
    <cellStyle name="Note 2 8 2 10" xfId="32867" xr:uid="{00000000-0005-0000-0000-00000E310000}"/>
    <cellStyle name="Note 2 8 2 11" xfId="36637" xr:uid="{00000000-0005-0000-0000-00000F310000}"/>
    <cellStyle name="Note 2 8 2 12" xfId="40628" xr:uid="{00000000-0005-0000-0000-000010310000}"/>
    <cellStyle name="Note 2 8 2 13" xfId="44459" xr:uid="{00000000-0005-0000-0000-000011310000}"/>
    <cellStyle name="Note 2 8 2 2" xfId="3570" xr:uid="{00000000-0005-0000-0000-000012310000}"/>
    <cellStyle name="Note 2 8 2 2 10" xfId="38621" xr:uid="{00000000-0005-0000-0000-000013310000}"/>
    <cellStyle name="Note 2 8 2 2 11" xfId="42632" xr:uid="{00000000-0005-0000-0000-000014310000}"/>
    <cellStyle name="Note 2 8 2 2 12" xfId="46397" xr:uid="{00000000-0005-0000-0000-000015310000}"/>
    <cellStyle name="Note 2 8 2 2 2" xfId="7437" xr:uid="{00000000-0005-0000-0000-000016310000}"/>
    <cellStyle name="Note 2 8 2 2 3" xfId="11872" xr:uid="{00000000-0005-0000-0000-000017310000}"/>
    <cellStyle name="Note 2 8 2 2 4" xfId="15717" xr:uid="{00000000-0005-0000-0000-000018310000}"/>
    <cellStyle name="Note 2 8 2 2 5" xfId="19564" xr:uid="{00000000-0005-0000-0000-000019310000}"/>
    <cellStyle name="Note 2 8 2 2 6" xfId="23480" xr:uid="{00000000-0005-0000-0000-00001A310000}"/>
    <cellStyle name="Note 2 8 2 2 7" xfId="27314" xr:uid="{00000000-0005-0000-0000-00001B310000}"/>
    <cellStyle name="Note 2 8 2 2 8" xfId="31180" xr:uid="{00000000-0005-0000-0000-00001C310000}"/>
    <cellStyle name="Note 2 8 2 2 9" xfId="34835" xr:uid="{00000000-0005-0000-0000-00001D310000}"/>
    <cellStyle name="Note 2 8 2 3" xfId="5513" xr:uid="{00000000-0005-0000-0000-00001E310000}"/>
    <cellStyle name="Note 2 8 2 4" xfId="9871" xr:uid="{00000000-0005-0000-0000-00001F310000}"/>
    <cellStyle name="Note 2 8 2 5" xfId="13717" xr:uid="{00000000-0005-0000-0000-000020310000}"/>
    <cellStyle name="Note 2 8 2 6" xfId="17546" xr:uid="{00000000-0005-0000-0000-000021310000}"/>
    <cellStyle name="Note 2 8 2 7" xfId="21485" xr:uid="{00000000-0005-0000-0000-000022310000}"/>
    <cellStyle name="Note 2 8 2 8" xfId="25298" xr:uid="{00000000-0005-0000-0000-000023310000}"/>
    <cellStyle name="Note 2 8 2 9" xfId="29185" xr:uid="{00000000-0005-0000-0000-000024310000}"/>
    <cellStyle name="Note 2 8 3" xfId="2839" xr:uid="{00000000-0005-0000-0000-000025310000}"/>
    <cellStyle name="Note 2 8 3 10" xfId="37891" xr:uid="{00000000-0005-0000-0000-000026310000}"/>
    <cellStyle name="Note 2 8 3 11" xfId="41903" xr:uid="{00000000-0005-0000-0000-000027310000}"/>
    <cellStyle name="Note 2 8 3 12" xfId="45680" xr:uid="{00000000-0005-0000-0000-000028310000}"/>
    <cellStyle name="Note 2 8 3 2" xfId="6719" xr:uid="{00000000-0005-0000-0000-000029310000}"/>
    <cellStyle name="Note 2 8 3 3" xfId="11146" xr:uid="{00000000-0005-0000-0000-00002A310000}"/>
    <cellStyle name="Note 2 8 3 4" xfId="14991" xr:uid="{00000000-0005-0000-0000-00002B310000}"/>
    <cellStyle name="Note 2 8 3 5" xfId="18833" xr:uid="{00000000-0005-0000-0000-00002C310000}"/>
    <cellStyle name="Note 2 8 3 6" xfId="22759" xr:uid="{00000000-0005-0000-0000-00002D310000}"/>
    <cellStyle name="Note 2 8 3 7" xfId="26584" xr:uid="{00000000-0005-0000-0000-00002E310000}"/>
    <cellStyle name="Note 2 8 3 8" xfId="30461" xr:uid="{00000000-0005-0000-0000-00002F310000}"/>
    <cellStyle name="Note 2 8 3 9" xfId="34118" xr:uid="{00000000-0005-0000-0000-000030310000}"/>
    <cellStyle name="Note 2 8 4" xfId="4795" xr:uid="{00000000-0005-0000-0000-000031310000}"/>
    <cellStyle name="Note 2 8 5" xfId="9149" xr:uid="{00000000-0005-0000-0000-000032310000}"/>
    <cellStyle name="Note 2 8 6" xfId="12990" xr:uid="{00000000-0005-0000-0000-000033310000}"/>
    <cellStyle name="Note 2 8 7" xfId="16815" xr:uid="{00000000-0005-0000-0000-000034310000}"/>
    <cellStyle name="Note 2 8 8" xfId="20757" xr:uid="{00000000-0005-0000-0000-000035310000}"/>
    <cellStyle name="Note 2 8 9" xfId="24573" xr:uid="{00000000-0005-0000-0000-000036310000}"/>
    <cellStyle name="Note 2 9" xfId="1257" xr:uid="{00000000-0005-0000-0000-000037310000}"/>
    <cellStyle name="Note 2 9 10" xfId="32544" xr:uid="{00000000-0005-0000-0000-000038310000}"/>
    <cellStyle name="Note 2 9 11" xfId="36314" xr:uid="{00000000-0005-0000-0000-000039310000}"/>
    <cellStyle name="Note 2 9 12" xfId="40306" xr:uid="{00000000-0005-0000-0000-00003A310000}"/>
    <cellStyle name="Note 2 9 13" xfId="44136" xr:uid="{00000000-0005-0000-0000-00003B310000}"/>
    <cellStyle name="Note 2 9 2" xfId="3247" xr:uid="{00000000-0005-0000-0000-00003C310000}"/>
    <cellStyle name="Note 2 9 2 10" xfId="38298" xr:uid="{00000000-0005-0000-0000-00003D310000}"/>
    <cellStyle name="Note 2 9 2 11" xfId="42309" xr:uid="{00000000-0005-0000-0000-00003E310000}"/>
    <cellStyle name="Note 2 9 2 12" xfId="46074" xr:uid="{00000000-0005-0000-0000-00003F310000}"/>
    <cellStyle name="Note 2 9 2 2" xfId="7114" xr:uid="{00000000-0005-0000-0000-000040310000}"/>
    <cellStyle name="Note 2 9 2 3" xfId="11549" xr:uid="{00000000-0005-0000-0000-000041310000}"/>
    <cellStyle name="Note 2 9 2 4" xfId="15394" xr:uid="{00000000-0005-0000-0000-000042310000}"/>
    <cellStyle name="Note 2 9 2 5" xfId="19241" xr:uid="{00000000-0005-0000-0000-000043310000}"/>
    <cellStyle name="Note 2 9 2 6" xfId="23157" xr:uid="{00000000-0005-0000-0000-000044310000}"/>
    <cellStyle name="Note 2 9 2 7" xfId="26991" xr:uid="{00000000-0005-0000-0000-000045310000}"/>
    <cellStyle name="Note 2 9 2 8" xfId="30861" xr:uid="{00000000-0005-0000-0000-000046310000}"/>
    <cellStyle name="Note 2 9 2 9" xfId="34512" xr:uid="{00000000-0005-0000-0000-000047310000}"/>
    <cellStyle name="Note 2 9 3" xfId="5190" xr:uid="{00000000-0005-0000-0000-000048310000}"/>
    <cellStyle name="Note 2 9 4" xfId="9548" xr:uid="{00000000-0005-0000-0000-000049310000}"/>
    <cellStyle name="Note 2 9 5" xfId="13394" xr:uid="{00000000-0005-0000-0000-00004A310000}"/>
    <cellStyle name="Note 2 9 6" xfId="17223" xr:uid="{00000000-0005-0000-0000-00004B310000}"/>
    <cellStyle name="Note 2 9 7" xfId="21162" xr:uid="{00000000-0005-0000-0000-00004C310000}"/>
    <cellStyle name="Note 2 9 8" xfId="24975" xr:uid="{00000000-0005-0000-0000-00004D310000}"/>
    <cellStyle name="Note 2 9 9" xfId="28863" xr:uid="{00000000-0005-0000-0000-00004E310000}"/>
    <cellStyle name="Note 3" xfId="251" xr:uid="{00000000-0005-0000-0000-00004F310000}"/>
    <cellStyle name="Note 3 10" xfId="2114" xr:uid="{00000000-0005-0000-0000-000050310000}"/>
    <cellStyle name="Note 3 10 10" xfId="33418" xr:uid="{00000000-0005-0000-0000-000051310000}"/>
    <cellStyle name="Note 3 10 11" xfId="37166" xr:uid="{00000000-0005-0000-0000-000052310000}"/>
    <cellStyle name="Note 3 10 12" xfId="41182" xr:uid="{00000000-0005-0000-0000-000053310000}"/>
    <cellStyle name="Note 3 10 13" xfId="44980" xr:uid="{00000000-0005-0000-0000-000054310000}"/>
    <cellStyle name="Note 3 10 2" xfId="4098" xr:uid="{00000000-0005-0000-0000-000055310000}"/>
    <cellStyle name="Note 3 10 2 10" xfId="39149" xr:uid="{00000000-0005-0000-0000-000056310000}"/>
    <cellStyle name="Note 3 10 2 11" xfId="43159" xr:uid="{00000000-0005-0000-0000-000057310000}"/>
    <cellStyle name="Note 3 10 2 12" xfId="46918" xr:uid="{00000000-0005-0000-0000-000058310000}"/>
    <cellStyle name="Note 3 10 2 2" xfId="7959" xr:uid="{00000000-0005-0000-0000-000059310000}"/>
    <cellStyle name="Note 3 10 2 3" xfId="12398" xr:uid="{00000000-0005-0000-0000-00005A310000}"/>
    <cellStyle name="Note 3 10 2 4" xfId="16243" xr:uid="{00000000-0005-0000-0000-00005B310000}"/>
    <cellStyle name="Note 3 10 2 5" xfId="20092" xr:uid="{00000000-0005-0000-0000-00005C310000}"/>
    <cellStyle name="Note 3 10 2 6" xfId="24006" xr:uid="{00000000-0005-0000-0000-00005D310000}"/>
    <cellStyle name="Note 3 10 2 7" xfId="27842" xr:uid="{00000000-0005-0000-0000-00005E310000}"/>
    <cellStyle name="Note 3 10 2 8" xfId="31701" xr:uid="{00000000-0005-0000-0000-00005F310000}"/>
    <cellStyle name="Note 3 10 2 9" xfId="35356" xr:uid="{00000000-0005-0000-0000-000060310000}"/>
    <cellStyle name="Note 3 10 3" xfId="6034" xr:uid="{00000000-0005-0000-0000-000061310000}"/>
    <cellStyle name="Note 3 10 4" xfId="10432" xr:uid="{00000000-0005-0000-0000-000062310000}"/>
    <cellStyle name="Note 3 10 5" xfId="14280" xr:uid="{00000000-0005-0000-0000-000063310000}"/>
    <cellStyle name="Note 3 10 6" xfId="18108" xr:uid="{00000000-0005-0000-0000-000064310000}"/>
    <cellStyle name="Note 3 10 7" xfId="22050" xr:uid="{00000000-0005-0000-0000-000065310000}"/>
    <cellStyle name="Note 3 10 8" xfId="25859" xr:uid="{00000000-0005-0000-0000-000066310000}"/>
    <cellStyle name="Note 3 10 9" xfId="29739" xr:uid="{00000000-0005-0000-0000-000067310000}"/>
    <cellStyle name="Note 3 11" xfId="2136" xr:uid="{00000000-0005-0000-0000-000068310000}"/>
    <cellStyle name="Note 3 11 10" xfId="33438" xr:uid="{00000000-0005-0000-0000-000069310000}"/>
    <cellStyle name="Note 3 11 11" xfId="37188" xr:uid="{00000000-0005-0000-0000-00006A310000}"/>
    <cellStyle name="Note 3 11 12" xfId="41204" xr:uid="{00000000-0005-0000-0000-00006B310000}"/>
    <cellStyle name="Note 3 11 13" xfId="45000" xr:uid="{00000000-0005-0000-0000-00006C310000}"/>
    <cellStyle name="Note 3 11 2" xfId="4120" xr:uid="{00000000-0005-0000-0000-00006D310000}"/>
    <cellStyle name="Note 3 11 2 10" xfId="39171" xr:uid="{00000000-0005-0000-0000-00006E310000}"/>
    <cellStyle name="Note 3 11 2 11" xfId="43181" xr:uid="{00000000-0005-0000-0000-00006F310000}"/>
    <cellStyle name="Note 3 11 2 12" xfId="46938" xr:uid="{00000000-0005-0000-0000-000070310000}"/>
    <cellStyle name="Note 3 11 2 2" xfId="7979" xr:uid="{00000000-0005-0000-0000-000071310000}"/>
    <cellStyle name="Note 3 11 2 3" xfId="12419" xr:uid="{00000000-0005-0000-0000-000072310000}"/>
    <cellStyle name="Note 3 11 2 4" xfId="16264" xr:uid="{00000000-0005-0000-0000-000073310000}"/>
    <cellStyle name="Note 3 11 2 5" xfId="20114" xr:uid="{00000000-0005-0000-0000-000074310000}"/>
    <cellStyle name="Note 3 11 2 6" xfId="24026" xr:uid="{00000000-0005-0000-0000-000075310000}"/>
    <cellStyle name="Note 3 11 2 7" xfId="27864" xr:uid="{00000000-0005-0000-0000-000076310000}"/>
    <cellStyle name="Note 3 11 2 8" xfId="31723" xr:uid="{00000000-0005-0000-0000-000077310000}"/>
    <cellStyle name="Note 3 11 2 9" xfId="35376" xr:uid="{00000000-0005-0000-0000-000078310000}"/>
    <cellStyle name="Note 3 11 3" xfId="6053" xr:uid="{00000000-0005-0000-0000-000079310000}"/>
    <cellStyle name="Note 3 11 4" xfId="10453" xr:uid="{00000000-0005-0000-0000-00007A310000}"/>
    <cellStyle name="Note 3 11 5" xfId="14300" xr:uid="{00000000-0005-0000-0000-00007B310000}"/>
    <cellStyle name="Note 3 11 6" xfId="18130" xr:uid="{00000000-0005-0000-0000-00007C310000}"/>
    <cellStyle name="Note 3 11 7" xfId="22070" xr:uid="{00000000-0005-0000-0000-00007D310000}"/>
    <cellStyle name="Note 3 11 8" xfId="25881" xr:uid="{00000000-0005-0000-0000-00007E310000}"/>
    <cellStyle name="Note 3 11 9" xfId="29761" xr:uid="{00000000-0005-0000-0000-00007F310000}"/>
    <cellStyle name="Note 3 12" xfId="2142" xr:uid="{00000000-0005-0000-0000-000080310000}"/>
    <cellStyle name="Note 3 12 10" xfId="33444" xr:uid="{00000000-0005-0000-0000-000081310000}"/>
    <cellStyle name="Note 3 12 11" xfId="37194" xr:uid="{00000000-0005-0000-0000-000082310000}"/>
    <cellStyle name="Note 3 12 12" xfId="41210" xr:uid="{00000000-0005-0000-0000-000083310000}"/>
    <cellStyle name="Note 3 12 13" xfId="45006" xr:uid="{00000000-0005-0000-0000-000084310000}"/>
    <cellStyle name="Note 3 12 2" xfId="4126" xr:uid="{00000000-0005-0000-0000-000085310000}"/>
    <cellStyle name="Note 3 12 2 10" xfId="39177" xr:uid="{00000000-0005-0000-0000-000086310000}"/>
    <cellStyle name="Note 3 12 2 11" xfId="43187" xr:uid="{00000000-0005-0000-0000-000087310000}"/>
    <cellStyle name="Note 3 12 2 12" xfId="46944" xr:uid="{00000000-0005-0000-0000-000088310000}"/>
    <cellStyle name="Note 3 12 2 2" xfId="7985" xr:uid="{00000000-0005-0000-0000-000089310000}"/>
    <cellStyle name="Note 3 12 2 3" xfId="12425" xr:uid="{00000000-0005-0000-0000-00008A310000}"/>
    <cellStyle name="Note 3 12 2 4" xfId="16270" xr:uid="{00000000-0005-0000-0000-00008B310000}"/>
    <cellStyle name="Note 3 12 2 5" xfId="20120" xr:uid="{00000000-0005-0000-0000-00008C310000}"/>
    <cellStyle name="Note 3 12 2 6" xfId="24032" xr:uid="{00000000-0005-0000-0000-00008D310000}"/>
    <cellStyle name="Note 3 12 2 7" xfId="27870" xr:uid="{00000000-0005-0000-0000-00008E310000}"/>
    <cellStyle name="Note 3 12 2 8" xfId="31729" xr:uid="{00000000-0005-0000-0000-00008F310000}"/>
    <cellStyle name="Note 3 12 2 9" xfId="35382" xr:uid="{00000000-0005-0000-0000-000090310000}"/>
    <cellStyle name="Note 3 12 3" xfId="6059" xr:uid="{00000000-0005-0000-0000-000091310000}"/>
    <cellStyle name="Note 3 12 4" xfId="10459" xr:uid="{00000000-0005-0000-0000-000092310000}"/>
    <cellStyle name="Note 3 12 5" xfId="14306" xr:uid="{00000000-0005-0000-0000-000093310000}"/>
    <cellStyle name="Note 3 12 6" xfId="18136" xr:uid="{00000000-0005-0000-0000-000094310000}"/>
    <cellStyle name="Note 3 12 7" xfId="22076" xr:uid="{00000000-0005-0000-0000-000095310000}"/>
    <cellStyle name="Note 3 12 8" xfId="25887" xr:uid="{00000000-0005-0000-0000-000096310000}"/>
    <cellStyle name="Note 3 12 9" xfId="29767" xr:uid="{00000000-0005-0000-0000-000097310000}"/>
    <cellStyle name="Note 3 13" xfId="2153" xr:uid="{00000000-0005-0000-0000-000098310000}"/>
    <cellStyle name="Note 3 13 10" xfId="33454" xr:uid="{00000000-0005-0000-0000-000099310000}"/>
    <cellStyle name="Note 3 13 11" xfId="37205" xr:uid="{00000000-0005-0000-0000-00009A310000}"/>
    <cellStyle name="Note 3 13 12" xfId="41221" xr:uid="{00000000-0005-0000-0000-00009B310000}"/>
    <cellStyle name="Note 3 13 13" xfId="45016" xr:uid="{00000000-0005-0000-0000-00009C310000}"/>
    <cellStyle name="Note 3 13 2" xfId="4136" xr:uid="{00000000-0005-0000-0000-00009D310000}"/>
    <cellStyle name="Note 3 13 2 10" xfId="39187" xr:uid="{00000000-0005-0000-0000-00009E310000}"/>
    <cellStyle name="Note 3 13 2 11" xfId="43197" xr:uid="{00000000-0005-0000-0000-00009F310000}"/>
    <cellStyle name="Note 3 13 2 12" xfId="46954" xr:uid="{00000000-0005-0000-0000-0000A0310000}"/>
    <cellStyle name="Note 3 13 2 2" xfId="7995" xr:uid="{00000000-0005-0000-0000-0000A1310000}"/>
    <cellStyle name="Note 3 13 2 3" xfId="12435" xr:uid="{00000000-0005-0000-0000-0000A2310000}"/>
    <cellStyle name="Note 3 13 2 4" xfId="16280" xr:uid="{00000000-0005-0000-0000-0000A3310000}"/>
    <cellStyle name="Note 3 13 2 5" xfId="20130" xr:uid="{00000000-0005-0000-0000-0000A4310000}"/>
    <cellStyle name="Note 3 13 2 6" xfId="24042" xr:uid="{00000000-0005-0000-0000-0000A5310000}"/>
    <cellStyle name="Note 3 13 2 7" xfId="27880" xr:uid="{00000000-0005-0000-0000-0000A6310000}"/>
    <cellStyle name="Note 3 13 2 8" xfId="31739" xr:uid="{00000000-0005-0000-0000-0000A7310000}"/>
    <cellStyle name="Note 3 13 2 9" xfId="35392" xr:uid="{00000000-0005-0000-0000-0000A8310000}"/>
    <cellStyle name="Note 3 13 3" xfId="6069" xr:uid="{00000000-0005-0000-0000-0000A9310000}"/>
    <cellStyle name="Note 3 13 4" xfId="10470" xr:uid="{00000000-0005-0000-0000-0000AA310000}"/>
    <cellStyle name="Note 3 13 5" xfId="14316" xr:uid="{00000000-0005-0000-0000-0000AB310000}"/>
    <cellStyle name="Note 3 13 6" xfId="18147" xr:uid="{00000000-0005-0000-0000-0000AC310000}"/>
    <cellStyle name="Note 3 13 7" xfId="22086" xr:uid="{00000000-0005-0000-0000-0000AD310000}"/>
    <cellStyle name="Note 3 13 8" xfId="25898" xr:uid="{00000000-0005-0000-0000-0000AE310000}"/>
    <cellStyle name="Note 3 13 9" xfId="29778" xr:uid="{00000000-0005-0000-0000-0000AF310000}"/>
    <cellStyle name="Note 3 14" xfId="2112" xr:uid="{00000000-0005-0000-0000-0000B0310000}"/>
    <cellStyle name="Note 3 14 10" xfId="33416" xr:uid="{00000000-0005-0000-0000-0000B1310000}"/>
    <cellStyle name="Note 3 14 11" xfId="37164" xr:uid="{00000000-0005-0000-0000-0000B2310000}"/>
    <cellStyle name="Note 3 14 12" xfId="41180" xr:uid="{00000000-0005-0000-0000-0000B3310000}"/>
    <cellStyle name="Note 3 14 13" xfId="44978" xr:uid="{00000000-0005-0000-0000-0000B4310000}"/>
    <cellStyle name="Note 3 14 2" xfId="4096" xr:uid="{00000000-0005-0000-0000-0000B5310000}"/>
    <cellStyle name="Note 3 14 2 10" xfId="39147" xr:uid="{00000000-0005-0000-0000-0000B6310000}"/>
    <cellStyle name="Note 3 14 2 11" xfId="43157" xr:uid="{00000000-0005-0000-0000-0000B7310000}"/>
    <cellStyle name="Note 3 14 2 12" xfId="46916" xr:uid="{00000000-0005-0000-0000-0000B8310000}"/>
    <cellStyle name="Note 3 14 2 2" xfId="7957" xr:uid="{00000000-0005-0000-0000-0000B9310000}"/>
    <cellStyle name="Note 3 14 2 3" xfId="12396" xr:uid="{00000000-0005-0000-0000-0000BA310000}"/>
    <cellStyle name="Note 3 14 2 4" xfId="16241" xr:uid="{00000000-0005-0000-0000-0000BB310000}"/>
    <cellStyle name="Note 3 14 2 5" xfId="20090" xr:uid="{00000000-0005-0000-0000-0000BC310000}"/>
    <cellStyle name="Note 3 14 2 6" xfId="24004" xr:uid="{00000000-0005-0000-0000-0000BD310000}"/>
    <cellStyle name="Note 3 14 2 7" xfId="27840" xr:uid="{00000000-0005-0000-0000-0000BE310000}"/>
    <cellStyle name="Note 3 14 2 8" xfId="31699" xr:uid="{00000000-0005-0000-0000-0000BF310000}"/>
    <cellStyle name="Note 3 14 2 9" xfId="35354" xr:uid="{00000000-0005-0000-0000-0000C0310000}"/>
    <cellStyle name="Note 3 14 3" xfId="6032" xr:uid="{00000000-0005-0000-0000-0000C1310000}"/>
    <cellStyle name="Note 3 14 4" xfId="10430" xr:uid="{00000000-0005-0000-0000-0000C2310000}"/>
    <cellStyle name="Note 3 14 5" xfId="14278" xr:uid="{00000000-0005-0000-0000-0000C3310000}"/>
    <cellStyle name="Note 3 14 6" xfId="18106" xr:uid="{00000000-0005-0000-0000-0000C4310000}"/>
    <cellStyle name="Note 3 14 7" xfId="22048" xr:uid="{00000000-0005-0000-0000-0000C5310000}"/>
    <cellStyle name="Note 3 14 8" xfId="25857" xr:uid="{00000000-0005-0000-0000-0000C6310000}"/>
    <cellStyle name="Note 3 14 9" xfId="29737" xr:uid="{00000000-0005-0000-0000-0000C7310000}"/>
    <cellStyle name="Note 3 15" xfId="2156" xr:uid="{00000000-0005-0000-0000-0000C8310000}"/>
    <cellStyle name="Note 3 15 10" xfId="33457" xr:uid="{00000000-0005-0000-0000-0000C9310000}"/>
    <cellStyle name="Note 3 15 11" xfId="37208" xr:uid="{00000000-0005-0000-0000-0000CA310000}"/>
    <cellStyle name="Note 3 15 12" xfId="41224" xr:uid="{00000000-0005-0000-0000-0000CB310000}"/>
    <cellStyle name="Note 3 15 13" xfId="45019" xr:uid="{00000000-0005-0000-0000-0000CC310000}"/>
    <cellStyle name="Note 3 15 2" xfId="4139" xr:uid="{00000000-0005-0000-0000-0000CD310000}"/>
    <cellStyle name="Note 3 15 2 10" xfId="39190" xr:uid="{00000000-0005-0000-0000-0000CE310000}"/>
    <cellStyle name="Note 3 15 2 11" xfId="43200" xr:uid="{00000000-0005-0000-0000-0000CF310000}"/>
    <cellStyle name="Note 3 15 2 12" xfId="46957" xr:uid="{00000000-0005-0000-0000-0000D0310000}"/>
    <cellStyle name="Note 3 15 2 2" xfId="7998" xr:uid="{00000000-0005-0000-0000-0000D1310000}"/>
    <cellStyle name="Note 3 15 2 3" xfId="12438" xr:uid="{00000000-0005-0000-0000-0000D2310000}"/>
    <cellStyle name="Note 3 15 2 4" xfId="16283" xr:uid="{00000000-0005-0000-0000-0000D3310000}"/>
    <cellStyle name="Note 3 15 2 5" xfId="20133" xr:uid="{00000000-0005-0000-0000-0000D4310000}"/>
    <cellStyle name="Note 3 15 2 6" xfId="24045" xr:uid="{00000000-0005-0000-0000-0000D5310000}"/>
    <cellStyle name="Note 3 15 2 7" xfId="27883" xr:uid="{00000000-0005-0000-0000-0000D6310000}"/>
    <cellStyle name="Note 3 15 2 8" xfId="31742" xr:uid="{00000000-0005-0000-0000-0000D7310000}"/>
    <cellStyle name="Note 3 15 2 9" xfId="35395" xr:uid="{00000000-0005-0000-0000-0000D8310000}"/>
    <cellStyle name="Note 3 15 3" xfId="6072" xr:uid="{00000000-0005-0000-0000-0000D9310000}"/>
    <cellStyle name="Note 3 15 4" xfId="10473" xr:uid="{00000000-0005-0000-0000-0000DA310000}"/>
    <cellStyle name="Note 3 15 5" xfId="14319" xr:uid="{00000000-0005-0000-0000-0000DB310000}"/>
    <cellStyle name="Note 3 15 6" xfId="18150" xr:uid="{00000000-0005-0000-0000-0000DC310000}"/>
    <cellStyle name="Note 3 15 7" xfId="22089" xr:uid="{00000000-0005-0000-0000-0000DD310000}"/>
    <cellStyle name="Note 3 15 8" xfId="25901" xr:uid="{00000000-0005-0000-0000-0000DE310000}"/>
    <cellStyle name="Note 3 15 9" xfId="29781" xr:uid="{00000000-0005-0000-0000-0000DF310000}"/>
    <cellStyle name="Note 3 16" xfId="2520" xr:uid="{00000000-0005-0000-0000-0000E0310000}"/>
    <cellStyle name="Note 3 16 10" xfId="37572" xr:uid="{00000000-0005-0000-0000-0000E1310000}"/>
    <cellStyle name="Note 3 16 11" xfId="41586" xr:uid="{00000000-0005-0000-0000-0000E2310000}"/>
    <cellStyle name="Note 3 16 12" xfId="45375" xr:uid="{00000000-0005-0000-0000-0000E3310000}"/>
    <cellStyle name="Note 3 16 2" xfId="6412" xr:uid="{00000000-0005-0000-0000-0000E4310000}"/>
    <cellStyle name="Note 3 16 3" xfId="10835" xr:uid="{00000000-0005-0000-0000-0000E5310000}"/>
    <cellStyle name="Note 3 16 4" xfId="14679" xr:uid="{00000000-0005-0000-0000-0000E6310000}"/>
    <cellStyle name="Note 3 16 5" xfId="18514" xr:uid="{00000000-0005-0000-0000-0000E7310000}"/>
    <cellStyle name="Note 3 16 6" xfId="22449" xr:uid="{00000000-0005-0000-0000-0000E8310000}"/>
    <cellStyle name="Note 3 16 7" xfId="26265" xr:uid="{00000000-0005-0000-0000-0000E9310000}"/>
    <cellStyle name="Note 3 16 8" xfId="30144" xr:uid="{00000000-0005-0000-0000-0000EA310000}"/>
    <cellStyle name="Note 3 16 9" xfId="33813" xr:uid="{00000000-0005-0000-0000-0000EB310000}"/>
    <cellStyle name="Note 3 17" xfId="4497" xr:uid="{00000000-0005-0000-0000-0000EC310000}"/>
    <cellStyle name="Note 3 18" xfId="8545" xr:uid="{00000000-0005-0000-0000-0000ED310000}"/>
    <cellStyle name="Note 3 19" xfId="8498" xr:uid="{00000000-0005-0000-0000-0000EE310000}"/>
    <cellStyle name="Note 3 2" xfId="479" xr:uid="{00000000-0005-0000-0000-0000EF310000}"/>
    <cellStyle name="Note 3 2 10" xfId="1973" xr:uid="{00000000-0005-0000-0000-0000F0310000}"/>
    <cellStyle name="Note 3 2 10 10" xfId="33260" xr:uid="{00000000-0005-0000-0000-0000F1310000}"/>
    <cellStyle name="Note 3 2 10 11" xfId="37030" xr:uid="{00000000-0005-0000-0000-0000F2310000}"/>
    <cellStyle name="Note 3 2 10 12" xfId="41021" xr:uid="{00000000-0005-0000-0000-0000F3310000}"/>
    <cellStyle name="Note 3 2 10 13" xfId="44852" xr:uid="{00000000-0005-0000-0000-0000F4310000}"/>
    <cellStyle name="Note 3 2 10 2" xfId="3963" xr:uid="{00000000-0005-0000-0000-0000F5310000}"/>
    <cellStyle name="Note 3 2 10 2 10" xfId="39014" xr:uid="{00000000-0005-0000-0000-0000F6310000}"/>
    <cellStyle name="Note 3 2 10 2 11" xfId="43025" xr:uid="{00000000-0005-0000-0000-0000F7310000}"/>
    <cellStyle name="Note 3 2 10 2 12" xfId="46790" xr:uid="{00000000-0005-0000-0000-0000F8310000}"/>
    <cellStyle name="Note 3 2 10 2 2" xfId="7830" xr:uid="{00000000-0005-0000-0000-0000F9310000}"/>
    <cellStyle name="Note 3 2 10 2 3" xfId="12265" xr:uid="{00000000-0005-0000-0000-0000FA310000}"/>
    <cellStyle name="Note 3 2 10 2 4" xfId="16110" xr:uid="{00000000-0005-0000-0000-0000FB310000}"/>
    <cellStyle name="Note 3 2 10 2 5" xfId="19957" xr:uid="{00000000-0005-0000-0000-0000FC310000}"/>
    <cellStyle name="Note 3 2 10 2 6" xfId="23873" xr:uid="{00000000-0005-0000-0000-0000FD310000}"/>
    <cellStyle name="Note 3 2 10 2 7" xfId="27707" xr:uid="{00000000-0005-0000-0000-0000FE310000}"/>
    <cellStyle name="Note 3 2 10 2 8" xfId="31567" xr:uid="{00000000-0005-0000-0000-0000FF310000}"/>
    <cellStyle name="Note 3 2 10 2 9" xfId="35228" xr:uid="{00000000-0005-0000-0000-000000320000}"/>
    <cellStyle name="Note 3 2 10 3" xfId="5906" xr:uid="{00000000-0005-0000-0000-000001320000}"/>
    <cellStyle name="Note 3 2 10 4" xfId="10264" xr:uid="{00000000-0005-0000-0000-000002320000}"/>
    <cellStyle name="Note 3 2 10 5" xfId="14110" xr:uid="{00000000-0005-0000-0000-000003320000}"/>
    <cellStyle name="Note 3 2 10 6" xfId="17939" xr:uid="{00000000-0005-0000-0000-000004320000}"/>
    <cellStyle name="Note 3 2 10 7" xfId="21878" xr:uid="{00000000-0005-0000-0000-000005320000}"/>
    <cellStyle name="Note 3 2 10 8" xfId="25691" xr:uid="{00000000-0005-0000-0000-000006320000}"/>
    <cellStyle name="Note 3 2 10 9" xfId="29578" xr:uid="{00000000-0005-0000-0000-000007320000}"/>
    <cellStyle name="Note 3 2 11" xfId="1267" xr:uid="{00000000-0005-0000-0000-000008320000}"/>
    <cellStyle name="Note 3 2 11 10" xfId="32554" xr:uid="{00000000-0005-0000-0000-000009320000}"/>
    <cellStyle name="Note 3 2 11 11" xfId="36324" xr:uid="{00000000-0005-0000-0000-00000A320000}"/>
    <cellStyle name="Note 3 2 11 12" xfId="40316" xr:uid="{00000000-0005-0000-0000-00000B320000}"/>
    <cellStyle name="Note 3 2 11 13" xfId="44146" xr:uid="{00000000-0005-0000-0000-00000C320000}"/>
    <cellStyle name="Note 3 2 11 2" xfId="3257" xr:uid="{00000000-0005-0000-0000-00000D320000}"/>
    <cellStyle name="Note 3 2 11 2 10" xfId="38308" xr:uid="{00000000-0005-0000-0000-00000E320000}"/>
    <cellStyle name="Note 3 2 11 2 11" xfId="42319" xr:uid="{00000000-0005-0000-0000-00000F320000}"/>
    <cellStyle name="Note 3 2 11 2 12" xfId="46084" xr:uid="{00000000-0005-0000-0000-000010320000}"/>
    <cellStyle name="Note 3 2 11 2 2" xfId="7124" xr:uid="{00000000-0005-0000-0000-000011320000}"/>
    <cellStyle name="Note 3 2 11 2 3" xfId="11559" xr:uid="{00000000-0005-0000-0000-000012320000}"/>
    <cellStyle name="Note 3 2 11 2 4" xfId="15404" xr:uid="{00000000-0005-0000-0000-000013320000}"/>
    <cellStyle name="Note 3 2 11 2 5" xfId="19251" xr:uid="{00000000-0005-0000-0000-000014320000}"/>
    <cellStyle name="Note 3 2 11 2 6" xfId="23167" xr:uid="{00000000-0005-0000-0000-000015320000}"/>
    <cellStyle name="Note 3 2 11 2 7" xfId="27001" xr:uid="{00000000-0005-0000-0000-000016320000}"/>
    <cellStyle name="Note 3 2 11 2 8" xfId="30871" xr:uid="{00000000-0005-0000-0000-000017320000}"/>
    <cellStyle name="Note 3 2 11 2 9" xfId="34522" xr:uid="{00000000-0005-0000-0000-000018320000}"/>
    <cellStyle name="Note 3 2 11 3" xfId="5200" xr:uid="{00000000-0005-0000-0000-000019320000}"/>
    <cellStyle name="Note 3 2 11 4" xfId="9558" xr:uid="{00000000-0005-0000-0000-00001A320000}"/>
    <cellStyle name="Note 3 2 11 5" xfId="13404" xr:uid="{00000000-0005-0000-0000-00001B320000}"/>
    <cellStyle name="Note 3 2 11 6" xfId="17233" xr:uid="{00000000-0005-0000-0000-00001C320000}"/>
    <cellStyle name="Note 3 2 11 7" xfId="21172" xr:uid="{00000000-0005-0000-0000-00001D320000}"/>
    <cellStyle name="Note 3 2 11 8" xfId="24985" xr:uid="{00000000-0005-0000-0000-00001E320000}"/>
    <cellStyle name="Note 3 2 11 9" xfId="28873" xr:uid="{00000000-0005-0000-0000-00001F320000}"/>
    <cellStyle name="Note 3 2 12" xfId="2158" xr:uid="{00000000-0005-0000-0000-000020320000}"/>
    <cellStyle name="Note 3 2 12 10" xfId="33459" xr:uid="{00000000-0005-0000-0000-000021320000}"/>
    <cellStyle name="Note 3 2 12 11" xfId="37210" xr:uid="{00000000-0005-0000-0000-000022320000}"/>
    <cellStyle name="Note 3 2 12 12" xfId="41226" xr:uid="{00000000-0005-0000-0000-000023320000}"/>
    <cellStyle name="Note 3 2 12 13" xfId="45021" xr:uid="{00000000-0005-0000-0000-000024320000}"/>
    <cellStyle name="Note 3 2 12 2" xfId="4141" xr:uid="{00000000-0005-0000-0000-000025320000}"/>
    <cellStyle name="Note 3 2 12 2 10" xfId="39192" xr:uid="{00000000-0005-0000-0000-000026320000}"/>
    <cellStyle name="Note 3 2 12 2 11" xfId="43202" xr:uid="{00000000-0005-0000-0000-000027320000}"/>
    <cellStyle name="Note 3 2 12 2 12" xfId="46959" xr:uid="{00000000-0005-0000-0000-000028320000}"/>
    <cellStyle name="Note 3 2 12 2 2" xfId="8000" xr:uid="{00000000-0005-0000-0000-000029320000}"/>
    <cellStyle name="Note 3 2 12 2 3" xfId="12440" xr:uid="{00000000-0005-0000-0000-00002A320000}"/>
    <cellStyle name="Note 3 2 12 2 4" xfId="16285" xr:uid="{00000000-0005-0000-0000-00002B320000}"/>
    <cellStyle name="Note 3 2 12 2 5" xfId="20135" xr:uid="{00000000-0005-0000-0000-00002C320000}"/>
    <cellStyle name="Note 3 2 12 2 6" xfId="24047" xr:uid="{00000000-0005-0000-0000-00002D320000}"/>
    <cellStyle name="Note 3 2 12 2 7" xfId="27885" xr:uid="{00000000-0005-0000-0000-00002E320000}"/>
    <cellStyle name="Note 3 2 12 2 8" xfId="31744" xr:uid="{00000000-0005-0000-0000-00002F320000}"/>
    <cellStyle name="Note 3 2 12 2 9" xfId="35397" xr:uid="{00000000-0005-0000-0000-000030320000}"/>
    <cellStyle name="Note 3 2 12 3" xfId="6074" xr:uid="{00000000-0005-0000-0000-000031320000}"/>
    <cellStyle name="Note 3 2 12 4" xfId="10475" xr:uid="{00000000-0005-0000-0000-000032320000}"/>
    <cellStyle name="Note 3 2 12 5" xfId="14321" xr:uid="{00000000-0005-0000-0000-000033320000}"/>
    <cellStyle name="Note 3 2 12 6" xfId="18152" xr:uid="{00000000-0005-0000-0000-000034320000}"/>
    <cellStyle name="Note 3 2 12 7" xfId="22091" xr:uid="{00000000-0005-0000-0000-000035320000}"/>
    <cellStyle name="Note 3 2 12 8" xfId="25903" xr:uid="{00000000-0005-0000-0000-000036320000}"/>
    <cellStyle name="Note 3 2 12 9" xfId="29783" xr:uid="{00000000-0005-0000-0000-000037320000}"/>
    <cellStyle name="Note 3 2 13" xfId="2081" xr:uid="{00000000-0005-0000-0000-000038320000}"/>
    <cellStyle name="Note 3 2 13 10" xfId="33388" xr:uid="{00000000-0005-0000-0000-000039320000}"/>
    <cellStyle name="Note 3 2 13 11" xfId="37133" xr:uid="{00000000-0005-0000-0000-00003A320000}"/>
    <cellStyle name="Note 3 2 13 12" xfId="41149" xr:uid="{00000000-0005-0000-0000-00003B320000}"/>
    <cellStyle name="Note 3 2 13 13" xfId="44950" xr:uid="{00000000-0005-0000-0000-00003C320000}"/>
    <cellStyle name="Note 3 2 13 2" xfId="4066" xr:uid="{00000000-0005-0000-0000-00003D320000}"/>
    <cellStyle name="Note 3 2 13 2 10" xfId="39117" xr:uid="{00000000-0005-0000-0000-00003E320000}"/>
    <cellStyle name="Note 3 2 13 2 11" xfId="43127" xr:uid="{00000000-0005-0000-0000-00003F320000}"/>
    <cellStyle name="Note 3 2 13 2 12" xfId="46888" xr:uid="{00000000-0005-0000-0000-000040320000}"/>
    <cellStyle name="Note 3 2 13 2 2" xfId="7929" xr:uid="{00000000-0005-0000-0000-000041320000}"/>
    <cellStyle name="Note 3 2 13 2 3" xfId="12366" xr:uid="{00000000-0005-0000-0000-000042320000}"/>
    <cellStyle name="Note 3 2 13 2 4" xfId="16211" xr:uid="{00000000-0005-0000-0000-000043320000}"/>
    <cellStyle name="Note 3 2 13 2 5" xfId="20060" xr:uid="{00000000-0005-0000-0000-000044320000}"/>
    <cellStyle name="Note 3 2 13 2 6" xfId="23974" xr:uid="{00000000-0005-0000-0000-000045320000}"/>
    <cellStyle name="Note 3 2 13 2 7" xfId="27810" xr:uid="{00000000-0005-0000-0000-000046320000}"/>
    <cellStyle name="Note 3 2 13 2 8" xfId="31669" xr:uid="{00000000-0005-0000-0000-000047320000}"/>
    <cellStyle name="Note 3 2 13 2 9" xfId="35326" xr:uid="{00000000-0005-0000-0000-000048320000}"/>
    <cellStyle name="Note 3 2 13 3" xfId="6006" xr:uid="{00000000-0005-0000-0000-000049320000}"/>
    <cellStyle name="Note 3 2 13 4" xfId="10400" xr:uid="{00000000-0005-0000-0000-00004A320000}"/>
    <cellStyle name="Note 3 2 13 5" xfId="14248" xr:uid="{00000000-0005-0000-0000-00004B320000}"/>
    <cellStyle name="Note 3 2 13 6" xfId="18075" xr:uid="{00000000-0005-0000-0000-00004C320000}"/>
    <cellStyle name="Note 3 2 13 7" xfId="22017" xr:uid="{00000000-0005-0000-0000-00004D320000}"/>
    <cellStyle name="Note 3 2 13 8" xfId="25826" xr:uid="{00000000-0005-0000-0000-00004E320000}"/>
    <cellStyle name="Note 3 2 13 9" xfId="29706" xr:uid="{00000000-0005-0000-0000-00004F320000}"/>
    <cellStyle name="Note 3 2 14" xfId="2175" xr:uid="{00000000-0005-0000-0000-000050320000}"/>
    <cellStyle name="Note 3 2 14 10" xfId="33476" xr:uid="{00000000-0005-0000-0000-000051320000}"/>
    <cellStyle name="Note 3 2 14 11" xfId="37227" xr:uid="{00000000-0005-0000-0000-000052320000}"/>
    <cellStyle name="Note 3 2 14 12" xfId="41243" xr:uid="{00000000-0005-0000-0000-000053320000}"/>
    <cellStyle name="Note 3 2 14 13" xfId="45038" xr:uid="{00000000-0005-0000-0000-000054320000}"/>
    <cellStyle name="Note 3 2 14 2" xfId="4158" xr:uid="{00000000-0005-0000-0000-000055320000}"/>
    <cellStyle name="Note 3 2 14 2 10" xfId="39209" xr:uid="{00000000-0005-0000-0000-000056320000}"/>
    <cellStyle name="Note 3 2 14 2 11" xfId="43219" xr:uid="{00000000-0005-0000-0000-000057320000}"/>
    <cellStyle name="Note 3 2 14 2 12" xfId="46976" xr:uid="{00000000-0005-0000-0000-000058320000}"/>
    <cellStyle name="Note 3 2 14 2 2" xfId="8017" xr:uid="{00000000-0005-0000-0000-000059320000}"/>
    <cellStyle name="Note 3 2 14 2 3" xfId="12457" xr:uid="{00000000-0005-0000-0000-00005A320000}"/>
    <cellStyle name="Note 3 2 14 2 4" xfId="16302" xr:uid="{00000000-0005-0000-0000-00005B320000}"/>
    <cellStyle name="Note 3 2 14 2 5" xfId="20152" xr:uid="{00000000-0005-0000-0000-00005C320000}"/>
    <cellStyle name="Note 3 2 14 2 6" xfId="24064" xr:uid="{00000000-0005-0000-0000-00005D320000}"/>
    <cellStyle name="Note 3 2 14 2 7" xfId="27902" xr:uid="{00000000-0005-0000-0000-00005E320000}"/>
    <cellStyle name="Note 3 2 14 2 8" xfId="31761" xr:uid="{00000000-0005-0000-0000-00005F320000}"/>
    <cellStyle name="Note 3 2 14 2 9" xfId="35414" xr:uid="{00000000-0005-0000-0000-000060320000}"/>
    <cellStyle name="Note 3 2 14 3" xfId="6089" xr:uid="{00000000-0005-0000-0000-000061320000}"/>
    <cellStyle name="Note 3 2 14 4" xfId="10492" xr:uid="{00000000-0005-0000-0000-000062320000}"/>
    <cellStyle name="Note 3 2 14 5" xfId="14338" xr:uid="{00000000-0005-0000-0000-000063320000}"/>
    <cellStyle name="Note 3 2 14 6" xfId="18169" xr:uid="{00000000-0005-0000-0000-000064320000}"/>
    <cellStyle name="Note 3 2 14 7" xfId="22108" xr:uid="{00000000-0005-0000-0000-000065320000}"/>
    <cellStyle name="Note 3 2 14 8" xfId="25920" xr:uid="{00000000-0005-0000-0000-000066320000}"/>
    <cellStyle name="Note 3 2 14 9" xfId="29800" xr:uid="{00000000-0005-0000-0000-000067320000}"/>
    <cellStyle name="Note 3 2 15" xfId="2344" xr:uid="{00000000-0005-0000-0000-000068320000}"/>
    <cellStyle name="Note 3 2 15 10" xfId="37396" xr:uid="{00000000-0005-0000-0000-000069320000}"/>
    <cellStyle name="Note 3 2 15 11" xfId="41412" xr:uid="{00000000-0005-0000-0000-00006A320000}"/>
    <cellStyle name="Note 3 2 15 12" xfId="45205" xr:uid="{00000000-0005-0000-0000-00006B320000}"/>
    <cellStyle name="Note 3 2 15 2" xfId="4327" xr:uid="{00000000-0005-0000-0000-00006C320000}"/>
    <cellStyle name="Note 3 2 15 2 10" xfId="39378" xr:uid="{00000000-0005-0000-0000-00006D320000}"/>
    <cellStyle name="Note 3 2 15 2 11" xfId="43388" xr:uid="{00000000-0005-0000-0000-00006E320000}"/>
    <cellStyle name="Note 3 2 15 2 12" xfId="47143" xr:uid="{00000000-0005-0000-0000-00006F320000}"/>
    <cellStyle name="Note 3 2 15 2 2" xfId="8184" xr:uid="{00000000-0005-0000-0000-000070320000}"/>
    <cellStyle name="Note 3 2 15 2 3" xfId="12626" xr:uid="{00000000-0005-0000-0000-000071320000}"/>
    <cellStyle name="Note 3 2 15 2 4" xfId="16470" xr:uid="{00000000-0005-0000-0000-000072320000}"/>
    <cellStyle name="Note 3 2 15 2 5" xfId="20321" xr:uid="{00000000-0005-0000-0000-000073320000}"/>
    <cellStyle name="Note 3 2 15 2 6" xfId="24232" xr:uid="{00000000-0005-0000-0000-000074320000}"/>
    <cellStyle name="Note 3 2 15 2 7" xfId="28071" xr:uid="{00000000-0005-0000-0000-000075320000}"/>
    <cellStyle name="Note 3 2 15 2 8" xfId="31929" xr:uid="{00000000-0005-0000-0000-000076320000}"/>
    <cellStyle name="Note 3 2 15 2 9" xfId="35581" xr:uid="{00000000-0005-0000-0000-000077320000}"/>
    <cellStyle name="Note 3 2 15 3" xfId="10661" xr:uid="{00000000-0005-0000-0000-000078320000}"/>
    <cellStyle name="Note 3 2 15 4" xfId="14506" xr:uid="{00000000-0005-0000-0000-000079320000}"/>
    <cellStyle name="Note 3 2 15 5" xfId="18338" xr:uid="{00000000-0005-0000-0000-00007A320000}"/>
    <cellStyle name="Note 3 2 15 6" xfId="22276" xr:uid="{00000000-0005-0000-0000-00007B320000}"/>
    <cellStyle name="Note 3 2 15 7" xfId="26089" xr:uid="{00000000-0005-0000-0000-00007C320000}"/>
    <cellStyle name="Note 3 2 15 8" xfId="29969" xr:uid="{00000000-0005-0000-0000-00007D320000}"/>
    <cellStyle name="Note 3 2 15 9" xfId="33643" xr:uid="{00000000-0005-0000-0000-00007E320000}"/>
    <cellStyle name="Note 3 2 16" xfId="2124" xr:uid="{00000000-0005-0000-0000-00007F320000}"/>
    <cellStyle name="Note 3 2 16 10" xfId="33428" xr:uid="{00000000-0005-0000-0000-000080320000}"/>
    <cellStyle name="Note 3 2 16 11" xfId="37176" xr:uid="{00000000-0005-0000-0000-000081320000}"/>
    <cellStyle name="Note 3 2 16 12" xfId="41192" xr:uid="{00000000-0005-0000-0000-000082320000}"/>
    <cellStyle name="Note 3 2 16 13" xfId="44990" xr:uid="{00000000-0005-0000-0000-000083320000}"/>
    <cellStyle name="Note 3 2 16 2" xfId="4108" xr:uid="{00000000-0005-0000-0000-000084320000}"/>
    <cellStyle name="Note 3 2 16 2 10" xfId="39159" xr:uid="{00000000-0005-0000-0000-000085320000}"/>
    <cellStyle name="Note 3 2 16 2 11" xfId="43169" xr:uid="{00000000-0005-0000-0000-000086320000}"/>
    <cellStyle name="Note 3 2 16 2 12" xfId="46928" xr:uid="{00000000-0005-0000-0000-000087320000}"/>
    <cellStyle name="Note 3 2 16 2 2" xfId="7969" xr:uid="{00000000-0005-0000-0000-000088320000}"/>
    <cellStyle name="Note 3 2 16 2 3" xfId="12408" xr:uid="{00000000-0005-0000-0000-000089320000}"/>
    <cellStyle name="Note 3 2 16 2 4" xfId="16253" xr:uid="{00000000-0005-0000-0000-00008A320000}"/>
    <cellStyle name="Note 3 2 16 2 5" xfId="20102" xr:uid="{00000000-0005-0000-0000-00008B320000}"/>
    <cellStyle name="Note 3 2 16 2 6" xfId="24016" xr:uid="{00000000-0005-0000-0000-00008C320000}"/>
    <cellStyle name="Note 3 2 16 2 7" xfId="27852" xr:uid="{00000000-0005-0000-0000-00008D320000}"/>
    <cellStyle name="Note 3 2 16 2 8" xfId="31711" xr:uid="{00000000-0005-0000-0000-00008E320000}"/>
    <cellStyle name="Note 3 2 16 2 9" xfId="35366" xr:uid="{00000000-0005-0000-0000-00008F320000}"/>
    <cellStyle name="Note 3 2 16 3" xfId="6044" xr:uid="{00000000-0005-0000-0000-000090320000}"/>
    <cellStyle name="Note 3 2 16 4" xfId="10442" xr:uid="{00000000-0005-0000-0000-000091320000}"/>
    <cellStyle name="Note 3 2 16 5" xfId="14290" xr:uid="{00000000-0005-0000-0000-000092320000}"/>
    <cellStyle name="Note 3 2 16 6" xfId="18118" xr:uid="{00000000-0005-0000-0000-000093320000}"/>
    <cellStyle name="Note 3 2 16 7" xfId="22060" xr:uid="{00000000-0005-0000-0000-000094320000}"/>
    <cellStyle name="Note 3 2 16 8" xfId="25869" xr:uid="{00000000-0005-0000-0000-000095320000}"/>
    <cellStyle name="Note 3 2 16 9" xfId="29749" xr:uid="{00000000-0005-0000-0000-000096320000}"/>
    <cellStyle name="Note 3 2 17" xfId="2358" xr:uid="{00000000-0005-0000-0000-000097320000}"/>
    <cellStyle name="Note 3 2 17 10" xfId="33657" xr:uid="{00000000-0005-0000-0000-000098320000}"/>
    <cellStyle name="Note 3 2 17 11" xfId="37410" xr:uid="{00000000-0005-0000-0000-000099320000}"/>
    <cellStyle name="Note 3 2 17 12" xfId="41426" xr:uid="{00000000-0005-0000-0000-00009A320000}"/>
    <cellStyle name="Note 3 2 17 13" xfId="45219" xr:uid="{00000000-0005-0000-0000-00009B320000}"/>
    <cellStyle name="Note 3 2 17 2" xfId="4341" xr:uid="{00000000-0005-0000-0000-00009C320000}"/>
    <cellStyle name="Note 3 2 17 2 10" xfId="39392" xr:uid="{00000000-0005-0000-0000-00009D320000}"/>
    <cellStyle name="Note 3 2 17 2 11" xfId="43402" xr:uid="{00000000-0005-0000-0000-00009E320000}"/>
    <cellStyle name="Note 3 2 17 2 12" xfId="47157" xr:uid="{00000000-0005-0000-0000-00009F320000}"/>
    <cellStyle name="Note 3 2 17 2 2" xfId="8198" xr:uid="{00000000-0005-0000-0000-0000A0320000}"/>
    <cellStyle name="Note 3 2 17 2 3" xfId="12640" xr:uid="{00000000-0005-0000-0000-0000A1320000}"/>
    <cellStyle name="Note 3 2 17 2 4" xfId="16484" xr:uid="{00000000-0005-0000-0000-0000A2320000}"/>
    <cellStyle name="Note 3 2 17 2 5" xfId="20335" xr:uid="{00000000-0005-0000-0000-0000A3320000}"/>
    <cellStyle name="Note 3 2 17 2 6" xfId="24246" xr:uid="{00000000-0005-0000-0000-0000A4320000}"/>
    <cellStyle name="Note 3 2 17 2 7" xfId="28085" xr:uid="{00000000-0005-0000-0000-0000A5320000}"/>
    <cellStyle name="Note 3 2 17 2 8" xfId="31943" xr:uid="{00000000-0005-0000-0000-0000A6320000}"/>
    <cellStyle name="Note 3 2 17 2 9" xfId="35595" xr:uid="{00000000-0005-0000-0000-0000A7320000}"/>
    <cellStyle name="Note 3 2 17 3" xfId="6254" xr:uid="{00000000-0005-0000-0000-0000A8320000}"/>
    <cellStyle name="Note 3 2 17 4" xfId="10675" xr:uid="{00000000-0005-0000-0000-0000A9320000}"/>
    <cellStyle name="Note 3 2 17 5" xfId="14520" xr:uid="{00000000-0005-0000-0000-0000AA320000}"/>
    <cellStyle name="Note 3 2 17 6" xfId="18352" xr:uid="{00000000-0005-0000-0000-0000AB320000}"/>
    <cellStyle name="Note 3 2 17 7" xfId="22290" xr:uid="{00000000-0005-0000-0000-0000AC320000}"/>
    <cellStyle name="Note 3 2 17 8" xfId="26103" xr:uid="{00000000-0005-0000-0000-0000AD320000}"/>
    <cellStyle name="Note 3 2 17 9" xfId="29983" xr:uid="{00000000-0005-0000-0000-0000AE320000}"/>
    <cellStyle name="Note 3 2 18" xfId="2526" xr:uid="{00000000-0005-0000-0000-0000AF320000}"/>
    <cellStyle name="Note 3 2 18 10" xfId="37578" xr:uid="{00000000-0005-0000-0000-0000B0320000}"/>
    <cellStyle name="Note 3 2 18 11" xfId="41592" xr:uid="{00000000-0005-0000-0000-0000B1320000}"/>
    <cellStyle name="Note 3 2 18 12" xfId="45381" xr:uid="{00000000-0005-0000-0000-0000B2320000}"/>
    <cellStyle name="Note 3 2 18 2" xfId="6418" xr:uid="{00000000-0005-0000-0000-0000B3320000}"/>
    <cellStyle name="Note 3 2 18 3" xfId="10841" xr:uid="{00000000-0005-0000-0000-0000B4320000}"/>
    <cellStyle name="Note 3 2 18 4" xfId="14685" xr:uid="{00000000-0005-0000-0000-0000B5320000}"/>
    <cellStyle name="Note 3 2 18 5" xfId="18520" xr:uid="{00000000-0005-0000-0000-0000B6320000}"/>
    <cellStyle name="Note 3 2 18 6" xfId="22455" xr:uid="{00000000-0005-0000-0000-0000B7320000}"/>
    <cellStyle name="Note 3 2 18 7" xfId="26271" xr:uid="{00000000-0005-0000-0000-0000B8320000}"/>
    <cellStyle name="Note 3 2 18 8" xfId="30150" xr:uid="{00000000-0005-0000-0000-0000B9320000}"/>
    <cellStyle name="Note 3 2 18 9" xfId="33819" xr:uid="{00000000-0005-0000-0000-0000BA320000}"/>
    <cellStyle name="Note 3 2 19" xfId="8701" xr:uid="{00000000-0005-0000-0000-0000BB320000}"/>
    <cellStyle name="Note 3 2 2" xfId="559" xr:uid="{00000000-0005-0000-0000-0000BC320000}"/>
    <cellStyle name="Note 3 2 2 10" xfId="2209" xr:uid="{00000000-0005-0000-0000-0000BD320000}"/>
    <cellStyle name="Note 3 2 2 10 10" xfId="33510" xr:uid="{00000000-0005-0000-0000-0000BE320000}"/>
    <cellStyle name="Note 3 2 2 10 11" xfId="37261" xr:uid="{00000000-0005-0000-0000-0000BF320000}"/>
    <cellStyle name="Note 3 2 2 10 12" xfId="41277" xr:uid="{00000000-0005-0000-0000-0000C0320000}"/>
    <cellStyle name="Note 3 2 2 10 13" xfId="45072" xr:uid="{00000000-0005-0000-0000-0000C1320000}"/>
    <cellStyle name="Note 3 2 2 10 2" xfId="4192" xr:uid="{00000000-0005-0000-0000-0000C2320000}"/>
    <cellStyle name="Note 3 2 2 10 2 10" xfId="39243" xr:uid="{00000000-0005-0000-0000-0000C3320000}"/>
    <cellStyle name="Note 3 2 2 10 2 11" xfId="43253" xr:uid="{00000000-0005-0000-0000-0000C4320000}"/>
    <cellStyle name="Note 3 2 2 10 2 12" xfId="47010" xr:uid="{00000000-0005-0000-0000-0000C5320000}"/>
    <cellStyle name="Note 3 2 2 10 2 2" xfId="8051" xr:uid="{00000000-0005-0000-0000-0000C6320000}"/>
    <cellStyle name="Note 3 2 2 10 2 3" xfId="12491" xr:uid="{00000000-0005-0000-0000-0000C7320000}"/>
    <cellStyle name="Note 3 2 2 10 2 4" xfId="16336" xr:uid="{00000000-0005-0000-0000-0000C8320000}"/>
    <cellStyle name="Note 3 2 2 10 2 5" xfId="20186" xr:uid="{00000000-0005-0000-0000-0000C9320000}"/>
    <cellStyle name="Note 3 2 2 10 2 6" xfId="24098" xr:uid="{00000000-0005-0000-0000-0000CA320000}"/>
    <cellStyle name="Note 3 2 2 10 2 7" xfId="27936" xr:uid="{00000000-0005-0000-0000-0000CB320000}"/>
    <cellStyle name="Note 3 2 2 10 2 8" xfId="31795" xr:uid="{00000000-0005-0000-0000-0000CC320000}"/>
    <cellStyle name="Note 3 2 2 10 2 9" xfId="35448" xr:uid="{00000000-0005-0000-0000-0000CD320000}"/>
    <cellStyle name="Note 3 2 2 10 3" xfId="6123" xr:uid="{00000000-0005-0000-0000-0000CE320000}"/>
    <cellStyle name="Note 3 2 2 10 4" xfId="10526" xr:uid="{00000000-0005-0000-0000-0000CF320000}"/>
    <cellStyle name="Note 3 2 2 10 5" xfId="14372" xr:uid="{00000000-0005-0000-0000-0000D0320000}"/>
    <cellStyle name="Note 3 2 2 10 6" xfId="18203" xr:uid="{00000000-0005-0000-0000-0000D1320000}"/>
    <cellStyle name="Note 3 2 2 10 7" xfId="22142" xr:uid="{00000000-0005-0000-0000-0000D2320000}"/>
    <cellStyle name="Note 3 2 2 10 8" xfId="25954" xr:uid="{00000000-0005-0000-0000-0000D3320000}"/>
    <cellStyle name="Note 3 2 2 10 9" xfId="29834" xr:uid="{00000000-0005-0000-0000-0000D4320000}"/>
    <cellStyle name="Note 3 2 2 11" xfId="2267" xr:uid="{00000000-0005-0000-0000-0000D5320000}"/>
    <cellStyle name="Note 3 2 2 11 10" xfId="33568" xr:uid="{00000000-0005-0000-0000-0000D6320000}"/>
    <cellStyle name="Note 3 2 2 11 11" xfId="37319" xr:uid="{00000000-0005-0000-0000-0000D7320000}"/>
    <cellStyle name="Note 3 2 2 11 12" xfId="41335" xr:uid="{00000000-0005-0000-0000-0000D8320000}"/>
    <cellStyle name="Note 3 2 2 11 13" xfId="45130" xr:uid="{00000000-0005-0000-0000-0000D9320000}"/>
    <cellStyle name="Note 3 2 2 11 2" xfId="4250" xr:uid="{00000000-0005-0000-0000-0000DA320000}"/>
    <cellStyle name="Note 3 2 2 11 2 10" xfId="39301" xr:uid="{00000000-0005-0000-0000-0000DB320000}"/>
    <cellStyle name="Note 3 2 2 11 2 11" xfId="43311" xr:uid="{00000000-0005-0000-0000-0000DC320000}"/>
    <cellStyle name="Note 3 2 2 11 2 12" xfId="47068" xr:uid="{00000000-0005-0000-0000-0000DD320000}"/>
    <cellStyle name="Note 3 2 2 11 2 2" xfId="8109" xr:uid="{00000000-0005-0000-0000-0000DE320000}"/>
    <cellStyle name="Note 3 2 2 11 2 3" xfId="12549" xr:uid="{00000000-0005-0000-0000-0000DF320000}"/>
    <cellStyle name="Note 3 2 2 11 2 4" xfId="16394" xr:uid="{00000000-0005-0000-0000-0000E0320000}"/>
    <cellStyle name="Note 3 2 2 11 2 5" xfId="20244" xr:uid="{00000000-0005-0000-0000-0000E1320000}"/>
    <cellStyle name="Note 3 2 2 11 2 6" xfId="24156" xr:uid="{00000000-0005-0000-0000-0000E2320000}"/>
    <cellStyle name="Note 3 2 2 11 2 7" xfId="27994" xr:uid="{00000000-0005-0000-0000-0000E3320000}"/>
    <cellStyle name="Note 3 2 2 11 2 8" xfId="31853" xr:uid="{00000000-0005-0000-0000-0000E4320000}"/>
    <cellStyle name="Note 3 2 2 11 2 9" xfId="35506" xr:uid="{00000000-0005-0000-0000-0000E5320000}"/>
    <cellStyle name="Note 3 2 2 11 3" xfId="6181" xr:uid="{00000000-0005-0000-0000-0000E6320000}"/>
    <cellStyle name="Note 3 2 2 11 4" xfId="10584" xr:uid="{00000000-0005-0000-0000-0000E7320000}"/>
    <cellStyle name="Note 3 2 2 11 5" xfId="14430" xr:uid="{00000000-0005-0000-0000-0000E8320000}"/>
    <cellStyle name="Note 3 2 2 11 6" xfId="18261" xr:uid="{00000000-0005-0000-0000-0000E9320000}"/>
    <cellStyle name="Note 3 2 2 11 7" xfId="22200" xr:uid="{00000000-0005-0000-0000-0000EA320000}"/>
    <cellStyle name="Note 3 2 2 11 8" xfId="26012" xr:uid="{00000000-0005-0000-0000-0000EB320000}"/>
    <cellStyle name="Note 3 2 2 11 9" xfId="29892" xr:uid="{00000000-0005-0000-0000-0000EC320000}"/>
    <cellStyle name="Note 3 2 2 12" xfId="2324" xr:uid="{00000000-0005-0000-0000-0000ED320000}"/>
    <cellStyle name="Note 3 2 2 12 10" xfId="33623" xr:uid="{00000000-0005-0000-0000-0000EE320000}"/>
    <cellStyle name="Note 3 2 2 12 11" xfId="37376" xr:uid="{00000000-0005-0000-0000-0000EF320000}"/>
    <cellStyle name="Note 3 2 2 12 12" xfId="41392" xr:uid="{00000000-0005-0000-0000-0000F0320000}"/>
    <cellStyle name="Note 3 2 2 12 13" xfId="45185" xr:uid="{00000000-0005-0000-0000-0000F1320000}"/>
    <cellStyle name="Note 3 2 2 12 2" xfId="4307" xr:uid="{00000000-0005-0000-0000-0000F2320000}"/>
    <cellStyle name="Note 3 2 2 12 2 10" xfId="39358" xr:uid="{00000000-0005-0000-0000-0000F3320000}"/>
    <cellStyle name="Note 3 2 2 12 2 11" xfId="43368" xr:uid="{00000000-0005-0000-0000-0000F4320000}"/>
    <cellStyle name="Note 3 2 2 12 2 12" xfId="47123" xr:uid="{00000000-0005-0000-0000-0000F5320000}"/>
    <cellStyle name="Note 3 2 2 12 2 2" xfId="8164" xr:uid="{00000000-0005-0000-0000-0000F6320000}"/>
    <cellStyle name="Note 3 2 2 12 2 3" xfId="12606" xr:uid="{00000000-0005-0000-0000-0000F7320000}"/>
    <cellStyle name="Note 3 2 2 12 2 4" xfId="16450" xr:uid="{00000000-0005-0000-0000-0000F8320000}"/>
    <cellStyle name="Note 3 2 2 12 2 5" xfId="20301" xr:uid="{00000000-0005-0000-0000-0000F9320000}"/>
    <cellStyle name="Note 3 2 2 12 2 6" xfId="24212" xr:uid="{00000000-0005-0000-0000-0000FA320000}"/>
    <cellStyle name="Note 3 2 2 12 2 7" xfId="28051" xr:uid="{00000000-0005-0000-0000-0000FB320000}"/>
    <cellStyle name="Note 3 2 2 12 2 8" xfId="31910" xr:uid="{00000000-0005-0000-0000-0000FC320000}"/>
    <cellStyle name="Note 3 2 2 12 2 9" xfId="35561" xr:uid="{00000000-0005-0000-0000-0000FD320000}"/>
    <cellStyle name="Note 3 2 2 12 3" xfId="6236" xr:uid="{00000000-0005-0000-0000-0000FE320000}"/>
    <cellStyle name="Note 3 2 2 12 4" xfId="10641" xr:uid="{00000000-0005-0000-0000-0000FF320000}"/>
    <cellStyle name="Note 3 2 2 12 5" xfId="14486" xr:uid="{00000000-0005-0000-0000-000000330000}"/>
    <cellStyle name="Note 3 2 2 12 6" xfId="18318" xr:uid="{00000000-0005-0000-0000-000001330000}"/>
    <cellStyle name="Note 3 2 2 12 7" xfId="22256" xr:uid="{00000000-0005-0000-0000-000002330000}"/>
    <cellStyle name="Note 3 2 2 12 8" xfId="26069" xr:uid="{00000000-0005-0000-0000-000003330000}"/>
    <cellStyle name="Note 3 2 2 12 9" xfId="29949" xr:uid="{00000000-0005-0000-0000-000004330000}"/>
    <cellStyle name="Note 3 2 2 13" xfId="2389" xr:uid="{00000000-0005-0000-0000-000005330000}"/>
    <cellStyle name="Note 3 2 2 13 10" xfId="33687" xr:uid="{00000000-0005-0000-0000-000006330000}"/>
    <cellStyle name="Note 3 2 2 13 11" xfId="37441" xr:uid="{00000000-0005-0000-0000-000007330000}"/>
    <cellStyle name="Note 3 2 2 13 12" xfId="41456" xr:uid="{00000000-0005-0000-0000-000008330000}"/>
    <cellStyle name="Note 3 2 2 13 13" xfId="45249" xr:uid="{00000000-0005-0000-0000-000009330000}"/>
    <cellStyle name="Note 3 2 2 13 2" xfId="4372" xr:uid="{00000000-0005-0000-0000-00000A330000}"/>
    <cellStyle name="Note 3 2 2 13 2 10" xfId="39423" xr:uid="{00000000-0005-0000-0000-00000B330000}"/>
    <cellStyle name="Note 3 2 2 13 2 11" xfId="43432" xr:uid="{00000000-0005-0000-0000-00000C330000}"/>
    <cellStyle name="Note 3 2 2 13 2 12" xfId="47187" xr:uid="{00000000-0005-0000-0000-00000D330000}"/>
    <cellStyle name="Note 3 2 2 13 2 2" xfId="8229" xr:uid="{00000000-0005-0000-0000-00000E330000}"/>
    <cellStyle name="Note 3 2 2 13 2 3" xfId="12670" xr:uid="{00000000-0005-0000-0000-00000F330000}"/>
    <cellStyle name="Note 3 2 2 13 2 4" xfId="16515" xr:uid="{00000000-0005-0000-0000-000010330000}"/>
    <cellStyle name="Note 3 2 2 13 2 5" xfId="20366" xr:uid="{00000000-0005-0000-0000-000011330000}"/>
    <cellStyle name="Note 3 2 2 13 2 6" xfId="24277" xr:uid="{00000000-0005-0000-0000-000012330000}"/>
    <cellStyle name="Note 3 2 2 13 2 7" xfId="28116" xr:uid="{00000000-0005-0000-0000-000013330000}"/>
    <cellStyle name="Note 3 2 2 13 2 8" xfId="31974" xr:uid="{00000000-0005-0000-0000-000014330000}"/>
    <cellStyle name="Note 3 2 2 13 2 9" xfId="35625" xr:uid="{00000000-0005-0000-0000-000015330000}"/>
    <cellStyle name="Note 3 2 2 13 3" xfId="6285" xr:uid="{00000000-0005-0000-0000-000016330000}"/>
    <cellStyle name="Note 3 2 2 13 4" xfId="10705" xr:uid="{00000000-0005-0000-0000-000017330000}"/>
    <cellStyle name="Note 3 2 2 13 5" xfId="14551" xr:uid="{00000000-0005-0000-0000-000018330000}"/>
    <cellStyle name="Note 3 2 2 13 6" xfId="18383" xr:uid="{00000000-0005-0000-0000-000019330000}"/>
    <cellStyle name="Note 3 2 2 13 7" xfId="22321" xr:uid="{00000000-0005-0000-0000-00001A330000}"/>
    <cellStyle name="Note 3 2 2 13 8" xfId="26134" xr:uid="{00000000-0005-0000-0000-00001B330000}"/>
    <cellStyle name="Note 3 2 2 13 9" xfId="30014" xr:uid="{00000000-0005-0000-0000-00001C330000}"/>
    <cellStyle name="Note 3 2 2 14" xfId="2441" xr:uid="{00000000-0005-0000-0000-00001D330000}"/>
    <cellStyle name="Note 3 2 2 14 10" xfId="33737" xr:uid="{00000000-0005-0000-0000-00001E330000}"/>
    <cellStyle name="Note 3 2 2 14 11" xfId="37493" xr:uid="{00000000-0005-0000-0000-00001F330000}"/>
    <cellStyle name="Note 3 2 2 14 12" xfId="41508" xr:uid="{00000000-0005-0000-0000-000020330000}"/>
    <cellStyle name="Note 3 2 2 14 13" xfId="45299" xr:uid="{00000000-0005-0000-0000-000021330000}"/>
    <cellStyle name="Note 3 2 2 14 2" xfId="4424" xr:uid="{00000000-0005-0000-0000-000022330000}"/>
    <cellStyle name="Note 3 2 2 14 2 10" xfId="39475" xr:uid="{00000000-0005-0000-0000-000023330000}"/>
    <cellStyle name="Note 3 2 2 14 2 11" xfId="43484" xr:uid="{00000000-0005-0000-0000-000024330000}"/>
    <cellStyle name="Note 3 2 2 14 2 12" xfId="47237" xr:uid="{00000000-0005-0000-0000-000025330000}"/>
    <cellStyle name="Note 3 2 2 14 2 2" xfId="8279" xr:uid="{00000000-0005-0000-0000-000026330000}"/>
    <cellStyle name="Note 3 2 2 14 2 3" xfId="12722" xr:uid="{00000000-0005-0000-0000-000027330000}"/>
    <cellStyle name="Note 3 2 2 14 2 4" xfId="16565" xr:uid="{00000000-0005-0000-0000-000028330000}"/>
    <cellStyle name="Note 3 2 2 14 2 5" xfId="20418" xr:uid="{00000000-0005-0000-0000-000029330000}"/>
    <cellStyle name="Note 3 2 2 14 2 6" xfId="24328" xr:uid="{00000000-0005-0000-0000-00002A330000}"/>
    <cellStyle name="Note 3 2 2 14 2 7" xfId="28168" xr:uid="{00000000-0005-0000-0000-00002B330000}"/>
    <cellStyle name="Note 3 2 2 14 2 8" xfId="32026" xr:uid="{00000000-0005-0000-0000-00002C330000}"/>
    <cellStyle name="Note 3 2 2 14 2 9" xfId="35675" xr:uid="{00000000-0005-0000-0000-00002D330000}"/>
    <cellStyle name="Note 3 2 2 14 3" xfId="6335" xr:uid="{00000000-0005-0000-0000-00002E330000}"/>
    <cellStyle name="Note 3 2 2 14 4" xfId="10757" xr:uid="{00000000-0005-0000-0000-00002F330000}"/>
    <cellStyle name="Note 3 2 2 14 5" xfId="14602" xr:uid="{00000000-0005-0000-0000-000030330000}"/>
    <cellStyle name="Note 3 2 2 14 6" xfId="18435" xr:uid="{00000000-0005-0000-0000-000031330000}"/>
    <cellStyle name="Note 3 2 2 14 7" xfId="22372" xr:uid="{00000000-0005-0000-0000-000032330000}"/>
    <cellStyle name="Note 3 2 2 14 8" xfId="26186" xr:uid="{00000000-0005-0000-0000-000033330000}"/>
    <cellStyle name="Note 3 2 2 14 9" xfId="30065" xr:uid="{00000000-0005-0000-0000-000034330000}"/>
    <cellStyle name="Note 3 2 2 15" xfId="2495" xr:uid="{00000000-0005-0000-0000-000035330000}"/>
    <cellStyle name="Note 3 2 2 15 10" xfId="33788" xr:uid="{00000000-0005-0000-0000-000036330000}"/>
    <cellStyle name="Note 3 2 2 15 11" xfId="37547" xr:uid="{00000000-0005-0000-0000-000037330000}"/>
    <cellStyle name="Note 3 2 2 15 12" xfId="41561" xr:uid="{00000000-0005-0000-0000-000038330000}"/>
    <cellStyle name="Note 3 2 2 15 13" xfId="45350" xr:uid="{00000000-0005-0000-0000-000039330000}"/>
    <cellStyle name="Note 3 2 2 15 2" xfId="4475" xr:uid="{00000000-0005-0000-0000-00003A330000}"/>
    <cellStyle name="Note 3 2 2 15 2 10" xfId="39526" xr:uid="{00000000-0005-0000-0000-00003B330000}"/>
    <cellStyle name="Note 3 2 2 15 2 11" xfId="43535" xr:uid="{00000000-0005-0000-0000-00003C330000}"/>
    <cellStyle name="Note 3 2 2 15 2 12" xfId="47288" xr:uid="{00000000-0005-0000-0000-00003D330000}"/>
    <cellStyle name="Note 3 2 2 15 2 2" xfId="8330" xr:uid="{00000000-0005-0000-0000-00003E330000}"/>
    <cellStyle name="Note 3 2 2 15 2 3" xfId="12773" xr:uid="{00000000-0005-0000-0000-00003F330000}"/>
    <cellStyle name="Note 3 2 2 15 2 4" xfId="16616" xr:uid="{00000000-0005-0000-0000-000040330000}"/>
    <cellStyle name="Note 3 2 2 15 2 5" xfId="20469" xr:uid="{00000000-0005-0000-0000-000041330000}"/>
    <cellStyle name="Note 3 2 2 15 2 6" xfId="24379" xr:uid="{00000000-0005-0000-0000-000042330000}"/>
    <cellStyle name="Note 3 2 2 15 2 7" xfId="28219" xr:uid="{00000000-0005-0000-0000-000043330000}"/>
    <cellStyle name="Note 3 2 2 15 2 8" xfId="32077" xr:uid="{00000000-0005-0000-0000-000044330000}"/>
    <cellStyle name="Note 3 2 2 15 2 9" xfId="35726" xr:uid="{00000000-0005-0000-0000-000045330000}"/>
    <cellStyle name="Note 3 2 2 15 3" xfId="6387" xr:uid="{00000000-0005-0000-0000-000046330000}"/>
    <cellStyle name="Note 3 2 2 15 4" xfId="10810" xr:uid="{00000000-0005-0000-0000-000047330000}"/>
    <cellStyle name="Note 3 2 2 15 5" xfId="14654" xr:uid="{00000000-0005-0000-0000-000048330000}"/>
    <cellStyle name="Note 3 2 2 15 6" xfId="18489" xr:uid="{00000000-0005-0000-0000-000049330000}"/>
    <cellStyle name="Note 3 2 2 15 7" xfId="22424" xr:uid="{00000000-0005-0000-0000-00004A330000}"/>
    <cellStyle name="Note 3 2 2 15 8" xfId="26240" xr:uid="{00000000-0005-0000-0000-00004B330000}"/>
    <cellStyle name="Note 3 2 2 15 9" xfId="30119" xr:uid="{00000000-0005-0000-0000-00004C330000}"/>
    <cellStyle name="Note 3 2 2 16" xfId="2564" xr:uid="{00000000-0005-0000-0000-00004D330000}"/>
    <cellStyle name="Note 3 2 2 16 10" xfId="37616" xr:uid="{00000000-0005-0000-0000-00004E330000}"/>
    <cellStyle name="Note 3 2 2 16 11" xfId="41630" xr:uid="{00000000-0005-0000-0000-00004F330000}"/>
    <cellStyle name="Note 3 2 2 16 12" xfId="45419" xr:uid="{00000000-0005-0000-0000-000050330000}"/>
    <cellStyle name="Note 3 2 2 16 2" xfId="6456" xr:uid="{00000000-0005-0000-0000-000051330000}"/>
    <cellStyle name="Note 3 2 2 16 3" xfId="10879" xr:uid="{00000000-0005-0000-0000-000052330000}"/>
    <cellStyle name="Note 3 2 2 16 4" xfId="14723" xr:uid="{00000000-0005-0000-0000-000053330000}"/>
    <cellStyle name="Note 3 2 2 16 5" xfId="18558" xr:uid="{00000000-0005-0000-0000-000054330000}"/>
    <cellStyle name="Note 3 2 2 16 6" xfId="22493" xr:uid="{00000000-0005-0000-0000-000055330000}"/>
    <cellStyle name="Note 3 2 2 16 7" xfId="26309" xr:uid="{00000000-0005-0000-0000-000056330000}"/>
    <cellStyle name="Note 3 2 2 16 8" xfId="30188" xr:uid="{00000000-0005-0000-0000-000057330000}"/>
    <cellStyle name="Note 3 2 2 16 9" xfId="33857" xr:uid="{00000000-0005-0000-0000-000058330000}"/>
    <cellStyle name="Note 3 2 2 17" xfId="4532" xr:uid="{00000000-0005-0000-0000-000059330000}"/>
    <cellStyle name="Note 3 2 2 18" xfId="8359" xr:uid="{00000000-0005-0000-0000-00005A330000}"/>
    <cellStyle name="Note 3 2 2 19" xfId="8749" xr:uid="{00000000-0005-0000-0000-00005B330000}"/>
    <cellStyle name="Note 3 2 2 2" xfId="693" xr:uid="{00000000-0005-0000-0000-00005C330000}"/>
    <cellStyle name="Note 3 2 2 2 10" xfId="24427" xr:uid="{00000000-0005-0000-0000-00005D330000}"/>
    <cellStyle name="Note 3 2 2 2 11" xfId="28320" xr:uid="{00000000-0005-0000-0000-00005E330000}"/>
    <cellStyle name="Note 3 2 2 2 12" xfId="28701" xr:uid="{00000000-0005-0000-0000-00005F330000}"/>
    <cellStyle name="Note 3 2 2 2 13" xfId="35764" xr:uid="{00000000-0005-0000-0000-000060330000}"/>
    <cellStyle name="Note 3 2 2 2 14" xfId="39787" xr:uid="{00000000-0005-0000-0000-000061330000}"/>
    <cellStyle name="Note 3 2 2 2 15" xfId="43590" xr:uid="{00000000-0005-0000-0000-000062330000}"/>
    <cellStyle name="Note 3 2 2 2 2" xfId="1073" xr:uid="{00000000-0005-0000-0000-000063330000}"/>
    <cellStyle name="Note 3 2 2 2 2 10" xfId="28684" xr:uid="{00000000-0005-0000-0000-000064330000}"/>
    <cellStyle name="Note 3 2 2 2 2 11" xfId="32370" xr:uid="{00000000-0005-0000-0000-000065330000}"/>
    <cellStyle name="Note 3 2 2 2 2 12" xfId="36131" xr:uid="{00000000-0005-0000-0000-000066330000}"/>
    <cellStyle name="Note 3 2 2 2 2 13" xfId="40134" xr:uid="{00000000-0005-0000-0000-000067330000}"/>
    <cellStyle name="Note 3 2 2 2 2 14" xfId="43957" xr:uid="{00000000-0005-0000-0000-000068330000}"/>
    <cellStyle name="Note 3 2 2 2 2 2" xfId="1800" xr:uid="{00000000-0005-0000-0000-000069330000}"/>
    <cellStyle name="Note 3 2 2 2 2 2 10" xfId="33087" xr:uid="{00000000-0005-0000-0000-00006A330000}"/>
    <cellStyle name="Note 3 2 2 2 2 2 11" xfId="36857" xr:uid="{00000000-0005-0000-0000-00006B330000}"/>
    <cellStyle name="Note 3 2 2 2 2 2 12" xfId="40848" xr:uid="{00000000-0005-0000-0000-00006C330000}"/>
    <cellStyle name="Note 3 2 2 2 2 2 13" xfId="44679" xr:uid="{00000000-0005-0000-0000-00006D330000}"/>
    <cellStyle name="Note 3 2 2 2 2 2 2" xfId="3790" xr:uid="{00000000-0005-0000-0000-00006E330000}"/>
    <cellStyle name="Note 3 2 2 2 2 2 2 10" xfId="38841" xr:uid="{00000000-0005-0000-0000-00006F330000}"/>
    <cellStyle name="Note 3 2 2 2 2 2 2 11" xfId="42852" xr:uid="{00000000-0005-0000-0000-000070330000}"/>
    <cellStyle name="Note 3 2 2 2 2 2 2 12" xfId="46617" xr:uid="{00000000-0005-0000-0000-000071330000}"/>
    <cellStyle name="Note 3 2 2 2 2 2 2 2" xfId="7657" xr:uid="{00000000-0005-0000-0000-000072330000}"/>
    <cellStyle name="Note 3 2 2 2 2 2 2 3" xfId="12092" xr:uid="{00000000-0005-0000-0000-000073330000}"/>
    <cellStyle name="Note 3 2 2 2 2 2 2 4" xfId="15937" xr:uid="{00000000-0005-0000-0000-000074330000}"/>
    <cellStyle name="Note 3 2 2 2 2 2 2 5" xfId="19784" xr:uid="{00000000-0005-0000-0000-000075330000}"/>
    <cellStyle name="Note 3 2 2 2 2 2 2 6" xfId="23700" xr:uid="{00000000-0005-0000-0000-000076330000}"/>
    <cellStyle name="Note 3 2 2 2 2 2 2 7" xfId="27534" xr:uid="{00000000-0005-0000-0000-000077330000}"/>
    <cellStyle name="Note 3 2 2 2 2 2 2 8" xfId="31398" xr:uid="{00000000-0005-0000-0000-000078330000}"/>
    <cellStyle name="Note 3 2 2 2 2 2 2 9" xfId="35055" xr:uid="{00000000-0005-0000-0000-000079330000}"/>
    <cellStyle name="Note 3 2 2 2 2 2 3" xfId="5733" xr:uid="{00000000-0005-0000-0000-00007A330000}"/>
    <cellStyle name="Note 3 2 2 2 2 2 4" xfId="10091" xr:uid="{00000000-0005-0000-0000-00007B330000}"/>
    <cellStyle name="Note 3 2 2 2 2 2 5" xfId="13937" xr:uid="{00000000-0005-0000-0000-00007C330000}"/>
    <cellStyle name="Note 3 2 2 2 2 2 6" xfId="17766" xr:uid="{00000000-0005-0000-0000-00007D330000}"/>
    <cellStyle name="Note 3 2 2 2 2 2 7" xfId="21705" xr:uid="{00000000-0005-0000-0000-00007E330000}"/>
    <cellStyle name="Note 3 2 2 2 2 2 8" xfId="25518" xr:uid="{00000000-0005-0000-0000-00007F330000}"/>
    <cellStyle name="Note 3 2 2 2 2 2 9" xfId="29405" xr:uid="{00000000-0005-0000-0000-000080330000}"/>
    <cellStyle name="Note 3 2 2 2 2 3" xfId="3063" xr:uid="{00000000-0005-0000-0000-000081330000}"/>
    <cellStyle name="Note 3 2 2 2 2 3 10" xfId="38115" xr:uid="{00000000-0005-0000-0000-000082330000}"/>
    <cellStyle name="Note 3 2 2 2 2 3 11" xfId="42127" xr:uid="{00000000-0005-0000-0000-000083330000}"/>
    <cellStyle name="Note 3 2 2 2 2 3 12" xfId="45900" xr:uid="{00000000-0005-0000-0000-000084330000}"/>
    <cellStyle name="Note 3 2 2 2 2 3 2" xfId="6939" xr:uid="{00000000-0005-0000-0000-000085330000}"/>
    <cellStyle name="Note 3 2 2 2 2 3 3" xfId="11368" xr:uid="{00000000-0005-0000-0000-000086330000}"/>
    <cellStyle name="Note 3 2 2 2 2 3 4" xfId="15212" xr:uid="{00000000-0005-0000-0000-000087330000}"/>
    <cellStyle name="Note 3 2 2 2 2 3 5" xfId="19057" xr:uid="{00000000-0005-0000-0000-000088330000}"/>
    <cellStyle name="Note 3 2 2 2 2 3 6" xfId="22979" xr:uid="{00000000-0005-0000-0000-000089330000}"/>
    <cellStyle name="Note 3 2 2 2 2 3 7" xfId="26808" xr:uid="{00000000-0005-0000-0000-00008A330000}"/>
    <cellStyle name="Note 3 2 2 2 2 3 8" xfId="30682" xr:uid="{00000000-0005-0000-0000-00008B330000}"/>
    <cellStyle name="Note 3 2 2 2 2 3 9" xfId="34338" xr:uid="{00000000-0005-0000-0000-00008C330000}"/>
    <cellStyle name="Note 3 2 2 2 2 4" xfId="5015" xr:uid="{00000000-0005-0000-0000-00008D330000}"/>
    <cellStyle name="Note 3 2 2 2 2 5" xfId="9371" xr:uid="{00000000-0005-0000-0000-00008E330000}"/>
    <cellStyle name="Note 3 2 2 2 2 6" xfId="13211" xr:uid="{00000000-0005-0000-0000-00008F330000}"/>
    <cellStyle name="Note 3 2 2 2 2 7" xfId="17039" xr:uid="{00000000-0005-0000-0000-000090330000}"/>
    <cellStyle name="Note 3 2 2 2 2 8" xfId="20981" xr:uid="{00000000-0005-0000-0000-000091330000}"/>
    <cellStyle name="Note 3 2 2 2 2 9" xfId="24795" xr:uid="{00000000-0005-0000-0000-000092330000}"/>
    <cellStyle name="Note 3 2 2 2 3" xfId="1447" xr:uid="{00000000-0005-0000-0000-000093330000}"/>
    <cellStyle name="Note 3 2 2 2 3 10" xfId="32734" xr:uid="{00000000-0005-0000-0000-000094330000}"/>
    <cellStyle name="Note 3 2 2 2 3 11" xfId="36504" xr:uid="{00000000-0005-0000-0000-000095330000}"/>
    <cellStyle name="Note 3 2 2 2 3 12" xfId="40495" xr:uid="{00000000-0005-0000-0000-000096330000}"/>
    <cellStyle name="Note 3 2 2 2 3 13" xfId="44326" xr:uid="{00000000-0005-0000-0000-000097330000}"/>
    <cellStyle name="Note 3 2 2 2 3 2" xfId="3437" xr:uid="{00000000-0005-0000-0000-000098330000}"/>
    <cellStyle name="Note 3 2 2 2 3 2 10" xfId="38488" xr:uid="{00000000-0005-0000-0000-000099330000}"/>
    <cellStyle name="Note 3 2 2 2 3 2 11" xfId="42499" xr:uid="{00000000-0005-0000-0000-00009A330000}"/>
    <cellStyle name="Note 3 2 2 2 3 2 12" xfId="46264" xr:uid="{00000000-0005-0000-0000-00009B330000}"/>
    <cellStyle name="Note 3 2 2 2 3 2 2" xfId="7304" xr:uid="{00000000-0005-0000-0000-00009C330000}"/>
    <cellStyle name="Note 3 2 2 2 3 2 3" xfId="11739" xr:uid="{00000000-0005-0000-0000-00009D330000}"/>
    <cellStyle name="Note 3 2 2 2 3 2 4" xfId="15584" xr:uid="{00000000-0005-0000-0000-00009E330000}"/>
    <cellStyle name="Note 3 2 2 2 3 2 5" xfId="19431" xr:uid="{00000000-0005-0000-0000-00009F330000}"/>
    <cellStyle name="Note 3 2 2 2 3 2 6" xfId="23347" xr:uid="{00000000-0005-0000-0000-0000A0330000}"/>
    <cellStyle name="Note 3 2 2 2 3 2 7" xfId="27181" xr:uid="{00000000-0005-0000-0000-0000A1330000}"/>
    <cellStyle name="Note 3 2 2 2 3 2 8" xfId="31049" xr:uid="{00000000-0005-0000-0000-0000A2330000}"/>
    <cellStyle name="Note 3 2 2 2 3 2 9" xfId="34702" xr:uid="{00000000-0005-0000-0000-0000A3330000}"/>
    <cellStyle name="Note 3 2 2 2 3 3" xfId="5380" xr:uid="{00000000-0005-0000-0000-0000A4330000}"/>
    <cellStyle name="Note 3 2 2 2 3 4" xfId="9738" xr:uid="{00000000-0005-0000-0000-0000A5330000}"/>
    <cellStyle name="Note 3 2 2 2 3 5" xfId="13584" xr:uid="{00000000-0005-0000-0000-0000A6330000}"/>
    <cellStyle name="Note 3 2 2 2 3 6" xfId="17413" xr:uid="{00000000-0005-0000-0000-0000A7330000}"/>
    <cellStyle name="Note 3 2 2 2 3 7" xfId="21352" xr:uid="{00000000-0005-0000-0000-0000A8330000}"/>
    <cellStyle name="Note 3 2 2 2 3 8" xfId="25165" xr:uid="{00000000-0005-0000-0000-0000A9330000}"/>
    <cellStyle name="Note 3 2 2 2 3 9" xfId="29052" xr:uid="{00000000-0005-0000-0000-0000AA330000}"/>
    <cellStyle name="Note 3 2 2 2 4" xfId="2696" xr:uid="{00000000-0005-0000-0000-0000AB330000}"/>
    <cellStyle name="Note 3 2 2 2 4 10" xfId="37748" xr:uid="{00000000-0005-0000-0000-0000AC330000}"/>
    <cellStyle name="Note 3 2 2 2 4 11" xfId="41762" xr:uid="{00000000-0005-0000-0000-0000AD330000}"/>
    <cellStyle name="Note 3 2 2 2 4 12" xfId="45547" xr:uid="{00000000-0005-0000-0000-0000AE330000}"/>
    <cellStyle name="Note 3 2 2 2 4 2" xfId="6584" xr:uid="{00000000-0005-0000-0000-0000AF330000}"/>
    <cellStyle name="Note 3 2 2 2 4 3" xfId="11008" xr:uid="{00000000-0005-0000-0000-0000B0330000}"/>
    <cellStyle name="Note 3 2 2 2 4 4" xfId="14852" xr:uid="{00000000-0005-0000-0000-0000B1330000}"/>
    <cellStyle name="Note 3 2 2 2 4 5" xfId="18690" xr:uid="{00000000-0005-0000-0000-0000B2330000}"/>
    <cellStyle name="Note 3 2 2 2 4 6" xfId="22621" xr:uid="{00000000-0005-0000-0000-0000B3330000}"/>
    <cellStyle name="Note 3 2 2 2 4 7" xfId="26441" xr:uid="{00000000-0005-0000-0000-0000B4330000}"/>
    <cellStyle name="Note 3 2 2 2 4 8" xfId="30320" xr:uid="{00000000-0005-0000-0000-0000B5330000}"/>
    <cellStyle name="Note 3 2 2 2 4 9" xfId="33985" xr:uid="{00000000-0005-0000-0000-0000B6330000}"/>
    <cellStyle name="Note 3 2 2 2 5" xfId="4660" xr:uid="{00000000-0005-0000-0000-0000B7330000}"/>
    <cellStyle name="Note 3 2 2 2 6" xfId="9002" xr:uid="{00000000-0005-0000-0000-0000B8330000}"/>
    <cellStyle name="Note 3 2 2 2 7" xfId="12839" xr:uid="{00000000-0005-0000-0000-0000B9330000}"/>
    <cellStyle name="Note 3 2 2 2 8" xfId="16669" xr:uid="{00000000-0005-0000-0000-0000BA330000}"/>
    <cellStyle name="Note 3 2 2 2 9" xfId="20606" xr:uid="{00000000-0005-0000-0000-0000BB330000}"/>
    <cellStyle name="Note 3 2 2 20" xfId="8869" xr:uid="{00000000-0005-0000-0000-0000BC330000}"/>
    <cellStyle name="Note 3 2 2 21" xfId="8717" xr:uid="{00000000-0005-0000-0000-0000BD330000}"/>
    <cellStyle name="Note 3 2 2 22" xfId="8621" xr:uid="{00000000-0005-0000-0000-0000BE330000}"/>
    <cellStyle name="Note 3 2 2 23" xfId="18067" xr:uid="{00000000-0005-0000-0000-0000BF330000}"/>
    <cellStyle name="Note 3 2 2 24" xfId="16147" xr:uid="{00000000-0005-0000-0000-0000C0330000}"/>
    <cellStyle name="Note 3 2 2 25" xfId="25818" xr:uid="{00000000-0005-0000-0000-0000C1330000}"/>
    <cellStyle name="Note 3 2 2 26" xfId="31871" xr:uid="{00000000-0005-0000-0000-0000C2330000}"/>
    <cellStyle name="Note 3 2 2 27" xfId="25823" xr:uid="{00000000-0005-0000-0000-0000C3330000}"/>
    <cellStyle name="Note 3 2 2 28" xfId="39656" xr:uid="{00000000-0005-0000-0000-0000C4330000}"/>
    <cellStyle name="Note 3 2 2 29" xfId="39889" xr:uid="{00000000-0005-0000-0000-0000C5330000}"/>
    <cellStyle name="Note 3 2 2 3" xfId="632" xr:uid="{00000000-0005-0000-0000-0000C6330000}"/>
    <cellStyle name="Note 3 2 2 3 10" xfId="12894" xr:uid="{00000000-0005-0000-0000-0000C7330000}"/>
    <cellStyle name="Note 3 2 2 3 11" xfId="28259" xr:uid="{00000000-0005-0000-0000-0000C8330000}"/>
    <cellStyle name="Note 3 2 2 3 12" xfId="30788" xr:uid="{00000000-0005-0000-0000-0000C9330000}"/>
    <cellStyle name="Note 3 2 2 3 13" xfId="23910" xr:uid="{00000000-0005-0000-0000-0000CA330000}"/>
    <cellStyle name="Note 3 2 2 3 14" xfId="39727" xr:uid="{00000000-0005-0000-0000-0000CB330000}"/>
    <cellStyle name="Note 3 2 2 3 15" xfId="39556" xr:uid="{00000000-0005-0000-0000-0000CC330000}"/>
    <cellStyle name="Note 3 2 2 3 2" xfId="1012" xr:uid="{00000000-0005-0000-0000-0000CD330000}"/>
    <cellStyle name="Note 3 2 2 3 2 10" xfId="28623" xr:uid="{00000000-0005-0000-0000-0000CE330000}"/>
    <cellStyle name="Note 3 2 2 3 2 11" xfId="32311" xr:uid="{00000000-0005-0000-0000-0000CF330000}"/>
    <cellStyle name="Note 3 2 2 3 2 12" xfId="36070" xr:uid="{00000000-0005-0000-0000-0000D0330000}"/>
    <cellStyle name="Note 3 2 2 3 2 13" xfId="40075" xr:uid="{00000000-0005-0000-0000-0000D1330000}"/>
    <cellStyle name="Note 3 2 2 3 2 14" xfId="43896" xr:uid="{00000000-0005-0000-0000-0000D2330000}"/>
    <cellStyle name="Note 3 2 2 3 2 2" xfId="1741" xr:uid="{00000000-0005-0000-0000-0000D3330000}"/>
    <cellStyle name="Note 3 2 2 3 2 2 10" xfId="33028" xr:uid="{00000000-0005-0000-0000-0000D4330000}"/>
    <cellStyle name="Note 3 2 2 3 2 2 11" xfId="36798" xr:uid="{00000000-0005-0000-0000-0000D5330000}"/>
    <cellStyle name="Note 3 2 2 3 2 2 12" xfId="40789" xr:uid="{00000000-0005-0000-0000-0000D6330000}"/>
    <cellStyle name="Note 3 2 2 3 2 2 13" xfId="44620" xr:uid="{00000000-0005-0000-0000-0000D7330000}"/>
    <cellStyle name="Note 3 2 2 3 2 2 2" xfId="3731" xr:uid="{00000000-0005-0000-0000-0000D8330000}"/>
    <cellStyle name="Note 3 2 2 3 2 2 2 10" xfId="38782" xr:uid="{00000000-0005-0000-0000-0000D9330000}"/>
    <cellStyle name="Note 3 2 2 3 2 2 2 11" xfId="42793" xr:uid="{00000000-0005-0000-0000-0000DA330000}"/>
    <cellStyle name="Note 3 2 2 3 2 2 2 12" xfId="46558" xr:uid="{00000000-0005-0000-0000-0000DB330000}"/>
    <cellStyle name="Note 3 2 2 3 2 2 2 2" xfId="7598" xr:uid="{00000000-0005-0000-0000-0000DC330000}"/>
    <cellStyle name="Note 3 2 2 3 2 2 2 3" xfId="12033" xr:uid="{00000000-0005-0000-0000-0000DD330000}"/>
    <cellStyle name="Note 3 2 2 3 2 2 2 4" xfId="15878" xr:uid="{00000000-0005-0000-0000-0000DE330000}"/>
    <cellStyle name="Note 3 2 2 3 2 2 2 5" xfId="19725" xr:uid="{00000000-0005-0000-0000-0000DF330000}"/>
    <cellStyle name="Note 3 2 2 3 2 2 2 6" xfId="23641" xr:uid="{00000000-0005-0000-0000-0000E0330000}"/>
    <cellStyle name="Note 3 2 2 3 2 2 2 7" xfId="27475" xr:uid="{00000000-0005-0000-0000-0000E1330000}"/>
    <cellStyle name="Note 3 2 2 3 2 2 2 8" xfId="31339" xr:uid="{00000000-0005-0000-0000-0000E2330000}"/>
    <cellStyle name="Note 3 2 2 3 2 2 2 9" xfId="34996" xr:uid="{00000000-0005-0000-0000-0000E3330000}"/>
    <cellStyle name="Note 3 2 2 3 2 2 3" xfId="5674" xr:uid="{00000000-0005-0000-0000-0000E4330000}"/>
    <cellStyle name="Note 3 2 2 3 2 2 4" xfId="10032" xr:uid="{00000000-0005-0000-0000-0000E5330000}"/>
    <cellStyle name="Note 3 2 2 3 2 2 5" xfId="13878" xr:uid="{00000000-0005-0000-0000-0000E6330000}"/>
    <cellStyle name="Note 3 2 2 3 2 2 6" xfId="17707" xr:uid="{00000000-0005-0000-0000-0000E7330000}"/>
    <cellStyle name="Note 3 2 2 3 2 2 7" xfId="21646" xr:uid="{00000000-0005-0000-0000-0000E8330000}"/>
    <cellStyle name="Note 3 2 2 3 2 2 8" xfId="25459" xr:uid="{00000000-0005-0000-0000-0000E9330000}"/>
    <cellStyle name="Note 3 2 2 3 2 2 9" xfId="29346" xr:uid="{00000000-0005-0000-0000-0000EA330000}"/>
    <cellStyle name="Note 3 2 2 3 2 3" xfId="3002" xr:uid="{00000000-0005-0000-0000-0000EB330000}"/>
    <cellStyle name="Note 3 2 2 3 2 3 10" xfId="38054" xr:uid="{00000000-0005-0000-0000-0000EC330000}"/>
    <cellStyle name="Note 3 2 2 3 2 3 11" xfId="42066" xr:uid="{00000000-0005-0000-0000-0000ED330000}"/>
    <cellStyle name="Note 3 2 2 3 2 3 12" xfId="45841" xr:uid="{00000000-0005-0000-0000-0000EE330000}"/>
    <cellStyle name="Note 3 2 2 3 2 3 2" xfId="6880" xr:uid="{00000000-0005-0000-0000-0000EF330000}"/>
    <cellStyle name="Note 3 2 2 3 2 3 3" xfId="11308" xr:uid="{00000000-0005-0000-0000-0000F0330000}"/>
    <cellStyle name="Note 3 2 2 3 2 3 4" xfId="15153" xr:uid="{00000000-0005-0000-0000-0000F1330000}"/>
    <cellStyle name="Note 3 2 2 3 2 3 5" xfId="18996" xr:uid="{00000000-0005-0000-0000-0000F2330000}"/>
    <cellStyle name="Note 3 2 2 3 2 3 6" xfId="22920" xr:uid="{00000000-0005-0000-0000-0000F3330000}"/>
    <cellStyle name="Note 3 2 2 3 2 3 7" xfId="26747" xr:uid="{00000000-0005-0000-0000-0000F4330000}"/>
    <cellStyle name="Note 3 2 2 3 2 3 8" xfId="30621" xr:uid="{00000000-0005-0000-0000-0000F5330000}"/>
    <cellStyle name="Note 3 2 2 3 2 3 9" xfId="34279" xr:uid="{00000000-0005-0000-0000-0000F6330000}"/>
    <cellStyle name="Note 3 2 2 3 2 4" xfId="4956" xr:uid="{00000000-0005-0000-0000-0000F7330000}"/>
    <cellStyle name="Note 3 2 2 3 2 5" xfId="9311" xr:uid="{00000000-0005-0000-0000-0000F8330000}"/>
    <cellStyle name="Note 3 2 2 3 2 6" xfId="13152" xr:uid="{00000000-0005-0000-0000-0000F9330000}"/>
    <cellStyle name="Note 3 2 2 3 2 7" xfId="16978" xr:uid="{00000000-0005-0000-0000-0000FA330000}"/>
    <cellStyle name="Note 3 2 2 3 2 8" xfId="20920" xr:uid="{00000000-0005-0000-0000-0000FB330000}"/>
    <cellStyle name="Note 3 2 2 3 2 9" xfId="24735" xr:uid="{00000000-0005-0000-0000-0000FC330000}"/>
    <cellStyle name="Note 3 2 2 3 3" xfId="1388" xr:uid="{00000000-0005-0000-0000-0000FD330000}"/>
    <cellStyle name="Note 3 2 2 3 3 10" xfId="32675" xr:uid="{00000000-0005-0000-0000-0000FE330000}"/>
    <cellStyle name="Note 3 2 2 3 3 11" xfId="36445" xr:uid="{00000000-0005-0000-0000-0000FF330000}"/>
    <cellStyle name="Note 3 2 2 3 3 12" xfId="40436" xr:uid="{00000000-0005-0000-0000-000000340000}"/>
    <cellStyle name="Note 3 2 2 3 3 13" xfId="44267" xr:uid="{00000000-0005-0000-0000-000001340000}"/>
    <cellStyle name="Note 3 2 2 3 3 2" xfId="3378" xr:uid="{00000000-0005-0000-0000-000002340000}"/>
    <cellStyle name="Note 3 2 2 3 3 2 10" xfId="38429" xr:uid="{00000000-0005-0000-0000-000003340000}"/>
    <cellStyle name="Note 3 2 2 3 3 2 11" xfId="42440" xr:uid="{00000000-0005-0000-0000-000004340000}"/>
    <cellStyle name="Note 3 2 2 3 3 2 12" xfId="46205" xr:uid="{00000000-0005-0000-0000-000005340000}"/>
    <cellStyle name="Note 3 2 2 3 3 2 2" xfId="7245" xr:uid="{00000000-0005-0000-0000-000006340000}"/>
    <cellStyle name="Note 3 2 2 3 3 2 3" xfId="11680" xr:uid="{00000000-0005-0000-0000-000007340000}"/>
    <cellStyle name="Note 3 2 2 3 3 2 4" xfId="15525" xr:uid="{00000000-0005-0000-0000-000008340000}"/>
    <cellStyle name="Note 3 2 2 3 3 2 5" xfId="19372" xr:uid="{00000000-0005-0000-0000-000009340000}"/>
    <cellStyle name="Note 3 2 2 3 3 2 6" xfId="23288" xr:uid="{00000000-0005-0000-0000-00000A340000}"/>
    <cellStyle name="Note 3 2 2 3 3 2 7" xfId="27122" xr:uid="{00000000-0005-0000-0000-00000B340000}"/>
    <cellStyle name="Note 3 2 2 3 3 2 8" xfId="30990" xr:uid="{00000000-0005-0000-0000-00000C340000}"/>
    <cellStyle name="Note 3 2 2 3 3 2 9" xfId="34643" xr:uid="{00000000-0005-0000-0000-00000D340000}"/>
    <cellStyle name="Note 3 2 2 3 3 3" xfId="5321" xr:uid="{00000000-0005-0000-0000-00000E340000}"/>
    <cellStyle name="Note 3 2 2 3 3 4" xfId="9679" xr:uid="{00000000-0005-0000-0000-00000F340000}"/>
    <cellStyle name="Note 3 2 2 3 3 5" xfId="13525" xr:uid="{00000000-0005-0000-0000-000010340000}"/>
    <cellStyle name="Note 3 2 2 3 3 6" xfId="17354" xr:uid="{00000000-0005-0000-0000-000011340000}"/>
    <cellStyle name="Note 3 2 2 3 3 7" xfId="21293" xr:uid="{00000000-0005-0000-0000-000012340000}"/>
    <cellStyle name="Note 3 2 2 3 3 8" xfId="25106" xr:uid="{00000000-0005-0000-0000-000013340000}"/>
    <cellStyle name="Note 3 2 2 3 3 9" xfId="28993" xr:uid="{00000000-0005-0000-0000-000014340000}"/>
    <cellStyle name="Note 3 2 2 3 4" xfId="2635" xr:uid="{00000000-0005-0000-0000-000015340000}"/>
    <cellStyle name="Note 3 2 2 3 4 10" xfId="37687" xr:uid="{00000000-0005-0000-0000-000016340000}"/>
    <cellStyle name="Note 3 2 2 3 4 11" xfId="41701" xr:uid="{00000000-0005-0000-0000-000017340000}"/>
    <cellStyle name="Note 3 2 2 3 4 12" xfId="45488" xr:uid="{00000000-0005-0000-0000-000018340000}"/>
    <cellStyle name="Note 3 2 2 3 4 2" xfId="6525" xr:uid="{00000000-0005-0000-0000-000019340000}"/>
    <cellStyle name="Note 3 2 2 3 4 3" xfId="10949" xr:uid="{00000000-0005-0000-0000-00001A340000}"/>
    <cellStyle name="Note 3 2 2 3 4 4" xfId="14793" xr:uid="{00000000-0005-0000-0000-00001B340000}"/>
    <cellStyle name="Note 3 2 2 3 4 5" xfId="18629" xr:uid="{00000000-0005-0000-0000-00001C340000}"/>
    <cellStyle name="Note 3 2 2 3 4 6" xfId="22562" xr:uid="{00000000-0005-0000-0000-00001D340000}"/>
    <cellStyle name="Note 3 2 2 3 4 7" xfId="26380" xr:uid="{00000000-0005-0000-0000-00001E340000}"/>
    <cellStyle name="Note 3 2 2 3 4 8" xfId="30259" xr:uid="{00000000-0005-0000-0000-00001F340000}"/>
    <cellStyle name="Note 3 2 2 3 4 9" xfId="33926" xr:uid="{00000000-0005-0000-0000-000020340000}"/>
    <cellStyle name="Note 3 2 2 3 5" xfId="4601" xr:uid="{00000000-0005-0000-0000-000021340000}"/>
    <cellStyle name="Note 3 2 2 3 6" xfId="8941" xr:uid="{00000000-0005-0000-0000-000022340000}"/>
    <cellStyle name="Note 3 2 2 3 7" xfId="8552" xr:uid="{00000000-0005-0000-0000-000023340000}"/>
    <cellStyle name="Note 3 2 2 3 8" xfId="8477" xr:uid="{00000000-0005-0000-0000-000024340000}"/>
    <cellStyle name="Note 3 2 2 3 9" xfId="20545" xr:uid="{00000000-0005-0000-0000-000025340000}"/>
    <cellStyle name="Note 3 2 2 30" xfId="47370" xr:uid="{00000000-0005-0000-0000-000026340000}"/>
    <cellStyle name="Note 3 2 2 31" xfId="47456" xr:uid="{00000000-0005-0000-0000-000027340000}"/>
    <cellStyle name="Note 3 2 2 32" xfId="47505" xr:uid="{00000000-0005-0000-0000-000028340000}"/>
    <cellStyle name="Note 3 2 2 4" xfId="801" xr:uid="{00000000-0005-0000-0000-000029340000}"/>
    <cellStyle name="Note 3 2 2 4 10" xfId="24525" xr:uid="{00000000-0005-0000-0000-00002A340000}"/>
    <cellStyle name="Note 3 2 2 4 11" xfId="28416" xr:uid="{00000000-0005-0000-0000-00002B340000}"/>
    <cellStyle name="Note 3 2 2 4 12" xfId="32102" xr:uid="{00000000-0005-0000-0000-00002C340000}"/>
    <cellStyle name="Note 3 2 2 4 13" xfId="35859" xr:uid="{00000000-0005-0000-0000-00002D340000}"/>
    <cellStyle name="Note 3 2 2 4 14" xfId="39870" xr:uid="{00000000-0005-0000-0000-00002E340000}"/>
    <cellStyle name="Note 3 2 2 4 15" xfId="43685" xr:uid="{00000000-0005-0000-0000-00002F340000}"/>
    <cellStyle name="Note 3 2 2 4 2" xfId="1163" xr:uid="{00000000-0005-0000-0000-000030340000}"/>
    <cellStyle name="Note 3 2 2 4 2 10" xfId="28772" xr:uid="{00000000-0005-0000-0000-000031340000}"/>
    <cellStyle name="Note 3 2 2 4 2 11" xfId="32455" xr:uid="{00000000-0005-0000-0000-000032340000}"/>
    <cellStyle name="Note 3 2 2 4 2 12" xfId="36221" xr:uid="{00000000-0005-0000-0000-000033340000}"/>
    <cellStyle name="Note 3 2 2 4 2 13" xfId="40216" xr:uid="{00000000-0005-0000-0000-000034340000}"/>
    <cellStyle name="Note 3 2 2 4 2 14" xfId="44047" xr:uid="{00000000-0005-0000-0000-000035340000}"/>
    <cellStyle name="Note 3 2 2 4 2 2" xfId="1885" xr:uid="{00000000-0005-0000-0000-000036340000}"/>
    <cellStyle name="Note 3 2 2 4 2 2 10" xfId="33172" xr:uid="{00000000-0005-0000-0000-000037340000}"/>
    <cellStyle name="Note 3 2 2 4 2 2 11" xfId="36942" xr:uid="{00000000-0005-0000-0000-000038340000}"/>
    <cellStyle name="Note 3 2 2 4 2 2 12" xfId="40933" xr:uid="{00000000-0005-0000-0000-000039340000}"/>
    <cellStyle name="Note 3 2 2 4 2 2 13" xfId="44764" xr:uid="{00000000-0005-0000-0000-00003A340000}"/>
    <cellStyle name="Note 3 2 2 4 2 2 2" xfId="3875" xr:uid="{00000000-0005-0000-0000-00003B340000}"/>
    <cellStyle name="Note 3 2 2 4 2 2 2 10" xfId="38926" xr:uid="{00000000-0005-0000-0000-00003C340000}"/>
    <cellStyle name="Note 3 2 2 4 2 2 2 11" xfId="42937" xr:uid="{00000000-0005-0000-0000-00003D340000}"/>
    <cellStyle name="Note 3 2 2 4 2 2 2 12" xfId="46702" xr:uid="{00000000-0005-0000-0000-00003E340000}"/>
    <cellStyle name="Note 3 2 2 4 2 2 2 2" xfId="7742" xr:uid="{00000000-0005-0000-0000-00003F340000}"/>
    <cellStyle name="Note 3 2 2 4 2 2 2 3" xfId="12177" xr:uid="{00000000-0005-0000-0000-000040340000}"/>
    <cellStyle name="Note 3 2 2 4 2 2 2 4" xfId="16022" xr:uid="{00000000-0005-0000-0000-000041340000}"/>
    <cellStyle name="Note 3 2 2 4 2 2 2 5" xfId="19869" xr:uid="{00000000-0005-0000-0000-000042340000}"/>
    <cellStyle name="Note 3 2 2 4 2 2 2 6" xfId="23785" xr:uid="{00000000-0005-0000-0000-000043340000}"/>
    <cellStyle name="Note 3 2 2 4 2 2 2 7" xfId="27619" xr:uid="{00000000-0005-0000-0000-000044340000}"/>
    <cellStyle name="Note 3 2 2 4 2 2 2 8" xfId="31482" xr:uid="{00000000-0005-0000-0000-000045340000}"/>
    <cellStyle name="Note 3 2 2 4 2 2 2 9" xfId="35140" xr:uid="{00000000-0005-0000-0000-000046340000}"/>
    <cellStyle name="Note 3 2 2 4 2 2 3" xfId="5818" xr:uid="{00000000-0005-0000-0000-000047340000}"/>
    <cellStyle name="Note 3 2 2 4 2 2 4" xfId="10176" xr:uid="{00000000-0005-0000-0000-000048340000}"/>
    <cellStyle name="Note 3 2 2 4 2 2 5" xfId="14022" xr:uid="{00000000-0005-0000-0000-000049340000}"/>
    <cellStyle name="Note 3 2 2 4 2 2 6" xfId="17851" xr:uid="{00000000-0005-0000-0000-00004A340000}"/>
    <cellStyle name="Note 3 2 2 4 2 2 7" xfId="21790" xr:uid="{00000000-0005-0000-0000-00004B340000}"/>
    <cellStyle name="Note 3 2 2 4 2 2 8" xfId="25603" xr:uid="{00000000-0005-0000-0000-00004C340000}"/>
    <cellStyle name="Note 3 2 2 4 2 2 9" xfId="29490" xr:uid="{00000000-0005-0000-0000-00004D340000}"/>
    <cellStyle name="Note 3 2 2 4 2 3" xfId="3153" xr:uid="{00000000-0005-0000-0000-00004E340000}"/>
    <cellStyle name="Note 3 2 2 4 2 3 10" xfId="38205" xr:uid="{00000000-0005-0000-0000-00004F340000}"/>
    <cellStyle name="Note 3 2 2 4 2 3 11" xfId="42216" xr:uid="{00000000-0005-0000-0000-000050340000}"/>
    <cellStyle name="Note 3 2 2 4 2 3 12" xfId="45985" xr:uid="{00000000-0005-0000-0000-000051340000}"/>
    <cellStyle name="Note 3 2 2 4 2 3 2" xfId="7025" xr:uid="{00000000-0005-0000-0000-000052340000}"/>
    <cellStyle name="Note 3 2 2 4 2 3 3" xfId="11457" xr:uid="{00000000-0005-0000-0000-000053340000}"/>
    <cellStyle name="Note 3 2 2 4 2 3 4" xfId="15301" xr:uid="{00000000-0005-0000-0000-000054340000}"/>
    <cellStyle name="Note 3 2 2 4 2 3 5" xfId="19147" xr:uid="{00000000-0005-0000-0000-000055340000}"/>
    <cellStyle name="Note 3 2 2 4 2 3 6" xfId="23066" xr:uid="{00000000-0005-0000-0000-000056340000}"/>
    <cellStyle name="Note 3 2 2 4 2 3 7" xfId="26898" xr:uid="{00000000-0005-0000-0000-000057340000}"/>
    <cellStyle name="Note 3 2 2 4 2 3 8" xfId="30770" xr:uid="{00000000-0005-0000-0000-000058340000}"/>
    <cellStyle name="Note 3 2 2 4 2 3 9" xfId="34423" xr:uid="{00000000-0005-0000-0000-000059340000}"/>
    <cellStyle name="Note 3 2 2 4 2 4" xfId="5101" xr:uid="{00000000-0005-0000-0000-00005A340000}"/>
    <cellStyle name="Note 3 2 2 4 2 5" xfId="9457" xr:uid="{00000000-0005-0000-0000-00005B340000}"/>
    <cellStyle name="Note 3 2 2 4 2 6" xfId="13301" xr:uid="{00000000-0005-0000-0000-00005C340000}"/>
    <cellStyle name="Note 3 2 2 4 2 7" xfId="17129" xr:uid="{00000000-0005-0000-0000-00005D340000}"/>
    <cellStyle name="Note 3 2 2 4 2 8" xfId="21071" xr:uid="{00000000-0005-0000-0000-00005E340000}"/>
    <cellStyle name="Note 3 2 2 4 2 9" xfId="24882" xr:uid="{00000000-0005-0000-0000-00005F340000}"/>
    <cellStyle name="Note 3 2 2 4 3" xfId="1532" xr:uid="{00000000-0005-0000-0000-000060340000}"/>
    <cellStyle name="Note 3 2 2 4 3 10" xfId="32819" xr:uid="{00000000-0005-0000-0000-000061340000}"/>
    <cellStyle name="Note 3 2 2 4 3 11" xfId="36589" xr:uid="{00000000-0005-0000-0000-000062340000}"/>
    <cellStyle name="Note 3 2 2 4 3 12" xfId="40580" xr:uid="{00000000-0005-0000-0000-000063340000}"/>
    <cellStyle name="Note 3 2 2 4 3 13" xfId="44411" xr:uid="{00000000-0005-0000-0000-000064340000}"/>
    <cellStyle name="Note 3 2 2 4 3 2" xfId="3522" xr:uid="{00000000-0005-0000-0000-000065340000}"/>
    <cellStyle name="Note 3 2 2 4 3 2 10" xfId="38573" xr:uid="{00000000-0005-0000-0000-000066340000}"/>
    <cellStyle name="Note 3 2 2 4 3 2 11" xfId="42584" xr:uid="{00000000-0005-0000-0000-000067340000}"/>
    <cellStyle name="Note 3 2 2 4 3 2 12" xfId="46349" xr:uid="{00000000-0005-0000-0000-000068340000}"/>
    <cellStyle name="Note 3 2 2 4 3 2 2" xfId="7389" xr:uid="{00000000-0005-0000-0000-000069340000}"/>
    <cellStyle name="Note 3 2 2 4 3 2 3" xfId="11824" xr:uid="{00000000-0005-0000-0000-00006A340000}"/>
    <cellStyle name="Note 3 2 2 4 3 2 4" xfId="15669" xr:uid="{00000000-0005-0000-0000-00006B340000}"/>
    <cellStyle name="Note 3 2 2 4 3 2 5" xfId="19516" xr:uid="{00000000-0005-0000-0000-00006C340000}"/>
    <cellStyle name="Note 3 2 2 4 3 2 6" xfId="23432" xr:uid="{00000000-0005-0000-0000-00006D340000}"/>
    <cellStyle name="Note 3 2 2 4 3 2 7" xfId="27266" xr:uid="{00000000-0005-0000-0000-00006E340000}"/>
    <cellStyle name="Note 3 2 2 4 3 2 8" xfId="31133" xr:uid="{00000000-0005-0000-0000-00006F340000}"/>
    <cellStyle name="Note 3 2 2 4 3 2 9" xfId="34787" xr:uid="{00000000-0005-0000-0000-000070340000}"/>
    <cellStyle name="Note 3 2 2 4 3 3" xfId="5465" xr:uid="{00000000-0005-0000-0000-000071340000}"/>
    <cellStyle name="Note 3 2 2 4 3 4" xfId="9823" xr:uid="{00000000-0005-0000-0000-000072340000}"/>
    <cellStyle name="Note 3 2 2 4 3 5" xfId="13669" xr:uid="{00000000-0005-0000-0000-000073340000}"/>
    <cellStyle name="Note 3 2 2 4 3 6" xfId="17498" xr:uid="{00000000-0005-0000-0000-000074340000}"/>
    <cellStyle name="Note 3 2 2 4 3 7" xfId="21437" xr:uid="{00000000-0005-0000-0000-000075340000}"/>
    <cellStyle name="Note 3 2 2 4 3 8" xfId="25250" xr:uid="{00000000-0005-0000-0000-000076340000}"/>
    <cellStyle name="Note 3 2 2 4 3 9" xfId="29137" xr:uid="{00000000-0005-0000-0000-000077340000}"/>
    <cellStyle name="Note 3 2 2 4 4" xfId="2791" xr:uid="{00000000-0005-0000-0000-000078340000}"/>
    <cellStyle name="Note 3 2 2 4 4 10" xfId="37843" xr:uid="{00000000-0005-0000-0000-000079340000}"/>
    <cellStyle name="Note 3 2 2 4 4 11" xfId="41855" xr:uid="{00000000-0005-0000-0000-00007A340000}"/>
    <cellStyle name="Note 3 2 2 4 4 12" xfId="45632" xr:uid="{00000000-0005-0000-0000-00007B340000}"/>
    <cellStyle name="Note 3 2 2 4 4 2" xfId="6671" xr:uid="{00000000-0005-0000-0000-00007C340000}"/>
    <cellStyle name="Note 3 2 2 4 4 3" xfId="11098" xr:uid="{00000000-0005-0000-0000-00007D340000}"/>
    <cellStyle name="Note 3 2 2 4 4 4" xfId="14943" xr:uid="{00000000-0005-0000-0000-00007E340000}"/>
    <cellStyle name="Note 3 2 2 4 4 5" xfId="18785" xr:uid="{00000000-0005-0000-0000-00007F340000}"/>
    <cellStyle name="Note 3 2 2 4 4 6" xfId="22711" xr:uid="{00000000-0005-0000-0000-000080340000}"/>
    <cellStyle name="Note 3 2 2 4 4 7" xfId="26536" xr:uid="{00000000-0005-0000-0000-000081340000}"/>
    <cellStyle name="Note 3 2 2 4 4 8" xfId="30414" xr:uid="{00000000-0005-0000-0000-000082340000}"/>
    <cellStyle name="Note 3 2 2 4 4 9" xfId="34070" xr:uid="{00000000-0005-0000-0000-000083340000}"/>
    <cellStyle name="Note 3 2 2 4 5" xfId="4747" xr:uid="{00000000-0005-0000-0000-000084340000}"/>
    <cellStyle name="Note 3 2 2 4 6" xfId="9101" xr:uid="{00000000-0005-0000-0000-000085340000}"/>
    <cellStyle name="Note 3 2 2 4 7" xfId="12942" xr:uid="{00000000-0005-0000-0000-000086340000}"/>
    <cellStyle name="Note 3 2 2 4 8" xfId="16767" xr:uid="{00000000-0005-0000-0000-000087340000}"/>
    <cellStyle name="Note 3 2 2 4 9" xfId="20709" xr:uid="{00000000-0005-0000-0000-000088340000}"/>
    <cellStyle name="Note 3 2 2 5" xfId="893" xr:uid="{00000000-0005-0000-0000-000089340000}"/>
    <cellStyle name="Note 3 2 2 5 10" xfId="24617" xr:uid="{00000000-0005-0000-0000-00008A340000}"/>
    <cellStyle name="Note 3 2 2 5 11" xfId="28507" xr:uid="{00000000-0005-0000-0000-00008B340000}"/>
    <cellStyle name="Note 3 2 2 5 12" xfId="32194" xr:uid="{00000000-0005-0000-0000-00008C340000}"/>
    <cellStyle name="Note 3 2 2 5 13" xfId="35951" xr:uid="{00000000-0005-0000-0000-00008D340000}"/>
    <cellStyle name="Note 3 2 2 5 14" xfId="39961" xr:uid="{00000000-0005-0000-0000-00008E340000}"/>
    <cellStyle name="Note 3 2 2 5 15" xfId="43777" xr:uid="{00000000-0005-0000-0000-00008F340000}"/>
    <cellStyle name="Note 3 2 2 5 2" xfId="1230" xr:uid="{00000000-0005-0000-0000-000090340000}"/>
    <cellStyle name="Note 3 2 2 5 2 10" xfId="28838" xr:uid="{00000000-0005-0000-0000-000091340000}"/>
    <cellStyle name="Note 3 2 2 5 2 11" xfId="32522" xr:uid="{00000000-0005-0000-0000-000092340000}"/>
    <cellStyle name="Note 3 2 2 5 2 12" xfId="36288" xr:uid="{00000000-0005-0000-0000-000093340000}"/>
    <cellStyle name="Note 3 2 2 5 2 13" xfId="40281" xr:uid="{00000000-0005-0000-0000-000094340000}"/>
    <cellStyle name="Note 3 2 2 5 2 14" xfId="44114" xr:uid="{00000000-0005-0000-0000-000095340000}"/>
    <cellStyle name="Note 3 2 2 5 2 2" xfId="1952" xr:uid="{00000000-0005-0000-0000-000096340000}"/>
    <cellStyle name="Note 3 2 2 5 2 2 10" xfId="33239" xr:uid="{00000000-0005-0000-0000-000097340000}"/>
    <cellStyle name="Note 3 2 2 5 2 2 11" xfId="37009" xr:uid="{00000000-0005-0000-0000-000098340000}"/>
    <cellStyle name="Note 3 2 2 5 2 2 12" xfId="41000" xr:uid="{00000000-0005-0000-0000-000099340000}"/>
    <cellStyle name="Note 3 2 2 5 2 2 13" xfId="44831" xr:uid="{00000000-0005-0000-0000-00009A340000}"/>
    <cellStyle name="Note 3 2 2 5 2 2 2" xfId="3942" xr:uid="{00000000-0005-0000-0000-00009B340000}"/>
    <cellStyle name="Note 3 2 2 5 2 2 2 10" xfId="38993" xr:uid="{00000000-0005-0000-0000-00009C340000}"/>
    <cellStyle name="Note 3 2 2 5 2 2 2 11" xfId="43004" xr:uid="{00000000-0005-0000-0000-00009D340000}"/>
    <cellStyle name="Note 3 2 2 5 2 2 2 12" xfId="46769" xr:uid="{00000000-0005-0000-0000-00009E340000}"/>
    <cellStyle name="Note 3 2 2 5 2 2 2 2" xfId="7809" xr:uid="{00000000-0005-0000-0000-00009F340000}"/>
    <cellStyle name="Note 3 2 2 5 2 2 2 3" xfId="12244" xr:uid="{00000000-0005-0000-0000-0000A0340000}"/>
    <cellStyle name="Note 3 2 2 5 2 2 2 4" xfId="16089" xr:uid="{00000000-0005-0000-0000-0000A1340000}"/>
    <cellStyle name="Note 3 2 2 5 2 2 2 5" xfId="19936" xr:uid="{00000000-0005-0000-0000-0000A2340000}"/>
    <cellStyle name="Note 3 2 2 5 2 2 2 6" xfId="23852" xr:uid="{00000000-0005-0000-0000-0000A3340000}"/>
    <cellStyle name="Note 3 2 2 5 2 2 2 7" xfId="27686" xr:uid="{00000000-0005-0000-0000-0000A4340000}"/>
    <cellStyle name="Note 3 2 2 5 2 2 2 8" xfId="31547" xr:uid="{00000000-0005-0000-0000-0000A5340000}"/>
    <cellStyle name="Note 3 2 2 5 2 2 2 9" xfId="35207" xr:uid="{00000000-0005-0000-0000-0000A6340000}"/>
    <cellStyle name="Note 3 2 2 5 2 2 3" xfId="5885" xr:uid="{00000000-0005-0000-0000-0000A7340000}"/>
    <cellStyle name="Note 3 2 2 5 2 2 4" xfId="10243" xr:uid="{00000000-0005-0000-0000-0000A8340000}"/>
    <cellStyle name="Note 3 2 2 5 2 2 5" xfId="14089" xr:uid="{00000000-0005-0000-0000-0000A9340000}"/>
    <cellStyle name="Note 3 2 2 5 2 2 6" xfId="17918" xr:uid="{00000000-0005-0000-0000-0000AA340000}"/>
    <cellStyle name="Note 3 2 2 5 2 2 7" xfId="21857" xr:uid="{00000000-0005-0000-0000-0000AB340000}"/>
    <cellStyle name="Note 3 2 2 5 2 2 8" xfId="25670" xr:uid="{00000000-0005-0000-0000-0000AC340000}"/>
    <cellStyle name="Note 3 2 2 5 2 2 9" xfId="29557" xr:uid="{00000000-0005-0000-0000-0000AD340000}"/>
    <cellStyle name="Note 3 2 2 5 2 3" xfId="3220" xr:uid="{00000000-0005-0000-0000-0000AE340000}"/>
    <cellStyle name="Note 3 2 2 5 2 3 10" xfId="38272" xr:uid="{00000000-0005-0000-0000-0000AF340000}"/>
    <cellStyle name="Note 3 2 2 5 2 3 11" xfId="42283" xr:uid="{00000000-0005-0000-0000-0000B0340000}"/>
    <cellStyle name="Note 3 2 2 5 2 3 12" xfId="46052" xr:uid="{00000000-0005-0000-0000-0000B1340000}"/>
    <cellStyle name="Note 3 2 2 5 2 3 2" xfId="7092" xr:uid="{00000000-0005-0000-0000-0000B2340000}"/>
    <cellStyle name="Note 3 2 2 5 2 3 3" xfId="11524" xr:uid="{00000000-0005-0000-0000-0000B3340000}"/>
    <cellStyle name="Note 3 2 2 5 2 3 4" xfId="15368" xr:uid="{00000000-0005-0000-0000-0000B4340000}"/>
    <cellStyle name="Note 3 2 2 5 2 3 5" xfId="19214" xr:uid="{00000000-0005-0000-0000-0000B5340000}"/>
    <cellStyle name="Note 3 2 2 5 2 3 6" xfId="23133" xr:uid="{00000000-0005-0000-0000-0000B6340000}"/>
    <cellStyle name="Note 3 2 2 5 2 3 7" xfId="26965" xr:uid="{00000000-0005-0000-0000-0000B7340000}"/>
    <cellStyle name="Note 3 2 2 5 2 3 8" xfId="30835" xr:uid="{00000000-0005-0000-0000-0000B8340000}"/>
    <cellStyle name="Note 3 2 2 5 2 3 9" xfId="34490" xr:uid="{00000000-0005-0000-0000-0000B9340000}"/>
    <cellStyle name="Note 3 2 2 5 2 4" xfId="5168" xr:uid="{00000000-0005-0000-0000-0000BA340000}"/>
    <cellStyle name="Note 3 2 2 5 2 5" xfId="9524" xr:uid="{00000000-0005-0000-0000-0000BB340000}"/>
    <cellStyle name="Note 3 2 2 5 2 6" xfId="13368" xr:uid="{00000000-0005-0000-0000-0000BC340000}"/>
    <cellStyle name="Note 3 2 2 5 2 7" xfId="17196" xr:uid="{00000000-0005-0000-0000-0000BD340000}"/>
    <cellStyle name="Note 3 2 2 5 2 8" xfId="21138" xr:uid="{00000000-0005-0000-0000-0000BE340000}"/>
    <cellStyle name="Note 3 2 2 5 2 9" xfId="24949" xr:uid="{00000000-0005-0000-0000-0000BF340000}"/>
    <cellStyle name="Note 3 2 2 5 3" xfId="1624" xr:uid="{00000000-0005-0000-0000-0000C0340000}"/>
    <cellStyle name="Note 3 2 2 5 3 10" xfId="32911" xr:uid="{00000000-0005-0000-0000-0000C1340000}"/>
    <cellStyle name="Note 3 2 2 5 3 11" xfId="36681" xr:uid="{00000000-0005-0000-0000-0000C2340000}"/>
    <cellStyle name="Note 3 2 2 5 3 12" xfId="40672" xr:uid="{00000000-0005-0000-0000-0000C3340000}"/>
    <cellStyle name="Note 3 2 2 5 3 13" xfId="44503" xr:uid="{00000000-0005-0000-0000-0000C4340000}"/>
    <cellStyle name="Note 3 2 2 5 3 2" xfId="3614" xr:uid="{00000000-0005-0000-0000-0000C5340000}"/>
    <cellStyle name="Note 3 2 2 5 3 2 10" xfId="38665" xr:uid="{00000000-0005-0000-0000-0000C6340000}"/>
    <cellStyle name="Note 3 2 2 5 3 2 11" xfId="42676" xr:uid="{00000000-0005-0000-0000-0000C7340000}"/>
    <cellStyle name="Note 3 2 2 5 3 2 12" xfId="46441" xr:uid="{00000000-0005-0000-0000-0000C8340000}"/>
    <cellStyle name="Note 3 2 2 5 3 2 2" xfId="7481" xr:uid="{00000000-0005-0000-0000-0000C9340000}"/>
    <cellStyle name="Note 3 2 2 5 3 2 3" xfId="11916" xr:uid="{00000000-0005-0000-0000-0000CA340000}"/>
    <cellStyle name="Note 3 2 2 5 3 2 4" xfId="15761" xr:uid="{00000000-0005-0000-0000-0000CB340000}"/>
    <cellStyle name="Note 3 2 2 5 3 2 5" xfId="19608" xr:uid="{00000000-0005-0000-0000-0000CC340000}"/>
    <cellStyle name="Note 3 2 2 5 3 2 6" xfId="23524" xr:uid="{00000000-0005-0000-0000-0000CD340000}"/>
    <cellStyle name="Note 3 2 2 5 3 2 7" xfId="27358" xr:uid="{00000000-0005-0000-0000-0000CE340000}"/>
    <cellStyle name="Note 3 2 2 5 3 2 8" xfId="31223" xr:uid="{00000000-0005-0000-0000-0000CF340000}"/>
    <cellStyle name="Note 3 2 2 5 3 2 9" xfId="34879" xr:uid="{00000000-0005-0000-0000-0000D0340000}"/>
    <cellStyle name="Note 3 2 2 5 3 3" xfId="5557" xr:uid="{00000000-0005-0000-0000-0000D1340000}"/>
    <cellStyle name="Note 3 2 2 5 3 4" xfId="9915" xr:uid="{00000000-0005-0000-0000-0000D2340000}"/>
    <cellStyle name="Note 3 2 2 5 3 5" xfId="13761" xr:uid="{00000000-0005-0000-0000-0000D3340000}"/>
    <cellStyle name="Note 3 2 2 5 3 6" xfId="17590" xr:uid="{00000000-0005-0000-0000-0000D4340000}"/>
    <cellStyle name="Note 3 2 2 5 3 7" xfId="21529" xr:uid="{00000000-0005-0000-0000-0000D5340000}"/>
    <cellStyle name="Note 3 2 2 5 3 8" xfId="25342" xr:uid="{00000000-0005-0000-0000-0000D6340000}"/>
    <cellStyle name="Note 3 2 2 5 3 9" xfId="29229" xr:uid="{00000000-0005-0000-0000-0000D7340000}"/>
    <cellStyle name="Note 3 2 2 5 4" xfId="2883" xr:uid="{00000000-0005-0000-0000-0000D8340000}"/>
    <cellStyle name="Note 3 2 2 5 4 10" xfId="37935" xr:uid="{00000000-0005-0000-0000-0000D9340000}"/>
    <cellStyle name="Note 3 2 2 5 4 11" xfId="41947" xr:uid="{00000000-0005-0000-0000-0000DA340000}"/>
    <cellStyle name="Note 3 2 2 5 4 12" xfId="45724" xr:uid="{00000000-0005-0000-0000-0000DB340000}"/>
    <cellStyle name="Note 3 2 2 5 4 2" xfId="6763" xr:uid="{00000000-0005-0000-0000-0000DC340000}"/>
    <cellStyle name="Note 3 2 2 5 4 3" xfId="11190" xr:uid="{00000000-0005-0000-0000-0000DD340000}"/>
    <cellStyle name="Note 3 2 2 5 4 4" xfId="15035" xr:uid="{00000000-0005-0000-0000-0000DE340000}"/>
    <cellStyle name="Note 3 2 2 5 4 5" xfId="18877" xr:uid="{00000000-0005-0000-0000-0000DF340000}"/>
    <cellStyle name="Note 3 2 2 5 4 6" xfId="22803" xr:uid="{00000000-0005-0000-0000-0000E0340000}"/>
    <cellStyle name="Note 3 2 2 5 4 7" xfId="26628" xr:uid="{00000000-0005-0000-0000-0000E1340000}"/>
    <cellStyle name="Note 3 2 2 5 4 8" xfId="30504" xr:uid="{00000000-0005-0000-0000-0000E2340000}"/>
    <cellStyle name="Note 3 2 2 5 4 9" xfId="34162" xr:uid="{00000000-0005-0000-0000-0000E3340000}"/>
    <cellStyle name="Note 3 2 2 5 5" xfId="4839" xr:uid="{00000000-0005-0000-0000-0000E4340000}"/>
    <cellStyle name="Note 3 2 2 5 6" xfId="9193" xr:uid="{00000000-0005-0000-0000-0000E5340000}"/>
    <cellStyle name="Note 3 2 2 5 7" xfId="13034" xr:uid="{00000000-0005-0000-0000-0000E6340000}"/>
    <cellStyle name="Note 3 2 2 5 8" xfId="16859" xr:uid="{00000000-0005-0000-0000-0000E7340000}"/>
    <cellStyle name="Note 3 2 2 5 9" xfId="20801" xr:uid="{00000000-0005-0000-0000-0000E8340000}"/>
    <cellStyle name="Note 3 2 2 6" xfId="939" xr:uid="{00000000-0005-0000-0000-0000E9340000}"/>
    <cellStyle name="Note 3 2 2 6 10" xfId="28551" xr:uid="{00000000-0005-0000-0000-0000EA340000}"/>
    <cellStyle name="Note 3 2 2 6 11" xfId="32240" xr:uid="{00000000-0005-0000-0000-0000EB340000}"/>
    <cellStyle name="Note 3 2 2 6 12" xfId="35997" xr:uid="{00000000-0005-0000-0000-0000EC340000}"/>
    <cellStyle name="Note 3 2 2 6 13" xfId="40005" xr:uid="{00000000-0005-0000-0000-0000ED340000}"/>
    <cellStyle name="Note 3 2 2 6 14" xfId="43823" xr:uid="{00000000-0005-0000-0000-0000EE340000}"/>
    <cellStyle name="Note 3 2 2 6 2" xfId="1670" xr:uid="{00000000-0005-0000-0000-0000EF340000}"/>
    <cellStyle name="Note 3 2 2 6 2 10" xfId="32957" xr:uid="{00000000-0005-0000-0000-0000F0340000}"/>
    <cellStyle name="Note 3 2 2 6 2 11" xfId="36727" xr:uid="{00000000-0005-0000-0000-0000F1340000}"/>
    <cellStyle name="Note 3 2 2 6 2 12" xfId="40718" xr:uid="{00000000-0005-0000-0000-0000F2340000}"/>
    <cellStyle name="Note 3 2 2 6 2 13" xfId="44549" xr:uid="{00000000-0005-0000-0000-0000F3340000}"/>
    <cellStyle name="Note 3 2 2 6 2 2" xfId="3660" xr:uid="{00000000-0005-0000-0000-0000F4340000}"/>
    <cellStyle name="Note 3 2 2 6 2 2 10" xfId="38711" xr:uid="{00000000-0005-0000-0000-0000F5340000}"/>
    <cellStyle name="Note 3 2 2 6 2 2 11" xfId="42722" xr:uid="{00000000-0005-0000-0000-0000F6340000}"/>
    <cellStyle name="Note 3 2 2 6 2 2 12" xfId="46487" xr:uid="{00000000-0005-0000-0000-0000F7340000}"/>
    <cellStyle name="Note 3 2 2 6 2 2 2" xfId="7527" xr:uid="{00000000-0005-0000-0000-0000F8340000}"/>
    <cellStyle name="Note 3 2 2 6 2 2 3" xfId="11962" xr:uid="{00000000-0005-0000-0000-0000F9340000}"/>
    <cellStyle name="Note 3 2 2 6 2 2 4" xfId="15807" xr:uid="{00000000-0005-0000-0000-0000FA340000}"/>
    <cellStyle name="Note 3 2 2 6 2 2 5" xfId="19654" xr:uid="{00000000-0005-0000-0000-0000FB340000}"/>
    <cellStyle name="Note 3 2 2 6 2 2 6" xfId="23570" xr:uid="{00000000-0005-0000-0000-0000FC340000}"/>
    <cellStyle name="Note 3 2 2 6 2 2 7" xfId="27404" xr:uid="{00000000-0005-0000-0000-0000FD340000}"/>
    <cellStyle name="Note 3 2 2 6 2 2 8" xfId="31268" xr:uid="{00000000-0005-0000-0000-0000FE340000}"/>
    <cellStyle name="Note 3 2 2 6 2 2 9" xfId="34925" xr:uid="{00000000-0005-0000-0000-0000FF340000}"/>
    <cellStyle name="Note 3 2 2 6 2 3" xfId="5603" xr:uid="{00000000-0005-0000-0000-000000350000}"/>
    <cellStyle name="Note 3 2 2 6 2 4" xfId="9961" xr:uid="{00000000-0005-0000-0000-000001350000}"/>
    <cellStyle name="Note 3 2 2 6 2 5" xfId="13807" xr:uid="{00000000-0005-0000-0000-000002350000}"/>
    <cellStyle name="Note 3 2 2 6 2 6" xfId="17636" xr:uid="{00000000-0005-0000-0000-000003350000}"/>
    <cellStyle name="Note 3 2 2 6 2 7" xfId="21575" xr:uid="{00000000-0005-0000-0000-000004350000}"/>
    <cellStyle name="Note 3 2 2 6 2 8" xfId="25388" xr:uid="{00000000-0005-0000-0000-000005350000}"/>
    <cellStyle name="Note 3 2 2 6 2 9" xfId="29275" xr:uid="{00000000-0005-0000-0000-000006350000}"/>
    <cellStyle name="Note 3 2 2 6 3" xfId="2929" xr:uid="{00000000-0005-0000-0000-000007350000}"/>
    <cellStyle name="Note 3 2 2 6 3 10" xfId="37981" xr:uid="{00000000-0005-0000-0000-000008350000}"/>
    <cellStyle name="Note 3 2 2 6 3 11" xfId="41993" xr:uid="{00000000-0005-0000-0000-000009350000}"/>
    <cellStyle name="Note 3 2 2 6 3 12" xfId="45770" xr:uid="{00000000-0005-0000-0000-00000A350000}"/>
    <cellStyle name="Note 3 2 2 6 3 2" xfId="6809" xr:uid="{00000000-0005-0000-0000-00000B350000}"/>
    <cellStyle name="Note 3 2 2 6 3 3" xfId="11236" xr:uid="{00000000-0005-0000-0000-00000C350000}"/>
    <cellStyle name="Note 3 2 2 6 3 4" xfId="15081" xr:uid="{00000000-0005-0000-0000-00000D350000}"/>
    <cellStyle name="Note 3 2 2 6 3 5" xfId="18923" xr:uid="{00000000-0005-0000-0000-00000E350000}"/>
    <cellStyle name="Note 3 2 2 6 3 6" xfId="22849" xr:uid="{00000000-0005-0000-0000-00000F350000}"/>
    <cellStyle name="Note 3 2 2 6 3 7" xfId="26674" xr:uid="{00000000-0005-0000-0000-000010350000}"/>
    <cellStyle name="Note 3 2 2 6 3 8" xfId="30549" xr:uid="{00000000-0005-0000-0000-000011350000}"/>
    <cellStyle name="Note 3 2 2 6 3 9" xfId="34208" xr:uid="{00000000-0005-0000-0000-000012350000}"/>
    <cellStyle name="Note 3 2 2 6 4" xfId="4885" xr:uid="{00000000-0005-0000-0000-000013350000}"/>
    <cellStyle name="Note 3 2 2 6 5" xfId="9239" xr:uid="{00000000-0005-0000-0000-000014350000}"/>
    <cellStyle name="Note 3 2 2 6 6" xfId="13080" xr:uid="{00000000-0005-0000-0000-000015350000}"/>
    <cellStyle name="Note 3 2 2 6 7" xfId="16905" xr:uid="{00000000-0005-0000-0000-000016350000}"/>
    <cellStyle name="Note 3 2 2 6 8" xfId="20847" xr:uid="{00000000-0005-0000-0000-000017350000}"/>
    <cellStyle name="Note 3 2 2 6 9" xfId="24663" xr:uid="{00000000-0005-0000-0000-000018350000}"/>
    <cellStyle name="Note 3 2 2 7" xfId="1317" xr:uid="{00000000-0005-0000-0000-000019350000}"/>
    <cellStyle name="Note 3 2 2 7 10" xfId="32604" xr:uid="{00000000-0005-0000-0000-00001A350000}"/>
    <cellStyle name="Note 3 2 2 7 11" xfId="36374" xr:uid="{00000000-0005-0000-0000-00001B350000}"/>
    <cellStyle name="Note 3 2 2 7 12" xfId="40365" xr:uid="{00000000-0005-0000-0000-00001C350000}"/>
    <cellStyle name="Note 3 2 2 7 13" xfId="44196" xr:uid="{00000000-0005-0000-0000-00001D350000}"/>
    <cellStyle name="Note 3 2 2 7 2" xfId="3307" xr:uid="{00000000-0005-0000-0000-00001E350000}"/>
    <cellStyle name="Note 3 2 2 7 2 10" xfId="38358" xr:uid="{00000000-0005-0000-0000-00001F350000}"/>
    <cellStyle name="Note 3 2 2 7 2 11" xfId="42369" xr:uid="{00000000-0005-0000-0000-000020350000}"/>
    <cellStyle name="Note 3 2 2 7 2 12" xfId="46134" xr:uid="{00000000-0005-0000-0000-000021350000}"/>
    <cellStyle name="Note 3 2 2 7 2 2" xfId="7174" xr:uid="{00000000-0005-0000-0000-000022350000}"/>
    <cellStyle name="Note 3 2 2 7 2 3" xfId="11609" xr:uid="{00000000-0005-0000-0000-000023350000}"/>
    <cellStyle name="Note 3 2 2 7 2 4" xfId="15454" xr:uid="{00000000-0005-0000-0000-000024350000}"/>
    <cellStyle name="Note 3 2 2 7 2 5" xfId="19301" xr:uid="{00000000-0005-0000-0000-000025350000}"/>
    <cellStyle name="Note 3 2 2 7 2 6" xfId="23217" xr:uid="{00000000-0005-0000-0000-000026350000}"/>
    <cellStyle name="Note 3 2 2 7 2 7" xfId="27051" xr:uid="{00000000-0005-0000-0000-000027350000}"/>
    <cellStyle name="Note 3 2 2 7 2 8" xfId="30920" xr:uid="{00000000-0005-0000-0000-000028350000}"/>
    <cellStyle name="Note 3 2 2 7 2 9" xfId="34572" xr:uid="{00000000-0005-0000-0000-000029350000}"/>
    <cellStyle name="Note 3 2 2 7 3" xfId="5250" xr:uid="{00000000-0005-0000-0000-00002A350000}"/>
    <cellStyle name="Note 3 2 2 7 4" xfId="9608" xr:uid="{00000000-0005-0000-0000-00002B350000}"/>
    <cellStyle name="Note 3 2 2 7 5" xfId="13454" xr:uid="{00000000-0005-0000-0000-00002C350000}"/>
    <cellStyle name="Note 3 2 2 7 6" xfId="17283" xr:uid="{00000000-0005-0000-0000-00002D350000}"/>
    <cellStyle name="Note 3 2 2 7 7" xfId="21222" xr:uid="{00000000-0005-0000-0000-00002E350000}"/>
    <cellStyle name="Note 3 2 2 7 8" xfId="25035" xr:uid="{00000000-0005-0000-0000-00002F350000}"/>
    <cellStyle name="Note 3 2 2 7 9" xfId="28922" xr:uid="{00000000-0005-0000-0000-000030350000}"/>
    <cellStyle name="Note 3 2 2 8" xfId="2014" xr:uid="{00000000-0005-0000-0000-000031350000}"/>
    <cellStyle name="Note 3 2 2 8 10" xfId="33299" xr:uid="{00000000-0005-0000-0000-000032350000}"/>
    <cellStyle name="Note 3 2 2 8 11" xfId="37070" xr:uid="{00000000-0005-0000-0000-000033350000}"/>
    <cellStyle name="Note 3 2 2 8 12" xfId="41062" xr:uid="{00000000-0005-0000-0000-000034350000}"/>
    <cellStyle name="Note 3 2 2 8 13" xfId="44890" xr:uid="{00000000-0005-0000-0000-000035350000}"/>
    <cellStyle name="Note 3 2 2 8 2" xfId="4003" xr:uid="{00000000-0005-0000-0000-000036350000}"/>
    <cellStyle name="Note 3 2 2 8 2 10" xfId="39054" xr:uid="{00000000-0005-0000-0000-000037350000}"/>
    <cellStyle name="Note 3 2 2 8 2 11" xfId="43065" xr:uid="{00000000-0005-0000-0000-000038350000}"/>
    <cellStyle name="Note 3 2 2 8 2 12" xfId="46828" xr:uid="{00000000-0005-0000-0000-000039350000}"/>
    <cellStyle name="Note 3 2 2 8 2 2" xfId="7868" xr:uid="{00000000-0005-0000-0000-00003A350000}"/>
    <cellStyle name="Note 3 2 2 8 2 3" xfId="12304" xr:uid="{00000000-0005-0000-0000-00003B350000}"/>
    <cellStyle name="Note 3 2 2 8 2 4" xfId="16149" xr:uid="{00000000-0005-0000-0000-00003C350000}"/>
    <cellStyle name="Note 3 2 2 8 2 5" xfId="19997" xr:uid="{00000000-0005-0000-0000-00003D350000}"/>
    <cellStyle name="Note 3 2 2 8 2 6" xfId="23912" xr:uid="{00000000-0005-0000-0000-00003E350000}"/>
    <cellStyle name="Note 3 2 2 8 2 7" xfId="27747" xr:uid="{00000000-0005-0000-0000-00003F350000}"/>
    <cellStyle name="Note 3 2 2 8 2 8" xfId="31607" xr:uid="{00000000-0005-0000-0000-000040350000}"/>
    <cellStyle name="Note 3 2 2 8 2 9" xfId="35266" xr:uid="{00000000-0005-0000-0000-000041350000}"/>
    <cellStyle name="Note 3 2 2 8 3" xfId="5944" xr:uid="{00000000-0005-0000-0000-000042350000}"/>
    <cellStyle name="Note 3 2 2 8 4" xfId="10303" xr:uid="{00000000-0005-0000-0000-000043350000}"/>
    <cellStyle name="Note 3 2 2 8 5" xfId="14150" xr:uid="{00000000-0005-0000-0000-000044350000}"/>
    <cellStyle name="Note 3 2 2 8 6" xfId="17980" xr:uid="{00000000-0005-0000-0000-000045350000}"/>
    <cellStyle name="Note 3 2 2 8 7" xfId="21918" xr:uid="{00000000-0005-0000-0000-000046350000}"/>
    <cellStyle name="Note 3 2 2 8 8" xfId="25732" xr:uid="{00000000-0005-0000-0000-000047350000}"/>
    <cellStyle name="Note 3 2 2 8 9" xfId="29619" xr:uid="{00000000-0005-0000-0000-000048350000}"/>
    <cellStyle name="Note 3 2 2 9" xfId="2061" xr:uid="{00000000-0005-0000-0000-000049350000}"/>
    <cellStyle name="Note 3 2 2 9 10" xfId="33343" xr:uid="{00000000-0005-0000-0000-00004A350000}"/>
    <cellStyle name="Note 3 2 2 9 11" xfId="37117" xr:uid="{00000000-0005-0000-0000-00004B350000}"/>
    <cellStyle name="Note 3 2 2 9 12" xfId="41107" xr:uid="{00000000-0005-0000-0000-00004C350000}"/>
    <cellStyle name="Note 3 2 2 9 13" xfId="44934" xr:uid="{00000000-0005-0000-0000-00004D350000}"/>
    <cellStyle name="Note 3 2 2 9 2" xfId="4050" xr:uid="{00000000-0005-0000-0000-00004E350000}"/>
    <cellStyle name="Note 3 2 2 9 2 10" xfId="39101" xr:uid="{00000000-0005-0000-0000-00004F350000}"/>
    <cellStyle name="Note 3 2 2 9 2 11" xfId="43111" xr:uid="{00000000-0005-0000-0000-000050350000}"/>
    <cellStyle name="Note 3 2 2 9 2 12" xfId="46872" xr:uid="{00000000-0005-0000-0000-000051350000}"/>
    <cellStyle name="Note 3 2 2 9 2 2" xfId="7913" xr:uid="{00000000-0005-0000-0000-000052350000}"/>
    <cellStyle name="Note 3 2 2 9 2 3" xfId="12350" xr:uid="{00000000-0005-0000-0000-000053350000}"/>
    <cellStyle name="Note 3 2 2 9 2 4" xfId="16195" xr:uid="{00000000-0005-0000-0000-000054350000}"/>
    <cellStyle name="Note 3 2 2 9 2 5" xfId="20044" xr:uid="{00000000-0005-0000-0000-000055350000}"/>
    <cellStyle name="Note 3 2 2 9 2 6" xfId="23958" xr:uid="{00000000-0005-0000-0000-000056350000}"/>
    <cellStyle name="Note 3 2 2 9 2 7" xfId="27794" xr:uid="{00000000-0005-0000-0000-000057350000}"/>
    <cellStyle name="Note 3 2 2 9 2 8" xfId="31653" xr:uid="{00000000-0005-0000-0000-000058350000}"/>
    <cellStyle name="Note 3 2 2 9 2 9" xfId="35310" xr:uid="{00000000-0005-0000-0000-000059350000}"/>
    <cellStyle name="Note 3 2 2 9 3" xfId="5989" xr:uid="{00000000-0005-0000-0000-00005A350000}"/>
    <cellStyle name="Note 3 2 2 9 4" xfId="10349" xr:uid="{00000000-0005-0000-0000-00005B350000}"/>
    <cellStyle name="Note 3 2 2 9 5" xfId="14196" xr:uid="{00000000-0005-0000-0000-00005C350000}"/>
    <cellStyle name="Note 3 2 2 9 6" xfId="18027" xr:uid="{00000000-0005-0000-0000-00005D350000}"/>
    <cellStyle name="Note 3 2 2 9 7" xfId="21964" xr:uid="{00000000-0005-0000-0000-00005E350000}"/>
    <cellStyle name="Note 3 2 2 9 8" xfId="25779" xr:uid="{00000000-0005-0000-0000-00005F350000}"/>
    <cellStyle name="Note 3 2 2 9 9" xfId="29665" xr:uid="{00000000-0005-0000-0000-000060350000}"/>
    <cellStyle name="Note 3 2 20" xfId="8793" xr:uid="{00000000-0005-0000-0000-000061350000}"/>
    <cellStyle name="Note 3 2 21" xfId="8463" xr:uid="{00000000-0005-0000-0000-000062350000}"/>
    <cellStyle name="Note 3 2 22" xfId="12347" xr:uid="{00000000-0005-0000-0000-000063350000}"/>
    <cellStyle name="Note 3 2 23" xfId="18046" xr:uid="{00000000-0005-0000-0000-000064350000}"/>
    <cellStyle name="Note 3 2 24" xfId="13110" xr:uid="{00000000-0005-0000-0000-000065350000}"/>
    <cellStyle name="Note 3 2 25" xfId="8661" xr:uid="{00000000-0005-0000-0000-000066350000}"/>
    <cellStyle name="Note 3 2 26" xfId="12391" xr:uid="{00000000-0005-0000-0000-000067350000}"/>
    <cellStyle name="Note 3 2 27" xfId="39615" xr:uid="{00000000-0005-0000-0000-000068350000}"/>
    <cellStyle name="Note 3 2 28" xfId="39595" xr:uid="{00000000-0005-0000-0000-000069350000}"/>
    <cellStyle name="Note 3 2 29" xfId="47329" xr:uid="{00000000-0005-0000-0000-00006A350000}"/>
    <cellStyle name="Note 3 2 3" xfId="546" xr:uid="{00000000-0005-0000-0000-00006B350000}"/>
    <cellStyle name="Note 3 2 3 10" xfId="2198" xr:uid="{00000000-0005-0000-0000-00006C350000}"/>
    <cellStyle name="Note 3 2 3 10 10" xfId="33499" xr:uid="{00000000-0005-0000-0000-00006D350000}"/>
    <cellStyle name="Note 3 2 3 10 11" xfId="37250" xr:uid="{00000000-0005-0000-0000-00006E350000}"/>
    <cellStyle name="Note 3 2 3 10 12" xfId="41266" xr:uid="{00000000-0005-0000-0000-00006F350000}"/>
    <cellStyle name="Note 3 2 3 10 13" xfId="45061" xr:uid="{00000000-0005-0000-0000-000070350000}"/>
    <cellStyle name="Note 3 2 3 10 2" xfId="4181" xr:uid="{00000000-0005-0000-0000-000071350000}"/>
    <cellStyle name="Note 3 2 3 10 2 10" xfId="39232" xr:uid="{00000000-0005-0000-0000-000072350000}"/>
    <cellStyle name="Note 3 2 3 10 2 11" xfId="43242" xr:uid="{00000000-0005-0000-0000-000073350000}"/>
    <cellStyle name="Note 3 2 3 10 2 12" xfId="46999" xr:uid="{00000000-0005-0000-0000-000074350000}"/>
    <cellStyle name="Note 3 2 3 10 2 2" xfId="8040" xr:uid="{00000000-0005-0000-0000-000075350000}"/>
    <cellStyle name="Note 3 2 3 10 2 3" xfId="12480" xr:uid="{00000000-0005-0000-0000-000076350000}"/>
    <cellStyle name="Note 3 2 3 10 2 4" xfId="16325" xr:uid="{00000000-0005-0000-0000-000077350000}"/>
    <cellStyle name="Note 3 2 3 10 2 5" xfId="20175" xr:uid="{00000000-0005-0000-0000-000078350000}"/>
    <cellStyle name="Note 3 2 3 10 2 6" xfId="24087" xr:uid="{00000000-0005-0000-0000-000079350000}"/>
    <cellStyle name="Note 3 2 3 10 2 7" xfId="27925" xr:uid="{00000000-0005-0000-0000-00007A350000}"/>
    <cellStyle name="Note 3 2 3 10 2 8" xfId="31784" xr:uid="{00000000-0005-0000-0000-00007B350000}"/>
    <cellStyle name="Note 3 2 3 10 2 9" xfId="35437" xr:uid="{00000000-0005-0000-0000-00007C350000}"/>
    <cellStyle name="Note 3 2 3 10 3" xfId="6112" xr:uid="{00000000-0005-0000-0000-00007D350000}"/>
    <cellStyle name="Note 3 2 3 10 4" xfId="10515" xr:uid="{00000000-0005-0000-0000-00007E350000}"/>
    <cellStyle name="Note 3 2 3 10 5" xfId="14361" xr:uid="{00000000-0005-0000-0000-00007F350000}"/>
    <cellStyle name="Note 3 2 3 10 6" xfId="18192" xr:uid="{00000000-0005-0000-0000-000080350000}"/>
    <cellStyle name="Note 3 2 3 10 7" xfId="22131" xr:uid="{00000000-0005-0000-0000-000081350000}"/>
    <cellStyle name="Note 3 2 3 10 8" xfId="25943" xr:uid="{00000000-0005-0000-0000-000082350000}"/>
    <cellStyle name="Note 3 2 3 10 9" xfId="29823" xr:uid="{00000000-0005-0000-0000-000083350000}"/>
    <cellStyle name="Note 3 2 3 11" xfId="2256" xr:uid="{00000000-0005-0000-0000-000084350000}"/>
    <cellStyle name="Note 3 2 3 11 10" xfId="33557" xr:uid="{00000000-0005-0000-0000-000085350000}"/>
    <cellStyle name="Note 3 2 3 11 11" xfId="37308" xr:uid="{00000000-0005-0000-0000-000086350000}"/>
    <cellStyle name="Note 3 2 3 11 12" xfId="41324" xr:uid="{00000000-0005-0000-0000-000087350000}"/>
    <cellStyle name="Note 3 2 3 11 13" xfId="45119" xr:uid="{00000000-0005-0000-0000-000088350000}"/>
    <cellStyle name="Note 3 2 3 11 2" xfId="4239" xr:uid="{00000000-0005-0000-0000-000089350000}"/>
    <cellStyle name="Note 3 2 3 11 2 10" xfId="39290" xr:uid="{00000000-0005-0000-0000-00008A350000}"/>
    <cellStyle name="Note 3 2 3 11 2 11" xfId="43300" xr:uid="{00000000-0005-0000-0000-00008B350000}"/>
    <cellStyle name="Note 3 2 3 11 2 12" xfId="47057" xr:uid="{00000000-0005-0000-0000-00008C350000}"/>
    <cellStyle name="Note 3 2 3 11 2 2" xfId="8098" xr:uid="{00000000-0005-0000-0000-00008D350000}"/>
    <cellStyle name="Note 3 2 3 11 2 3" xfId="12538" xr:uid="{00000000-0005-0000-0000-00008E350000}"/>
    <cellStyle name="Note 3 2 3 11 2 4" xfId="16383" xr:uid="{00000000-0005-0000-0000-00008F350000}"/>
    <cellStyle name="Note 3 2 3 11 2 5" xfId="20233" xr:uid="{00000000-0005-0000-0000-000090350000}"/>
    <cellStyle name="Note 3 2 3 11 2 6" xfId="24145" xr:uid="{00000000-0005-0000-0000-000091350000}"/>
    <cellStyle name="Note 3 2 3 11 2 7" xfId="27983" xr:uid="{00000000-0005-0000-0000-000092350000}"/>
    <cellStyle name="Note 3 2 3 11 2 8" xfId="31842" xr:uid="{00000000-0005-0000-0000-000093350000}"/>
    <cellStyle name="Note 3 2 3 11 2 9" xfId="35495" xr:uid="{00000000-0005-0000-0000-000094350000}"/>
    <cellStyle name="Note 3 2 3 11 3" xfId="6170" xr:uid="{00000000-0005-0000-0000-000095350000}"/>
    <cellStyle name="Note 3 2 3 11 4" xfId="10573" xr:uid="{00000000-0005-0000-0000-000096350000}"/>
    <cellStyle name="Note 3 2 3 11 5" xfId="14419" xr:uid="{00000000-0005-0000-0000-000097350000}"/>
    <cellStyle name="Note 3 2 3 11 6" xfId="18250" xr:uid="{00000000-0005-0000-0000-000098350000}"/>
    <cellStyle name="Note 3 2 3 11 7" xfId="22189" xr:uid="{00000000-0005-0000-0000-000099350000}"/>
    <cellStyle name="Note 3 2 3 11 8" xfId="26001" xr:uid="{00000000-0005-0000-0000-00009A350000}"/>
    <cellStyle name="Note 3 2 3 11 9" xfId="29881" xr:uid="{00000000-0005-0000-0000-00009B350000}"/>
    <cellStyle name="Note 3 2 3 12" xfId="2311" xr:uid="{00000000-0005-0000-0000-00009C350000}"/>
    <cellStyle name="Note 3 2 3 12 10" xfId="33612" xr:uid="{00000000-0005-0000-0000-00009D350000}"/>
    <cellStyle name="Note 3 2 3 12 11" xfId="37363" xr:uid="{00000000-0005-0000-0000-00009E350000}"/>
    <cellStyle name="Note 3 2 3 12 12" xfId="41379" xr:uid="{00000000-0005-0000-0000-00009F350000}"/>
    <cellStyle name="Note 3 2 3 12 13" xfId="45174" xr:uid="{00000000-0005-0000-0000-0000A0350000}"/>
    <cellStyle name="Note 3 2 3 12 2" xfId="4294" xr:uid="{00000000-0005-0000-0000-0000A1350000}"/>
    <cellStyle name="Note 3 2 3 12 2 10" xfId="39345" xr:uid="{00000000-0005-0000-0000-0000A2350000}"/>
    <cellStyle name="Note 3 2 3 12 2 11" xfId="43355" xr:uid="{00000000-0005-0000-0000-0000A3350000}"/>
    <cellStyle name="Note 3 2 3 12 2 12" xfId="47112" xr:uid="{00000000-0005-0000-0000-0000A4350000}"/>
    <cellStyle name="Note 3 2 3 12 2 2" xfId="8153" xr:uid="{00000000-0005-0000-0000-0000A5350000}"/>
    <cellStyle name="Note 3 2 3 12 2 3" xfId="12593" xr:uid="{00000000-0005-0000-0000-0000A6350000}"/>
    <cellStyle name="Note 3 2 3 12 2 4" xfId="16438" xr:uid="{00000000-0005-0000-0000-0000A7350000}"/>
    <cellStyle name="Note 3 2 3 12 2 5" xfId="20288" xr:uid="{00000000-0005-0000-0000-0000A8350000}"/>
    <cellStyle name="Note 3 2 3 12 2 6" xfId="24200" xr:uid="{00000000-0005-0000-0000-0000A9350000}"/>
    <cellStyle name="Note 3 2 3 12 2 7" xfId="28038" xr:uid="{00000000-0005-0000-0000-0000AA350000}"/>
    <cellStyle name="Note 3 2 3 12 2 8" xfId="31897" xr:uid="{00000000-0005-0000-0000-0000AB350000}"/>
    <cellStyle name="Note 3 2 3 12 2 9" xfId="35550" xr:uid="{00000000-0005-0000-0000-0000AC350000}"/>
    <cellStyle name="Note 3 2 3 12 3" xfId="6225" xr:uid="{00000000-0005-0000-0000-0000AD350000}"/>
    <cellStyle name="Note 3 2 3 12 4" xfId="10628" xr:uid="{00000000-0005-0000-0000-0000AE350000}"/>
    <cellStyle name="Note 3 2 3 12 5" xfId="14474" xr:uid="{00000000-0005-0000-0000-0000AF350000}"/>
    <cellStyle name="Note 3 2 3 12 6" xfId="18305" xr:uid="{00000000-0005-0000-0000-0000B0350000}"/>
    <cellStyle name="Note 3 2 3 12 7" xfId="22244" xr:uid="{00000000-0005-0000-0000-0000B1350000}"/>
    <cellStyle name="Note 3 2 3 12 8" xfId="26056" xr:uid="{00000000-0005-0000-0000-0000B2350000}"/>
    <cellStyle name="Note 3 2 3 12 9" xfId="29936" xr:uid="{00000000-0005-0000-0000-0000B3350000}"/>
    <cellStyle name="Note 3 2 3 13" xfId="2378" xr:uid="{00000000-0005-0000-0000-0000B4350000}"/>
    <cellStyle name="Note 3 2 3 13 10" xfId="33676" xr:uid="{00000000-0005-0000-0000-0000B5350000}"/>
    <cellStyle name="Note 3 2 3 13 11" xfId="37430" xr:uid="{00000000-0005-0000-0000-0000B6350000}"/>
    <cellStyle name="Note 3 2 3 13 12" xfId="41445" xr:uid="{00000000-0005-0000-0000-0000B7350000}"/>
    <cellStyle name="Note 3 2 3 13 13" xfId="45238" xr:uid="{00000000-0005-0000-0000-0000B8350000}"/>
    <cellStyle name="Note 3 2 3 13 2" xfId="4361" xr:uid="{00000000-0005-0000-0000-0000B9350000}"/>
    <cellStyle name="Note 3 2 3 13 2 10" xfId="39412" xr:uid="{00000000-0005-0000-0000-0000BA350000}"/>
    <cellStyle name="Note 3 2 3 13 2 11" xfId="43421" xr:uid="{00000000-0005-0000-0000-0000BB350000}"/>
    <cellStyle name="Note 3 2 3 13 2 12" xfId="47176" xr:uid="{00000000-0005-0000-0000-0000BC350000}"/>
    <cellStyle name="Note 3 2 3 13 2 2" xfId="8218" xr:uid="{00000000-0005-0000-0000-0000BD350000}"/>
    <cellStyle name="Note 3 2 3 13 2 3" xfId="12659" xr:uid="{00000000-0005-0000-0000-0000BE350000}"/>
    <cellStyle name="Note 3 2 3 13 2 4" xfId="16504" xr:uid="{00000000-0005-0000-0000-0000BF350000}"/>
    <cellStyle name="Note 3 2 3 13 2 5" xfId="20355" xr:uid="{00000000-0005-0000-0000-0000C0350000}"/>
    <cellStyle name="Note 3 2 3 13 2 6" xfId="24266" xr:uid="{00000000-0005-0000-0000-0000C1350000}"/>
    <cellStyle name="Note 3 2 3 13 2 7" xfId="28105" xr:uid="{00000000-0005-0000-0000-0000C2350000}"/>
    <cellStyle name="Note 3 2 3 13 2 8" xfId="31963" xr:uid="{00000000-0005-0000-0000-0000C3350000}"/>
    <cellStyle name="Note 3 2 3 13 2 9" xfId="35614" xr:uid="{00000000-0005-0000-0000-0000C4350000}"/>
    <cellStyle name="Note 3 2 3 13 3" xfId="6274" xr:uid="{00000000-0005-0000-0000-0000C5350000}"/>
    <cellStyle name="Note 3 2 3 13 4" xfId="10694" xr:uid="{00000000-0005-0000-0000-0000C6350000}"/>
    <cellStyle name="Note 3 2 3 13 5" xfId="14540" xr:uid="{00000000-0005-0000-0000-0000C7350000}"/>
    <cellStyle name="Note 3 2 3 13 6" xfId="18372" xr:uid="{00000000-0005-0000-0000-0000C8350000}"/>
    <cellStyle name="Note 3 2 3 13 7" xfId="22310" xr:uid="{00000000-0005-0000-0000-0000C9350000}"/>
    <cellStyle name="Note 3 2 3 13 8" xfId="26123" xr:uid="{00000000-0005-0000-0000-0000CA350000}"/>
    <cellStyle name="Note 3 2 3 13 9" xfId="30003" xr:uid="{00000000-0005-0000-0000-0000CB350000}"/>
    <cellStyle name="Note 3 2 3 14" xfId="2428" xr:uid="{00000000-0005-0000-0000-0000CC350000}"/>
    <cellStyle name="Note 3 2 3 14 10" xfId="33726" xr:uid="{00000000-0005-0000-0000-0000CD350000}"/>
    <cellStyle name="Note 3 2 3 14 11" xfId="37480" xr:uid="{00000000-0005-0000-0000-0000CE350000}"/>
    <cellStyle name="Note 3 2 3 14 12" xfId="41495" xr:uid="{00000000-0005-0000-0000-0000CF350000}"/>
    <cellStyle name="Note 3 2 3 14 13" xfId="45288" xr:uid="{00000000-0005-0000-0000-0000D0350000}"/>
    <cellStyle name="Note 3 2 3 14 2" xfId="4411" xr:uid="{00000000-0005-0000-0000-0000D1350000}"/>
    <cellStyle name="Note 3 2 3 14 2 10" xfId="39462" xr:uid="{00000000-0005-0000-0000-0000D2350000}"/>
    <cellStyle name="Note 3 2 3 14 2 11" xfId="43471" xr:uid="{00000000-0005-0000-0000-0000D3350000}"/>
    <cellStyle name="Note 3 2 3 14 2 12" xfId="47226" xr:uid="{00000000-0005-0000-0000-0000D4350000}"/>
    <cellStyle name="Note 3 2 3 14 2 2" xfId="8268" xr:uid="{00000000-0005-0000-0000-0000D5350000}"/>
    <cellStyle name="Note 3 2 3 14 2 3" xfId="12709" xr:uid="{00000000-0005-0000-0000-0000D6350000}"/>
    <cellStyle name="Note 3 2 3 14 2 4" xfId="16554" xr:uid="{00000000-0005-0000-0000-0000D7350000}"/>
    <cellStyle name="Note 3 2 3 14 2 5" xfId="20405" xr:uid="{00000000-0005-0000-0000-0000D8350000}"/>
    <cellStyle name="Note 3 2 3 14 2 6" xfId="24316" xr:uid="{00000000-0005-0000-0000-0000D9350000}"/>
    <cellStyle name="Note 3 2 3 14 2 7" xfId="28155" xr:uid="{00000000-0005-0000-0000-0000DA350000}"/>
    <cellStyle name="Note 3 2 3 14 2 8" xfId="32013" xr:uid="{00000000-0005-0000-0000-0000DB350000}"/>
    <cellStyle name="Note 3 2 3 14 2 9" xfId="35664" xr:uid="{00000000-0005-0000-0000-0000DC350000}"/>
    <cellStyle name="Note 3 2 3 14 3" xfId="6324" xr:uid="{00000000-0005-0000-0000-0000DD350000}"/>
    <cellStyle name="Note 3 2 3 14 4" xfId="10744" xr:uid="{00000000-0005-0000-0000-0000DE350000}"/>
    <cellStyle name="Note 3 2 3 14 5" xfId="14590" xr:uid="{00000000-0005-0000-0000-0000DF350000}"/>
    <cellStyle name="Note 3 2 3 14 6" xfId="18422" xr:uid="{00000000-0005-0000-0000-0000E0350000}"/>
    <cellStyle name="Note 3 2 3 14 7" xfId="22360" xr:uid="{00000000-0005-0000-0000-0000E1350000}"/>
    <cellStyle name="Note 3 2 3 14 8" xfId="26173" xr:uid="{00000000-0005-0000-0000-0000E2350000}"/>
    <cellStyle name="Note 3 2 3 14 9" xfId="30052" xr:uid="{00000000-0005-0000-0000-0000E3350000}"/>
    <cellStyle name="Note 3 2 3 15" xfId="2482" xr:uid="{00000000-0005-0000-0000-0000E4350000}"/>
    <cellStyle name="Note 3 2 3 15 10" xfId="33777" xr:uid="{00000000-0005-0000-0000-0000E5350000}"/>
    <cellStyle name="Note 3 2 3 15 11" xfId="37534" xr:uid="{00000000-0005-0000-0000-0000E6350000}"/>
    <cellStyle name="Note 3 2 3 15 12" xfId="41548" xr:uid="{00000000-0005-0000-0000-0000E7350000}"/>
    <cellStyle name="Note 3 2 3 15 13" xfId="45339" xr:uid="{00000000-0005-0000-0000-0000E8350000}"/>
    <cellStyle name="Note 3 2 3 15 2" xfId="4464" xr:uid="{00000000-0005-0000-0000-0000E9350000}"/>
    <cellStyle name="Note 3 2 3 15 2 10" xfId="39515" xr:uid="{00000000-0005-0000-0000-0000EA350000}"/>
    <cellStyle name="Note 3 2 3 15 2 11" xfId="43524" xr:uid="{00000000-0005-0000-0000-0000EB350000}"/>
    <cellStyle name="Note 3 2 3 15 2 12" xfId="47277" xr:uid="{00000000-0005-0000-0000-0000EC350000}"/>
    <cellStyle name="Note 3 2 3 15 2 2" xfId="8319" xr:uid="{00000000-0005-0000-0000-0000ED350000}"/>
    <cellStyle name="Note 3 2 3 15 2 3" xfId="12762" xr:uid="{00000000-0005-0000-0000-0000EE350000}"/>
    <cellStyle name="Note 3 2 3 15 2 4" xfId="16605" xr:uid="{00000000-0005-0000-0000-0000EF350000}"/>
    <cellStyle name="Note 3 2 3 15 2 5" xfId="20458" xr:uid="{00000000-0005-0000-0000-0000F0350000}"/>
    <cellStyle name="Note 3 2 3 15 2 6" xfId="24368" xr:uid="{00000000-0005-0000-0000-0000F1350000}"/>
    <cellStyle name="Note 3 2 3 15 2 7" xfId="28208" xr:uid="{00000000-0005-0000-0000-0000F2350000}"/>
    <cellStyle name="Note 3 2 3 15 2 8" xfId="32066" xr:uid="{00000000-0005-0000-0000-0000F3350000}"/>
    <cellStyle name="Note 3 2 3 15 2 9" xfId="35715" xr:uid="{00000000-0005-0000-0000-0000F4350000}"/>
    <cellStyle name="Note 3 2 3 15 3" xfId="6376" xr:uid="{00000000-0005-0000-0000-0000F5350000}"/>
    <cellStyle name="Note 3 2 3 15 4" xfId="10797" xr:uid="{00000000-0005-0000-0000-0000F6350000}"/>
    <cellStyle name="Note 3 2 3 15 5" xfId="14643" xr:uid="{00000000-0005-0000-0000-0000F7350000}"/>
    <cellStyle name="Note 3 2 3 15 6" xfId="18476" xr:uid="{00000000-0005-0000-0000-0000F8350000}"/>
    <cellStyle name="Note 3 2 3 15 7" xfId="22413" xr:uid="{00000000-0005-0000-0000-0000F9350000}"/>
    <cellStyle name="Note 3 2 3 15 8" xfId="26227" xr:uid="{00000000-0005-0000-0000-0000FA350000}"/>
    <cellStyle name="Note 3 2 3 15 9" xfId="30106" xr:uid="{00000000-0005-0000-0000-0000FB350000}"/>
    <cellStyle name="Note 3 2 3 16" xfId="2553" xr:uid="{00000000-0005-0000-0000-0000FC350000}"/>
    <cellStyle name="Note 3 2 3 16 10" xfId="37605" xr:uid="{00000000-0005-0000-0000-0000FD350000}"/>
    <cellStyle name="Note 3 2 3 16 11" xfId="41619" xr:uid="{00000000-0005-0000-0000-0000FE350000}"/>
    <cellStyle name="Note 3 2 3 16 12" xfId="45408" xr:uid="{00000000-0005-0000-0000-0000FF350000}"/>
    <cellStyle name="Note 3 2 3 16 2" xfId="6445" xr:uid="{00000000-0005-0000-0000-000000360000}"/>
    <cellStyle name="Note 3 2 3 16 3" xfId="10868" xr:uid="{00000000-0005-0000-0000-000001360000}"/>
    <cellStyle name="Note 3 2 3 16 4" xfId="14712" xr:uid="{00000000-0005-0000-0000-000002360000}"/>
    <cellStyle name="Note 3 2 3 16 5" xfId="18547" xr:uid="{00000000-0005-0000-0000-000003360000}"/>
    <cellStyle name="Note 3 2 3 16 6" xfId="22482" xr:uid="{00000000-0005-0000-0000-000004360000}"/>
    <cellStyle name="Note 3 2 3 16 7" xfId="26298" xr:uid="{00000000-0005-0000-0000-000005360000}"/>
    <cellStyle name="Note 3 2 3 16 8" xfId="30177" xr:uid="{00000000-0005-0000-0000-000006360000}"/>
    <cellStyle name="Note 3 2 3 16 9" xfId="33846" xr:uid="{00000000-0005-0000-0000-000007360000}"/>
    <cellStyle name="Note 3 2 3 17" xfId="4521" xr:uid="{00000000-0005-0000-0000-000008360000}"/>
    <cellStyle name="Note 3 2 3 18" xfId="8346" xr:uid="{00000000-0005-0000-0000-000009360000}"/>
    <cellStyle name="Note 3 2 3 19" xfId="8736" xr:uid="{00000000-0005-0000-0000-00000A360000}"/>
    <cellStyle name="Note 3 2 3 2" xfId="682" xr:uid="{00000000-0005-0000-0000-00000B360000}"/>
    <cellStyle name="Note 3 2 3 2 10" xfId="24416" xr:uid="{00000000-0005-0000-0000-00000C360000}"/>
    <cellStyle name="Note 3 2 3 2 11" xfId="28309" xr:uid="{00000000-0005-0000-0000-00000D360000}"/>
    <cellStyle name="Note 3 2 3 2 12" xfId="28433" xr:uid="{00000000-0005-0000-0000-00000E360000}"/>
    <cellStyle name="Note 3 2 3 2 13" xfId="35753" xr:uid="{00000000-0005-0000-0000-00000F360000}"/>
    <cellStyle name="Note 3 2 3 2 14" xfId="39776" xr:uid="{00000000-0005-0000-0000-000010360000}"/>
    <cellStyle name="Note 3 2 3 2 15" xfId="43579" xr:uid="{00000000-0005-0000-0000-000011360000}"/>
    <cellStyle name="Note 3 2 3 2 2" xfId="1062" xr:uid="{00000000-0005-0000-0000-000012360000}"/>
    <cellStyle name="Note 3 2 3 2 2 10" xfId="28673" xr:uid="{00000000-0005-0000-0000-000013360000}"/>
    <cellStyle name="Note 3 2 3 2 2 11" xfId="32359" xr:uid="{00000000-0005-0000-0000-000014360000}"/>
    <cellStyle name="Note 3 2 3 2 2 12" xfId="36120" xr:uid="{00000000-0005-0000-0000-000015360000}"/>
    <cellStyle name="Note 3 2 3 2 2 13" xfId="40123" xr:uid="{00000000-0005-0000-0000-000016360000}"/>
    <cellStyle name="Note 3 2 3 2 2 14" xfId="43946" xr:uid="{00000000-0005-0000-0000-000017360000}"/>
    <cellStyle name="Note 3 2 3 2 2 2" xfId="1789" xr:uid="{00000000-0005-0000-0000-000018360000}"/>
    <cellStyle name="Note 3 2 3 2 2 2 10" xfId="33076" xr:uid="{00000000-0005-0000-0000-000019360000}"/>
    <cellStyle name="Note 3 2 3 2 2 2 11" xfId="36846" xr:uid="{00000000-0005-0000-0000-00001A360000}"/>
    <cellStyle name="Note 3 2 3 2 2 2 12" xfId="40837" xr:uid="{00000000-0005-0000-0000-00001B360000}"/>
    <cellStyle name="Note 3 2 3 2 2 2 13" xfId="44668" xr:uid="{00000000-0005-0000-0000-00001C360000}"/>
    <cellStyle name="Note 3 2 3 2 2 2 2" xfId="3779" xr:uid="{00000000-0005-0000-0000-00001D360000}"/>
    <cellStyle name="Note 3 2 3 2 2 2 2 10" xfId="38830" xr:uid="{00000000-0005-0000-0000-00001E360000}"/>
    <cellStyle name="Note 3 2 3 2 2 2 2 11" xfId="42841" xr:uid="{00000000-0005-0000-0000-00001F360000}"/>
    <cellStyle name="Note 3 2 3 2 2 2 2 12" xfId="46606" xr:uid="{00000000-0005-0000-0000-000020360000}"/>
    <cellStyle name="Note 3 2 3 2 2 2 2 2" xfId="7646" xr:uid="{00000000-0005-0000-0000-000021360000}"/>
    <cellStyle name="Note 3 2 3 2 2 2 2 3" xfId="12081" xr:uid="{00000000-0005-0000-0000-000022360000}"/>
    <cellStyle name="Note 3 2 3 2 2 2 2 4" xfId="15926" xr:uid="{00000000-0005-0000-0000-000023360000}"/>
    <cellStyle name="Note 3 2 3 2 2 2 2 5" xfId="19773" xr:uid="{00000000-0005-0000-0000-000024360000}"/>
    <cellStyle name="Note 3 2 3 2 2 2 2 6" xfId="23689" xr:uid="{00000000-0005-0000-0000-000025360000}"/>
    <cellStyle name="Note 3 2 3 2 2 2 2 7" xfId="27523" xr:uid="{00000000-0005-0000-0000-000026360000}"/>
    <cellStyle name="Note 3 2 3 2 2 2 2 8" xfId="31387" xr:uid="{00000000-0005-0000-0000-000027360000}"/>
    <cellStyle name="Note 3 2 3 2 2 2 2 9" xfId="35044" xr:uid="{00000000-0005-0000-0000-000028360000}"/>
    <cellStyle name="Note 3 2 3 2 2 2 3" xfId="5722" xr:uid="{00000000-0005-0000-0000-000029360000}"/>
    <cellStyle name="Note 3 2 3 2 2 2 4" xfId="10080" xr:uid="{00000000-0005-0000-0000-00002A360000}"/>
    <cellStyle name="Note 3 2 3 2 2 2 5" xfId="13926" xr:uid="{00000000-0005-0000-0000-00002B360000}"/>
    <cellStyle name="Note 3 2 3 2 2 2 6" xfId="17755" xr:uid="{00000000-0005-0000-0000-00002C360000}"/>
    <cellStyle name="Note 3 2 3 2 2 2 7" xfId="21694" xr:uid="{00000000-0005-0000-0000-00002D360000}"/>
    <cellStyle name="Note 3 2 3 2 2 2 8" xfId="25507" xr:uid="{00000000-0005-0000-0000-00002E360000}"/>
    <cellStyle name="Note 3 2 3 2 2 2 9" xfId="29394" xr:uid="{00000000-0005-0000-0000-00002F360000}"/>
    <cellStyle name="Note 3 2 3 2 2 3" xfId="3052" xr:uid="{00000000-0005-0000-0000-000030360000}"/>
    <cellStyle name="Note 3 2 3 2 2 3 10" xfId="38104" xr:uid="{00000000-0005-0000-0000-000031360000}"/>
    <cellStyle name="Note 3 2 3 2 2 3 11" xfId="42116" xr:uid="{00000000-0005-0000-0000-000032360000}"/>
    <cellStyle name="Note 3 2 3 2 2 3 12" xfId="45889" xr:uid="{00000000-0005-0000-0000-000033360000}"/>
    <cellStyle name="Note 3 2 3 2 2 3 2" xfId="6928" xr:uid="{00000000-0005-0000-0000-000034360000}"/>
    <cellStyle name="Note 3 2 3 2 2 3 3" xfId="11357" xr:uid="{00000000-0005-0000-0000-000035360000}"/>
    <cellStyle name="Note 3 2 3 2 2 3 4" xfId="15201" xr:uid="{00000000-0005-0000-0000-000036360000}"/>
    <cellStyle name="Note 3 2 3 2 2 3 5" xfId="19046" xr:uid="{00000000-0005-0000-0000-000037360000}"/>
    <cellStyle name="Note 3 2 3 2 2 3 6" xfId="22968" xr:uid="{00000000-0005-0000-0000-000038360000}"/>
    <cellStyle name="Note 3 2 3 2 2 3 7" xfId="26797" xr:uid="{00000000-0005-0000-0000-000039360000}"/>
    <cellStyle name="Note 3 2 3 2 2 3 8" xfId="30671" xr:uid="{00000000-0005-0000-0000-00003A360000}"/>
    <cellStyle name="Note 3 2 3 2 2 3 9" xfId="34327" xr:uid="{00000000-0005-0000-0000-00003B360000}"/>
    <cellStyle name="Note 3 2 3 2 2 4" xfId="5004" xr:uid="{00000000-0005-0000-0000-00003C360000}"/>
    <cellStyle name="Note 3 2 3 2 2 5" xfId="9360" xr:uid="{00000000-0005-0000-0000-00003D360000}"/>
    <cellStyle name="Note 3 2 3 2 2 6" xfId="13200" xr:uid="{00000000-0005-0000-0000-00003E360000}"/>
    <cellStyle name="Note 3 2 3 2 2 7" xfId="17028" xr:uid="{00000000-0005-0000-0000-00003F360000}"/>
    <cellStyle name="Note 3 2 3 2 2 8" xfId="20970" xr:uid="{00000000-0005-0000-0000-000040360000}"/>
    <cellStyle name="Note 3 2 3 2 2 9" xfId="24784" xr:uid="{00000000-0005-0000-0000-000041360000}"/>
    <cellStyle name="Note 3 2 3 2 3" xfId="1436" xr:uid="{00000000-0005-0000-0000-000042360000}"/>
    <cellStyle name="Note 3 2 3 2 3 10" xfId="32723" xr:uid="{00000000-0005-0000-0000-000043360000}"/>
    <cellStyle name="Note 3 2 3 2 3 11" xfId="36493" xr:uid="{00000000-0005-0000-0000-000044360000}"/>
    <cellStyle name="Note 3 2 3 2 3 12" xfId="40484" xr:uid="{00000000-0005-0000-0000-000045360000}"/>
    <cellStyle name="Note 3 2 3 2 3 13" xfId="44315" xr:uid="{00000000-0005-0000-0000-000046360000}"/>
    <cellStyle name="Note 3 2 3 2 3 2" xfId="3426" xr:uid="{00000000-0005-0000-0000-000047360000}"/>
    <cellStyle name="Note 3 2 3 2 3 2 10" xfId="38477" xr:uid="{00000000-0005-0000-0000-000048360000}"/>
    <cellStyle name="Note 3 2 3 2 3 2 11" xfId="42488" xr:uid="{00000000-0005-0000-0000-000049360000}"/>
    <cellStyle name="Note 3 2 3 2 3 2 12" xfId="46253" xr:uid="{00000000-0005-0000-0000-00004A360000}"/>
    <cellStyle name="Note 3 2 3 2 3 2 2" xfId="7293" xr:uid="{00000000-0005-0000-0000-00004B360000}"/>
    <cellStyle name="Note 3 2 3 2 3 2 3" xfId="11728" xr:uid="{00000000-0005-0000-0000-00004C360000}"/>
    <cellStyle name="Note 3 2 3 2 3 2 4" xfId="15573" xr:uid="{00000000-0005-0000-0000-00004D360000}"/>
    <cellStyle name="Note 3 2 3 2 3 2 5" xfId="19420" xr:uid="{00000000-0005-0000-0000-00004E360000}"/>
    <cellStyle name="Note 3 2 3 2 3 2 6" xfId="23336" xr:uid="{00000000-0005-0000-0000-00004F360000}"/>
    <cellStyle name="Note 3 2 3 2 3 2 7" xfId="27170" xr:uid="{00000000-0005-0000-0000-000050360000}"/>
    <cellStyle name="Note 3 2 3 2 3 2 8" xfId="31038" xr:uid="{00000000-0005-0000-0000-000051360000}"/>
    <cellStyle name="Note 3 2 3 2 3 2 9" xfId="34691" xr:uid="{00000000-0005-0000-0000-000052360000}"/>
    <cellStyle name="Note 3 2 3 2 3 3" xfId="5369" xr:uid="{00000000-0005-0000-0000-000053360000}"/>
    <cellStyle name="Note 3 2 3 2 3 4" xfId="9727" xr:uid="{00000000-0005-0000-0000-000054360000}"/>
    <cellStyle name="Note 3 2 3 2 3 5" xfId="13573" xr:uid="{00000000-0005-0000-0000-000055360000}"/>
    <cellStyle name="Note 3 2 3 2 3 6" xfId="17402" xr:uid="{00000000-0005-0000-0000-000056360000}"/>
    <cellStyle name="Note 3 2 3 2 3 7" xfId="21341" xr:uid="{00000000-0005-0000-0000-000057360000}"/>
    <cellStyle name="Note 3 2 3 2 3 8" xfId="25154" xr:uid="{00000000-0005-0000-0000-000058360000}"/>
    <cellStyle name="Note 3 2 3 2 3 9" xfId="29041" xr:uid="{00000000-0005-0000-0000-000059360000}"/>
    <cellStyle name="Note 3 2 3 2 4" xfId="2685" xr:uid="{00000000-0005-0000-0000-00005A360000}"/>
    <cellStyle name="Note 3 2 3 2 4 10" xfId="37737" xr:uid="{00000000-0005-0000-0000-00005B360000}"/>
    <cellStyle name="Note 3 2 3 2 4 11" xfId="41751" xr:uid="{00000000-0005-0000-0000-00005C360000}"/>
    <cellStyle name="Note 3 2 3 2 4 12" xfId="45536" xr:uid="{00000000-0005-0000-0000-00005D360000}"/>
    <cellStyle name="Note 3 2 3 2 4 2" xfId="6573" xr:uid="{00000000-0005-0000-0000-00005E360000}"/>
    <cellStyle name="Note 3 2 3 2 4 3" xfId="10997" xr:uid="{00000000-0005-0000-0000-00005F360000}"/>
    <cellStyle name="Note 3 2 3 2 4 4" xfId="14841" xr:uid="{00000000-0005-0000-0000-000060360000}"/>
    <cellStyle name="Note 3 2 3 2 4 5" xfId="18679" xr:uid="{00000000-0005-0000-0000-000061360000}"/>
    <cellStyle name="Note 3 2 3 2 4 6" xfId="22610" xr:uid="{00000000-0005-0000-0000-000062360000}"/>
    <cellStyle name="Note 3 2 3 2 4 7" xfId="26430" xr:uid="{00000000-0005-0000-0000-000063360000}"/>
    <cellStyle name="Note 3 2 3 2 4 8" xfId="30309" xr:uid="{00000000-0005-0000-0000-000064360000}"/>
    <cellStyle name="Note 3 2 3 2 4 9" xfId="33974" xr:uid="{00000000-0005-0000-0000-000065360000}"/>
    <cellStyle name="Note 3 2 3 2 5" xfId="4649" xr:uid="{00000000-0005-0000-0000-000066360000}"/>
    <cellStyle name="Note 3 2 3 2 6" xfId="8991" xr:uid="{00000000-0005-0000-0000-000067360000}"/>
    <cellStyle name="Note 3 2 3 2 7" xfId="12828" xr:uid="{00000000-0005-0000-0000-000068360000}"/>
    <cellStyle name="Note 3 2 3 2 8" xfId="16658" xr:uid="{00000000-0005-0000-0000-000069360000}"/>
    <cellStyle name="Note 3 2 3 2 9" xfId="20595" xr:uid="{00000000-0005-0000-0000-00006A360000}"/>
    <cellStyle name="Note 3 2 3 20" xfId="8857" xr:uid="{00000000-0005-0000-0000-00006B360000}"/>
    <cellStyle name="Note 3 2 3 21" xfId="8597" xr:uid="{00000000-0005-0000-0000-00006C360000}"/>
    <cellStyle name="Note 3 2 3 22" xfId="12890" xr:uid="{00000000-0005-0000-0000-00006D360000}"/>
    <cellStyle name="Note 3 2 3 23" xfId="13290" xr:uid="{00000000-0005-0000-0000-00006E360000}"/>
    <cellStyle name="Note 3 2 3 24" xfId="8519" xr:uid="{00000000-0005-0000-0000-00006F360000}"/>
    <cellStyle name="Note 3 2 3 25" xfId="8572" xr:uid="{00000000-0005-0000-0000-000070360000}"/>
    <cellStyle name="Note 3 2 3 26" xfId="28277" xr:uid="{00000000-0005-0000-0000-000071360000}"/>
    <cellStyle name="Note 3 2 3 27" xfId="26109" xr:uid="{00000000-0005-0000-0000-000072360000}"/>
    <cellStyle name="Note 3 2 3 28" xfId="39645" xr:uid="{00000000-0005-0000-0000-000073360000}"/>
    <cellStyle name="Note 3 2 3 29" xfId="39803" xr:uid="{00000000-0005-0000-0000-000074360000}"/>
    <cellStyle name="Note 3 2 3 3" xfId="621" xr:uid="{00000000-0005-0000-0000-000075360000}"/>
    <cellStyle name="Note 3 2 3 3 10" xfId="21998" xr:uid="{00000000-0005-0000-0000-000076360000}"/>
    <cellStyle name="Note 3 2 3 3 11" xfId="28248" xr:uid="{00000000-0005-0000-0000-000077360000}"/>
    <cellStyle name="Note 3 2 3 3 12" xfId="30567" xr:uid="{00000000-0005-0000-0000-000078360000}"/>
    <cellStyle name="Note 3 2 3 3 13" xfId="14872" xr:uid="{00000000-0005-0000-0000-000079360000}"/>
    <cellStyle name="Note 3 2 3 3 14" xfId="39716" xr:uid="{00000000-0005-0000-0000-00007A360000}"/>
    <cellStyle name="Note 3 2 3 3 15" xfId="41146" xr:uid="{00000000-0005-0000-0000-00007B360000}"/>
    <cellStyle name="Note 3 2 3 3 2" xfId="1001" xr:uid="{00000000-0005-0000-0000-00007C360000}"/>
    <cellStyle name="Note 3 2 3 3 2 10" xfId="28612" xr:uid="{00000000-0005-0000-0000-00007D360000}"/>
    <cellStyle name="Note 3 2 3 3 2 11" xfId="32300" xr:uid="{00000000-0005-0000-0000-00007E360000}"/>
    <cellStyle name="Note 3 2 3 3 2 12" xfId="36059" xr:uid="{00000000-0005-0000-0000-00007F360000}"/>
    <cellStyle name="Note 3 2 3 3 2 13" xfId="40064" xr:uid="{00000000-0005-0000-0000-000080360000}"/>
    <cellStyle name="Note 3 2 3 3 2 14" xfId="43885" xr:uid="{00000000-0005-0000-0000-000081360000}"/>
    <cellStyle name="Note 3 2 3 3 2 2" xfId="1730" xr:uid="{00000000-0005-0000-0000-000082360000}"/>
    <cellStyle name="Note 3 2 3 3 2 2 10" xfId="33017" xr:uid="{00000000-0005-0000-0000-000083360000}"/>
    <cellStyle name="Note 3 2 3 3 2 2 11" xfId="36787" xr:uid="{00000000-0005-0000-0000-000084360000}"/>
    <cellStyle name="Note 3 2 3 3 2 2 12" xfId="40778" xr:uid="{00000000-0005-0000-0000-000085360000}"/>
    <cellStyle name="Note 3 2 3 3 2 2 13" xfId="44609" xr:uid="{00000000-0005-0000-0000-000086360000}"/>
    <cellStyle name="Note 3 2 3 3 2 2 2" xfId="3720" xr:uid="{00000000-0005-0000-0000-000087360000}"/>
    <cellStyle name="Note 3 2 3 3 2 2 2 10" xfId="38771" xr:uid="{00000000-0005-0000-0000-000088360000}"/>
    <cellStyle name="Note 3 2 3 3 2 2 2 11" xfId="42782" xr:uid="{00000000-0005-0000-0000-000089360000}"/>
    <cellStyle name="Note 3 2 3 3 2 2 2 12" xfId="46547" xr:uid="{00000000-0005-0000-0000-00008A360000}"/>
    <cellStyle name="Note 3 2 3 3 2 2 2 2" xfId="7587" xr:uid="{00000000-0005-0000-0000-00008B360000}"/>
    <cellStyle name="Note 3 2 3 3 2 2 2 3" xfId="12022" xr:uid="{00000000-0005-0000-0000-00008C360000}"/>
    <cellStyle name="Note 3 2 3 3 2 2 2 4" xfId="15867" xr:uid="{00000000-0005-0000-0000-00008D360000}"/>
    <cellStyle name="Note 3 2 3 3 2 2 2 5" xfId="19714" xr:uid="{00000000-0005-0000-0000-00008E360000}"/>
    <cellStyle name="Note 3 2 3 3 2 2 2 6" xfId="23630" xr:uid="{00000000-0005-0000-0000-00008F360000}"/>
    <cellStyle name="Note 3 2 3 3 2 2 2 7" xfId="27464" xr:uid="{00000000-0005-0000-0000-000090360000}"/>
    <cellStyle name="Note 3 2 3 3 2 2 2 8" xfId="31328" xr:uid="{00000000-0005-0000-0000-000091360000}"/>
    <cellStyle name="Note 3 2 3 3 2 2 2 9" xfId="34985" xr:uid="{00000000-0005-0000-0000-000092360000}"/>
    <cellStyle name="Note 3 2 3 3 2 2 3" xfId="5663" xr:uid="{00000000-0005-0000-0000-000093360000}"/>
    <cellStyle name="Note 3 2 3 3 2 2 4" xfId="10021" xr:uid="{00000000-0005-0000-0000-000094360000}"/>
    <cellStyle name="Note 3 2 3 3 2 2 5" xfId="13867" xr:uid="{00000000-0005-0000-0000-000095360000}"/>
    <cellStyle name="Note 3 2 3 3 2 2 6" xfId="17696" xr:uid="{00000000-0005-0000-0000-000096360000}"/>
    <cellStyle name="Note 3 2 3 3 2 2 7" xfId="21635" xr:uid="{00000000-0005-0000-0000-000097360000}"/>
    <cellStyle name="Note 3 2 3 3 2 2 8" xfId="25448" xr:uid="{00000000-0005-0000-0000-000098360000}"/>
    <cellStyle name="Note 3 2 3 3 2 2 9" xfId="29335" xr:uid="{00000000-0005-0000-0000-000099360000}"/>
    <cellStyle name="Note 3 2 3 3 2 3" xfId="2991" xr:uid="{00000000-0005-0000-0000-00009A360000}"/>
    <cellStyle name="Note 3 2 3 3 2 3 10" xfId="38043" xr:uid="{00000000-0005-0000-0000-00009B360000}"/>
    <cellStyle name="Note 3 2 3 3 2 3 11" xfId="42055" xr:uid="{00000000-0005-0000-0000-00009C360000}"/>
    <cellStyle name="Note 3 2 3 3 2 3 12" xfId="45830" xr:uid="{00000000-0005-0000-0000-00009D360000}"/>
    <cellStyle name="Note 3 2 3 3 2 3 2" xfId="6869" xr:uid="{00000000-0005-0000-0000-00009E360000}"/>
    <cellStyle name="Note 3 2 3 3 2 3 3" xfId="11297" xr:uid="{00000000-0005-0000-0000-00009F360000}"/>
    <cellStyle name="Note 3 2 3 3 2 3 4" xfId="15142" xr:uid="{00000000-0005-0000-0000-0000A0360000}"/>
    <cellStyle name="Note 3 2 3 3 2 3 5" xfId="18985" xr:uid="{00000000-0005-0000-0000-0000A1360000}"/>
    <cellStyle name="Note 3 2 3 3 2 3 6" xfId="22909" xr:uid="{00000000-0005-0000-0000-0000A2360000}"/>
    <cellStyle name="Note 3 2 3 3 2 3 7" xfId="26736" xr:uid="{00000000-0005-0000-0000-0000A3360000}"/>
    <cellStyle name="Note 3 2 3 3 2 3 8" xfId="30610" xr:uid="{00000000-0005-0000-0000-0000A4360000}"/>
    <cellStyle name="Note 3 2 3 3 2 3 9" xfId="34268" xr:uid="{00000000-0005-0000-0000-0000A5360000}"/>
    <cellStyle name="Note 3 2 3 3 2 4" xfId="4945" xr:uid="{00000000-0005-0000-0000-0000A6360000}"/>
    <cellStyle name="Note 3 2 3 3 2 5" xfId="9300" xr:uid="{00000000-0005-0000-0000-0000A7360000}"/>
    <cellStyle name="Note 3 2 3 3 2 6" xfId="13141" xr:uid="{00000000-0005-0000-0000-0000A8360000}"/>
    <cellStyle name="Note 3 2 3 3 2 7" xfId="16967" xr:uid="{00000000-0005-0000-0000-0000A9360000}"/>
    <cellStyle name="Note 3 2 3 3 2 8" xfId="20909" xr:uid="{00000000-0005-0000-0000-0000AA360000}"/>
    <cellStyle name="Note 3 2 3 3 2 9" xfId="24724" xr:uid="{00000000-0005-0000-0000-0000AB360000}"/>
    <cellStyle name="Note 3 2 3 3 3" xfId="1377" xr:uid="{00000000-0005-0000-0000-0000AC360000}"/>
    <cellStyle name="Note 3 2 3 3 3 10" xfId="32664" xr:uid="{00000000-0005-0000-0000-0000AD360000}"/>
    <cellStyle name="Note 3 2 3 3 3 11" xfId="36434" xr:uid="{00000000-0005-0000-0000-0000AE360000}"/>
    <cellStyle name="Note 3 2 3 3 3 12" xfId="40425" xr:uid="{00000000-0005-0000-0000-0000AF360000}"/>
    <cellStyle name="Note 3 2 3 3 3 13" xfId="44256" xr:uid="{00000000-0005-0000-0000-0000B0360000}"/>
    <cellStyle name="Note 3 2 3 3 3 2" xfId="3367" xr:uid="{00000000-0005-0000-0000-0000B1360000}"/>
    <cellStyle name="Note 3 2 3 3 3 2 10" xfId="38418" xr:uid="{00000000-0005-0000-0000-0000B2360000}"/>
    <cellStyle name="Note 3 2 3 3 3 2 11" xfId="42429" xr:uid="{00000000-0005-0000-0000-0000B3360000}"/>
    <cellStyle name="Note 3 2 3 3 3 2 12" xfId="46194" xr:uid="{00000000-0005-0000-0000-0000B4360000}"/>
    <cellStyle name="Note 3 2 3 3 3 2 2" xfId="7234" xr:uid="{00000000-0005-0000-0000-0000B5360000}"/>
    <cellStyle name="Note 3 2 3 3 3 2 3" xfId="11669" xr:uid="{00000000-0005-0000-0000-0000B6360000}"/>
    <cellStyle name="Note 3 2 3 3 3 2 4" xfId="15514" xr:uid="{00000000-0005-0000-0000-0000B7360000}"/>
    <cellStyle name="Note 3 2 3 3 3 2 5" xfId="19361" xr:uid="{00000000-0005-0000-0000-0000B8360000}"/>
    <cellStyle name="Note 3 2 3 3 3 2 6" xfId="23277" xr:uid="{00000000-0005-0000-0000-0000B9360000}"/>
    <cellStyle name="Note 3 2 3 3 3 2 7" xfId="27111" xr:uid="{00000000-0005-0000-0000-0000BA360000}"/>
    <cellStyle name="Note 3 2 3 3 3 2 8" xfId="30979" xr:uid="{00000000-0005-0000-0000-0000BB360000}"/>
    <cellStyle name="Note 3 2 3 3 3 2 9" xfId="34632" xr:uid="{00000000-0005-0000-0000-0000BC360000}"/>
    <cellStyle name="Note 3 2 3 3 3 3" xfId="5310" xr:uid="{00000000-0005-0000-0000-0000BD360000}"/>
    <cellStyle name="Note 3 2 3 3 3 4" xfId="9668" xr:uid="{00000000-0005-0000-0000-0000BE360000}"/>
    <cellStyle name="Note 3 2 3 3 3 5" xfId="13514" xr:uid="{00000000-0005-0000-0000-0000BF360000}"/>
    <cellStyle name="Note 3 2 3 3 3 6" xfId="17343" xr:uid="{00000000-0005-0000-0000-0000C0360000}"/>
    <cellStyle name="Note 3 2 3 3 3 7" xfId="21282" xr:uid="{00000000-0005-0000-0000-0000C1360000}"/>
    <cellStyle name="Note 3 2 3 3 3 8" xfId="25095" xr:uid="{00000000-0005-0000-0000-0000C2360000}"/>
    <cellStyle name="Note 3 2 3 3 3 9" xfId="28982" xr:uid="{00000000-0005-0000-0000-0000C3360000}"/>
    <cellStyle name="Note 3 2 3 3 4" xfId="2624" xr:uid="{00000000-0005-0000-0000-0000C4360000}"/>
    <cellStyle name="Note 3 2 3 3 4 10" xfId="37676" xr:uid="{00000000-0005-0000-0000-0000C5360000}"/>
    <cellStyle name="Note 3 2 3 3 4 11" xfId="41690" xr:uid="{00000000-0005-0000-0000-0000C6360000}"/>
    <cellStyle name="Note 3 2 3 3 4 12" xfId="45477" xr:uid="{00000000-0005-0000-0000-0000C7360000}"/>
    <cellStyle name="Note 3 2 3 3 4 2" xfId="6514" xr:uid="{00000000-0005-0000-0000-0000C8360000}"/>
    <cellStyle name="Note 3 2 3 3 4 3" xfId="10938" xr:uid="{00000000-0005-0000-0000-0000C9360000}"/>
    <cellStyle name="Note 3 2 3 3 4 4" xfId="14782" xr:uid="{00000000-0005-0000-0000-0000CA360000}"/>
    <cellStyle name="Note 3 2 3 3 4 5" xfId="18618" xr:uid="{00000000-0005-0000-0000-0000CB360000}"/>
    <cellStyle name="Note 3 2 3 3 4 6" xfId="22551" xr:uid="{00000000-0005-0000-0000-0000CC360000}"/>
    <cellStyle name="Note 3 2 3 3 4 7" xfId="26369" xr:uid="{00000000-0005-0000-0000-0000CD360000}"/>
    <cellStyle name="Note 3 2 3 3 4 8" xfId="30248" xr:uid="{00000000-0005-0000-0000-0000CE360000}"/>
    <cellStyle name="Note 3 2 3 3 4 9" xfId="33915" xr:uid="{00000000-0005-0000-0000-0000CF360000}"/>
    <cellStyle name="Note 3 2 3 3 5" xfId="4590" xr:uid="{00000000-0005-0000-0000-0000D0360000}"/>
    <cellStyle name="Note 3 2 3 3 6" xfId="8930" xr:uid="{00000000-0005-0000-0000-0000D1360000}"/>
    <cellStyle name="Note 3 2 3 3 7" xfId="8698" xr:uid="{00000000-0005-0000-0000-0000D2360000}"/>
    <cellStyle name="Note 3 2 3 3 8" xfId="8483" xr:uid="{00000000-0005-0000-0000-0000D3360000}"/>
    <cellStyle name="Note 3 2 3 3 9" xfId="20534" xr:uid="{00000000-0005-0000-0000-0000D4360000}"/>
    <cellStyle name="Note 3 2 3 30" xfId="47357" xr:uid="{00000000-0005-0000-0000-0000D5360000}"/>
    <cellStyle name="Note 3 2 3 31" xfId="47445" xr:uid="{00000000-0005-0000-0000-0000D6360000}"/>
    <cellStyle name="Note 3 2 3 32" xfId="47492" xr:uid="{00000000-0005-0000-0000-0000D7360000}"/>
    <cellStyle name="Note 3 2 3 4" xfId="721" xr:uid="{00000000-0005-0000-0000-0000D8360000}"/>
    <cellStyle name="Note 3 2 3 4 10" xfId="24454" xr:uid="{00000000-0005-0000-0000-0000D9360000}"/>
    <cellStyle name="Note 3 2 3 4 11" xfId="28347" xr:uid="{00000000-0005-0000-0000-0000DA360000}"/>
    <cellStyle name="Note 3 2 3 4 12" xfId="8409" xr:uid="{00000000-0005-0000-0000-0000DB360000}"/>
    <cellStyle name="Note 3 2 3 4 13" xfId="35792" xr:uid="{00000000-0005-0000-0000-0000DC360000}"/>
    <cellStyle name="Note 3 2 3 4 14" xfId="39813" xr:uid="{00000000-0005-0000-0000-0000DD360000}"/>
    <cellStyle name="Note 3 2 3 4 15" xfId="43618" xr:uid="{00000000-0005-0000-0000-0000DE360000}"/>
    <cellStyle name="Note 3 2 3 4 2" xfId="1100" xr:uid="{00000000-0005-0000-0000-0000DF360000}"/>
    <cellStyle name="Note 3 2 3 4 2 10" xfId="28710" xr:uid="{00000000-0005-0000-0000-0000E0360000}"/>
    <cellStyle name="Note 3 2 3 4 2 11" xfId="32397" xr:uid="{00000000-0005-0000-0000-0000E1360000}"/>
    <cellStyle name="Note 3 2 3 4 2 12" xfId="36158" xr:uid="{00000000-0005-0000-0000-0000E2360000}"/>
    <cellStyle name="Note 3 2 3 4 2 13" xfId="40160" xr:uid="{00000000-0005-0000-0000-0000E3360000}"/>
    <cellStyle name="Note 3 2 3 4 2 14" xfId="43984" xr:uid="{00000000-0005-0000-0000-0000E4360000}"/>
    <cellStyle name="Note 3 2 3 4 2 2" xfId="1827" xr:uid="{00000000-0005-0000-0000-0000E5360000}"/>
    <cellStyle name="Note 3 2 3 4 2 2 10" xfId="33114" xr:uid="{00000000-0005-0000-0000-0000E6360000}"/>
    <cellStyle name="Note 3 2 3 4 2 2 11" xfId="36884" xr:uid="{00000000-0005-0000-0000-0000E7360000}"/>
    <cellStyle name="Note 3 2 3 4 2 2 12" xfId="40875" xr:uid="{00000000-0005-0000-0000-0000E8360000}"/>
    <cellStyle name="Note 3 2 3 4 2 2 13" xfId="44706" xr:uid="{00000000-0005-0000-0000-0000E9360000}"/>
    <cellStyle name="Note 3 2 3 4 2 2 2" xfId="3817" xr:uid="{00000000-0005-0000-0000-0000EA360000}"/>
    <cellStyle name="Note 3 2 3 4 2 2 2 10" xfId="38868" xr:uid="{00000000-0005-0000-0000-0000EB360000}"/>
    <cellStyle name="Note 3 2 3 4 2 2 2 11" xfId="42879" xr:uid="{00000000-0005-0000-0000-0000EC360000}"/>
    <cellStyle name="Note 3 2 3 4 2 2 2 12" xfId="46644" xr:uid="{00000000-0005-0000-0000-0000ED360000}"/>
    <cellStyle name="Note 3 2 3 4 2 2 2 2" xfId="7684" xr:uid="{00000000-0005-0000-0000-0000EE360000}"/>
    <cellStyle name="Note 3 2 3 4 2 2 2 3" xfId="12119" xr:uid="{00000000-0005-0000-0000-0000EF360000}"/>
    <cellStyle name="Note 3 2 3 4 2 2 2 4" xfId="15964" xr:uid="{00000000-0005-0000-0000-0000F0360000}"/>
    <cellStyle name="Note 3 2 3 4 2 2 2 5" xfId="19811" xr:uid="{00000000-0005-0000-0000-0000F1360000}"/>
    <cellStyle name="Note 3 2 3 4 2 2 2 6" xfId="23727" xr:uid="{00000000-0005-0000-0000-0000F2360000}"/>
    <cellStyle name="Note 3 2 3 4 2 2 2 7" xfId="27561" xr:uid="{00000000-0005-0000-0000-0000F3360000}"/>
    <cellStyle name="Note 3 2 3 4 2 2 2 8" xfId="31425" xr:uid="{00000000-0005-0000-0000-0000F4360000}"/>
    <cellStyle name="Note 3 2 3 4 2 2 2 9" xfId="35082" xr:uid="{00000000-0005-0000-0000-0000F5360000}"/>
    <cellStyle name="Note 3 2 3 4 2 2 3" xfId="5760" xr:uid="{00000000-0005-0000-0000-0000F6360000}"/>
    <cellStyle name="Note 3 2 3 4 2 2 4" xfId="10118" xr:uid="{00000000-0005-0000-0000-0000F7360000}"/>
    <cellStyle name="Note 3 2 3 4 2 2 5" xfId="13964" xr:uid="{00000000-0005-0000-0000-0000F8360000}"/>
    <cellStyle name="Note 3 2 3 4 2 2 6" xfId="17793" xr:uid="{00000000-0005-0000-0000-0000F9360000}"/>
    <cellStyle name="Note 3 2 3 4 2 2 7" xfId="21732" xr:uid="{00000000-0005-0000-0000-0000FA360000}"/>
    <cellStyle name="Note 3 2 3 4 2 2 8" xfId="25545" xr:uid="{00000000-0005-0000-0000-0000FB360000}"/>
    <cellStyle name="Note 3 2 3 4 2 2 9" xfId="29432" xr:uid="{00000000-0005-0000-0000-0000FC360000}"/>
    <cellStyle name="Note 3 2 3 4 2 3" xfId="3090" xr:uid="{00000000-0005-0000-0000-0000FD360000}"/>
    <cellStyle name="Note 3 2 3 4 2 3 10" xfId="38142" xr:uid="{00000000-0005-0000-0000-0000FE360000}"/>
    <cellStyle name="Note 3 2 3 4 2 3 11" xfId="42154" xr:uid="{00000000-0005-0000-0000-0000FF360000}"/>
    <cellStyle name="Note 3 2 3 4 2 3 12" xfId="45927" xr:uid="{00000000-0005-0000-0000-000000370000}"/>
    <cellStyle name="Note 3 2 3 4 2 3 2" xfId="6966" xr:uid="{00000000-0005-0000-0000-000001370000}"/>
    <cellStyle name="Note 3 2 3 4 2 3 3" xfId="11395" xr:uid="{00000000-0005-0000-0000-000002370000}"/>
    <cellStyle name="Note 3 2 3 4 2 3 4" xfId="15239" xr:uid="{00000000-0005-0000-0000-000003370000}"/>
    <cellStyle name="Note 3 2 3 4 2 3 5" xfId="19084" xr:uid="{00000000-0005-0000-0000-000004370000}"/>
    <cellStyle name="Note 3 2 3 4 2 3 6" xfId="23006" xr:uid="{00000000-0005-0000-0000-000005370000}"/>
    <cellStyle name="Note 3 2 3 4 2 3 7" xfId="26835" xr:uid="{00000000-0005-0000-0000-000006370000}"/>
    <cellStyle name="Note 3 2 3 4 2 3 8" xfId="30708" xr:uid="{00000000-0005-0000-0000-000007370000}"/>
    <cellStyle name="Note 3 2 3 4 2 3 9" xfId="34365" xr:uid="{00000000-0005-0000-0000-000008370000}"/>
    <cellStyle name="Note 3 2 3 4 2 4" xfId="5042" xr:uid="{00000000-0005-0000-0000-000009370000}"/>
    <cellStyle name="Note 3 2 3 4 2 5" xfId="9398" xr:uid="{00000000-0005-0000-0000-00000A370000}"/>
    <cellStyle name="Note 3 2 3 4 2 6" xfId="13238" xr:uid="{00000000-0005-0000-0000-00000B370000}"/>
    <cellStyle name="Note 3 2 3 4 2 7" xfId="17066" xr:uid="{00000000-0005-0000-0000-00000C370000}"/>
    <cellStyle name="Note 3 2 3 4 2 8" xfId="21008" xr:uid="{00000000-0005-0000-0000-00000D370000}"/>
    <cellStyle name="Note 3 2 3 4 2 9" xfId="24822" xr:uid="{00000000-0005-0000-0000-00000E370000}"/>
    <cellStyle name="Note 3 2 3 4 3" xfId="1474" xr:uid="{00000000-0005-0000-0000-00000F370000}"/>
    <cellStyle name="Note 3 2 3 4 3 10" xfId="32761" xr:uid="{00000000-0005-0000-0000-000010370000}"/>
    <cellStyle name="Note 3 2 3 4 3 11" xfId="36531" xr:uid="{00000000-0005-0000-0000-000011370000}"/>
    <cellStyle name="Note 3 2 3 4 3 12" xfId="40522" xr:uid="{00000000-0005-0000-0000-000012370000}"/>
    <cellStyle name="Note 3 2 3 4 3 13" xfId="44353" xr:uid="{00000000-0005-0000-0000-000013370000}"/>
    <cellStyle name="Note 3 2 3 4 3 2" xfId="3464" xr:uid="{00000000-0005-0000-0000-000014370000}"/>
    <cellStyle name="Note 3 2 3 4 3 2 10" xfId="38515" xr:uid="{00000000-0005-0000-0000-000015370000}"/>
    <cellStyle name="Note 3 2 3 4 3 2 11" xfId="42526" xr:uid="{00000000-0005-0000-0000-000016370000}"/>
    <cellStyle name="Note 3 2 3 4 3 2 12" xfId="46291" xr:uid="{00000000-0005-0000-0000-000017370000}"/>
    <cellStyle name="Note 3 2 3 4 3 2 2" xfId="7331" xr:uid="{00000000-0005-0000-0000-000018370000}"/>
    <cellStyle name="Note 3 2 3 4 3 2 3" xfId="11766" xr:uid="{00000000-0005-0000-0000-000019370000}"/>
    <cellStyle name="Note 3 2 3 4 3 2 4" xfId="15611" xr:uid="{00000000-0005-0000-0000-00001A370000}"/>
    <cellStyle name="Note 3 2 3 4 3 2 5" xfId="19458" xr:uid="{00000000-0005-0000-0000-00001B370000}"/>
    <cellStyle name="Note 3 2 3 4 3 2 6" xfId="23374" xr:uid="{00000000-0005-0000-0000-00001C370000}"/>
    <cellStyle name="Note 3 2 3 4 3 2 7" xfId="27208" xr:uid="{00000000-0005-0000-0000-00001D370000}"/>
    <cellStyle name="Note 3 2 3 4 3 2 8" xfId="31075" xr:uid="{00000000-0005-0000-0000-00001E370000}"/>
    <cellStyle name="Note 3 2 3 4 3 2 9" xfId="34729" xr:uid="{00000000-0005-0000-0000-00001F370000}"/>
    <cellStyle name="Note 3 2 3 4 3 3" xfId="5407" xr:uid="{00000000-0005-0000-0000-000020370000}"/>
    <cellStyle name="Note 3 2 3 4 3 4" xfId="9765" xr:uid="{00000000-0005-0000-0000-000021370000}"/>
    <cellStyle name="Note 3 2 3 4 3 5" xfId="13611" xr:uid="{00000000-0005-0000-0000-000022370000}"/>
    <cellStyle name="Note 3 2 3 4 3 6" xfId="17440" xr:uid="{00000000-0005-0000-0000-000023370000}"/>
    <cellStyle name="Note 3 2 3 4 3 7" xfId="21379" xr:uid="{00000000-0005-0000-0000-000024370000}"/>
    <cellStyle name="Note 3 2 3 4 3 8" xfId="25192" xr:uid="{00000000-0005-0000-0000-000025370000}"/>
    <cellStyle name="Note 3 2 3 4 3 9" xfId="29079" xr:uid="{00000000-0005-0000-0000-000026370000}"/>
    <cellStyle name="Note 3 2 3 4 4" xfId="2724" xr:uid="{00000000-0005-0000-0000-000027370000}"/>
    <cellStyle name="Note 3 2 3 4 4 10" xfId="37776" xr:uid="{00000000-0005-0000-0000-000028370000}"/>
    <cellStyle name="Note 3 2 3 4 4 11" xfId="41790" xr:uid="{00000000-0005-0000-0000-000029370000}"/>
    <cellStyle name="Note 3 2 3 4 4 12" xfId="45574" xr:uid="{00000000-0005-0000-0000-00002A370000}"/>
    <cellStyle name="Note 3 2 3 4 4 2" xfId="6611" xr:uid="{00000000-0005-0000-0000-00002B370000}"/>
    <cellStyle name="Note 3 2 3 4 4 3" xfId="11035" xr:uid="{00000000-0005-0000-0000-00002C370000}"/>
    <cellStyle name="Note 3 2 3 4 4 4" xfId="14880" xr:uid="{00000000-0005-0000-0000-00002D370000}"/>
    <cellStyle name="Note 3 2 3 4 4 5" xfId="18718" xr:uid="{00000000-0005-0000-0000-00002E370000}"/>
    <cellStyle name="Note 3 2 3 4 4 6" xfId="22649" xr:uid="{00000000-0005-0000-0000-00002F370000}"/>
    <cellStyle name="Note 3 2 3 4 4 7" xfId="26469" xr:uid="{00000000-0005-0000-0000-000030370000}"/>
    <cellStyle name="Note 3 2 3 4 4 8" xfId="30348" xr:uid="{00000000-0005-0000-0000-000031370000}"/>
    <cellStyle name="Note 3 2 3 4 4 9" xfId="34012" xr:uid="{00000000-0005-0000-0000-000032370000}"/>
    <cellStyle name="Note 3 2 3 4 5" xfId="4687" xr:uid="{00000000-0005-0000-0000-000033370000}"/>
    <cellStyle name="Note 3 2 3 4 6" xfId="9029" xr:uid="{00000000-0005-0000-0000-000034370000}"/>
    <cellStyle name="Note 3 2 3 4 7" xfId="12867" xr:uid="{00000000-0005-0000-0000-000035370000}"/>
    <cellStyle name="Note 3 2 3 4 8" xfId="16697" xr:uid="{00000000-0005-0000-0000-000036370000}"/>
    <cellStyle name="Note 3 2 3 4 9" xfId="20634" xr:uid="{00000000-0005-0000-0000-000037370000}"/>
    <cellStyle name="Note 3 2 3 5" xfId="882" xr:uid="{00000000-0005-0000-0000-000038370000}"/>
    <cellStyle name="Note 3 2 3 5 10" xfId="24606" xr:uid="{00000000-0005-0000-0000-000039370000}"/>
    <cellStyle name="Note 3 2 3 5 11" xfId="28496" xr:uid="{00000000-0005-0000-0000-00003A370000}"/>
    <cellStyle name="Note 3 2 3 5 12" xfId="32183" xr:uid="{00000000-0005-0000-0000-00003B370000}"/>
    <cellStyle name="Note 3 2 3 5 13" xfId="35940" xr:uid="{00000000-0005-0000-0000-00003C370000}"/>
    <cellStyle name="Note 3 2 3 5 14" xfId="39950" xr:uid="{00000000-0005-0000-0000-00003D370000}"/>
    <cellStyle name="Note 3 2 3 5 15" xfId="43766" xr:uid="{00000000-0005-0000-0000-00003E370000}"/>
    <cellStyle name="Note 3 2 3 5 2" xfId="1219" xr:uid="{00000000-0005-0000-0000-00003F370000}"/>
    <cellStyle name="Note 3 2 3 5 2 10" xfId="28827" xr:uid="{00000000-0005-0000-0000-000040370000}"/>
    <cellStyle name="Note 3 2 3 5 2 11" xfId="32511" xr:uid="{00000000-0005-0000-0000-000041370000}"/>
    <cellStyle name="Note 3 2 3 5 2 12" xfId="36277" xr:uid="{00000000-0005-0000-0000-000042370000}"/>
    <cellStyle name="Note 3 2 3 5 2 13" xfId="40270" xr:uid="{00000000-0005-0000-0000-000043370000}"/>
    <cellStyle name="Note 3 2 3 5 2 14" xfId="44103" xr:uid="{00000000-0005-0000-0000-000044370000}"/>
    <cellStyle name="Note 3 2 3 5 2 2" xfId="1941" xr:uid="{00000000-0005-0000-0000-000045370000}"/>
    <cellStyle name="Note 3 2 3 5 2 2 10" xfId="33228" xr:uid="{00000000-0005-0000-0000-000046370000}"/>
    <cellStyle name="Note 3 2 3 5 2 2 11" xfId="36998" xr:uid="{00000000-0005-0000-0000-000047370000}"/>
    <cellStyle name="Note 3 2 3 5 2 2 12" xfId="40989" xr:uid="{00000000-0005-0000-0000-000048370000}"/>
    <cellStyle name="Note 3 2 3 5 2 2 13" xfId="44820" xr:uid="{00000000-0005-0000-0000-000049370000}"/>
    <cellStyle name="Note 3 2 3 5 2 2 2" xfId="3931" xr:uid="{00000000-0005-0000-0000-00004A370000}"/>
    <cellStyle name="Note 3 2 3 5 2 2 2 10" xfId="38982" xr:uid="{00000000-0005-0000-0000-00004B370000}"/>
    <cellStyle name="Note 3 2 3 5 2 2 2 11" xfId="42993" xr:uid="{00000000-0005-0000-0000-00004C370000}"/>
    <cellStyle name="Note 3 2 3 5 2 2 2 12" xfId="46758" xr:uid="{00000000-0005-0000-0000-00004D370000}"/>
    <cellStyle name="Note 3 2 3 5 2 2 2 2" xfId="7798" xr:uid="{00000000-0005-0000-0000-00004E370000}"/>
    <cellStyle name="Note 3 2 3 5 2 2 2 3" xfId="12233" xr:uid="{00000000-0005-0000-0000-00004F370000}"/>
    <cellStyle name="Note 3 2 3 5 2 2 2 4" xfId="16078" xr:uid="{00000000-0005-0000-0000-000050370000}"/>
    <cellStyle name="Note 3 2 3 5 2 2 2 5" xfId="19925" xr:uid="{00000000-0005-0000-0000-000051370000}"/>
    <cellStyle name="Note 3 2 3 5 2 2 2 6" xfId="23841" xr:uid="{00000000-0005-0000-0000-000052370000}"/>
    <cellStyle name="Note 3 2 3 5 2 2 2 7" xfId="27675" xr:uid="{00000000-0005-0000-0000-000053370000}"/>
    <cellStyle name="Note 3 2 3 5 2 2 2 8" xfId="31536" xr:uid="{00000000-0005-0000-0000-000054370000}"/>
    <cellStyle name="Note 3 2 3 5 2 2 2 9" xfId="35196" xr:uid="{00000000-0005-0000-0000-000055370000}"/>
    <cellStyle name="Note 3 2 3 5 2 2 3" xfId="5874" xr:uid="{00000000-0005-0000-0000-000056370000}"/>
    <cellStyle name="Note 3 2 3 5 2 2 4" xfId="10232" xr:uid="{00000000-0005-0000-0000-000057370000}"/>
    <cellStyle name="Note 3 2 3 5 2 2 5" xfId="14078" xr:uid="{00000000-0005-0000-0000-000058370000}"/>
    <cellStyle name="Note 3 2 3 5 2 2 6" xfId="17907" xr:uid="{00000000-0005-0000-0000-000059370000}"/>
    <cellStyle name="Note 3 2 3 5 2 2 7" xfId="21846" xr:uid="{00000000-0005-0000-0000-00005A370000}"/>
    <cellStyle name="Note 3 2 3 5 2 2 8" xfId="25659" xr:uid="{00000000-0005-0000-0000-00005B370000}"/>
    <cellStyle name="Note 3 2 3 5 2 2 9" xfId="29546" xr:uid="{00000000-0005-0000-0000-00005C370000}"/>
    <cellStyle name="Note 3 2 3 5 2 3" xfId="3209" xr:uid="{00000000-0005-0000-0000-00005D370000}"/>
    <cellStyle name="Note 3 2 3 5 2 3 10" xfId="38261" xr:uid="{00000000-0005-0000-0000-00005E370000}"/>
    <cellStyle name="Note 3 2 3 5 2 3 11" xfId="42272" xr:uid="{00000000-0005-0000-0000-00005F370000}"/>
    <cellStyle name="Note 3 2 3 5 2 3 12" xfId="46041" xr:uid="{00000000-0005-0000-0000-000060370000}"/>
    <cellStyle name="Note 3 2 3 5 2 3 2" xfId="7081" xr:uid="{00000000-0005-0000-0000-000061370000}"/>
    <cellStyle name="Note 3 2 3 5 2 3 3" xfId="11513" xr:uid="{00000000-0005-0000-0000-000062370000}"/>
    <cellStyle name="Note 3 2 3 5 2 3 4" xfId="15357" xr:uid="{00000000-0005-0000-0000-000063370000}"/>
    <cellStyle name="Note 3 2 3 5 2 3 5" xfId="19203" xr:uid="{00000000-0005-0000-0000-000064370000}"/>
    <cellStyle name="Note 3 2 3 5 2 3 6" xfId="23122" xr:uid="{00000000-0005-0000-0000-000065370000}"/>
    <cellStyle name="Note 3 2 3 5 2 3 7" xfId="26954" xr:uid="{00000000-0005-0000-0000-000066370000}"/>
    <cellStyle name="Note 3 2 3 5 2 3 8" xfId="30824" xr:uid="{00000000-0005-0000-0000-000067370000}"/>
    <cellStyle name="Note 3 2 3 5 2 3 9" xfId="34479" xr:uid="{00000000-0005-0000-0000-000068370000}"/>
    <cellStyle name="Note 3 2 3 5 2 4" xfId="5157" xr:uid="{00000000-0005-0000-0000-000069370000}"/>
    <cellStyle name="Note 3 2 3 5 2 5" xfId="9513" xr:uid="{00000000-0005-0000-0000-00006A370000}"/>
    <cellStyle name="Note 3 2 3 5 2 6" xfId="13357" xr:uid="{00000000-0005-0000-0000-00006B370000}"/>
    <cellStyle name="Note 3 2 3 5 2 7" xfId="17185" xr:uid="{00000000-0005-0000-0000-00006C370000}"/>
    <cellStyle name="Note 3 2 3 5 2 8" xfId="21127" xr:uid="{00000000-0005-0000-0000-00006D370000}"/>
    <cellStyle name="Note 3 2 3 5 2 9" xfId="24938" xr:uid="{00000000-0005-0000-0000-00006E370000}"/>
    <cellStyle name="Note 3 2 3 5 3" xfId="1613" xr:uid="{00000000-0005-0000-0000-00006F370000}"/>
    <cellStyle name="Note 3 2 3 5 3 10" xfId="32900" xr:uid="{00000000-0005-0000-0000-000070370000}"/>
    <cellStyle name="Note 3 2 3 5 3 11" xfId="36670" xr:uid="{00000000-0005-0000-0000-000071370000}"/>
    <cellStyle name="Note 3 2 3 5 3 12" xfId="40661" xr:uid="{00000000-0005-0000-0000-000072370000}"/>
    <cellStyle name="Note 3 2 3 5 3 13" xfId="44492" xr:uid="{00000000-0005-0000-0000-000073370000}"/>
    <cellStyle name="Note 3 2 3 5 3 2" xfId="3603" xr:uid="{00000000-0005-0000-0000-000074370000}"/>
    <cellStyle name="Note 3 2 3 5 3 2 10" xfId="38654" xr:uid="{00000000-0005-0000-0000-000075370000}"/>
    <cellStyle name="Note 3 2 3 5 3 2 11" xfId="42665" xr:uid="{00000000-0005-0000-0000-000076370000}"/>
    <cellStyle name="Note 3 2 3 5 3 2 12" xfId="46430" xr:uid="{00000000-0005-0000-0000-000077370000}"/>
    <cellStyle name="Note 3 2 3 5 3 2 2" xfId="7470" xr:uid="{00000000-0005-0000-0000-000078370000}"/>
    <cellStyle name="Note 3 2 3 5 3 2 3" xfId="11905" xr:uid="{00000000-0005-0000-0000-000079370000}"/>
    <cellStyle name="Note 3 2 3 5 3 2 4" xfId="15750" xr:uid="{00000000-0005-0000-0000-00007A370000}"/>
    <cellStyle name="Note 3 2 3 5 3 2 5" xfId="19597" xr:uid="{00000000-0005-0000-0000-00007B370000}"/>
    <cellStyle name="Note 3 2 3 5 3 2 6" xfId="23513" xr:uid="{00000000-0005-0000-0000-00007C370000}"/>
    <cellStyle name="Note 3 2 3 5 3 2 7" xfId="27347" xr:uid="{00000000-0005-0000-0000-00007D370000}"/>
    <cellStyle name="Note 3 2 3 5 3 2 8" xfId="31212" xr:uid="{00000000-0005-0000-0000-00007E370000}"/>
    <cellStyle name="Note 3 2 3 5 3 2 9" xfId="34868" xr:uid="{00000000-0005-0000-0000-00007F370000}"/>
    <cellStyle name="Note 3 2 3 5 3 3" xfId="5546" xr:uid="{00000000-0005-0000-0000-000080370000}"/>
    <cellStyle name="Note 3 2 3 5 3 4" xfId="9904" xr:uid="{00000000-0005-0000-0000-000081370000}"/>
    <cellStyle name="Note 3 2 3 5 3 5" xfId="13750" xr:uid="{00000000-0005-0000-0000-000082370000}"/>
    <cellStyle name="Note 3 2 3 5 3 6" xfId="17579" xr:uid="{00000000-0005-0000-0000-000083370000}"/>
    <cellStyle name="Note 3 2 3 5 3 7" xfId="21518" xr:uid="{00000000-0005-0000-0000-000084370000}"/>
    <cellStyle name="Note 3 2 3 5 3 8" xfId="25331" xr:uid="{00000000-0005-0000-0000-000085370000}"/>
    <cellStyle name="Note 3 2 3 5 3 9" xfId="29218" xr:uid="{00000000-0005-0000-0000-000086370000}"/>
    <cellStyle name="Note 3 2 3 5 4" xfId="2872" xr:uid="{00000000-0005-0000-0000-000087370000}"/>
    <cellStyle name="Note 3 2 3 5 4 10" xfId="37924" xr:uid="{00000000-0005-0000-0000-000088370000}"/>
    <cellStyle name="Note 3 2 3 5 4 11" xfId="41936" xr:uid="{00000000-0005-0000-0000-000089370000}"/>
    <cellStyle name="Note 3 2 3 5 4 12" xfId="45713" xr:uid="{00000000-0005-0000-0000-00008A370000}"/>
    <cellStyle name="Note 3 2 3 5 4 2" xfId="6752" xr:uid="{00000000-0005-0000-0000-00008B370000}"/>
    <cellStyle name="Note 3 2 3 5 4 3" xfId="11179" xr:uid="{00000000-0005-0000-0000-00008C370000}"/>
    <cellStyle name="Note 3 2 3 5 4 4" xfId="15024" xr:uid="{00000000-0005-0000-0000-00008D370000}"/>
    <cellStyle name="Note 3 2 3 5 4 5" xfId="18866" xr:uid="{00000000-0005-0000-0000-00008E370000}"/>
    <cellStyle name="Note 3 2 3 5 4 6" xfId="22792" xr:uid="{00000000-0005-0000-0000-00008F370000}"/>
    <cellStyle name="Note 3 2 3 5 4 7" xfId="26617" xr:uid="{00000000-0005-0000-0000-000090370000}"/>
    <cellStyle name="Note 3 2 3 5 4 8" xfId="30493" xr:uid="{00000000-0005-0000-0000-000091370000}"/>
    <cellStyle name="Note 3 2 3 5 4 9" xfId="34151" xr:uid="{00000000-0005-0000-0000-000092370000}"/>
    <cellStyle name="Note 3 2 3 5 5" xfId="4828" xr:uid="{00000000-0005-0000-0000-000093370000}"/>
    <cellStyle name="Note 3 2 3 5 6" xfId="9182" xr:uid="{00000000-0005-0000-0000-000094370000}"/>
    <cellStyle name="Note 3 2 3 5 7" xfId="13023" xr:uid="{00000000-0005-0000-0000-000095370000}"/>
    <cellStyle name="Note 3 2 3 5 8" xfId="16848" xr:uid="{00000000-0005-0000-0000-000096370000}"/>
    <cellStyle name="Note 3 2 3 5 9" xfId="20790" xr:uid="{00000000-0005-0000-0000-000097370000}"/>
    <cellStyle name="Note 3 2 3 6" xfId="928" xr:uid="{00000000-0005-0000-0000-000098370000}"/>
    <cellStyle name="Note 3 2 3 6 10" xfId="28540" xr:uid="{00000000-0005-0000-0000-000099370000}"/>
    <cellStyle name="Note 3 2 3 6 11" xfId="32229" xr:uid="{00000000-0005-0000-0000-00009A370000}"/>
    <cellStyle name="Note 3 2 3 6 12" xfId="35986" xr:uid="{00000000-0005-0000-0000-00009B370000}"/>
    <cellStyle name="Note 3 2 3 6 13" xfId="39994" xr:uid="{00000000-0005-0000-0000-00009C370000}"/>
    <cellStyle name="Note 3 2 3 6 14" xfId="43812" xr:uid="{00000000-0005-0000-0000-00009D370000}"/>
    <cellStyle name="Note 3 2 3 6 2" xfId="1659" xr:uid="{00000000-0005-0000-0000-00009E370000}"/>
    <cellStyle name="Note 3 2 3 6 2 10" xfId="32946" xr:uid="{00000000-0005-0000-0000-00009F370000}"/>
    <cellStyle name="Note 3 2 3 6 2 11" xfId="36716" xr:uid="{00000000-0005-0000-0000-0000A0370000}"/>
    <cellStyle name="Note 3 2 3 6 2 12" xfId="40707" xr:uid="{00000000-0005-0000-0000-0000A1370000}"/>
    <cellStyle name="Note 3 2 3 6 2 13" xfId="44538" xr:uid="{00000000-0005-0000-0000-0000A2370000}"/>
    <cellStyle name="Note 3 2 3 6 2 2" xfId="3649" xr:uid="{00000000-0005-0000-0000-0000A3370000}"/>
    <cellStyle name="Note 3 2 3 6 2 2 10" xfId="38700" xr:uid="{00000000-0005-0000-0000-0000A4370000}"/>
    <cellStyle name="Note 3 2 3 6 2 2 11" xfId="42711" xr:uid="{00000000-0005-0000-0000-0000A5370000}"/>
    <cellStyle name="Note 3 2 3 6 2 2 12" xfId="46476" xr:uid="{00000000-0005-0000-0000-0000A6370000}"/>
    <cellStyle name="Note 3 2 3 6 2 2 2" xfId="7516" xr:uid="{00000000-0005-0000-0000-0000A7370000}"/>
    <cellStyle name="Note 3 2 3 6 2 2 3" xfId="11951" xr:uid="{00000000-0005-0000-0000-0000A8370000}"/>
    <cellStyle name="Note 3 2 3 6 2 2 4" xfId="15796" xr:uid="{00000000-0005-0000-0000-0000A9370000}"/>
    <cellStyle name="Note 3 2 3 6 2 2 5" xfId="19643" xr:uid="{00000000-0005-0000-0000-0000AA370000}"/>
    <cellStyle name="Note 3 2 3 6 2 2 6" xfId="23559" xr:uid="{00000000-0005-0000-0000-0000AB370000}"/>
    <cellStyle name="Note 3 2 3 6 2 2 7" xfId="27393" xr:uid="{00000000-0005-0000-0000-0000AC370000}"/>
    <cellStyle name="Note 3 2 3 6 2 2 8" xfId="31257" xr:uid="{00000000-0005-0000-0000-0000AD370000}"/>
    <cellStyle name="Note 3 2 3 6 2 2 9" xfId="34914" xr:uid="{00000000-0005-0000-0000-0000AE370000}"/>
    <cellStyle name="Note 3 2 3 6 2 3" xfId="5592" xr:uid="{00000000-0005-0000-0000-0000AF370000}"/>
    <cellStyle name="Note 3 2 3 6 2 4" xfId="9950" xr:uid="{00000000-0005-0000-0000-0000B0370000}"/>
    <cellStyle name="Note 3 2 3 6 2 5" xfId="13796" xr:uid="{00000000-0005-0000-0000-0000B1370000}"/>
    <cellStyle name="Note 3 2 3 6 2 6" xfId="17625" xr:uid="{00000000-0005-0000-0000-0000B2370000}"/>
    <cellStyle name="Note 3 2 3 6 2 7" xfId="21564" xr:uid="{00000000-0005-0000-0000-0000B3370000}"/>
    <cellStyle name="Note 3 2 3 6 2 8" xfId="25377" xr:uid="{00000000-0005-0000-0000-0000B4370000}"/>
    <cellStyle name="Note 3 2 3 6 2 9" xfId="29264" xr:uid="{00000000-0005-0000-0000-0000B5370000}"/>
    <cellStyle name="Note 3 2 3 6 3" xfId="2918" xr:uid="{00000000-0005-0000-0000-0000B6370000}"/>
    <cellStyle name="Note 3 2 3 6 3 10" xfId="37970" xr:uid="{00000000-0005-0000-0000-0000B7370000}"/>
    <cellStyle name="Note 3 2 3 6 3 11" xfId="41982" xr:uid="{00000000-0005-0000-0000-0000B8370000}"/>
    <cellStyle name="Note 3 2 3 6 3 12" xfId="45759" xr:uid="{00000000-0005-0000-0000-0000B9370000}"/>
    <cellStyle name="Note 3 2 3 6 3 2" xfId="6798" xr:uid="{00000000-0005-0000-0000-0000BA370000}"/>
    <cellStyle name="Note 3 2 3 6 3 3" xfId="11225" xr:uid="{00000000-0005-0000-0000-0000BB370000}"/>
    <cellStyle name="Note 3 2 3 6 3 4" xfId="15070" xr:uid="{00000000-0005-0000-0000-0000BC370000}"/>
    <cellStyle name="Note 3 2 3 6 3 5" xfId="18912" xr:uid="{00000000-0005-0000-0000-0000BD370000}"/>
    <cellStyle name="Note 3 2 3 6 3 6" xfId="22838" xr:uid="{00000000-0005-0000-0000-0000BE370000}"/>
    <cellStyle name="Note 3 2 3 6 3 7" xfId="26663" xr:uid="{00000000-0005-0000-0000-0000BF370000}"/>
    <cellStyle name="Note 3 2 3 6 3 8" xfId="30538" xr:uid="{00000000-0005-0000-0000-0000C0370000}"/>
    <cellStyle name="Note 3 2 3 6 3 9" xfId="34197" xr:uid="{00000000-0005-0000-0000-0000C1370000}"/>
    <cellStyle name="Note 3 2 3 6 4" xfId="4874" xr:uid="{00000000-0005-0000-0000-0000C2370000}"/>
    <cellStyle name="Note 3 2 3 6 5" xfId="9228" xr:uid="{00000000-0005-0000-0000-0000C3370000}"/>
    <cellStyle name="Note 3 2 3 6 6" xfId="13069" xr:uid="{00000000-0005-0000-0000-0000C4370000}"/>
    <cellStyle name="Note 3 2 3 6 7" xfId="16894" xr:uid="{00000000-0005-0000-0000-0000C5370000}"/>
    <cellStyle name="Note 3 2 3 6 8" xfId="20836" xr:uid="{00000000-0005-0000-0000-0000C6370000}"/>
    <cellStyle name="Note 3 2 3 6 9" xfId="24652" xr:uid="{00000000-0005-0000-0000-0000C7370000}"/>
    <cellStyle name="Note 3 2 3 7" xfId="1306" xr:uid="{00000000-0005-0000-0000-0000C8370000}"/>
    <cellStyle name="Note 3 2 3 7 10" xfId="32593" xr:uid="{00000000-0005-0000-0000-0000C9370000}"/>
    <cellStyle name="Note 3 2 3 7 11" xfId="36363" xr:uid="{00000000-0005-0000-0000-0000CA370000}"/>
    <cellStyle name="Note 3 2 3 7 12" xfId="40354" xr:uid="{00000000-0005-0000-0000-0000CB370000}"/>
    <cellStyle name="Note 3 2 3 7 13" xfId="44185" xr:uid="{00000000-0005-0000-0000-0000CC370000}"/>
    <cellStyle name="Note 3 2 3 7 2" xfId="3296" xr:uid="{00000000-0005-0000-0000-0000CD370000}"/>
    <cellStyle name="Note 3 2 3 7 2 10" xfId="38347" xr:uid="{00000000-0005-0000-0000-0000CE370000}"/>
    <cellStyle name="Note 3 2 3 7 2 11" xfId="42358" xr:uid="{00000000-0005-0000-0000-0000CF370000}"/>
    <cellStyle name="Note 3 2 3 7 2 12" xfId="46123" xr:uid="{00000000-0005-0000-0000-0000D0370000}"/>
    <cellStyle name="Note 3 2 3 7 2 2" xfId="7163" xr:uid="{00000000-0005-0000-0000-0000D1370000}"/>
    <cellStyle name="Note 3 2 3 7 2 3" xfId="11598" xr:uid="{00000000-0005-0000-0000-0000D2370000}"/>
    <cellStyle name="Note 3 2 3 7 2 4" xfId="15443" xr:uid="{00000000-0005-0000-0000-0000D3370000}"/>
    <cellStyle name="Note 3 2 3 7 2 5" xfId="19290" xr:uid="{00000000-0005-0000-0000-0000D4370000}"/>
    <cellStyle name="Note 3 2 3 7 2 6" xfId="23206" xr:uid="{00000000-0005-0000-0000-0000D5370000}"/>
    <cellStyle name="Note 3 2 3 7 2 7" xfId="27040" xr:uid="{00000000-0005-0000-0000-0000D6370000}"/>
    <cellStyle name="Note 3 2 3 7 2 8" xfId="30909" xr:uid="{00000000-0005-0000-0000-0000D7370000}"/>
    <cellStyle name="Note 3 2 3 7 2 9" xfId="34561" xr:uid="{00000000-0005-0000-0000-0000D8370000}"/>
    <cellStyle name="Note 3 2 3 7 3" xfId="5239" xr:uid="{00000000-0005-0000-0000-0000D9370000}"/>
    <cellStyle name="Note 3 2 3 7 4" xfId="9597" xr:uid="{00000000-0005-0000-0000-0000DA370000}"/>
    <cellStyle name="Note 3 2 3 7 5" xfId="13443" xr:uid="{00000000-0005-0000-0000-0000DB370000}"/>
    <cellStyle name="Note 3 2 3 7 6" xfId="17272" xr:uid="{00000000-0005-0000-0000-0000DC370000}"/>
    <cellStyle name="Note 3 2 3 7 7" xfId="21211" xr:uid="{00000000-0005-0000-0000-0000DD370000}"/>
    <cellStyle name="Note 3 2 3 7 8" xfId="25024" xr:uid="{00000000-0005-0000-0000-0000DE370000}"/>
    <cellStyle name="Note 3 2 3 7 9" xfId="28911" xr:uid="{00000000-0005-0000-0000-0000DF370000}"/>
    <cellStyle name="Note 3 2 3 8" xfId="2001" xr:uid="{00000000-0005-0000-0000-0000E0370000}"/>
    <cellStyle name="Note 3 2 3 8 10" xfId="33288" xr:uid="{00000000-0005-0000-0000-0000E1370000}"/>
    <cellStyle name="Note 3 2 3 8 11" xfId="37057" xr:uid="{00000000-0005-0000-0000-0000E2370000}"/>
    <cellStyle name="Note 3 2 3 8 12" xfId="41049" xr:uid="{00000000-0005-0000-0000-0000E3370000}"/>
    <cellStyle name="Note 3 2 3 8 13" xfId="44879" xr:uid="{00000000-0005-0000-0000-0000E4370000}"/>
    <cellStyle name="Note 3 2 3 8 2" xfId="3990" xr:uid="{00000000-0005-0000-0000-0000E5370000}"/>
    <cellStyle name="Note 3 2 3 8 2 10" xfId="39041" xr:uid="{00000000-0005-0000-0000-0000E6370000}"/>
    <cellStyle name="Note 3 2 3 8 2 11" xfId="43052" xr:uid="{00000000-0005-0000-0000-0000E7370000}"/>
    <cellStyle name="Note 3 2 3 8 2 12" xfId="46817" xr:uid="{00000000-0005-0000-0000-0000E8370000}"/>
    <cellStyle name="Note 3 2 3 8 2 2" xfId="7857" xr:uid="{00000000-0005-0000-0000-0000E9370000}"/>
    <cellStyle name="Note 3 2 3 8 2 3" xfId="12292" xr:uid="{00000000-0005-0000-0000-0000EA370000}"/>
    <cellStyle name="Note 3 2 3 8 2 4" xfId="16137" xr:uid="{00000000-0005-0000-0000-0000EB370000}"/>
    <cellStyle name="Note 3 2 3 8 2 5" xfId="19984" xr:uid="{00000000-0005-0000-0000-0000EC370000}"/>
    <cellStyle name="Note 3 2 3 8 2 6" xfId="23900" xr:uid="{00000000-0005-0000-0000-0000ED370000}"/>
    <cellStyle name="Note 3 2 3 8 2 7" xfId="27734" xr:uid="{00000000-0005-0000-0000-0000EE370000}"/>
    <cellStyle name="Note 3 2 3 8 2 8" xfId="31594" xr:uid="{00000000-0005-0000-0000-0000EF370000}"/>
    <cellStyle name="Note 3 2 3 8 2 9" xfId="35255" xr:uid="{00000000-0005-0000-0000-0000F0370000}"/>
    <cellStyle name="Note 3 2 3 8 3" xfId="5933" xr:uid="{00000000-0005-0000-0000-0000F1370000}"/>
    <cellStyle name="Note 3 2 3 8 4" xfId="10291" xr:uid="{00000000-0005-0000-0000-0000F2370000}"/>
    <cellStyle name="Note 3 2 3 8 5" xfId="14138" xr:uid="{00000000-0005-0000-0000-0000F3370000}"/>
    <cellStyle name="Note 3 2 3 8 6" xfId="17967" xr:uid="{00000000-0005-0000-0000-0000F4370000}"/>
    <cellStyle name="Note 3 2 3 8 7" xfId="21906" xr:uid="{00000000-0005-0000-0000-0000F5370000}"/>
    <cellStyle name="Note 3 2 3 8 8" xfId="25719" xr:uid="{00000000-0005-0000-0000-0000F6370000}"/>
    <cellStyle name="Note 3 2 3 8 9" xfId="29606" xr:uid="{00000000-0005-0000-0000-0000F7370000}"/>
    <cellStyle name="Note 3 2 3 9" xfId="2048" xr:uid="{00000000-0005-0000-0000-0000F8370000}"/>
    <cellStyle name="Note 3 2 3 9 10" xfId="33332" xr:uid="{00000000-0005-0000-0000-0000F9370000}"/>
    <cellStyle name="Note 3 2 3 9 11" xfId="37104" xr:uid="{00000000-0005-0000-0000-0000FA370000}"/>
    <cellStyle name="Note 3 2 3 9 12" xfId="41094" xr:uid="{00000000-0005-0000-0000-0000FB370000}"/>
    <cellStyle name="Note 3 2 3 9 13" xfId="44923" xr:uid="{00000000-0005-0000-0000-0000FC370000}"/>
    <cellStyle name="Note 3 2 3 9 2" xfId="4037" xr:uid="{00000000-0005-0000-0000-0000FD370000}"/>
    <cellStyle name="Note 3 2 3 9 2 10" xfId="39088" xr:uid="{00000000-0005-0000-0000-0000FE370000}"/>
    <cellStyle name="Note 3 2 3 9 2 11" xfId="43098" xr:uid="{00000000-0005-0000-0000-0000FF370000}"/>
    <cellStyle name="Note 3 2 3 9 2 12" xfId="46861" xr:uid="{00000000-0005-0000-0000-000000380000}"/>
    <cellStyle name="Note 3 2 3 9 2 2" xfId="7902" xr:uid="{00000000-0005-0000-0000-000001380000}"/>
    <cellStyle name="Note 3 2 3 9 2 3" xfId="12337" xr:uid="{00000000-0005-0000-0000-000002380000}"/>
    <cellStyle name="Note 3 2 3 9 2 4" xfId="16183" xr:uid="{00000000-0005-0000-0000-000003380000}"/>
    <cellStyle name="Note 3 2 3 9 2 5" xfId="20031" xr:uid="{00000000-0005-0000-0000-000004380000}"/>
    <cellStyle name="Note 3 2 3 9 2 6" xfId="23946" xr:uid="{00000000-0005-0000-0000-000005380000}"/>
    <cellStyle name="Note 3 2 3 9 2 7" xfId="27781" xr:uid="{00000000-0005-0000-0000-000006380000}"/>
    <cellStyle name="Note 3 2 3 9 2 8" xfId="31640" xr:uid="{00000000-0005-0000-0000-000007380000}"/>
    <cellStyle name="Note 3 2 3 9 2 9" xfId="35299" xr:uid="{00000000-0005-0000-0000-000008380000}"/>
    <cellStyle name="Note 3 2 3 9 3" xfId="5978" xr:uid="{00000000-0005-0000-0000-000009380000}"/>
    <cellStyle name="Note 3 2 3 9 4" xfId="10336" xr:uid="{00000000-0005-0000-0000-00000A380000}"/>
    <cellStyle name="Note 3 2 3 9 5" xfId="14184" xr:uid="{00000000-0005-0000-0000-00000B380000}"/>
    <cellStyle name="Note 3 2 3 9 6" xfId="18014" xr:uid="{00000000-0005-0000-0000-00000C380000}"/>
    <cellStyle name="Note 3 2 3 9 7" xfId="21952" xr:uid="{00000000-0005-0000-0000-00000D380000}"/>
    <cellStyle name="Note 3 2 3 9 8" xfId="25766" xr:uid="{00000000-0005-0000-0000-00000E380000}"/>
    <cellStyle name="Note 3 2 3 9 9" xfId="29652" xr:uid="{00000000-0005-0000-0000-00000F380000}"/>
    <cellStyle name="Note 3 2 30" xfId="47418" xr:uid="{00000000-0005-0000-0000-000010380000}"/>
    <cellStyle name="Note 3 2 31" xfId="47403" xr:uid="{00000000-0005-0000-0000-000011380000}"/>
    <cellStyle name="Note 3 2 4" xfId="655" xr:uid="{00000000-0005-0000-0000-000012380000}"/>
    <cellStyle name="Note 3 2 4 10" xfId="12891" xr:uid="{00000000-0005-0000-0000-000013380000}"/>
    <cellStyle name="Note 3 2 4 11" xfId="28282" xr:uid="{00000000-0005-0000-0000-000014380000}"/>
    <cellStyle name="Note 3 2 4 12" xfId="32045" xr:uid="{00000000-0005-0000-0000-000015380000}"/>
    <cellStyle name="Note 3 2 4 13" xfId="33384" xr:uid="{00000000-0005-0000-0000-000016380000}"/>
    <cellStyle name="Note 3 2 4 14" xfId="39749" xr:uid="{00000000-0005-0000-0000-000017380000}"/>
    <cellStyle name="Note 3 2 4 15" xfId="43552" xr:uid="{00000000-0005-0000-0000-000018380000}"/>
    <cellStyle name="Note 3 2 4 2" xfId="1035" xr:uid="{00000000-0005-0000-0000-000019380000}"/>
    <cellStyle name="Note 3 2 4 2 10" xfId="28646" xr:uid="{00000000-0005-0000-0000-00001A380000}"/>
    <cellStyle name="Note 3 2 4 2 11" xfId="32332" xr:uid="{00000000-0005-0000-0000-00001B380000}"/>
    <cellStyle name="Note 3 2 4 2 12" xfId="36093" xr:uid="{00000000-0005-0000-0000-00001C380000}"/>
    <cellStyle name="Note 3 2 4 2 13" xfId="40096" xr:uid="{00000000-0005-0000-0000-00001D380000}"/>
    <cellStyle name="Note 3 2 4 2 14" xfId="43919" xr:uid="{00000000-0005-0000-0000-00001E380000}"/>
    <cellStyle name="Note 3 2 4 2 2" xfId="1762" xr:uid="{00000000-0005-0000-0000-00001F380000}"/>
    <cellStyle name="Note 3 2 4 2 2 10" xfId="33049" xr:uid="{00000000-0005-0000-0000-000020380000}"/>
    <cellStyle name="Note 3 2 4 2 2 11" xfId="36819" xr:uid="{00000000-0005-0000-0000-000021380000}"/>
    <cellStyle name="Note 3 2 4 2 2 12" xfId="40810" xr:uid="{00000000-0005-0000-0000-000022380000}"/>
    <cellStyle name="Note 3 2 4 2 2 13" xfId="44641" xr:uid="{00000000-0005-0000-0000-000023380000}"/>
    <cellStyle name="Note 3 2 4 2 2 2" xfId="3752" xr:uid="{00000000-0005-0000-0000-000024380000}"/>
    <cellStyle name="Note 3 2 4 2 2 2 10" xfId="38803" xr:uid="{00000000-0005-0000-0000-000025380000}"/>
    <cellStyle name="Note 3 2 4 2 2 2 11" xfId="42814" xr:uid="{00000000-0005-0000-0000-000026380000}"/>
    <cellStyle name="Note 3 2 4 2 2 2 12" xfId="46579" xr:uid="{00000000-0005-0000-0000-000027380000}"/>
    <cellStyle name="Note 3 2 4 2 2 2 2" xfId="7619" xr:uid="{00000000-0005-0000-0000-000028380000}"/>
    <cellStyle name="Note 3 2 4 2 2 2 3" xfId="12054" xr:uid="{00000000-0005-0000-0000-000029380000}"/>
    <cellStyle name="Note 3 2 4 2 2 2 4" xfId="15899" xr:uid="{00000000-0005-0000-0000-00002A380000}"/>
    <cellStyle name="Note 3 2 4 2 2 2 5" xfId="19746" xr:uid="{00000000-0005-0000-0000-00002B380000}"/>
    <cellStyle name="Note 3 2 4 2 2 2 6" xfId="23662" xr:uid="{00000000-0005-0000-0000-00002C380000}"/>
    <cellStyle name="Note 3 2 4 2 2 2 7" xfId="27496" xr:uid="{00000000-0005-0000-0000-00002D380000}"/>
    <cellStyle name="Note 3 2 4 2 2 2 8" xfId="31360" xr:uid="{00000000-0005-0000-0000-00002E380000}"/>
    <cellStyle name="Note 3 2 4 2 2 2 9" xfId="35017" xr:uid="{00000000-0005-0000-0000-00002F380000}"/>
    <cellStyle name="Note 3 2 4 2 2 3" xfId="5695" xr:uid="{00000000-0005-0000-0000-000030380000}"/>
    <cellStyle name="Note 3 2 4 2 2 4" xfId="10053" xr:uid="{00000000-0005-0000-0000-000031380000}"/>
    <cellStyle name="Note 3 2 4 2 2 5" xfId="13899" xr:uid="{00000000-0005-0000-0000-000032380000}"/>
    <cellStyle name="Note 3 2 4 2 2 6" xfId="17728" xr:uid="{00000000-0005-0000-0000-000033380000}"/>
    <cellStyle name="Note 3 2 4 2 2 7" xfId="21667" xr:uid="{00000000-0005-0000-0000-000034380000}"/>
    <cellStyle name="Note 3 2 4 2 2 8" xfId="25480" xr:uid="{00000000-0005-0000-0000-000035380000}"/>
    <cellStyle name="Note 3 2 4 2 2 9" xfId="29367" xr:uid="{00000000-0005-0000-0000-000036380000}"/>
    <cellStyle name="Note 3 2 4 2 3" xfId="3025" xr:uid="{00000000-0005-0000-0000-000037380000}"/>
    <cellStyle name="Note 3 2 4 2 3 10" xfId="38077" xr:uid="{00000000-0005-0000-0000-000038380000}"/>
    <cellStyle name="Note 3 2 4 2 3 11" xfId="42089" xr:uid="{00000000-0005-0000-0000-000039380000}"/>
    <cellStyle name="Note 3 2 4 2 3 12" xfId="45862" xr:uid="{00000000-0005-0000-0000-00003A380000}"/>
    <cellStyle name="Note 3 2 4 2 3 2" xfId="6901" xr:uid="{00000000-0005-0000-0000-00003B380000}"/>
    <cellStyle name="Note 3 2 4 2 3 3" xfId="11330" xr:uid="{00000000-0005-0000-0000-00003C380000}"/>
    <cellStyle name="Note 3 2 4 2 3 4" xfId="15174" xr:uid="{00000000-0005-0000-0000-00003D380000}"/>
    <cellStyle name="Note 3 2 4 2 3 5" xfId="19019" xr:uid="{00000000-0005-0000-0000-00003E380000}"/>
    <cellStyle name="Note 3 2 4 2 3 6" xfId="22941" xr:uid="{00000000-0005-0000-0000-00003F380000}"/>
    <cellStyle name="Note 3 2 4 2 3 7" xfId="26770" xr:uid="{00000000-0005-0000-0000-000040380000}"/>
    <cellStyle name="Note 3 2 4 2 3 8" xfId="30644" xr:uid="{00000000-0005-0000-0000-000041380000}"/>
    <cellStyle name="Note 3 2 4 2 3 9" xfId="34300" xr:uid="{00000000-0005-0000-0000-000042380000}"/>
    <cellStyle name="Note 3 2 4 2 4" xfId="4977" xr:uid="{00000000-0005-0000-0000-000043380000}"/>
    <cellStyle name="Note 3 2 4 2 5" xfId="9333" xr:uid="{00000000-0005-0000-0000-000044380000}"/>
    <cellStyle name="Note 3 2 4 2 6" xfId="13173" xr:uid="{00000000-0005-0000-0000-000045380000}"/>
    <cellStyle name="Note 3 2 4 2 7" xfId="17001" xr:uid="{00000000-0005-0000-0000-000046380000}"/>
    <cellStyle name="Note 3 2 4 2 8" xfId="20943" xr:uid="{00000000-0005-0000-0000-000047380000}"/>
    <cellStyle name="Note 3 2 4 2 9" xfId="24757" xr:uid="{00000000-0005-0000-0000-000048380000}"/>
    <cellStyle name="Note 3 2 4 3" xfId="1409" xr:uid="{00000000-0005-0000-0000-000049380000}"/>
    <cellStyle name="Note 3 2 4 3 10" xfId="32696" xr:uid="{00000000-0005-0000-0000-00004A380000}"/>
    <cellStyle name="Note 3 2 4 3 11" xfId="36466" xr:uid="{00000000-0005-0000-0000-00004B380000}"/>
    <cellStyle name="Note 3 2 4 3 12" xfId="40457" xr:uid="{00000000-0005-0000-0000-00004C380000}"/>
    <cellStyle name="Note 3 2 4 3 13" xfId="44288" xr:uid="{00000000-0005-0000-0000-00004D380000}"/>
    <cellStyle name="Note 3 2 4 3 2" xfId="3399" xr:uid="{00000000-0005-0000-0000-00004E380000}"/>
    <cellStyle name="Note 3 2 4 3 2 10" xfId="38450" xr:uid="{00000000-0005-0000-0000-00004F380000}"/>
    <cellStyle name="Note 3 2 4 3 2 11" xfId="42461" xr:uid="{00000000-0005-0000-0000-000050380000}"/>
    <cellStyle name="Note 3 2 4 3 2 12" xfId="46226" xr:uid="{00000000-0005-0000-0000-000051380000}"/>
    <cellStyle name="Note 3 2 4 3 2 2" xfId="7266" xr:uid="{00000000-0005-0000-0000-000052380000}"/>
    <cellStyle name="Note 3 2 4 3 2 3" xfId="11701" xr:uid="{00000000-0005-0000-0000-000053380000}"/>
    <cellStyle name="Note 3 2 4 3 2 4" xfId="15546" xr:uid="{00000000-0005-0000-0000-000054380000}"/>
    <cellStyle name="Note 3 2 4 3 2 5" xfId="19393" xr:uid="{00000000-0005-0000-0000-000055380000}"/>
    <cellStyle name="Note 3 2 4 3 2 6" xfId="23309" xr:uid="{00000000-0005-0000-0000-000056380000}"/>
    <cellStyle name="Note 3 2 4 3 2 7" xfId="27143" xr:uid="{00000000-0005-0000-0000-000057380000}"/>
    <cellStyle name="Note 3 2 4 3 2 8" xfId="31011" xr:uid="{00000000-0005-0000-0000-000058380000}"/>
    <cellStyle name="Note 3 2 4 3 2 9" xfId="34664" xr:uid="{00000000-0005-0000-0000-000059380000}"/>
    <cellStyle name="Note 3 2 4 3 3" xfId="5342" xr:uid="{00000000-0005-0000-0000-00005A380000}"/>
    <cellStyle name="Note 3 2 4 3 4" xfId="9700" xr:uid="{00000000-0005-0000-0000-00005B380000}"/>
    <cellStyle name="Note 3 2 4 3 5" xfId="13546" xr:uid="{00000000-0005-0000-0000-00005C380000}"/>
    <cellStyle name="Note 3 2 4 3 6" xfId="17375" xr:uid="{00000000-0005-0000-0000-00005D380000}"/>
    <cellStyle name="Note 3 2 4 3 7" xfId="21314" xr:uid="{00000000-0005-0000-0000-00005E380000}"/>
    <cellStyle name="Note 3 2 4 3 8" xfId="25127" xr:uid="{00000000-0005-0000-0000-00005F380000}"/>
    <cellStyle name="Note 3 2 4 3 9" xfId="29014" xr:uid="{00000000-0005-0000-0000-000060380000}"/>
    <cellStyle name="Note 3 2 4 4" xfId="2658" xr:uid="{00000000-0005-0000-0000-000061380000}"/>
    <cellStyle name="Note 3 2 4 4 10" xfId="37710" xr:uid="{00000000-0005-0000-0000-000062380000}"/>
    <cellStyle name="Note 3 2 4 4 11" xfId="41724" xr:uid="{00000000-0005-0000-0000-000063380000}"/>
    <cellStyle name="Note 3 2 4 4 12" xfId="45509" xr:uid="{00000000-0005-0000-0000-000064380000}"/>
    <cellStyle name="Note 3 2 4 4 2" xfId="6546" xr:uid="{00000000-0005-0000-0000-000065380000}"/>
    <cellStyle name="Note 3 2 4 4 3" xfId="10970" xr:uid="{00000000-0005-0000-0000-000066380000}"/>
    <cellStyle name="Note 3 2 4 4 4" xfId="14814" xr:uid="{00000000-0005-0000-0000-000067380000}"/>
    <cellStyle name="Note 3 2 4 4 5" xfId="18652" xr:uid="{00000000-0005-0000-0000-000068380000}"/>
    <cellStyle name="Note 3 2 4 4 6" xfId="22583" xr:uid="{00000000-0005-0000-0000-000069380000}"/>
    <cellStyle name="Note 3 2 4 4 7" xfId="26403" xr:uid="{00000000-0005-0000-0000-00006A380000}"/>
    <cellStyle name="Note 3 2 4 4 8" xfId="30282" xr:uid="{00000000-0005-0000-0000-00006B380000}"/>
    <cellStyle name="Note 3 2 4 4 9" xfId="33947" xr:uid="{00000000-0005-0000-0000-00006C380000}"/>
    <cellStyle name="Note 3 2 4 5" xfId="4622" xr:uid="{00000000-0005-0000-0000-00006D380000}"/>
    <cellStyle name="Note 3 2 4 6" xfId="8964" xr:uid="{00000000-0005-0000-0000-00006E380000}"/>
    <cellStyle name="Note 3 2 4 7" xfId="12801" xr:uid="{00000000-0005-0000-0000-00006F380000}"/>
    <cellStyle name="Note 3 2 4 8" xfId="14222" xr:uid="{00000000-0005-0000-0000-000070380000}"/>
    <cellStyle name="Note 3 2 4 9" xfId="20568" xr:uid="{00000000-0005-0000-0000-000071380000}"/>
    <cellStyle name="Note 3 2 5" xfId="592" xr:uid="{00000000-0005-0000-0000-000072380000}"/>
    <cellStyle name="Note 3 2 5 10" xfId="8780" xr:uid="{00000000-0005-0000-0000-000073380000}"/>
    <cellStyle name="Note 3 2 5 11" xfId="25820" xr:uid="{00000000-0005-0000-0000-000074380000}"/>
    <cellStyle name="Note 3 2 5 12" xfId="28700" xr:uid="{00000000-0005-0000-0000-000075380000}"/>
    <cellStyle name="Note 3 2 5 13" xfId="33318" xr:uid="{00000000-0005-0000-0000-000076380000}"/>
    <cellStyle name="Note 3 2 5 14" xfId="39687" xr:uid="{00000000-0005-0000-0000-000077380000}"/>
    <cellStyle name="Note 3 2 5 15" xfId="39583" xr:uid="{00000000-0005-0000-0000-000078380000}"/>
    <cellStyle name="Note 3 2 5 2" xfId="972" xr:uid="{00000000-0005-0000-0000-000079380000}"/>
    <cellStyle name="Note 3 2 5 2 10" xfId="28583" xr:uid="{00000000-0005-0000-0000-00007A380000}"/>
    <cellStyle name="Note 3 2 5 2 11" xfId="32271" xr:uid="{00000000-0005-0000-0000-00007B380000}"/>
    <cellStyle name="Note 3 2 5 2 12" xfId="36030" xr:uid="{00000000-0005-0000-0000-00007C380000}"/>
    <cellStyle name="Note 3 2 5 2 13" xfId="40035" xr:uid="{00000000-0005-0000-0000-00007D380000}"/>
    <cellStyle name="Note 3 2 5 2 14" xfId="43856" xr:uid="{00000000-0005-0000-0000-00007E380000}"/>
    <cellStyle name="Note 3 2 5 2 2" xfId="1701" xr:uid="{00000000-0005-0000-0000-00007F380000}"/>
    <cellStyle name="Note 3 2 5 2 2 10" xfId="32988" xr:uid="{00000000-0005-0000-0000-000080380000}"/>
    <cellStyle name="Note 3 2 5 2 2 11" xfId="36758" xr:uid="{00000000-0005-0000-0000-000081380000}"/>
    <cellStyle name="Note 3 2 5 2 2 12" xfId="40749" xr:uid="{00000000-0005-0000-0000-000082380000}"/>
    <cellStyle name="Note 3 2 5 2 2 13" xfId="44580" xr:uid="{00000000-0005-0000-0000-000083380000}"/>
    <cellStyle name="Note 3 2 5 2 2 2" xfId="3691" xr:uid="{00000000-0005-0000-0000-000084380000}"/>
    <cellStyle name="Note 3 2 5 2 2 2 10" xfId="38742" xr:uid="{00000000-0005-0000-0000-000085380000}"/>
    <cellStyle name="Note 3 2 5 2 2 2 11" xfId="42753" xr:uid="{00000000-0005-0000-0000-000086380000}"/>
    <cellStyle name="Note 3 2 5 2 2 2 12" xfId="46518" xr:uid="{00000000-0005-0000-0000-000087380000}"/>
    <cellStyle name="Note 3 2 5 2 2 2 2" xfId="7558" xr:uid="{00000000-0005-0000-0000-000088380000}"/>
    <cellStyle name="Note 3 2 5 2 2 2 3" xfId="11993" xr:uid="{00000000-0005-0000-0000-000089380000}"/>
    <cellStyle name="Note 3 2 5 2 2 2 4" xfId="15838" xr:uid="{00000000-0005-0000-0000-00008A380000}"/>
    <cellStyle name="Note 3 2 5 2 2 2 5" xfId="19685" xr:uid="{00000000-0005-0000-0000-00008B380000}"/>
    <cellStyle name="Note 3 2 5 2 2 2 6" xfId="23601" xr:uid="{00000000-0005-0000-0000-00008C380000}"/>
    <cellStyle name="Note 3 2 5 2 2 2 7" xfId="27435" xr:uid="{00000000-0005-0000-0000-00008D380000}"/>
    <cellStyle name="Note 3 2 5 2 2 2 8" xfId="31299" xr:uid="{00000000-0005-0000-0000-00008E380000}"/>
    <cellStyle name="Note 3 2 5 2 2 2 9" xfId="34956" xr:uid="{00000000-0005-0000-0000-00008F380000}"/>
    <cellStyle name="Note 3 2 5 2 2 3" xfId="5634" xr:uid="{00000000-0005-0000-0000-000090380000}"/>
    <cellStyle name="Note 3 2 5 2 2 4" xfId="9992" xr:uid="{00000000-0005-0000-0000-000091380000}"/>
    <cellStyle name="Note 3 2 5 2 2 5" xfId="13838" xr:uid="{00000000-0005-0000-0000-000092380000}"/>
    <cellStyle name="Note 3 2 5 2 2 6" xfId="17667" xr:uid="{00000000-0005-0000-0000-000093380000}"/>
    <cellStyle name="Note 3 2 5 2 2 7" xfId="21606" xr:uid="{00000000-0005-0000-0000-000094380000}"/>
    <cellStyle name="Note 3 2 5 2 2 8" xfId="25419" xr:uid="{00000000-0005-0000-0000-000095380000}"/>
    <cellStyle name="Note 3 2 5 2 2 9" xfId="29306" xr:uid="{00000000-0005-0000-0000-000096380000}"/>
    <cellStyle name="Note 3 2 5 2 3" xfId="2962" xr:uid="{00000000-0005-0000-0000-000097380000}"/>
    <cellStyle name="Note 3 2 5 2 3 10" xfId="38014" xr:uid="{00000000-0005-0000-0000-000098380000}"/>
    <cellStyle name="Note 3 2 5 2 3 11" xfId="42026" xr:uid="{00000000-0005-0000-0000-000099380000}"/>
    <cellStyle name="Note 3 2 5 2 3 12" xfId="45801" xr:uid="{00000000-0005-0000-0000-00009A380000}"/>
    <cellStyle name="Note 3 2 5 2 3 2" xfId="6840" xr:uid="{00000000-0005-0000-0000-00009B380000}"/>
    <cellStyle name="Note 3 2 5 2 3 3" xfId="11268" xr:uid="{00000000-0005-0000-0000-00009C380000}"/>
    <cellStyle name="Note 3 2 5 2 3 4" xfId="15113" xr:uid="{00000000-0005-0000-0000-00009D380000}"/>
    <cellStyle name="Note 3 2 5 2 3 5" xfId="18956" xr:uid="{00000000-0005-0000-0000-00009E380000}"/>
    <cellStyle name="Note 3 2 5 2 3 6" xfId="22880" xr:uid="{00000000-0005-0000-0000-00009F380000}"/>
    <cellStyle name="Note 3 2 5 2 3 7" xfId="26707" xr:uid="{00000000-0005-0000-0000-0000A0380000}"/>
    <cellStyle name="Note 3 2 5 2 3 8" xfId="30581" xr:uid="{00000000-0005-0000-0000-0000A1380000}"/>
    <cellStyle name="Note 3 2 5 2 3 9" xfId="34239" xr:uid="{00000000-0005-0000-0000-0000A2380000}"/>
    <cellStyle name="Note 3 2 5 2 4" xfId="4916" xr:uid="{00000000-0005-0000-0000-0000A3380000}"/>
    <cellStyle name="Note 3 2 5 2 5" xfId="9271" xr:uid="{00000000-0005-0000-0000-0000A4380000}"/>
    <cellStyle name="Note 3 2 5 2 6" xfId="13112" xr:uid="{00000000-0005-0000-0000-0000A5380000}"/>
    <cellStyle name="Note 3 2 5 2 7" xfId="16938" xr:uid="{00000000-0005-0000-0000-0000A6380000}"/>
    <cellStyle name="Note 3 2 5 2 8" xfId="20880" xr:uid="{00000000-0005-0000-0000-0000A7380000}"/>
    <cellStyle name="Note 3 2 5 2 9" xfId="24695" xr:uid="{00000000-0005-0000-0000-0000A8380000}"/>
    <cellStyle name="Note 3 2 5 3" xfId="1348" xr:uid="{00000000-0005-0000-0000-0000A9380000}"/>
    <cellStyle name="Note 3 2 5 3 10" xfId="32635" xr:uid="{00000000-0005-0000-0000-0000AA380000}"/>
    <cellStyle name="Note 3 2 5 3 11" xfId="36405" xr:uid="{00000000-0005-0000-0000-0000AB380000}"/>
    <cellStyle name="Note 3 2 5 3 12" xfId="40396" xr:uid="{00000000-0005-0000-0000-0000AC380000}"/>
    <cellStyle name="Note 3 2 5 3 13" xfId="44227" xr:uid="{00000000-0005-0000-0000-0000AD380000}"/>
    <cellStyle name="Note 3 2 5 3 2" xfId="3338" xr:uid="{00000000-0005-0000-0000-0000AE380000}"/>
    <cellStyle name="Note 3 2 5 3 2 10" xfId="38389" xr:uid="{00000000-0005-0000-0000-0000AF380000}"/>
    <cellStyle name="Note 3 2 5 3 2 11" xfId="42400" xr:uid="{00000000-0005-0000-0000-0000B0380000}"/>
    <cellStyle name="Note 3 2 5 3 2 12" xfId="46165" xr:uid="{00000000-0005-0000-0000-0000B1380000}"/>
    <cellStyle name="Note 3 2 5 3 2 2" xfId="7205" xr:uid="{00000000-0005-0000-0000-0000B2380000}"/>
    <cellStyle name="Note 3 2 5 3 2 3" xfId="11640" xr:uid="{00000000-0005-0000-0000-0000B3380000}"/>
    <cellStyle name="Note 3 2 5 3 2 4" xfId="15485" xr:uid="{00000000-0005-0000-0000-0000B4380000}"/>
    <cellStyle name="Note 3 2 5 3 2 5" xfId="19332" xr:uid="{00000000-0005-0000-0000-0000B5380000}"/>
    <cellStyle name="Note 3 2 5 3 2 6" xfId="23248" xr:uid="{00000000-0005-0000-0000-0000B6380000}"/>
    <cellStyle name="Note 3 2 5 3 2 7" xfId="27082" xr:uid="{00000000-0005-0000-0000-0000B7380000}"/>
    <cellStyle name="Note 3 2 5 3 2 8" xfId="30950" xr:uid="{00000000-0005-0000-0000-0000B8380000}"/>
    <cellStyle name="Note 3 2 5 3 2 9" xfId="34603" xr:uid="{00000000-0005-0000-0000-0000B9380000}"/>
    <cellStyle name="Note 3 2 5 3 3" xfId="5281" xr:uid="{00000000-0005-0000-0000-0000BA380000}"/>
    <cellStyle name="Note 3 2 5 3 4" xfId="9639" xr:uid="{00000000-0005-0000-0000-0000BB380000}"/>
    <cellStyle name="Note 3 2 5 3 5" xfId="13485" xr:uid="{00000000-0005-0000-0000-0000BC380000}"/>
    <cellStyle name="Note 3 2 5 3 6" xfId="17314" xr:uid="{00000000-0005-0000-0000-0000BD380000}"/>
    <cellStyle name="Note 3 2 5 3 7" xfId="21253" xr:uid="{00000000-0005-0000-0000-0000BE380000}"/>
    <cellStyle name="Note 3 2 5 3 8" xfId="25066" xr:uid="{00000000-0005-0000-0000-0000BF380000}"/>
    <cellStyle name="Note 3 2 5 3 9" xfId="28953" xr:uid="{00000000-0005-0000-0000-0000C0380000}"/>
    <cellStyle name="Note 3 2 5 4" xfId="2595" xr:uid="{00000000-0005-0000-0000-0000C1380000}"/>
    <cellStyle name="Note 3 2 5 4 10" xfId="37647" xr:uid="{00000000-0005-0000-0000-0000C2380000}"/>
    <cellStyle name="Note 3 2 5 4 11" xfId="41661" xr:uid="{00000000-0005-0000-0000-0000C3380000}"/>
    <cellStyle name="Note 3 2 5 4 12" xfId="45448" xr:uid="{00000000-0005-0000-0000-0000C4380000}"/>
    <cellStyle name="Note 3 2 5 4 2" xfId="6485" xr:uid="{00000000-0005-0000-0000-0000C5380000}"/>
    <cellStyle name="Note 3 2 5 4 3" xfId="10909" xr:uid="{00000000-0005-0000-0000-0000C6380000}"/>
    <cellStyle name="Note 3 2 5 4 4" xfId="14753" xr:uid="{00000000-0005-0000-0000-0000C7380000}"/>
    <cellStyle name="Note 3 2 5 4 5" xfId="18589" xr:uid="{00000000-0005-0000-0000-0000C8380000}"/>
    <cellStyle name="Note 3 2 5 4 6" xfId="22522" xr:uid="{00000000-0005-0000-0000-0000C9380000}"/>
    <cellStyle name="Note 3 2 5 4 7" xfId="26340" xr:uid="{00000000-0005-0000-0000-0000CA380000}"/>
    <cellStyle name="Note 3 2 5 4 8" xfId="30219" xr:uid="{00000000-0005-0000-0000-0000CB380000}"/>
    <cellStyle name="Note 3 2 5 4 9" xfId="33886" xr:uid="{00000000-0005-0000-0000-0000CC380000}"/>
    <cellStyle name="Note 3 2 5 5" xfId="4561" xr:uid="{00000000-0005-0000-0000-0000CD380000}"/>
    <cellStyle name="Note 3 2 5 6" xfId="8901" xr:uid="{00000000-0005-0000-0000-0000CE380000}"/>
    <cellStyle name="Note 3 2 5 7" xfId="10393" xr:uid="{00000000-0005-0000-0000-0000CF380000}"/>
    <cellStyle name="Note 3 2 5 8" xfId="14233" xr:uid="{00000000-0005-0000-0000-0000D0380000}"/>
    <cellStyle name="Note 3 2 5 9" xfId="20505" xr:uid="{00000000-0005-0000-0000-0000D1380000}"/>
    <cellStyle name="Note 3 2 6" xfId="770" xr:uid="{00000000-0005-0000-0000-0000D2380000}"/>
    <cellStyle name="Note 3 2 6 10" xfId="24499" xr:uid="{00000000-0005-0000-0000-0000D3380000}"/>
    <cellStyle name="Note 3 2 6 11" xfId="28389" xr:uid="{00000000-0005-0000-0000-0000D4380000}"/>
    <cellStyle name="Note 3 2 6 12" xfId="25752" xr:uid="{00000000-0005-0000-0000-0000D5380000}"/>
    <cellStyle name="Note 3 2 6 13" xfId="35834" xr:uid="{00000000-0005-0000-0000-0000D6380000}"/>
    <cellStyle name="Note 3 2 6 14" xfId="39853" xr:uid="{00000000-0005-0000-0000-0000D7380000}"/>
    <cellStyle name="Note 3 2 6 15" xfId="43660" xr:uid="{00000000-0005-0000-0000-0000D8380000}"/>
    <cellStyle name="Note 3 2 6 2" xfId="1140" xr:uid="{00000000-0005-0000-0000-0000D9380000}"/>
    <cellStyle name="Note 3 2 6 2 10" xfId="28749" xr:uid="{00000000-0005-0000-0000-0000DA380000}"/>
    <cellStyle name="Note 3 2 6 2 11" xfId="32437" xr:uid="{00000000-0005-0000-0000-0000DB380000}"/>
    <cellStyle name="Note 3 2 6 2 12" xfId="36198" xr:uid="{00000000-0005-0000-0000-0000DC380000}"/>
    <cellStyle name="Note 3 2 6 2 13" xfId="40199" xr:uid="{00000000-0005-0000-0000-0000DD380000}"/>
    <cellStyle name="Note 3 2 6 2 14" xfId="44024" xr:uid="{00000000-0005-0000-0000-0000DE380000}"/>
    <cellStyle name="Note 3 2 6 2 2" xfId="1867" xr:uid="{00000000-0005-0000-0000-0000DF380000}"/>
    <cellStyle name="Note 3 2 6 2 2 10" xfId="33154" xr:uid="{00000000-0005-0000-0000-0000E0380000}"/>
    <cellStyle name="Note 3 2 6 2 2 11" xfId="36924" xr:uid="{00000000-0005-0000-0000-0000E1380000}"/>
    <cellStyle name="Note 3 2 6 2 2 12" xfId="40915" xr:uid="{00000000-0005-0000-0000-0000E2380000}"/>
    <cellStyle name="Note 3 2 6 2 2 13" xfId="44746" xr:uid="{00000000-0005-0000-0000-0000E3380000}"/>
    <cellStyle name="Note 3 2 6 2 2 2" xfId="3857" xr:uid="{00000000-0005-0000-0000-0000E4380000}"/>
    <cellStyle name="Note 3 2 6 2 2 2 10" xfId="38908" xr:uid="{00000000-0005-0000-0000-0000E5380000}"/>
    <cellStyle name="Note 3 2 6 2 2 2 11" xfId="42919" xr:uid="{00000000-0005-0000-0000-0000E6380000}"/>
    <cellStyle name="Note 3 2 6 2 2 2 12" xfId="46684" xr:uid="{00000000-0005-0000-0000-0000E7380000}"/>
    <cellStyle name="Note 3 2 6 2 2 2 2" xfId="7724" xr:uid="{00000000-0005-0000-0000-0000E8380000}"/>
    <cellStyle name="Note 3 2 6 2 2 2 3" xfId="12159" xr:uid="{00000000-0005-0000-0000-0000E9380000}"/>
    <cellStyle name="Note 3 2 6 2 2 2 4" xfId="16004" xr:uid="{00000000-0005-0000-0000-0000EA380000}"/>
    <cellStyle name="Note 3 2 6 2 2 2 5" xfId="19851" xr:uid="{00000000-0005-0000-0000-0000EB380000}"/>
    <cellStyle name="Note 3 2 6 2 2 2 6" xfId="23767" xr:uid="{00000000-0005-0000-0000-0000EC380000}"/>
    <cellStyle name="Note 3 2 6 2 2 2 7" xfId="27601" xr:uid="{00000000-0005-0000-0000-0000ED380000}"/>
    <cellStyle name="Note 3 2 6 2 2 2 8" xfId="31464" xr:uid="{00000000-0005-0000-0000-0000EE380000}"/>
    <cellStyle name="Note 3 2 6 2 2 2 9" xfId="35122" xr:uid="{00000000-0005-0000-0000-0000EF380000}"/>
    <cellStyle name="Note 3 2 6 2 2 3" xfId="5800" xr:uid="{00000000-0005-0000-0000-0000F0380000}"/>
    <cellStyle name="Note 3 2 6 2 2 4" xfId="10158" xr:uid="{00000000-0005-0000-0000-0000F1380000}"/>
    <cellStyle name="Note 3 2 6 2 2 5" xfId="14004" xr:uid="{00000000-0005-0000-0000-0000F2380000}"/>
    <cellStyle name="Note 3 2 6 2 2 6" xfId="17833" xr:uid="{00000000-0005-0000-0000-0000F3380000}"/>
    <cellStyle name="Note 3 2 6 2 2 7" xfId="21772" xr:uid="{00000000-0005-0000-0000-0000F4380000}"/>
    <cellStyle name="Note 3 2 6 2 2 8" xfId="25585" xr:uid="{00000000-0005-0000-0000-0000F5380000}"/>
    <cellStyle name="Note 3 2 6 2 2 9" xfId="29472" xr:uid="{00000000-0005-0000-0000-0000F6380000}"/>
    <cellStyle name="Note 3 2 6 2 3" xfId="3130" xr:uid="{00000000-0005-0000-0000-0000F7380000}"/>
    <cellStyle name="Note 3 2 6 2 3 10" xfId="38182" xr:uid="{00000000-0005-0000-0000-0000F8380000}"/>
    <cellStyle name="Note 3 2 6 2 3 11" xfId="42194" xr:uid="{00000000-0005-0000-0000-0000F9380000}"/>
    <cellStyle name="Note 3 2 6 2 3 12" xfId="45967" xr:uid="{00000000-0005-0000-0000-0000FA380000}"/>
    <cellStyle name="Note 3 2 6 2 3 2" xfId="7006" xr:uid="{00000000-0005-0000-0000-0000FB380000}"/>
    <cellStyle name="Note 3 2 6 2 3 3" xfId="11435" xr:uid="{00000000-0005-0000-0000-0000FC380000}"/>
    <cellStyle name="Note 3 2 6 2 3 4" xfId="15279" xr:uid="{00000000-0005-0000-0000-0000FD380000}"/>
    <cellStyle name="Note 3 2 6 2 3 5" xfId="19124" xr:uid="{00000000-0005-0000-0000-0000FE380000}"/>
    <cellStyle name="Note 3 2 6 2 3 6" xfId="23046" xr:uid="{00000000-0005-0000-0000-0000FF380000}"/>
    <cellStyle name="Note 3 2 6 2 3 7" xfId="26875" xr:uid="{00000000-0005-0000-0000-000000390000}"/>
    <cellStyle name="Note 3 2 6 2 3 8" xfId="30747" xr:uid="{00000000-0005-0000-0000-000001390000}"/>
    <cellStyle name="Note 3 2 6 2 3 9" xfId="34405" xr:uid="{00000000-0005-0000-0000-000002390000}"/>
    <cellStyle name="Note 3 2 6 2 4" xfId="5082" xr:uid="{00000000-0005-0000-0000-000003390000}"/>
    <cellStyle name="Note 3 2 6 2 5" xfId="9438" xr:uid="{00000000-0005-0000-0000-000004390000}"/>
    <cellStyle name="Note 3 2 6 2 6" xfId="13278" xr:uid="{00000000-0005-0000-0000-000005390000}"/>
    <cellStyle name="Note 3 2 6 2 7" xfId="17106" xr:uid="{00000000-0005-0000-0000-000006390000}"/>
    <cellStyle name="Note 3 2 6 2 8" xfId="21048" xr:uid="{00000000-0005-0000-0000-000007390000}"/>
    <cellStyle name="Note 3 2 6 2 9" xfId="24862" xr:uid="{00000000-0005-0000-0000-000008390000}"/>
    <cellStyle name="Note 3 2 6 3" xfId="1514" xr:uid="{00000000-0005-0000-0000-000009390000}"/>
    <cellStyle name="Note 3 2 6 3 10" xfId="32801" xr:uid="{00000000-0005-0000-0000-00000A390000}"/>
    <cellStyle name="Note 3 2 6 3 11" xfId="36571" xr:uid="{00000000-0005-0000-0000-00000B390000}"/>
    <cellStyle name="Note 3 2 6 3 12" xfId="40562" xr:uid="{00000000-0005-0000-0000-00000C390000}"/>
    <cellStyle name="Note 3 2 6 3 13" xfId="44393" xr:uid="{00000000-0005-0000-0000-00000D390000}"/>
    <cellStyle name="Note 3 2 6 3 2" xfId="3504" xr:uid="{00000000-0005-0000-0000-00000E390000}"/>
    <cellStyle name="Note 3 2 6 3 2 10" xfId="38555" xr:uid="{00000000-0005-0000-0000-00000F390000}"/>
    <cellStyle name="Note 3 2 6 3 2 11" xfId="42566" xr:uid="{00000000-0005-0000-0000-000010390000}"/>
    <cellStyle name="Note 3 2 6 3 2 12" xfId="46331" xr:uid="{00000000-0005-0000-0000-000011390000}"/>
    <cellStyle name="Note 3 2 6 3 2 2" xfId="7371" xr:uid="{00000000-0005-0000-0000-000012390000}"/>
    <cellStyle name="Note 3 2 6 3 2 3" xfId="11806" xr:uid="{00000000-0005-0000-0000-000013390000}"/>
    <cellStyle name="Note 3 2 6 3 2 4" xfId="15651" xr:uid="{00000000-0005-0000-0000-000014390000}"/>
    <cellStyle name="Note 3 2 6 3 2 5" xfId="19498" xr:uid="{00000000-0005-0000-0000-000015390000}"/>
    <cellStyle name="Note 3 2 6 3 2 6" xfId="23414" xr:uid="{00000000-0005-0000-0000-000016390000}"/>
    <cellStyle name="Note 3 2 6 3 2 7" xfId="27248" xr:uid="{00000000-0005-0000-0000-000017390000}"/>
    <cellStyle name="Note 3 2 6 3 2 8" xfId="31115" xr:uid="{00000000-0005-0000-0000-000018390000}"/>
    <cellStyle name="Note 3 2 6 3 2 9" xfId="34769" xr:uid="{00000000-0005-0000-0000-000019390000}"/>
    <cellStyle name="Note 3 2 6 3 3" xfId="5447" xr:uid="{00000000-0005-0000-0000-00001A390000}"/>
    <cellStyle name="Note 3 2 6 3 4" xfId="9805" xr:uid="{00000000-0005-0000-0000-00001B390000}"/>
    <cellStyle name="Note 3 2 6 3 5" xfId="13651" xr:uid="{00000000-0005-0000-0000-00001C390000}"/>
    <cellStyle name="Note 3 2 6 3 6" xfId="17480" xr:uid="{00000000-0005-0000-0000-00001D390000}"/>
    <cellStyle name="Note 3 2 6 3 7" xfId="21419" xr:uid="{00000000-0005-0000-0000-00001E390000}"/>
    <cellStyle name="Note 3 2 6 3 8" xfId="25232" xr:uid="{00000000-0005-0000-0000-00001F390000}"/>
    <cellStyle name="Note 3 2 6 3 9" xfId="29119" xr:uid="{00000000-0005-0000-0000-000020390000}"/>
    <cellStyle name="Note 3 2 6 4" xfId="2766" xr:uid="{00000000-0005-0000-0000-000021390000}"/>
    <cellStyle name="Note 3 2 6 4 10" xfId="37818" xr:uid="{00000000-0005-0000-0000-000022390000}"/>
    <cellStyle name="Note 3 2 6 4 11" xfId="41831" xr:uid="{00000000-0005-0000-0000-000023390000}"/>
    <cellStyle name="Note 3 2 6 4 12" xfId="45614" xr:uid="{00000000-0005-0000-0000-000024390000}"/>
    <cellStyle name="Note 3 2 6 4 2" xfId="6652" xr:uid="{00000000-0005-0000-0000-000025390000}"/>
    <cellStyle name="Note 3 2 6 4 3" xfId="11076" xr:uid="{00000000-0005-0000-0000-000026390000}"/>
    <cellStyle name="Note 3 2 6 4 4" xfId="14921" xr:uid="{00000000-0005-0000-0000-000027390000}"/>
    <cellStyle name="Note 3 2 6 4 5" xfId="18760" xr:uid="{00000000-0005-0000-0000-000028390000}"/>
    <cellStyle name="Note 3 2 6 4 6" xfId="22690" xr:uid="{00000000-0005-0000-0000-000029390000}"/>
    <cellStyle name="Note 3 2 6 4 7" xfId="26511" xr:uid="{00000000-0005-0000-0000-00002A390000}"/>
    <cellStyle name="Note 3 2 6 4 8" xfId="30389" xr:uid="{00000000-0005-0000-0000-00002B390000}"/>
    <cellStyle name="Note 3 2 6 4 9" xfId="34052" xr:uid="{00000000-0005-0000-0000-00002C390000}"/>
    <cellStyle name="Note 3 2 6 5" xfId="4728" xr:uid="{00000000-0005-0000-0000-00002D390000}"/>
    <cellStyle name="Note 3 2 6 6" xfId="9075" xr:uid="{00000000-0005-0000-0000-00002E390000}"/>
    <cellStyle name="Note 3 2 6 7" xfId="12914" xr:uid="{00000000-0005-0000-0000-00002F390000}"/>
    <cellStyle name="Note 3 2 6 8" xfId="16740" xr:uid="{00000000-0005-0000-0000-000030390000}"/>
    <cellStyle name="Note 3 2 6 9" xfId="20679" xr:uid="{00000000-0005-0000-0000-000031390000}"/>
    <cellStyle name="Note 3 2 7" xfId="851" xr:uid="{00000000-0005-0000-0000-000032390000}"/>
    <cellStyle name="Note 3 2 7 10" xfId="24575" xr:uid="{00000000-0005-0000-0000-000033390000}"/>
    <cellStyle name="Note 3 2 7 11" xfId="28466" xr:uid="{00000000-0005-0000-0000-000034390000}"/>
    <cellStyle name="Note 3 2 7 12" xfId="32152" xr:uid="{00000000-0005-0000-0000-000035390000}"/>
    <cellStyle name="Note 3 2 7 13" xfId="35909" xr:uid="{00000000-0005-0000-0000-000036390000}"/>
    <cellStyle name="Note 3 2 7 14" xfId="39920" xr:uid="{00000000-0005-0000-0000-000037390000}"/>
    <cellStyle name="Note 3 2 7 15" xfId="43735" xr:uid="{00000000-0005-0000-0000-000038390000}"/>
    <cellStyle name="Note 3 2 7 2" xfId="1190" xr:uid="{00000000-0005-0000-0000-000039390000}"/>
    <cellStyle name="Note 3 2 7 2 10" xfId="28799" xr:uid="{00000000-0005-0000-0000-00003A390000}"/>
    <cellStyle name="Note 3 2 7 2 11" xfId="32482" xr:uid="{00000000-0005-0000-0000-00003B390000}"/>
    <cellStyle name="Note 3 2 7 2 12" xfId="36248" xr:uid="{00000000-0005-0000-0000-00003C390000}"/>
    <cellStyle name="Note 3 2 7 2 13" xfId="40242" xr:uid="{00000000-0005-0000-0000-00003D390000}"/>
    <cellStyle name="Note 3 2 7 2 14" xfId="44074" xr:uid="{00000000-0005-0000-0000-00003E390000}"/>
    <cellStyle name="Note 3 2 7 2 2" xfId="1912" xr:uid="{00000000-0005-0000-0000-00003F390000}"/>
    <cellStyle name="Note 3 2 7 2 2 10" xfId="33199" xr:uid="{00000000-0005-0000-0000-000040390000}"/>
    <cellStyle name="Note 3 2 7 2 2 11" xfId="36969" xr:uid="{00000000-0005-0000-0000-000041390000}"/>
    <cellStyle name="Note 3 2 7 2 2 12" xfId="40960" xr:uid="{00000000-0005-0000-0000-000042390000}"/>
    <cellStyle name="Note 3 2 7 2 2 13" xfId="44791" xr:uid="{00000000-0005-0000-0000-000043390000}"/>
    <cellStyle name="Note 3 2 7 2 2 2" xfId="3902" xr:uid="{00000000-0005-0000-0000-000044390000}"/>
    <cellStyle name="Note 3 2 7 2 2 2 10" xfId="38953" xr:uid="{00000000-0005-0000-0000-000045390000}"/>
    <cellStyle name="Note 3 2 7 2 2 2 11" xfId="42964" xr:uid="{00000000-0005-0000-0000-000046390000}"/>
    <cellStyle name="Note 3 2 7 2 2 2 12" xfId="46729" xr:uid="{00000000-0005-0000-0000-000047390000}"/>
    <cellStyle name="Note 3 2 7 2 2 2 2" xfId="7769" xr:uid="{00000000-0005-0000-0000-000048390000}"/>
    <cellStyle name="Note 3 2 7 2 2 2 3" xfId="12204" xr:uid="{00000000-0005-0000-0000-000049390000}"/>
    <cellStyle name="Note 3 2 7 2 2 2 4" xfId="16049" xr:uid="{00000000-0005-0000-0000-00004A390000}"/>
    <cellStyle name="Note 3 2 7 2 2 2 5" xfId="19896" xr:uid="{00000000-0005-0000-0000-00004B390000}"/>
    <cellStyle name="Note 3 2 7 2 2 2 6" xfId="23812" xr:uid="{00000000-0005-0000-0000-00004C390000}"/>
    <cellStyle name="Note 3 2 7 2 2 2 7" xfId="27646" xr:uid="{00000000-0005-0000-0000-00004D390000}"/>
    <cellStyle name="Note 3 2 7 2 2 2 8" xfId="31508" xr:uid="{00000000-0005-0000-0000-00004E390000}"/>
    <cellStyle name="Note 3 2 7 2 2 2 9" xfId="35167" xr:uid="{00000000-0005-0000-0000-00004F390000}"/>
    <cellStyle name="Note 3 2 7 2 2 3" xfId="5845" xr:uid="{00000000-0005-0000-0000-000050390000}"/>
    <cellStyle name="Note 3 2 7 2 2 4" xfId="10203" xr:uid="{00000000-0005-0000-0000-000051390000}"/>
    <cellStyle name="Note 3 2 7 2 2 5" xfId="14049" xr:uid="{00000000-0005-0000-0000-000052390000}"/>
    <cellStyle name="Note 3 2 7 2 2 6" xfId="17878" xr:uid="{00000000-0005-0000-0000-000053390000}"/>
    <cellStyle name="Note 3 2 7 2 2 7" xfId="21817" xr:uid="{00000000-0005-0000-0000-000054390000}"/>
    <cellStyle name="Note 3 2 7 2 2 8" xfId="25630" xr:uid="{00000000-0005-0000-0000-000055390000}"/>
    <cellStyle name="Note 3 2 7 2 2 9" xfId="29517" xr:uid="{00000000-0005-0000-0000-000056390000}"/>
    <cellStyle name="Note 3 2 7 2 3" xfId="3180" xr:uid="{00000000-0005-0000-0000-000057390000}"/>
    <cellStyle name="Note 3 2 7 2 3 10" xfId="38232" xr:uid="{00000000-0005-0000-0000-000058390000}"/>
    <cellStyle name="Note 3 2 7 2 3 11" xfId="42243" xr:uid="{00000000-0005-0000-0000-000059390000}"/>
    <cellStyle name="Note 3 2 7 2 3 12" xfId="46012" xr:uid="{00000000-0005-0000-0000-00005A390000}"/>
    <cellStyle name="Note 3 2 7 2 3 2" xfId="7052" xr:uid="{00000000-0005-0000-0000-00005B390000}"/>
    <cellStyle name="Note 3 2 7 2 3 3" xfId="11484" xr:uid="{00000000-0005-0000-0000-00005C390000}"/>
    <cellStyle name="Note 3 2 7 2 3 4" xfId="15328" xr:uid="{00000000-0005-0000-0000-00005D390000}"/>
    <cellStyle name="Note 3 2 7 2 3 5" xfId="19174" xr:uid="{00000000-0005-0000-0000-00005E390000}"/>
    <cellStyle name="Note 3 2 7 2 3 6" xfId="23093" xr:uid="{00000000-0005-0000-0000-00005F390000}"/>
    <cellStyle name="Note 3 2 7 2 3 7" xfId="26925" xr:uid="{00000000-0005-0000-0000-000060390000}"/>
    <cellStyle name="Note 3 2 7 2 3 8" xfId="30796" xr:uid="{00000000-0005-0000-0000-000061390000}"/>
    <cellStyle name="Note 3 2 7 2 3 9" xfId="34450" xr:uid="{00000000-0005-0000-0000-000062390000}"/>
    <cellStyle name="Note 3 2 7 2 4" xfId="5128" xr:uid="{00000000-0005-0000-0000-000063390000}"/>
    <cellStyle name="Note 3 2 7 2 5" xfId="9484" xr:uid="{00000000-0005-0000-0000-000064390000}"/>
    <cellStyle name="Note 3 2 7 2 6" xfId="13328" xr:uid="{00000000-0005-0000-0000-000065390000}"/>
    <cellStyle name="Note 3 2 7 2 7" xfId="17156" xr:uid="{00000000-0005-0000-0000-000066390000}"/>
    <cellStyle name="Note 3 2 7 2 8" xfId="21098" xr:uid="{00000000-0005-0000-0000-000067390000}"/>
    <cellStyle name="Note 3 2 7 2 9" xfId="24909" xr:uid="{00000000-0005-0000-0000-000068390000}"/>
    <cellStyle name="Note 3 2 7 3" xfId="1582" xr:uid="{00000000-0005-0000-0000-000069390000}"/>
    <cellStyle name="Note 3 2 7 3 10" xfId="32869" xr:uid="{00000000-0005-0000-0000-00006A390000}"/>
    <cellStyle name="Note 3 2 7 3 11" xfId="36639" xr:uid="{00000000-0005-0000-0000-00006B390000}"/>
    <cellStyle name="Note 3 2 7 3 12" xfId="40630" xr:uid="{00000000-0005-0000-0000-00006C390000}"/>
    <cellStyle name="Note 3 2 7 3 13" xfId="44461" xr:uid="{00000000-0005-0000-0000-00006D390000}"/>
    <cellStyle name="Note 3 2 7 3 2" xfId="3572" xr:uid="{00000000-0005-0000-0000-00006E390000}"/>
    <cellStyle name="Note 3 2 7 3 2 10" xfId="38623" xr:uid="{00000000-0005-0000-0000-00006F390000}"/>
    <cellStyle name="Note 3 2 7 3 2 11" xfId="42634" xr:uid="{00000000-0005-0000-0000-000070390000}"/>
    <cellStyle name="Note 3 2 7 3 2 12" xfId="46399" xr:uid="{00000000-0005-0000-0000-000071390000}"/>
    <cellStyle name="Note 3 2 7 3 2 2" xfId="7439" xr:uid="{00000000-0005-0000-0000-000072390000}"/>
    <cellStyle name="Note 3 2 7 3 2 3" xfId="11874" xr:uid="{00000000-0005-0000-0000-000073390000}"/>
    <cellStyle name="Note 3 2 7 3 2 4" xfId="15719" xr:uid="{00000000-0005-0000-0000-000074390000}"/>
    <cellStyle name="Note 3 2 7 3 2 5" xfId="19566" xr:uid="{00000000-0005-0000-0000-000075390000}"/>
    <cellStyle name="Note 3 2 7 3 2 6" xfId="23482" xr:uid="{00000000-0005-0000-0000-000076390000}"/>
    <cellStyle name="Note 3 2 7 3 2 7" xfId="27316" xr:uid="{00000000-0005-0000-0000-000077390000}"/>
    <cellStyle name="Note 3 2 7 3 2 8" xfId="31182" xr:uid="{00000000-0005-0000-0000-000078390000}"/>
    <cellStyle name="Note 3 2 7 3 2 9" xfId="34837" xr:uid="{00000000-0005-0000-0000-000079390000}"/>
    <cellStyle name="Note 3 2 7 3 3" xfId="5515" xr:uid="{00000000-0005-0000-0000-00007A390000}"/>
    <cellStyle name="Note 3 2 7 3 4" xfId="9873" xr:uid="{00000000-0005-0000-0000-00007B390000}"/>
    <cellStyle name="Note 3 2 7 3 5" xfId="13719" xr:uid="{00000000-0005-0000-0000-00007C390000}"/>
    <cellStyle name="Note 3 2 7 3 6" xfId="17548" xr:uid="{00000000-0005-0000-0000-00007D390000}"/>
    <cellStyle name="Note 3 2 7 3 7" xfId="21487" xr:uid="{00000000-0005-0000-0000-00007E390000}"/>
    <cellStyle name="Note 3 2 7 3 8" xfId="25300" xr:uid="{00000000-0005-0000-0000-00007F390000}"/>
    <cellStyle name="Note 3 2 7 3 9" xfId="29187" xr:uid="{00000000-0005-0000-0000-000080390000}"/>
    <cellStyle name="Note 3 2 7 4" xfId="2841" xr:uid="{00000000-0005-0000-0000-000081390000}"/>
    <cellStyle name="Note 3 2 7 4 10" xfId="37893" xr:uid="{00000000-0005-0000-0000-000082390000}"/>
    <cellStyle name="Note 3 2 7 4 11" xfId="41905" xr:uid="{00000000-0005-0000-0000-000083390000}"/>
    <cellStyle name="Note 3 2 7 4 12" xfId="45682" xr:uid="{00000000-0005-0000-0000-000084390000}"/>
    <cellStyle name="Note 3 2 7 4 2" xfId="6721" xr:uid="{00000000-0005-0000-0000-000085390000}"/>
    <cellStyle name="Note 3 2 7 4 3" xfId="11148" xr:uid="{00000000-0005-0000-0000-000086390000}"/>
    <cellStyle name="Note 3 2 7 4 4" xfId="14993" xr:uid="{00000000-0005-0000-0000-000087390000}"/>
    <cellStyle name="Note 3 2 7 4 5" xfId="18835" xr:uid="{00000000-0005-0000-0000-000088390000}"/>
    <cellStyle name="Note 3 2 7 4 6" xfId="22761" xr:uid="{00000000-0005-0000-0000-000089390000}"/>
    <cellStyle name="Note 3 2 7 4 7" xfId="26586" xr:uid="{00000000-0005-0000-0000-00008A390000}"/>
    <cellStyle name="Note 3 2 7 4 8" xfId="30463" xr:uid="{00000000-0005-0000-0000-00008B390000}"/>
    <cellStyle name="Note 3 2 7 4 9" xfId="34120" xr:uid="{00000000-0005-0000-0000-00008C390000}"/>
    <cellStyle name="Note 3 2 7 5" xfId="4797" xr:uid="{00000000-0005-0000-0000-00008D390000}"/>
    <cellStyle name="Note 3 2 7 6" xfId="9151" xr:uid="{00000000-0005-0000-0000-00008E390000}"/>
    <cellStyle name="Note 3 2 7 7" xfId="12992" xr:uid="{00000000-0005-0000-0000-00008F390000}"/>
    <cellStyle name="Note 3 2 7 8" xfId="16817" xr:uid="{00000000-0005-0000-0000-000090390000}"/>
    <cellStyle name="Note 3 2 7 9" xfId="20759" xr:uid="{00000000-0005-0000-0000-000091390000}"/>
    <cellStyle name="Note 3 2 8" xfId="834" xr:uid="{00000000-0005-0000-0000-000092390000}"/>
    <cellStyle name="Note 3 2 8 10" xfId="28449" xr:uid="{00000000-0005-0000-0000-000093390000}"/>
    <cellStyle name="Note 3 2 8 11" xfId="32135" xr:uid="{00000000-0005-0000-0000-000094390000}"/>
    <cellStyle name="Note 3 2 8 12" xfId="35892" xr:uid="{00000000-0005-0000-0000-000095390000}"/>
    <cellStyle name="Note 3 2 8 13" xfId="39903" xr:uid="{00000000-0005-0000-0000-000096390000}"/>
    <cellStyle name="Note 3 2 8 14" xfId="43718" xr:uid="{00000000-0005-0000-0000-000097390000}"/>
    <cellStyle name="Note 3 2 8 2" xfId="1565" xr:uid="{00000000-0005-0000-0000-000098390000}"/>
    <cellStyle name="Note 3 2 8 2 10" xfId="32852" xr:uid="{00000000-0005-0000-0000-000099390000}"/>
    <cellStyle name="Note 3 2 8 2 11" xfId="36622" xr:uid="{00000000-0005-0000-0000-00009A390000}"/>
    <cellStyle name="Note 3 2 8 2 12" xfId="40613" xr:uid="{00000000-0005-0000-0000-00009B390000}"/>
    <cellStyle name="Note 3 2 8 2 13" xfId="44444" xr:uid="{00000000-0005-0000-0000-00009C390000}"/>
    <cellStyle name="Note 3 2 8 2 2" xfId="3555" xr:uid="{00000000-0005-0000-0000-00009D390000}"/>
    <cellStyle name="Note 3 2 8 2 2 10" xfId="38606" xr:uid="{00000000-0005-0000-0000-00009E390000}"/>
    <cellStyle name="Note 3 2 8 2 2 11" xfId="42617" xr:uid="{00000000-0005-0000-0000-00009F390000}"/>
    <cellStyle name="Note 3 2 8 2 2 12" xfId="46382" xr:uid="{00000000-0005-0000-0000-0000A0390000}"/>
    <cellStyle name="Note 3 2 8 2 2 2" xfId="7422" xr:uid="{00000000-0005-0000-0000-0000A1390000}"/>
    <cellStyle name="Note 3 2 8 2 2 3" xfId="11857" xr:uid="{00000000-0005-0000-0000-0000A2390000}"/>
    <cellStyle name="Note 3 2 8 2 2 4" xfId="15702" xr:uid="{00000000-0005-0000-0000-0000A3390000}"/>
    <cellStyle name="Note 3 2 8 2 2 5" xfId="19549" xr:uid="{00000000-0005-0000-0000-0000A4390000}"/>
    <cellStyle name="Note 3 2 8 2 2 6" xfId="23465" xr:uid="{00000000-0005-0000-0000-0000A5390000}"/>
    <cellStyle name="Note 3 2 8 2 2 7" xfId="27299" xr:uid="{00000000-0005-0000-0000-0000A6390000}"/>
    <cellStyle name="Note 3 2 8 2 2 8" xfId="31165" xr:uid="{00000000-0005-0000-0000-0000A7390000}"/>
    <cellStyle name="Note 3 2 8 2 2 9" xfId="34820" xr:uid="{00000000-0005-0000-0000-0000A8390000}"/>
    <cellStyle name="Note 3 2 8 2 3" xfId="5498" xr:uid="{00000000-0005-0000-0000-0000A9390000}"/>
    <cellStyle name="Note 3 2 8 2 4" xfId="9856" xr:uid="{00000000-0005-0000-0000-0000AA390000}"/>
    <cellStyle name="Note 3 2 8 2 5" xfId="13702" xr:uid="{00000000-0005-0000-0000-0000AB390000}"/>
    <cellStyle name="Note 3 2 8 2 6" xfId="17531" xr:uid="{00000000-0005-0000-0000-0000AC390000}"/>
    <cellStyle name="Note 3 2 8 2 7" xfId="21470" xr:uid="{00000000-0005-0000-0000-0000AD390000}"/>
    <cellStyle name="Note 3 2 8 2 8" xfId="25283" xr:uid="{00000000-0005-0000-0000-0000AE390000}"/>
    <cellStyle name="Note 3 2 8 2 9" xfId="29170" xr:uid="{00000000-0005-0000-0000-0000AF390000}"/>
    <cellStyle name="Note 3 2 8 3" xfId="2824" xr:uid="{00000000-0005-0000-0000-0000B0390000}"/>
    <cellStyle name="Note 3 2 8 3 10" xfId="37876" xr:uid="{00000000-0005-0000-0000-0000B1390000}"/>
    <cellStyle name="Note 3 2 8 3 11" xfId="41888" xr:uid="{00000000-0005-0000-0000-0000B2390000}"/>
    <cellStyle name="Note 3 2 8 3 12" xfId="45665" xr:uid="{00000000-0005-0000-0000-0000B3390000}"/>
    <cellStyle name="Note 3 2 8 3 2" xfId="6704" xr:uid="{00000000-0005-0000-0000-0000B4390000}"/>
    <cellStyle name="Note 3 2 8 3 3" xfId="11131" xr:uid="{00000000-0005-0000-0000-0000B5390000}"/>
    <cellStyle name="Note 3 2 8 3 4" xfId="14976" xr:uid="{00000000-0005-0000-0000-0000B6390000}"/>
    <cellStyle name="Note 3 2 8 3 5" xfId="18818" xr:uid="{00000000-0005-0000-0000-0000B7390000}"/>
    <cellStyle name="Note 3 2 8 3 6" xfId="22744" xr:uid="{00000000-0005-0000-0000-0000B8390000}"/>
    <cellStyle name="Note 3 2 8 3 7" xfId="26569" xr:uid="{00000000-0005-0000-0000-0000B9390000}"/>
    <cellStyle name="Note 3 2 8 3 8" xfId="30446" xr:uid="{00000000-0005-0000-0000-0000BA390000}"/>
    <cellStyle name="Note 3 2 8 3 9" xfId="34103" xr:uid="{00000000-0005-0000-0000-0000BB390000}"/>
    <cellStyle name="Note 3 2 8 4" xfId="4780" xr:uid="{00000000-0005-0000-0000-0000BC390000}"/>
    <cellStyle name="Note 3 2 8 5" xfId="9134" xr:uid="{00000000-0005-0000-0000-0000BD390000}"/>
    <cellStyle name="Note 3 2 8 6" xfId="12975" xr:uid="{00000000-0005-0000-0000-0000BE390000}"/>
    <cellStyle name="Note 3 2 8 7" xfId="16800" xr:uid="{00000000-0005-0000-0000-0000BF390000}"/>
    <cellStyle name="Note 3 2 8 8" xfId="20742" xr:uid="{00000000-0005-0000-0000-0000C0390000}"/>
    <cellStyle name="Note 3 2 8 9" xfId="24558" xr:uid="{00000000-0005-0000-0000-0000C1390000}"/>
    <cellStyle name="Note 3 2 9" xfId="1277" xr:uid="{00000000-0005-0000-0000-0000C2390000}"/>
    <cellStyle name="Note 3 2 9 10" xfId="32564" xr:uid="{00000000-0005-0000-0000-0000C3390000}"/>
    <cellStyle name="Note 3 2 9 11" xfId="36334" xr:uid="{00000000-0005-0000-0000-0000C4390000}"/>
    <cellStyle name="Note 3 2 9 12" xfId="40326" xr:uid="{00000000-0005-0000-0000-0000C5390000}"/>
    <cellStyle name="Note 3 2 9 13" xfId="44156" xr:uid="{00000000-0005-0000-0000-0000C6390000}"/>
    <cellStyle name="Note 3 2 9 2" xfId="3267" xr:uid="{00000000-0005-0000-0000-0000C7390000}"/>
    <cellStyle name="Note 3 2 9 2 10" xfId="38318" xr:uid="{00000000-0005-0000-0000-0000C8390000}"/>
    <cellStyle name="Note 3 2 9 2 11" xfId="42329" xr:uid="{00000000-0005-0000-0000-0000C9390000}"/>
    <cellStyle name="Note 3 2 9 2 12" xfId="46094" xr:uid="{00000000-0005-0000-0000-0000CA390000}"/>
    <cellStyle name="Note 3 2 9 2 2" xfId="7134" xr:uid="{00000000-0005-0000-0000-0000CB390000}"/>
    <cellStyle name="Note 3 2 9 2 3" xfId="11569" xr:uid="{00000000-0005-0000-0000-0000CC390000}"/>
    <cellStyle name="Note 3 2 9 2 4" xfId="15414" xr:uid="{00000000-0005-0000-0000-0000CD390000}"/>
    <cellStyle name="Note 3 2 9 2 5" xfId="19261" xr:uid="{00000000-0005-0000-0000-0000CE390000}"/>
    <cellStyle name="Note 3 2 9 2 6" xfId="23177" xr:uid="{00000000-0005-0000-0000-0000CF390000}"/>
    <cellStyle name="Note 3 2 9 2 7" xfId="27011" xr:uid="{00000000-0005-0000-0000-0000D0390000}"/>
    <cellStyle name="Note 3 2 9 2 8" xfId="30881" xr:uid="{00000000-0005-0000-0000-0000D1390000}"/>
    <cellStyle name="Note 3 2 9 2 9" xfId="34532" xr:uid="{00000000-0005-0000-0000-0000D2390000}"/>
    <cellStyle name="Note 3 2 9 3" xfId="5210" xr:uid="{00000000-0005-0000-0000-0000D3390000}"/>
    <cellStyle name="Note 3 2 9 4" xfId="9568" xr:uid="{00000000-0005-0000-0000-0000D4390000}"/>
    <cellStyle name="Note 3 2 9 5" xfId="13414" xr:uid="{00000000-0005-0000-0000-0000D5390000}"/>
    <cellStyle name="Note 3 2 9 6" xfId="17243" xr:uid="{00000000-0005-0000-0000-0000D6390000}"/>
    <cellStyle name="Note 3 2 9 7" xfId="21182" xr:uid="{00000000-0005-0000-0000-0000D7390000}"/>
    <cellStyle name="Note 3 2 9 8" xfId="24995" xr:uid="{00000000-0005-0000-0000-0000D8390000}"/>
    <cellStyle name="Note 3 2 9 9" xfId="28883" xr:uid="{00000000-0005-0000-0000-0000D9390000}"/>
    <cellStyle name="Note 3 20" xfId="8565" xr:uid="{00000000-0005-0000-0000-0000DA390000}"/>
    <cellStyle name="Note 3 21" xfId="11081" xr:uid="{00000000-0005-0000-0000-0000DB390000}"/>
    <cellStyle name="Note 3 22" xfId="8601" xr:uid="{00000000-0005-0000-0000-0000DC390000}"/>
    <cellStyle name="Note 3 23" xfId="11544" xr:uid="{00000000-0005-0000-0000-0000DD390000}"/>
    <cellStyle name="Note 3 24" xfId="39600" xr:uid="{00000000-0005-0000-0000-0000DE390000}"/>
    <cellStyle name="Note 3 25" xfId="47323" xr:uid="{00000000-0005-0000-0000-0000DF390000}"/>
    <cellStyle name="Note 3 26" xfId="47412" xr:uid="{00000000-0005-0000-0000-0000E0390000}"/>
    <cellStyle name="Note 3 27" xfId="47633" xr:uid="{00000000-0005-0000-0000-0000E1390000}"/>
    <cellStyle name="Note 3 3" xfId="552" xr:uid="{00000000-0005-0000-0000-0000E2390000}"/>
    <cellStyle name="Note 3 3 10" xfId="2204" xr:uid="{00000000-0005-0000-0000-0000E3390000}"/>
    <cellStyle name="Note 3 3 10 10" xfId="33505" xr:uid="{00000000-0005-0000-0000-0000E4390000}"/>
    <cellStyle name="Note 3 3 10 11" xfId="37256" xr:uid="{00000000-0005-0000-0000-0000E5390000}"/>
    <cellStyle name="Note 3 3 10 12" xfId="41272" xr:uid="{00000000-0005-0000-0000-0000E6390000}"/>
    <cellStyle name="Note 3 3 10 13" xfId="45067" xr:uid="{00000000-0005-0000-0000-0000E7390000}"/>
    <cellStyle name="Note 3 3 10 2" xfId="4187" xr:uid="{00000000-0005-0000-0000-0000E8390000}"/>
    <cellStyle name="Note 3 3 10 2 10" xfId="39238" xr:uid="{00000000-0005-0000-0000-0000E9390000}"/>
    <cellStyle name="Note 3 3 10 2 11" xfId="43248" xr:uid="{00000000-0005-0000-0000-0000EA390000}"/>
    <cellStyle name="Note 3 3 10 2 12" xfId="47005" xr:uid="{00000000-0005-0000-0000-0000EB390000}"/>
    <cellStyle name="Note 3 3 10 2 2" xfId="8046" xr:uid="{00000000-0005-0000-0000-0000EC390000}"/>
    <cellStyle name="Note 3 3 10 2 3" xfId="12486" xr:uid="{00000000-0005-0000-0000-0000ED390000}"/>
    <cellStyle name="Note 3 3 10 2 4" xfId="16331" xr:uid="{00000000-0005-0000-0000-0000EE390000}"/>
    <cellStyle name="Note 3 3 10 2 5" xfId="20181" xr:uid="{00000000-0005-0000-0000-0000EF390000}"/>
    <cellStyle name="Note 3 3 10 2 6" xfId="24093" xr:uid="{00000000-0005-0000-0000-0000F0390000}"/>
    <cellStyle name="Note 3 3 10 2 7" xfId="27931" xr:uid="{00000000-0005-0000-0000-0000F1390000}"/>
    <cellStyle name="Note 3 3 10 2 8" xfId="31790" xr:uid="{00000000-0005-0000-0000-0000F2390000}"/>
    <cellStyle name="Note 3 3 10 2 9" xfId="35443" xr:uid="{00000000-0005-0000-0000-0000F3390000}"/>
    <cellStyle name="Note 3 3 10 3" xfId="6118" xr:uid="{00000000-0005-0000-0000-0000F4390000}"/>
    <cellStyle name="Note 3 3 10 4" xfId="10521" xr:uid="{00000000-0005-0000-0000-0000F5390000}"/>
    <cellStyle name="Note 3 3 10 5" xfId="14367" xr:uid="{00000000-0005-0000-0000-0000F6390000}"/>
    <cellStyle name="Note 3 3 10 6" xfId="18198" xr:uid="{00000000-0005-0000-0000-0000F7390000}"/>
    <cellStyle name="Note 3 3 10 7" xfId="22137" xr:uid="{00000000-0005-0000-0000-0000F8390000}"/>
    <cellStyle name="Note 3 3 10 8" xfId="25949" xr:uid="{00000000-0005-0000-0000-0000F9390000}"/>
    <cellStyle name="Note 3 3 10 9" xfId="29829" xr:uid="{00000000-0005-0000-0000-0000FA390000}"/>
    <cellStyle name="Note 3 3 11" xfId="2262" xr:uid="{00000000-0005-0000-0000-0000FB390000}"/>
    <cellStyle name="Note 3 3 11 10" xfId="33563" xr:uid="{00000000-0005-0000-0000-0000FC390000}"/>
    <cellStyle name="Note 3 3 11 11" xfId="37314" xr:uid="{00000000-0005-0000-0000-0000FD390000}"/>
    <cellStyle name="Note 3 3 11 12" xfId="41330" xr:uid="{00000000-0005-0000-0000-0000FE390000}"/>
    <cellStyle name="Note 3 3 11 13" xfId="45125" xr:uid="{00000000-0005-0000-0000-0000FF390000}"/>
    <cellStyle name="Note 3 3 11 2" xfId="4245" xr:uid="{00000000-0005-0000-0000-0000003A0000}"/>
    <cellStyle name="Note 3 3 11 2 10" xfId="39296" xr:uid="{00000000-0005-0000-0000-0000013A0000}"/>
    <cellStyle name="Note 3 3 11 2 11" xfId="43306" xr:uid="{00000000-0005-0000-0000-0000023A0000}"/>
    <cellStyle name="Note 3 3 11 2 12" xfId="47063" xr:uid="{00000000-0005-0000-0000-0000033A0000}"/>
    <cellStyle name="Note 3 3 11 2 2" xfId="8104" xr:uid="{00000000-0005-0000-0000-0000043A0000}"/>
    <cellStyle name="Note 3 3 11 2 3" xfId="12544" xr:uid="{00000000-0005-0000-0000-0000053A0000}"/>
    <cellStyle name="Note 3 3 11 2 4" xfId="16389" xr:uid="{00000000-0005-0000-0000-0000063A0000}"/>
    <cellStyle name="Note 3 3 11 2 5" xfId="20239" xr:uid="{00000000-0005-0000-0000-0000073A0000}"/>
    <cellStyle name="Note 3 3 11 2 6" xfId="24151" xr:uid="{00000000-0005-0000-0000-0000083A0000}"/>
    <cellStyle name="Note 3 3 11 2 7" xfId="27989" xr:uid="{00000000-0005-0000-0000-0000093A0000}"/>
    <cellStyle name="Note 3 3 11 2 8" xfId="31848" xr:uid="{00000000-0005-0000-0000-00000A3A0000}"/>
    <cellStyle name="Note 3 3 11 2 9" xfId="35501" xr:uid="{00000000-0005-0000-0000-00000B3A0000}"/>
    <cellStyle name="Note 3 3 11 3" xfId="6176" xr:uid="{00000000-0005-0000-0000-00000C3A0000}"/>
    <cellStyle name="Note 3 3 11 4" xfId="10579" xr:uid="{00000000-0005-0000-0000-00000D3A0000}"/>
    <cellStyle name="Note 3 3 11 5" xfId="14425" xr:uid="{00000000-0005-0000-0000-00000E3A0000}"/>
    <cellStyle name="Note 3 3 11 6" xfId="18256" xr:uid="{00000000-0005-0000-0000-00000F3A0000}"/>
    <cellStyle name="Note 3 3 11 7" xfId="22195" xr:uid="{00000000-0005-0000-0000-0000103A0000}"/>
    <cellStyle name="Note 3 3 11 8" xfId="26007" xr:uid="{00000000-0005-0000-0000-0000113A0000}"/>
    <cellStyle name="Note 3 3 11 9" xfId="29887" xr:uid="{00000000-0005-0000-0000-0000123A0000}"/>
    <cellStyle name="Note 3 3 12" xfId="2317" xr:uid="{00000000-0005-0000-0000-0000133A0000}"/>
    <cellStyle name="Note 3 3 12 10" xfId="33618" xr:uid="{00000000-0005-0000-0000-0000143A0000}"/>
    <cellStyle name="Note 3 3 12 11" xfId="37369" xr:uid="{00000000-0005-0000-0000-0000153A0000}"/>
    <cellStyle name="Note 3 3 12 12" xfId="41385" xr:uid="{00000000-0005-0000-0000-0000163A0000}"/>
    <cellStyle name="Note 3 3 12 13" xfId="45180" xr:uid="{00000000-0005-0000-0000-0000173A0000}"/>
    <cellStyle name="Note 3 3 12 2" xfId="4300" xr:uid="{00000000-0005-0000-0000-0000183A0000}"/>
    <cellStyle name="Note 3 3 12 2 10" xfId="39351" xr:uid="{00000000-0005-0000-0000-0000193A0000}"/>
    <cellStyle name="Note 3 3 12 2 11" xfId="43361" xr:uid="{00000000-0005-0000-0000-00001A3A0000}"/>
    <cellStyle name="Note 3 3 12 2 12" xfId="47118" xr:uid="{00000000-0005-0000-0000-00001B3A0000}"/>
    <cellStyle name="Note 3 3 12 2 2" xfId="8159" xr:uid="{00000000-0005-0000-0000-00001C3A0000}"/>
    <cellStyle name="Note 3 3 12 2 3" xfId="12599" xr:uid="{00000000-0005-0000-0000-00001D3A0000}"/>
    <cellStyle name="Note 3 3 12 2 4" xfId="16444" xr:uid="{00000000-0005-0000-0000-00001E3A0000}"/>
    <cellStyle name="Note 3 3 12 2 5" xfId="20294" xr:uid="{00000000-0005-0000-0000-00001F3A0000}"/>
    <cellStyle name="Note 3 3 12 2 6" xfId="24206" xr:uid="{00000000-0005-0000-0000-0000203A0000}"/>
    <cellStyle name="Note 3 3 12 2 7" xfId="28044" xr:uid="{00000000-0005-0000-0000-0000213A0000}"/>
    <cellStyle name="Note 3 3 12 2 8" xfId="31903" xr:uid="{00000000-0005-0000-0000-0000223A0000}"/>
    <cellStyle name="Note 3 3 12 2 9" xfId="35556" xr:uid="{00000000-0005-0000-0000-0000233A0000}"/>
    <cellStyle name="Note 3 3 12 3" xfId="6231" xr:uid="{00000000-0005-0000-0000-0000243A0000}"/>
    <cellStyle name="Note 3 3 12 4" xfId="10634" xr:uid="{00000000-0005-0000-0000-0000253A0000}"/>
    <cellStyle name="Note 3 3 12 5" xfId="14480" xr:uid="{00000000-0005-0000-0000-0000263A0000}"/>
    <cellStyle name="Note 3 3 12 6" xfId="18311" xr:uid="{00000000-0005-0000-0000-0000273A0000}"/>
    <cellStyle name="Note 3 3 12 7" xfId="22250" xr:uid="{00000000-0005-0000-0000-0000283A0000}"/>
    <cellStyle name="Note 3 3 12 8" xfId="26062" xr:uid="{00000000-0005-0000-0000-0000293A0000}"/>
    <cellStyle name="Note 3 3 12 9" xfId="29942" xr:uid="{00000000-0005-0000-0000-00002A3A0000}"/>
    <cellStyle name="Note 3 3 13" xfId="2384" xr:uid="{00000000-0005-0000-0000-00002B3A0000}"/>
    <cellStyle name="Note 3 3 13 10" xfId="33682" xr:uid="{00000000-0005-0000-0000-00002C3A0000}"/>
    <cellStyle name="Note 3 3 13 11" xfId="37436" xr:uid="{00000000-0005-0000-0000-00002D3A0000}"/>
    <cellStyle name="Note 3 3 13 12" xfId="41451" xr:uid="{00000000-0005-0000-0000-00002E3A0000}"/>
    <cellStyle name="Note 3 3 13 13" xfId="45244" xr:uid="{00000000-0005-0000-0000-00002F3A0000}"/>
    <cellStyle name="Note 3 3 13 2" xfId="4367" xr:uid="{00000000-0005-0000-0000-0000303A0000}"/>
    <cellStyle name="Note 3 3 13 2 10" xfId="39418" xr:uid="{00000000-0005-0000-0000-0000313A0000}"/>
    <cellStyle name="Note 3 3 13 2 11" xfId="43427" xr:uid="{00000000-0005-0000-0000-0000323A0000}"/>
    <cellStyle name="Note 3 3 13 2 12" xfId="47182" xr:uid="{00000000-0005-0000-0000-0000333A0000}"/>
    <cellStyle name="Note 3 3 13 2 2" xfId="8224" xr:uid="{00000000-0005-0000-0000-0000343A0000}"/>
    <cellStyle name="Note 3 3 13 2 3" xfId="12665" xr:uid="{00000000-0005-0000-0000-0000353A0000}"/>
    <cellStyle name="Note 3 3 13 2 4" xfId="16510" xr:uid="{00000000-0005-0000-0000-0000363A0000}"/>
    <cellStyle name="Note 3 3 13 2 5" xfId="20361" xr:uid="{00000000-0005-0000-0000-0000373A0000}"/>
    <cellStyle name="Note 3 3 13 2 6" xfId="24272" xr:uid="{00000000-0005-0000-0000-0000383A0000}"/>
    <cellStyle name="Note 3 3 13 2 7" xfId="28111" xr:uid="{00000000-0005-0000-0000-0000393A0000}"/>
    <cellStyle name="Note 3 3 13 2 8" xfId="31969" xr:uid="{00000000-0005-0000-0000-00003A3A0000}"/>
    <cellStyle name="Note 3 3 13 2 9" xfId="35620" xr:uid="{00000000-0005-0000-0000-00003B3A0000}"/>
    <cellStyle name="Note 3 3 13 3" xfId="6280" xr:uid="{00000000-0005-0000-0000-00003C3A0000}"/>
    <cellStyle name="Note 3 3 13 4" xfId="10700" xr:uid="{00000000-0005-0000-0000-00003D3A0000}"/>
    <cellStyle name="Note 3 3 13 5" xfId="14546" xr:uid="{00000000-0005-0000-0000-00003E3A0000}"/>
    <cellStyle name="Note 3 3 13 6" xfId="18378" xr:uid="{00000000-0005-0000-0000-00003F3A0000}"/>
    <cellStyle name="Note 3 3 13 7" xfId="22316" xr:uid="{00000000-0005-0000-0000-0000403A0000}"/>
    <cellStyle name="Note 3 3 13 8" xfId="26129" xr:uid="{00000000-0005-0000-0000-0000413A0000}"/>
    <cellStyle name="Note 3 3 13 9" xfId="30009" xr:uid="{00000000-0005-0000-0000-0000423A0000}"/>
    <cellStyle name="Note 3 3 14" xfId="2434" xr:uid="{00000000-0005-0000-0000-0000433A0000}"/>
    <cellStyle name="Note 3 3 14 10" xfId="33732" xr:uid="{00000000-0005-0000-0000-0000443A0000}"/>
    <cellStyle name="Note 3 3 14 11" xfId="37486" xr:uid="{00000000-0005-0000-0000-0000453A0000}"/>
    <cellStyle name="Note 3 3 14 12" xfId="41501" xr:uid="{00000000-0005-0000-0000-0000463A0000}"/>
    <cellStyle name="Note 3 3 14 13" xfId="45294" xr:uid="{00000000-0005-0000-0000-0000473A0000}"/>
    <cellStyle name="Note 3 3 14 2" xfId="4417" xr:uid="{00000000-0005-0000-0000-0000483A0000}"/>
    <cellStyle name="Note 3 3 14 2 10" xfId="39468" xr:uid="{00000000-0005-0000-0000-0000493A0000}"/>
    <cellStyle name="Note 3 3 14 2 11" xfId="43477" xr:uid="{00000000-0005-0000-0000-00004A3A0000}"/>
    <cellStyle name="Note 3 3 14 2 12" xfId="47232" xr:uid="{00000000-0005-0000-0000-00004B3A0000}"/>
    <cellStyle name="Note 3 3 14 2 2" xfId="8274" xr:uid="{00000000-0005-0000-0000-00004C3A0000}"/>
    <cellStyle name="Note 3 3 14 2 3" xfId="12715" xr:uid="{00000000-0005-0000-0000-00004D3A0000}"/>
    <cellStyle name="Note 3 3 14 2 4" xfId="16560" xr:uid="{00000000-0005-0000-0000-00004E3A0000}"/>
    <cellStyle name="Note 3 3 14 2 5" xfId="20411" xr:uid="{00000000-0005-0000-0000-00004F3A0000}"/>
    <cellStyle name="Note 3 3 14 2 6" xfId="24322" xr:uid="{00000000-0005-0000-0000-0000503A0000}"/>
    <cellStyle name="Note 3 3 14 2 7" xfId="28161" xr:uid="{00000000-0005-0000-0000-0000513A0000}"/>
    <cellStyle name="Note 3 3 14 2 8" xfId="32019" xr:uid="{00000000-0005-0000-0000-0000523A0000}"/>
    <cellStyle name="Note 3 3 14 2 9" xfId="35670" xr:uid="{00000000-0005-0000-0000-0000533A0000}"/>
    <cellStyle name="Note 3 3 14 3" xfId="6330" xr:uid="{00000000-0005-0000-0000-0000543A0000}"/>
    <cellStyle name="Note 3 3 14 4" xfId="10750" xr:uid="{00000000-0005-0000-0000-0000553A0000}"/>
    <cellStyle name="Note 3 3 14 5" xfId="14596" xr:uid="{00000000-0005-0000-0000-0000563A0000}"/>
    <cellStyle name="Note 3 3 14 6" xfId="18428" xr:uid="{00000000-0005-0000-0000-0000573A0000}"/>
    <cellStyle name="Note 3 3 14 7" xfId="22366" xr:uid="{00000000-0005-0000-0000-0000583A0000}"/>
    <cellStyle name="Note 3 3 14 8" xfId="26179" xr:uid="{00000000-0005-0000-0000-0000593A0000}"/>
    <cellStyle name="Note 3 3 14 9" xfId="30058" xr:uid="{00000000-0005-0000-0000-00005A3A0000}"/>
    <cellStyle name="Note 3 3 15" xfId="2488" xr:uid="{00000000-0005-0000-0000-00005B3A0000}"/>
    <cellStyle name="Note 3 3 15 10" xfId="33783" xr:uid="{00000000-0005-0000-0000-00005C3A0000}"/>
    <cellStyle name="Note 3 3 15 11" xfId="37540" xr:uid="{00000000-0005-0000-0000-00005D3A0000}"/>
    <cellStyle name="Note 3 3 15 12" xfId="41554" xr:uid="{00000000-0005-0000-0000-00005E3A0000}"/>
    <cellStyle name="Note 3 3 15 13" xfId="45345" xr:uid="{00000000-0005-0000-0000-00005F3A0000}"/>
    <cellStyle name="Note 3 3 15 2" xfId="4470" xr:uid="{00000000-0005-0000-0000-0000603A0000}"/>
    <cellStyle name="Note 3 3 15 2 10" xfId="39521" xr:uid="{00000000-0005-0000-0000-0000613A0000}"/>
    <cellStyle name="Note 3 3 15 2 11" xfId="43530" xr:uid="{00000000-0005-0000-0000-0000623A0000}"/>
    <cellStyle name="Note 3 3 15 2 12" xfId="47283" xr:uid="{00000000-0005-0000-0000-0000633A0000}"/>
    <cellStyle name="Note 3 3 15 2 2" xfId="8325" xr:uid="{00000000-0005-0000-0000-0000643A0000}"/>
    <cellStyle name="Note 3 3 15 2 3" xfId="12768" xr:uid="{00000000-0005-0000-0000-0000653A0000}"/>
    <cellStyle name="Note 3 3 15 2 4" xfId="16611" xr:uid="{00000000-0005-0000-0000-0000663A0000}"/>
    <cellStyle name="Note 3 3 15 2 5" xfId="20464" xr:uid="{00000000-0005-0000-0000-0000673A0000}"/>
    <cellStyle name="Note 3 3 15 2 6" xfId="24374" xr:uid="{00000000-0005-0000-0000-0000683A0000}"/>
    <cellStyle name="Note 3 3 15 2 7" xfId="28214" xr:uid="{00000000-0005-0000-0000-0000693A0000}"/>
    <cellStyle name="Note 3 3 15 2 8" xfId="32072" xr:uid="{00000000-0005-0000-0000-00006A3A0000}"/>
    <cellStyle name="Note 3 3 15 2 9" xfId="35721" xr:uid="{00000000-0005-0000-0000-00006B3A0000}"/>
    <cellStyle name="Note 3 3 15 3" xfId="6382" xr:uid="{00000000-0005-0000-0000-00006C3A0000}"/>
    <cellStyle name="Note 3 3 15 4" xfId="10803" xr:uid="{00000000-0005-0000-0000-00006D3A0000}"/>
    <cellStyle name="Note 3 3 15 5" xfId="14649" xr:uid="{00000000-0005-0000-0000-00006E3A0000}"/>
    <cellStyle name="Note 3 3 15 6" xfId="18482" xr:uid="{00000000-0005-0000-0000-00006F3A0000}"/>
    <cellStyle name="Note 3 3 15 7" xfId="22419" xr:uid="{00000000-0005-0000-0000-0000703A0000}"/>
    <cellStyle name="Note 3 3 15 8" xfId="26233" xr:uid="{00000000-0005-0000-0000-0000713A0000}"/>
    <cellStyle name="Note 3 3 15 9" xfId="30112" xr:uid="{00000000-0005-0000-0000-0000723A0000}"/>
    <cellStyle name="Note 3 3 16" xfId="2559" xr:uid="{00000000-0005-0000-0000-0000733A0000}"/>
    <cellStyle name="Note 3 3 16 10" xfId="37611" xr:uid="{00000000-0005-0000-0000-0000743A0000}"/>
    <cellStyle name="Note 3 3 16 11" xfId="41625" xr:uid="{00000000-0005-0000-0000-0000753A0000}"/>
    <cellStyle name="Note 3 3 16 12" xfId="45414" xr:uid="{00000000-0005-0000-0000-0000763A0000}"/>
    <cellStyle name="Note 3 3 16 2" xfId="6451" xr:uid="{00000000-0005-0000-0000-0000773A0000}"/>
    <cellStyle name="Note 3 3 16 3" xfId="10874" xr:uid="{00000000-0005-0000-0000-0000783A0000}"/>
    <cellStyle name="Note 3 3 16 4" xfId="14718" xr:uid="{00000000-0005-0000-0000-0000793A0000}"/>
    <cellStyle name="Note 3 3 16 5" xfId="18553" xr:uid="{00000000-0005-0000-0000-00007A3A0000}"/>
    <cellStyle name="Note 3 3 16 6" xfId="22488" xr:uid="{00000000-0005-0000-0000-00007B3A0000}"/>
    <cellStyle name="Note 3 3 16 7" xfId="26304" xr:uid="{00000000-0005-0000-0000-00007C3A0000}"/>
    <cellStyle name="Note 3 3 16 8" xfId="30183" xr:uid="{00000000-0005-0000-0000-00007D3A0000}"/>
    <cellStyle name="Note 3 3 16 9" xfId="33852" xr:uid="{00000000-0005-0000-0000-00007E3A0000}"/>
    <cellStyle name="Note 3 3 17" xfId="4527" xr:uid="{00000000-0005-0000-0000-00007F3A0000}"/>
    <cellStyle name="Note 3 3 18" xfId="8354" xr:uid="{00000000-0005-0000-0000-0000803A0000}"/>
    <cellStyle name="Note 3 3 19" xfId="8742" xr:uid="{00000000-0005-0000-0000-0000813A0000}"/>
    <cellStyle name="Note 3 3 2" xfId="688" xr:uid="{00000000-0005-0000-0000-0000823A0000}"/>
    <cellStyle name="Note 3 3 2 10" xfId="24422" xr:uid="{00000000-0005-0000-0000-0000833A0000}"/>
    <cellStyle name="Note 3 3 2 11" xfId="28315" xr:uid="{00000000-0005-0000-0000-0000843A0000}"/>
    <cellStyle name="Note 3 3 2 12" xfId="28276" xr:uid="{00000000-0005-0000-0000-0000853A0000}"/>
    <cellStyle name="Note 3 3 2 13" xfId="35759" xr:uid="{00000000-0005-0000-0000-0000863A0000}"/>
    <cellStyle name="Note 3 3 2 14" xfId="39782" xr:uid="{00000000-0005-0000-0000-0000873A0000}"/>
    <cellStyle name="Note 3 3 2 15" xfId="43585" xr:uid="{00000000-0005-0000-0000-0000883A0000}"/>
    <cellStyle name="Note 3 3 2 2" xfId="1068" xr:uid="{00000000-0005-0000-0000-0000893A0000}"/>
    <cellStyle name="Note 3 3 2 2 10" xfId="28679" xr:uid="{00000000-0005-0000-0000-00008A3A0000}"/>
    <cellStyle name="Note 3 3 2 2 11" xfId="32365" xr:uid="{00000000-0005-0000-0000-00008B3A0000}"/>
    <cellStyle name="Note 3 3 2 2 12" xfId="36126" xr:uid="{00000000-0005-0000-0000-00008C3A0000}"/>
    <cellStyle name="Note 3 3 2 2 13" xfId="40129" xr:uid="{00000000-0005-0000-0000-00008D3A0000}"/>
    <cellStyle name="Note 3 3 2 2 14" xfId="43952" xr:uid="{00000000-0005-0000-0000-00008E3A0000}"/>
    <cellStyle name="Note 3 3 2 2 2" xfId="1795" xr:uid="{00000000-0005-0000-0000-00008F3A0000}"/>
    <cellStyle name="Note 3 3 2 2 2 10" xfId="33082" xr:uid="{00000000-0005-0000-0000-0000903A0000}"/>
    <cellStyle name="Note 3 3 2 2 2 11" xfId="36852" xr:uid="{00000000-0005-0000-0000-0000913A0000}"/>
    <cellStyle name="Note 3 3 2 2 2 12" xfId="40843" xr:uid="{00000000-0005-0000-0000-0000923A0000}"/>
    <cellStyle name="Note 3 3 2 2 2 13" xfId="44674" xr:uid="{00000000-0005-0000-0000-0000933A0000}"/>
    <cellStyle name="Note 3 3 2 2 2 2" xfId="3785" xr:uid="{00000000-0005-0000-0000-0000943A0000}"/>
    <cellStyle name="Note 3 3 2 2 2 2 10" xfId="38836" xr:uid="{00000000-0005-0000-0000-0000953A0000}"/>
    <cellStyle name="Note 3 3 2 2 2 2 11" xfId="42847" xr:uid="{00000000-0005-0000-0000-0000963A0000}"/>
    <cellStyle name="Note 3 3 2 2 2 2 12" xfId="46612" xr:uid="{00000000-0005-0000-0000-0000973A0000}"/>
    <cellStyle name="Note 3 3 2 2 2 2 2" xfId="7652" xr:uid="{00000000-0005-0000-0000-0000983A0000}"/>
    <cellStyle name="Note 3 3 2 2 2 2 3" xfId="12087" xr:uid="{00000000-0005-0000-0000-0000993A0000}"/>
    <cellStyle name="Note 3 3 2 2 2 2 4" xfId="15932" xr:uid="{00000000-0005-0000-0000-00009A3A0000}"/>
    <cellStyle name="Note 3 3 2 2 2 2 5" xfId="19779" xr:uid="{00000000-0005-0000-0000-00009B3A0000}"/>
    <cellStyle name="Note 3 3 2 2 2 2 6" xfId="23695" xr:uid="{00000000-0005-0000-0000-00009C3A0000}"/>
    <cellStyle name="Note 3 3 2 2 2 2 7" xfId="27529" xr:uid="{00000000-0005-0000-0000-00009D3A0000}"/>
    <cellStyle name="Note 3 3 2 2 2 2 8" xfId="31393" xr:uid="{00000000-0005-0000-0000-00009E3A0000}"/>
    <cellStyle name="Note 3 3 2 2 2 2 9" xfId="35050" xr:uid="{00000000-0005-0000-0000-00009F3A0000}"/>
    <cellStyle name="Note 3 3 2 2 2 3" xfId="5728" xr:uid="{00000000-0005-0000-0000-0000A03A0000}"/>
    <cellStyle name="Note 3 3 2 2 2 4" xfId="10086" xr:uid="{00000000-0005-0000-0000-0000A13A0000}"/>
    <cellStyle name="Note 3 3 2 2 2 5" xfId="13932" xr:uid="{00000000-0005-0000-0000-0000A23A0000}"/>
    <cellStyle name="Note 3 3 2 2 2 6" xfId="17761" xr:uid="{00000000-0005-0000-0000-0000A33A0000}"/>
    <cellStyle name="Note 3 3 2 2 2 7" xfId="21700" xr:uid="{00000000-0005-0000-0000-0000A43A0000}"/>
    <cellStyle name="Note 3 3 2 2 2 8" xfId="25513" xr:uid="{00000000-0005-0000-0000-0000A53A0000}"/>
    <cellStyle name="Note 3 3 2 2 2 9" xfId="29400" xr:uid="{00000000-0005-0000-0000-0000A63A0000}"/>
    <cellStyle name="Note 3 3 2 2 3" xfId="3058" xr:uid="{00000000-0005-0000-0000-0000A73A0000}"/>
    <cellStyle name="Note 3 3 2 2 3 10" xfId="38110" xr:uid="{00000000-0005-0000-0000-0000A83A0000}"/>
    <cellStyle name="Note 3 3 2 2 3 11" xfId="42122" xr:uid="{00000000-0005-0000-0000-0000A93A0000}"/>
    <cellStyle name="Note 3 3 2 2 3 12" xfId="45895" xr:uid="{00000000-0005-0000-0000-0000AA3A0000}"/>
    <cellStyle name="Note 3 3 2 2 3 2" xfId="6934" xr:uid="{00000000-0005-0000-0000-0000AB3A0000}"/>
    <cellStyle name="Note 3 3 2 2 3 3" xfId="11363" xr:uid="{00000000-0005-0000-0000-0000AC3A0000}"/>
    <cellStyle name="Note 3 3 2 2 3 4" xfId="15207" xr:uid="{00000000-0005-0000-0000-0000AD3A0000}"/>
    <cellStyle name="Note 3 3 2 2 3 5" xfId="19052" xr:uid="{00000000-0005-0000-0000-0000AE3A0000}"/>
    <cellStyle name="Note 3 3 2 2 3 6" xfId="22974" xr:uid="{00000000-0005-0000-0000-0000AF3A0000}"/>
    <cellStyle name="Note 3 3 2 2 3 7" xfId="26803" xr:uid="{00000000-0005-0000-0000-0000B03A0000}"/>
    <cellStyle name="Note 3 3 2 2 3 8" xfId="30677" xr:uid="{00000000-0005-0000-0000-0000B13A0000}"/>
    <cellStyle name="Note 3 3 2 2 3 9" xfId="34333" xr:uid="{00000000-0005-0000-0000-0000B23A0000}"/>
    <cellStyle name="Note 3 3 2 2 4" xfId="5010" xr:uid="{00000000-0005-0000-0000-0000B33A0000}"/>
    <cellStyle name="Note 3 3 2 2 5" xfId="9366" xr:uid="{00000000-0005-0000-0000-0000B43A0000}"/>
    <cellStyle name="Note 3 3 2 2 6" xfId="13206" xr:uid="{00000000-0005-0000-0000-0000B53A0000}"/>
    <cellStyle name="Note 3 3 2 2 7" xfId="17034" xr:uid="{00000000-0005-0000-0000-0000B63A0000}"/>
    <cellStyle name="Note 3 3 2 2 8" xfId="20976" xr:uid="{00000000-0005-0000-0000-0000B73A0000}"/>
    <cellStyle name="Note 3 3 2 2 9" xfId="24790" xr:uid="{00000000-0005-0000-0000-0000B83A0000}"/>
    <cellStyle name="Note 3 3 2 3" xfId="1442" xr:uid="{00000000-0005-0000-0000-0000B93A0000}"/>
    <cellStyle name="Note 3 3 2 3 10" xfId="32729" xr:uid="{00000000-0005-0000-0000-0000BA3A0000}"/>
    <cellStyle name="Note 3 3 2 3 11" xfId="36499" xr:uid="{00000000-0005-0000-0000-0000BB3A0000}"/>
    <cellStyle name="Note 3 3 2 3 12" xfId="40490" xr:uid="{00000000-0005-0000-0000-0000BC3A0000}"/>
    <cellStyle name="Note 3 3 2 3 13" xfId="44321" xr:uid="{00000000-0005-0000-0000-0000BD3A0000}"/>
    <cellStyle name="Note 3 3 2 3 2" xfId="3432" xr:uid="{00000000-0005-0000-0000-0000BE3A0000}"/>
    <cellStyle name="Note 3 3 2 3 2 10" xfId="38483" xr:uid="{00000000-0005-0000-0000-0000BF3A0000}"/>
    <cellStyle name="Note 3 3 2 3 2 11" xfId="42494" xr:uid="{00000000-0005-0000-0000-0000C03A0000}"/>
    <cellStyle name="Note 3 3 2 3 2 12" xfId="46259" xr:uid="{00000000-0005-0000-0000-0000C13A0000}"/>
    <cellStyle name="Note 3 3 2 3 2 2" xfId="7299" xr:uid="{00000000-0005-0000-0000-0000C23A0000}"/>
    <cellStyle name="Note 3 3 2 3 2 3" xfId="11734" xr:uid="{00000000-0005-0000-0000-0000C33A0000}"/>
    <cellStyle name="Note 3 3 2 3 2 4" xfId="15579" xr:uid="{00000000-0005-0000-0000-0000C43A0000}"/>
    <cellStyle name="Note 3 3 2 3 2 5" xfId="19426" xr:uid="{00000000-0005-0000-0000-0000C53A0000}"/>
    <cellStyle name="Note 3 3 2 3 2 6" xfId="23342" xr:uid="{00000000-0005-0000-0000-0000C63A0000}"/>
    <cellStyle name="Note 3 3 2 3 2 7" xfId="27176" xr:uid="{00000000-0005-0000-0000-0000C73A0000}"/>
    <cellStyle name="Note 3 3 2 3 2 8" xfId="31044" xr:uid="{00000000-0005-0000-0000-0000C83A0000}"/>
    <cellStyle name="Note 3 3 2 3 2 9" xfId="34697" xr:uid="{00000000-0005-0000-0000-0000C93A0000}"/>
    <cellStyle name="Note 3 3 2 3 3" xfId="5375" xr:uid="{00000000-0005-0000-0000-0000CA3A0000}"/>
    <cellStyle name="Note 3 3 2 3 4" xfId="9733" xr:uid="{00000000-0005-0000-0000-0000CB3A0000}"/>
    <cellStyle name="Note 3 3 2 3 5" xfId="13579" xr:uid="{00000000-0005-0000-0000-0000CC3A0000}"/>
    <cellStyle name="Note 3 3 2 3 6" xfId="17408" xr:uid="{00000000-0005-0000-0000-0000CD3A0000}"/>
    <cellStyle name="Note 3 3 2 3 7" xfId="21347" xr:uid="{00000000-0005-0000-0000-0000CE3A0000}"/>
    <cellStyle name="Note 3 3 2 3 8" xfId="25160" xr:uid="{00000000-0005-0000-0000-0000CF3A0000}"/>
    <cellStyle name="Note 3 3 2 3 9" xfId="29047" xr:uid="{00000000-0005-0000-0000-0000D03A0000}"/>
    <cellStyle name="Note 3 3 2 4" xfId="2691" xr:uid="{00000000-0005-0000-0000-0000D13A0000}"/>
    <cellStyle name="Note 3 3 2 4 10" xfId="37743" xr:uid="{00000000-0005-0000-0000-0000D23A0000}"/>
    <cellStyle name="Note 3 3 2 4 11" xfId="41757" xr:uid="{00000000-0005-0000-0000-0000D33A0000}"/>
    <cellStyle name="Note 3 3 2 4 12" xfId="45542" xr:uid="{00000000-0005-0000-0000-0000D43A0000}"/>
    <cellStyle name="Note 3 3 2 4 2" xfId="6579" xr:uid="{00000000-0005-0000-0000-0000D53A0000}"/>
    <cellStyle name="Note 3 3 2 4 3" xfId="11003" xr:uid="{00000000-0005-0000-0000-0000D63A0000}"/>
    <cellStyle name="Note 3 3 2 4 4" xfId="14847" xr:uid="{00000000-0005-0000-0000-0000D73A0000}"/>
    <cellStyle name="Note 3 3 2 4 5" xfId="18685" xr:uid="{00000000-0005-0000-0000-0000D83A0000}"/>
    <cellStyle name="Note 3 3 2 4 6" xfId="22616" xr:uid="{00000000-0005-0000-0000-0000D93A0000}"/>
    <cellStyle name="Note 3 3 2 4 7" xfId="26436" xr:uid="{00000000-0005-0000-0000-0000DA3A0000}"/>
    <cellStyle name="Note 3 3 2 4 8" xfId="30315" xr:uid="{00000000-0005-0000-0000-0000DB3A0000}"/>
    <cellStyle name="Note 3 3 2 4 9" xfId="33980" xr:uid="{00000000-0005-0000-0000-0000DC3A0000}"/>
    <cellStyle name="Note 3 3 2 5" xfId="4655" xr:uid="{00000000-0005-0000-0000-0000DD3A0000}"/>
    <cellStyle name="Note 3 3 2 6" xfId="8997" xr:uid="{00000000-0005-0000-0000-0000DE3A0000}"/>
    <cellStyle name="Note 3 3 2 7" xfId="12834" xr:uid="{00000000-0005-0000-0000-0000DF3A0000}"/>
    <cellStyle name="Note 3 3 2 8" xfId="16664" xr:uid="{00000000-0005-0000-0000-0000E03A0000}"/>
    <cellStyle name="Note 3 3 2 9" xfId="20601" xr:uid="{00000000-0005-0000-0000-0000E13A0000}"/>
    <cellStyle name="Note 3 3 20" xfId="8863" xr:uid="{00000000-0005-0000-0000-0000E23A0000}"/>
    <cellStyle name="Note 3 3 21" xfId="8666" xr:uid="{00000000-0005-0000-0000-0000E33A0000}"/>
    <cellStyle name="Note 3 3 22" xfId="8628" xr:uid="{00000000-0005-0000-0000-0000E43A0000}"/>
    <cellStyle name="Note 3 3 23" xfId="14894" xr:uid="{00000000-0005-0000-0000-0000E53A0000}"/>
    <cellStyle name="Note 3 3 24" xfId="12898" xr:uid="{00000000-0005-0000-0000-0000E63A0000}"/>
    <cellStyle name="Note 3 3 25" xfId="8560" xr:uid="{00000000-0005-0000-0000-0000E73A0000}"/>
    <cellStyle name="Note 3 3 26" xfId="28338" xr:uid="{00000000-0005-0000-0000-0000E83A0000}"/>
    <cellStyle name="Note 3 3 27" xfId="31286" xr:uid="{00000000-0005-0000-0000-0000E93A0000}"/>
    <cellStyle name="Note 3 3 28" xfId="39651" xr:uid="{00000000-0005-0000-0000-0000EA3A0000}"/>
    <cellStyle name="Note 3 3 29" xfId="40174" xr:uid="{00000000-0005-0000-0000-0000EB3A0000}"/>
    <cellStyle name="Note 3 3 3" xfId="627" xr:uid="{00000000-0005-0000-0000-0000EC3A0000}"/>
    <cellStyle name="Note 3 3 3 10" xfId="22013" xr:uid="{00000000-0005-0000-0000-0000ED3A0000}"/>
    <cellStyle name="Note 3 3 3 11" xfId="28254" xr:uid="{00000000-0005-0000-0000-0000EE3A0000}"/>
    <cellStyle name="Note 3 3 3 12" xfId="31565" xr:uid="{00000000-0005-0000-0000-0000EF3A0000}"/>
    <cellStyle name="Note 3 3 3 13" xfId="22701" xr:uid="{00000000-0005-0000-0000-0000F03A0000}"/>
    <cellStyle name="Note 3 3 3 14" xfId="39722" xr:uid="{00000000-0005-0000-0000-0000F13A0000}"/>
    <cellStyle name="Note 3 3 3 15" xfId="41138" xr:uid="{00000000-0005-0000-0000-0000F23A0000}"/>
    <cellStyle name="Note 3 3 3 2" xfId="1007" xr:uid="{00000000-0005-0000-0000-0000F33A0000}"/>
    <cellStyle name="Note 3 3 3 2 10" xfId="28618" xr:uid="{00000000-0005-0000-0000-0000F43A0000}"/>
    <cellStyle name="Note 3 3 3 2 11" xfId="32306" xr:uid="{00000000-0005-0000-0000-0000F53A0000}"/>
    <cellStyle name="Note 3 3 3 2 12" xfId="36065" xr:uid="{00000000-0005-0000-0000-0000F63A0000}"/>
    <cellStyle name="Note 3 3 3 2 13" xfId="40070" xr:uid="{00000000-0005-0000-0000-0000F73A0000}"/>
    <cellStyle name="Note 3 3 3 2 14" xfId="43891" xr:uid="{00000000-0005-0000-0000-0000F83A0000}"/>
    <cellStyle name="Note 3 3 3 2 2" xfId="1736" xr:uid="{00000000-0005-0000-0000-0000F93A0000}"/>
    <cellStyle name="Note 3 3 3 2 2 10" xfId="33023" xr:uid="{00000000-0005-0000-0000-0000FA3A0000}"/>
    <cellStyle name="Note 3 3 3 2 2 11" xfId="36793" xr:uid="{00000000-0005-0000-0000-0000FB3A0000}"/>
    <cellStyle name="Note 3 3 3 2 2 12" xfId="40784" xr:uid="{00000000-0005-0000-0000-0000FC3A0000}"/>
    <cellStyle name="Note 3 3 3 2 2 13" xfId="44615" xr:uid="{00000000-0005-0000-0000-0000FD3A0000}"/>
    <cellStyle name="Note 3 3 3 2 2 2" xfId="3726" xr:uid="{00000000-0005-0000-0000-0000FE3A0000}"/>
    <cellStyle name="Note 3 3 3 2 2 2 10" xfId="38777" xr:uid="{00000000-0005-0000-0000-0000FF3A0000}"/>
    <cellStyle name="Note 3 3 3 2 2 2 11" xfId="42788" xr:uid="{00000000-0005-0000-0000-0000003B0000}"/>
    <cellStyle name="Note 3 3 3 2 2 2 12" xfId="46553" xr:uid="{00000000-0005-0000-0000-0000013B0000}"/>
    <cellStyle name="Note 3 3 3 2 2 2 2" xfId="7593" xr:uid="{00000000-0005-0000-0000-0000023B0000}"/>
    <cellStyle name="Note 3 3 3 2 2 2 3" xfId="12028" xr:uid="{00000000-0005-0000-0000-0000033B0000}"/>
    <cellStyle name="Note 3 3 3 2 2 2 4" xfId="15873" xr:uid="{00000000-0005-0000-0000-0000043B0000}"/>
    <cellStyle name="Note 3 3 3 2 2 2 5" xfId="19720" xr:uid="{00000000-0005-0000-0000-0000053B0000}"/>
    <cellStyle name="Note 3 3 3 2 2 2 6" xfId="23636" xr:uid="{00000000-0005-0000-0000-0000063B0000}"/>
    <cellStyle name="Note 3 3 3 2 2 2 7" xfId="27470" xr:uid="{00000000-0005-0000-0000-0000073B0000}"/>
    <cellStyle name="Note 3 3 3 2 2 2 8" xfId="31334" xr:uid="{00000000-0005-0000-0000-0000083B0000}"/>
    <cellStyle name="Note 3 3 3 2 2 2 9" xfId="34991" xr:uid="{00000000-0005-0000-0000-0000093B0000}"/>
    <cellStyle name="Note 3 3 3 2 2 3" xfId="5669" xr:uid="{00000000-0005-0000-0000-00000A3B0000}"/>
    <cellStyle name="Note 3 3 3 2 2 4" xfId="10027" xr:uid="{00000000-0005-0000-0000-00000B3B0000}"/>
    <cellStyle name="Note 3 3 3 2 2 5" xfId="13873" xr:uid="{00000000-0005-0000-0000-00000C3B0000}"/>
    <cellStyle name="Note 3 3 3 2 2 6" xfId="17702" xr:uid="{00000000-0005-0000-0000-00000D3B0000}"/>
    <cellStyle name="Note 3 3 3 2 2 7" xfId="21641" xr:uid="{00000000-0005-0000-0000-00000E3B0000}"/>
    <cellStyle name="Note 3 3 3 2 2 8" xfId="25454" xr:uid="{00000000-0005-0000-0000-00000F3B0000}"/>
    <cellStyle name="Note 3 3 3 2 2 9" xfId="29341" xr:uid="{00000000-0005-0000-0000-0000103B0000}"/>
    <cellStyle name="Note 3 3 3 2 3" xfId="2997" xr:uid="{00000000-0005-0000-0000-0000113B0000}"/>
    <cellStyle name="Note 3 3 3 2 3 10" xfId="38049" xr:uid="{00000000-0005-0000-0000-0000123B0000}"/>
    <cellStyle name="Note 3 3 3 2 3 11" xfId="42061" xr:uid="{00000000-0005-0000-0000-0000133B0000}"/>
    <cellStyle name="Note 3 3 3 2 3 12" xfId="45836" xr:uid="{00000000-0005-0000-0000-0000143B0000}"/>
    <cellStyle name="Note 3 3 3 2 3 2" xfId="6875" xr:uid="{00000000-0005-0000-0000-0000153B0000}"/>
    <cellStyle name="Note 3 3 3 2 3 3" xfId="11303" xr:uid="{00000000-0005-0000-0000-0000163B0000}"/>
    <cellStyle name="Note 3 3 3 2 3 4" xfId="15148" xr:uid="{00000000-0005-0000-0000-0000173B0000}"/>
    <cellStyle name="Note 3 3 3 2 3 5" xfId="18991" xr:uid="{00000000-0005-0000-0000-0000183B0000}"/>
    <cellStyle name="Note 3 3 3 2 3 6" xfId="22915" xr:uid="{00000000-0005-0000-0000-0000193B0000}"/>
    <cellStyle name="Note 3 3 3 2 3 7" xfId="26742" xr:uid="{00000000-0005-0000-0000-00001A3B0000}"/>
    <cellStyle name="Note 3 3 3 2 3 8" xfId="30616" xr:uid="{00000000-0005-0000-0000-00001B3B0000}"/>
    <cellStyle name="Note 3 3 3 2 3 9" xfId="34274" xr:uid="{00000000-0005-0000-0000-00001C3B0000}"/>
    <cellStyle name="Note 3 3 3 2 4" xfId="4951" xr:uid="{00000000-0005-0000-0000-00001D3B0000}"/>
    <cellStyle name="Note 3 3 3 2 5" xfId="9306" xr:uid="{00000000-0005-0000-0000-00001E3B0000}"/>
    <cellStyle name="Note 3 3 3 2 6" xfId="13147" xr:uid="{00000000-0005-0000-0000-00001F3B0000}"/>
    <cellStyle name="Note 3 3 3 2 7" xfId="16973" xr:uid="{00000000-0005-0000-0000-0000203B0000}"/>
    <cellStyle name="Note 3 3 3 2 8" xfId="20915" xr:uid="{00000000-0005-0000-0000-0000213B0000}"/>
    <cellStyle name="Note 3 3 3 2 9" xfId="24730" xr:uid="{00000000-0005-0000-0000-0000223B0000}"/>
    <cellStyle name="Note 3 3 3 3" xfId="1383" xr:uid="{00000000-0005-0000-0000-0000233B0000}"/>
    <cellStyle name="Note 3 3 3 3 10" xfId="32670" xr:uid="{00000000-0005-0000-0000-0000243B0000}"/>
    <cellStyle name="Note 3 3 3 3 11" xfId="36440" xr:uid="{00000000-0005-0000-0000-0000253B0000}"/>
    <cellStyle name="Note 3 3 3 3 12" xfId="40431" xr:uid="{00000000-0005-0000-0000-0000263B0000}"/>
    <cellStyle name="Note 3 3 3 3 13" xfId="44262" xr:uid="{00000000-0005-0000-0000-0000273B0000}"/>
    <cellStyle name="Note 3 3 3 3 2" xfId="3373" xr:uid="{00000000-0005-0000-0000-0000283B0000}"/>
    <cellStyle name="Note 3 3 3 3 2 10" xfId="38424" xr:uid="{00000000-0005-0000-0000-0000293B0000}"/>
    <cellStyle name="Note 3 3 3 3 2 11" xfId="42435" xr:uid="{00000000-0005-0000-0000-00002A3B0000}"/>
    <cellStyle name="Note 3 3 3 3 2 12" xfId="46200" xr:uid="{00000000-0005-0000-0000-00002B3B0000}"/>
    <cellStyle name="Note 3 3 3 3 2 2" xfId="7240" xr:uid="{00000000-0005-0000-0000-00002C3B0000}"/>
    <cellStyle name="Note 3 3 3 3 2 3" xfId="11675" xr:uid="{00000000-0005-0000-0000-00002D3B0000}"/>
    <cellStyle name="Note 3 3 3 3 2 4" xfId="15520" xr:uid="{00000000-0005-0000-0000-00002E3B0000}"/>
    <cellStyle name="Note 3 3 3 3 2 5" xfId="19367" xr:uid="{00000000-0005-0000-0000-00002F3B0000}"/>
    <cellStyle name="Note 3 3 3 3 2 6" xfId="23283" xr:uid="{00000000-0005-0000-0000-0000303B0000}"/>
    <cellStyle name="Note 3 3 3 3 2 7" xfId="27117" xr:uid="{00000000-0005-0000-0000-0000313B0000}"/>
    <cellStyle name="Note 3 3 3 3 2 8" xfId="30985" xr:uid="{00000000-0005-0000-0000-0000323B0000}"/>
    <cellStyle name="Note 3 3 3 3 2 9" xfId="34638" xr:uid="{00000000-0005-0000-0000-0000333B0000}"/>
    <cellStyle name="Note 3 3 3 3 3" xfId="5316" xr:uid="{00000000-0005-0000-0000-0000343B0000}"/>
    <cellStyle name="Note 3 3 3 3 4" xfId="9674" xr:uid="{00000000-0005-0000-0000-0000353B0000}"/>
    <cellStyle name="Note 3 3 3 3 5" xfId="13520" xr:uid="{00000000-0005-0000-0000-0000363B0000}"/>
    <cellStyle name="Note 3 3 3 3 6" xfId="17349" xr:uid="{00000000-0005-0000-0000-0000373B0000}"/>
    <cellStyle name="Note 3 3 3 3 7" xfId="21288" xr:uid="{00000000-0005-0000-0000-0000383B0000}"/>
    <cellStyle name="Note 3 3 3 3 8" xfId="25101" xr:uid="{00000000-0005-0000-0000-0000393B0000}"/>
    <cellStyle name="Note 3 3 3 3 9" xfId="28988" xr:uid="{00000000-0005-0000-0000-00003A3B0000}"/>
    <cellStyle name="Note 3 3 3 4" xfId="2630" xr:uid="{00000000-0005-0000-0000-00003B3B0000}"/>
    <cellStyle name="Note 3 3 3 4 10" xfId="37682" xr:uid="{00000000-0005-0000-0000-00003C3B0000}"/>
    <cellStyle name="Note 3 3 3 4 11" xfId="41696" xr:uid="{00000000-0005-0000-0000-00003D3B0000}"/>
    <cellStyle name="Note 3 3 3 4 12" xfId="45483" xr:uid="{00000000-0005-0000-0000-00003E3B0000}"/>
    <cellStyle name="Note 3 3 3 4 2" xfId="6520" xr:uid="{00000000-0005-0000-0000-00003F3B0000}"/>
    <cellStyle name="Note 3 3 3 4 3" xfId="10944" xr:uid="{00000000-0005-0000-0000-0000403B0000}"/>
    <cellStyle name="Note 3 3 3 4 4" xfId="14788" xr:uid="{00000000-0005-0000-0000-0000413B0000}"/>
    <cellStyle name="Note 3 3 3 4 5" xfId="18624" xr:uid="{00000000-0005-0000-0000-0000423B0000}"/>
    <cellStyle name="Note 3 3 3 4 6" xfId="22557" xr:uid="{00000000-0005-0000-0000-0000433B0000}"/>
    <cellStyle name="Note 3 3 3 4 7" xfId="26375" xr:uid="{00000000-0005-0000-0000-0000443B0000}"/>
    <cellStyle name="Note 3 3 3 4 8" xfId="30254" xr:uid="{00000000-0005-0000-0000-0000453B0000}"/>
    <cellStyle name="Note 3 3 3 4 9" xfId="33921" xr:uid="{00000000-0005-0000-0000-0000463B0000}"/>
    <cellStyle name="Note 3 3 3 5" xfId="4596" xr:uid="{00000000-0005-0000-0000-0000473B0000}"/>
    <cellStyle name="Note 3 3 3 6" xfId="8936" xr:uid="{00000000-0005-0000-0000-0000483B0000}"/>
    <cellStyle name="Note 3 3 3 7" xfId="8549" xr:uid="{00000000-0005-0000-0000-0000493B0000}"/>
    <cellStyle name="Note 3 3 3 8" xfId="8479" xr:uid="{00000000-0005-0000-0000-00004A3B0000}"/>
    <cellStyle name="Note 3 3 3 9" xfId="20540" xr:uid="{00000000-0005-0000-0000-00004B3B0000}"/>
    <cellStyle name="Note 3 3 30" xfId="47363" xr:uid="{00000000-0005-0000-0000-00004C3B0000}"/>
    <cellStyle name="Note 3 3 31" xfId="47451" xr:uid="{00000000-0005-0000-0000-00004D3B0000}"/>
    <cellStyle name="Note 3 3 32" xfId="47498" xr:uid="{00000000-0005-0000-0000-00004E3B0000}"/>
    <cellStyle name="Note 3 3 4" xfId="715" xr:uid="{00000000-0005-0000-0000-00004F3B0000}"/>
    <cellStyle name="Note 3 3 4 10" xfId="24448" xr:uid="{00000000-0005-0000-0000-0000503B0000}"/>
    <cellStyle name="Note 3 3 4 11" xfId="28341" xr:uid="{00000000-0005-0000-0000-0000513B0000}"/>
    <cellStyle name="Note 3 3 4 12" xfId="8410" xr:uid="{00000000-0005-0000-0000-0000523B0000}"/>
    <cellStyle name="Note 3 3 4 13" xfId="35786" xr:uid="{00000000-0005-0000-0000-0000533B0000}"/>
    <cellStyle name="Note 3 3 4 14" xfId="39807" xr:uid="{00000000-0005-0000-0000-0000543B0000}"/>
    <cellStyle name="Note 3 3 4 15" xfId="43612" xr:uid="{00000000-0005-0000-0000-0000553B0000}"/>
    <cellStyle name="Note 3 3 4 2" xfId="1094" xr:uid="{00000000-0005-0000-0000-0000563B0000}"/>
    <cellStyle name="Note 3 3 4 2 10" xfId="28704" xr:uid="{00000000-0005-0000-0000-0000573B0000}"/>
    <cellStyle name="Note 3 3 4 2 11" xfId="32391" xr:uid="{00000000-0005-0000-0000-0000583B0000}"/>
    <cellStyle name="Note 3 3 4 2 12" xfId="36152" xr:uid="{00000000-0005-0000-0000-0000593B0000}"/>
    <cellStyle name="Note 3 3 4 2 13" xfId="40154" xr:uid="{00000000-0005-0000-0000-00005A3B0000}"/>
    <cellStyle name="Note 3 3 4 2 14" xfId="43978" xr:uid="{00000000-0005-0000-0000-00005B3B0000}"/>
    <cellStyle name="Note 3 3 4 2 2" xfId="1821" xr:uid="{00000000-0005-0000-0000-00005C3B0000}"/>
    <cellStyle name="Note 3 3 4 2 2 10" xfId="33108" xr:uid="{00000000-0005-0000-0000-00005D3B0000}"/>
    <cellStyle name="Note 3 3 4 2 2 11" xfId="36878" xr:uid="{00000000-0005-0000-0000-00005E3B0000}"/>
    <cellStyle name="Note 3 3 4 2 2 12" xfId="40869" xr:uid="{00000000-0005-0000-0000-00005F3B0000}"/>
    <cellStyle name="Note 3 3 4 2 2 13" xfId="44700" xr:uid="{00000000-0005-0000-0000-0000603B0000}"/>
    <cellStyle name="Note 3 3 4 2 2 2" xfId="3811" xr:uid="{00000000-0005-0000-0000-0000613B0000}"/>
    <cellStyle name="Note 3 3 4 2 2 2 10" xfId="38862" xr:uid="{00000000-0005-0000-0000-0000623B0000}"/>
    <cellStyle name="Note 3 3 4 2 2 2 11" xfId="42873" xr:uid="{00000000-0005-0000-0000-0000633B0000}"/>
    <cellStyle name="Note 3 3 4 2 2 2 12" xfId="46638" xr:uid="{00000000-0005-0000-0000-0000643B0000}"/>
    <cellStyle name="Note 3 3 4 2 2 2 2" xfId="7678" xr:uid="{00000000-0005-0000-0000-0000653B0000}"/>
    <cellStyle name="Note 3 3 4 2 2 2 3" xfId="12113" xr:uid="{00000000-0005-0000-0000-0000663B0000}"/>
    <cellStyle name="Note 3 3 4 2 2 2 4" xfId="15958" xr:uid="{00000000-0005-0000-0000-0000673B0000}"/>
    <cellStyle name="Note 3 3 4 2 2 2 5" xfId="19805" xr:uid="{00000000-0005-0000-0000-0000683B0000}"/>
    <cellStyle name="Note 3 3 4 2 2 2 6" xfId="23721" xr:uid="{00000000-0005-0000-0000-0000693B0000}"/>
    <cellStyle name="Note 3 3 4 2 2 2 7" xfId="27555" xr:uid="{00000000-0005-0000-0000-00006A3B0000}"/>
    <cellStyle name="Note 3 3 4 2 2 2 8" xfId="31419" xr:uid="{00000000-0005-0000-0000-00006B3B0000}"/>
    <cellStyle name="Note 3 3 4 2 2 2 9" xfId="35076" xr:uid="{00000000-0005-0000-0000-00006C3B0000}"/>
    <cellStyle name="Note 3 3 4 2 2 3" xfId="5754" xr:uid="{00000000-0005-0000-0000-00006D3B0000}"/>
    <cellStyle name="Note 3 3 4 2 2 4" xfId="10112" xr:uid="{00000000-0005-0000-0000-00006E3B0000}"/>
    <cellStyle name="Note 3 3 4 2 2 5" xfId="13958" xr:uid="{00000000-0005-0000-0000-00006F3B0000}"/>
    <cellStyle name="Note 3 3 4 2 2 6" xfId="17787" xr:uid="{00000000-0005-0000-0000-0000703B0000}"/>
    <cellStyle name="Note 3 3 4 2 2 7" xfId="21726" xr:uid="{00000000-0005-0000-0000-0000713B0000}"/>
    <cellStyle name="Note 3 3 4 2 2 8" xfId="25539" xr:uid="{00000000-0005-0000-0000-0000723B0000}"/>
    <cellStyle name="Note 3 3 4 2 2 9" xfId="29426" xr:uid="{00000000-0005-0000-0000-0000733B0000}"/>
    <cellStyle name="Note 3 3 4 2 3" xfId="3084" xr:uid="{00000000-0005-0000-0000-0000743B0000}"/>
    <cellStyle name="Note 3 3 4 2 3 10" xfId="38136" xr:uid="{00000000-0005-0000-0000-0000753B0000}"/>
    <cellStyle name="Note 3 3 4 2 3 11" xfId="42148" xr:uid="{00000000-0005-0000-0000-0000763B0000}"/>
    <cellStyle name="Note 3 3 4 2 3 12" xfId="45921" xr:uid="{00000000-0005-0000-0000-0000773B0000}"/>
    <cellStyle name="Note 3 3 4 2 3 2" xfId="6960" xr:uid="{00000000-0005-0000-0000-0000783B0000}"/>
    <cellStyle name="Note 3 3 4 2 3 3" xfId="11389" xr:uid="{00000000-0005-0000-0000-0000793B0000}"/>
    <cellStyle name="Note 3 3 4 2 3 4" xfId="15233" xr:uid="{00000000-0005-0000-0000-00007A3B0000}"/>
    <cellStyle name="Note 3 3 4 2 3 5" xfId="19078" xr:uid="{00000000-0005-0000-0000-00007B3B0000}"/>
    <cellStyle name="Note 3 3 4 2 3 6" xfId="23000" xr:uid="{00000000-0005-0000-0000-00007C3B0000}"/>
    <cellStyle name="Note 3 3 4 2 3 7" xfId="26829" xr:uid="{00000000-0005-0000-0000-00007D3B0000}"/>
    <cellStyle name="Note 3 3 4 2 3 8" xfId="30702" xr:uid="{00000000-0005-0000-0000-00007E3B0000}"/>
    <cellStyle name="Note 3 3 4 2 3 9" xfId="34359" xr:uid="{00000000-0005-0000-0000-00007F3B0000}"/>
    <cellStyle name="Note 3 3 4 2 4" xfId="5036" xr:uid="{00000000-0005-0000-0000-0000803B0000}"/>
    <cellStyle name="Note 3 3 4 2 5" xfId="9392" xr:uid="{00000000-0005-0000-0000-0000813B0000}"/>
    <cellStyle name="Note 3 3 4 2 6" xfId="13232" xr:uid="{00000000-0005-0000-0000-0000823B0000}"/>
    <cellStyle name="Note 3 3 4 2 7" xfId="17060" xr:uid="{00000000-0005-0000-0000-0000833B0000}"/>
    <cellStyle name="Note 3 3 4 2 8" xfId="21002" xr:uid="{00000000-0005-0000-0000-0000843B0000}"/>
    <cellStyle name="Note 3 3 4 2 9" xfId="24816" xr:uid="{00000000-0005-0000-0000-0000853B0000}"/>
    <cellStyle name="Note 3 3 4 3" xfId="1468" xr:uid="{00000000-0005-0000-0000-0000863B0000}"/>
    <cellStyle name="Note 3 3 4 3 10" xfId="32755" xr:uid="{00000000-0005-0000-0000-0000873B0000}"/>
    <cellStyle name="Note 3 3 4 3 11" xfId="36525" xr:uid="{00000000-0005-0000-0000-0000883B0000}"/>
    <cellStyle name="Note 3 3 4 3 12" xfId="40516" xr:uid="{00000000-0005-0000-0000-0000893B0000}"/>
    <cellStyle name="Note 3 3 4 3 13" xfId="44347" xr:uid="{00000000-0005-0000-0000-00008A3B0000}"/>
    <cellStyle name="Note 3 3 4 3 2" xfId="3458" xr:uid="{00000000-0005-0000-0000-00008B3B0000}"/>
    <cellStyle name="Note 3 3 4 3 2 10" xfId="38509" xr:uid="{00000000-0005-0000-0000-00008C3B0000}"/>
    <cellStyle name="Note 3 3 4 3 2 11" xfId="42520" xr:uid="{00000000-0005-0000-0000-00008D3B0000}"/>
    <cellStyle name="Note 3 3 4 3 2 12" xfId="46285" xr:uid="{00000000-0005-0000-0000-00008E3B0000}"/>
    <cellStyle name="Note 3 3 4 3 2 2" xfId="7325" xr:uid="{00000000-0005-0000-0000-00008F3B0000}"/>
    <cellStyle name="Note 3 3 4 3 2 3" xfId="11760" xr:uid="{00000000-0005-0000-0000-0000903B0000}"/>
    <cellStyle name="Note 3 3 4 3 2 4" xfId="15605" xr:uid="{00000000-0005-0000-0000-0000913B0000}"/>
    <cellStyle name="Note 3 3 4 3 2 5" xfId="19452" xr:uid="{00000000-0005-0000-0000-0000923B0000}"/>
    <cellStyle name="Note 3 3 4 3 2 6" xfId="23368" xr:uid="{00000000-0005-0000-0000-0000933B0000}"/>
    <cellStyle name="Note 3 3 4 3 2 7" xfId="27202" xr:uid="{00000000-0005-0000-0000-0000943B0000}"/>
    <cellStyle name="Note 3 3 4 3 2 8" xfId="31069" xr:uid="{00000000-0005-0000-0000-0000953B0000}"/>
    <cellStyle name="Note 3 3 4 3 2 9" xfId="34723" xr:uid="{00000000-0005-0000-0000-0000963B0000}"/>
    <cellStyle name="Note 3 3 4 3 3" xfId="5401" xr:uid="{00000000-0005-0000-0000-0000973B0000}"/>
    <cellStyle name="Note 3 3 4 3 4" xfId="9759" xr:uid="{00000000-0005-0000-0000-0000983B0000}"/>
    <cellStyle name="Note 3 3 4 3 5" xfId="13605" xr:uid="{00000000-0005-0000-0000-0000993B0000}"/>
    <cellStyle name="Note 3 3 4 3 6" xfId="17434" xr:uid="{00000000-0005-0000-0000-00009A3B0000}"/>
    <cellStyle name="Note 3 3 4 3 7" xfId="21373" xr:uid="{00000000-0005-0000-0000-00009B3B0000}"/>
    <cellStyle name="Note 3 3 4 3 8" xfId="25186" xr:uid="{00000000-0005-0000-0000-00009C3B0000}"/>
    <cellStyle name="Note 3 3 4 3 9" xfId="29073" xr:uid="{00000000-0005-0000-0000-00009D3B0000}"/>
    <cellStyle name="Note 3 3 4 4" xfId="2718" xr:uid="{00000000-0005-0000-0000-00009E3B0000}"/>
    <cellStyle name="Note 3 3 4 4 10" xfId="37770" xr:uid="{00000000-0005-0000-0000-00009F3B0000}"/>
    <cellStyle name="Note 3 3 4 4 11" xfId="41784" xr:uid="{00000000-0005-0000-0000-0000A03B0000}"/>
    <cellStyle name="Note 3 3 4 4 12" xfId="45568" xr:uid="{00000000-0005-0000-0000-0000A13B0000}"/>
    <cellStyle name="Note 3 3 4 4 2" xfId="6605" xr:uid="{00000000-0005-0000-0000-0000A23B0000}"/>
    <cellStyle name="Note 3 3 4 4 3" xfId="11029" xr:uid="{00000000-0005-0000-0000-0000A33B0000}"/>
    <cellStyle name="Note 3 3 4 4 4" xfId="14874" xr:uid="{00000000-0005-0000-0000-0000A43B0000}"/>
    <cellStyle name="Note 3 3 4 4 5" xfId="18712" xr:uid="{00000000-0005-0000-0000-0000A53B0000}"/>
    <cellStyle name="Note 3 3 4 4 6" xfId="22643" xr:uid="{00000000-0005-0000-0000-0000A63B0000}"/>
    <cellStyle name="Note 3 3 4 4 7" xfId="26463" xr:uid="{00000000-0005-0000-0000-0000A73B0000}"/>
    <cellStyle name="Note 3 3 4 4 8" xfId="30342" xr:uid="{00000000-0005-0000-0000-0000A83B0000}"/>
    <cellStyle name="Note 3 3 4 4 9" xfId="34006" xr:uid="{00000000-0005-0000-0000-0000A93B0000}"/>
    <cellStyle name="Note 3 3 4 5" xfId="4681" xr:uid="{00000000-0005-0000-0000-0000AA3B0000}"/>
    <cellStyle name="Note 3 3 4 6" xfId="9023" xr:uid="{00000000-0005-0000-0000-0000AB3B0000}"/>
    <cellStyle name="Note 3 3 4 7" xfId="12861" xr:uid="{00000000-0005-0000-0000-0000AC3B0000}"/>
    <cellStyle name="Note 3 3 4 8" xfId="16691" xr:uid="{00000000-0005-0000-0000-0000AD3B0000}"/>
    <cellStyle name="Note 3 3 4 9" xfId="20628" xr:uid="{00000000-0005-0000-0000-0000AE3B0000}"/>
    <cellStyle name="Note 3 3 5" xfId="888" xr:uid="{00000000-0005-0000-0000-0000AF3B0000}"/>
    <cellStyle name="Note 3 3 5 10" xfId="24612" xr:uid="{00000000-0005-0000-0000-0000B03B0000}"/>
    <cellStyle name="Note 3 3 5 11" xfId="28502" xr:uid="{00000000-0005-0000-0000-0000B13B0000}"/>
    <cellStyle name="Note 3 3 5 12" xfId="32189" xr:uid="{00000000-0005-0000-0000-0000B23B0000}"/>
    <cellStyle name="Note 3 3 5 13" xfId="35946" xr:uid="{00000000-0005-0000-0000-0000B33B0000}"/>
    <cellStyle name="Note 3 3 5 14" xfId="39956" xr:uid="{00000000-0005-0000-0000-0000B43B0000}"/>
    <cellStyle name="Note 3 3 5 15" xfId="43772" xr:uid="{00000000-0005-0000-0000-0000B53B0000}"/>
    <cellStyle name="Note 3 3 5 2" xfId="1225" xr:uid="{00000000-0005-0000-0000-0000B63B0000}"/>
    <cellStyle name="Note 3 3 5 2 10" xfId="28833" xr:uid="{00000000-0005-0000-0000-0000B73B0000}"/>
    <cellStyle name="Note 3 3 5 2 11" xfId="32517" xr:uid="{00000000-0005-0000-0000-0000B83B0000}"/>
    <cellStyle name="Note 3 3 5 2 12" xfId="36283" xr:uid="{00000000-0005-0000-0000-0000B93B0000}"/>
    <cellStyle name="Note 3 3 5 2 13" xfId="40276" xr:uid="{00000000-0005-0000-0000-0000BA3B0000}"/>
    <cellStyle name="Note 3 3 5 2 14" xfId="44109" xr:uid="{00000000-0005-0000-0000-0000BB3B0000}"/>
    <cellStyle name="Note 3 3 5 2 2" xfId="1947" xr:uid="{00000000-0005-0000-0000-0000BC3B0000}"/>
    <cellStyle name="Note 3 3 5 2 2 10" xfId="33234" xr:uid="{00000000-0005-0000-0000-0000BD3B0000}"/>
    <cellStyle name="Note 3 3 5 2 2 11" xfId="37004" xr:uid="{00000000-0005-0000-0000-0000BE3B0000}"/>
    <cellStyle name="Note 3 3 5 2 2 12" xfId="40995" xr:uid="{00000000-0005-0000-0000-0000BF3B0000}"/>
    <cellStyle name="Note 3 3 5 2 2 13" xfId="44826" xr:uid="{00000000-0005-0000-0000-0000C03B0000}"/>
    <cellStyle name="Note 3 3 5 2 2 2" xfId="3937" xr:uid="{00000000-0005-0000-0000-0000C13B0000}"/>
    <cellStyle name="Note 3 3 5 2 2 2 10" xfId="38988" xr:uid="{00000000-0005-0000-0000-0000C23B0000}"/>
    <cellStyle name="Note 3 3 5 2 2 2 11" xfId="42999" xr:uid="{00000000-0005-0000-0000-0000C33B0000}"/>
    <cellStyle name="Note 3 3 5 2 2 2 12" xfId="46764" xr:uid="{00000000-0005-0000-0000-0000C43B0000}"/>
    <cellStyle name="Note 3 3 5 2 2 2 2" xfId="7804" xr:uid="{00000000-0005-0000-0000-0000C53B0000}"/>
    <cellStyle name="Note 3 3 5 2 2 2 3" xfId="12239" xr:uid="{00000000-0005-0000-0000-0000C63B0000}"/>
    <cellStyle name="Note 3 3 5 2 2 2 4" xfId="16084" xr:uid="{00000000-0005-0000-0000-0000C73B0000}"/>
    <cellStyle name="Note 3 3 5 2 2 2 5" xfId="19931" xr:uid="{00000000-0005-0000-0000-0000C83B0000}"/>
    <cellStyle name="Note 3 3 5 2 2 2 6" xfId="23847" xr:uid="{00000000-0005-0000-0000-0000C93B0000}"/>
    <cellStyle name="Note 3 3 5 2 2 2 7" xfId="27681" xr:uid="{00000000-0005-0000-0000-0000CA3B0000}"/>
    <cellStyle name="Note 3 3 5 2 2 2 8" xfId="31542" xr:uid="{00000000-0005-0000-0000-0000CB3B0000}"/>
    <cellStyle name="Note 3 3 5 2 2 2 9" xfId="35202" xr:uid="{00000000-0005-0000-0000-0000CC3B0000}"/>
    <cellStyle name="Note 3 3 5 2 2 3" xfId="5880" xr:uid="{00000000-0005-0000-0000-0000CD3B0000}"/>
    <cellStyle name="Note 3 3 5 2 2 4" xfId="10238" xr:uid="{00000000-0005-0000-0000-0000CE3B0000}"/>
    <cellStyle name="Note 3 3 5 2 2 5" xfId="14084" xr:uid="{00000000-0005-0000-0000-0000CF3B0000}"/>
    <cellStyle name="Note 3 3 5 2 2 6" xfId="17913" xr:uid="{00000000-0005-0000-0000-0000D03B0000}"/>
    <cellStyle name="Note 3 3 5 2 2 7" xfId="21852" xr:uid="{00000000-0005-0000-0000-0000D13B0000}"/>
    <cellStyle name="Note 3 3 5 2 2 8" xfId="25665" xr:uid="{00000000-0005-0000-0000-0000D23B0000}"/>
    <cellStyle name="Note 3 3 5 2 2 9" xfId="29552" xr:uid="{00000000-0005-0000-0000-0000D33B0000}"/>
    <cellStyle name="Note 3 3 5 2 3" xfId="3215" xr:uid="{00000000-0005-0000-0000-0000D43B0000}"/>
    <cellStyle name="Note 3 3 5 2 3 10" xfId="38267" xr:uid="{00000000-0005-0000-0000-0000D53B0000}"/>
    <cellStyle name="Note 3 3 5 2 3 11" xfId="42278" xr:uid="{00000000-0005-0000-0000-0000D63B0000}"/>
    <cellStyle name="Note 3 3 5 2 3 12" xfId="46047" xr:uid="{00000000-0005-0000-0000-0000D73B0000}"/>
    <cellStyle name="Note 3 3 5 2 3 2" xfId="7087" xr:uid="{00000000-0005-0000-0000-0000D83B0000}"/>
    <cellStyle name="Note 3 3 5 2 3 3" xfId="11519" xr:uid="{00000000-0005-0000-0000-0000D93B0000}"/>
    <cellStyle name="Note 3 3 5 2 3 4" xfId="15363" xr:uid="{00000000-0005-0000-0000-0000DA3B0000}"/>
    <cellStyle name="Note 3 3 5 2 3 5" xfId="19209" xr:uid="{00000000-0005-0000-0000-0000DB3B0000}"/>
    <cellStyle name="Note 3 3 5 2 3 6" xfId="23128" xr:uid="{00000000-0005-0000-0000-0000DC3B0000}"/>
    <cellStyle name="Note 3 3 5 2 3 7" xfId="26960" xr:uid="{00000000-0005-0000-0000-0000DD3B0000}"/>
    <cellStyle name="Note 3 3 5 2 3 8" xfId="30830" xr:uid="{00000000-0005-0000-0000-0000DE3B0000}"/>
    <cellStyle name="Note 3 3 5 2 3 9" xfId="34485" xr:uid="{00000000-0005-0000-0000-0000DF3B0000}"/>
    <cellStyle name="Note 3 3 5 2 4" xfId="5163" xr:uid="{00000000-0005-0000-0000-0000E03B0000}"/>
    <cellStyle name="Note 3 3 5 2 5" xfId="9519" xr:uid="{00000000-0005-0000-0000-0000E13B0000}"/>
    <cellStyle name="Note 3 3 5 2 6" xfId="13363" xr:uid="{00000000-0005-0000-0000-0000E23B0000}"/>
    <cellStyle name="Note 3 3 5 2 7" xfId="17191" xr:uid="{00000000-0005-0000-0000-0000E33B0000}"/>
    <cellStyle name="Note 3 3 5 2 8" xfId="21133" xr:uid="{00000000-0005-0000-0000-0000E43B0000}"/>
    <cellStyle name="Note 3 3 5 2 9" xfId="24944" xr:uid="{00000000-0005-0000-0000-0000E53B0000}"/>
    <cellStyle name="Note 3 3 5 3" xfId="1619" xr:uid="{00000000-0005-0000-0000-0000E63B0000}"/>
    <cellStyle name="Note 3 3 5 3 10" xfId="32906" xr:uid="{00000000-0005-0000-0000-0000E73B0000}"/>
    <cellStyle name="Note 3 3 5 3 11" xfId="36676" xr:uid="{00000000-0005-0000-0000-0000E83B0000}"/>
    <cellStyle name="Note 3 3 5 3 12" xfId="40667" xr:uid="{00000000-0005-0000-0000-0000E93B0000}"/>
    <cellStyle name="Note 3 3 5 3 13" xfId="44498" xr:uid="{00000000-0005-0000-0000-0000EA3B0000}"/>
    <cellStyle name="Note 3 3 5 3 2" xfId="3609" xr:uid="{00000000-0005-0000-0000-0000EB3B0000}"/>
    <cellStyle name="Note 3 3 5 3 2 10" xfId="38660" xr:uid="{00000000-0005-0000-0000-0000EC3B0000}"/>
    <cellStyle name="Note 3 3 5 3 2 11" xfId="42671" xr:uid="{00000000-0005-0000-0000-0000ED3B0000}"/>
    <cellStyle name="Note 3 3 5 3 2 12" xfId="46436" xr:uid="{00000000-0005-0000-0000-0000EE3B0000}"/>
    <cellStyle name="Note 3 3 5 3 2 2" xfId="7476" xr:uid="{00000000-0005-0000-0000-0000EF3B0000}"/>
    <cellStyle name="Note 3 3 5 3 2 3" xfId="11911" xr:uid="{00000000-0005-0000-0000-0000F03B0000}"/>
    <cellStyle name="Note 3 3 5 3 2 4" xfId="15756" xr:uid="{00000000-0005-0000-0000-0000F13B0000}"/>
    <cellStyle name="Note 3 3 5 3 2 5" xfId="19603" xr:uid="{00000000-0005-0000-0000-0000F23B0000}"/>
    <cellStyle name="Note 3 3 5 3 2 6" xfId="23519" xr:uid="{00000000-0005-0000-0000-0000F33B0000}"/>
    <cellStyle name="Note 3 3 5 3 2 7" xfId="27353" xr:uid="{00000000-0005-0000-0000-0000F43B0000}"/>
    <cellStyle name="Note 3 3 5 3 2 8" xfId="31218" xr:uid="{00000000-0005-0000-0000-0000F53B0000}"/>
    <cellStyle name="Note 3 3 5 3 2 9" xfId="34874" xr:uid="{00000000-0005-0000-0000-0000F63B0000}"/>
    <cellStyle name="Note 3 3 5 3 3" xfId="5552" xr:uid="{00000000-0005-0000-0000-0000F73B0000}"/>
    <cellStyle name="Note 3 3 5 3 4" xfId="9910" xr:uid="{00000000-0005-0000-0000-0000F83B0000}"/>
    <cellStyle name="Note 3 3 5 3 5" xfId="13756" xr:uid="{00000000-0005-0000-0000-0000F93B0000}"/>
    <cellStyle name="Note 3 3 5 3 6" xfId="17585" xr:uid="{00000000-0005-0000-0000-0000FA3B0000}"/>
    <cellStyle name="Note 3 3 5 3 7" xfId="21524" xr:uid="{00000000-0005-0000-0000-0000FB3B0000}"/>
    <cellStyle name="Note 3 3 5 3 8" xfId="25337" xr:uid="{00000000-0005-0000-0000-0000FC3B0000}"/>
    <cellStyle name="Note 3 3 5 3 9" xfId="29224" xr:uid="{00000000-0005-0000-0000-0000FD3B0000}"/>
    <cellStyle name="Note 3 3 5 4" xfId="2878" xr:uid="{00000000-0005-0000-0000-0000FE3B0000}"/>
    <cellStyle name="Note 3 3 5 4 10" xfId="37930" xr:uid="{00000000-0005-0000-0000-0000FF3B0000}"/>
    <cellStyle name="Note 3 3 5 4 11" xfId="41942" xr:uid="{00000000-0005-0000-0000-0000003C0000}"/>
    <cellStyle name="Note 3 3 5 4 12" xfId="45719" xr:uid="{00000000-0005-0000-0000-0000013C0000}"/>
    <cellStyle name="Note 3 3 5 4 2" xfId="6758" xr:uid="{00000000-0005-0000-0000-0000023C0000}"/>
    <cellStyle name="Note 3 3 5 4 3" xfId="11185" xr:uid="{00000000-0005-0000-0000-0000033C0000}"/>
    <cellStyle name="Note 3 3 5 4 4" xfId="15030" xr:uid="{00000000-0005-0000-0000-0000043C0000}"/>
    <cellStyle name="Note 3 3 5 4 5" xfId="18872" xr:uid="{00000000-0005-0000-0000-0000053C0000}"/>
    <cellStyle name="Note 3 3 5 4 6" xfId="22798" xr:uid="{00000000-0005-0000-0000-0000063C0000}"/>
    <cellStyle name="Note 3 3 5 4 7" xfId="26623" xr:uid="{00000000-0005-0000-0000-0000073C0000}"/>
    <cellStyle name="Note 3 3 5 4 8" xfId="30499" xr:uid="{00000000-0005-0000-0000-0000083C0000}"/>
    <cellStyle name="Note 3 3 5 4 9" xfId="34157" xr:uid="{00000000-0005-0000-0000-0000093C0000}"/>
    <cellStyle name="Note 3 3 5 5" xfId="4834" xr:uid="{00000000-0005-0000-0000-00000A3C0000}"/>
    <cellStyle name="Note 3 3 5 6" xfId="9188" xr:uid="{00000000-0005-0000-0000-00000B3C0000}"/>
    <cellStyle name="Note 3 3 5 7" xfId="13029" xr:uid="{00000000-0005-0000-0000-00000C3C0000}"/>
    <cellStyle name="Note 3 3 5 8" xfId="16854" xr:uid="{00000000-0005-0000-0000-00000D3C0000}"/>
    <cellStyle name="Note 3 3 5 9" xfId="20796" xr:uid="{00000000-0005-0000-0000-00000E3C0000}"/>
    <cellStyle name="Note 3 3 6" xfId="934" xr:uid="{00000000-0005-0000-0000-00000F3C0000}"/>
    <cellStyle name="Note 3 3 6 10" xfId="28546" xr:uid="{00000000-0005-0000-0000-0000103C0000}"/>
    <cellStyle name="Note 3 3 6 11" xfId="32235" xr:uid="{00000000-0005-0000-0000-0000113C0000}"/>
    <cellStyle name="Note 3 3 6 12" xfId="35992" xr:uid="{00000000-0005-0000-0000-0000123C0000}"/>
    <cellStyle name="Note 3 3 6 13" xfId="40000" xr:uid="{00000000-0005-0000-0000-0000133C0000}"/>
    <cellStyle name="Note 3 3 6 14" xfId="43818" xr:uid="{00000000-0005-0000-0000-0000143C0000}"/>
    <cellStyle name="Note 3 3 6 2" xfId="1665" xr:uid="{00000000-0005-0000-0000-0000153C0000}"/>
    <cellStyle name="Note 3 3 6 2 10" xfId="32952" xr:uid="{00000000-0005-0000-0000-0000163C0000}"/>
    <cellStyle name="Note 3 3 6 2 11" xfId="36722" xr:uid="{00000000-0005-0000-0000-0000173C0000}"/>
    <cellStyle name="Note 3 3 6 2 12" xfId="40713" xr:uid="{00000000-0005-0000-0000-0000183C0000}"/>
    <cellStyle name="Note 3 3 6 2 13" xfId="44544" xr:uid="{00000000-0005-0000-0000-0000193C0000}"/>
    <cellStyle name="Note 3 3 6 2 2" xfId="3655" xr:uid="{00000000-0005-0000-0000-00001A3C0000}"/>
    <cellStyle name="Note 3 3 6 2 2 10" xfId="38706" xr:uid="{00000000-0005-0000-0000-00001B3C0000}"/>
    <cellStyle name="Note 3 3 6 2 2 11" xfId="42717" xr:uid="{00000000-0005-0000-0000-00001C3C0000}"/>
    <cellStyle name="Note 3 3 6 2 2 12" xfId="46482" xr:uid="{00000000-0005-0000-0000-00001D3C0000}"/>
    <cellStyle name="Note 3 3 6 2 2 2" xfId="7522" xr:uid="{00000000-0005-0000-0000-00001E3C0000}"/>
    <cellStyle name="Note 3 3 6 2 2 3" xfId="11957" xr:uid="{00000000-0005-0000-0000-00001F3C0000}"/>
    <cellStyle name="Note 3 3 6 2 2 4" xfId="15802" xr:uid="{00000000-0005-0000-0000-0000203C0000}"/>
    <cellStyle name="Note 3 3 6 2 2 5" xfId="19649" xr:uid="{00000000-0005-0000-0000-0000213C0000}"/>
    <cellStyle name="Note 3 3 6 2 2 6" xfId="23565" xr:uid="{00000000-0005-0000-0000-0000223C0000}"/>
    <cellStyle name="Note 3 3 6 2 2 7" xfId="27399" xr:uid="{00000000-0005-0000-0000-0000233C0000}"/>
    <cellStyle name="Note 3 3 6 2 2 8" xfId="31263" xr:uid="{00000000-0005-0000-0000-0000243C0000}"/>
    <cellStyle name="Note 3 3 6 2 2 9" xfId="34920" xr:uid="{00000000-0005-0000-0000-0000253C0000}"/>
    <cellStyle name="Note 3 3 6 2 3" xfId="5598" xr:uid="{00000000-0005-0000-0000-0000263C0000}"/>
    <cellStyle name="Note 3 3 6 2 4" xfId="9956" xr:uid="{00000000-0005-0000-0000-0000273C0000}"/>
    <cellStyle name="Note 3 3 6 2 5" xfId="13802" xr:uid="{00000000-0005-0000-0000-0000283C0000}"/>
    <cellStyle name="Note 3 3 6 2 6" xfId="17631" xr:uid="{00000000-0005-0000-0000-0000293C0000}"/>
    <cellStyle name="Note 3 3 6 2 7" xfId="21570" xr:uid="{00000000-0005-0000-0000-00002A3C0000}"/>
    <cellStyle name="Note 3 3 6 2 8" xfId="25383" xr:uid="{00000000-0005-0000-0000-00002B3C0000}"/>
    <cellStyle name="Note 3 3 6 2 9" xfId="29270" xr:uid="{00000000-0005-0000-0000-00002C3C0000}"/>
    <cellStyle name="Note 3 3 6 3" xfId="2924" xr:uid="{00000000-0005-0000-0000-00002D3C0000}"/>
    <cellStyle name="Note 3 3 6 3 10" xfId="37976" xr:uid="{00000000-0005-0000-0000-00002E3C0000}"/>
    <cellStyle name="Note 3 3 6 3 11" xfId="41988" xr:uid="{00000000-0005-0000-0000-00002F3C0000}"/>
    <cellStyle name="Note 3 3 6 3 12" xfId="45765" xr:uid="{00000000-0005-0000-0000-0000303C0000}"/>
    <cellStyle name="Note 3 3 6 3 2" xfId="6804" xr:uid="{00000000-0005-0000-0000-0000313C0000}"/>
    <cellStyle name="Note 3 3 6 3 3" xfId="11231" xr:uid="{00000000-0005-0000-0000-0000323C0000}"/>
    <cellStyle name="Note 3 3 6 3 4" xfId="15076" xr:uid="{00000000-0005-0000-0000-0000333C0000}"/>
    <cellStyle name="Note 3 3 6 3 5" xfId="18918" xr:uid="{00000000-0005-0000-0000-0000343C0000}"/>
    <cellStyle name="Note 3 3 6 3 6" xfId="22844" xr:uid="{00000000-0005-0000-0000-0000353C0000}"/>
    <cellStyle name="Note 3 3 6 3 7" xfId="26669" xr:uid="{00000000-0005-0000-0000-0000363C0000}"/>
    <cellStyle name="Note 3 3 6 3 8" xfId="30544" xr:uid="{00000000-0005-0000-0000-0000373C0000}"/>
    <cellStyle name="Note 3 3 6 3 9" xfId="34203" xr:uid="{00000000-0005-0000-0000-0000383C0000}"/>
    <cellStyle name="Note 3 3 6 4" xfId="4880" xr:uid="{00000000-0005-0000-0000-0000393C0000}"/>
    <cellStyle name="Note 3 3 6 5" xfId="9234" xr:uid="{00000000-0005-0000-0000-00003A3C0000}"/>
    <cellStyle name="Note 3 3 6 6" xfId="13075" xr:uid="{00000000-0005-0000-0000-00003B3C0000}"/>
    <cellStyle name="Note 3 3 6 7" xfId="16900" xr:uid="{00000000-0005-0000-0000-00003C3C0000}"/>
    <cellStyle name="Note 3 3 6 8" xfId="20842" xr:uid="{00000000-0005-0000-0000-00003D3C0000}"/>
    <cellStyle name="Note 3 3 6 9" xfId="24658" xr:uid="{00000000-0005-0000-0000-00003E3C0000}"/>
    <cellStyle name="Note 3 3 7" xfId="1312" xr:uid="{00000000-0005-0000-0000-00003F3C0000}"/>
    <cellStyle name="Note 3 3 7 10" xfId="32599" xr:uid="{00000000-0005-0000-0000-0000403C0000}"/>
    <cellStyle name="Note 3 3 7 11" xfId="36369" xr:uid="{00000000-0005-0000-0000-0000413C0000}"/>
    <cellStyle name="Note 3 3 7 12" xfId="40360" xr:uid="{00000000-0005-0000-0000-0000423C0000}"/>
    <cellStyle name="Note 3 3 7 13" xfId="44191" xr:uid="{00000000-0005-0000-0000-0000433C0000}"/>
    <cellStyle name="Note 3 3 7 2" xfId="3302" xr:uid="{00000000-0005-0000-0000-0000443C0000}"/>
    <cellStyle name="Note 3 3 7 2 10" xfId="38353" xr:uid="{00000000-0005-0000-0000-0000453C0000}"/>
    <cellStyle name="Note 3 3 7 2 11" xfId="42364" xr:uid="{00000000-0005-0000-0000-0000463C0000}"/>
    <cellStyle name="Note 3 3 7 2 12" xfId="46129" xr:uid="{00000000-0005-0000-0000-0000473C0000}"/>
    <cellStyle name="Note 3 3 7 2 2" xfId="7169" xr:uid="{00000000-0005-0000-0000-0000483C0000}"/>
    <cellStyle name="Note 3 3 7 2 3" xfId="11604" xr:uid="{00000000-0005-0000-0000-0000493C0000}"/>
    <cellStyle name="Note 3 3 7 2 4" xfId="15449" xr:uid="{00000000-0005-0000-0000-00004A3C0000}"/>
    <cellStyle name="Note 3 3 7 2 5" xfId="19296" xr:uid="{00000000-0005-0000-0000-00004B3C0000}"/>
    <cellStyle name="Note 3 3 7 2 6" xfId="23212" xr:uid="{00000000-0005-0000-0000-00004C3C0000}"/>
    <cellStyle name="Note 3 3 7 2 7" xfId="27046" xr:uid="{00000000-0005-0000-0000-00004D3C0000}"/>
    <cellStyle name="Note 3 3 7 2 8" xfId="30915" xr:uid="{00000000-0005-0000-0000-00004E3C0000}"/>
    <cellStyle name="Note 3 3 7 2 9" xfId="34567" xr:uid="{00000000-0005-0000-0000-00004F3C0000}"/>
    <cellStyle name="Note 3 3 7 3" xfId="5245" xr:uid="{00000000-0005-0000-0000-0000503C0000}"/>
    <cellStyle name="Note 3 3 7 4" xfId="9603" xr:uid="{00000000-0005-0000-0000-0000513C0000}"/>
    <cellStyle name="Note 3 3 7 5" xfId="13449" xr:uid="{00000000-0005-0000-0000-0000523C0000}"/>
    <cellStyle name="Note 3 3 7 6" xfId="17278" xr:uid="{00000000-0005-0000-0000-0000533C0000}"/>
    <cellStyle name="Note 3 3 7 7" xfId="21217" xr:uid="{00000000-0005-0000-0000-0000543C0000}"/>
    <cellStyle name="Note 3 3 7 8" xfId="25030" xr:uid="{00000000-0005-0000-0000-0000553C0000}"/>
    <cellStyle name="Note 3 3 7 9" xfId="28917" xr:uid="{00000000-0005-0000-0000-0000563C0000}"/>
    <cellStyle name="Note 3 3 8" xfId="2007" xr:uid="{00000000-0005-0000-0000-0000573C0000}"/>
    <cellStyle name="Note 3 3 8 10" xfId="33294" xr:uid="{00000000-0005-0000-0000-0000583C0000}"/>
    <cellStyle name="Note 3 3 8 11" xfId="37063" xr:uid="{00000000-0005-0000-0000-0000593C0000}"/>
    <cellStyle name="Note 3 3 8 12" xfId="41055" xr:uid="{00000000-0005-0000-0000-00005A3C0000}"/>
    <cellStyle name="Note 3 3 8 13" xfId="44885" xr:uid="{00000000-0005-0000-0000-00005B3C0000}"/>
    <cellStyle name="Note 3 3 8 2" xfId="3996" xr:uid="{00000000-0005-0000-0000-00005C3C0000}"/>
    <cellStyle name="Note 3 3 8 2 10" xfId="39047" xr:uid="{00000000-0005-0000-0000-00005D3C0000}"/>
    <cellStyle name="Note 3 3 8 2 11" xfId="43058" xr:uid="{00000000-0005-0000-0000-00005E3C0000}"/>
    <cellStyle name="Note 3 3 8 2 12" xfId="46823" xr:uid="{00000000-0005-0000-0000-00005F3C0000}"/>
    <cellStyle name="Note 3 3 8 2 2" xfId="7863" xr:uid="{00000000-0005-0000-0000-0000603C0000}"/>
    <cellStyle name="Note 3 3 8 2 3" xfId="12298" xr:uid="{00000000-0005-0000-0000-0000613C0000}"/>
    <cellStyle name="Note 3 3 8 2 4" xfId="16143" xr:uid="{00000000-0005-0000-0000-0000623C0000}"/>
    <cellStyle name="Note 3 3 8 2 5" xfId="19990" xr:uid="{00000000-0005-0000-0000-0000633C0000}"/>
    <cellStyle name="Note 3 3 8 2 6" xfId="23906" xr:uid="{00000000-0005-0000-0000-0000643C0000}"/>
    <cellStyle name="Note 3 3 8 2 7" xfId="27740" xr:uid="{00000000-0005-0000-0000-0000653C0000}"/>
    <cellStyle name="Note 3 3 8 2 8" xfId="31600" xr:uid="{00000000-0005-0000-0000-0000663C0000}"/>
    <cellStyle name="Note 3 3 8 2 9" xfId="35261" xr:uid="{00000000-0005-0000-0000-0000673C0000}"/>
    <cellStyle name="Note 3 3 8 3" xfId="5939" xr:uid="{00000000-0005-0000-0000-0000683C0000}"/>
    <cellStyle name="Note 3 3 8 4" xfId="10297" xr:uid="{00000000-0005-0000-0000-0000693C0000}"/>
    <cellStyle name="Note 3 3 8 5" xfId="14144" xr:uid="{00000000-0005-0000-0000-00006A3C0000}"/>
    <cellStyle name="Note 3 3 8 6" xfId="17973" xr:uid="{00000000-0005-0000-0000-00006B3C0000}"/>
    <cellStyle name="Note 3 3 8 7" xfId="21912" xr:uid="{00000000-0005-0000-0000-00006C3C0000}"/>
    <cellStyle name="Note 3 3 8 8" xfId="25725" xr:uid="{00000000-0005-0000-0000-00006D3C0000}"/>
    <cellStyle name="Note 3 3 8 9" xfId="29612" xr:uid="{00000000-0005-0000-0000-00006E3C0000}"/>
    <cellStyle name="Note 3 3 9" xfId="2054" xr:uid="{00000000-0005-0000-0000-00006F3C0000}"/>
    <cellStyle name="Note 3 3 9 10" xfId="33338" xr:uid="{00000000-0005-0000-0000-0000703C0000}"/>
    <cellStyle name="Note 3 3 9 11" xfId="37110" xr:uid="{00000000-0005-0000-0000-0000713C0000}"/>
    <cellStyle name="Note 3 3 9 12" xfId="41100" xr:uid="{00000000-0005-0000-0000-0000723C0000}"/>
    <cellStyle name="Note 3 3 9 13" xfId="44929" xr:uid="{00000000-0005-0000-0000-0000733C0000}"/>
    <cellStyle name="Note 3 3 9 2" xfId="4043" xr:uid="{00000000-0005-0000-0000-0000743C0000}"/>
    <cellStyle name="Note 3 3 9 2 10" xfId="39094" xr:uid="{00000000-0005-0000-0000-0000753C0000}"/>
    <cellStyle name="Note 3 3 9 2 11" xfId="43104" xr:uid="{00000000-0005-0000-0000-0000763C0000}"/>
    <cellStyle name="Note 3 3 9 2 12" xfId="46867" xr:uid="{00000000-0005-0000-0000-0000773C0000}"/>
    <cellStyle name="Note 3 3 9 2 2" xfId="7908" xr:uid="{00000000-0005-0000-0000-0000783C0000}"/>
    <cellStyle name="Note 3 3 9 2 3" xfId="12343" xr:uid="{00000000-0005-0000-0000-0000793C0000}"/>
    <cellStyle name="Note 3 3 9 2 4" xfId="16189" xr:uid="{00000000-0005-0000-0000-00007A3C0000}"/>
    <cellStyle name="Note 3 3 9 2 5" xfId="20037" xr:uid="{00000000-0005-0000-0000-00007B3C0000}"/>
    <cellStyle name="Note 3 3 9 2 6" xfId="23952" xr:uid="{00000000-0005-0000-0000-00007C3C0000}"/>
    <cellStyle name="Note 3 3 9 2 7" xfId="27787" xr:uid="{00000000-0005-0000-0000-00007D3C0000}"/>
    <cellStyle name="Note 3 3 9 2 8" xfId="31646" xr:uid="{00000000-0005-0000-0000-00007E3C0000}"/>
    <cellStyle name="Note 3 3 9 2 9" xfId="35305" xr:uid="{00000000-0005-0000-0000-00007F3C0000}"/>
    <cellStyle name="Note 3 3 9 3" xfId="5984" xr:uid="{00000000-0005-0000-0000-0000803C0000}"/>
    <cellStyle name="Note 3 3 9 4" xfId="10342" xr:uid="{00000000-0005-0000-0000-0000813C0000}"/>
    <cellStyle name="Note 3 3 9 5" xfId="14190" xr:uid="{00000000-0005-0000-0000-0000823C0000}"/>
    <cellStyle name="Note 3 3 9 6" xfId="18020" xr:uid="{00000000-0005-0000-0000-0000833C0000}"/>
    <cellStyle name="Note 3 3 9 7" xfId="21958" xr:uid="{00000000-0005-0000-0000-0000843C0000}"/>
    <cellStyle name="Note 3 3 9 8" xfId="25772" xr:uid="{00000000-0005-0000-0000-0000853C0000}"/>
    <cellStyle name="Note 3 3 9 9" xfId="29658" xr:uid="{00000000-0005-0000-0000-0000863C0000}"/>
    <cellStyle name="Note 3 4" xfId="584" xr:uid="{00000000-0005-0000-0000-0000873C0000}"/>
    <cellStyle name="Note 3 4 10" xfId="8512" xr:uid="{00000000-0005-0000-0000-0000883C0000}"/>
    <cellStyle name="Note 3 4 11" xfId="22700" xr:uid="{00000000-0005-0000-0000-0000893C0000}"/>
    <cellStyle name="Note 3 4 12" xfId="30637" xr:uid="{00000000-0005-0000-0000-00008A3C0000}"/>
    <cellStyle name="Note 3 4 13" xfId="22641" xr:uid="{00000000-0005-0000-0000-00008B3C0000}"/>
    <cellStyle name="Note 3 4 14" xfId="39681" xr:uid="{00000000-0005-0000-0000-00008C3C0000}"/>
    <cellStyle name="Note 3 4 15" xfId="39588" xr:uid="{00000000-0005-0000-0000-00008D3C0000}"/>
    <cellStyle name="Note 3 4 2" xfId="964" xr:uid="{00000000-0005-0000-0000-00008E3C0000}"/>
    <cellStyle name="Note 3 4 2 10" xfId="28575" xr:uid="{00000000-0005-0000-0000-00008F3C0000}"/>
    <cellStyle name="Note 3 4 2 11" xfId="32265" xr:uid="{00000000-0005-0000-0000-0000903C0000}"/>
    <cellStyle name="Note 3 4 2 12" xfId="36022" xr:uid="{00000000-0005-0000-0000-0000913C0000}"/>
    <cellStyle name="Note 3 4 2 13" xfId="40029" xr:uid="{00000000-0005-0000-0000-0000923C0000}"/>
    <cellStyle name="Note 3 4 2 14" xfId="43848" xr:uid="{00000000-0005-0000-0000-0000933C0000}"/>
    <cellStyle name="Note 3 4 2 2" xfId="1695" xr:uid="{00000000-0005-0000-0000-0000943C0000}"/>
    <cellStyle name="Note 3 4 2 2 10" xfId="32982" xr:uid="{00000000-0005-0000-0000-0000953C0000}"/>
    <cellStyle name="Note 3 4 2 2 11" xfId="36752" xr:uid="{00000000-0005-0000-0000-0000963C0000}"/>
    <cellStyle name="Note 3 4 2 2 12" xfId="40743" xr:uid="{00000000-0005-0000-0000-0000973C0000}"/>
    <cellStyle name="Note 3 4 2 2 13" xfId="44574" xr:uid="{00000000-0005-0000-0000-0000983C0000}"/>
    <cellStyle name="Note 3 4 2 2 2" xfId="3685" xr:uid="{00000000-0005-0000-0000-0000993C0000}"/>
    <cellStyle name="Note 3 4 2 2 2 10" xfId="38736" xr:uid="{00000000-0005-0000-0000-00009A3C0000}"/>
    <cellStyle name="Note 3 4 2 2 2 11" xfId="42747" xr:uid="{00000000-0005-0000-0000-00009B3C0000}"/>
    <cellStyle name="Note 3 4 2 2 2 12" xfId="46512" xr:uid="{00000000-0005-0000-0000-00009C3C0000}"/>
    <cellStyle name="Note 3 4 2 2 2 2" xfId="7552" xr:uid="{00000000-0005-0000-0000-00009D3C0000}"/>
    <cellStyle name="Note 3 4 2 2 2 3" xfId="11987" xr:uid="{00000000-0005-0000-0000-00009E3C0000}"/>
    <cellStyle name="Note 3 4 2 2 2 4" xfId="15832" xr:uid="{00000000-0005-0000-0000-00009F3C0000}"/>
    <cellStyle name="Note 3 4 2 2 2 5" xfId="19679" xr:uid="{00000000-0005-0000-0000-0000A03C0000}"/>
    <cellStyle name="Note 3 4 2 2 2 6" xfId="23595" xr:uid="{00000000-0005-0000-0000-0000A13C0000}"/>
    <cellStyle name="Note 3 4 2 2 2 7" xfId="27429" xr:uid="{00000000-0005-0000-0000-0000A23C0000}"/>
    <cellStyle name="Note 3 4 2 2 2 8" xfId="31293" xr:uid="{00000000-0005-0000-0000-0000A33C0000}"/>
    <cellStyle name="Note 3 4 2 2 2 9" xfId="34950" xr:uid="{00000000-0005-0000-0000-0000A43C0000}"/>
    <cellStyle name="Note 3 4 2 2 3" xfId="5628" xr:uid="{00000000-0005-0000-0000-0000A53C0000}"/>
    <cellStyle name="Note 3 4 2 2 4" xfId="9986" xr:uid="{00000000-0005-0000-0000-0000A63C0000}"/>
    <cellStyle name="Note 3 4 2 2 5" xfId="13832" xr:uid="{00000000-0005-0000-0000-0000A73C0000}"/>
    <cellStyle name="Note 3 4 2 2 6" xfId="17661" xr:uid="{00000000-0005-0000-0000-0000A83C0000}"/>
    <cellStyle name="Note 3 4 2 2 7" xfId="21600" xr:uid="{00000000-0005-0000-0000-0000A93C0000}"/>
    <cellStyle name="Note 3 4 2 2 8" xfId="25413" xr:uid="{00000000-0005-0000-0000-0000AA3C0000}"/>
    <cellStyle name="Note 3 4 2 2 9" xfId="29300" xr:uid="{00000000-0005-0000-0000-0000AB3C0000}"/>
    <cellStyle name="Note 3 4 2 3" xfId="2954" xr:uid="{00000000-0005-0000-0000-0000AC3C0000}"/>
    <cellStyle name="Note 3 4 2 3 10" xfId="38006" xr:uid="{00000000-0005-0000-0000-0000AD3C0000}"/>
    <cellStyle name="Note 3 4 2 3 11" xfId="42018" xr:uid="{00000000-0005-0000-0000-0000AE3C0000}"/>
    <cellStyle name="Note 3 4 2 3 12" xfId="45795" xr:uid="{00000000-0005-0000-0000-0000AF3C0000}"/>
    <cellStyle name="Note 3 4 2 3 2" xfId="6834" xr:uid="{00000000-0005-0000-0000-0000B03C0000}"/>
    <cellStyle name="Note 3 4 2 3 3" xfId="11261" xr:uid="{00000000-0005-0000-0000-0000B13C0000}"/>
    <cellStyle name="Note 3 4 2 3 4" xfId="15106" xr:uid="{00000000-0005-0000-0000-0000B23C0000}"/>
    <cellStyle name="Note 3 4 2 3 5" xfId="18948" xr:uid="{00000000-0005-0000-0000-0000B33C0000}"/>
    <cellStyle name="Note 3 4 2 3 6" xfId="22874" xr:uid="{00000000-0005-0000-0000-0000B43C0000}"/>
    <cellStyle name="Note 3 4 2 3 7" xfId="26699" xr:uid="{00000000-0005-0000-0000-0000B53C0000}"/>
    <cellStyle name="Note 3 4 2 3 8" xfId="30573" xr:uid="{00000000-0005-0000-0000-0000B63C0000}"/>
    <cellStyle name="Note 3 4 2 3 9" xfId="34233" xr:uid="{00000000-0005-0000-0000-0000B73C0000}"/>
    <cellStyle name="Note 3 4 2 4" xfId="4910" xr:uid="{00000000-0005-0000-0000-0000B83C0000}"/>
    <cellStyle name="Note 3 4 2 5" xfId="9264" xr:uid="{00000000-0005-0000-0000-0000B93C0000}"/>
    <cellStyle name="Note 3 4 2 6" xfId="13105" xr:uid="{00000000-0005-0000-0000-0000BA3C0000}"/>
    <cellStyle name="Note 3 4 2 7" xfId="16930" xr:uid="{00000000-0005-0000-0000-0000BB3C0000}"/>
    <cellStyle name="Note 3 4 2 8" xfId="20872" xr:uid="{00000000-0005-0000-0000-0000BC3C0000}"/>
    <cellStyle name="Note 3 4 2 9" xfId="24688" xr:uid="{00000000-0005-0000-0000-0000BD3C0000}"/>
    <cellStyle name="Note 3 4 3" xfId="1342" xr:uid="{00000000-0005-0000-0000-0000BE3C0000}"/>
    <cellStyle name="Note 3 4 3 10" xfId="32629" xr:uid="{00000000-0005-0000-0000-0000BF3C0000}"/>
    <cellStyle name="Note 3 4 3 11" xfId="36399" xr:uid="{00000000-0005-0000-0000-0000C03C0000}"/>
    <cellStyle name="Note 3 4 3 12" xfId="40390" xr:uid="{00000000-0005-0000-0000-0000C13C0000}"/>
    <cellStyle name="Note 3 4 3 13" xfId="44221" xr:uid="{00000000-0005-0000-0000-0000C23C0000}"/>
    <cellStyle name="Note 3 4 3 2" xfId="3332" xr:uid="{00000000-0005-0000-0000-0000C33C0000}"/>
    <cellStyle name="Note 3 4 3 2 10" xfId="38383" xr:uid="{00000000-0005-0000-0000-0000C43C0000}"/>
    <cellStyle name="Note 3 4 3 2 11" xfId="42394" xr:uid="{00000000-0005-0000-0000-0000C53C0000}"/>
    <cellStyle name="Note 3 4 3 2 12" xfId="46159" xr:uid="{00000000-0005-0000-0000-0000C63C0000}"/>
    <cellStyle name="Note 3 4 3 2 2" xfId="7199" xr:uid="{00000000-0005-0000-0000-0000C73C0000}"/>
    <cellStyle name="Note 3 4 3 2 3" xfId="11634" xr:uid="{00000000-0005-0000-0000-0000C83C0000}"/>
    <cellStyle name="Note 3 4 3 2 4" xfId="15479" xr:uid="{00000000-0005-0000-0000-0000C93C0000}"/>
    <cellStyle name="Note 3 4 3 2 5" xfId="19326" xr:uid="{00000000-0005-0000-0000-0000CA3C0000}"/>
    <cellStyle name="Note 3 4 3 2 6" xfId="23242" xr:uid="{00000000-0005-0000-0000-0000CB3C0000}"/>
    <cellStyle name="Note 3 4 3 2 7" xfId="27076" xr:uid="{00000000-0005-0000-0000-0000CC3C0000}"/>
    <cellStyle name="Note 3 4 3 2 8" xfId="30944" xr:uid="{00000000-0005-0000-0000-0000CD3C0000}"/>
    <cellStyle name="Note 3 4 3 2 9" xfId="34597" xr:uid="{00000000-0005-0000-0000-0000CE3C0000}"/>
    <cellStyle name="Note 3 4 3 3" xfId="5275" xr:uid="{00000000-0005-0000-0000-0000CF3C0000}"/>
    <cellStyle name="Note 3 4 3 4" xfId="9633" xr:uid="{00000000-0005-0000-0000-0000D03C0000}"/>
    <cellStyle name="Note 3 4 3 5" xfId="13479" xr:uid="{00000000-0005-0000-0000-0000D13C0000}"/>
    <cellStyle name="Note 3 4 3 6" xfId="17308" xr:uid="{00000000-0005-0000-0000-0000D23C0000}"/>
    <cellStyle name="Note 3 4 3 7" xfId="21247" xr:uid="{00000000-0005-0000-0000-0000D33C0000}"/>
    <cellStyle name="Note 3 4 3 8" xfId="25060" xr:uid="{00000000-0005-0000-0000-0000D43C0000}"/>
    <cellStyle name="Note 3 4 3 9" xfId="28947" xr:uid="{00000000-0005-0000-0000-0000D53C0000}"/>
    <cellStyle name="Note 3 4 4" xfId="2587" xr:uid="{00000000-0005-0000-0000-0000D63C0000}"/>
    <cellStyle name="Note 3 4 4 10" xfId="37639" xr:uid="{00000000-0005-0000-0000-0000D73C0000}"/>
    <cellStyle name="Note 3 4 4 11" xfId="41653" xr:uid="{00000000-0005-0000-0000-0000D83C0000}"/>
    <cellStyle name="Note 3 4 4 12" xfId="45442" xr:uid="{00000000-0005-0000-0000-0000D93C0000}"/>
    <cellStyle name="Note 3 4 4 2" xfId="6479" xr:uid="{00000000-0005-0000-0000-0000DA3C0000}"/>
    <cellStyle name="Note 3 4 4 3" xfId="10902" xr:uid="{00000000-0005-0000-0000-0000DB3C0000}"/>
    <cellStyle name="Note 3 4 4 4" xfId="14746" xr:uid="{00000000-0005-0000-0000-0000DC3C0000}"/>
    <cellStyle name="Note 3 4 4 5" xfId="18581" xr:uid="{00000000-0005-0000-0000-0000DD3C0000}"/>
    <cellStyle name="Note 3 4 4 6" xfId="22516" xr:uid="{00000000-0005-0000-0000-0000DE3C0000}"/>
    <cellStyle name="Note 3 4 4 7" xfId="26332" xr:uid="{00000000-0005-0000-0000-0000DF3C0000}"/>
    <cellStyle name="Note 3 4 4 8" xfId="30211" xr:uid="{00000000-0005-0000-0000-0000E03C0000}"/>
    <cellStyle name="Note 3 4 4 9" xfId="33880" xr:uid="{00000000-0005-0000-0000-0000E13C0000}"/>
    <cellStyle name="Note 3 4 5" xfId="4555" xr:uid="{00000000-0005-0000-0000-0000E23C0000}"/>
    <cellStyle name="Note 3 4 6" xfId="8894" xr:uid="{00000000-0005-0000-0000-0000E33C0000}"/>
    <cellStyle name="Note 3 4 7" xfId="8541" xr:uid="{00000000-0005-0000-0000-0000E43C0000}"/>
    <cellStyle name="Note 3 4 8" xfId="8819" xr:uid="{00000000-0005-0000-0000-0000E53C0000}"/>
    <cellStyle name="Note 3 4 9" xfId="20497" xr:uid="{00000000-0005-0000-0000-0000E63C0000}"/>
    <cellStyle name="Note 3 5" xfId="756" xr:uid="{00000000-0005-0000-0000-0000E73C0000}"/>
    <cellStyle name="Note 3 5 10" xfId="24485" xr:uid="{00000000-0005-0000-0000-0000E83C0000}"/>
    <cellStyle name="Note 3 5 11" xfId="28375" xr:uid="{00000000-0005-0000-0000-0000E93C0000}"/>
    <cellStyle name="Note 3 5 12" xfId="29702" xr:uid="{00000000-0005-0000-0000-0000EA3C0000}"/>
    <cellStyle name="Note 3 5 13" xfId="35820" xr:uid="{00000000-0005-0000-0000-0000EB3C0000}"/>
    <cellStyle name="Note 3 5 14" xfId="39839" xr:uid="{00000000-0005-0000-0000-0000EC3C0000}"/>
    <cellStyle name="Note 3 5 15" xfId="43646" xr:uid="{00000000-0005-0000-0000-0000ED3C0000}"/>
    <cellStyle name="Note 3 5 2" xfId="1126" xr:uid="{00000000-0005-0000-0000-0000EE3C0000}"/>
    <cellStyle name="Note 3 5 2 10" xfId="28735" xr:uid="{00000000-0005-0000-0000-0000EF3C0000}"/>
    <cellStyle name="Note 3 5 2 11" xfId="32423" xr:uid="{00000000-0005-0000-0000-0000F03C0000}"/>
    <cellStyle name="Note 3 5 2 12" xfId="36184" xr:uid="{00000000-0005-0000-0000-0000F13C0000}"/>
    <cellStyle name="Note 3 5 2 13" xfId="40185" xr:uid="{00000000-0005-0000-0000-0000F23C0000}"/>
    <cellStyle name="Note 3 5 2 14" xfId="44010" xr:uid="{00000000-0005-0000-0000-0000F33C0000}"/>
    <cellStyle name="Note 3 5 2 2" xfId="1853" xr:uid="{00000000-0005-0000-0000-0000F43C0000}"/>
    <cellStyle name="Note 3 5 2 2 10" xfId="33140" xr:uid="{00000000-0005-0000-0000-0000F53C0000}"/>
    <cellStyle name="Note 3 5 2 2 11" xfId="36910" xr:uid="{00000000-0005-0000-0000-0000F63C0000}"/>
    <cellStyle name="Note 3 5 2 2 12" xfId="40901" xr:uid="{00000000-0005-0000-0000-0000F73C0000}"/>
    <cellStyle name="Note 3 5 2 2 13" xfId="44732" xr:uid="{00000000-0005-0000-0000-0000F83C0000}"/>
    <cellStyle name="Note 3 5 2 2 2" xfId="3843" xr:uid="{00000000-0005-0000-0000-0000F93C0000}"/>
    <cellStyle name="Note 3 5 2 2 2 10" xfId="38894" xr:uid="{00000000-0005-0000-0000-0000FA3C0000}"/>
    <cellStyle name="Note 3 5 2 2 2 11" xfId="42905" xr:uid="{00000000-0005-0000-0000-0000FB3C0000}"/>
    <cellStyle name="Note 3 5 2 2 2 12" xfId="46670" xr:uid="{00000000-0005-0000-0000-0000FC3C0000}"/>
    <cellStyle name="Note 3 5 2 2 2 2" xfId="7710" xr:uid="{00000000-0005-0000-0000-0000FD3C0000}"/>
    <cellStyle name="Note 3 5 2 2 2 3" xfId="12145" xr:uid="{00000000-0005-0000-0000-0000FE3C0000}"/>
    <cellStyle name="Note 3 5 2 2 2 4" xfId="15990" xr:uid="{00000000-0005-0000-0000-0000FF3C0000}"/>
    <cellStyle name="Note 3 5 2 2 2 5" xfId="19837" xr:uid="{00000000-0005-0000-0000-0000003D0000}"/>
    <cellStyle name="Note 3 5 2 2 2 6" xfId="23753" xr:uid="{00000000-0005-0000-0000-0000013D0000}"/>
    <cellStyle name="Note 3 5 2 2 2 7" xfId="27587" xr:uid="{00000000-0005-0000-0000-0000023D0000}"/>
    <cellStyle name="Note 3 5 2 2 2 8" xfId="31450" xr:uid="{00000000-0005-0000-0000-0000033D0000}"/>
    <cellStyle name="Note 3 5 2 2 2 9" xfId="35108" xr:uid="{00000000-0005-0000-0000-0000043D0000}"/>
    <cellStyle name="Note 3 5 2 2 3" xfId="5786" xr:uid="{00000000-0005-0000-0000-0000053D0000}"/>
    <cellStyle name="Note 3 5 2 2 4" xfId="10144" xr:uid="{00000000-0005-0000-0000-0000063D0000}"/>
    <cellStyle name="Note 3 5 2 2 5" xfId="13990" xr:uid="{00000000-0005-0000-0000-0000073D0000}"/>
    <cellStyle name="Note 3 5 2 2 6" xfId="17819" xr:uid="{00000000-0005-0000-0000-0000083D0000}"/>
    <cellStyle name="Note 3 5 2 2 7" xfId="21758" xr:uid="{00000000-0005-0000-0000-0000093D0000}"/>
    <cellStyle name="Note 3 5 2 2 8" xfId="25571" xr:uid="{00000000-0005-0000-0000-00000A3D0000}"/>
    <cellStyle name="Note 3 5 2 2 9" xfId="29458" xr:uid="{00000000-0005-0000-0000-00000B3D0000}"/>
    <cellStyle name="Note 3 5 2 3" xfId="3116" xr:uid="{00000000-0005-0000-0000-00000C3D0000}"/>
    <cellStyle name="Note 3 5 2 3 10" xfId="38168" xr:uid="{00000000-0005-0000-0000-00000D3D0000}"/>
    <cellStyle name="Note 3 5 2 3 11" xfId="42180" xr:uid="{00000000-0005-0000-0000-00000E3D0000}"/>
    <cellStyle name="Note 3 5 2 3 12" xfId="45953" xr:uid="{00000000-0005-0000-0000-00000F3D0000}"/>
    <cellStyle name="Note 3 5 2 3 2" xfId="6992" xr:uid="{00000000-0005-0000-0000-0000103D0000}"/>
    <cellStyle name="Note 3 5 2 3 3" xfId="11421" xr:uid="{00000000-0005-0000-0000-0000113D0000}"/>
    <cellStyle name="Note 3 5 2 3 4" xfId="15265" xr:uid="{00000000-0005-0000-0000-0000123D0000}"/>
    <cellStyle name="Note 3 5 2 3 5" xfId="19110" xr:uid="{00000000-0005-0000-0000-0000133D0000}"/>
    <cellStyle name="Note 3 5 2 3 6" xfId="23032" xr:uid="{00000000-0005-0000-0000-0000143D0000}"/>
    <cellStyle name="Note 3 5 2 3 7" xfId="26861" xr:uid="{00000000-0005-0000-0000-0000153D0000}"/>
    <cellStyle name="Note 3 5 2 3 8" xfId="30733" xr:uid="{00000000-0005-0000-0000-0000163D0000}"/>
    <cellStyle name="Note 3 5 2 3 9" xfId="34391" xr:uid="{00000000-0005-0000-0000-0000173D0000}"/>
    <cellStyle name="Note 3 5 2 4" xfId="5068" xr:uid="{00000000-0005-0000-0000-0000183D0000}"/>
    <cellStyle name="Note 3 5 2 5" xfId="9424" xr:uid="{00000000-0005-0000-0000-0000193D0000}"/>
    <cellStyle name="Note 3 5 2 6" xfId="13264" xr:uid="{00000000-0005-0000-0000-00001A3D0000}"/>
    <cellStyle name="Note 3 5 2 7" xfId="17092" xr:uid="{00000000-0005-0000-0000-00001B3D0000}"/>
    <cellStyle name="Note 3 5 2 8" xfId="21034" xr:uid="{00000000-0005-0000-0000-00001C3D0000}"/>
    <cellStyle name="Note 3 5 2 9" xfId="24848" xr:uid="{00000000-0005-0000-0000-00001D3D0000}"/>
    <cellStyle name="Note 3 5 3" xfId="1500" xr:uid="{00000000-0005-0000-0000-00001E3D0000}"/>
    <cellStyle name="Note 3 5 3 10" xfId="32787" xr:uid="{00000000-0005-0000-0000-00001F3D0000}"/>
    <cellStyle name="Note 3 5 3 11" xfId="36557" xr:uid="{00000000-0005-0000-0000-0000203D0000}"/>
    <cellStyle name="Note 3 5 3 12" xfId="40548" xr:uid="{00000000-0005-0000-0000-0000213D0000}"/>
    <cellStyle name="Note 3 5 3 13" xfId="44379" xr:uid="{00000000-0005-0000-0000-0000223D0000}"/>
    <cellStyle name="Note 3 5 3 2" xfId="3490" xr:uid="{00000000-0005-0000-0000-0000233D0000}"/>
    <cellStyle name="Note 3 5 3 2 10" xfId="38541" xr:uid="{00000000-0005-0000-0000-0000243D0000}"/>
    <cellStyle name="Note 3 5 3 2 11" xfId="42552" xr:uid="{00000000-0005-0000-0000-0000253D0000}"/>
    <cellStyle name="Note 3 5 3 2 12" xfId="46317" xr:uid="{00000000-0005-0000-0000-0000263D0000}"/>
    <cellStyle name="Note 3 5 3 2 2" xfId="7357" xr:uid="{00000000-0005-0000-0000-0000273D0000}"/>
    <cellStyle name="Note 3 5 3 2 3" xfId="11792" xr:uid="{00000000-0005-0000-0000-0000283D0000}"/>
    <cellStyle name="Note 3 5 3 2 4" xfId="15637" xr:uid="{00000000-0005-0000-0000-0000293D0000}"/>
    <cellStyle name="Note 3 5 3 2 5" xfId="19484" xr:uid="{00000000-0005-0000-0000-00002A3D0000}"/>
    <cellStyle name="Note 3 5 3 2 6" xfId="23400" xr:uid="{00000000-0005-0000-0000-00002B3D0000}"/>
    <cellStyle name="Note 3 5 3 2 7" xfId="27234" xr:uid="{00000000-0005-0000-0000-00002C3D0000}"/>
    <cellStyle name="Note 3 5 3 2 8" xfId="31101" xr:uid="{00000000-0005-0000-0000-00002D3D0000}"/>
    <cellStyle name="Note 3 5 3 2 9" xfId="34755" xr:uid="{00000000-0005-0000-0000-00002E3D0000}"/>
    <cellStyle name="Note 3 5 3 3" xfId="5433" xr:uid="{00000000-0005-0000-0000-00002F3D0000}"/>
    <cellStyle name="Note 3 5 3 4" xfId="9791" xr:uid="{00000000-0005-0000-0000-0000303D0000}"/>
    <cellStyle name="Note 3 5 3 5" xfId="13637" xr:uid="{00000000-0005-0000-0000-0000313D0000}"/>
    <cellStyle name="Note 3 5 3 6" xfId="17466" xr:uid="{00000000-0005-0000-0000-0000323D0000}"/>
    <cellStyle name="Note 3 5 3 7" xfId="21405" xr:uid="{00000000-0005-0000-0000-0000333D0000}"/>
    <cellStyle name="Note 3 5 3 8" xfId="25218" xr:uid="{00000000-0005-0000-0000-0000343D0000}"/>
    <cellStyle name="Note 3 5 3 9" xfId="29105" xr:uid="{00000000-0005-0000-0000-0000353D0000}"/>
    <cellStyle name="Note 3 5 4" xfId="2752" xr:uid="{00000000-0005-0000-0000-0000363D0000}"/>
    <cellStyle name="Note 3 5 4 10" xfId="37804" xr:uid="{00000000-0005-0000-0000-0000373D0000}"/>
    <cellStyle name="Note 3 5 4 11" xfId="41817" xr:uid="{00000000-0005-0000-0000-0000383D0000}"/>
    <cellStyle name="Note 3 5 4 12" xfId="45600" xr:uid="{00000000-0005-0000-0000-0000393D0000}"/>
    <cellStyle name="Note 3 5 4 2" xfId="6638" xr:uid="{00000000-0005-0000-0000-00003A3D0000}"/>
    <cellStyle name="Note 3 5 4 3" xfId="11062" xr:uid="{00000000-0005-0000-0000-00003B3D0000}"/>
    <cellStyle name="Note 3 5 4 4" xfId="14907" xr:uid="{00000000-0005-0000-0000-00003C3D0000}"/>
    <cellStyle name="Note 3 5 4 5" xfId="18746" xr:uid="{00000000-0005-0000-0000-00003D3D0000}"/>
    <cellStyle name="Note 3 5 4 6" xfId="22676" xr:uid="{00000000-0005-0000-0000-00003E3D0000}"/>
    <cellStyle name="Note 3 5 4 7" xfId="26497" xr:uid="{00000000-0005-0000-0000-00003F3D0000}"/>
    <cellStyle name="Note 3 5 4 8" xfId="30375" xr:uid="{00000000-0005-0000-0000-0000403D0000}"/>
    <cellStyle name="Note 3 5 4 9" xfId="34038" xr:uid="{00000000-0005-0000-0000-0000413D0000}"/>
    <cellStyle name="Note 3 5 5" xfId="4714" xr:uid="{00000000-0005-0000-0000-0000423D0000}"/>
    <cellStyle name="Note 3 5 6" xfId="9061" xr:uid="{00000000-0005-0000-0000-0000433D0000}"/>
    <cellStyle name="Note 3 5 7" xfId="12900" xr:uid="{00000000-0005-0000-0000-0000443D0000}"/>
    <cellStyle name="Note 3 5 8" xfId="16726" xr:uid="{00000000-0005-0000-0000-0000453D0000}"/>
    <cellStyle name="Note 3 5 9" xfId="20665" xr:uid="{00000000-0005-0000-0000-0000463D0000}"/>
    <cellStyle name="Note 3 6" xfId="786" xr:uid="{00000000-0005-0000-0000-0000473D0000}"/>
    <cellStyle name="Note 3 6 10" xfId="24513" xr:uid="{00000000-0005-0000-0000-0000483D0000}"/>
    <cellStyle name="Note 3 6 11" xfId="28401" xr:uid="{00000000-0005-0000-0000-0000493D0000}"/>
    <cellStyle name="Note 3 6 12" xfId="29688" xr:uid="{00000000-0005-0000-0000-00004A3D0000}"/>
    <cellStyle name="Note 3 6 13" xfId="35844" xr:uid="{00000000-0005-0000-0000-00004B3D0000}"/>
    <cellStyle name="Note 3 6 14" xfId="39861" xr:uid="{00000000-0005-0000-0000-00004C3D0000}"/>
    <cellStyle name="Note 3 6 15" xfId="43670" xr:uid="{00000000-0005-0000-0000-00004D3D0000}"/>
    <cellStyle name="Note 3 6 2" xfId="1150" xr:uid="{00000000-0005-0000-0000-00004E3D0000}"/>
    <cellStyle name="Note 3 6 2 10" xfId="28759" xr:uid="{00000000-0005-0000-0000-00004F3D0000}"/>
    <cellStyle name="Note 3 6 2 11" xfId="32445" xr:uid="{00000000-0005-0000-0000-0000503D0000}"/>
    <cellStyle name="Note 3 6 2 12" xfId="36208" xr:uid="{00000000-0005-0000-0000-0000513D0000}"/>
    <cellStyle name="Note 3 6 2 13" xfId="40207" xr:uid="{00000000-0005-0000-0000-0000523D0000}"/>
    <cellStyle name="Note 3 6 2 14" xfId="44034" xr:uid="{00000000-0005-0000-0000-0000533D0000}"/>
    <cellStyle name="Note 3 6 2 2" xfId="1875" xr:uid="{00000000-0005-0000-0000-0000543D0000}"/>
    <cellStyle name="Note 3 6 2 2 10" xfId="33162" xr:uid="{00000000-0005-0000-0000-0000553D0000}"/>
    <cellStyle name="Note 3 6 2 2 11" xfId="36932" xr:uid="{00000000-0005-0000-0000-0000563D0000}"/>
    <cellStyle name="Note 3 6 2 2 12" xfId="40923" xr:uid="{00000000-0005-0000-0000-0000573D0000}"/>
    <cellStyle name="Note 3 6 2 2 13" xfId="44754" xr:uid="{00000000-0005-0000-0000-0000583D0000}"/>
    <cellStyle name="Note 3 6 2 2 2" xfId="3865" xr:uid="{00000000-0005-0000-0000-0000593D0000}"/>
    <cellStyle name="Note 3 6 2 2 2 10" xfId="38916" xr:uid="{00000000-0005-0000-0000-00005A3D0000}"/>
    <cellStyle name="Note 3 6 2 2 2 11" xfId="42927" xr:uid="{00000000-0005-0000-0000-00005B3D0000}"/>
    <cellStyle name="Note 3 6 2 2 2 12" xfId="46692" xr:uid="{00000000-0005-0000-0000-00005C3D0000}"/>
    <cellStyle name="Note 3 6 2 2 2 2" xfId="7732" xr:uid="{00000000-0005-0000-0000-00005D3D0000}"/>
    <cellStyle name="Note 3 6 2 2 2 3" xfId="12167" xr:uid="{00000000-0005-0000-0000-00005E3D0000}"/>
    <cellStyle name="Note 3 6 2 2 2 4" xfId="16012" xr:uid="{00000000-0005-0000-0000-00005F3D0000}"/>
    <cellStyle name="Note 3 6 2 2 2 5" xfId="19859" xr:uid="{00000000-0005-0000-0000-0000603D0000}"/>
    <cellStyle name="Note 3 6 2 2 2 6" xfId="23775" xr:uid="{00000000-0005-0000-0000-0000613D0000}"/>
    <cellStyle name="Note 3 6 2 2 2 7" xfId="27609" xr:uid="{00000000-0005-0000-0000-0000623D0000}"/>
    <cellStyle name="Note 3 6 2 2 2 8" xfId="31472" xr:uid="{00000000-0005-0000-0000-0000633D0000}"/>
    <cellStyle name="Note 3 6 2 2 2 9" xfId="35130" xr:uid="{00000000-0005-0000-0000-0000643D0000}"/>
    <cellStyle name="Note 3 6 2 2 3" xfId="5808" xr:uid="{00000000-0005-0000-0000-0000653D0000}"/>
    <cellStyle name="Note 3 6 2 2 4" xfId="10166" xr:uid="{00000000-0005-0000-0000-0000663D0000}"/>
    <cellStyle name="Note 3 6 2 2 5" xfId="14012" xr:uid="{00000000-0005-0000-0000-0000673D0000}"/>
    <cellStyle name="Note 3 6 2 2 6" xfId="17841" xr:uid="{00000000-0005-0000-0000-0000683D0000}"/>
    <cellStyle name="Note 3 6 2 2 7" xfId="21780" xr:uid="{00000000-0005-0000-0000-0000693D0000}"/>
    <cellStyle name="Note 3 6 2 2 8" xfId="25593" xr:uid="{00000000-0005-0000-0000-00006A3D0000}"/>
    <cellStyle name="Note 3 6 2 2 9" xfId="29480" xr:uid="{00000000-0005-0000-0000-00006B3D0000}"/>
    <cellStyle name="Note 3 6 2 3" xfId="3140" xr:uid="{00000000-0005-0000-0000-00006C3D0000}"/>
    <cellStyle name="Note 3 6 2 3 10" xfId="38192" xr:uid="{00000000-0005-0000-0000-00006D3D0000}"/>
    <cellStyle name="Note 3 6 2 3 11" xfId="42204" xr:uid="{00000000-0005-0000-0000-00006E3D0000}"/>
    <cellStyle name="Note 3 6 2 3 12" xfId="45975" xr:uid="{00000000-0005-0000-0000-00006F3D0000}"/>
    <cellStyle name="Note 3 6 2 3 2" xfId="7014" xr:uid="{00000000-0005-0000-0000-0000703D0000}"/>
    <cellStyle name="Note 3 6 2 3 3" xfId="11444" xr:uid="{00000000-0005-0000-0000-0000713D0000}"/>
    <cellStyle name="Note 3 6 2 3 4" xfId="15289" xr:uid="{00000000-0005-0000-0000-0000723D0000}"/>
    <cellStyle name="Note 3 6 2 3 5" xfId="19134" xr:uid="{00000000-0005-0000-0000-0000733D0000}"/>
    <cellStyle name="Note 3 6 2 3 6" xfId="23054" xr:uid="{00000000-0005-0000-0000-0000743D0000}"/>
    <cellStyle name="Note 3 6 2 3 7" xfId="26885" xr:uid="{00000000-0005-0000-0000-0000753D0000}"/>
    <cellStyle name="Note 3 6 2 3 8" xfId="30757" xr:uid="{00000000-0005-0000-0000-0000763D0000}"/>
    <cellStyle name="Note 3 6 2 3 9" xfId="34413" xr:uid="{00000000-0005-0000-0000-0000773D0000}"/>
    <cellStyle name="Note 3 6 2 4" xfId="5090" xr:uid="{00000000-0005-0000-0000-0000783D0000}"/>
    <cellStyle name="Note 3 6 2 5" xfId="9446" xr:uid="{00000000-0005-0000-0000-0000793D0000}"/>
    <cellStyle name="Note 3 6 2 6" xfId="13288" xr:uid="{00000000-0005-0000-0000-00007A3D0000}"/>
    <cellStyle name="Note 3 6 2 7" xfId="17116" xr:uid="{00000000-0005-0000-0000-00007B3D0000}"/>
    <cellStyle name="Note 3 6 2 8" xfId="21058" xr:uid="{00000000-0005-0000-0000-00007C3D0000}"/>
    <cellStyle name="Note 3 6 2 9" xfId="24871" xr:uid="{00000000-0005-0000-0000-00007D3D0000}"/>
    <cellStyle name="Note 3 6 3" xfId="1522" xr:uid="{00000000-0005-0000-0000-00007E3D0000}"/>
    <cellStyle name="Note 3 6 3 10" xfId="32809" xr:uid="{00000000-0005-0000-0000-00007F3D0000}"/>
    <cellStyle name="Note 3 6 3 11" xfId="36579" xr:uid="{00000000-0005-0000-0000-0000803D0000}"/>
    <cellStyle name="Note 3 6 3 12" xfId="40570" xr:uid="{00000000-0005-0000-0000-0000813D0000}"/>
    <cellStyle name="Note 3 6 3 13" xfId="44401" xr:uid="{00000000-0005-0000-0000-0000823D0000}"/>
    <cellStyle name="Note 3 6 3 2" xfId="3512" xr:uid="{00000000-0005-0000-0000-0000833D0000}"/>
    <cellStyle name="Note 3 6 3 2 10" xfId="38563" xr:uid="{00000000-0005-0000-0000-0000843D0000}"/>
    <cellStyle name="Note 3 6 3 2 11" xfId="42574" xr:uid="{00000000-0005-0000-0000-0000853D0000}"/>
    <cellStyle name="Note 3 6 3 2 12" xfId="46339" xr:uid="{00000000-0005-0000-0000-0000863D0000}"/>
    <cellStyle name="Note 3 6 3 2 2" xfId="7379" xr:uid="{00000000-0005-0000-0000-0000873D0000}"/>
    <cellStyle name="Note 3 6 3 2 3" xfId="11814" xr:uid="{00000000-0005-0000-0000-0000883D0000}"/>
    <cellStyle name="Note 3 6 3 2 4" xfId="15659" xr:uid="{00000000-0005-0000-0000-0000893D0000}"/>
    <cellStyle name="Note 3 6 3 2 5" xfId="19506" xr:uid="{00000000-0005-0000-0000-00008A3D0000}"/>
    <cellStyle name="Note 3 6 3 2 6" xfId="23422" xr:uid="{00000000-0005-0000-0000-00008B3D0000}"/>
    <cellStyle name="Note 3 6 3 2 7" xfId="27256" xr:uid="{00000000-0005-0000-0000-00008C3D0000}"/>
    <cellStyle name="Note 3 6 3 2 8" xfId="31123" xr:uid="{00000000-0005-0000-0000-00008D3D0000}"/>
    <cellStyle name="Note 3 6 3 2 9" xfId="34777" xr:uid="{00000000-0005-0000-0000-00008E3D0000}"/>
    <cellStyle name="Note 3 6 3 3" xfId="5455" xr:uid="{00000000-0005-0000-0000-00008F3D0000}"/>
    <cellStyle name="Note 3 6 3 4" xfId="9813" xr:uid="{00000000-0005-0000-0000-0000903D0000}"/>
    <cellStyle name="Note 3 6 3 5" xfId="13659" xr:uid="{00000000-0005-0000-0000-0000913D0000}"/>
    <cellStyle name="Note 3 6 3 6" xfId="17488" xr:uid="{00000000-0005-0000-0000-0000923D0000}"/>
    <cellStyle name="Note 3 6 3 7" xfId="21427" xr:uid="{00000000-0005-0000-0000-0000933D0000}"/>
    <cellStyle name="Note 3 6 3 8" xfId="25240" xr:uid="{00000000-0005-0000-0000-0000943D0000}"/>
    <cellStyle name="Note 3 6 3 9" xfId="29127" xr:uid="{00000000-0005-0000-0000-0000953D0000}"/>
    <cellStyle name="Note 3 6 4" xfId="2776" xr:uid="{00000000-0005-0000-0000-0000963D0000}"/>
    <cellStyle name="Note 3 6 4 10" xfId="37828" xr:uid="{00000000-0005-0000-0000-0000973D0000}"/>
    <cellStyle name="Note 3 6 4 11" xfId="41841" xr:uid="{00000000-0005-0000-0000-0000983D0000}"/>
    <cellStyle name="Note 3 6 4 12" xfId="45622" xr:uid="{00000000-0005-0000-0000-0000993D0000}"/>
    <cellStyle name="Note 3 6 4 2" xfId="6660" xr:uid="{00000000-0005-0000-0000-00009A3D0000}"/>
    <cellStyle name="Note 3 6 4 3" xfId="11085" xr:uid="{00000000-0005-0000-0000-00009B3D0000}"/>
    <cellStyle name="Note 3 6 4 4" xfId="14931" xr:uid="{00000000-0005-0000-0000-00009C3D0000}"/>
    <cellStyle name="Note 3 6 4 5" xfId="18770" xr:uid="{00000000-0005-0000-0000-00009D3D0000}"/>
    <cellStyle name="Note 3 6 4 6" xfId="22698" xr:uid="{00000000-0005-0000-0000-00009E3D0000}"/>
    <cellStyle name="Note 3 6 4 7" xfId="26521" xr:uid="{00000000-0005-0000-0000-00009F3D0000}"/>
    <cellStyle name="Note 3 6 4 8" xfId="30399" xr:uid="{00000000-0005-0000-0000-0000A03D0000}"/>
    <cellStyle name="Note 3 6 4 9" xfId="34060" xr:uid="{00000000-0005-0000-0000-0000A13D0000}"/>
    <cellStyle name="Note 3 6 5" xfId="4736" xr:uid="{00000000-0005-0000-0000-0000A23D0000}"/>
    <cellStyle name="Note 3 6 6" xfId="9087" xr:uid="{00000000-0005-0000-0000-0000A33D0000}"/>
    <cellStyle name="Note 3 6 7" xfId="12928" xr:uid="{00000000-0005-0000-0000-0000A43D0000}"/>
    <cellStyle name="Note 3 6 8" xfId="16754" xr:uid="{00000000-0005-0000-0000-0000A53D0000}"/>
    <cellStyle name="Note 3 6 9" xfId="20694" xr:uid="{00000000-0005-0000-0000-0000A63D0000}"/>
    <cellStyle name="Note 3 7" xfId="841" xr:uid="{00000000-0005-0000-0000-0000A73D0000}"/>
    <cellStyle name="Note 3 7 10" xfId="24565" xr:uid="{00000000-0005-0000-0000-0000A83D0000}"/>
    <cellStyle name="Note 3 7 11" xfId="28456" xr:uid="{00000000-0005-0000-0000-0000A93D0000}"/>
    <cellStyle name="Note 3 7 12" xfId="32142" xr:uid="{00000000-0005-0000-0000-0000AA3D0000}"/>
    <cellStyle name="Note 3 7 13" xfId="35899" xr:uid="{00000000-0005-0000-0000-0000AB3D0000}"/>
    <cellStyle name="Note 3 7 14" xfId="39910" xr:uid="{00000000-0005-0000-0000-0000AC3D0000}"/>
    <cellStyle name="Note 3 7 15" xfId="43725" xr:uid="{00000000-0005-0000-0000-0000AD3D0000}"/>
    <cellStyle name="Note 3 7 2" xfId="1184" xr:uid="{00000000-0005-0000-0000-0000AE3D0000}"/>
    <cellStyle name="Note 3 7 2 10" xfId="28793" xr:uid="{00000000-0005-0000-0000-0000AF3D0000}"/>
    <cellStyle name="Note 3 7 2 11" xfId="32476" xr:uid="{00000000-0005-0000-0000-0000B03D0000}"/>
    <cellStyle name="Note 3 7 2 12" xfId="36242" xr:uid="{00000000-0005-0000-0000-0000B13D0000}"/>
    <cellStyle name="Note 3 7 2 13" xfId="40236" xr:uid="{00000000-0005-0000-0000-0000B23D0000}"/>
    <cellStyle name="Note 3 7 2 14" xfId="44068" xr:uid="{00000000-0005-0000-0000-0000B33D0000}"/>
    <cellStyle name="Note 3 7 2 2" xfId="1906" xr:uid="{00000000-0005-0000-0000-0000B43D0000}"/>
    <cellStyle name="Note 3 7 2 2 10" xfId="33193" xr:uid="{00000000-0005-0000-0000-0000B53D0000}"/>
    <cellStyle name="Note 3 7 2 2 11" xfId="36963" xr:uid="{00000000-0005-0000-0000-0000B63D0000}"/>
    <cellStyle name="Note 3 7 2 2 12" xfId="40954" xr:uid="{00000000-0005-0000-0000-0000B73D0000}"/>
    <cellStyle name="Note 3 7 2 2 13" xfId="44785" xr:uid="{00000000-0005-0000-0000-0000B83D0000}"/>
    <cellStyle name="Note 3 7 2 2 2" xfId="3896" xr:uid="{00000000-0005-0000-0000-0000B93D0000}"/>
    <cellStyle name="Note 3 7 2 2 2 10" xfId="38947" xr:uid="{00000000-0005-0000-0000-0000BA3D0000}"/>
    <cellStyle name="Note 3 7 2 2 2 11" xfId="42958" xr:uid="{00000000-0005-0000-0000-0000BB3D0000}"/>
    <cellStyle name="Note 3 7 2 2 2 12" xfId="46723" xr:uid="{00000000-0005-0000-0000-0000BC3D0000}"/>
    <cellStyle name="Note 3 7 2 2 2 2" xfId="7763" xr:uid="{00000000-0005-0000-0000-0000BD3D0000}"/>
    <cellStyle name="Note 3 7 2 2 2 3" xfId="12198" xr:uid="{00000000-0005-0000-0000-0000BE3D0000}"/>
    <cellStyle name="Note 3 7 2 2 2 4" xfId="16043" xr:uid="{00000000-0005-0000-0000-0000BF3D0000}"/>
    <cellStyle name="Note 3 7 2 2 2 5" xfId="19890" xr:uid="{00000000-0005-0000-0000-0000C03D0000}"/>
    <cellStyle name="Note 3 7 2 2 2 6" xfId="23806" xr:uid="{00000000-0005-0000-0000-0000C13D0000}"/>
    <cellStyle name="Note 3 7 2 2 2 7" xfId="27640" xr:uid="{00000000-0005-0000-0000-0000C23D0000}"/>
    <cellStyle name="Note 3 7 2 2 2 8" xfId="31502" xr:uid="{00000000-0005-0000-0000-0000C33D0000}"/>
    <cellStyle name="Note 3 7 2 2 2 9" xfId="35161" xr:uid="{00000000-0005-0000-0000-0000C43D0000}"/>
    <cellStyle name="Note 3 7 2 2 3" xfId="5839" xr:uid="{00000000-0005-0000-0000-0000C53D0000}"/>
    <cellStyle name="Note 3 7 2 2 4" xfId="10197" xr:uid="{00000000-0005-0000-0000-0000C63D0000}"/>
    <cellStyle name="Note 3 7 2 2 5" xfId="14043" xr:uid="{00000000-0005-0000-0000-0000C73D0000}"/>
    <cellStyle name="Note 3 7 2 2 6" xfId="17872" xr:uid="{00000000-0005-0000-0000-0000C83D0000}"/>
    <cellStyle name="Note 3 7 2 2 7" xfId="21811" xr:uid="{00000000-0005-0000-0000-0000C93D0000}"/>
    <cellStyle name="Note 3 7 2 2 8" xfId="25624" xr:uid="{00000000-0005-0000-0000-0000CA3D0000}"/>
    <cellStyle name="Note 3 7 2 2 9" xfId="29511" xr:uid="{00000000-0005-0000-0000-0000CB3D0000}"/>
    <cellStyle name="Note 3 7 2 3" xfId="3174" xr:uid="{00000000-0005-0000-0000-0000CC3D0000}"/>
    <cellStyle name="Note 3 7 2 3 10" xfId="38226" xr:uid="{00000000-0005-0000-0000-0000CD3D0000}"/>
    <cellStyle name="Note 3 7 2 3 11" xfId="42237" xr:uid="{00000000-0005-0000-0000-0000CE3D0000}"/>
    <cellStyle name="Note 3 7 2 3 12" xfId="46006" xr:uid="{00000000-0005-0000-0000-0000CF3D0000}"/>
    <cellStyle name="Note 3 7 2 3 2" xfId="7046" xr:uid="{00000000-0005-0000-0000-0000D03D0000}"/>
    <cellStyle name="Note 3 7 2 3 3" xfId="11478" xr:uid="{00000000-0005-0000-0000-0000D13D0000}"/>
    <cellStyle name="Note 3 7 2 3 4" xfId="15322" xr:uid="{00000000-0005-0000-0000-0000D23D0000}"/>
    <cellStyle name="Note 3 7 2 3 5" xfId="19168" xr:uid="{00000000-0005-0000-0000-0000D33D0000}"/>
    <cellStyle name="Note 3 7 2 3 6" xfId="23087" xr:uid="{00000000-0005-0000-0000-0000D43D0000}"/>
    <cellStyle name="Note 3 7 2 3 7" xfId="26919" xr:uid="{00000000-0005-0000-0000-0000D53D0000}"/>
    <cellStyle name="Note 3 7 2 3 8" xfId="30790" xr:uid="{00000000-0005-0000-0000-0000D63D0000}"/>
    <cellStyle name="Note 3 7 2 3 9" xfId="34444" xr:uid="{00000000-0005-0000-0000-0000D73D0000}"/>
    <cellStyle name="Note 3 7 2 4" xfId="5122" xr:uid="{00000000-0005-0000-0000-0000D83D0000}"/>
    <cellStyle name="Note 3 7 2 5" xfId="9478" xr:uid="{00000000-0005-0000-0000-0000D93D0000}"/>
    <cellStyle name="Note 3 7 2 6" xfId="13322" xr:uid="{00000000-0005-0000-0000-0000DA3D0000}"/>
    <cellStyle name="Note 3 7 2 7" xfId="17150" xr:uid="{00000000-0005-0000-0000-0000DB3D0000}"/>
    <cellStyle name="Note 3 7 2 8" xfId="21092" xr:uid="{00000000-0005-0000-0000-0000DC3D0000}"/>
    <cellStyle name="Note 3 7 2 9" xfId="24903" xr:uid="{00000000-0005-0000-0000-0000DD3D0000}"/>
    <cellStyle name="Note 3 7 3" xfId="1572" xr:uid="{00000000-0005-0000-0000-0000DE3D0000}"/>
    <cellStyle name="Note 3 7 3 10" xfId="32859" xr:uid="{00000000-0005-0000-0000-0000DF3D0000}"/>
    <cellStyle name="Note 3 7 3 11" xfId="36629" xr:uid="{00000000-0005-0000-0000-0000E03D0000}"/>
    <cellStyle name="Note 3 7 3 12" xfId="40620" xr:uid="{00000000-0005-0000-0000-0000E13D0000}"/>
    <cellStyle name="Note 3 7 3 13" xfId="44451" xr:uid="{00000000-0005-0000-0000-0000E23D0000}"/>
    <cellStyle name="Note 3 7 3 2" xfId="3562" xr:uid="{00000000-0005-0000-0000-0000E33D0000}"/>
    <cellStyle name="Note 3 7 3 2 10" xfId="38613" xr:uid="{00000000-0005-0000-0000-0000E43D0000}"/>
    <cellStyle name="Note 3 7 3 2 11" xfId="42624" xr:uid="{00000000-0005-0000-0000-0000E53D0000}"/>
    <cellStyle name="Note 3 7 3 2 12" xfId="46389" xr:uid="{00000000-0005-0000-0000-0000E63D0000}"/>
    <cellStyle name="Note 3 7 3 2 2" xfId="7429" xr:uid="{00000000-0005-0000-0000-0000E73D0000}"/>
    <cellStyle name="Note 3 7 3 2 3" xfId="11864" xr:uid="{00000000-0005-0000-0000-0000E83D0000}"/>
    <cellStyle name="Note 3 7 3 2 4" xfId="15709" xr:uid="{00000000-0005-0000-0000-0000E93D0000}"/>
    <cellStyle name="Note 3 7 3 2 5" xfId="19556" xr:uid="{00000000-0005-0000-0000-0000EA3D0000}"/>
    <cellStyle name="Note 3 7 3 2 6" xfId="23472" xr:uid="{00000000-0005-0000-0000-0000EB3D0000}"/>
    <cellStyle name="Note 3 7 3 2 7" xfId="27306" xr:uid="{00000000-0005-0000-0000-0000EC3D0000}"/>
    <cellStyle name="Note 3 7 3 2 8" xfId="31172" xr:uid="{00000000-0005-0000-0000-0000ED3D0000}"/>
    <cellStyle name="Note 3 7 3 2 9" xfId="34827" xr:uid="{00000000-0005-0000-0000-0000EE3D0000}"/>
    <cellStyle name="Note 3 7 3 3" xfId="5505" xr:uid="{00000000-0005-0000-0000-0000EF3D0000}"/>
    <cellStyle name="Note 3 7 3 4" xfId="9863" xr:uid="{00000000-0005-0000-0000-0000F03D0000}"/>
    <cellStyle name="Note 3 7 3 5" xfId="13709" xr:uid="{00000000-0005-0000-0000-0000F13D0000}"/>
    <cellStyle name="Note 3 7 3 6" xfId="17538" xr:uid="{00000000-0005-0000-0000-0000F23D0000}"/>
    <cellStyle name="Note 3 7 3 7" xfId="21477" xr:uid="{00000000-0005-0000-0000-0000F33D0000}"/>
    <cellStyle name="Note 3 7 3 8" xfId="25290" xr:uid="{00000000-0005-0000-0000-0000F43D0000}"/>
    <cellStyle name="Note 3 7 3 9" xfId="29177" xr:uid="{00000000-0005-0000-0000-0000F53D0000}"/>
    <cellStyle name="Note 3 7 4" xfId="2831" xr:uid="{00000000-0005-0000-0000-0000F63D0000}"/>
    <cellStyle name="Note 3 7 4 10" xfId="37883" xr:uid="{00000000-0005-0000-0000-0000F73D0000}"/>
    <cellStyle name="Note 3 7 4 11" xfId="41895" xr:uid="{00000000-0005-0000-0000-0000F83D0000}"/>
    <cellStyle name="Note 3 7 4 12" xfId="45672" xr:uid="{00000000-0005-0000-0000-0000F93D0000}"/>
    <cellStyle name="Note 3 7 4 2" xfId="6711" xr:uid="{00000000-0005-0000-0000-0000FA3D0000}"/>
    <cellStyle name="Note 3 7 4 3" xfId="11138" xr:uid="{00000000-0005-0000-0000-0000FB3D0000}"/>
    <cellStyle name="Note 3 7 4 4" xfId="14983" xr:uid="{00000000-0005-0000-0000-0000FC3D0000}"/>
    <cellStyle name="Note 3 7 4 5" xfId="18825" xr:uid="{00000000-0005-0000-0000-0000FD3D0000}"/>
    <cellStyle name="Note 3 7 4 6" xfId="22751" xr:uid="{00000000-0005-0000-0000-0000FE3D0000}"/>
    <cellStyle name="Note 3 7 4 7" xfId="26576" xr:uid="{00000000-0005-0000-0000-0000FF3D0000}"/>
    <cellStyle name="Note 3 7 4 8" xfId="30453" xr:uid="{00000000-0005-0000-0000-0000003E0000}"/>
    <cellStyle name="Note 3 7 4 9" xfId="34110" xr:uid="{00000000-0005-0000-0000-0000013E0000}"/>
    <cellStyle name="Note 3 7 5" xfId="4787" xr:uid="{00000000-0005-0000-0000-0000023E0000}"/>
    <cellStyle name="Note 3 7 6" xfId="9141" xr:uid="{00000000-0005-0000-0000-0000033E0000}"/>
    <cellStyle name="Note 3 7 7" xfId="12982" xr:uid="{00000000-0005-0000-0000-0000043E0000}"/>
    <cellStyle name="Note 3 7 8" xfId="16807" xr:uid="{00000000-0005-0000-0000-0000053E0000}"/>
    <cellStyle name="Note 3 7 9" xfId="20749" xr:uid="{00000000-0005-0000-0000-0000063E0000}"/>
    <cellStyle name="Note 3 8" xfId="848" xr:uid="{00000000-0005-0000-0000-0000073E0000}"/>
    <cellStyle name="Note 3 8 10" xfId="28463" xr:uid="{00000000-0005-0000-0000-0000083E0000}"/>
    <cellStyle name="Note 3 8 11" xfId="32149" xr:uid="{00000000-0005-0000-0000-0000093E0000}"/>
    <cellStyle name="Note 3 8 12" xfId="35906" xr:uid="{00000000-0005-0000-0000-00000A3E0000}"/>
    <cellStyle name="Note 3 8 13" xfId="39917" xr:uid="{00000000-0005-0000-0000-00000B3E0000}"/>
    <cellStyle name="Note 3 8 14" xfId="43732" xr:uid="{00000000-0005-0000-0000-00000C3E0000}"/>
    <cellStyle name="Note 3 8 2" xfId="1579" xr:uid="{00000000-0005-0000-0000-00000D3E0000}"/>
    <cellStyle name="Note 3 8 2 10" xfId="32866" xr:uid="{00000000-0005-0000-0000-00000E3E0000}"/>
    <cellStyle name="Note 3 8 2 11" xfId="36636" xr:uid="{00000000-0005-0000-0000-00000F3E0000}"/>
    <cellStyle name="Note 3 8 2 12" xfId="40627" xr:uid="{00000000-0005-0000-0000-0000103E0000}"/>
    <cellStyle name="Note 3 8 2 13" xfId="44458" xr:uid="{00000000-0005-0000-0000-0000113E0000}"/>
    <cellStyle name="Note 3 8 2 2" xfId="3569" xr:uid="{00000000-0005-0000-0000-0000123E0000}"/>
    <cellStyle name="Note 3 8 2 2 10" xfId="38620" xr:uid="{00000000-0005-0000-0000-0000133E0000}"/>
    <cellStyle name="Note 3 8 2 2 11" xfId="42631" xr:uid="{00000000-0005-0000-0000-0000143E0000}"/>
    <cellStyle name="Note 3 8 2 2 12" xfId="46396" xr:uid="{00000000-0005-0000-0000-0000153E0000}"/>
    <cellStyle name="Note 3 8 2 2 2" xfId="7436" xr:uid="{00000000-0005-0000-0000-0000163E0000}"/>
    <cellStyle name="Note 3 8 2 2 3" xfId="11871" xr:uid="{00000000-0005-0000-0000-0000173E0000}"/>
    <cellStyle name="Note 3 8 2 2 4" xfId="15716" xr:uid="{00000000-0005-0000-0000-0000183E0000}"/>
    <cellStyle name="Note 3 8 2 2 5" xfId="19563" xr:uid="{00000000-0005-0000-0000-0000193E0000}"/>
    <cellStyle name="Note 3 8 2 2 6" xfId="23479" xr:uid="{00000000-0005-0000-0000-00001A3E0000}"/>
    <cellStyle name="Note 3 8 2 2 7" xfId="27313" xr:uid="{00000000-0005-0000-0000-00001B3E0000}"/>
    <cellStyle name="Note 3 8 2 2 8" xfId="31179" xr:uid="{00000000-0005-0000-0000-00001C3E0000}"/>
    <cellStyle name="Note 3 8 2 2 9" xfId="34834" xr:uid="{00000000-0005-0000-0000-00001D3E0000}"/>
    <cellStyle name="Note 3 8 2 3" xfId="5512" xr:uid="{00000000-0005-0000-0000-00001E3E0000}"/>
    <cellStyle name="Note 3 8 2 4" xfId="9870" xr:uid="{00000000-0005-0000-0000-00001F3E0000}"/>
    <cellStyle name="Note 3 8 2 5" xfId="13716" xr:uid="{00000000-0005-0000-0000-0000203E0000}"/>
    <cellStyle name="Note 3 8 2 6" xfId="17545" xr:uid="{00000000-0005-0000-0000-0000213E0000}"/>
    <cellStyle name="Note 3 8 2 7" xfId="21484" xr:uid="{00000000-0005-0000-0000-0000223E0000}"/>
    <cellStyle name="Note 3 8 2 8" xfId="25297" xr:uid="{00000000-0005-0000-0000-0000233E0000}"/>
    <cellStyle name="Note 3 8 2 9" xfId="29184" xr:uid="{00000000-0005-0000-0000-0000243E0000}"/>
    <cellStyle name="Note 3 8 3" xfId="2838" xr:uid="{00000000-0005-0000-0000-0000253E0000}"/>
    <cellStyle name="Note 3 8 3 10" xfId="37890" xr:uid="{00000000-0005-0000-0000-0000263E0000}"/>
    <cellStyle name="Note 3 8 3 11" xfId="41902" xr:uid="{00000000-0005-0000-0000-0000273E0000}"/>
    <cellStyle name="Note 3 8 3 12" xfId="45679" xr:uid="{00000000-0005-0000-0000-0000283E0000}"/>
    <cellStyle name="Note 3 8 3 2" xfId="6718" xr:uid="{00000000-0005-0000-0000-0000293E0000}"/>
    <cellStyle name="Note 3 8 3 3" xfId="11145" xr:uid="{00000000-0005-0000-0000-00002A3E0000}"/>
    <cellStyle name="Note 3 8 3 4" xfId="14990" xr:uid="{00000000-0005-0000-0000-00002B3E0000}"/>
    <cellStyle name="Note 3 8 3 5" xfId="18832" xr:uid="{00000000-0005-0000-0000-00002C3E0000}"/>
    <cellStyle name="Note 3 8 3 6" xfId="22758" xr:uid="{00000000-0005-0000-0000-00002D3E0000}"/>
    <cellStyle name="Note 3 8 3 7" xfId="26583" xr:uid="{00000000-0005-0000-0000-00002E3E0000}"/>
    <cellStyle name="Note 3 8 3 8" xfId="30460" xr:uid="{00000000-0005-0000-0000-00002F3E0000}"/>
    <cellStyle name="Note 3 8 3 9" xfId="34117" xr:uid="{00000000-0005-0000-0000-0000303E0000}"/>
    <cellStyle name="Note 3 8 4" xfId="4794" xr:uid="{00000000-0005-0000-0000-0000313E0000}"/>
    <cellStyle name="Note 3 8 5" xfId="9148" xr:uid="{00000000-0005-0000-0000-0000323E0000}"/>
    <cellStyle name="Note 3 8 6" xfId="12989" xr:uid="{00000000-0005-0000-0000-0000333E0000}"/>
    <cellStyle name="Note 3 8 7" xfId="16814" xr:uid="{00000000-0005-0000-0000-0000343E0000}"/>
    <cellStyle name="Note 3 8 8" xfId="20756" xr:uid="{00000000-0005-0000-0000-0000353E0000}"/>
    <cellStyle name="Note 3 8 9" xfId="24572" xr:uid="{00000000-0005-0000-0000-0000363E0000}"/>
    <cellStyle name="Note 3 9" xfId="1258" xr:uid="{00000000-0005-0000-0000-0000373E0000}"/>
    <cellStyle name="Note 3 9 10" xfId="32545" xr:uid="{00000000-0005-0000-0000-0000383E0000}"/>
    <cellStyle name="Note 3 9 11" xfId="36315" xr:uid="{00000000-0005-0000-0000-0000393E0000}"/>
    <cellStyle name="Note 3 9 12" xfId="40307" xr:uid="{00000000-0005-0000-0000-00003A3E0000}"/>
    <cellStyle name="Note 3 9 13" xfId="44137" xr:uid="{00000000-0005-0000-0000-00003B3E0000}"/>
    <cellStyle name="Note 3 9 2" xfId="3248" xr:uid="{00000000-0005-0000-0000-00003C3E0000}"/>
    <cellStyle name="Note 3 9 2 10" xfId="38299" xr:uid="{00000000-0005-0000-0000-00003D3E0000}"/>
    <cellStyle name="Note 3 9 2 11" xfId="42310" xr:uid="{00000000-0005-0000-0000-00003E3E0000}"/>
    <cellStyle name="Note 3 9 2 12" xfId="46075" xr:uid="{00000000-0005-0000-0000-00003F3E0000}"/>
    <cellStyle name="Note 3 9 2 2" xfId="7115" xr:uid="{00000000-0005-0000-0000-0000403E0000}"/>
    <cellStyle name="Note 3 9 2 3" xfId="11550" xr:uid="{00000000-0005-0000-0000-0000413E0000}"/>
    <cellStyle name="Note 3 9 2 4" xfId="15395" xr:uid="{00000000-0005-0000-0000-0000423E0000}"/>
    <cellStyle name="Note 3 9 2 5" xfId="19242" xr:uid="{00000000-0005-0000-0000-0000433E0000}"/>
    <cellStyle name="Note 3 9 2 6" xfId="23158" xr:uid="{00000000-0005-0000-0000-0000443E0000}"/>
    <cellStyle name="Note 3 9 2 7" xfId="26992" xr:uid="{00000000-0005-0000-0000-0000453E0000}"/>
    <cellStyle name="Note 3 9 2 8" xfId="30862" xr:uid="{00000000-0005-0000-0000-0000463E0000}"/>
    <cellStyle name="Note 3 9 2 9" xfId="34513" xr:uid="{00000000-0005-0000-0000-0000473E0000}"/>
    <cellStyle name="Note 3 9 3" xfId="5191" xr:uid="{00000000-0005-0000-0000-0000483E0000}"/>
    <cellStyle name="Note 3 9 4" xfId="9549" xr:uid="{00000000-0005-0000-0000-0000493E0000}"/>
    <cellStyle name="Note 3 9 5" xfId="13395" xr:uid="{00000000-0005-0000-0000-00004A3E0000}"/>
    <cellStyle name="Note 3 9 6" xfId="17224" xr:uid="{00000000-0005-0000-0000-00004B3E0000}"/>
    <cellStyle name="Note 3 9 7" xfId="21163" xr:uid="{00000000-0005-0000-0000-00004C3E0000}"/>
    <cellStyle name="Note 3 9 8" xfId="24976" xr:uid="{00000000-0005-0000-0000-00004D3E0000}"/>
    <cellStyle name="Note 3 9 9" xfId="28864" xr:uid="{00000000-0005-0000-0000-00004E3E0000}"/>
    <cellStyle name="Note 4" xfId="480" xr:uid="{00000000-0005-0000-0000-00004F3E0000}"/>
    <cellStyle name="Note 4 10" xfId="769" xr:uid="{00000000-0005-0000-0000-0000503E0000}"/>
    <cellStyle name="Note 4 10 10" xfId="24498" xr:uid="{00000000-0005-0000-0000-0000513E0000}"/>
    <cellStyle name="Note 4 10 11" xfId="28388" xr:uid="{00000000-0005-0000-0000-0000523E0000}"/>
    <cellStyle name="Note 4 10 12" xfId="25705" xr:uid="{00000000-0005-0000-0000-0000533E0000}"/>
    <cellStyle name="Note 4 10 13" xfId="35833" xr:uid="{00000000-0005-0000-0000-0000543E0000}"/>
    <cellStyle name="Note 4 10 14" xfId="39852" xr:uid="{00000000-0005-0000-0000-0000553E0000}"/>
    <cellStyle name="Note 4 10 15" xfId="43659" xr:uid="{00000000-0005-0000-0000-0000563E0000}"/>
    <cellStyle name="Note 4 10 2" xfId="1139" xr:uid="{00000000-0005-0000-0000-0000573E0000}"/>
    <cellStyle name="Note 4 10 2 10" xfId="28748" xr:uid="{00000000-0005-0000-0000-0000583E0000}"/>
    <cellStyle name="Note 4 10 2 11" xfId="32436" xr:uid="{00000000-0005-0000-0000-0000593E0000}"/>
    <cellStyle name="Note 4 10 2 12" xfId="36197" xr:uid="{00000000-0005-0000-0000-00005A3E0000}"/>
    <cellStyle name="Note 4 10 2 13" xfId="40198" xr:uid="{00000000-0005-0000-0000-00005B3E0000}"/>
    <cellStyle name="Note 4 10 2 14" xfId="44023" xr:uid="{00000000-0005-0000-0000-00005C3E0000}"/>
    <cellStyle name="Note 4 10 2 2" xfId="1866" xr:uid="{00000000-0005-0000-0000-00005D3E0000}"/>
    <cellStyle name="Note 4 10 2 2 10" xfId="33153" xr:uid="{00000000-0005-0000-0000-00005E3E0000}"/>
    <cellStyle name="Note 4 10 2 2 11" xfId="36923" xr:uid="{00000000-0005-0000-0000-00005F3E0000}"/>
    <cellStyle name="Note 4 10 2 2 12" xfId="40914" xr:uid="{00000000-0005-0000-0000-0000603E0000}"/>
    <cellStyle name="Note 4 10 2 2 13" xfId="44745" xr:uid="{00000000-0005-0000-0000-0000613E0000}"/>
    <cellStyle name="Note 4 10 2 2 2" xfId="3856" xr:uid="{00000000-0005-0000-0000-0000623E0000}"/>
    <cellStyle name="Note 4 10 2 2 2 10" xfId="38907" xr:uid="{00000000-0005-0000-0000-0000633E0000}"/>
    <cellStyle name="Note 4 10 2 2 2 11" xfId="42918" xr:uid="{00000000-0005-0000-0000-0000643E0000}"/>
    <cellStyle name="Note 4 10 2 2 2 12" xfId="46683" xr:uid="{00000000-0005-0000-0000-0000653E0000}"/>
    <cellStyle name="Note 4 10 2 2 2 2" xfId="7723" xr:uid="{00000000-0005-0000-0000-0000663E0000}"/>
    <cellStyle name="Note 4 10 2 2 2 3" xfId="12158" xr:uid="{00000000-0005-0000-0000-0000673E0000}"/>
    <cellStyle name="Note 4 10 2 2 2 4" xfId="16003" xr:uid="{00000000-0005-0000-0000-0000683E0000}"/>
    <cellStyle name="Note 4 10 2 2 2 5" xfId="19850" xr:uid="{00000000-0005-0000-0000-0000693E0000}"/>
    <cellStyle name="Note 4 10 2 2 2 6" xfId="23766" xr:uid="{00000000-0005-0000-0000-00006A3E0000}"/>
    <cellStyle name="Note 4 10 2 2 2 7" xfId="27600" xr:uid="{00000000-0005-0000-0000-00006B3E0000}"/>
    <cellStyle name="Note 4 10 2 2 2 8" xfId="31463" xr:uid="{00000000-0005-0000-0000-00006C3E0000}"/>
    <cellStyle name="Note 4 10 2 2 2 9" xfId="35121" xr:uid="{00000000-0005-0000-0000-00006D3E0000}"/>
    <cellStyle name="Note 4 10 2 2 3" xfId="5799" xr:uid="{00000000-0005-0000-0000-00006E3E0000}"/>
    <cellStyle name="Note 4 10 2 2 4" xfId="10157" xr:uid="{00000000-0005-0000-0000-00006F3E0000}"/>
    <cellStyle name="Note 4 10 2 2 5" xfId="14003" xr:uid="{00000000-0005-0000-0000-0000703E0000}"/>
    <cellStyle name="Note 4 10 2 2 6" xfId="17832" xr:uid="{00000000-0005-0000-0000-0000713E0000}"/>
    <cellStyle name="Note 4 10 2 2 7" xfId="21771" xr:uid="{00000000-0005-0000-0000-0000723E0000}"/>
    <cellStyle name="Note 4 10 2 2 8" xfId="25584" xr:uid="{00000000-0005-0000-0000-0000733E0000}"/>
    <cellStyle name="Note 4 10 2 2 9" xfId="29471" xr:uid="{00000000-0005-0000-0000-0000743E0000}"/>
    <cellStyle name="Note 4 10 2 3" xfId="3129" xr:uid="{00000000-0005-0000-0000-0000753E0000}"/>
    <cellStyle name="Note 4 10 2 3 10" xfId="38181" xr:uid="{00000000-0005-0000-0000-0000763E0000}"/>
    <cellStyle name="Note 4 10 2 3 11" xfId="42193" xr:uid="{00000000-0005-0000-0000-0000773E0000}"/>
    <cellStyle name="Note 4 10 2 3 12" xfId="45966" xr:uid="{00000000-0005-0000-0000-0000783E0000}"/>
    <cellStyle name="Note 4 10 2 3 2" xfId="7005" xr:uid="{00000000-0005-0000-0000-0000793E0000}"/>
    <cellStyle name="Note 4 10 2 3 3" xfId="11434" xr:uid="{00000000-0005-0000-0000-00007A3E0000}"/>
    <cellStyle name="Note 4 10 2 3 4" xfId="15278" xr:uid="{00000000-0005-0000-0000-00007B3E0000}"/>
    <cellStyle name="Note 4 10 2 3 5" xfId="19123" xr:uid="{00000000-0005-0000-0000-00007C3E0000}"/>
    <cellStyle name="Note 4 10 2 3 6" xfId="23045" xr:uid="{00000000-0005-0000-0000-00007D3E0000}"/>
    <cellStyle name="Note 4 10 2 3 7" xfId="26874" xr:uid="{00000000-0005-0000-0000-00007E3E0000}"/>
    <cellStyle name="Note 4 10 2 3 8" xfId="30746" xr:uid="{00000000-0005-0000-0000-00007F3E0000}"/>
    <cellStyle name="Note 4 10 2 3 9" xfId="34404" xr:uid="{00000000-0005-0000-0000-0000803E0000}"/>
    <cellStyle name="Note 4 10 2 4" xfId="5081" xr:uid="{00000000-0005-0000-0000-0000813E0000}"/>
    <cellStyle name="Note 4 10 2 5" xfId="9437" xr:uid="{00000000-0005-0000-0000-0000823E0000}"/>
    <cellStyle name="Note 4 10 2 6" xfId="13277" xr:uid="{00000000-0005-0000-0000-0000833E0000}"/>
    <cellStyle name="Note 4 10 2 7" xfId="17105" xr:uid="{00000000-0005-0000-0000-0000843E0000}"/>
    <cellStyle name="Note 4 10 2 8" xfId="21047" xr:uid="{00000000-0005-0000-0000-0000853E0000}"/>
    <cellStyle name="Note 4 10 2 9" xfId="24861" xr:uid="{00000000-0005-0000-0000-0000863E0000}"/>
    <cellStyle name="Note 4 10 3" xfId="1513" xr:uid="{00000000-0005-0000-0000-0000873E0000}"/>
    <cellStyle name="Note 4 10 3 10" xfId="32800" xr:uid="{00000000-0005-0000-0000-0000883E0000}"/>
    <cellStyle name="Note 4 10 3 11" xfId="36570" xr:uid="{00000000-0005-0000-0000-0000893E0000}"/>
    <cellStyle name="Note 4 10 3 12" xfId="40561" xr:uid="{00000000-0005-0000-0000-00008A3E0000}"/>
    <cellStyle name="Note 4 10 3 13" xfId="44392" xr:uid="{00000000-0005-0000-0000-00008B3E0000}"/>
    <cellStyle name="Note 4 10 3 2" xfId="3503" xr:uid="{00000000-0005-0000-0000-00008C3E0000}"/>
    <cellStyle name="Note 4 10 3 2 10" xfId="38554" xr:uid="{00000000-0005-0000-0000-00008D3E0000}"/>
    <cellStyle name="Note 4 10 3 2 11" xfId="42565" xr:uid="{00000000-0005-0000-0000-00008E3E0000}"/>
    <cellStyle name="Note 4 10 3 2 12" xfId="46330" xr:uid="{00000000-0005-0000-0000-00008F3E0000}"/>
    <cellStyle name="Note 4 10 3 2 2" xfId="7370" xr:uid="{00000000-0005-0000-0000-0000903E0000}"/>
    <cellStyle name="Note 4 10 3 2 3" xfId="11805" xr:uid="{00000000-0005-0000-0000-0000913E0000}"/>
    <cellStyle name="Note 4 10 3 2 4" xfId="15650" xr:uid="{00000000-0005-0000-0000-0000923E0000}"/>
    <cellStyle name="Note 4 10 3 2 5" xfId="19497" xr:uid="{00000000-0005-0000-0000-0000933E0000}"/>
    <cellStyle name="Note 4 10 3 2 6" xfId="23413" xr:uid="{00000000-0005-0000-0000-0000943E0000}"/>
    <cellStyle name="Note 4 10 3 2 7" xfId="27247" xr:uid="{00000000-0005-0000-0000-0000953E0000}"/>
    <cellStyle name="Note 4 10 3 2 8" xfId="31114" xr:uid="{00000000-0005-0000-0000-0000963E0000}"/>
    <cellStyle name="Note 4 10 3 2 9" xfId="34768" xr:uid="{00000000-0005-0000-0000-0000973E0000}"/>
    <cellStyle name="Note 4 10 3 3" xfId="5446" xr:uid="{00000000-0005-0000-0000-0000983E0000}"/>
    <cellStyle name="Note 4 10 3 4" xfId="9804" xr:uid="{00000000-0005-0000-0000-0000993E0000}"/>
    <cellStyle name="Note 4 10 3 5" xfId="13650" xr:uid="{00000000-0005-0000-0000-00009A3E0000}"/>
    <cellStyle name="Note 4 10 3 6" xfId="17479" xr:uid="{00000000-0005-0000-0000-00009B3E0000}"/>
    <cellStyle name="Note 4 10 3 7" xfId="21418" xr:uid="{00000000-0005-0000-0000-00009C3E0000}"/>
    <cellStyle name="Note 4 10 3 8" xfId="25231" xr:uid="{00000000-0005-0000-0000-00009D3E0000}"/>
    <cellStyle name="Note 4 10 3 9" xfId="29118" xr:uid="{00000000-0005-0000-0000-00009E3E0000}"/>
    <cellStyle name="Note 4 10 4" xfId="2765" xr:uid="{00000000-0005-0000-0000-00009F3E0000}"/>
    <cellStyle name="Note 4 10 4 10" xfId="37817" xr:uid="{00000000-0005-0000-0000-0000A03E0000}"/>
    <cellStyle name="Note 4 10 4 11" xfId="41830" xr:uid="{00000000-0005-0000-0000-0000A13E0000}"/>
    <cellStyle name="Note 4 10 4 12" xfId="45613" xr:uid="{00000000-0005-0000-0000-0000A23E0000}"/>
    <cellStyle name="Note 4 10 4 2" xfId="6651" xr:uid="{00000000-0005-0000-0000-0000A33E0000}"/>
    <cellStyle name="Note 4 10 4 3" xfId="11075" xr:uid="{00000000-0005-0000-0000-0000A43E0000}"/>
    <cellStyle name="Note 4 10 4 4" xfId="14920" xr:uid="{00000000-0005-0000-0000-0000A53E0000}"/>
    <cellStyle name="Note 4 10 4 5" xfId="18759" xr:uid="{00000000-0005-0000-0000-0000A63E0000}"/>
    <cellStyle name="Note 4 10 4 6" xfId="22689" xr:uid="{00000000-0005-0000-0000-0000A73E0000}"/>
    <cellStyle name="Note 4 10 4 7" xfId="26510" xr:uid="{00000000-0005-0000-0000-0000A83E0000}"/>
    <cellStyle name="Note 4 10 4 8" xfId="30388" xr:uid="{00000000-0005-0000-0000-0000A93E0000}"/>
    <cellStyle name="Note 4 10 4 9" xfId="34051" xr:uid="{00000000-0005-0000-0000-0000AA3E0000}"/>
    <cellStyle name="Note 4 10 5" xfId="4727" xr:uid="{00000000-0005-0000-0000-0000AB3E0000}"/>
    <cellStyle name="Note 4 10 6" xfId="9074" xr:uid="{00000000-0005-0000-0000-0000AC3E0000}"/>
    <cellStyle name="Note 4 10 7" xfId="12913" xr:uid="{00000000-0005-0000-0000-0000AD3E0000}"/>
    <cellStyle name="Note 4 10 8" xfId="16739" xr:uid="{00000000-0005-0000-0000-0000AE3E0000}"/>
    <cellStyle name="Note 4 10 9" xfId="20678" xr:uid="{00000000-0005-0000-0000-0000AF3E0000}"/>
    <cellStyle name="Note 4 11" xfId="852" xr:uid="{00000000-0005-0000-0000-0000B03E0000}"/>
    <cellStyle name="Note 4 11 10" xfId="24576" xr:uid="{00000000-0005-0000-0000-0000B13E0000}"/>
    <cellStyle name="Note 4 11 11" xfId="28467" xr:uid="{00000000-0005-0000-0000-0000B23E0000}"/>
    <cellStyle name="Note 4 11 12" xfId="32153" xr:uid="{00000000-0005-0000-0000-0000B33E0000}"/>
    <cellStyle name="Note 4 11 13" xfId="35910" xr:uid="{00000000-0005-0000-0000-0000B43E0000}"/>
    <cellStyle name="Note 4 11 14" xfId="39921" xr:uid="{00000000-0005-0000-0000-0000B53E0000}"/>
    <cellStyle name="Note 4 11 15" xfId="43736" xr:uid="{00000000-0005-0000-0000-0000B63E0000}"/>
    <cellStyle name="Note 4 11 2" xfId="1191" xr:uid="{00000000-0005-0000-0000-0000B73E0000}"/>
    <cellStyle name="Note 4 11 2 10" xfId="28800" xr:uid="{00000000-0005-0000-0000-0000B83E0000}"/>
    <cellStyle name="Note 4 11 2 11" xfId="32483" xr:uid="{00000000-0005-0000-0000-0000B93E0000}"/>
    <cellStyle name="Note 4 11 2 12" xfId="36249" xr:uid="{00000000-0005-0000-0000-0000BA3E0000}"/>
    <cellStyle name="Note 4 11 2 13" xfId="40243" xr:uid="{00000000-0005-0000-0000-0000BB3E0000}"/>
    <cellStyle name="Note 4 11 2 14" xfId="44075" xr:uid="{00000000-0005-0000-0000-0000BC3E0000}"/>
    <cellStyle name="Note 4 11 2 2" xfId="1913" xr:uid="{00000000-0005-0000-0000-0000BD3E0000}"/>
    <cellStyle name="Note 4 11 2 2 10" xfId="33200" xr:uid="{00000000-0005-0000-0000-0000BE3E0000}"/>
    <cellStyle name="Note 4 11 2 2 11" xfId="36970" xr:uid="{00000000-0005-0000-0000-0000BF3E0000}"/>
    <cellStyle name="Note 4 11 2 2 12" xfId="40961" xr:uid="{00000000-0005-0000-0000-0000C03E0000}"/>
    <cellStyle name="Note 4 11 2 2 13" xfId="44792" xr:uid="{00000000-0005-0000-0000-0000C13E0000}"/>
    <cellStyle name="Note 4 11 2 2 2" xfId="3903" xr:uid="{00000000-0005-0000-0000-0000C23E0000}"/>
    <cellStyle name="Note 4 11 2 2 2 10" xfId="38954" xr:uid="{00000000-0005-0000-0000-0000C33E0000}"/>
    <cellStyle name="Note 4 11 2 2 2 11" xfId="42965" xr:uid="{00000000-0005-0000-0000-0000C43E0000}"/>
    <cellStyle name="Note 4 11 2 2 2 12" xfId="46730" xr:uid="{00000000-0005-0000-0000-0000C53E0000}"/>
    <cellStyle name="Note 4 11 2 2 2 2" xfId="7770" xr:uid="{00000000-0005-0000-0000-0000C63E0000}"/>
    <cellStyle name="Note 4 11 2 2 2 3" xfId="12205" xr:uid="{00000000-0005-0000-0000-0000C73E0000}"/>
    <cellStyle name="Note 4 11 2 2 2 4" xfId="16050" xr:uid="{00000000-0005-0000-0000-0000C83E0000}"/>
    <cellStyle name="Note 4 11 2 2 2 5" xfId="19897" xr:uid="{00000000-0005-0000-0000-0000C93E0000}"/>
    <cellStyle name="Note 4 11 2 2 2 6" xfId="23813" xr:uid="{00000000-0005-0000-0000-0000CA3E0000}"/>
    <cellStyle name="Note 4 11 2 2 2 7" xfId="27647" xr:uid="{00000000-0005-0000-0000-0000CB3E0000}"/>
    <cellStyle name="Note 4 11 2 2 2 8" xfId="31509" xr:uid="{00000000-0005-0000-0000-0000CC3E0000}"/>
    <cellStyle name="Note 4 11 2 2 2 9" xfId="35168" xr:uid="{00000000-0005-0000-0000-0000CD3E0000}"/>
    <cellStyle name="Note 4 11 2 2 3" xfId="5846" xr:uid="{00000000-0005-0000-0000-0000CE3E0000}"/>
    <cellStyle name="Note 4 11 2 2 4" xfId="10204" xr:uid="{00000000-0005-0000-0000-0000CF3E0000}"/>
    <cellStyle name="Note 4 11 2 2 5" xfId="14050" xr:uid="{00000000-0005-0000-0000-0000D03E0000}"/>
    <cellStyle name="Note 4 11 2 2 6" xfId="17879" xr:uid="{00000000-0005-0000-0000-0000D13E0000}"/>
    <cellStyle name="Note 4 11 2 2 7" xfId="21818" xr:uid="{00000000-0005-0000-0000-0000D23E0000}"/>
    <cellStyle name="Note 4 11 2 2 8" xfId="25631" xr:uid="{00000000-0005-0000-0000-0000D33E0000}"/>
    <cellStyle name="Note 4 11 2 2 9" xfId="29518" xr:uid="{00000000-0005-0000-0000-0000D43E0000}"/>
    <cellStyle name="Note 4 11 2 3" xfId="3181" xr:uid="{00000000-0005-0000-0000-0000D53E0000}"/>
    <cellStyle name="Note 4 11 2 3 10" xfId="38233" xr:uid="{00000000-0005-0000-0000-0000D63E0000}"/>
    <cellStyle name="Note 4 11 2 3 11" xfId="42244" xr:uid="{00000000-0005-0000-0000-0000D73E0000}"/>
    <cellStyle name="Note 4 11 2 3 12" xfId="46013" xr:uid="{00000000-0005-0000-0000-0000D83E0000}"/>
    <cellStyle name="Note 4 11 2 3 2" xfId="7053" xr:uid="{00000000-0005-0000-0000-0000D93E0000}"/>
    <cellStyle name="Note 4 11 2 3 3" xfId="11485" xr:uid="{00000000-0005-0000-0000-0000DA3E0000}"/>
    <cellStyle name="Note 4 11 2 3 4" xfId="15329" xr:uid="{00000000-0005-0000-0000-0000DB3E0000}"/>
    <cellStyle name="Note 4 11 2 3 5" xfId="19175" xr:uid="{00000000-0005-0000-0000-0000DC3E0000}"/>
    <cellStyle name="Note 4 11 2 3 6" xfId="23094" xr:uid="{00000000-0005-0000-0000-0000DD3E0000}"/>
    <cellStyle name="Note 4 11 2 3 7" xfId="26926" xr:uid="{00000000-0005-0000-0000-0000DE3E0000}"/>
    <cellStyle name="Note 4 11 2 3 8" xfId="30797" xr:uid="{00000000-0005-0000-0000-0000DF3E0000}"/>
    <cellStyle name="Note 4 11 2 3 9" xfId="34451" xr:uid="{00000000-0005-0000-0000-0000E03E0000}"/>
    <cellStyle name="Note 4 11 2 4" xfId="5129" xr:uid="{00000000-0005-0000-0000-0000E13E0000}"/>
    <cellStyle name="Note 4 11 2 5" xfId="9485" xr:uid="{00000000-0005-0000-0000-0000E23E0000}"/>
    <cellStyle name="Note 4 11 2 6" xfId="13329" xr:uid="{00000000-0005-0000-0000-0000E33E0000}"/>
    <cellStyle name="Note 4 11 2 7" xfId="17157" xr:uid="{00000000-0005-0000-0000-0000E43E0000}"/>
    <cellStyle name="Note 4 11 2 8" xfId="21099" xr:uid="{00000000-0005-0000-0000-0000E53E0000}"/>
    <cellStyle name="Note 4 11 2 9" xfId="24910" xr:uid="{00000000-0005-0000-0000-0000E63E0000}"/>
    <cellStyle name="Note 4 11 3" xfId="1583" xr:uid="{00000000-0005-0000-0000-0000E73E0000}"/>
    <cellStyle name="Note 4 11 3 10" xfId="32870" xr:uid="{00000000-0005-0000-0000-0000E83E0000}"/>
    <cellStyle name="Note 4 11 3 11" xfId="36640" xr:uid="{00000000-0005-0000-0000-0000E93E0000}"/>
    <cellStyle name="Note 4 11 3 12" xfId="40631" xr:uid="{00000000-0005-0000-0000-0000EA3E0000}"/>
    <cellStyle name="Note 4 11 3 13" xfId="44462" xr:uid="{00000000-0005-0000-0000-0000EB3E0000}"/>
    <cellStyle name="Note 4 11 3 2" xfId="3573" xr:uid="{00000000-0005-0000-0000-0000EC3E0000}"/>
    <cellStyle name="Note 4 11 3 2 10" xfId="38624" xr:uid="{00000000-0005-0000-0000-0000ED3E0000}"/>
    <cellStyle name="Note 4 11 3 2 11" xfId="42635" xr:uid="{00000000-0005-0000-0000-0000EE3E0000}"/>
    <cellStyle name="Note 4 11 3 2 12" xfId="46400" xr:uid="{00000000-0005-0000-0000-0000EF3E0000}"/>
    <cellStyle name="Note 4 11 3 2 2" xfId="7440" xr:uid="{00000000-0005-0000-0000-0000F03E0000}"/>
    <cellStyle name="Note 4 11 3 2 3" xfId="11875" xr:uid="{00000000-0005-0000-0000-0000F13E0000}"/>
    <cellStyle name="Note 4 11 3 2 4" xfId="15720" xr:uid="{00000000-0005-0000-0000-0000F23E0000}"/>
    <cellStyle name="Note 4 11 3 2 5" xfId="19567" xr:uid="{00000000-0005-0000-0000-0000F33E0000}"/>
    <cellStyle name="Note 4 11 3 2 6" xfId="23483" xr:uid="{00000000-0005-0000-0000-0000F43E0000}"/>
    <cellStyle name="Note 4 11 3 2 7" xfId="27317" xr:uid="{00000000-0005-0000-0000-0000F53E0000}"/>
    <cellStyle name="Note 4 11 3 2 8" xfId="31183" xr:uid="{00000000-0005-0000-0000-0000F63E0000}"/>
    <cellStyle name="Note 4 11 3 2 9" xfId="34838" xr:uid="{00000000-0005-0000-0000-0000F73E0000}"/>
    <cellStyle name="Note 4 11 3 3" xfId="5516" xr:uid="{00000000-0005-0000-0000-0000F83E0000}"/>
    <cellStyle name="Note 4 11 3 4" xfId="9874" xr:uid="{00000000-0005-0000-0000-0000F93E0000}"/>
    <cellStyle name="Note 4 11 3 5" xfId="13720" xr:uid="{00000000-0005-0000-0000-0000FA3E0000}"/>
    <cellStyle name="Note 4 11 3 6" xfId="17549" xr:uid="{00000000-0005-0000-0000-0000FB3E0000}"/>
    <cellStyle name="Note 4 11 3 7" xfId="21488" xr:uid="{00000000-0005-0000-0000-0000FC3E0000}"/>
    <cellStyle name="Note 4 11 3 8" xfId="25301" xr:uid="{00000000-0005-0000-0000-0000FD3E0000}"/>
    <cellStyle name="Note 4 11 3 9" xfId="29188" xr:uid="{00000000-0005-0000-0000-0000FE3E0000}"/>
    <cellStyle name="Note 4 11 4" xfId="2842" xr:uid="{00000000-0005-0000-0000-0000FF3E0000}"/>
    <cellStyle name="Note 4 11 4 10" xfId="37894" xr:uid="{00000000-0005-0000-0000-0000003F0000}"/>
    <cellStyle name="Note 4 11 4 11" xfId="41906" xr:uid="{00000000-0005-0000-0000-0000013F0000}"/>
    <cellStyle name="Note 4 11 4 12" xfId="45683" xr:uid="{00000000-0005-0000-0000-0000023F0000}"/>
    <cellStyle name="Note 4 11 4 2" xfId="6722" xr:uid="{00000000-0005-0000-0000-0000033F0000}"/>
    <cellStyle name="Note 4 11 4 3" xfId="11149" xr:uid="{00000000-0005-0000-0000-0000043F0000}"/>
    <cellStyle name="Note 4 11 4 4" xfId="14994" xr:uid="{00000000-0005-0000-0000-0000053F0000}"/>
    <cellStyle name="Note 4 11 4 5" xfId="18836" xr:uid="{00000000-0005-0000-0000-0000063F0000}"/>
    <cellStyle name="Note 4 11 4 6" xfId="22762" xr:uid="{00000000-0005-0000-0000-0000073F0000}"/>
    <cellStyle name="Note 4 11 4 7" xfId="26587" xr:uid="{00000000-0005-0000-0000-0000083F0000}"/>
    <cellStyle name="Note 4 11 4 8" xfId="30464" xr:uid="{00000000-0005-0000-0000-0000093F0000}"/>
    <cellStyle name="Note 4 11 4 9" xfId="34121" xr:uid="{00000000-0005-0000-0000-00000A3F0000}"/>
    <cellStyle name="Note 4 11 5" xfId="4798" xr:uid="{00000000-0005-0000-0000-00000B3F0000}"/>
    <cellStyle name="Note 4 11 6" xfId="9152" xr:uid="{00000000-0005-0000-0000-00000C3F0000}"/>
    <cellStyle name="Note 4 11 7" xfId="12993" xr:uid="{00000000-0005-0000-0000-00000D3F0000}"/>
    <cellStyle name="Note 4 11 8" xfId="16818" xr:uid="{00000000-0005-0000-0000-00000E3F0000}"/>
    <cellStyle name="Note 4 11 9" xfId="20760" xr:uid="{00000000-0005-0000-0000-00000F3F0000}"/>
    <cellStyle name="Note 4 12" xfId="833" xr:uid="{00000000-0005-0000-0000-0000103F0000}"/>
    <cellStyle name="Note 4 12 10" xfId="28448" xr:uid="{00000000-0005-0000-0000-0000113F0000}"/>
    <cellStyle name="Note 4 12 11" xfId="32134" xr:uid="{00000000-0005-0000-0000-0000123F0000}"/>
    <cellStyle name="Note 4 12 12" xfId="35891" xr:uid="{00000000-0005-0000-0000-0000133F0000}"/>
    <cellStyle name="Note 4 12 13" xfId="39902" xr:uid="{00000000-0005-0000-0000-0000143F0000}"/>
    <cellStyle name="Note 4 12 14" xfId="43717" xr:uid="{00000000-0005-0000-0000-0000153F0000}"/>
    <cellStyle name="Note 4 12 2" xfId="1564" xr:uid="{00000000-0005-0000-0000-0000163F0000}"/>
    <cellStyle name="Note 4 12 2 10" xfId="32851" xr:uid="{00000000-0005-0000-0000-0000173F0000}"/>
    <cellStyle name="Note 4 12 2 11" xfId="36621" xr:uid="{00000000-0005-0000-0000-0000183F0000}"/>
    <cellStyle name="Note 4 12 2 12" xfId="40612" xr:uid="{00000000-0005-0000-0000-0000193F0000}"/>
    <cellStyle name="Note 4 12 2 13" xfId="44443" xr:uid="{00000000-0005-0000-0000-00001A3F0000}"/>
    <cellStyle name="Note 4 12 2 2" xfId="3554" xr:uid="{00000000-0005-0000-0000-00001B3F0000}"/>
    <cellStyle name="Note 4 12 2 2 10" xfId="38605" xr:uid="{00000000-0005-0000-0000-00001C3F0000}"/>
    <cellStyle name="Note 4 12 2 2 11" xfId="42616" xr:uid="{00000000-0005-0000-0000-00001D3F0000}"/>
    <cellStyle name="Note 4 12 2 2 12" xfId="46381" xr:uid="{00000000-0005-0000-0000-00001E3F0000}"/>
    <cellStyle name="Note 4 12 2 2 2" xfId="7421" xr:uid="{00000000-0005-0000-0000-00001F3F0000}"/>
    <cellStyle name="Note 4 12 2 2 3" xfId="11856" xr:uid="{00000000-0005-0000-0000-0000203F0000}"/>
    <cellStyle name="Note 4 12 2 2 4" xfId="15701" xr:uid="{00000000-0005-0000-0000-0000213F0000}"/>
    <cellStyle name="Note 4 12 2 2 5" xfId="19548" xr:uid="{00000000-0005-0000-0000-0000223F0000}"/>
    <cellStyle name="Note 4 12 2 2 6" xfId="23464" xr:uid="{00000000-0005-0000-0000-0000233F0000}"/>
    <cellStyle name="Note 4 12 2 2 7" xfId="27298" xr:uid="{00000000-0005-0000-0000-0000243F0000}"/>
    <cellStyle name="Note 4 12 2 2 8" xfId="31164" xr:uid="{00000000-0005-0000-0000-0000253F0000}"/>
    <cellStyle name="Note 4 12 2 2 9" xfId="34819" xr:uid="{00000000-0005-0000-0000-0000263F0000}"/>
    <cellStyle name="Note 4 12 2 3" xfId="5497" xr:uid="{00000000-0005-0000-0000-0000273F0000}"/>
    <cellStyle name="Note 4 12 2 4" xfId="9855" xr:uid="{00000000-0005-0000-0000-0000283F0000}"/>
    <cellStyle name="Note 4 12 2 5" xfId="13701" xr:uid="{00000000-0005-0000-0000-0000293F0000}"/>
    <cellStyle name="Note 4 12 2 6" xfId="17530" xr:uid="{00000000-0005-0000-0000-00002A3F0000}"/>
    <cellStyle name="Note 4 12 2 7" xfId="21469" xr:uid="{00000000-0005-0000-0000-00002B3F0000}"/>
    <cellStyle name="Note 4 12 2 8" xfId="25282" xr:uid="{00000000-0005-0000-0000-00002C3F0000}"/>
    <cellStyle name="Note 4 12 2 9" xfId="29169" xr:uid="{00000000-0005-0000-0000-00002D3F0000}"/>
    <cellStyle name="Note 4 12 3" xfId="2823" xr:uid="{00000000-0005-0000-0000-00002E3F0000}"/>
    <cellStyle name="Note 4 12 3 10" xfId="37875" xr:uid="{00000000-0005-0000-0000-00002F3F0000}"/>
    <cellStyle name="Note 4 12 3 11" xfId="41887" xr:uid="{00000000-0005-0000-0000-0000303F0000}"/>
    <cellStyle name="Note 4 12 3 12" xfId="45664" xr:uid="{00000000-0005-0000-0000-0000313F0000}"/>
    <cellStyle name="Note 4 12 3 2" xfId="6703" xr:uid="{00000000-0005-0000-0000-0000323F0000}"/>
    <cellStyle name="Note 4 12 3 3" xfId="11130" xr:uid="{00000000-0005-0000-0000-0000333F0000}"/>
    <cellStyle name="Note 4 12 3 4" xfId="14975" xr:uid="{00000000-0005-0000-0000-0000343F0000}"/>
    <cellStyle name="Note 4 12 3 5" xfId="18817" xr:uid="{00000000-0005-0000-0000-0000353F0000}"/>
    <cellStyle name="Note 4 12 3 6" xfId="22743" xr:uid="{00000000-0005-0000-0000-0000363F0000}"/>
    <cellStyle name="Note 4 12 3 7" xfId="26568" xr:uid="{00000000-0005-0000-0000-0000373F0000}"/>
    <cellStyle name="Note 4 12 3 8" xfId="30445" xr:uid="{00000000-0005-0000-0000-0000383F0000}"/>
    <cellStyle name="Note 4 12 3 9" xfId="34102" xr:uid="{00000000-0005-0000-0000-0000393F0000}"/>
    <cellStyle name="Note 4 12 4" xfId="4779" xr:uid="{00000000-0005-0000-0000-00003A3F0000}"/>
    <cellStyle name="Note 4 12 5" xfId="9133" xr:uid="{00000000-0005-0000-0000-00003B3F0000}"/>
    <cellStyle name="Note 4 12 6" xfId="12974" xr:uid="{00000000-0005-0000-0000-00003C3F0000}"/>
    <cellStyle name="Note 4 12 7" xfId="16799" xr:uid="{00000000-0005-0000-0000-00003D3F0000}"/>
    <cellStyle name="Note 4 12 8" xfId="20741" xr:uid="{00000000-0005-0000-0000-00003E3F0000}"/>
    <cellStyle name="Note 4 12 9" xfId="24557" xr:uid="{00000000-0005-0000-0000-00003F3F0000}"/>
    <cellStyle name="Note 4 13" xfId="1278" xr:uid="{00000000-0005-0000-0000-0000403F0000}"/>
    <cellStyle name="Note 4 13 10" xfId="32565" xr:uid="{00000000-0005-0000-0000-0000413F0000}"/>
    <cellStyle name="Note 4 13 11" xfId="36335" xr:uid="{00000000-0005-0000-0000-0000423F0000}"/>
    <cellStyle name="Note 4 13 12" xfId="40327" xr:uid="{00000000-0005-0000-0000-0000433F0000}"/>
    <cellStyle name="Note 4 13 13" xfId="44157" xr:uid="{00000000-0005-0000-0000-0000443F0000}"/>
    <cellStyle name="Note 4 13 2" xfId="3268" xr:uid="{00000000-0005-0000-0000-0000453F0000}"/>
    <cellStyle name="Note 4 13 2 10" xfId="38319" xr:uid="{00000000-0005-0000-0000-0000463F0000}"/>
    <cellStyle name="Note 4 13 2 11" xfId="42330" xr:uid="{00000000-0005-0000-0000-0000473F0000}"/>
    <cellStyle name="Note 4 13 2 12" xfId="46095" xr:uid="{00000000-0005-0000-0000-0000483F0000}"/>
    <cellStyle name="Note 4 13 2 2" xfId="7135" xr:uid="{00000000-0005-0000-0000-0000493F0000}"/>
    <cellStyle name="Note 4 13 2 3" xfId="11570" xr:uid="{00000000-0005-0000-0000-00004A3F0000}"/>
    <cellStyle name="Note 4 13 2 4" xfId="15415" xr:uid="{00000000-0005-0000-0000-00004B3F0000}"/>
    <cellStyle name="Note 4 13 2 5" xfId="19262" xr:uid="{00000000-0005-0000-0000-00004C3F0000}"/>
    <cellStyle name="Note 4 13 2 6" xfId="23178" xr:uid="{00000000-0005-0000-0000-00004D3F0000}"/>
    <cellStyle name="Note 4 13 2 7" xfId="27012" xr:uid="{00000000-0005-0000-0000-00004E3F0000}"/>
    <cellStyle name="Note 4 13 2 8" xfId="30882" xr:uid="{00000000-0005-0000-0000-00004F3F0000}"/>
    <cellStyle name="Note 4 13 2 9" xfId="34533" xr:uid="{00000000-0005-0000-0000-0000503F0000}"/>
    <cellStyle name="Note 4 13 3" xfId="5211" xr:uid="{00000000-0005-0000-0000-0000513F0000}"/>
    <cellStyle name="Note 4 13 4" xfId="9569" xr:uid="{00000000-0005-0000-0000-0000523F0000}"/>
    <cellStyle name="Note 4 13 5" xfId="13415" xr:uid="{00000000-0005-0000-0000-0000533F0000}"/>
    <cellStyle name="Note 4 13 6" xfId="17244" xr:uid="{00000000-0005-0000-0000-0000543F0000}"/>
    <cellStyle name="Note 4 13 7" xfId="21183" xr:uid="{00000000-0005-0000-0000-0000553F0000}"/>
    <cellStyle name="Note 4 13 8" xfId="24996" xr:uid="{00000000-0005-0000-0000-0000563F0000}"/>
    <cellStyle name="Note 4 13 9" xfId="28884" xr:uid="{00000000-0005-0000-0000-0000573F0000}"/>
    <cellStyle name="Note 4 14" xfId="1974" xr:uid="{00000000-0005-0000-0000-0000583F0000}"/>
    <cellStyle name="Note 4 14 10" xfId="33261" xr:uid="{00000000-0005-0000-0000-0000593F0000}"/>
    <cellStyle name="Note 4 14 11" xfId="37031" xr:uid="{00000000-0005-0000-0000-00005A3F0000}"/>
    <cellStyle name="Note 4 14 12" xfId="41022" xr:uid="{00000000-0005-0000-0000-00005B3F0000}"/>
    <cellStyle name="Note 4 14 13" xfId="44853" xr:uid="{00000000-0005-0000-0000-00005C3F0000}"/>
    <cellStyle name="Note 4 14 2" xfId="3964" xr:uid="{00000000-0005-0000-0000-00005D3F0000}"/>
    <cellStyle name="Note 4 14 2 10" xfId="39015" xr:uid="{00000000-0005-0000-0000-00005E3F0000}"/>
    <cellStyle name="Note 4 14 2 11" xfId="43026" xr:uid="{00000000-0005-0000-0000-00005F3F0000}"/>
    <cellStyle name="Note 4 14 2 12" xfId="46791" xr:uid="{00000000-0005-0000-0000-0000603F0000}"/>
    <cellStyle name="Note 4 14 2 2" xfId="7831" xr:uid="{00000000-0005-0000-0000-0000613F0000}"/>
    <cellStyle name="Note 4 14 2 3" xfId="12266" xr:uid="{00000000-0005-0000-0000-0000623F0000}"/>
    <cellStyle name="Note 4 14 2 4" xfId="16111" xr:uid="{00000000-0005-0000-0000-0000633F0000}"/>
    <cellStyle name="Note 4 14 2 5" xfId="19958" xr:uid="{00000000-0005-0000-0000-0000643F0000}"/>
    <cellStyle name="Note 4 14 2 6" xfId="23874" xr:uid="{00000000-0005-0000-0000-0000653F0000}"/>
    <cellStyle name="Note 4 14 2 7" xfId="27708" xr:uid="{00000000-0005-0000-0000-0000663F0000}"/>
    <cellStyle name="Note 4 14 2 8" xfId="31568" xr:uid="{00000000-0005-0000-0000-0000673F0000}"/>
    <cellStyle name="Note 4 14 2 9" xfId="35229" xr:uid="{00000000-0005-0000-0000-0000683F0000}"/>
    <cellStyle name="Note 4 14 3" xfId="5907" xr:uid="{00000000-0005-0000-0000-0000693F0000}"/>
    <cellStyle name="Note 4 14 4" xfId="10265" xr:uid="{00000000-0005-0000-0000-00006A3F0000}"/>
    <cellStyle name="Note 4 14 5" xfId="14111" xr:uid="{00000000-0005-0000-0000-00006B3F0000}"/>
    <cellStyle name="Note 4 14 6" xfId="17940" xr:uid="{00000000-0005-0000-0000-00006C3F0000}"/>
    <cellStyle name="Note 4 14 7" xfId="21879" xr:uid="{00000000-0005-0000-0000-00006D3F0000}"/>
    <cellStyle name="Note 4 14 8" xfId="25692" xr:uid="{00000000-0005-0000-0000-00006E3F0000}"/>
    <cellStyle name="Note 4 14 9" xfId="29579" xr:uid="{00000000-0005-0000-0000-00006F3F0000}"/>
    <cellStyle name="Note 4 15" xfId="1268" xr:uid="{00000000-0005-0000-0000-0000703F0000}"/>
    <cellStyle name="Note 4 15 10" xfId="32555" xr:uid="{00000000-0005-0000-0000-0000713F0000}"/>
    <cellStyle name="Note 4 15 11" xfId="36325" xr:uid="{00000000-0005-0000-0000-0000723F0000}"/>
    <cellStyle name="Note 4 15 12" xfId="40317" xr:uid="{00000000-0005-0000-0000-0000733F0000}"/>
    <cellStyle name="Note 4 15 13" xfId="44147" xr:uid="{00000000-0005-0000-0000-0000743F0000}"/>
    <cellStyle name="Note 4 15 2" xfId="3258" xr:uid="{00000000-0005-0000-0000-0000753F0000}"/>
    <cellStyle name="Note 4 15 2 10" xfId="38309" xr:uid="{00000000-0005-0000-0000-0000763F0000}"/>
    <cellStyle name="Note 4 15 2 11" xfId="42320" xr:uid="{00000000-0005-0000-0000-0000773F0000}"/>
    <cellStyle name="Note 4 15 2 12" xfId="46085" xr:uid="{00000000-0005-0000-0000-0000783F0000}"/>
    <cellStyle name="Note 4 15 2 2" xfId="7125" xr:uid="{00000000-0005-0000-0000-0000793F0000}"/>
    <cellStyle name="Note 4 15 2 3" xfId="11560" xr:uid="{00000000-0005-0000-0000-00007A3F0000}"/>
    <cellStyle name="Note 4 15 2 4" xfId="15405" xr:uid="{00000000-0005-0000-0000-00007B3F0000}"/>
    <cellStyle name="Note 4 15 2 5" xfId="19252" xr:uid="{00000000-0005-0000-0000-00007C3F0000}"/>
    <cellStyle name="Note 4 15 2 6" xfId="23168" xr:uid="{00000000-0005-0000-0000-00007D3F0000}"/>
    <cellStyle name="Note 4 15 2 7" xfId="27002" xr:uid="{00000000-0005-0000-0000-00007E3F0000}"/>
    <cellStyle name="Note 4 15 2 8" xfId="30872" xr:uid="{00000000-0005-0000-0000-00007F3F0000}"/>
    <cellStyle name="Note 4 15 2 9" xfId="34523" xr:uid="{00000000-0005-0000-0000-0000803F0000}"/>
    <cellStyle name="Note 4 15 3" xfId="5201" xr:uid="{00000000-0005-0000-0000-0000813F0000}"/>
    <cellStyle name="Note 4 15 4" xfId="9559" xr:uid="{00000000-0005-0000-0000-0000823F0000}"/>
    <cellStyle name="Note 4 15 5" xfId="13405" xr:uid="{00000000-0005-0000-0000-0000833F0000}"/>
    <cellStyle name="Note 4 15 6" xfId="17234" xr:uid="{00000000-0005-0000-0000-0000843F0000}"/>
    <cellStyle name="Note 4 15 7" xfId="21173" xr:uid="{00000000-0005-0000-0000-0000853F0000}"/>
    <cellStyle name="Note 4 15 8" xfId="24986" xr:uid="{00000000-0005-0000-0000-0000863F0000}"/>
    <cellStyle name="Note 4 15 9" xfId="28874" xr:uid="{00000000-0005-0000-0000-0000873F0000}"/>
    <cellStyle name="Note 4 16" xfId="2159" xr:uid="{00000000-0005-0000-0000-0000883F0000}"/>
    <cellStyle name="Note 4 16 10" xfId="33460" xr:uid="{00000000-0005-0000-0000-0000893F0000}"/>
    <cellStyle name="Note 4 16 11" xfId="37211" xr:uid="{00000000-0005-0000-0000-00008A3F0000}"/>
    <cellStyle name="Note 4 16 12" xfId="41227" xr:uid="{00000000-0005-0000-0000-00008B3F0000}"/>
    <cellStyle name="Note 4 16 13" xfId="45022" xr:uid="{00000000-0005-0000-0000-00008C3F0000}"/>
    <cellStyle name="Note 4 16 2" xfId="4142" xr:uid="{00000000-0005-0000-0000-00008D3F0000}"/>
    <cellStyle name="Note 4 16 2 10" xfId="39193" xr:uid="{00000000-0005-0000-0000-00008E3F0000}"/>
    <cellStyle name="Note 4 16 2 11" xfId="43203" xr:uid="{00000000-0005-0000-0000-00008F3F0000}"/>
    <cellStyle name="Note 4 16 2 12" xfId="46960" xr:uid="{00000000-0005-0000-0000-0000903F0000}"/>
    <cellStyle name="Note 4 16 2 2" xfId="8001" xr:uid="{00000000-0005-0000-0000-0000913F0000}"/>
    <cellStyle name="Note 4 16 2 3" xfId="12441" xr:uid="{00000000-0005-0000-0000-0000923F0000}"/>
    <cellStyle name="Note 4 16 2 4" xfId="16286" xr:uid="{00000000-0005-0000-0000-0000933F0000}"/>
    <cellStyle name="Note 4 16 2 5" xfId="20136" xr:uid="{00000000-0005-0000-0000-0000943F0000}"/>
    <cellStyle name="Note 4 16 2 6" xfId="24048" xr:uid="{00000000-0005-0000-0000-0000953F0000}"/>
    <cellStyle name="Note 4 16 2 7" xfId="27886" xr:uid="{00000000-0005-0000-0000-0000963F0000}"/>
    <cellStyle name="Note 4 16 2 8" xfId="31745" xr:uid="{00000000-0005-0000-0000-0000973F0000}"/>
    <cellStyle name="Note 4 16 2 9" xfId="35398" xr:uid="{00000000-0005-0000-0000-0000983F0000}"/>
    <cellStyle name="Note 4 16 3" xfId="6075" xr:uid="{00000000-0005-0000-0000-0000993F0000}"/>
    <cellStyle name="Note 4 16 4" xfId="10476" xr:uid="{00000000-0005-0000-0000-00009A3F0000}"/>
    <cellStyle name="Note 4 16 5" xfId="14322" xr:uid="{00000000-0005-0000-0000-00009B3F0000}"/>
    <cellStyle name="Note 4 16 6" xfId="18153" xr:uid="{00000000-0005-0000-0000-00009C3F0000}"/>
    <cellStyle name="Note 4 16 7" xfId="22092" xr:uid="{00000000-0005-0000-0000-00009D3F0000}"/>
    <cellStyle name="Note 4 16 8" xfId="25904" xr:uid="{00000000-0005-0000-0000-00009E3F0000}"/>
    <cellStyle name="Note 4 16 9" xfId="29784" xr:uid="{00000000-0005-0000-0000-00009F3F0000}"/>
    <cellStyle name="Note 4 17" xfId="2229" xr:uid="{00000000-0005-0000-0000-0000A03F0000}"/>
    <cellStyle name="Note 4 17 10" xfId="33530" xr:uid="{00000000-0005-0000-0000-0000A13F0000}"/>
    <cellStyle name="Note 4 17 11" xfId="37281" xr:uid="{00000000-0005-0000-0000-0000A23F0000}"/>
    <cellStyle name="Note 4 17 12" xfId="41297" xr:uid="{00000000-0005-0000-0000-0000A33F0000}"/>
    <cellStyle name="Note 4 17 13" xfId="45092" xr:uid="{00000000-0005-0000-0000-0000A43F0000}"/>
    <cellStyle name="Note 4 17 2" xfId="4212" xr:uid="{00000000-0005-0000-0000-0000A53F0000}"/>
    <cellStyle name="Note 4 17 2 10" xfId="39263" xr:uid="{00000000-0005-0000-0000-0000A63F0000}"/>
    <cellStyle name="Note 4 17 2 11" xfId="43273" xr:uid="{00000000-0005-0000-0000-0000A73F0000}"/>
    <cellStyle name="Note 4 17 2 12" xfId="47030" xr:uid="{00000000-0005-0000-0000-0000A83F0000}"/>
    <cellStyle name="Note 4 17 2 2" xfId="8071" xr:uid="{00000000-0005-0000-0000-0000A93F0000}"/>
    <cellStyle name="Note 4 17 2 3" xfId="12511" xr:uid="{00000000-0005-0000-0000-0000AA3F0000}"/>
    <cellStyle name="Note 4 17 2 4" xfId="16356" xr:uid="{00000000-0005-0000-0000-0000AB3F0000}"/>
    <cellStyle name="Note 4 17 2 5" xfId="20206" xr:uid="{00000000-0005-0000-0000-0000AC3F0000}"/>
    <cellStyle name="Note 4 17 2 6" xfId="24118" xr:uid="{00000000-0005-0000-0000-0000AD3F0000}"/>
    <cellStyle name="Note 4 17 2 7" xfId="27956" xr:uid="{00000000-0005-0000-0000-0000AE3F0000}"/>
    <cellStyle name="Note 4 17 2 8" xfId="31815" xr:uid="{00000000-0005-0000-0000-0000AF3F0000}"/>
    <cellStyle name="Note 4 17 2 9" xfId="35468" xr:uid="{00000000-0005-0000-0000-0000B03F0000}"/>
    <cellStyle name="Note 4 17 3" xfId="6143" xr:uid="{00000000-0005-0000-0000-0000B13F0000}"/>
    <cellStyle name="Note 4 17 4" xfId="10546" xr:uid="{00000000-0005-0000-0000-0000B23F0000}"/>
    <cellStyle name="Note 4 17 5" xfId="14392" xr:uid="{00000000-0005-0000-0000-0000B33F0000}"/>
    <cellStyle name="Note 4 17 6" xfId="18223" xr:uid="{00000000-0005-0000-0000-0000B43F0000}"/>
    <cellStyle name="Note 4 17 7" xfId="22162" xr:uid="{00000000-0005-0000-0000-0000B53F0000}"/>
    <cellStyle name="Note 4 17 8" xfId="25974" xr:uid="{00000000-0005-0000-0000-0000B63F0000}"/>
    <cellStyle name="Note 4 17 9" xfId="29854" xr:uid="{00000000-0005-0000-0000-0000B73F0000}"/>
    <cellStyle name="Note 4 18" xfId="2176" xr:uid="{00000000-0005-0000-0000-0000B83F0000}"/>
    <cellStyle name="Note 4 18 10" xfId="33477" xr:uid="{00000000-0005-0000-0000-0000B93F0000}"/>
    <cellStyle name="Note 4 18 11" xfId="37228" xr:uid="{00000000-0005-0000-0000-0000BA3F0000}"/>
    <cellStyle name="Note 4 18 12" xfId="41244" xr:uid="{00000000-0005-0000-0000-0000BB3F0000}"/>
    <cellStyle name="Note 4 18 13" xfId="45039" xr:uid="{00000000-0005-0000-0000-0000BC3F0000}"/>
    <cellStyle name="Note 4 18 2" xfId="4159" xr:uid="{00000000-0005-0000-0000-0000BD3F0000}"/>
    <cellStyle name="Note 4 18 2 10" xfId="39210" xr:uid="{00000000-0005-0000-0000-0000BE3F0000}"/>
    <cellStyle name="Note 4 18 2 11" xfId="43220" xr:uid="{00000000-0005-0000-0000-0000BF3F0000}"/>
    <cellStyle name="Note 4 18 2 12" xfId="46977" xr:uid="{00000000-0005-0000-0000-0000C03F0000}"/>
    <cellStyle name="Note 4 18 2 2" xfId="8018" xr:uid="{00000000-0005-0000-0000-0000C13F0000}"/>
    <cellStyle name="Note 4 18 2 3" xfId="12458" xr:uid="{00000000-0005-0000-0000-0000C23F0000}"/>
    <cellStyle name="Note 4 18 2 4" xfId="16303" xr:uid="{00000000-0005-0000-0000-0000C33F0000}"/>
    <cellStyle name="Note 4 18 2 5" xfId="20153" xr:uid="{00000000-0005-0000-0000-0000C43F0000}"/>
    <cellStyle name="Note 4 18 2 6" xfId="24065" xr:uid="{00000000-0005-0000-0000-0000C53F0000}"/>
    <cellStyle name="Note 4 18 2 7" xfId="27903" xr:uid="{00000000-0005-0000-0000-0000C63F0000}"/>
    <cellStyle name="Note 4 18 2 8" xfId="31762" xr:uid="{00000000-0005-0000-0000-0000C73F0000}"/>
    <cellStyle name="Note 4 18 2 9" xfId="35415" xr:uid="{00000000-0005-0000-0000-0000C83F0000}"/>
    <cellStyle name="Note 4 18 3" xfId="6090" xr:uid="{00000000-0005-0000-0000-0000C93F0000}"/>
    <cellStyle name="Note 4 18 4" xfId="10493" xr:uid="{00000000-0005-0000-0000-0000CA3F0000}"/>
    <cellStyle name="Note 4 18 5" xfId="14339" xr:uid="{00000000-0005-0000-0000-0000CB3F0000}"/>
    <cellStyle name="Note 4 18 6" xfId="18170" xr:uid="{00000000-0005-0000-0000-0000CC3F0000}"/>
    <cellStyle name="Note 4 18 7" xfId="22109" xr:uid="{00000000-0005-0000-0000-0000CD3F0000}"/>
    <cellStyle name="Note 4 18 8" xfId="25921" xr:uid="{00000000-0005-0000-0000-0000CE3F0000}"/>
    <cellStyle name="Note 4 18 9" xfId="29801" xr:uid="{00000000-0005-0000-0000-0000CF3F0000}"/>
    <cellStyle name="Note 4 19" xfId="2345" xr:uid="{00000000-0005-0000-0000-0000D03F0000}"/>
    <cellStyle name="Note 4 19 10" xfId="37397" xr:uid="{00000000-0005-0000-0000-0000D13F0000}"/>
    <cellStyle name="Note 4 19 11" xfId="41413" xr:uid="{00000000-0005-0000-0000-0000D23F0000}"/>
    <cellStyle name="Note 4 19 12" xfId="45206" xr:uid="{00000000-0005-0000-0000-0000D33F0000}"/>
    <cellStyle name="Note 4 19 2" xfId="4328" xr:uid="{00000000-0005-0000-0000-0000D43F0000}"/>
    <cellStyle name="Note 4 19 2 10" xfId="39379" xr:uid="{00000000-0005-0000-0000-0000D53F0000}"/>
    <cellStyle name="Note 4 19 2 11" xfId="43389" xr:uid="{00000000-0005-0000-0000-0000D63F0000}"/>
    <cellStyle name="Note 4 19 2 12" xfId="47144" xr:uid="{00000000-0005-0000-0000-0000D73F0000}"/>
    <cellStyle name="Note 4 19 2 2" xfId="8185" xr:uid="{00000000-0005-0000-0000-0000D83F0000}"/>
    <cellStyle name="Note 4 19 2 3" xfId="12627" xr:uid="{00000000-0005-0000-0000-0000D93F0000}"/>
    <cellStyle name="Note 4 19 2 4" xfId="16471" xr:uid="{00000000-0005-0000-0000-0000DA3F0000}"/>
    <cellStyle name="Note 4 19 2 5" xfId="20322" xr:uid="{00000000-0005-0000-0000-0000DB3F0000}"/>
    <cellStyle name="Note 4 19 2 6" xfId="24233" xr:uid="{00000000-0005-0000-0000-0000DC3F0000}"/>
    <cellStyle name="Note 4 19 2 7" xfId="28072" xr:uid="{00000000-0005-0000-0000-0000DD3F0000}"/>
    <cellStyle name="Note 4 19 2 8" xfId="31930" xr:uid="{00000000-0005-0000-0000-0000DE3F0000}"/>
    <cellStyle name="Note 4 19 2 9" xfId="35582" xr:uid="{00000000-0005-0000-0000-0000DF3F0000}"/>
    <cellStyle name="Note 4 19 3" xfId="10662" xr:uid="{00000000-0005-0000-0000-0000E03F0000}"/>
    <cellStyle name="Note 4 19 4" xfId="14507" xr:uid="{00000000-0005-0000-0000-0000E13F0000}"/>
    <cellStyle name="Note 4 19 5" xfId="18339" xr:uid="{00000000-0005-0000-0000-0000E23F0000}"/>
    <cellStyle name="Note 4 19 6" xfId="22277" xr:uid="{00000000-0005-0000-0000-0000E33F0000}"/>
    <cellStyle name="Note 4 19 7" xfId="26090" xr:uid="{00000000-0005-0000-0000-0000E43F0000}"/>
    <cellStyle name="Note 4 19 8" xfId="29970" xr:uid="{00000000-0005-0000-0000-0000E53F0000}"/>
    <cellStyle name="Note 4 19 9" xfId="33644" xr:uid="{00000000-0005-0000-0000-0000E63F0000}"/>
    <cellStyle name="Note 4 2" xfId="481" xr:uid="{00000000-0005-0000-0000-0000E73F0000}"/>
    <cellStyle name="Note 4 2 10" xfId="1975" xr:uid="{00000000-0005-0000-0000-0000E83F0000}"/>
    <cellStyle name="Note 4 2 10 10" xfId="33262" xr:uid="{00000000-0005-0000-0000-0000E93F0000}"/>
    <cellStyle name="Note 4 2 10 11" xfId="37032" xr:uid="{00000000-0005-0000-0000-0000EA3F0000}"/>
    <cellStyle name="Note 4 2 10 12" xfId="41023" xr:uid="{00000000-0005-0000-0000-0000EB3F0000}"/>
    <cellStyle name="Note 4 2 10 13" xfId="44854" xr:uid="{00000000-0005-0000-0000-0000EC3F0000}"/>
    <cellStyle name="Note 4 2 10 2" xfId="3965" xr:uid="{00000000-0005-0000-0000-0000ED3F0000}"/>
    <cellStyle name="Note 4 2 10 2 10" xfId="39016" xr:uid="{00000000-0005-0000-0000-0000EE3F0000}"/>
    <cellStyle name="Note 4 2 10 2 11" xfId="43027" xr:uid="{00000000-0005-0000-0000-0000EF3F0000}"/>
    <cellStyle name="Note 4 2 10 2 12" xfId="46792" xr:uid="{00000000-0005-0000-0000-0000F03F0000}"/>
    <cellStyle name="Note 4 2 10 2 2" xfId="7832" xr:uid="{00000000-0005-0000-0000-0000F13F0000}"/>
    <cellStyle name="Note 4 2 10 2 3" xfId="12267" xr:uid="{00000000-0005-0000-0000-0000F23F0000}"/>
    <cellStyle name="Note 4 2 10 2 4" xfId="16112" xr:uid="{00000000-0005-0000-0000-0000F33F0000}"/>
    <cellStyle name="Note 4 2 10 2 5" xfId="19959" xr:uid="{00000000-0005-0000-0000-0000F43F0000}"/>
    <cellStyle name="Note 4 2 10 2 6" xfId="23875" xr:uid="{00000000-0005-0000-0000-0000F53F0000}"/>
    <cellStyle name="Note 4 2 10 2 7" xfId="27709" xr:uid="{00000000-0005-0000-0000-0000F63F0000}"/>
    <cellStyle name="Note 4 2 10 2 8" xfId="31569" xr:uid="{00000000-0005-0000-0000-0000F73F0000}"/>
    <cellStyle name="Note 4 2 10 2 9" xfId="35230" xr:uid="{00000000-0005-0000-0000-0000F83F0000}"/>
    <cellStyle name="Note 4 2 10 3" xfId="5908" xr:uid="{00000000-0005-0000-0000-0000F93F0000}"/>
    <cellStyle name="Note 4 2 10 4" xfId="10266" xr:uid="{00000000-0005-0000-0000-0000FA3F0000}"/>
    <cellStyle name="Note 4 2 10 5" xfId="14112" xr:uid="{00000000-0005-0000-0000-0000FB3F0000}"/>
    <cellStyle name="Note 4 2 10 6" xfId="17941" xr:uid="{00000000-0005-0000-0000-0000FC3F0000}"/>
    <cellStyle name="Note 4 2 10 7" xfId="21880" xr:uid="{00000000-0005-0000-0000-0000FD3F0000}"/>
    <cellStyle name="Note 4 2 10 8" xfId="25693" xr:uid="{00000000-0005-0000-0000-0000FE3F0000}"/>
    <cellStyle name="Note 4 2 10 9" xfId="29580" xr:uid="{00000000-0005-0000-0000-0000FF3F0000}"/>
    <cellStyle name="Note 4 2 11" xfId="1263" xr:uid="{00000000-0005-0000-0000-000000400000}"/>
    <cellStyle name="Note 4 2 11 10" xfId="32550" xr:uid="{00000000-0005-0000-0000-000001400000}"/>
    <cellStyle name="Note 4 2 11 11" xfId="36320" xr:uid="{00000000-0005-0000-0000-000002400000}"/>
    <cellStyle name="Note 4 2 11 12" xfId="40312" xr:uid="{00000000-0005-0000-0000-000003400000}"/>
    <cellStyle name="Note 4 2 11 13" xfId="44142" xr:uid="{00000000-0005-0000-0000-000004400000}"/>
    <cellStyle name="Note 4 2 11 2" xfId="3253" xr:uid="{00000000-0005-0000-0000-000005400000}"/>
    <cellStyle name="Note 4 2 11 2 10" xfId="38304" xr:uid="{00000000-0005-0000-0000-000006400000}"/>
    <cellStyle name="Note 4 2 11 2 11" xfId="42315" xr:uid="{00000000-0005-0000-0000-000007400000}"/>
    <cellStyle name="Note 4 2 11 2 12" xfId="46080" xr:uid="{00000000-0005-0000-0000-000008400000}"/>
    <cellStyle name="Note 4 2 11 2 2" xfId="7120" xr:uid="{00000000-0005-0000-0000-000009400000}"/>
    <cellStyle name="Note 4 2 11 2 3" xfId="11555" xr:uid="{00000000-0005-0000-0000-00000A400000}"/>
    <cellStyle name="Note 4 2 11 2 4" xfId="15400" xr:uid="{00000000-0005-0000-0000-00000B400000}"/>
    <cellStyle name="Note 4 2 11 2 5" xfId="19247" xr:uid="{00000000-0005-0000-0000-00000C400000}"/>
    <cellStyle name="Note 4 2 11 2 6" xfId="23163" xr:uid="{00000000-0005-0000-0000-00000D400000}"/>
    <cellStyle name="Note 4 2 11 2 7" xfId="26997" xr:uid="{00000000-0005-0000-0000-00000E400000}"/>
    <cellStyle name="Note 4 2 11 2 8" xfId="30867" xr:uid="{00000000-0005-0000-0000-00000F400000}"/>
    <cellStyle name="Note 4 2 11 2 9" xfId="34518" xr:uid="{00000000-0005-0000-0000-000010400000}"/>
    <cellStyle name="Note 4 2 11 3" xfId="5196" xr:uid="{00000000-0005-0000-0000-000011400000}"/>
    <cellStyle name="Note 4 2 11 4" xfId="9554" xr:uid="{00000000-0005-0000-0000-000012400000}"/>
    <cellStyle name="Note 4 2 11 5" xfId="13400" xr:uid="{00000000-0005-0000-0000-000013400000}"/>
    <cellStyle name="Note 4 2 11 6" xfId="17229" xr:uid="{00000000-0005-0000-0000-000014400000}"/>
    <cellStyle name="Note 4 2 11 7" xfId="21168" xr:uid="{00000000-0005-0000-0000-000015400000}"/>
    <cellStyle name="Note 4 2 11 8" xfId="24981" xr:uid="{00000000-0005-0000-0000-000016400000}"/>
    <cellStyle name="Note 4 2 11 9" xfId="28869" xr:uid="{00000000-0005-0000-0000-000017400000}"/>
    <cellStyle name="Note 4 2 12" xfId="2160" xr:uid="{00000000-0005-0000-0000-000018400000}"/>
    <cellStyle name="Note 4 2 12 10" xfId="33461" xr:uid="{00000000-0005-0000-0000-000019400000}"/>
    <cellStyle name="Note 4 2 12 11" xfId="37212" xr:uid="{00000000-0005-0000-0000-00001A400000}"/>
    <cellStyle name="Note 4 2 12 12" xfId="41228" xr:uid="{00000000-0005-0000-0000-00001B400000}"/>
    <cellStyle name="Note 4 2 12 13" xfId="45023" xr:uid="{00000000-0005-0000-0000-00001C400000}"/>
    <cellStyle name="Note 4 2 12 2" xfId="4143" xr:uid="{00000000-0005-0000-0000-00001D400000}"/>
    <cellStyle name="Note 4 2 12 2 10" xfId="39194" xr:uid="{00000000-0005-0000-0000-00001E400000}"/>
    <cellStyle name="Note 4 2 12 2 11" xfId="43204" xr:uid="{00000000-0005-0000-0000-00001F400000}"/>
    <cellStyle name="Note 4 2 12 2 12" xfId="46961" xr:uid="{00000000-0005-0000-0000-000020400000}"/>
    <cellStyle name="Note 4 2 12 2 2" xfId="8002" xr:uid="{00000000-0005-0000-0000-000021400000}"/>
    <cellStyle name="Note 4 2 12 2 3" xfId="12442" xr:uid="{00000000-0005-0000-0000-000022400000}"/>
    <cellStyle name="Note 4 2 12 2 4" xfId="16287" xr:uid="{00000000-0005-0000-0000-000023400000}"/>
    <cellStyle name="Note 4 2 12 2 5" xfId="20137" xr:uid="{00000000-0005-0000-0000-000024400000}"/>
    <cellStyle name="Note 4 2 12 2 6" xfId="24049" xr:uid="{00000000-0005-0000-0000-000025400000}"/>
    <cellStyle name="Note 4 2 12 2 7" xfId="27887" xr:uid="{00000000-0005-0000-0000-000026400000}"/>
    <cellStyle name="Note 4 2 12 2 8" xfId="31746" xr:uid="{00000000-0005-0000-0000-000027400000}"/>
    <cellStyle name="Note 4 2 12 2 9" xfId="35399" xr:uid="{00000000-0005-0000-0000-000028400000}"/>
    <cellStyle name="Note 4 2 12 3" xfId="6076" xr:uid="{00000000-0005-0000-0000-000029400000}"/>
    <cellStyle name="Note 4 2 12 4" xfId="10477" xr:uid="{00000000-0005-0000-0000-00002A400000}"/>
    <cellStyle name="Note 4 2 12 5" xfId="14323" xr:uid="{00000000-0005-0000-0000-00002B400000}"/>
    <cellStyle name="Note 4 2 12 6" xfId="18154" xr:uid="{00000000-0005-0000-0000-00002C400000}"/>
    <cellStyle name="Note 4 2 12 7" xfId="22093" xr:uid="{00000000-0005-0000-0000-00002D400000}"/>
    <cellStyle name="Note 4 2 12 8" xfId="25905" xr:uid="{00000000-0005-0000-0000-00002E400000}"/>
    <cellStyle name="Note 4 2 12 9" xfId="29785" xr:uid="{00000000-0005-0000-0000-00002F400000}"/>
    <cellStyle name="Note 4 2 13" xfId="2230" xr:uid="{00000000-0005-0000-0000-000030400000}"/>
    <cellStyle name="Note 4 2 13 10" xfId="33531" xr:uid="{00000000-0005-0000-0000-000031400000}"/>
    <cellStyle name="Note 4 2 13 11" xfId="37282" xr:uid="{00000000-0005-0000-0000-000032400000}"/>
    <cellStyle name="Note 4 2 13 12" xfId="41298" xr:uid="{00000000-0005-0000-0000-000033400000}"/>
    <cellStyle name="Note 4 2 13 13" xfId="45093" xr:uid="{00000000-0005-0000-0000-000034400000}"/>
    <cellStyle name="Note 4 2 13 2" xfId="4213" xr:uid="{00000000-0005-0000-0000-000035400000}"/>
    <cellStyle name="Note 4 2 13 2 10" xfId="39264" xr:uid="{00000000-0005-0000-0000-000036400000}"/>
    <cellStyle name="Note 4 2 13 2 11" xfId="43274" xr:uid="{00000000-0005-0000-0000-000037400000}"/>
    <cellStyle name="Note 4 2 13 2 12" xfId="47031" xr:uid="{00000000-0005-0000-0000-000038400000}"/>
    <cellStyle name="Note 4 2 13 2 2" xfId="8072" xr:uid="{00000000-0005-0000-0000-000039400000}"/>
    <cellStyle name="Note 4 2 13 2 3" xfId="12512" xr:uid="{00000000-0005-0000-0000-00003A400000}"/>
    <cellStyle name="Note 4 2 13 2 4" xfId="16357" xr:uid="{00000000-0005-0000-0000-00003B400000}"/>
    <cellStyle name="Note 4 2 13 2 5" xfId="20207" xr:uid="{00000000-0005-0000-0000-00003C400000}"/>
    <cellStyle name="Note 4 2 13 2 6" xfId="24119" xr:uid="{00000000-0005-0000-0000-00003D400000}"/>
    <cellStyle name="Note 4 2 13 2 7" xfId="27957" xr:uid="{00000000-0005-0000-0000-00003E400000}"/>
    <cellStyle name="Note 4 2 13 2 8" xfId="31816" xr:uid="{00000000-0005-0000-0000-00003F400000}"/>
    <cellStyle name="Note 4 2 13 2 9" xfId="35469" xr:uid="{00000000-0005-0000-0000-000040400000}"/>
    <cellStyle name="Note 4 2 13 3" xfId="6144" xr:uid="{00000000-0005-0000-0000-000041400000}"/>
    <cellStyle name="Note 4 2 13 4" xfId="10547" xr:uid="{00000000-0005-0000-0000-000042400000}"/>
    <cellStyle name="Note 4 2 13 5" xfId="14393" xr:uid="{00000000-0005-0000-0000-000043400000}"/>
    <cellStyle name="Note 4 2 13 6" xfId="18224" xr:uid="{00000000-0005-0000-0000-000044400000}"/>
    <cellStyle name="Note 4 2 13 7" xfId="22163" xr:uid="{00000000-0005-0000-0000-000045400000}"/>
    <cellStyle name="Note 4 2 13 8" xfId="25975" xr:uid="{00000000-0005-0000-0000-000046400000}"/>
    <cellStyle name="Note 4 2 13 9" xfId="29855" xr:uid="{00000000-0005-0000-0000-000047400000}"/>
    <cellStyle name="Note 4 2 14" xfId="2118" xr:uid="{00000000-0005-0000-0000-000048400000}"/>
    <cellStyle name="Note 4 2 14 10" xfId="33422" xr:uid="{00000000-0005-0000-0000-000049400000}"/>
    <cellStyle name="Note 4 2 14 11" xfId="37170" xr:uid="{00000000-0005-0000-0000-00004A400000}"/>
    <cellStyle name="Note 4 2 14 12" xfId="41186" xr:uid="{00000000-0005-0000-0000-00004B400000}"/>
    <cellStyle name="Note 4 2 14 13" xfId="44984" xr:uid="{00000000-0005-0000-0000-00004C400000}"/>
    <cellStyle name="Note 4 2 14 2" xfId="4102" xr:uid="{00000000-0005-0000-0000-00004D400000}"/>
    <cellStyle name="Note 4 2 14 2 10" xfId="39153" xr:uid="{00000000-0005-0000-0000-00004E400000}"/>
    <cellStyle name="Note 4 2 14 2 11" xfId="43163" xr:uid="{00000000-0005-0000-0000-00004F400000}"/>
    <cellStyle name="Note 4 2 14 2 12" xfId="46922" xr:uid="{00000000-0005-0000-0000-000050400000}"/>
    <cellStyle name="Note 4 2 14 2 2" xfId="7963" xr:uid="{00000000-0005-0000-0000-000051400000}"/>
    <cellStyle name="Note 4 2 14 2 3" xfId="12402" xr:uid="{00000000-0005-0000-0000-000052400000}"/>
    <cellStyle name="Note 4 2 14 2 4" xfId="16247" xr:uid="{00000000-0005-0000-0000-000053400000}"/>
    <cellStyle name="Note 4 2 14 2 5" xfId="20096" xr:uid="{00000000-0005-0000-0000-000054400000}"/>
    <cellStyle name="Note 4 2 14 2 6" xfId="24010" xr:uid="{00000000-0005-0000-0000-000055400000}"/>
    <cellStyle name="Note 4 2 14 2 7" xfId="27846" xr:uid="{00000000-0005-0000-0000-000056400000}"/>
    <cellStyle name="Note 4 2 14 2 8" xfId="31705" xr:uid="{00000000-0005-0000-0000-000057400000}"/>
    <cellStyle name="Note 4 2 14 2 9" xfId="35360" xr:uid="{00000000-0005-0000-0000-000058400000}"/>
    <cellStyle name="Note 4 2 14 3" xfId="6038" xr:uid="{00000000-0005-0000-0000-000059400000}"/>
    <cellStyle name="Note 4 2 14 4" xfId="10436" xr:uid="{00000000-0005-0000-0000-00005A400000}"/>
    <cellStyle name="Note 4 2 14 5" xfId="14284" xr:uid="{00000000-0005-0000-0000-00005B400000}"/>
    <cellStyle name="Note 4 2 14 6" xfId="18112" xr:uid="{00000000-0005-0000-0000-00005C400000}"/>
    <cellStyle name="Note 4 2 14 7" xfId="22054" xr:uid="{00000000-0005-0000-0000-00005D400000}"/>
    <cellStyle name="Note 4 2 14 8" xfId="25863" xr:uid="{00000000-0005-0000-0000-00005E400000}"/>
    <cellStyle name="Note 4 2 14 9" xfId="29743" xr:uid="{00000000-0005-0000-0000-00005F400000}"/>
    <cellStyle name="Note 4 2 15" xfId="2346" xr:uid="{00000000-0005-0000-0000-000060400000}"/>
    <cellStyle name="Note 4 2 15 10" xfId="37398" xr:uid="{00000000-0005-0000-0000-000061400000}"/>
    <cellStyle name="Note 4 2 15 11" xfId="41414" xr:uid="{00000000-0005-0000-0000-000062400000}"/>
    <cellStyle name="Note 4 2 15 12" xfId="45207" xr:uid="{00000000-0005-0000-0000-000063400000}"/>
    <cellStyle name="Note 4 2 15 2" xfId="4329" xr:uid="{00000000-0005-0000-0000-000064400000}"/>
    <cellStyle name="Note 4 2 15 2 10" xfId="39380" xr:uid="{00000000-0005-0000-0000-000065400000}"/>
    <cellStyle name="Note 4 2 15 2 11" xfId="43390" xr:uid="{00000000-0005-0000-0000-000066400000}"/>
    <cellStyle name="Note 4 2 15 2 12" xfId="47145" xr:uid="{00000000-0005-0000-0000-000067400000}"/>
    <cellStyle name="Note 4 2 15 2 2" xfId="8186" xr:uid="{00000000-0005-0000-0000-000068400000}"/>
    <cellStyle name="Note 4 2 15 2 3" xfId="12628" xr:uid="{00000000-0005-0000-0000-000069400000}"/>
    <cellStyle name="Note 4 2 15 2 4" xfId="16472" xr:uid="{00000000-0005-0000-0000-00006A400000}"/>
    <cellStyle name="Note 4 2 15 2 5" xfId="20323" xr:uid="{00000000-0005-0000-0000-00006B400000}"/>
    <cellStyle name="Note 4 2 15 2 6" xfId="24234" xr:uid="{00000000-0005-0000-0000-00006C400000}"/>
    <cellStyle name="Note 4 2 15 2 7" xfId="28073" xr:uid="{00000000-0005-0000-0000-00006D400000}"/>
    <cellStyle name="Note 4 2 15 2 8" xfId="31931" xr:uid="{00000000-0005-0000-0000-00006E400000}"/>
    <cellStyle name="Note 4 2 15 2 9" xfId="35583" xr:uid="{00000000-0005-0000-0000-00006F400000}"/>
    <cellStyle name="Note 4 2 15 3" xfId="10663" xr:uid="{00000000-0005-0000-0000-000070400000}"/>
    <cellStyle name="Note 4 2 15 4" xfId="14508" xr:uid="{00000000-0005-0000-0000-000071400000}"/>
    <cellStyle name="Note 4 2 15 5" xfId="18340" xr:uid="{00000000-0005-0000-0000-000072400000}"/>
    <cellStyle name="Note 4 2 15 6" xfId="22278" xr:uid="{00000000-0005-0000-0000-000073400000}"/>
    <cellStyle name="Note 4 2 15 7" xfId="26091" xr:uid="{00000000-0005-0000-0000-000074400000}"/>
    <cellStyle name="Note 4 2 15 8" xfId="29971" xr:uid="{00000000-0005-0000-0000-000075400000}"/>
    <cellStyle name="Note 4 2 15 9" xfId="33645" xr:uid="{00000000-0005-0000-0000-000076400000}"/>
    <cellStyle name="Note 4 2 16" xfId="2293" xr:uid="{00000000-0005-0000-0000-000077400000}"/>
    <cellStyle name="Note 4 2 16 10" xfId="33594" xr:uid="{00000000-0005-0000-0000-000078400000}"/>
    <cellStyle name="Note 4 2 16 11" xfId="37345" xr:uid="{00000000-0005-0000-0000-000079400000}"/>
    <cellStyle name="Note 4 2 16 12" xfId="41361" xr:uid="{00000000-0005-0000-0000-00007A400000}"/>
    <cellStyle name="Note 4 2 16 13" xfId="45156" xr:uid="{00000000-0005-0000-0000-00007B400000}"/>
    <cellStyle name="Note 4 2 16 2" xfId="4276" xr:uid="{00000000-0005-0000-0000-00007C400000}"/>
    <cellStyle name="Note 4 2 16 2 10" xfId="39327" xr:uid="{00000000-0005-0000-0000-00007D400000}"/>
    <cellStyle name="Note 4 2 16 2 11" xfId="43337" xr:uid="{00000000-0005-0000-0000-00007E400000}"/>
    <cellStyle name="Note 4 2 16 2 12" xfId="47094" xr:uid="{00000000-0005-0000-0000-00007F400000}"/>
    <cellStyle name="Note 4 2 16 2 2" xfId="8135" xr:uid="{00000000-0005-0000-0000-000080400000}"/>
    <cellStyle name="Note 4 2 16 2 3" xfId="12575" xr:uid="{00000000-0005-0000-0000-000081400000}"/>
    <cellStyle name="Note 4 2 16 2 4" xfId="16420" xr:uid="{00000000-0005-0000-0000-000082400000}"/>
    <cellStyle name="Note 4 2 16 2 5" xfId="20270" xr:uid="{00000000-0005-0000-0000-000083400000}"/>
    <cellStyle name="Note 4 2 16 2 6" xfId="24182" xr:uid="{00000000-0005-0000-0000-000084400000}"/>
    <cellStyle name="Note 4 2 16 2 7" xfId="28020" xr:uid="{00000000-0005-0000-0000-000085400000}"/>
    <cellStyle name="Note 4 2 16 2 8" xfId="31879" xr:uid="{00000000-0005-0000-0000-000086400000}"/>
    <cellStyle name="Note 4 2 16 2 9" xfId="35532" xr:uid="{00000000-0005-0000-0000-000087400000}"/>
    <cellStyle name="Note 4 2 16 3" xfId="6207" xr:uid="{00000000-0005-0000-0000-000088400000}"/>
    <cellStyle name="Note 4 2 16 4" xfId="10610" xr:uid="{00000000-0005-0000-0000-000089400000}"/>
    <cellStyle name="Note 4 2 16 5" xfId="14456" xr:uid="{00000000-0005-0000-0000-00008A400000}"/>
    <cellStyle name="Note 4 2 16 6" xfId="18287" xr:uid="{00000000-0005-0000-0000-00008B400000}"/>
    <cellStyle name="Note 4 2 16 7" xfId="22226" xr:uid="{00000000-0005-0000-0000-00008C400000}"/>
    <cellStyle name="Note 4 2 16 8" xfId="26038" xr:uid="{00000000-0005-0000-0000-00008D400000}"/>
    <cellStyle name="Note 4 2 16 9" xfId="29918" xr:uid="{00000000-0005-0000-0000-00008E400000}"/>
    <cellStyle name="Note 4 2 17" xfId="2095" xr:uid="{00000000-0005-0000-0000-00008F400000}"/>
    <cellStyle name="Note 4 2 17 10" xfId="33401" xr:uid="{00000000-0005-0000-0000-000090400000}"/>
    <cellStyle name="Note 4 2 17 11" xfId="37147" xr:uid="{00000000-0005-0000-0000-000091400000}"/>
    <cellStyle name="Note 4 2 17 12" xfId="41163" xr:uid="{00000000-0005-0000-0000-000092400000}"/>
    <cellStyle name="Note 4 2 17 13" xfId="44963" xr:uid="{00000000-0005-0000-0000-000093400000}"/>
    <cellStyle name="Note 4 2 17 2" xfId="4079" xr:uid="{00000000-0005-0000-0000-000094400000}"/>
    <cellStyle name="Note 4 2 17 2 10" xfId="39130" xr:uid="{00000000-0005-0000-0000-000095400000}"/>
    <cellStyle name="Note 4 2 17 2 11" xfId="43140" xr:uid="{00000000-0005-0000-0000-000096400000}"/>
    <cellStyle name="Note 4 2 17 2 12" xfId="46901" xr:uid="{00000000-0005-0000-0000-000097400000}"/>
    <cellStyle name="Note 4 2 17 2 2" xfId="7942" xr:uid="{00000000-0005-0000-0000-000098400000}"/>
    <cellStyle name="Note 4 2 17 2 3" xfId="12379" xr:uid="{00000000-0005-0000-0000-000099400000}"/>
    <cellStyle name="Note 4 2 17 2 4" xfId="16224" xr:uid="{00000000-0005-0000-0000-00009A400000}"/>
    <cellStyle name="Note 4 2 17 2 5" xfId="20073" xr:uid="{00000000-0005-0000-0000-00009B400000}"/>
    <cellStyle name="Note 4 2 17 2 6" xfId="23987" xr:uid="{00000000-0005-0000-0000-00009C400000}"/>
    <cellStyle name="Note 4 2 17 2 7" xfId="27823" xr:uid="{00000000-0005-0000-0000-00009D400000}"/>
    <cellStyle name="Note 4 2 17 2 8" xfId="31682" xr:uid="{00000000-0005-0000-0000-00009E400000}"/>
    <cellStyle name="Note 4 2 17 2 9" xfId="35339" xr:uid="{00000000-0005-0000-0000-00009F400000}"/>
    <cellStyle name="Note 4 2 17 3" xfId="6019" xr:uid="{00000000-0005-0000-0000-0000A0400000}"/>
    <cellStyle name="Note 4 2 17 4" xfId="10414" xr:uid="{00000000-0005-0000-0000-0000A1400000}"/>
    <cellStyle name="Note 4 2 17 5" xfId="14261" xr:uid="{00000000-0005-0000-0000-0000A2400000}"/>
    <cellStyle name="Note 4 2 17 6" xfId="18089" xr:uid="{00000000-0005-0000-0000-0000A3400000}"/>
    <cellStyle name="Note 4 2 17 7" xfId="22031" xr:uid="{00000000-0005-0000-0000-0000A4400000}"/>
    <cellStyle name="Note 4 2 17 8" xfId="25840" xr:uid="{00000000-0005-0000-0000-0000A5400000}"/>
    <cellStyle name="Note 4 2 17 9" xfId="29720" xr:uid="{00000000-0005-0000-0000-0000A6400000}"/>
    <cellStyle name="Note 4 2 18" xfId="2528" xr:uid="{00000000-0005-0000-0000-0000A7400000}"/>
    <cellStyle name="Note 4 2 18 10" xfId="37580" xr:uid="{00000000-0005-0000-0000-0000A8400000}"/>
    <cellStyle name="Note 4 2 18 11" xfId="41594" xr:uid="{00000000-0005-0000-0000-0000A9400000}"/>
    <cellStyle name="Note 4 2 18 12" xfId="45383" xr:uid="{00000000-0005-0000-0000-0000AA400000}"/>
    <cellStyle name="Note 4 2 18 2" xfId="6420" xr:uid="{00000000-0005-0000-0000-0000AB400000}"/>
    <cellStyle name="Note 4 2 18 3" xfId="10843" xr:uid="{00000000-0005-0000-0000-0000AC400000}"/>
    <cellStyle name="Note 4 2 18 4" xfId="14687" xr:uid="{00000000-0005-0000-0000-0000AD400000}"/>
    <cellStyle name="Note 4 2 18 5" xfId="18522" xr:uid="{00000000-0005-0000-0000-0000AE400000}"/>
    <cellStyle name="Note 4 2 18 6" xfId="22457" xr:uid="{00000000-0005-0000-0000-0000AF400000}"/>
    <cellStyle name="Note 4 2 18 7" xfId="26273" xr:uid="{00000000-0005-0000-0000-0000B0400000}"/>
    <cellStyle name="Note 4 2 18 8" xfId="30152" xr:uid="{00000000-0005-0000-0000-0000B1400000}"/>
    <cellStyle name="Note 4 2 18 9" xfId="33821" xr:uid="{00000000-0005-0000-0000-0000B2400000}"/>
    <cellStyle name="Note 4 2 19" xfId="8703" xr:uid="{00000000-0005-0000-0000-0000B3400000}"/>
    <cellStyle name="Note 4 2 2" xfId="561" xr:uid="{00000000-0005-0000-0000-0000B4400000}"/>
    <cellStyle name="Note 4 2 2 10" xfId="2211" xr:uid="{00000000-0005-0000-0000-0000B5400000}"/>
    <cellStyle name="Note 4 2 2 10 10" xfId="33512" xr:uid="{00000000-0005-0000-0000-0000B6400000}"/>
    <cellStyle name="Note 4 2 2 10 11" xfId="37263" xr:uid="{00000000-0005-0000-0000-0000B7400000}"/>
    <cellStyle name="Note 4 2 2 10 12" xfId="41279" xr:uid="{00000000-0005-0000-0000-0000B8400000}"/>
    <cellStyle name="Note 4 2 2 10 13" xfId="45074" xr:uid="{00000000-0005-0000-0000-0000B9400000}"/>
    <cellStyle name="Note 4 2 2 10 2" xfId="4194" xr:uid="{00000000-0005-0000-0000-0000BA400000}"/>
    <cellStyle name="Note 4 2 2 10 2 10" xfId="39245" xr:uid="{00000000-0005-0000-0000-0000BB400000}"/>
    <cellStyle name="Note 4 2 2 10 2 11" xfId="43255" xr:uid="{00000000-0005-0000-0000-0000BC400000}"/>
    <cellStyle name="Note 4 2 2 10 2 12" xfId="47012" xr:uid="{00000000-0005-0000-0000-0000BD400000}"/>
    <cellStyle name="Note 4 2 2 10 2 2" xfId="8053" xr:uid="{00000000-0005-0000-0000-0000BE400000}"/>
    <cellStyle name="Note 4 2 2 10 2 3" xfId="12493" xr:uid="{00000000-0005-0000-0000-0000BF400000}"/>
    <cellStyle name="Note 4 2 2 10 2 4" xfId="16338" xr:uid="{00000000-0005-0000-0000-0000C0400000}"/>
    <cellStyle name="Note 4 2 2 10 2 5" xfId="20188" xr:uid="{00000000-0005-0000-0000-0000C1400000}"/>
    <cellStyle name="Note 4 2 2 10 2 6" xfId="24100" xr:uid="{00000000-0005-0000-0000-0000C2400000}"/>
    <cellStyle name="Note 4 2 2 10 2 7" xfId="27938" xr:uid="{00000000-0005-0000-0000-0000C3400000}"/>
    <cellStyle name="Note 4 2 2 10 2 8" xfId="31797" xr:uid="{00000000-0005-0000-0000-0000C4400000}"/>
    <cellStyle name="Note 4 2 2 10 2 9" xfId="35450" xr:uid="{00000000-0005-0000-0000-0000C5400000}"/>
    <cellStyle name="Note 4 2 2 10 3" xfId="6125" xr:uid="{00000000-0005-0000-0000-0000C6400000}"/>
    <cellStyle name="Note 4 2 2 10 4" xfId="10528" xr:uid="{00000000-0005-0000-0000-0000C7400000}"/>
    <cellStyle name="Note 4 2 2 10 5" xfId="14374" xr:uid="{00000000-0005-0000-0000-0000C8400000}"/>
    <cellStyle name="Note 4 2 2 10 6" xfId="18205" xr:uid="{00000000-0005-0000-0000-0000C9400000}"/>
    <cellStyle name="Note 4 2 2 10 7" xfId="22144" xr:uid="{00000000-0005-0000-0000-0000CA400000}"/>
    <cellStyle name="Note 4 2 2 10 8" xfId="25956" xr:uid="{00000000-0005-0000-0000-0000CB400000}"/>
    <cellStyle name="Note 4 2 2 10 9" xfId="29836" xr:uid="{00000000-0005-0000-0000-0000CC400000}"/>
    <cellStyle name="Note 4 2 2 11" xfId="2269" xr:uid="{00000000-0005-0000-0000-0000CD400000}"/>
    <cellStyle name="Note 4 2 2 11 10" xfId="33570" xr:uid="{00000000-0005-0000-0000-0000CE400000}"/>
    <cellStyle name="Note 4 2 2 11 11" xfId="37321" xr:uid="{00000000-0005-0000-0000-0000CF400000}"/>
    <cellStyle name="Note 4 2 2 11 12" xfId="41337" xr:uid="{00000000-0005-0000-0000-0000D0400000}"/>
    <cellStyle name="Note 4 2 2 11 13" xfId="45132" xr:uid="{00000000-0005-0000-0000-0000D1400000}"/>
    <cellStyle name="Note 4 2 2 11 2" xfId="4252" xr:uid="{00000000-0005-0000-0000-0000D2400000}"/>
    <cellStyle name="Note 4 2 2 11 2 10" xfId="39303" xr:uid="{00000000-0005-0000-0000-0000D3400000}"/>
    <cellStyle name="Note 4 2 2 11 2 11" xfId="43313" xr:uid="{00000000-0005-0000-0000-0000D4400000}"/>
    <cellStyle name="Note 4 2 2 11 2 12" xfId="47070" xr:uid="{00000000-0005-0000-0000-0000D5400000}"/>
    <cellStyle name="Note 4 2 2 11 2 2" xfId="8111" xr:uid="{00000000-0005-0000-0000-0000D6400000}"/>
    <cellStyle name="Note 4 2 2 11 2 3" xfId="12551" xr:uid="{00000000-0005-0000-0000-0000D7400000}"/>
    <cellStyle name="Note 4 2 2 11 2 4" xfId="16396" xr:uid="{00000000-0005-0000-0000-0000D8400000}"/>
    <cellStyle name="Note 4 2 2 11 2 5" xfId="20246" xr:uid="{00000000-0005-0000-0000-0000D9400000}"/>
    <cellStyle name="Note 4 2 2 11 2 6" xfId="24158" xr:uid="{00000000-0005-0000-0000-0000DA400000}"/>
    <cellStyle name="Note 4 2 2 11 2 7" xfId="27996" xr:uid="{00000000-0005-0000-0000-0000DB400000}"/>
    <cellStyle name="Note 4 2 2 11 2 8" xfId="31855" xr:uid="{00000000-0005-0000-0000-0000DC400000}"/>
    <cellStyle name="Note 4 2 2 11 2 9" xfId="35508" xr:uid="{00000000-0005-0000-0000-0000DD400000}"/>
    <cellStyle name="Note 4 2 2 11 3" xfId="6183" xr:uid="{00000000-0005-0000-0000-0000DE400000}"/>
    <cellStyle name="Note 4 2 2 11 4" xfId="10586" xr:uid="{00000000-0005-0000-0000-0000DF400000}"/>
    <cellStyle name="Note 4 2 2 11 5" xfId="14432" xr:uid="{00000000-0005-0000-0000-0000E0400000}"/>
    <cellStyle name="Note 4 2 2 11 6" xfId="18263" xr:uid="{00000000-0005-0000-0000-0000E1400000}"/>
    <cellStyle name="Note 4 2 2 11 7" xfId="22202" xr:uid="{00000000-0005-0000-0000-0000E2400000}"/>
    <cellStyle name="Note 4 2 2 11 8" xfId="26014" xr:uid="{00000000-0005-0000-0000-0000E3400000}"/>
    <cellStyle name="Note 4 2 2 11 9" xfId="29894" xr:uid="{00000000-0005-0000-0000-0000E4400000}"/>
    <cellStyle name="Note 4 2 2 12" xfId="2326" xr:uid="{00000000-0005-0000-0000-0000E5400000}"/>
    <cellStyle name="Note 4 2 2 12 10" xfId="33625" xr:uid="{00000000-0005-0000-0000-0000E6400000}"/>
    <cellStyle name="Note 4 2 2 12 11" xfId="37378" xr:uid="{00000000-0005-0000-0000-0000E7400000}"/>
    <cellStyle name="Note 4 2 2 12 12" xfId="41394" xr:uid="{00000000-0005-0000-0000-0000E8400000}"/>
    <cellStyle name="Note 4 2 2 12 13" xfId="45187" xr:uid="{00000000-0005-0000-0000-0000E9400000}"/>
    <cellStyle name="Note 4 2 2 12 2" xfId="4309" xr:uid="{00000000-0005-0000-0000-0000EA400000}"/>
    <cellStyle name="Note 4 2 2 12 2 10" xfId="39360" xr:uid="{00000000-0005-0000-0000-0000EB400000}"/>
    <cellStyle name="Note 4 2 2 12 2 11" xfId="43370" xr:uid="{00000000-0005-0000-0000-0000EC400000}"/>
    <cellStyle name="Note 4 2 2 12 2 12" xfId="47125" xr:uid="{00000000-0005-0000-0000-0000ED400000}"/>
    <cellStyle name="Note 4 2 2 12 2 2" xfId="8166" xr:uid="{00000000-0005-0000-0000-0000EE400000}"/>
    <cellStyle name="Note 4 2 2 12 2 3" xfId="12608" xr:uid="{00000000-0005-0000-0000-0000EF400000}"/>
    <cellStyle name="Note 4 2 2 12 2 4" xfId="16452" xr:uid="{00000000-0005-0000-0000-0000F0400000}"/>
    <cellStyle name="Note 4 2 2 12 2 5" xfId="20303" xr:uid="{00000000-0005-0000-0000-0000F1400000}"/>
    <cellStyle name="Note 4 2 2 12 2 6" xfId="24214" xr:uid="{00000000-0005-0000-0000-0000F2400000}"/>
    <cellStyle name="Note 4 2 2 12 2 7" xfId="28053" xr:uid="{00000000-0005-0000-0000-0000F3400000}"/>
    <cellStyle name="Note 4 2 2 12 2 8" xfId="31912" xr:uid="{00000000-0005-0000-0000-0000F4400000}"/>
    <cellStyle name="Note 4 2 2 12 2 9" xfId="35563" xr:uid="{00000000-0005-0000-0000-0000F5400000}"/>
    <cellStyle name="Note 4 2 2 12 3" xfId="6238" xr:uid="{00000000-0005-0000-0000-0000F6400000}"/>
    <cellStyle name="Note 4 2 2 12 4" xfId="10643" xr:uid="{00000000-0005-0000-0000-0000F7400000}"/>
    <cellStyle name="Note 4 2 2 12 5" xfId="14488" xr:uid="{00000000-0005-0000-0000-0000F8400000}"/>
    <cellStyle name="Note 4 2 2 12 6" xfId="18320" xr:uid="{00000000-0005-0000-0000-0000F9400000}"/>
    <cellStyle name="Note 4 2 2 12 7" xfId="22258" xr:uid="{00000000-0005-0000-0000-0000FA400000}"/>
    <cellStyle name="Note 4 2 2 12 8" xfId="26071" xr:uid="{00000000-0005-0000-0000-0000FB400000}"/>
    <cellStyle name="Note 4 2 2 12 9" xfId="29951" xr:uid="{00000000-0005-0000-0000-0000FC400000}"/>
    <cellStyle name="Note 4 2 2 13" xfId="2391" xr:uid="{00000000-0005-0000-0000-0000FD400000}"/>
    <cellStyle name="Note 4 2 2 13 10" xfId="33689" xr:uid="{00000000-0005-0000-0000-0000FE400000}"/>
    <cellStyle name="Note 4 2 2 13 11" xfId="37443" xr:uid="{00000000-0005-0000-0000-0000FF400000}"/>
    <cellStyle name="Note 4 2 2 13 12" xfId="41458" xr:uid="{00000000-0005-0000-0000-000000410000}"/>
    <cellStyle name="Note 4 2 2 13 13" xfId="45251" xr:uid="{00000000-0005-0000-0000-000001410000}"/>
    <cellStyle name="Note 4 2 2 13 2" xfId="4374" xr:uid="{00000000-0005-0000-0000-000002410000}"/>
    <cellStyle name="Note 4 2 2 13 2 10" xfId="39425" xr:uid="{00000000-0005-0000-0000-000003410000}"/>
    <cellStyle name="Note 4 2 2 13 2 11" xfId="43434" xr:uid="{00000000-0005-0000-0000-000004410000}"/>
    <cellStyle name="Note 4 2 2 13 2 12" xfId="47189" xr:uid="{00000000-0005-0000-0000-000005410000}"/>
    <cellStyle name="Note 4 2 2 13 2 2" xfId="8231" xr:uid="{00000000-0005-0000-0000-000006410000}"/>
    <cellStyle name="Note 4 2 2 13 2 3" xfId="12672" xr:uid="{00000000-0005-0000-0000-000007410000}"/>
    <cellStyle name="Note 4 2 2 13 2 4" xfId="16517" xr:uid="{00000000-0005-0000-0000-000008410000}"/>
    <cellStyle name="Note 4 2 2 13 2 5" xfId="20368" xr:uid="{00000000-0005-0000-0000-000009410000}"/>
    <cellStyle name="Note 4 2 2 13 2 6" xfId="24279" xr:uid="{00000000-0005-0000-0000-00000A410000}"/>
    <cellStyle name="Note 4 2 2 13 2 7" xfId="28118" xr:uid="{00000000-0005-0000-0000-00000B410000}"/>
    <cellStyle name="Note 4 2 2 13 2 8" xfId="31976" xr:uid="{00000000-0005-0000-0000-00000C410000}"/>
    <cellStyle name="Note 4 2 2 13 2 9" xfId="35627" xr:uid="{00000000-0005-0000-0000-00000D410000}"/>
    <cellStyle name="Note 4 2 2 13 3" xfId="6287" xr:uid="{00000000-0005-0000-0000-00000E410000}"/>
    <cellStyle name="Note 4 2 2 13 4" xfId="10707" xr:uid="{00000000-0005-0000-0000-00000F410000}"/>
    <cellStyle name="Note 4 2 2 13 5" xfId="14553" xr:uid="{00000000-0005-0000-0000-000010410000}"/>
    <cellStyle name="Note 4 2 2 13 6" xfId="18385" xr:uid="{00000000-0005-0000-0000-000011410000}"/>
    <cellStyle name="Note 4 2 2 13 7" xfId="22323" xr:uid="{00000000-0005-0000-0000-000012410000}"/>
    <cellStyle name="Note 4 2 2 13 8" xfId="26136" xr:uid="{00000000-0005-0000-0000-000013410000}"/>
    <cellStyle name="Note 4 2 2 13 9" xfId="30016" xr:uid="{00000000-0005-0000-0000-000014410000}"/>
    <cellStyle name="Note 4 2 2 14" xfId="2443" xr:uid="{00000000-0005-0000-0000-000015410000}"/>
    <cellStyle name="Note 4 2 2 14 10" xfId="33739" xr:uid="{00000000-0005-0000-0000-000016410000}"/>
    <cellStyle name="Note 4 2 2 14 11" xfId="37495" xr:uid="{00000000-0005-0000-0000-000017410000}"/>
    <cellStyle name="Note 4 2 2 14 12" xfId="41510" xr:uid="{00000000-0005-0000-0000-000018410000}"/>
    <cellStyle name="Note 4 2 2 14 13" xfId="45301" xr:uid="{00000000-0005-0000-0000-000019410000}"/>
    <cellStyle name="Note 4 2 2 14 2" xfId="4426" xr:uid="{00000000-0005-0000-0000-00001A410000}"/>
    <cellStyle name="Note 4 2 2 14 2 10" xfId="39477" xr:uid="{00000000-0005-0000-0000-00001B410000}"/>
    <cellStyle name="Note 4 2 2 14 2 11" xfId="43486" xr:uid="{00000000-0005-0000-0000-00001C410000}"/>
    <cellStyle name="Note 4 2 2 14 2 12" xfId="47239" xr:uid="{00000000-0005-0000-0000-00001D410000}"/>
    <cellStyle name="Note 4 2 2 14 2 2" xfId="8281" xr:uid="{00000000-0005-0000-0000-00001E410000}"/>
    <cellStyle name="Note 4 2 2 14 2 3" xfId="12724" xr:uid="{00000000-0005-0000-0000-00001F410000}"/>
    <cellStyle name="Note 4 2 2 14 2 4" xfId="16567" xr:uid="{00000000-0005-0000-0000-000020410000}"/>
    <cellStyle name="Note 4 2 2 14 2 5" xfId="20420" xr:uid="{00000000-0005-0000-0000-000021410000}"/>
    <cellStyle name="Note 4 2 2 14 2 6" xfId="24330" xr:uid="{00000000-0005-0000-0000-000022410000}"/>
    <cellStyle name="Note 4 2 2 14 2 7" xfId="28170" xr:uid="{00000000-0005-0000-0000-000023410000}"/>
    <cellStyle name="Note 4 2 2 14 2 8" xfId="32028" xr:uid="{00000000-0005-0000-0000-000024410000}"/>
    <cellStyle name="Note 4 2 2 14 2 9" xfId="35677" xr:uid="{00000000-0005-0000-0000-000025410000}"/>
    <cellStyle name="Note 4 2 2 14 3" xfId="6337" xr:uid="{00000000-0005-0000-0000-000026410000}"/>
    <cellStyle name="Note 4 2 2 14 4" xfId="10759" xr:uid="{00000000-0005-0000-0000-000027410000}"/>
    <cellStyle name="Note 4 2 2 14 5" xfId="14604" xr:uid="{00000000-0005-0000-0000-000028410000}"/>
    <cellStyle name="Note 4 2 2 14 6" xfId="18437" xr:uid="{00000000-0005-0000-0000-000029410000}"/>
    <cellStyle name="Note 4 2 2 14 7" xfId="22374" xr:uid="{00000000-0005-0000-0000-00002A410000}"/>
    <cellStyle name="Note 4 2 2 14 8" xfId="26188" xr:uid="{00000000-0005-0000-0000-00002B410000}"/>
    <cellStyle name="Note 4 2 2 14 9" xfId="30067" xr:uid="{00000000-0005-0000-0000-00002C410000}"/>
    <cellStyle name="Note 4 2 2 15" xfId="2497" xr:uid="{00000000-0005-0000-0000-00002D410000}"/>
    <cellStyle name="Note 4 2 2 15 10" xfId="33790" xr:uid="{00000000-0005-0000-0000-00002E410000}"/>
    <cellStyle name="Note 4 2 2 15 11" xfId="37549" xr:uid="{00000000-0005-0000-0000-00002F410000}"/>
    <cellStyle name="Note 4 2 2 15 12" xfId="41563" xr:uid="{00000000-0005-0000-0000-000030410000}"/>
    <cellStyle name="Note 4 2 2 15 13" xfId="45352" xr:uid="{00000000-0005-0000-0000-000031410000}"/>
    <cellStyle name="Note 4 2 2 15 2" xfId="4477" xr:uid="{00000000-0005-0000-0000-000032410000}"/>
    <cellStyle name="Note 4 2 2 15 2 10" xfId="39528" xr:uid="{00000000-0005-0000-0000-000033410000}"/>
    <cellStyle name="Note 4 2 2 15 2 11" xfId="43537" xr:uid="{00000000-0005-0000-0000-000034410000}"/>
    <cellStyle name="Note 4 2 2 15 2 12" xfId="47290" xr:uid="{00000000-0005-0000-0000-000035410000}"/>
    <cellStyle name="Note 4 2 2 15 2 2" xfId="8332" xr:uid="{00000000-0005-0000-0000-000036410000}"/>
    <cellStyle name="Note 4 2 2 15 2 3" xfId="12775" xr:uid="{00000000-0005-0000-0000-000037410000}"/>
    <cellStyle name="Note 4 2 2 15 2 4" xfId="16618" xr:uid="{00000000-0005-0000-0000-000038410000}"/>
    <cellStyle name="Note 4 2 2 15 2 5" xfId="20471" xr:uid="{00000000-0005-0000-0000-000039410000}"/>
    <cellStyle name="Note 4 2 2 15 2 6" xfId="24381" xr:uid="{00000000-0005-0000-0000-00003A410000}"/>
    <cellStyle name="Note 4 2 2 15 2 7" xfId="28221" xr:uid="{00000000-0005-0000-0000-00003B410000}"/>
    <cellStyle name="Note 4 2 2 15 2 8" xfId="32079" xr:uid="{00000000-0005-0000-0000-00003C410000}"/>
    <cellStyle name="Note 4 2 2 15 2 9" xfId="35728" xr:uid="{00000000-0005-0000-0000-00003D410000}"/>
    <cellStyle name="Note 4 2 2 15 3" xfId="6389" xr:uid="{00000000-0005-0000-0000-00003E410000}"/>
    <cellStyle name="Note 4 2 2 15 4" xfId="10812" xr:uid="{00000000-0005-0000-0000-00003F410000}"/>
    <cellStyle name="Note 4 2 2 15 5" xfId="14656" xr:uid="{00000000-0005-0000-0000-000040410000}"/>
    <cellStyle name="Note 4 2 2 15 6" xfId="18491" xr:uid="{00000000-0005-0000-0000-000041410000}"/>
    <cellStyle name="Note 4 2 2 15 7" xfId="22426" xr:uid="{00000000-0005-0000-0000-000042410000}"/>
    <cellStyle name="Note 4 2 2 15 8" xfId="26242" xr:uid="{00000000-0005-0000-0000-000043410000}"/>
    <cellStyle name="Note 4 2 2 15 9" xfId="30121" xr:uid="{00000000-0005-0000-0000-000044410000}"/>
    <cellStyle name="Note 4 2 2 16" xfId="2566" xr:uid="{00000000-0005-0000-0000-000045410000}"/>
    <cellStyle name="Note 4 2 2 16 10" xfId="37618" xr:uid="{00000000-0005-0000-0000-000046410000}"/>
    <cellStyle name="Note 4 2 2 16 11" xfId="41632" xr:uid="{00000000-0005-0000-0000-000047410000}"/>
    <cellStyle name="Note 4 2 2 16 12" xfId="45421" xr:uid="{00000000-0005-0000-0000-000048410000}"/>
    <cellStyle name="Note 4 2 2 16 2" xfId="6458" xr:uid="{00000000-0005-0000-0000-000049410000}"/>
    <cellStyle name="Note 4 2 2 16 3" xfId="10881" xr:uid="{00000000-0005-0000-0000-00004A410000}"/>
    <cellStyle name="Note 4 2 2 16 4" xfId="14725" xr:uid="{00000000-0005-0000-0000-00004B410000}"/>
    <cellStyle name="Note 4 2 2 16 5" xfId="18560" xr:uid="{00000000-0005-0000-0000-00004C410000}"/>
    <cellStyle name="Note 4 2 2 16 6" xfId="22495" xr:uid="{00000000-0005-0000-0000-00004D410000}"/>
    <cellStyle name="Note 4 2 2 16 7" xfId="26311" xr:uid="{00000000-0005-0000-0000-00004E410000}"/>
    <cellStyle name="Note 4 2 2 16 8" xfId="30190" xr:uid="{00000000-0005-0000-0000-00004F410000}"/>
    <cellStyle name="Note 4 2 2 16 9" xfId="33859" xr:uid="{00000000-0005-0000-0000-000050410000}"/>
    <cellStyle name="Note 4 2 2 17" xfId="4534" xr:uid="{00000000-0005-0000-0000-000051410000}"/>
    <cellStyle name="Note 4 2 2 18" xfId="8390" xr:uid="{00000000-0005-0000-0000-000052410000}"/>
    <cellStyle name="Note 4 2 2 19" xfId="8751" xr:uid="{00000000-0005-0000-0000-000053410000}"/>
    <cellStyle name="Note 4 2 2 2" xfId="695" xr:uid="{00000000-0005-0000-0000-000054410000}"/>
    <cellStyle name="Note 4 2 2 2 10" xfId="24429" xr:uid="{00000000-0005-0000-0000-000055410000}"/>
    <cellStyle name="Note 4 2 2 2 11" xfId="28322" xr:uid="{00000000-0005-0000-0000-000056410000}"/>
    <cellStyle name="Note 4 2 2 2 12" xfId="30136" xr:uid="{00000000-0005-0000-0000-000057410000}"/>
    <cellStyle name="Note 4 2 2 2 13" xfId="35766" xr:uid="{00000000-0005-0000-0000-000058410000}"/>
    <cellStyle name="Note 4 2 2 2 14" xfId="39789" xr:uid="{00000000-0005-0000-0000-000059410000}"/>
    <cellStyle name="Note 4 2 2 2 15" xfId="43592" xr:uid="{00000000-0005-0000-0000-00005A410000}"/>
    <cellStyle name="Note 4 2 2 2 2" xfId="1075" xr:uid="{00000000-0005-0000-0000-00005B410000}"/>
    <cellStyle name="Note 4 2 2 2 2 10" xfId="28686" xr:uid="{00000000-0005-0000-0000-00005C410000}"/>
    <cellStyle name="Note 4 2 2 2 2 11" xfId="32372" xr:uid="{00000000-0005-0000-0000-00005D410000}"/>
    <cellStyle name="Note 4 2 2 2 2 12" xfId="36133" xr:uid="{00000000-0005-0000-0000-00005E410000}"/>
    <cellStyle name="Note 4 2 2 2 2 13" xfId="40136" xr:uid="{00000000-0005-0000-0000-00005F410000}"/>
    <cellStyle name="Note 4 2 2 2 2 14" xfId="43959" xr:uid="{00000000-0005-0000-0000-000060410000}"/>
    <cellStyle name="Note 4 2 2 2 2 2" xfId="1802" xr:uid="{00000000-0005-0000-0000-000061410000}"/>
    <cellStyle name="Note 4 2 2 2 2 2 10" xfId="33089" xr:uid="{00000000-0005-0000-0000-000062410000}"/>
    <cellStyle name="Note 4 2 2 2 2 2 11" xfId="36859" xr:uid="{00000000-0005-0000-0000-000063410000}"/>
    <cellStyle name="Note 4 2 2 2 2 2 12" xfId="40850" xr:uid="{00000000-0005-0000-0000-000064410000}"/>
    <cellStyle name="Note 4 2 2 2 2 2 13" xfId="44681" xr:uid="{00000000-0005-0000-0000-000065410000}"/>
    <cellStyle name="Note 4 2 2 2 2 2 2" xfId="3792" xr:uid="{00000000-0005-0000-0000-000066410000}"/>
    <cellStyle name="Note 4 2 2 2 2 2 2 10" xfId="38843" xr:uid="{00000000-0005-0000-0000-000067410000}"/>
    <cellStyle name="Note 4 2 2 2 2 2 2 11" xfId="42854" xr:uid="{00000000-0005-0000-0000-000068410000}"/>
    <cellStyle name="Note 4 2 2 2 2 2 2 12" xfId="46619" xr:uid="{00000000-0005-0000-0000-000069410000}"/>
    <cellStyle name="Note 4 2 2 2 2 2 2 2" xfId="7659" xr:uid="{00000000-0005-0000-0000-00006A410000}"/>
    <cellStyle name="Note 4 2 2 2 2 2 2 3" xfId="12094" xr:uid="{00000000-0005-0000-0000-00006B410000}"/>
    <cellStyle name="Note 4 2 2 2 2 2 2 4" xfId="15939" xr:uid="{00000000-0005-0000-0000-00006C410000}"/>
    <cellStyle name="Note 4 2 2 2 2 2 2 5" xfId="19786" xr:uid="{00000000-0005-0000-0000-00006D410000}"/>
    <cellStyle name="Note 4 2 2 2 2 2 2 6" xfId="23702" xr:uid="{00000000-0005-0000-0000-00006E410000}"/>
    <cellStyle name="Note 4 2 2 2 2 2 2 7" xfId="27536" xr:uid="{00000000-0005-0000-0000-00006F410000}"/>
    <cellStyle name="Note 4 2 2 2 2 2 2 8" xfId="31400" xr:uid="{00000000-0005-0000-0000-000070410000}"/>
    <cellStyle name="Note 4 2 2 2 2 2 2 9" xfId="35057" xr:uid="{00000000-0005-0000-0000-000071410000}"/>
    <cellStyle name="Note 4 2 2 2 2 2 3" xfId="5735" xr:uid="{00000000-0005-0000-0000-000072410000}"/>
    <cellStyle name="Note 4 2 2 2 2 2 4" xfId="10093" xr:uid="{00000000-0005-0000-0000-000073410000}"/>
    <cellStyle name="Note 4 2 2 2 2 2 5" xfId="13939" xr:uid="{00000000-0005-0000-0000-000074410000}"/>
    <cellStyle name="Note 4 2 2 2 2 2 6" xfId="17768" xr:uid="{00000000-0005-0000-0000-000075410000}"/>
    <cellStyle name="Note 4 2 2 2 2 2 7" xfId="21707" xr:uid="{00000000-0005-0000-0000-000076410000}"/>
    <cellStyle name="Note 4 2 2 2 2 2 8" xfId="25520" xr:uid="{00000000-0005-0000-0000-000077410000}"/>
    <cellStyle name="Note 4 2 2 2 2 2 9" xfId="29407" xr:uid="{00000000-0005-0000-0000-000078410000}"/>
    <cellStyle name="Note 4 2 2 2 2 3" xfId="3065" xr:uid="{00000000-0005-0000-0000-000079410000}"/>
    <cellStyle name="Note 4 2 2 2 2 3 10" xfId="38117" xr:uid="{00000000-0005-0000-0000-00007A410000}"/>
    <cellStyle name="Note 4 2 2 2 2 3 11" xfId="42129" xr:uid="{00000000-0005-0000-0000-00007B410000}"/>
    <cellStyle name="Note 4 2 2 2 2 3 12" xfId="45902" xr:uid="{00000000-0005-0000-0000-00007C410000}"/>
    <cellStyle name="Note 4 2 2 2 2 3 2" xfId="6941" xr:uid="{00000000-0005-0000-0000-00007D410000}"/>
    <cellStyle name="Note 4 2 2 2 2 3 3" xfId="11370" xr:uid="{00000000-0005-0000-0000-00007E410000}"/>
    <cellStyle name="Note 4 2 2 2 2 3 4" xfId="15214" xr:uid="{00000000-0005-0000-0000-00007F410000}"/>
    <cellStyle name="Note 4 2 2 2 2 3 5" xfId="19059" xr:uid="{00000000-0005-0000-0000-000080410000}"/>
    <cellStyle name="Note 4 2 2 2 2 3 6" xfId="22981" xr:uid="{00000000-0005-0000-0000-000081410000}"/>
    <cellStyle name="Note 4 2 2 2 2 3 7" xfId="26810" xr:uid="{00000000-0005-0000-0000-000082410000}"/>
    <cellStyle name="Note 4 2 2 2 2 3 8" xfId="30684" xr:uid="{00000000-0005-0000-0000-000083410000}"/>
    <cellStyle name="Note 4 2 2 2 2 3 9" xfId="34340" xr:uid="{00000000-0005-0000-0000-000084410000}"/>
    <cellStyle name="Note 4 2 2 2 2 4" xfId="5017" xr:uid="{00000000-0005-0000-0000-000085410000}"/>
    <cellStyle name="Note 4 2 2 2 2 5" xfId="9373" xr:uid="{00000000-0005-0000-0000-000086410000}"/>
    <cellStyle name="Note 4 2 2 2 2 6" xfId="13213" xr:uid="{00000000-0005-0000-0000-000087410000}"/>
    <cellStyle name="Note 4 2 2 2 2 7" xfId="17041" xr:uid="{00000000-0005-0000-0000-000088410000}"/>
    <cellStyle name="Note 4 2 2 2 2 8" xfId="20983" xr:uid="{00000000-0005-0000-0000-000089410000}"/>
    <cellStyle name="Note 4 2 2 2 2 9" xfId="24797" xr:uid="{00000000-0005-0000-0000-00008A410000}"/>
    <cellStyle name="Note 4 2 2 2 3" xfId="1449" xr:uid="{00000000-0005-0000-0000-00008B410000}"/>
    <cellStyle name="Note 4 2 2 2 3 10" xfId="32736" xr:uid="{00000000-0005-0000-0000-00008C410000}"/>
    <cellStyle name="Note 4 2 2 2 3 11" xfId="36506" xr:uid="{00000000-0005-0000-0000-00008D410000}"/>
    <cellStyle name="Note 4 2 2 2 3 12" xfId="40497" xr:uid="{00000000-0005-0000-0000-00008E410000}"/>
    <cellStyle name="Note 4 2 2 2 3 13" xfId="44328" xr:uid="{00000000-0005-0000-0000-00008F410000}"/>
    <cellStyle name="Note 4 2 2 2 3 2" xfId="3439" xr:uid="{00000000-0005-0000-0000-000090410000}"/>
    <cellStyle name="Note 4 2 2 2 3 2 10" xfId="38490" xr:uid="{00000000-0005-0000-0000-000091410000}"/>
    <cellStyle name="Note 4 2 2 2 3 2 11" xfId="42501" xr:uid="{00000000-0005-0000-0000-000092410000}"/>
    <cellStyle name="Note 4 2 2 2 3 2 12" xfId="46266" xr:uid="{00000000-0005-0000-0000-000093410000}"/>
    <cellStyle name="Note 4 2 2 2 3 2 2" xfId="7306" xr:uid="{00000000-0005-0000-0000-000094410000}"/>
    <cellStyle name="Note 4 2 2 2 3 2 3" xfId="11741" xr:uid="{00000000-0005-0000-0000-000095410000}"/>
    <cellStyle name="Note 4 2 2 2 3 2 4" xfId="15586" xr:uid="{00000000-0005-0000-0000-000096410000}"/>
    <cellStyle name="Note 4 2 2 2 3 2 5" xfId="19433" xr:uid="{00000000-0005-0000-0000-000097410000}"/>
    <cellStyle name="Note 4 2 2 2 3 2 6" xfId="23349" xr:uid="{00000000-0005-0000-0000-000098410000}"/>
    <cellStyle name="Note 4 2 2 2 3 2 7" xfId="27183" xr:uid="{00000000-0005-0000-0000-000099410000}"/>
    <cellStyle name="Note 4 2 2 2 3 2 8" xfId="31051" xr:uid="{00000000-0005-0000-0000-00009A410000}"/>
    <cellStyle name="Note 4 2 2 2 3 2 9" xfId="34704" xr:uid="{00000000-0005-0000-0000-00009B410000}"/>
    <cellStyle name="Note 4 2 2 2 3 3" xfId="5382" xr:uid="{00000000-0005-0000-0000-00009C410000}"/>
    <cellStyle name="Note 4 2 2 2 3 4" xfId="9740" xr:uid="{00000000-0005-0000-0000-00009D410000}"/>
    <cellStyle name="Note 4 2 2 2 3 5" xfId="13586" xr:uid="{00000000-0005-0000-0000-00009E410000}"/>
    <cellStyle name="Note 4 2 2 2 3 6" xfId="17415" xr:uid="{00000000-0005-0000-0000-00009F410000}"/>
    <cellStyle name="Note 4 2 2 2 3 7" xfId="21354" xr:uid="{00000000-0005-0000-0000-0000A0410000}"/>
    <cellStyle name="Note 4 2 2 2 3 8" xfId="25167" xr:uid="{00000000-0005-0000-0000-0000A1410000}"/>
    <cellStyle name="Note 4 2 2 2 3 9" xfId="29054" xr:uid="{00000000-0005-0000-0000-0000A2410000}"/>
    <cellStyle name="Note 4 2 2 2 4" xfId="2698" xr:uid="{00000000-0005-0000-0000-0000A3410000}"/>
    <cellStyle name="Note 4 2 2 2 4 10" xfId="37750" xr:uid="{00000000-0005-0000-0000-0000A4410000}"/>
    <cellStyle name="Note 4 2 2 2 4 11" xfId="41764" xr:uid="{00000000-0005-0000-0000-0000A5410000}"/>
    <cellStyle name="Note 4 2 2 2 4 12" xfId="45549" xr:uid="{00000000-0005-0000-0000-0000A6410000}"/>
    <cellStyle name="Note 4 2 2 2 4 2" xfId="6586" xr:uid="{00000000-0005-0000-0000-0000A7410000}"/>
    <cellStyle name="Note 4 2 2 2 4 3" xfId="11010" xr:uid="{00000000-0005-0000-0000-0000A8410000}"/>
    <cellStyle name="Note 4 2 2 2 4 4" xfId="14854" xr:uid="{00000000-0005-0000-0000-0000A9410000}"/>
    <cellStyle name="Note 4 2 2 2 4 5" xfId="18692" xr:uid="{00000000-0005-0000-0000-0000AA410000}"/>
    <cellStyle name="Note 4 2 2 2 4 6" xfId="22623" xr:uid="{00000000-0005-0000-0000-0000AB410000}"/>
    <cellStyle name="Note 4 2 2 2 4 7" xfId="26443" xr:uid="{00000000-0005-0000-0000-0000AC410000}"/>
    <cellStyle name="Note 4 2 2 2 4 8" xfId="30322" xr:uid="{00000000-0005-0000-0000-0000AD410000}"/>
    <cellStyle name="Note 4 2 2 2 4 9" xfId="33987" xr:uid="{00000000-0005-0000-0000-0000AE410000}"/>
    <cellStyle name="Note 4 2 2 2 5" xfId="4662" xr:uid="{00000000-0005-0000-0000-0000AF410000}"/>
    <cellStyle name="Note 4 2 2 2 6" xfId="9004" xr:uid="{00000000-0005-0000-0000-0000B0410000}"/>
    <cellStyle name="Note 4 2 2 2 7" xfId="12841" xr:uid="{00000000-0005-0000-0000-0000B1410000}"/>
    <cellStyle name="Note 4 2 2 2 8" xfId="16671" xr:uid="{00000000-0005-0000-0000-0000B2410000}"/>
    <cellStyle name="Note 4 2 2 2 9" xfId="20608" xr:uid="{00000000-0005-0000-0000-0000B3410000}"/>
    <cellStyle name="Note 4 2 2 20" xfId="8871" xr:uid="{00000000-0005-0000-0000-0000B4410000}"/>
    <cellStyle name="Note 4 2 2 21" xfId="8671" xr:uid="{00000000-0005-0000-0000-0000B5410000}"/>
    <cellStyle name="Note 4 2 2 22" xfId="8619" xr:uid="{00000000-0005-0000-0000-0000B6410000}"/>
    <cellStyle name="Note 4 2 2 23" xfId="14629" xr:uid="{00000000-0005-0000-0000-0000B7410000}"/>
    <cellStyle name="Note 4 2 2 24" xfId="8446" xr:uid="{00000000-0005-0000-0000-0000B8410000}"/>
    <cellStyle name="Note 4 2 2 25" xfId="14273" xr:uid="{00000000-0005-0000-0000-0000B9410000}"/>
    <cellStyle name="Note 4 2 2 26" xfId="31813" xr:uid="{00000000-0005-0000-0000-0000BA410000}"/>
    <cellStyle name="Note 4 2 2 27" xfId="21981" xr:uid="{00000000-0005-0000-0000-0000BB410000}"/>
    <cellStyle name="Note 4 2 2 28" xfId="39658" xr:uid="{00000000-0005-0000-0000-0000BC410000}"/>
    <cellStyle name="Note 4 2 2 29" xfId="39865" xr:uid="{00000000-0005-0000-0000-0000BD410000}"/>
    <cellStyle name="Note 4 2 2 3" xfId="634" xr:uid="{00000000-0005-0000-0000-0000BE410000}"/>
    <cellStyle name="Note 4 2 2 3 10" xfId="8642" xr:uid="{00000000-0005-0000-0000-0000BF410000}"/>
    <cellStyle name="Note 4 2 2 3 11" xfId="28261" xr:uid="{00000000-0005-0000-0000-0000C0410000}"/>
    <cellStyle name="Note 4 2 2 3 12" xfId="28791" xr:uid="{00000000-0005-0000-0000-0000C1410000}"/>
    <cellStyle name="Note 4 2 2 3 13" xfId="33366" xr:uid="{00000000-0005-0000-0000-0000C2410000}"/>
    <cellStyle name="Note 4 2 2 3 14" xfId="39729" xr:uid="{00000000-0005-0000-0000-0000C3410000}"/>
    <cellStyle name="Note 4 2 2 3 15" xfId="39555" xr:uid="{00000000-0005-0000-0000-0000C4410000}"/>
    <cellStyle name="Note 4 2 2 3 2" xfId="1014" xr:uid="{00000000-0005-0000-0000-0000C5410000}"/>
    <cellStyle name="Note 4 2 2 3 2 10" xfId="28625" xr:uid="{00000000-0005-0000-0000-0000C6410000}"/>
    <cellStyle name="Note 4 2 2 3 2 11" xfId="32313" xr:uid="{00000000-0005-0000-0000-0000C7410000}"/>
    <cellStyle name="Note 4 2 2 3 2 12" xfId="36072" xr:uid="{00000000-0005-0000-0000-0000C8410000}"/>
    <cellStyle name="Note 4 2 2 3 2 13" xfId="40077" xr:uid="{00000000-0005-0000-0000-0000C9410000}"/>
    <cellStyle name="Note 4 2 2 3 2 14" xfId="43898" xr:uid="{00000000-0005-0000-0000-0000CA410000}"/>
    <cellStyle name="Note 4 2 2 3 2 2" xfId="1743" xr:uid="{00000000-0005-0000-0000-0000CB410000}"/>
    <cellStyle name="Note 4 2 2 3 2 2 10" xfId="33030" xr:uid="{00000000-0005-0000-0000-0000CC410000}"/>
    <cellStyle name="Note 4 2 2 3 2 2 11" xfId="36800" xr:uid="{00000000-0005-0000-0000-0000CD410000}"/>
    <cellStyle name="Note 4 2 2 3 2 2 12" xfId="40791" xr:uid="{00000000-0005-0000-0000-0000CE410000}"/>
    <cellStyle name="Note 4 2 2 3 2 2 13" xfId="44622" xr:uid="{00000000-0005-0000-0000-0000CF410000}"/>
    <cellStyle name="Note 4 2 2 3 2 2 2" xfId="3733" xr:uid="{00000000-0005-0000-0000-0000D0410000}"/>
    <cellStyle name="Note 4 2 2 3 2 2 2 10" xfId="38784" xr:uid="{00000000-0005-0000-0000-0000D1410000}"/>
    <cellStyle name="Note 4 2 2 3 2 2 2 11" xfId="42795" xr:uid="{00000000-0005-0000-0000-0000D2410000}"/>
    <cellStyle name="Note 4 2 2 3 2 2 2 12" xfId="46560" xr:uid="{00000000-0005-0000-0000-0000D3410000}"/>
    <cellStyle name="Note 4 2 2 3 2 2 2 2" xfId="7600" xr:uid="{00000000-0005-0000-0000-0000D4410000}"/>
    <cellStyle name="Note 4 2 2 3 2 2 2 3" xfId="12035" xr:uid="{00000000-0005-0000-0000-0000D5410000}"/>
    <cellStyle name="Note 4 2 2 3 2 2 2 4" xfId="15880" xr:uid="{00000000-0005-0000-0000-0000D6410000}"/>
    <cellStyle name="Note 4 2 2 3 2 2 2 5" xfId="19727" xr:uid="{00000000-0005-0000-0000-0000D7410000}"/>
    <cellStyle name="Note 4 2 2 3 2 2 2 6" xfId="23643" xr:uid="{00000000-0005-0000-0000-0000D8410000}"/>
    <cellStyle name="Note 4 2 2 3 2 2 2 7" xfId="27477" xr:uid="{00000000-0005-0000-0000-0000D9410000}"/>
    <cellStyle name="Note 4 2 2 3 2 2 2 8" xfId="31341" xr:uid="{00000000-0005-0000-0000-0000DA410000}"/>
    <cellStyle name="Note 4 2 2 3 2 2 2 9" xfId="34998" xr:uid="{00000000-0005-0000-0000-0000DB410000}"/>
    <cellStyle name="Note 4 2 2 3 2 2 3" xfId="5676" xr:uid="{00000000-0005-0000-0000-0000DC410000}"/>
    <cellStyle name="Note 4 2 2 3 2 2 4" xfId="10034" xr:uid="{00000000-0005-0000-0000-0000DD410000}"/>
    <cellStyle name="Note 4 2 2 3 2 2 5" xfId="13880" xr:uid="{00000000-0005-0000-0000-0000DE410000}"/>
    <cellStyle name="Note 4 2 2 3 2 2 6" xfId="17709" xr:uid="{00000000-0005-0000-0000-0000DF410000}"/>
    <cellStyle name="Note 4 2 2 3 2 2 7" xfId="21648" xr:uid="{00000000-0005-0000-0000-0000E0410000}"/>
    <cellStyle name="Note 4 2 2 3 2 2 8" xfId="25461" xr:uid="{00000000-0005-0000-0000-0000E1410000}"/>
    <cellStyle name="Note 4 2 2 3 2 2 9" xfId="29348" xr:uid="{00000000-0005-0000-0000-0000E2410000}"/>
    <cellStyle name="Note 4 2 2 3 2 3" xfId="3004" xr:uid="{00000000-0005-0000-0000-0000E3410000}"/>
    <cellStyle name="Note 4 2 2 3 2 3 10" xfId="38056" xr:uid="{00000000-0005-0000-0000-0000E4410000}"/>
    <cellStyle name="Note 4 2 2 3 2 3 11" xfId="42068" xr:uid="{00000000-0005-0000-0000-0000E5410000}"/>
    <cellStyle name="Note 4 2 2 3 2 3 12" xfId="45843" xr:uid="{00000000-0005-0000-0000-0000E6410000}"/>
    <cellStyle name="Note 4 2 2 3 2 3 2" xfId="6882" xr:uid="{00000000-0005-0000-0000-0000E7410000}"/>
    <cellStyle name="Note 4 2 2 3 2 3 3" xfId="11310" xr:uid="{00000000-0005-0000-0000-0000E8410000}"/>
    <cellStyle name="Note 4 2 2 3 2 3 4" xfId="15155" xr:uid="{00000000-0005-0000-0000-0000E9410000}"/>
    <cellStyle name="Note 4 2 2 3 2 3 5" xfId="18998" xr:uid="{00000000-0005-0000-0000-0000EA410000}"/>
    <cellStyle name="Note 4 2 2 3 2 3 6" xfId="22922" xr:uid="{00000000-0005-0000-0000-0000EB410000}"/>
    <cellStyle name="Note 4 2 2 3 2 3 7" xfId="26749" xr:uid="{00000000-0005-0000-0000-0000EC410000}"/>
    <cellStyle name="Note 4 2 2 3 2 3 8" xfId="30623" xr:uid="{00000000-0005-0000-0000-0000ED410000}"/>
    <cellStyle name="Note 4 2 2 3 2 3 9" xfId="34281" xr:uid="{00000000-0005-0000-0000-0000EE410000}"/>
    <cellStyle name="Note 4 2 2 3 2 4" xfId="4958" xr:uid="{00000000-0005-0000-0000-0000EF410000}"/>
    <cellStyle name="Note 4 2 2 3 2 5" xfId="9313" xr:uid="{00000000-0005-0000-0000-0000F0410000}"/>
    <cellStyle name="Note 4 2 2 3 2 6" xfId="13154" xr:uid="{00000000-0005-0000-0000-0000F1410000}"/>
    <cellStyle name="Note 4 2 2 3 2 7" xfId="16980" xr:uid="{00000000-0005-0000-0000-0000F2410000}"/>
    <cellStyle name="Note 4 2 2 3 2 8" xfId="20922" xr:uid="{00000000-0005-0000-0000-0000F3410000}"/>
    <cellStyle name="Note 4 2 2 3 2 9" xfId="24737" xr:uid="{00000000-0005-0000-0000-0000F4410000}"/>
    <cellStyle name="Note 4 2 2 3 3" xfId="1390" xr:uid="{00000000-0005-0000-0000-0000F5410000}"/>
    <cellStyle name="Note 4 2 2 3 3 10" xfId="32677" xr:uid="{00000000-0005-0000-0000-0000F6410000}"/>
    <cellStyle name="Note 4 2 2 3 3 11" xfId="36447" xr:uid="{00000000-0005-0000-0000-0000F7410000}"/>
    <cellStyle name="Note 4 2 2 3 3 12" xfId="40438" xr:uid="{00000000-0005-0000-0000-0000F8410000}"/>
    <cellStyle name="Note 4 2 2 3 3 13" xfId="44269" xr:uid="{00000000-0005-0000-0000-0000F9410000}"/>
    <cellStyle name="Note 4 2 2 3 3 2" xfId="3380" xr:uid="{00000000-0005-0000-0000-0000FA410000}"/>
    <cellStyle name="Note 4 2 2 3 3 2 10" xfId="38431" xr:uid="{00000000-0005-0000-0000-0000FB410000}"/>
    <cellStyle name="Note 4 2 2 3 3 2 11" xfId="42442" xr:uid="{00000000-0005-0000-0000-0000FC410000}"/>
    <cellStyle name="Note 4 2 2 3 3 2 12" xfId="46207" xr:uid="{00000000-0005-0000-0000-0000FD410000}"/>
    <cellStyle name="Note 4 2 2 3 3 2 2" xfId="7247" xr:uid="{00000000-0005-0000-0000-0000FE410000}"/>
    <cellStyle name="Note 4 2 2 3 3 2 3" xfId="11682" xr:uid="{00000000-0005-0000-0000-0000FF410000}"/>
    <cellStyle name="Note 4 2 2 3 3 2 4" xfId="15527" xr:uid="{00000000-0005-0000-0000-000000420000}"/>
    <cellStyle name="Note 4 2 2 3 3 2 5" xfId="19374" xr:uid="{00000000-0005-0000-0000-000001420000}"/>
    <cellStyle name="Note 4 2 2 3 3 2 6" xfId="23290" xr:uid="{00000000-0005-0000-0000-000002420000}"/>
    <cellStyle name="Note 4 2 2 3 3 2 7" xfId="27124" xr:uid="{00000000-0005-0000-0000-000003420000}"/>
    <cellStyle name="Note 4 2 2 3 3 2 8" xfId="30992" xr:uid="{00000000-0005-0000-0000-000004420000}"/>
    <cellStyle name="Note 4 2 2 3 3 2 9" xfId="34645" xr:uid="{00000000-0005-0000-0000-000005420000}"/>
    <cellStyle name="Note 4 2 2 3 3 3" xfId="5323" xr:uid="{00000000-0005-0000-0000-000006420000}"/>
    <cellStyle name="Note 4 2 2 3 3 4" xfId="9681" xr:uid="{00000000-0005-0000-0000-000007420000}"/>
    <cellStyle name="Note 4 2 2 3 3 5" xfId="13527" xr:uid="{00000000-0005-0000-0000-000008420000}"/>
    <cellStyle name="Note 4 2 2 3 3 6" xfId="17356" xr:uid="{00000000-0005-0000-0000-000009420000}"/>
    <cellStyle name="Note 4 2 2 3 3 7" xfId="21295" xr:uid="{00000000-0005-0000-0000-00000A420000}"/>
    <cellStyle name="Note 4 2 2 3 3 8" xfId="25108" xr:uid="{00000000-0005-0000-0000-00000B420000}"/>
    <cellStyle name="Note 4 2 2 3 3 9" xfId="28995" xr:uid="{00000000-0005-0000-0000-00000C420000}"/>
    <cellStyle name="Note 4 2 2 3 4" xfId="2637" xr:uid="{00000000-0005-0000-0000-00000D420000}"/>
    <cellStyle name="Note 4 2 2 3 4 10" xfId="37689" xr:uid="{00000000-0005-0000-0000-00000E420000}"/>
    <cellStyle name="Note 4 2 2 3 4 11" xfId="41703" xr:uid="{00000000-0005-0000-0000-00000F420000}"/>
    <cellStyle name="Note 4 2 2 3 4 12" xfId="45490" xr:uid="{00000000-0005-0000-0000-000010420000}"/>
    <cellStyle name="Note 4 2 2 3 4 2" xfId="6527" xr:uid="{00000000-0005-0000-0000-000011420000}"/>
    <cellStyle name="Note 4 2 2 3 4 3" xfId="10951" xr:uid="{00000000-0005-0000-0000-000012420000}"/>
    <cellStyle name="Note 4 2 2 3 4 4" xfId="14795" xr:uid="{00000000-0005-0000-0000-000013420000}"/>
    <cellStyle name="Note 4 2 2 3 4 5" xfId="18631" xr:uid="{00000000-0005-0000-0000-000014420000}"/>
    <cellStyle name="Note 4 2 2 3 4 6" xfId="22564" xr:uid="{00000000-0005-0000-0000-000015420000}"/>
    <cellStyle name="Note 4 2 2 3 4 7" xfId="26382" xr:uid="{00000000-0005-0000-0000-000016420000}"/>
    <cellStyle name="Note 4 2 2 3 4 8" xfId="30261" xr:uid="{00000000-0005-0000-0000-000017420000}"/>
    <cellStyle name="Note 4 2 2 3 4 9" xfId="33928" xr:uid="{00000000-0005-0000-0000-000018420000}"/>
    <cellStyle name="Note 4 2 2 3 5" xfId="4603" xr:uid="{00000000-0005-0000-0000-000019420000}"/>
    <cellStyle name="Note 4 2 2 3 6" xfId="8943" xr:uid="{00000000-0005-0000-0000-00001A420000}"/>
    <cellStyle name="Note 4 2 2 3 7" xfId="10383" xr:uid="{00000000-0005-0000-0000-00001B420000}"/>
    <cellStyle name="Note 4 2 2 3 8" xfId="14227" xr:uid="{00000000-0005-0000-0000-00001C420000}"/>
    <cellStyle name="Note 4 2 2 3 9" xfId="20547" xr:uid="{00000000-0005-0000-0000-00001D420000}"/>
    <cellStyle name="Note 4 2 2 30" xfId="47372" xr:uid="{00000000-0005-0000-0000-00001E420000}"/>
    <cellStyle name="Note 4 2 2 31" xfId="47458" xr:uid="{00000000-0005-0000-0000-00001F420000}"/>
    <cellStyle name="Note 4 2 2 32" xfId="47507" xr:uid="{00000000-0005-0000-0000-000020420000}"/>
    <cellStyle name="Note 4 2 2 4" xfId="803" xr:uid="{00000000-0005-0000-0000-000021420000}"/>
    <cellStyle name="Note 4 2 2 4 10" xfId="24527" xr:uid="{00000000-0005-0000-0000-000022420000}"/>
    <cellStyle name="Note 4 2 2 4 11" xfId="28418" xr:uid="{00000000-0005-0000-0000-000023420000}"/>
    <cellStyle name="Note 4 2 2 4 12" xfId="32104" xr:uid="{00000000-0005-0000-0000-000024420000}"/>
    <cellStyle name="Note 4 2 2 4 13" xfId="35861" xr:uid="{00000000-0005-0000-0000-000025420000}"/>
    <cellStyle name="Note 4 2 2 4 14" xfId="39872" xr:uid="{00000000-0005-0000-0000-000026420000}"/>
    <cellStyle name="Note 4 2 2 4 15" xfId="43687" xr:uid="{00000000-0005-0000-0000-000027420000}"/>
    <cellStyle name="Note 4 2 2 4 2" xfId="1165" xr:uid="{00000000-0005-0000-0000-000028420000}"/>
    <cellStyle name="Note 4 2 2 4 2 10" xfId="28774" xr:uid="{00000000-0005-0000-0000-000029420000}"/>
    <cellStyle name="Note 4 2 2 4 2 11" xfId="32457" xr:uid="{00000000-0005-0000-0000-00002A420000}"/>
    <cellStyle name="Note 4 2 2 4 2 12" xfId="36223" xr:uid="{00000000-0005-0000-0000-00002B420000}"/>
    <cellStyle name="Note 4 2 2 4 2 13" xfId="40218" xr:uid="{00000000-0005-0000-0000-00002C420000}"/>
    <cellStyle name="Note 4 2 2 4 2 14" xfId="44049" xr:uid="{00000000-0005-0000-0000-00002D420000}"/>
    <cellStyle name="Note 4 2 2 4 2 2" xfId="1887" xr:uid="{00000000-0005-0000-0000-00002E420000}"/>
    <cellStyle name="Note 4 2 2 4 2 2 10" xfId="33174" xr:uid="{00000000-0005-0000-0000-00002F420000}"/>
    <cellStyle name="Note 4 2 2 4 2 2 11" xfId="36944" xr:uid="{00000000-0005-0000-0000-000030420000}"/>
    <cellStyle name="Note 4 2 2 4 2 2 12" xfId="40935" xr:uid="{00000000-0005-0000-0000-000031420000}"/>
    <cellStyle name="Note 4 2 2 4 2 2 13" xfId="44766" xr:uid="{00000000-0005-0000-0000-000032420000}"/>
    <cellStyle name="Note 4 2 2 4 2 2 2" xfId="3877" xr:uid="{00000000-0005-0000-0000-000033420000}"/>
    <cellStyle name="Note 4 2 2 4 2 2 2 10" xfId="38928" xr:uid="{00000000-0005-0000-0000-000034420000}"/>
    <cellStyle name="Note 4 2 2 4 2 2 2 11" xfId="42939" xr:uid="{00000000-0005-0000-0000-000035420000}"/>
    <cellStyle name="Note 4 2 2 4 2 2 2 12" xfId="46704" xr:uid="{00000000-0005-0000-0000-000036420000}"/>
    <cellStyle name="Note 4 2 2 4 2 2 2 2" xfId="7744" xr:uid="{00000000-0005-0000-0000-000037420000}"/>
    <cellStyle name="Note 4 2 2 4 2 2 2 3" xfId="12179" xr:uid="{00000000-0005-0000-0000-000038420000}"/>
    <cellStyle name="Note 4 2 2 4 2 2 2 4" xfId="16024" xr:uid="{00000000-0005-0000-0000-000039420000}"/>
    <cellStyle name="Note 4 2 2 4 2 2 2 5" xfId="19871" xr:uid="{00000000-0005-0000-0000-00003A420000}"/>
    <cellStyle name="Note 4 2 2 4 2 2 2 6" xfId="23787" xr:uid="{00000000-0005-0000-0000-00003B420000}"/>
    <cellStyle name="Note 4 2 2 4 2 2 2 7" xfId="27621" xr:uid="{00000000-0005-0000-0000-00003C420000}"/>
    <cellStyle name="Note 4 2 2 4 2 2 2 8" xfId="31484" xr:uid="{00000000-0005-0000-0000-00003D420000}"/>
    <cellStyle name="Note 4 2 2 4 2 2 2 9" xfId="35142" xr:uid="{00000000-0005-0000-0000-00003E420000}"/>
    <cellStyle name="Note 4 2 2 4 2 2 3" xfId="5820" xr:uid="{00000000-0005-0000-0000-00003F420000}"/>
    <cellStyle name="Note 4 2 2 4 2 2 4" xfId="10178" xr:uid="{00000000-0005-0000-0000-000040420000}"/>
    <cellStyle name="Note 4 2 2 4 2 2 5" xfId="14024" xr:uid="{00000000-0005-0000-0000-000041420000}"/>
    <cellStyle name="Note 4 2 2 4 2 2 6" xfId="17853" xr:uid="{00000000-0005-0000-0000-000042420000}"/>
    <cellStyle name="Note 4 2 2 4 2 2 7" xfId="21792" xr:uid="{00000000-0005-0000-0000-000043420000}"/>
    <cellStyle name="Note 4 2 2 4 2 2 8" xfId="25605" xr:uid="{00000000-0005-0000-0000-000044420000}"/>
    <cellStyle name="Note 4 2 2 4 2 2 9" xfId="29492" xr:uid="{00000000-0005-0000-0000-000045420000}"/>
    <cellStyle name="Note 4 2 2 4 2 3" xfId="3155" xr:uid="{00000000-0005-0000-0000-000046420000}"/>
    <cellStyle name="Note 4 2 2 4 2 3 10" xfId="38207" xr:uid="{00000000-0005-0000-0000-000047420000}"/>
    <cellStyle name="Note 4 2 2 4 2 3 11" xfId="42218" xr:uid="{00000000-0005-0000-0000-000048420000}"/>
    <cellStyle name="Note 4 2 2 4 2 3 12" xfId="45987" xr:uid="{00000000-0005-0000-0000-000049420000}"/>
    <cellStyle name="Note 4 2 2 4 2 3 2" xfId="7027" xr:uid="{00000000-0005-0000-0000-00004A420000}"/>
    <cellStyle name="Note 4 2 2 4 2 3 3" xfId="11459" xr:uid="{00000000-0005-0000-0000-00004B420000}"/>
    <cellStyle name="Note 4 2 2 4 2 3 4" xfId="15303" xr:uid="{00000000-0005-0000-0000-00004C420000}"/>
    <cellStyle name="Note 4 2 2 4 2 3 5" xfId="19149" xr:uid="{00000000-0005-0000-0000-00004D420000}"/>
    <cellStyle name="Note 4 2 2 4 2 3 6" xfId="23068" xr:uid="{00000000-0005-0000-0000-00004E420000}"/>
    <cellStyle name="Note 4 2 2 4 2 3 7" xfId="26900" xr:uid="{00000000-0005-0000-0000-00004F420000}"/>
    <cellStyle name="Note 4 2 2 4 2 3 8" xfId="30772" xr:uid="{00000000-0005-0000-0000-000050420000}"/>
    <cellStyle name="Note 4 2 2 4 2 3 9" xfId="34425" xr:uid="{00000000-0005-0000-0000-000051420000}"/>
    <cellStyle name="Note 4 2 2 4 2 4" xfId="5103" xr:uid="{00000000-0005-0000-0000-000052420000}"/>
    <cellStyle name="Note 4 2 2 4 2 5" xfId="9459" xr:uid="{00000000-0005-0000-0000-000053420000}"/>
    <cellStyle name="Note 4 2 2 4 2 6" xfId="13303" xr:uid="{00000000-0005-0000-0000-000054420000}"/>
    <cellStyle name="Note 4 2 2 4 2 7" xfId="17131" xr:uid="{00000000-0005-0000-0000-000055420000}"/>
    <cellStyle name="Note 4 2 2 4 2 8" xfId="21073" xr:uid="{00000000-0005-0000-0000-000056420000}"/>
    <cellStyle name="Note 4 2 2 4 2 9" xfId="24884" xr:uid="{00000000-0005-0000-0000-000057420000}"/>
    <cellStyle name="Note 4 2 2 4 3" xfId="1534" xr:uid="{00000000-0005-0000-0000-000058420000}"/>
    <cellStyle name="Note 4 2 2 4 3 10" xfId="32821" xr:uid="{00000000-0005-0000-0000-000059420000}"/>
    <cellStyle name="Note 4 2 2 4 3 11" xfId="36591" xr:uid="{00000000-0005-0000-0000-00005A420000}"/>
    <cellStyle name="Note 4 2 2 4 3 12" xfId="40582" xr:uid="{00000000-0005-0000-0000-00005B420000}"/>
    <cellStyle name="Note 4 2 2 4 3 13" xfId="44413" xr:uid="{00000000-0005-0000-0000-00005C420000}"/>
    <cellStyle name="Note 4 2 2 4 3 2" xfId="3524" xr:uid="{00000000-0005-0000-0000-00005D420000}"/>
    <cellStyle name="Note 4 2 2 4 3 2 10" xfId="38575" xr:uid="{00000000-0005-0000-0000-00005E420000}"/>
    <cellStyle name="Note 4 2 2 4 3 2 11" xfId="42586" xr:uid="{00000000-0005-0000-0000-00005F420000}"/>
    <cellStyle name="Note 4 2 2 4 3 2 12" xfId="46351" xr:uid="{00000000-0005-0000-0000-000060420000}"/>
    <cellStyle name="Note 4 2 2 4 3 2 2" xfId="7391" xr:uid="{00000000-0005-0000-0000-000061420000}"/>
    <cellStyle name="Note 4 2 2 4 3 2 3" xfId="11826" xr:uid="{00000000-0005-0000-0000-000062420000}"/>
    <cellStyle name="Note 4 2 2 4 3 2 4" xfId="15671" xr:uid="{00000000-0005-0000-0000-000063420000}"/>
    <cellStyle name="Note 4 2 2 4 3 2 5" xfId="19518" xr:uid="{00000000-0005-0000-0000-000064420000}"/>
    <cellStyle name="Note 4 2 2 4 3 2 6" xfId="23434" xr:uid="{00000000-0005-0000-0000-000065420000}"/>
    <cellStyle name="Note 4 2 2 4 3 2 7" xfId="27268" xr:uid="{00000000-0005-0000-0000-000066420000}"/>
    <cellStyle name="Note 4 2 2 4 3 2 8" xfId="31135" xr:uid="{00000000-0005-0000-0000-000067420000}"/>
    <cellStyle name="Note 4 2 2 4 3 2 9" xfId="34789" xr:uid="{00000000-0005-0000-0000-000068420000}"/>
    <cellStyle name="Note 4 2 2 4 3 3" xfId="5467" xr:uid="{00000000-0005-0000-0000-000069420000}"/>
    <cellStyle name="Note 4 2 2 4 3 4" xfId="9825" xr:uid="{00000000-0005-0000-0000-00006A420000}"/>
    <cellStyle name="Note 4 2 2 4 3 5" xfId="13671" xr:uid="{00000000-0005-0000-0000-00006B420000}"/>
    <cellStyle name="Note 4 2 2 4 3 6" xfId="17500" xr:uid="{00000000-0005-0000-0000-00006C420000}"/>
    <cellStyle name="Note 4 2 2 4 3 7" xfId="21439" xr:uid="{00000000-0005-0000-0000-00006D420000}"/>
    <cellStyle name="Note 4 2 2 4 3 8" xfId="25252" xr:uid="{00000000-0005-0000-0000-00006E420000}"/>
    <cellStyle name="Note 4 2 2 4 3 9" xfId="29139" xr:uid="{00000000-0005-0000-0000-00006F420000}"/>
    <cellStyle name="Note 4 2 2 4 4" xfId="2793" xr:uid="{00000000-0005-0000-0000-000070420000}"/>
    <cellStyle name="Note 4 2 2 4 4 10" xfId="37845" xr:uid="{00000000-0005-0000-0000-000071420000}"/>
    <cellStyle name="Note 4 2 2 4 4 11" xfId="41857" xr:uid="{00000000-0005-0000-0000-000072420000}"/>
    <cellStyle name="Note 4 2 2 4 4 12" xfId="45634" xr:uid="{00000000-0005-0000-0000-000073420000}"/>
    <cellStyle name="Note 4 2 2 4 4 2" xfId="6673" xr:uid="{00000000-0005-0000-0000-000074420000}"/>
    <cellStyle name="Note 4 2 2 4 4 3" xfId="11100" xr:uid="{00000000-0005-0000-0000-000075420000}"/>
    <cellStyle name="Note 4 2 2 4 4 4" xfId="14945" xr:uid="{00000000-0005-0000-0000-000076420000}"/>
    <cellStyle name="Note 4 2 2 4 4 5" xfId="18787" xr:uid="{00000000-0005-0000-0000-000077420000}"/>
    <cellStyle name="Note 4 2 2 4 4 6" xfId="22713" xr:uid="{00000000-0005-0000-0000-000078420000}"/>
    <cellStyle name="Note 4 2 2 4 4 7" xfId="26538" xr:uid="{00000000-0005-0000-0000-000079420000}"/>
    <cellStyle name="Note 4 2 2 4 4 8" xfId="30416" xr:uid="{00000000-0005-0000-0000-00007A420000}"/>
    <cellStyle name="Note 4 2 2 4 4 9" xfId="34072" xr:uid="{00000000-0005-0000-0000-00007B420000}"/>
    <cellStyle name="Note 4 2 2 4 5" xfId="4749" xr:uid="{00000000-0005-0000-0000-00007C420000}"/>
    <cellStyle name="Note 4 2 2 4 6" xfId="9103" xr:uid="{00000000-0005-0000-0000-00007D420000}"/>
    <cellStyle name="Note 4 2 2 4 7" xfId="12944" xr:uid="{00000000-0005-0000-0000-00007E420000}"/>
    <cellStyle name="Note 4 2 2 4 8" xfId="16769" xr:uid="{00000000-0005-0000-0000-00007F420000}"/>
    <cellStyle name="Note 4 2 2 4 9" xfId="20711" xr:uid="{00000000-0005-0000-0000-000080420000}"/>
    <cellStyle name="Note 4 2 2 5" xfId="895" xr:uid="{00000000-0005-0000-0000-000081420000}"/>
    <cellStyle name="Note 4 2 2 5 10" xfId="24619" xr:uid="{00000000-0005-0000-0000-000082420000}"/>
    <cellStyle name="Note 4 2 2 5 11" xfId="28509" xr:uid="{00000000-0005-0000-0000-000083420000}"/>
    <cellStyle name="Note 4 2 2 5 12" xfId="32196" xr:uid="{00000000-0005-0000-0000-000084420000}"/>
    <cellStyle name="Note 4 2 2 5 13" xfId="35953" xr:uid="{00000000-0005-0000-0000-000085420000}"/>
    <cellStyle name="Note 4 2 2 5 14" xfId="39963" xr:uid="{00000000-0005-0000-0000-000086420000}"/>
    <cellStyle name="Note 4 2 2 5 15" xfId="43779" xr:uid="{00000000-0005-0000-0000-000087420000}"/>
    <cellStyle name="Note 4 2 2 5 2" xfId="1232" xr:uid="{00000000-0005-0000-0000-000088420000}"/>
    <cellStyle name="Note 4 2 2 5 2 10" xfId="28840" xr:uid="{00000000-0005-0000-0000-000089420000}"/>
    <cellStyle name="Note 4 2 2 5 2 11" xfId="32524" xr:uid="{00000000-0005-0000-0000-00008A420000}"/>
    <cellStyle name="Note 4 2 2 5 2 12" xfId="36290" xr:uid="{00000000-0005-0000-0000-00008B420000}"/>
    <cellStyle name="Note 4 2 2 5 2 13" xfId="40283" xr:uid="{00000000-0005-0000-0000-00008C420000}"/>
    <cellStyle name="Note 4 2 2 5 2 14" xfId="44116" xr:uid="{00000000-0005-0000-0000-00008D420000}"/>
    <cellStyle name="Note 4 2 2 5 2 2" xfId="1954" xr:uid="{00000000-0005-0000-0000-00008E420000}"/>
    <cellStyle name="Note 4 2 2 5 2 2 10" xfId="33241" xr:uid="{00000000-0005-0000-0000-00008F420000}"/>
    <cellStyle name="Note 4 2 2 5 2 2 11" xfId="37011" xr:uid="{00000000-0005-0000-0000-000090420000}"/>
    <cellStyle name="Note 4 2 2 5 2 2 12" xfId="41002" xr:uid="{00000000-0005-0000-0000-000091420000}"/>
    <cellStyle name="Note 4 2 2 5 2 2 13" xfId="44833" xr:uid="{00000000-0005-0000-0000-000092420000}"/>
    <cellStyle name="Note 4 2 2 5 2 2 2" xfId="3944" xr:uid="{00000000-0005-0000-0000-000093420000}"/>
    <cellStyle name="Note 4 2 2 5 2 2 2 10" xfId="38995" xr:uid="{00000000-0005-0000-0000-000094420000}"/>
    <cellStyle name="Note 4 2 2 5 2 2 2 11" xfId="43006" xr:uid="{00000000-0005-0000-0000-000095420000}"/>
    <cellStyle name="Note 4 2 2 5 2 2 2 12" xfId="46771" xr:uid="{00000000-0005-0000-0000-000096420000}"/>
    <cellStyle name="Note 4 2 2 5 2 2 2 2" xfId="7811" xr:uid="{00000000-0005-0000-0000-000097420000}"/>
    <cellStyle name="Note 4 2 2 5 2 2 2 3" xfId="12246" xr:uid="{00000000-0005-0000-0000-000098420000}"/>
    <cellStyle name="Note 4 2 2 5 2 2 2 4" xfId="16091" xr:uid="{00000000-0005-0000-0000-000099420000}"/>
    <cellStyle name="Note 4 2 2 5 2 2 2 5" xfId="19938" xr:uid="{00000000-0005-0000-0000-00009A420000}"/>
    <cellStyle name="Note 4 2 2 5 2 2 2 6" xfId="23854" xr:uid="{00000000-0005-0000-0000-00009B420000}"/>
    <cellStyle name="Note 4 2 2 5 2 2 2 7" xfId="27688" xr:uid="{00000000-0005-0000-0000-00009C420000}"/>
    <cellStyle name="Note 4 2 2 5 2 2 2 8" xfId="31549" xr:uid="{00000000-0005-0000-0000-00009D420000}"/>
    <cellStyle name="Note 4 2 2 5 2 2 2 9" xfId="35209" xr:uid="{00000000-0005-0000-0000-00009E420000}"/>
    <cellStyle name="Note 4 2 2 5 2 2 3" xfId="5887" xr:uid="{00000000-0005-0000-0000-00009F420000}"/>
    <cellStyle name="Note 4 2 2 5 2 2 4" xfId="10245" xr:uid="{00000000-0005-0000-0000-0000A0420000}"/>
    <cellStyle name="Note 4 2 2 5 2 2 5" xfId="14091" xr:uid="{00000000-0005-0000-0000-0000A1420000}"/>
    <cellStyle name="Note 4 2 2 5 2 2 6" xfId="17920" xr:uid="{00000000-0005-0000-0000-0000A2420000}"/>
    <cellStyle name="Note 4 2 2 5 2 2 7" xfId="21859" xr:uid="{00000000-0005-0000-0000-0000A3420000}"/>
    <cellStyle name="Note 4 2 2 5 2 2 8" xfId="25672" xr:uid="{00000000-0005-0000-0000-0000A4420000}"/>
    <cellStyle name="Note 4 2 2 5 2 2 9" xfId="29559" xr:uid="{00000000-0005-0000-0000-0000A5420000}"/>
    <cellStyle name="Note 4 2 2 5 2 3" xfId="3222" xr:uid="{00000000-0005-0000-0000-0000A6420000}"/>
    <cellStyle name="Note 4 2 2 5 2 3 10" xfId="38274" xr:uid="{00000000-0005-0000-0000-0000A7420000}"/>
    <cellStyle name="Note 4 2 2 5 2 3 11" xfId="42285" xr:uid="{00000000-0005-0000-0000-0000A8420000}"/>
    <cellStyle name="Note 4 2 2 5 2 3 12" xfId="46054" xr:uid="{00000000-0005-0000-0000-0000A9420000}"/>
    <cellStyle name="Note 4 2 2 5 2 3 2" xfId="7094" xr:uid="{00000000-0005-0000-0000-0000AA420000}"/>
    <cellStyle name="Note 4 2 2 5 2 3 3" xfId="11526" xr:uid="{00000000-0005-0000-0000-0000AB420000}"/>
    <cellStyle name="Note 4 2 2 5 2 3 4" xfId="15370" xr:uid="{00000000-0005-0000-0000-0000AC420000}"/>
    <cellStyle name="Note 4 2 2 5 2 3 5" xfId="19216" xr:uid="{00000000-0005-0000-0000-0000AD420000}"/>
    <cellStyle name="Note 4 2 2 5 2 3 6" xfId="23135" xr:uid="{00000000-0005-0000-0000-0000AE420000}"/>
    <cellStyle name="Note 4 2 2 5 2 3 7" xfId="26967" xr:uid="{00000000-0005-0000-0000-0000AF420000}"/>
    <cellStyle name="Note 4 2 2 5 2 3 8" xfId="30837" xr:uid="{00000000-0005-0000-0000-0000B0420000}"/>
    <cellStyle name="Note 4 2 2 5 2 3 9" xfId="34492" xr:uid="{00000000-0005-0000-0000-0000B1420000}"/>
    <cellStyle name="Note 4 2 2 5 2 4" xfId="5170" xr:uid="{00000000-0005-0000-0000-0000B2420000}"/>
    <cellStyle name="Note 4 2 2 5 2 5" xfId="9526" xr:uid="{00000000-0005-0000-0000-0000B3420000}"/>
    <cellStyle name="Note 4 2 2 5 2 6" xfId="13370" xr:uid="{00000000-0005-0000-0000-0000B4420000}"/>
    <cellStyle name="Note 4 2 2 5 2 7" xfId="17198" xr:uid="{00000000-0005-0000-0000-0000B5420000}"/>
    <cellStyle name="Note 4 2 2 5 2 8" xfId="21140" xr:uid="{00000000-0005-0000-0000-0000B6420000}"/>
    <cellStyle name="Note 4 2 2 5 2 9" xfId="24951" xr:uid="{00000000-0005-0000-0000-0000B7420000}"/>
    <cellStyle name="Note 4 2 2 5 3" xfId="1626" xr:uid="{00000000-0005-0000-0000-0000B8420000}"/>
    <cellStyle name="Note 4 2 2 5 3 10" xfId="32913" xr:uid="{00000000-0005-0000-0000-0000B9420000}"/>
    <cellStyle name="Note 4 2 2 5 3 11" xfId="36683" xr:uid="{00000000-0005-0000-0000-0000BA420000}"/>
    <cellStyle name="Note 4 2 2 5 3 12" xfId="40674" xr:uid="{00000000-0005-0000-0000-0000BB420000}"/>
    <cellStyle name="Note 4 2 2 5 3 13" xfId="44505" xr:uid="{00000000-0005-0000-0000-0000BC420000}"/>
    <cellStyle name="Note 4 2 2 5 3 2" xfId="3616" xr:uid="{00000000-0005-0000-0000-0000BD420000}"/>
    <cellStyle name="Note 4 2 2 5 3 2 10" xfId="38667" xr:uid="{00000000-0005-0000-0000-0000BE420000}"/>
    <cellStyle name="Note 4 2 2 5 3 2 11" xfId="42678" xr:uid="{00000000-0005-0000-0000-0000BF420000}"/>
    <cellStyle name="Note 4 2 2 5 3 2 12" xfId="46443" xr:uid="{00000000-0005-0000-0000-0000C0420000}"/>
    <cellStyle name="Note 4 2 2 5 3 2 2" xfId="7483" xr:uid="{00000000-0005-0000-0000-0000C1420000}"/>
    <cellStyle name="Note 4 2 2 5 3 2 3" xfId="11918" xr:uid="{00000000-0005-0000-0000-0000C2420000}"/>
    <cellStyle name="Note 4 2 2 5 3 2 4" xfId="15763" xr:uid="{00000000-0005-0000-0000-0000C3420000}"/>
    <cellStyle name="Note 4 2 2 5 3 2 5" xfId="19610" xr:uid="{00000000-0005-0000-0000-0000C4420000}"/>
    <cellStyle name="Note 4 2 2 5 3 2 6" xfId="23526" xr:uid="{00000000-0005-0000-0000-0000C5420000}"/>
    <cellStyle name="Note 4 2 2 5 3 2 7" xfId="27360" xr:uid="{00000000-0005-0000-0000-0000C6420000}"/>
    <cellStyle name="Note 4 2 2 5 3 2 8" xfId="31225" xr:uid="{00000000-0005-0000-0000-0000C7420000}"/>
    <cellStyle name="Note 4 2 2 5 3 2 9" xfId="34881" xr:uid="{00000000-0005-0000-0000-0000C8420000}"/>
    <cellStyle name="Note 4 2 2 5 3 3" xfId="5559" xr:uid="{00000000-0005-0000-0000-0000C9420000}"/>
    <cellStyle name="Note 4 2 2 5 3 4" xfId="9917" xr:uid="{00000000-0005-0000-0000-0000CA420000}"/>
    <cellStyle name="Note 4 2 2 5 3 5" xfId="13763" xr:uid="{00000000-0005-0000-0000-0000CB420000}"/>
    <cellStyle name="Note 4 2 2 5 3 6" xfId="17592" xr:uid="{00000000-0005-0000-0000-0000CC420000}"/>
    <cellStyle name="Note 4 2 2 5 3 7" xfId="21531" xr:uid="{00000000-0005-0000-0000-0000CD420000}"/>
    <cellStyle name="Note 4 2 2 5 3 8" xfId="25344" xr:uid="{00000000-0005-0000-0000-0000CE420000}"/>
    <cellStyle name="Note 4 2 2 5 3 9" xfId="29231" xr:uid="{00000000-0005-0000-0000-0000CF420000}"/>
    <cellStyle name="Note 4 2 2 5 4" xfId="2885" xr:uid="{00000000-0005-0000-0000-0000D0420000}"/>
    <cellStyle name="Note 4 2 2 5 4 10" xfId="37937" xr:uid="{00000000-0005-0000-0000-0000D1420000}"/>
    <cellStyle name="Note 4 2 2 5 4 11" xfId="41949" xr:uid="{00000000-0005-0000-0000-0000D2420000}"/>
    <cellStyle name="Note 4 2 2 5 4 12" xfId="45726" xr:uid="{00000000-0005-0000-0000-0000D3420000}"/>
    <cellStyle name="Note 4 2 2 5 4 2" xfId="6765" xr:uid="{00000000-0005-0000-0000-0000D4420000}"/>
    <cellStyle name="Note 4 2 2 5 4 3" xfId="11192" xr:uid="{00000000-0005-0000-0000-0000D5420000}"/>
    <cellStyle name="Note 4 2 2 5 4 4" xfId="15037" xr:uid="{00000000-0005-0000-0000-0000D6420000}"/>
    <cellStyle name="Note 4 2 2 5 4 5" xfId="18879" xr:uid="{00000000-0005-0000-0000-0000D7420000}"/>
    <cellStyle name="Note 4 2 2 5 4 6" xfId="22805" xr:uid="{00000000-0005-0000-0000-0000D8420000}"/>
    <cellStyle name="Note 4 2 2 5 4 7" xfId="26630" xr:uid="{00000000-0005-0000-0000-0000D9420000}"/>
    <cellStyle name="Note 4 2 2 5 4 8" xfId="30506" xr:uid="{00000000-0005-0000-0000-0000DA420000}"/>
    <cellStyle name="Note 4 2 2 5 4 9" xfId="34164" xr:uid="{00000000-0005-0000-0000-0000DB420000}"/>
    <cellStyle name="Note 4 2 2 5 5" xfId="4841" xr:uid="{00000000-0005-0000-0000-0000DC420000}"/>
    <cellStyle name="Note 4 2 2 5 6" xfId="9195" xr:uid="{00000000-0005-0000-0000-0000DD420000}"/>
    <cellStyle name="Note 4 2 2 5 7" xfId="13036" xr:uid="{00000000-0005-0000-0000-0000DE420000}"/>
    <cellStyle name="Note 4 2 2 5 8" xfId="16861" xr:uid="{00000000-0005-0000-0000-0000DF420000}"/>
    <cellStyle name="Note 4 2 2 5 9" xfId="20803" xr:uid="{00000000-0005-0000-0000-0000E0420000}"/>
    <cellStyle name="Note 4 2 2 6" xfId="941" xr:uid="{00000000-0005-0000-0000-0000E1420000}"/>
    <cellStyle name="Note 4 2 2 6 10" xfId="28553" xr:uid="{00000000-0005-0000-0000-0000E2420000}"/>
    <cellStyle name="Note 4 2 2 6 11" xfId="32242" xr:uid="{00000000-0005-0000-0000-0000E3420000}"/>
    <cellStyle name="Note 4 2 2 6 12" xfId="35999" xr:uid="{00000000-0005-0000-0000-0000E4420000}"/>
    <cellStyle name="Note 4 2 2 6 13" xfId="40007" xr:uid="{00000000-0005-0000-0000-0000E5420000}"/>
    <cellStyle name="Note 4 2 2 6 14" xfId="43825" xr:uid="{00000000-0005-0000-0000-0000E6420000}"/>
    <cellStyle name="Note 4 2 2 6 2" xfId="1672" xr:uid="{00000000-0005-0000-0000-0000E7420000}"/>
    <cellStyle name="Note 4 2 2 6 2 10" xfId="32959" xr:uid="{00000000-0005-0000-0000-0000E8420000}"/>
    <cellStyle name="Note 4 2 2 6 2 11" xfId="36729" xr:uid="{00000000-0005-0000-0000-0000E9420000}"/>
    <cellStyle name="Note 4 2 2 6 2 12" xfId="40720" xr:uid="{00000000-0005-0000-0000-0000EA420000}"/>
    <cellStyle name="Note 4 2 2 6 2 13" xfId="44551" xr:uid="{00000000-0005-0000-0000-0000EB420000}"/>
    <cellStyle name="Note 4 2 2 6 2 2" xfId="3662" xr:uid="{00000000-0005-0000-0000-0000EC420000}"/>
    <cellStyle name="Note 4 2 2 6 2 2 10" xfId="38713" xr:uid="{00000000-0005-0000-0000-0000ED420000}"/>
    <cellStyle name="Note 4 2 2 6 2 2 11" xfId="42724" xr:uid="{00000000-0005-0000-0000-0000EE420000}"/>
    <cellStyle name="Note 4 2 2 6 2 2 12" xfId="46489" xr:uid="{00000000-0005-0000-0000-0000EF420000}"/>
    <cellStyle name="Note 4 2 2 6 2 2 2" xfId="7529" xr:uid="{00000000-0005-0000-0000-0000F0420000}"/>
    <cellStyle name="Note 4 2 2 6 2 2 3" xfId="11964" xr:uid="{00000000-0005-0000-0000-0000F1420000}"/>
    <cellStyle name="Note 4 2 2 6 2 2 4" xfId="15809" xr:uid="{00000000-0005-0000-0000-0000F2420000}"/>
    <cellStyle name="Note 4 2 2 6 2 2 5" xfId="19656" xr:uid="{00000000-0005-0000-0000-0000F3420000}"/>
    <cellStyle name="Note 4 2 2 6 2 2 6" xfId="23572" xr:uid="{00000000-0005-0000-0000-0000F4420000}"/>
    <cellStyle name="Note 4 2 2 6 2 2 7" xfId="27406" xr:uid="{00000000-0005-0000-0000-0000F5420000}"/>
    <cellStyle name="Note 4 2 2 6 2 2 8" xfId="31270" xr:uid="{00000000-0005-0000-0000-0000F6420000}"/>
    <cellStyle name="Note 4 2 2 6 2 2 9" xfId="34927" xr:uid="{00000000-0005-0000-0000-0000F7420000}"/>
    <cellStyle name="Note 4 2 2 6 2 3" xfId="5605" xr:uid="{00000000-0005-0000-0000-0000F8420000}"/>
    <cellStyle name="Note 4 2 2 6 2 4" xfId="9963" xr:uid="{00000000-0005-0000-0000-0000F9420000}"/>
    <cellStyle name="Note 4 2 2 6 2 5" xfId="13809" xr:uid="{00000000-0005-0000-0000-0000FA420000}"/>
    <cellStyle name="Note 4 2 2 6 2 6" xfId="17638" xr:uid="{00000000-0005-0000-0000-0000FB420000}"/>
    <cellStyle name="Note 4 2 2 6 2 7" xfId="21577" xr:uid="{00000000-0005-0000-0000-0000FC420000}"/>
    <cellStyle name="Note 4 2 2 6 2 8" xfId="25390" xr:uid="{00000000-0005-0000-0000-0000FD420000}"/>
    <cellStyle name="Note 4 2 2 6 2 9" xfId="29277" xr:uid="{00000000-0005-0000-0000-0000FE420000}"/>
    <cellStyle name="Note 4 2 2 6 3" xfId="2931" xr:uid="{00000000-0005-0000-0000-0000FF420000}"/>
    <cellStyle name="Note 4 2 2 6 3 10" xfId="37983" xr:uid="{00000000-0005-0000-0000-000000430000}"/>
    <cellStyle name="Note 4 2 2 6 3 11" xfId="41995" xr:uid="{00000000-0005-0000-0000-000001430000}"/>
    <cellStyle name="Note 4 2 2 6 3 12" xfId="45772" xr:uid="{00000000-0005-0000-0000-000002430000}"/>
    <cellStyle name="Note 4 2 2 6 3 2" xfId="6811" xr:uid="{00000000-0005-0000-0000-000003430000}"/>
    <cellStyle name="Note 4 2 2 6 3 3" xfId="11238" xr:uid="{00000000-0005-0000-0000-000004430000}"/>
    <cellStyle name="Note 4 2 2 6 3 4" xfId="15083" xr:uid="{00000000-0005-0000-0000-000005430000}"/>
    <cellStyle name="Note 4 2 2 6 3 5" xfId="18925" xr:uid="{00000000-0005-0000-0000-000006430000}"/>
    <cellStyle name="Note 4 2 2 6 3 6" xfId="22851" xr:uid="{00000000-0005-0000-0000-000007430000}"/>
    <cellStyle name="Note 4 2 2 6 3 7" xfId="26676" xr:uid="{00000000-0005-0000-0000-000008430000}"/>
    <cellStyle name="Note 4 2 2 6 3 8" xfId="30551" xr:uid="{00000000-0005-0000-0000-000009430000}"/>
    <cellStyle name="Note 4 2 2 6 3 9" xfId="34210" xr:uid="{00000000-0005-0000-0000-00000A430000}"/>
    <cellStyle name="Note 4 2 2 6 4" xfId="4887" xr:uid="{00000000-0005-0000-0000-00000B430000}"/>
    <cellStyle name="Note 4 2 2 6 5" xfId="9241" xr:uid="{00000000-0005-0000-0000-00000C430000}"/>
    <cellStyle name="Note 4 2 2 6 6" xfId="13082" xr:uid="{00000000-0005-0000-0000-00000D430000}"/>
    <cellStyle name="Note 4 2 2 6 7" xfId="16907" xr:uid="{00000000-0005-0000-0000-00000E430000}"/>
    <cellStyle name="Note 4 2 2 6 8" xfId="20849" xr:uid="{00000000-0005-0000-0000-00000F430000}"/>
    <cellStyle name="Note 4 2 2 6 9" xfId="24665" xr:uid="{00000000-0005-0000-0000-000010430000}"/>
    <cellStyle name="Note 4 2 2 7" xfId="1319" xr:uid="{00000000-0005-0000-0000-000011430000}"/>
    <cellStyle name="Note 4 2 2 7 10" xfId="32606" xr:uid="{00000000-0005-0000-0000-000012430000}"/>
    <cellStyle name="Note 4 2 2 7 11" xfId="36376" xr:uid="{00000000-0005-0000-0000-000013430000}"/>
    <cellStyle name="Note 4 2 2 7 12" xfId="40367" xr:uid="{00000000-0005-0000-0000-000014430000}"/>
    <cellStyle name="Note 4 2 2 7 13" xfId="44198" xr:uid="{00000000-0005-0000-0000-000015430000}"/>
    <cellStyle name="Note 4 2 2 7 2" xfId="3309" xr:uid="{00000000-0005-0000-0000-000016430000}"/>
    <cellStyle name="Note 4 2 2 7 2 10" xfId="38360" xr:uid="{00000000-0005-0000-0000-000017430000}"/>
    <cellStyle name="Note 4 2 2 7 2 11" xfId="42371" xr:uid="{00000000-0005-0000-0000-000018430000}"/>
    <cellStyle name="Note 4 2 2 7 2 12" xfId="46136" xr:uid="{00000000-0005-0000-0000-000019430000}"/>
    <cellStyle name="Note 4 2 2 7 2 2" xfId="7176" xr:uid="{00000000-0005-0000-0000-00001A430000}"/>
    <cellStyle name="Note 4 2 2 7 2 3" xfId="11611" xr:uid="{00000000-0005-0000-0000-00001B430000}"/>
    <cellStyle name="Note 4 2 2 7 2 4" xfId="15456" xr:uid="{00000000-0005-0000-0000-00001C430000}"/>
    <cellStyle name="Note 4 2 2 7 2 5" xfId="19303" xr:uid="{00000000-0005-0000-0000-00001D430000}"/>
    <cellStyle name="Note 4 2 2 7 2 6" xfId="23219" xr:uid="{00000000-0005-0000-0000-00001E430000}"/>
    <cellStyle name="Note 4 2 2 7 2 7" xfId="27053" xr:uid="{00000000-0005-0000-0000-00001F430000}"/>
    <cellStyle name="Note 4 2 2 7 2 8" xfId="30922" xr:uid="{00000000-0005-0000-0000-000020430000}"/>
    <cellStyle name="Note 4 2 2 7 2 9" xfId="34574" xr:uid="{00000000-0005-0000-0000-000021430000}"/>
    <cellStyle name="Note 4 2 2 7 3" xfId="5252" xr:uid="{00000000-0005-0000-0000-000022430000}"/>
    <cellStyle name="Note 4 2 2 7 4" xfId="9610" xr:uid="{00000000-0005-0000-0000-000023430000}"/>
    <cellStyle name="Note 4 2 2 7 5" xfId="13456" xr:uid="{00000000-0005-0000-0000-000024430000}"/>
    <cellStyle name="Note 4 2 2 7 6" xfId="17285" xr:uid="{00000000-0005-0000-0000-000025430000}"/>
    <cellStyle name="Note 4 2 2 7 7" xfId="21224" xr:uid="{00000000-0005-0000-0000-000026430000}"/>
    <cellStyle name="Note 4 2 2 7 8" xfId="25037" xr:uid="{00000000-0005-0000-0000-000027430000}"/>
    <cellStyle name="Note 4 2 2 7 9" xfId="28924" xr:uid="{00000000-0005-0000-0000-000028430000}"/>
    <cellStyle name="Note 4 2 2 8" xfId="2016" xr:uid="{00000000-0005-0000-0000-000029430000}"/>
    <cellStyle name="Note 4 2 2 8 10" xfId="33301" xr:uid="{00000000-0005-0000-0000-00002A430000}"/>
    <cellStyle name="Note 4 2 2 8 11" xfId="37072" xr:uid="{00000000-0005-0000-0000-00002B430000}"/>
    <cellStyle name="Note 4 2 2 8 12" xfId="41064" xr:uid="{00000000-0005-0000-0000-00002C430000}"/>
    <cellStyle name="Note 4 2 2 8 13" xfId="44892" xr:uid="{00000000-0005-0000-0000-00002D430000}"/>
    <cellStyle name="Note 4 2 2 8 2" xfId="4005" xr:uid="{00000000-0005-0000-0000-00002E430000}"/>
    <cellStyle name="Note 4 2 2 8 2 10" xfId="39056" xr:uid="{00000000-0005-0000-0000-00002F430000}"/>
    <cellStyle name="Note 4 2 2 8 2 11" xfId="43067" xr:uid="{00000000-0005-0000-0000-000030430000}"/>
    <cellStyle name="Note 4 2 2 8 2 12" xfId="46830" xr:uid="{00000000-0005-0000-0000-000031430000}"/>
    <cellStyle name="Note 4 2 2 8 2 2" xfId="7870" xr:uid="{00000000-0005-0000-0000-000032430000}"/>
    <cellStyle name="Note 4 2 2 8 2 3" xfId="12306" xr:uid="{00000000-0005-0000-0000-000033430000}"/>
    <cellStyle name="Note 4 2 2 8 2 4" xfId="16151" xr:uid="{00000000-0005-0000-0000-000034430000}"/>
    <cellStyle name="Note 4 2 2 8 2 5" xfId="19999" xr:uid="{00000000-0005-0000-0000-000035430000}"/>
    <cellStyle name="Note 4 2 2 8 2 6" xfId="23914" xr:uid="{00000000-0005-0000-0000-000036430000}"/>
    <cellStyle name="Note 4 2 2 8 2 7" xfId="27749" xr:uid="{00000000-0005-0000-0000-000037430000}"/>
    <cellStyle name="Note 4 2 2 8 2 8" xfId="31609" xr:uid="{00000000-0005-0000-0000-000038430000}"/>
    <cellStyle name="Note 4 2 2 8 2 9" xfId="35268" xr:uid="{00000000-0005-0000-0000-000039430000}"/>
    <cellStyle name="Note 4 2 2 8 3" xfId="5946" xr:uid="{00000000-0005-0000-0000-00003A430000}"/>
    <cellStyle name="Note 4 2 2 8 4" xfId="10305" xr:uid="{00000000-0005-0000-0000-00003B430000}"/>
    <cellStyle name="Note 4 2 2 8 5" xfId="14152" xr:uid="{00000000-0005-0000-0000-00003C430000}"/>
    <cellStyle name="Note 4 2 2 8 6" xfId="17982" xr:uid="{00000000-0005-0000-0000-00003D430000}"/>
    <cellStyle name="Note 4 2 2 8 7" xfId="21920" xr:uid="{00000000-0005-0000-0000-00003E430000}"/>
    <cellStyle name="Note 4 2 2 8 8" xfId="25734" xr:uid="{00000000-0005-0000-0000-00003F430000}"/>
    <cellStyle name="Note 4 2 2 8 9" xfId="29621" xr:uid="{00000000-0005-0000-0000-000040430000}"/>
    <cellStyle name="Note 4 2 2 9" xfId="2063" xr:uid="{00000000-0005-0000-0000-000041430000}"/>
    <cellStyle name="Note 4 2 2 9 10" xfId="33345" xr:uid="{00000000-0005-0000-0000-000042430000}"/>
    <cellStyle name="Note 4 2 2 9 11" xfId="37119" xr:uid="{00000000-0005-0000-0000-000043430000}"/>
    <cellStyle name="Note 4 2 2 9 12" xfId="41109" xr:uid="{00000000-0005-0000-0000-000044430000}"/>
    <cellStyle name="Note 4 2 2 9 13" xfId="44936" xr:uid="{00000000-0005-0000-0000-000045430000}"/>
    <cellStyle name="Note 4 2 2 9 2" xfId="4052" xr:uid="{00000000-0005-0000-0000-000046430000}"/>
    <cellStyle name="Note 4 2 2 9 2 10" xfId="39103" xr:uid="{00000000-0005-0000-0000-000047430000}"/>
    <cellStyle name="Note 4 2 2 9 2 11" xfId="43113" xr:uid="{00000000-0005-0000-0000-000048430000}"/>
    <cellStyle name="Note 4 2 2 9 2 12" xfId="46874" xr:uid="{00000000-0005-0000-0000-000049430000}"/>
    <cellStyle name="Note 4 2 2 9 2 2" xfId="7915" xr:uid="{00000000-0005-0000-0000-00004A430000}"/>
    <cellStyle name="Note 4 2 2 9 2 3" xfId="12352" xr:uid="{00000000-0005-0000-0000-00004B430000}"/>
    <cellStyle name="Note 4 2 2 9 2 4" xfId="16197" xr:uid="{00000000-0005-0000-0000-00004C430000}"/>
    <cellStyle name="Note 4 2 2 9 2 5" xfId="20046" xr:uid="{00000000-0005-0000-0000-00004D430000}"/>
    <cellStyle name="Note 4 2 2 9 2 6" xfId="23960" xr:uid="{00000000-0005-0000-0000-00004E430000}"/>
    <cellStyle name="Note 4 2 2 9 2 7" xfId="27796" xr:uid="{00000000-0005-0000-0000-00004F430000}"/>
    <cellStyle name="Note 4 2 2 9 2 8" xfId="31655" xr:uid="{00000000-0005-0000-0000-000050430000}"/>
    <cellStyle name="Note 4 2 2 9 2 9" xfId="35312" xr:uid="{00000000-0005-0000-0000-000051430000}"/>
    <cellStyle name="Note 4 2 2 9 3" xfId="5991" xr:uid="{00000000-0005-0000-0000-000052430000}"/>
    <cellStyle name="Note 4 2 2 9 4" xfId="10351" xr:uid="{00000000-0005-0000-0000-000053430000}"/>
    <cellStyle name="Note 4 2 2 9 5" xfId="14198" xr:uid="{00000000-0005-0000-0000-000054430000}"/>
    <cellStyle name="Note 4 2 2 9 6" xfId="18029" xr:uid="{00000000-0005-0000-0000-000055430000}"/>
    <cellStyle name="Note 4 2 2 9 7" xfId="21966" xr:uid="{00000000-0005-0000-0000-000056430000}"/>
    <cellStyle name="Note 4 2 2 9 8" xfId="25781" xr:uid="{00000000-0005-0000-0000-000057430000}"/>
    <cellStyle name="Note 4 2 2 9 9" xfId="29667" xr:uid="{00000000-0005-0000-0000-000058430000}"/>
    <cellStyle name="Note 4 2 20" xfId="8795" xr:uid="{00000000-0005-0000-0000-000059430000}"/>
    <cellStyle name="Note 4 2 21" xfId="8656" xr:uid="{00000000-0005-0000-0000-00005A430000}"/>
    <cellStyle name="Note 4 2 22" xfId="12603" xr:uid="{00000000-0005-0000-0000-00005B430000}"/>
    <cellStyle name="Note 4 2 23" xfId="8434" xr:uid="{00000000-0005-0000-0000-00005C430000}"/>
    <cellStyle name="Note 4 2 24" xfId="18069" xr:uid="{00000000-0005-0000-0000-00005D430000}"/>
    <cellStyle name="Note 4 2 25" xfId="8643" xr:uid="{00000000-0005-0000-0000-00005E430000}"/>
    <cellStyle name="Note 4 2 26" xfId="25797" xr:uid="{00000000-0005-0000-0000-00005F430000}"/>
    <cellStyle name="Note 4 2 27" xfId="39617" xr:uid="{00000000-0005-0000-0000-000060430000}"/>
    <cellStyle name="Note 4 2 28" xfId="39613" xr:uid="{00000000-0005-0000-0000-000061430000}"/>
    <cellStyle name="Note 4 2 29" xfId="47331" xr:uid="{00000000-0005-0000-0000-000062430000}"/>
    <cellStyle name="Note 4 2 3" xfId="544" xr:uid="{00000000-0005-0000-0000-000063430000}"/>
    <cellStyle name="Note 4 2 3 10" xfId="2196" xr:uid="{00000000-0005-0000-0000-000064430000}"/>
    <cellStyle name="Note 4 2 3 10 10" xfId="33497" xr:uid="{00000000-0005-0000-0000-000065430000}"/>
    <cellStyle name="Note 4 2 3 10 11" xfId="37248" xr:uid="{00000000-0005-0000-0000-000066430000}"/>
    <cellStyle name="Note 4 2 3 10 12" xfId="41264" xr:uid="{00000000-0005-0000-0000-000067430000}"/>
    <cellStyle name="Note 4 2 3 10 13" xfId="45059" xr:uid="{00000000-0005-0000-0000-000068430000}"/>
    <cellStyle name="Note 4 2 3 10 2" xfId="4179" xr:uid="{00000000-0005-0000-0000-000069430000}"/>
    <cellStyle name="Note 4 2 3 10 2 10" xfId="39230" xr:uid="{00000000-0005-0000-0000-00006A430000}"/>
    <cellStyle name="Note 4 2 3 10 2 11" xfId="43240" xr:uid="{00000000-0005-0000-0000-00006B430000}"/>
    <cellStyle name="Note 4 2 3 10 2 12" xfId="46997" xr:uid="{00000000-0005-0000-0000-00006C430000}"/>
    <cellStyle name="Note 4 2 3 10 2 2" xfId="8038" xr:uid="{00000000-0005-0000-0000-00006D430000}"/>
    <cellStyle name="Note 4 2 3 10 2 3" xfId="12478" xr:uid="{00000000-0005-0000-0000-00006E430000}"/>
    <cellStyle name="Note 4 2 3 10 2 4" xfId="16323" xr:uid="{00000000-0005-0000-0000-00006F430000}"/>
    <cellStyle name="Note 4 2 3 10 2 5" xfId="20173" xr:uid="{00000000-0005-0000-0000-000070430000}"/>
    <cellStyle name="Note 4 2 3 10 2 6" xfId="24085" xr:uid="{00000000-0005-0000-0000-000071430000}"/>
    <cellStyle name="Note 4 2 3 10 2 7" xfId="27923" xr:uid="{00000000-0005-0000-0000-000072430000}"/>
    <cellStyle name="Note 4 2 3 10 2 8" xfId="31782" xr:uid="{00000000-0005-0000-0000-000073430000}"/>
    <cellStyle name="Note 4 2 3 10 2 9" xfId="35435" xr:uid="{00000000-0005-0000-0000-000074430000}"/>
    <cellStyle name="Note 4 2 3 10 3" xfId="6110" xr:uid="{00000000-0005-0000-0000-000075430000}"/>
    <cellStyle name="Note 4 2 3 10 4" xfId="10513" xr:uid="{00000000-0005-0000-0000-000076430000}"/>
    <cellStyle name="Note 4 2 3 10 5" xfId="14359" xr:uid="{00000000-0005-0000-0000-000077430000}"/>
    <cellStyle name="Note 4 2 3 10 6" xfId="18190" xr:uid="{00000000-0005-0000-0000-000078430000}"/>
    <cellStyle name="Note 4 2 3 10 7" xfId="22129" xr:uid="{00000000-0005-0000-0000-000079430000}"/>
    <cellStyle name="Note 4 2 3 10 8" xfId="25941" xr:uid="{00000000-0005-0000-0000-00007A430000}"/>
    <cellStyle name="Note 4 2 3 10 9" xfId="29821" xr:uid="{00000000-0005-0000-0000-00007B430000}"/>
    <cellStyle name="Note 4 2 3 11" xfId="2254" xr:uid="{00000000-0005-0000-0000-00007C430000}"/>
    <cellStyle name="Note 4 2 3 11 10" xfId="33555" xr:uid="{00000000-0005-0000-0000-00007D430000}"/>
    <cellStyle name="Note 4 2 3 11 11" xfId="37306" xr:uid="{00000000-0005-0000-0000-00007E430000}"/>
    <cellStyle name="Note 4 2 3 11 12" xfId="41322" xr:uid="{00000000-0005-0000-0000-00007F430000}"/>
    <cellStyle name="Note 4 2 3 11 13" xfId="45117" xr:uid="{00000000-0005-0000-0000-000080430000}"/>
    <cellStyle name="Note 4 2 3 11 2" xfId="4237" xr:uid="{00000000-0005-0000-0000-000081430000}"/>
    <cellStyle name="Note 4 2 3 11 2 10" xfId="39288" xr:uid="{00000000-0005-0000-0000-000082430000}"/>
    <cellStyle name="Note 4 2 3 11 2 11" xfId="43298" xr:uid="{00000000-0005-0000-0000-000083430000}"/>
    <cellStyle name="Note 4 2 3 11 2 12" xfId="47055" xr:uid="{00000000-0005-0000-0000-000084430000}"/>
    <cellStyle name="Note 4 2 3 11 2 2" xfId="8096" xr:uid="{00000000-0005-0000-0000-000085430000}"/>
    <cellStyle name="Note 4 2 3 11 2 3" xfId="12536" xr:uid="{00000000-0005-0000-0000-000086430000}"/>
    <cellStyle name="Note 4 2 3 11 2 4" xfId="16381" xr:uid="{00000000-0005-0000-0000-000087430000}"/>
    <cellStyle name="Note 4 2 3 11 2 5" xfId="20231" xr:uid="{00000000-0005-0000-0000-000088430000}"/>
    <cellStyle name="Note 4 2 3 11 2 6" xfId="24143" xr:uid="{00000000-0005-0000-0000-000089430000}"/>
    <cellStyle name="Note 4 2 3 11 2 7" xfId="27981" xr:uid="{00000000-0005-0000-0000-00008A430000}"/>
    <cellStyle name="Note 4 2 3 11 2 8" xfId="31840" xr:uid="{00000000-0005-0000-0000-00008B430000}"/>
    <cellStyle name="Note 4 2 3 11 2 9" xfId="35493" xr:uid="{00000000-0005-0000-0000-00008C430000}"/>
    <cellStyle name="Note 4 2 3 11 3" xfId="6168" xr:uid="{00000000-0005-0000-0000-00008D430000}"/>
    <cellStyle name="Note 4 2 3 11 4" xfId="10571" xr:uid="{00000000-0005-0000-0000-00008E430000}"/>
    <cellStyle name="Note 4 2 3 11 5" xfId="14417" xr:uid="{00000000-0005-0000-0000-00008F430000}"/>
    <cellStyle name="Note 4 2 3 11 6" xfId="18248" xr:uid="{00000000-0005-0000-0000-000090430000}"/>
    <cellStyle name="Note 4 2 3 11 7" xfId="22187" xr:uid="{00000000-0005-0000-0000-000091430000}"/>
    <cellStyle name="Note 4 2 3 11 8" xfId="25999" xr:uid="{00000000-0005-0000-0000-000092430000}"/>
    <cellStyle name="Note 4 2 3 11 9" xfId="29879" xr:uid="{00000000-0005-0000-0000-000093430000}"/>
    <cellStyle name="Note 4 2 3 12" xfId="2309" xr:uid="{00000000-0005-0000-0000-000094430000}"/>
    <cellStyle name="Note 4 2 3 12 10" xfId="33610" xr:uid="{00000000-0005-0000-0000-000095430000}"/>
    <cellStyle name="Note 4 2 3 12 11" xfId="37361" xr:uid="{00000000-0005-0000-0000-000096430000}"/>
    <cellStyle name="Note 4 2 3 12 12" xfId="41377" xr:uid="{00000000-0005-0000-0000-000097430000}"/>
    <cellStyle name="Note 4 2 3 12 13" xfId="45172" xr:uid="{00000000-0005-0000-0000-000098430000}"/>
    <cellStyle name="Note 4 2 3 12 2" xfId="4292" xr:uid="{00000000-0005-0000-0000-000099430000}"/>
    <cellStyle name="Note 4 2 3 12 2 10" xfId="39343" xr:uid="{00000000-0005-0000-0000-00009A430000}"/>
    <cellStyle name="Note 4 2 3 12 2 11" xfId="43353" xr:uid="{00000000-0005-0000-0000-00009B430000}"/>
    <cellStyle name="Note 4 2 3 12 2 12" xfId="47110" xr:uid="{00000000-0005-0000-0000-00009C430000}"/>
    <cellStyle name="Note 4 2 3 12 2 2" xfId="8151" xr:uid="{00000000-0005-0000-0000-00009D430000}"/>
    <cellStyle name="Note 4 2 3 12 2 3" xfId="12591" xr:uid="{00000000-0005-0000-0000-00009E430000}"/>
    <cellStyle name="Note 4 2 3 12 2 4" xfId="16436" xr:uid="{00000000-0005-0000-0000-00009F430000}"/>
    <cellStyle name="Note 4 2 3 12 2 5" xfId="20286" xr:uid="{00000000-0005-0000-0000-0000A0430000}"/>
    <cellStyle name="Note 4 2 3 12 2 6" xfId="24198" xr:uid="{00000000-0005-0000-0000-0000A1430000}"/>
    <cellStyle name="Note 4 2 3 12 2 7" xfId="28036" xr:uid="{00000000-0005-0000-0000-0000A2430000}"/>
    <cellStyle name="Note 4 2 3 12 2 8" xfId="31895" xr:uid="{00000000-0005-0000-0000-0000A3430000}"/>
    <cellStyle name="Note 4 2 3 12 2 9" xfId="35548" xr:uid="{00000000-0005-0000-0000-0000A4430000}"/>
    <cellStyle name="Note 4 2 3 12 3" xfId="6223" xr:uid="{00000000-0005-0000-0000-0000A5430000}"/>
    <cellStyle name="Note 4 2 3 12 4" xfId="10626" xr:uid="{00000000-0005-0000-0000-0000A6430000}"/>
    <cellStyle name="Note 4 2 3 12 5" xfId="14472" xr:uid="{00000000-0005-0000-0000-0000A7430000}"/>
    <cellStyle name="Note 4 2 3 12 6" xfId="18303" xr:uid="{00000000-0005-0000-0000-0000A8430000}"/>
    <cellStyle name="Note 4 2 3 12 7" xfId="22242" xr:uid="{00000000-0005-0000-0000-0000A9430000}"/>
    <cellStyle name="Note 4 2 3 12 8" xfId="26054" xr:uid="{00000000-0005-0000-0000-0000AA430000}"/>
    <cellStyle name="Note 4 2 3 12 9" xfId="29934" xr:uid="{00000000-0005-0000-0000-0000AB430000}"/>
    <cellStyle name="Note 4 2 3 13" xfId="2376" xr:uid="{00000000-0005-0000-0000-0000AC430000}"/>
    <cellStyle name="Note 4 2 3 13 10" xfId="33674" xr:uid="{00000000-0005-0000-0000-0000AD430000}"/>
    <cellStyle name="Note 4 2 3 13 11" xfId="37428" xr:uid="{00000000-0005-0000-0000-0000AE430000}"/>
    <cellStyle name="Note 4 2 3 13 12" xfId="41443" xr:uid="{00000000-0005-0000-0000-0000AF430000}"/>
    <cellStyle name="Note 4 2 3 13 13" xfId="45236" xr:uid="{00000000-0005-0000-0000-0000B0430000}"/>
    <cellStyle name="Note 4 2 3 13 2" xfId="4359" xr:uid="{00000000-0005-0000-0000-0000B1430000}"/>
    <cellStyle name="Note 4 2 3 13 2 10" xfId="39410" xr:uid="{00000000-0005-0000-0000-0000B2430000}"/>
    <cellStyle name="Note 4 2 3 13 2 11" xfId="43419" xr:uid="{00000000-0005-0000-0000-0000B3430000}"/>
    <cellStyle name="Note 4 2 3 13 2 12" xfId="47174" xr:uid="{00000000-0005-0000-0000-0000B4430000}"/>
    <cellStyle name="Note 4 2 3 13 2 2" xfId="8216" xr:uid="{00000000-0005-0000-0000-0000B5430000}"/>
    <cellStyle name="Note 4 2 3 13 2 3" xfId="12657" xr:uid="{00000000-0005-0000-0000-0000B6430000}"/>
    <cellStyle name="Note 4 2 3 13 2 4" xfId="16502" xr:uid="{00000000-0005-0000-0000-0000B7430000}"/>
    <cellStyle name="Note 4 2 3 13 2 5" xfId="20353" xr:uid="{00000000-0005-0000-0000-0000B8430000}"/>
    <cellStyle name="Note 4 2 3 13 2 6" xfId="24264" xr:uid="{00000000-0005-0000-0000-0000B9430000}"/>
    <cellStyle name="Note 4 2 3 13 2 7" xfId="28103" xr:uid="{00000000-0005-0000-0000-0000BA430000}"/>
    <cellStyle name="Note 4 2 3 13 2 8" xfId="31961" xr:uid="{00000000-0005-0000-0000-0000BB430000}"/>
    <cellStyle name="Note 4 2 3 13 2 9" xfId="35612" xr:uid="{00000000-0005-0000-0000-0000BC430000}"/>
    <cellStyle name="Note 4 2 3 13 3" xfId="6272" xr:uid="{00000000-0005-0000-0000-0000BD430000}"/>
    <cellStyle name="Note 4 2 3 13 4" xfId="10692" xr:uid="{00000000-0005-0000-0000-0000BE430000}"/>
    <cellStyle name="Note 4 2 3 13 5" xfId="14538" xr:uid="{00000000-0005-0000-0000-0000BF430000}"/>
    <cellStyle name="Note 4 2 3 13 6" xfId="18370" xr:uid="{00000000-0005-0000-0000-0000C0430000}"/>
    <cellStyle name="Note 4 2 3 13 7" xfId="22308" xr:uid="{00000000-0005-0000-0000-0000C1430000}"/>
    <cellStyle name="Note 4 2 3 13 8" xfId="26121" xr:uid="{00000000-0005-0000-0000-0000C2430000}"/>
    <cellStyle name="Note 4 2 3 13 9" xfId="30001" xr:uid="{00000000-0005-0000-0000-0000C3430000}"/>
    <cellStyle name="Note 4 2 3 14" xfId="2426" xr:uid="{00000000-0005-0000-0000-0000C4430000}"/>
    <cellStyle name="Note 4 2 3 14 10" xfId="33724" xr:uid="{00000000-0005-0000-0000-0000C5430000}"/>
    <cellStyle name="Note 4 2 3 14 11" xfId="37478" xr:uid="{00000000-0005-0000-0000-0000C6430000}"/>
    <cellStyle name="Note 4 2 3 14 12" xfId="41493" xr:uid="{00000000-0005-0000-0000-0000C7430000}"/>
    <cellStyle name="Note 4 2 3 14 13" xfId="45286" xr:uid="{00000000-0005-0000-0000-0000C8430000}"/>
    <cellStyle name="Note 4 2 3 14 2" xfId="4409" xr:uid="{00000000-0005-0000-0000-0000C9430000}"/>
    <cellStyle name="Note 4 2 3 14 2 10" xfId="39460" xr:uid="{00000000-0005-0000-0000-0000CA430000}"/>
    <cellStyle name="Note 4 2 3 14 2 11" xfId="43469" xr:uid="{00000000-0005-0000-0000-0000CB430000}"/>
    <cellStyle name="Note 4 2 3 14 2 12" xfId="47224" xr:uid="{00000000-0005-0000-0000-0000CC430000}"/>
    <cellStyle name="Note 4 2 3 14 2 2" xfId="8266" xr:uid="{00000000-0005-0000-0000-0000CD430000}"/>
    <cellStyle name="Note 4 2 3 14 2 3" xfId="12707" xr:uid="{00000000-0005-0000-0000-0000CE430000}"/>
    <cellStyle name="Note 4 2 3 14 2 4" xfId="16552" xr:uid="{00000000-0005-0000-0000-0000CF430000}"/>
    <cellStyle name="Note 4 2 3 14 2 5" xfId="20403" xr:uid="{00000000-0005-0000-0000-0000D0430000}"/>
    <cellStyle name="Note 4 2 3 14 2 6" xfId="24314" xr:uid="{00000000-0005-0000-0000-0000D1430000}"/>
    <cellStyle name="Note 4 2 3 14 2 7" xfId="28153" xr:uid="{00000000-0005-0000-0000-0000D2430000}"/>
    <cellStyle name="Note 4 2 3 14 2 8" xfId="32011" xr:uid="{00000000-0005-0000-0000-0000D3430000}"/>
    <cellStyle name="Note 4 2 3 14 2 9" xfId="35662" xr:uid="{00000000-0005-0000-0000-0000D4430000}"/>
    <cellStyle name="Note 4 2 3 14 3" xfId="6322" xr:uid="{00000000-0005-0000-0000-0000D5430000}"/>
    <cellStyle name="Note 4 2 3 14 4" xfId="10742" xr:uid="{00000000-0005-0000-0000-0000D6430000}"/>
    <cellStyle name="Note 4 2 3 14 5" xfId="14588" xr:uid="{00000000-0005-0000-0000-0000D7430000}"/>
    <cellStyle name="Note 4 2 3 14 6" xfId="18420" xr:uid="{00000000-0005-0000-0000-0000D8430000}"/>
    <cellStyle name="Note 4 2 3 14 7" xfId="22358" xr:uid="{00000000-0005-0000-0000-0000D9430000}"/>
    <cellStyle name="Note 4 2 3 14 8" xfId="26171" xr:uid="{00000000-0005-0000-0000-0000DA430000}"/>
    <cellStyle name="Note 4 2 3 14 9" xfId="30050" xr:uid="{00000000-0005-0000-0000-0000DB430000}"/>
    <cellStyle name="Note 4 2 3 15" xfId="2480" xr:uid="{00000000-0005-0000-0000-0000DC430000}"/>
    <cellStyle name="Note 4 2 3 15 10" xfId="33775" xr:uid="{00000000-0005-0000-0000-0000DD430000}"/>
    <cellStyle name="Note 4 2 3 15 11" xfId="37532" xr:uid="{00000000-0005-0000-0000-0000DE430000}"/>
    <cellStyle name="Note 4 2 3 15 12" xfId="41546" xr:uid="{00000000-0005-0000-0000-0000DF430000}"/>
    <cellStyle name="Note 4 2 3 15 13" xfId="45337" xr:uid="{00000000-0005-0000-0000-0000E0430000}"/>
    <cellStyle name="Note 4 2 3 15 2" xfId="4462" xr:uid="{00000000-0005-0000-0000-0000E1430000}"/>
    <cellStyle name="Note 4 2 3 15 2 10" xfId="39513" xr:uid="{00000000-0005-0000-0000-0000E2430000}"/>
    <cellStyle name="Note 4 2 3 15 2 11" xfId="43522" xr:uid="{00000000-0005-0000-0000-0000E3430000}"/>
    <cellStyle name="Note 4 2 3 15 2 12" xfId="47275" xr:uid="{00000000-0005-0000-0000-0000E4430000}"/>
    <cellStyle name="Note 4 2 3 15 2 2" xfId="8317" xr:uid="{00000000-0005-0000-0000-0000E5430000}"/>
    <cellStyle name="Note 4 2 3 15 2 3" xfId="12760" xr:uid="{00000000-0005-0000-0000-0000E6430000}"/>
    <cellStyle name="Note 4 2 3 15 2 4" xfId="16603" xr:uid="{00000000-0005-0000-0000-0000E7430000}"/>
    <cellStyle name="Note 4 2 3 15 2 5" xfId="20456" xr:uid="{00000000-0005-0000-0000-0000E8430000}"/>
    <cellStyle name="Note 4 2 3 15 2 6" xfId="24366" xr:uid="{00000000-0005-0000-0000-0000E9430000}"/>
    <cellStyle name="Note 4 2 3 15 2 7" xfId="28206" xr:uid="{00000000-0005-0000-0000-0000EA430000}"/>
    <cellStyle name="Note 4 2 3 15 2 8" xfId="32064" xr:uid="{00000000-0005-0000-0000-0000EB430000}"/>
    <cellStyle name="Note 4 2 3 15 2 9" xfId="35713" xr:uid="{00000000-0005-0000-0000-0000EC430000}"/>
    <cellStyle name="Note 4 2 3 15 3" xfId="6374" xr:uid="{00000000-0005-0000-0000-0000ED430000}"/>
    <cellStyle name="Note 4 2 3 15 4" xfId="10795" xr:uid="{00000000-0005-0000-0000-0000EE430000}"/>
    <cellStyle name="Note 4 2 3 15 5" xfId="14641" xr:uid="{00000000-0005-0000-0000-0000EF430000}"/>
    <cellStyle name="Note 4 2 3 15 6" xfId="18474" xr:uid="{00000000-0005-0000-0000-0000F0430000}"/>
    <cellStyle name="Note 4 2 3 15 7" xfId="22411" xr:uid="{00000000-0005-0000-0000-0000F1430000}"/>
    <cellStyle name="Note 4 2 3 15 8" xfId="26225" xr:uid="{00000000-0005-0000-0000-0000F2430000}"/>
    <cellStyle name="Note 4 2 3 15 9" xfId="30104" xr:uid="{00000000-0005-0000-0000-0000F3430000}"/>
    <cellStyle name="Note 4 2 3 16" xfId="2551" xr:uid="{00000000-0005-0000-0000-0000F4430000}"/>
    <cellStyle name="Note 4 2 3 16 10" xfId="37603" xr:uid="{00000000-0005-0000-0000-0000F5430000}"/>
    <cellStyle name="Note 4 2 3 16 11" xfId="41617" xr:uid="{00000000-0005-0000-0000-0000F6430000}"/>
    <cellStyle name="Note 4 2 3 16 12" xfId="45406" xr:uid="{00000000-0005-0000-0000-0000F7430000}"/>
    <cellStyle name="Note 4 2 3 16 2" xfId="6443" xr:uid="{00000000-0005-0000-0000-0000F8430000}"/>
    <cellStyle name="Note 4 2 3 16 3" xfId="10866" xr:uid="{00000000-0005-0000-0000-0000F9430000}"/>
    <cellStyle name="Note 4 2 3 16 4" xfId="14710" xr:uid="{00000000-0005-0000-0000-0000FA430000}"/>
    <cellStyle name="Note 4 2 3 16 5" xfId="18545" xr:uid="{00000000-0005-0000-0000-0000FB430000}"/>
    <cellStyle name="Note 4 2 3 16 6" xfId="22480" xr:uid="{00000000-0005-0000-0000-0000FC430000}"/>
    <cellStyle name="Note 4 2 3 16 7" xfId="26296" xr:uid="{00000000-0005-0000-0000-0000FD430000}"/>
    <cellStyle name="Note 4 2 3 16 8" xfId="30175" xr:uid="{00000000-0005-0000-0000-0000FE430000}"/>
    <cellStyle name="Note 4 2 3 16 9" xfId="33844" xr:uid="{00000000-0005-0000-0000-0000FF430000}"/>
    <cellStyle name="Note 4 2 3 17" xfId="4519" xr:uid="{00000000-0005-0000-0000-000000440000}"/>
    <cellStyle name="Note 4 2 3 18" xfId="8363" xr:uid="{00000000-0005-0000-0000-000001440000}"/>
    <cellStyle name="Note 4 2 3 19" xfId="8734" xr:uid="{00000000-0005-0000-0000-000002440000}"/>
    <cellStyle name="Note 4 2 3 2" xfId="680" xr:uid="{00000000-0005-0000-0000-000003440000}"/>
    <cellStyle name="Note 4 2 3 2 10" xfId="24414" xr:uid="{00000000-0005-0000-0000-000004440000}"/>
    <cellStyle name="Note 4 2 3 2 11" xfId="28307" xr:uid="{00000000-0005-0000-0000-000005440000}"/>
    <cellStyle name="Note 4 2 3 2 12" xfId="31499" xr:uid="{00000000-0005-0000-0000-000006440000}"/>
    <cellStyle name="Note 4 2 3 2 13" xfId="35751" xr:uid="{00000000-0005-0000-0000-000007440000}"/>
    <cellStyle name="Note 4 2 3 2 14" xfId="39774" xr:uid="{00000000-0005-0000-0000-000008440000}"/>
    <cellStyle name="Note 4 2 3 2 15" xfId="43577" xr:uid="{00000000-0005-0000-0000-000009440000}"/>
    <cellStyle name="Note 4 2 3 2 2" xfId="1060" xr:uid="{00000000-0005-0000-0000-00000A440000}"/>
    <cellStyle name="Note 4 2 3 2 2 10" xfId="28671" xr:uid="{00000000-0005-0000-0000-00000B440000}"/>
    <cellStyle name="Note 4 2 3 2 2 11" xfId="32357" xr:uid="{00000000-0005-0000-0000-00000C440000}"/>
    <cellStyle name="Note 4 2 3 2 2 12" xfId="36118" xr:uid="{00000000-0005-0000-0000-00000D440000}"/>
    <cellStyle name="Note 4 2 3 2 2 13" xfId="40121" xr:uid="{00000000-0005-0000-0000-00000E440000}"/>
    <cellStyle name="Note 4 2 3 2 2 14" xfId="43944" xr:uid="{00000000-0005-0000-0000-00000F440000}"/>
    <cellStyle name="Note 4 2 3 2 2 2" xfId="1787" xr:uid="{00000000-0005-0000-0000-000010440000}"/>
    <cellStyle name="Note 4 2 3 2 2 2 10" xfId="33074" xr:uid="{00000000-0005-0000-0000-000011440000}"/>
    <cellStyle name="Note 4 2 3 2 2 2 11" xfId="36844" xr:uid="{00000000-0005-0000-0000-000012440000}"/>
    <cellStyle name="Note 4 2 3 2 2 2 12" xfId="40835" xr:uid="{00000000-0005-0000-0000-000013440000}"/>
    <cellStyle name="Note 4 2 3 2 2 2 13" xfId="44666" xr:uid="{00000000-0005-0000-0000-000014440000}"/>
    <cellStyle name="Note 4 2 3 2 2 2 2" xfId="3777" xr:uid="{00000000-0005-0000-0000-000015440000}"/>
    <cellStyle name="Note 4 2 3 2 2 2 2 10" xfId="38828" xr:uid="{00000000-0005-0000-0000-000016440000}"/>
    <cellStyle name="Note 4 2 3 2 2 2 2 11" xfId="42839" xr:uid="{00000000-0005-0000-0000-000017440000}"/>
    <cellStyle name="Note 4 2 3 2 2 2 2 12" xfId="46604" xr:uid="{00000000-0005-0000-0000-000018440000}"/>
    <cellStyle name="Note 4 2 3 2 2 2 2 2" xfId="7644" xr:uid="{00000000-0005-0000-0000-000019440000}"/>
    <cellStyle name="Note 4 2 3 2 2 2 2 3" xfId="12079" xr:uid="{00000000-0005-0000-0000-00001A440000}"/>
    <cellStyle name="Note 4 2 3 2 2 2 2 4" xfId="15924" xr:uid="{00000000-0005-0000-0000-00001B440000}"/>
    <cellStyle name="Note 4 2 3 2 2 2 2 5" xfId="19771" xr:uid="{00000000-0005-0000-0000-00001C440000}"/>
    <cellStyle name="Note 4 2 3 2 2 2 2 6" xfId="23687" xr:uid="{00000000-0005-0000-0000-00001D440000}"/>
    <cellStyle name="Note 4 2 3 2 2 2 2 7" xfId="27521" xr:uid="{00000000-0005-0000-0000-00001E440000}"/>
    <cellStyle name="Note 4 2 3 2 2 2 2 8" xfId="31385" xr:uid="{00000000-0005-0000-0000-00001F440000}"/>
    <cellStyle name="Note 4 2 3 2 2 2 2 9" xfId="35042" xr:uid="{00000000-0005-0000-0000-000020440000}"/>
    <cellStyle name="Note 4 2 3 2 2 2 3" xfId="5720" xr:uid="{00000000-0005-0000-0000-000021440000}"/>
    <cellStyle name="Note 4 2 3 2 2 2 4" xfId="10078" xr:uid="{00000000-0005-0000-0000-000022440000}"/>
    <cellStyle name="Note 4 2 3 2 2 2 5" xfId="13924" xr:uid="{00000000-0005-0000-0000-000023440000}"/>
    <cellStyle name="Note 4 2 3 2 2 2 6" xfId="17753" xr:uid="{00000000-0005-0000-0000-000024440000}"/>
    <cellStyle name="Note 4 2 3 2 2 2 7" xfId="21692" xr:uid="{00000000-0005-0000-0000-000025440000}"/>
    <cellStyle name="Note 4 2 3 2 2 2 8" xfId="25505" xr:uid="{00000000-0005-0000-0000-000026440000}"/>
    <cellStyle name="Note 4 2 3 2 2 2 9" xfId="29392" xr:uid="{00000000-0005-0000-0000-000027440000}"/>
    <cellStyle name="Note 4 2 3 2 2 3" xfId="3050" xr:uid="{00000000-0005-0000-0000-000028440000}"/>
    <cellStyle name="Note 4 2 3 2 2 3 10" xfId="38102" xr:uid="{00000000-0005-0000-0000-000029440000}"/>
    <cellStyle name="Note 4 2 3 2 2 3 11" xfId="42114" xr:uid="{00000000-0005-0000-0000-00002A440000}"/>
    <cellStyle name="Note 4 2 3 2 2 3 12" xfId="45887" xr:uid="{00000000-0005-0000-0000-00002B440000}"/>
    <cellStyle name="Note 4 2 3 2 2 3 2" xfId="6926" xr:uid="{00000000-0005-0000-0000-00002C440000}"/>
    <cellStyle name="Note 4 2 3 2 2 3 3" xfId="11355" xr:uid="{00000000-0005-0000-0000-00002D440000}"/>
    <cellStyle name="Note 4 2 3 2 2 3 4" xfId="15199" xr:uid="{00000000-0005-0000-0000-00002E440000}"/>
    <cellStyle name="Note 4 2 3 2 2 3 5" xfId="19044" xr:uid="{00000000-0005-0000-0000-00002F440000}"/>
    <cellStyle name="Note 4 2 3 2 2 3 6" xfId="22966" xr:uid="{00000000-0005-0000-0000-000030440000}"/>
    <cellStyle name="Note 4 2 3 2 2 3 7" xfId="26795" xr:uid="{00000000-0005-0000-0000-000031440000}"/>
    <cellStyle name="Note 4 2 3 2 2 3 8" xfId="30669" xr:uid="{00000000-0005-0000-0000-000032440000}"/>
    <cellStyle name="Note 4 2 3 2 2 3 9" xfId="34325" xr:uid="{00000000-0005-0000-0000-000033440000}"/>
    <cellStyle name="Note 4 2 3 2 2 4" xfId="5002" xr:uid="{00000000-0005-0000-0000-000034440000}"/>
    <cellStyle name="Note 4 2 3 2 2 5" xfId="9358" xr:uid="{00000000-0005-0000-0000-000035440000}"/>
    <cellStyle name="Note 4 2 3 2 2 6" xfId="13198" xr:uid="{00000000-0005-0000-0000-000036440000}"/>
    <cellStyle name="Note 4 2 3 2 2 7" xfId="17026" xr:uid="{00000000-0005-0000-0000-000037440000}"/>
    <cellStyle name="Note 4 2 3 2 2 8" xfId="20968" xr:uid="{00000000-0005-0000-0000-000038440000}"/>
    <cellStyle name="Note 4 2 3 2 2 9" xfId="24782" xr:uid="{00000000-0005-0000-0000-000039440000}"/>
    <cellStyle name="Note 4 2 3 2 3" xfId="1434" xr:uid="{00000000-0005-0000-0000-00003A440000}"/>
    <cellStyle name="Note 4 2 3 2 3 10" xfId="32721" xr:uid="{00000000-0005-0000-0000-00003B440000}"/>
    <cellStyle name="Note 4 2 3 2 3 11" xfId="36491" xr:uid="{00000000-0005-0000-0000-00003C440000}"/>
    <cellStyle name="Note 4 2 3 2 3 12" xfId="40482" xr:uid="{00000000-0005-0000-0000-00003D440000}"/>
    <cellStyle name="Note 4 2 3 2 3 13" xfId="44313" xr:uid="{00000000-0005-0000-0000-00003E440000}"/>
    <cellStyle name="Note 4 2 3 2 3 2" xfId="3424" xr:uid="{00000000-0005-0000-0000-00003F440000}"/>
    <cellStyle name="Note 4 2 3 2 3 2 10" xfId="38475" xr:uid="{00000000-0005-0000-0000-000040440000}"/>
    <cellStyle name="Note 4 2 3 2 3 2 11" xfId="42486" xr:uid="{00000000-0005-0000-0000-000041440000}"/>
    <cellStyle name="Note 4 2 3 2 3 2 12" xfId="46251" xr:uid="{00000000-0005-0000-0000-000042440000}"/>
    <cellStyle name="Note 4 2 3 2 3 2 2" xfId="7291" xr:uid="{00000000-0005-0000-0000-000043440000}"/>
    <cellStyle name="Note 4 2 3 2 3 2 3" xfId="11726" xr:uid="{00000000-0005-0000-0000-000044440000}"/>
    <cellStyle name="Note 4 2 3 2 3 2 4" xfId="15571" xr:uid="{00000000-0005-0000-0000-000045440000}"/>
    <cellStyle name="Note 4 2 3 2 3 2 5" xfId="19418" xr:uid="{00000000-0005-0000-0000-000046440000}"/>
    <cellStyle name="Note 4 2 3 2 3 2 6" xfId="23334" xr:uid="{00000000-0005-0000-0000-000047440000}"/>
    <cellStyle name="Note 4 2 3 2 3 2 7" xfId="27168" xr:uid="{00000000-0005-0000-0000-000048440000}"/>
    <cellStyle name="Note 4 2 3 2 3 2 8" xfId="31036" xr:uid="{00000000-0005-0000-0000-000049440000}"/>
    <cellStyle name="Note 4 2 3 2 3 2 9" xfId="34689" xr:uid="{00000000-0005-0000-0000-00004A440000}"/>
    <cellStyle name="Note 4 2 3 2 3 3" xfId="5367" xr:uid="{00000000-0005-0000-0000-00004B440000}"/>
    <cellStyle name="Note 4 2 3 2 3 4" xfId="9725" xr:uid="{00000000-0005-0000-0000-00004C440000}"/>
    <cellStyle name="Note 4 2 3 2 3 5" xfId="13571" xr:uid="{00000000-0005-0000-0000-00004D440000}"/>
    <cellStyle name="Note 4 2 3 2 3 6" xfId="17400" xr:uid="{00000000-0005-0000-0000-00004E440000}"/>
    <cellStyle name="Note 4 2 3 2 3 7" xfId="21339" xr:uid="{00000000-0005-0000-0000-00004F440000}"/>
    <cellStyle name="Note 4 2 3 2 3 8" xfId="25152" xr:uid="{00000000-0005-0000-0000-000050440000}"/>
    <cellStyle name="Note 4 2 3 2 3 9" xfId="29039" xr:uid="{00000000-0005-0000-0000-000051440000}"/>
    <cellStyle name="Note 4 2 3 2 4" xfId="2683" xr:uid="{00000000-0005-0000-0000-000052440000}"/>
    <cellStyle name="Note 4 2 3 2 4 10" xfId="37735" xr:uid="{00000000-0005-0000-0000-000053440000}"/>
    <cellStyle name="Note 4 2 3 2 4 11" xfId="41749" xr:uid="{00000000-0005-0000-0000-000054440000}"/>
    <cellStyle name="Note 4 2 3 2 4 12" xfId="45534" xr:uid="{00000000-0005-0000-0000-000055440000}"/>
    <cellStyle name="Note 4 2 3 2 4 2" xfId="6571" xr:uid="{00000000-0005-0000-0000-000056440000}"/>
    <cellStyle name="Note 4 2 3 2 4 3" xfId="10995" xr:uid="{00000000-0005-0000-0000-000057440000}"/>
    <cellStyle name="Note 4 2 3 2 4 4" xfId="14839" xr:uid="{00000000-0005-0000-0000-000058440000}"/>
    <cellStyle name="Note 4 2 3 2 4 5" xfId="18677" xr:uid="{00000000-0005-0000-0000-000059440000}"/>
    <cellStyle name="Note 4 2 3 2 4 6" xfId="22608" xr:uid="{00000000-0005-0000-0000-00005A440000}"/>
    <cellStyle name="Note 4 2 3 2 4 7" xfId="26428" xr:uid="{00000000-0005-0000-0000-00005B440000}"/>
    <cellStyle name="Note 4 2 3 2 4 8" xfId="30307" xr:uid="{00000000-0005-0000-0000-00005C440000}"/>
    <cellStyle name="Note 4 2 3 2 4 9" xfId="33972" xr:uid="{00000000-0005-0000-0000-00005D440000}"/>
    <cellStyle name="Note 4 2 3 2 5" xfId="4647" xr:uid="{00000000-0005-0000-0000-00005E440000}"/>
    <cellStyle name="Note 4 2 3 2 6" xfId="8989" xr:uid="{00000000-0005-0000-0000-00005F440000}"/>
    <cellStyle name="Note 4 2 3 2 7" xfId="12826" xr:uid="{00000000-0005-0000-0000-000060440000}"/>
    <cellStyle name="Note 4 2 3 2 8" xfId="16656" xr:uid="{00000000-0005-0000-0000-000061440000}"/>
    <cellStyle name="Note 4 2 3 2 9" xfId="20593" xr:uid="{00000000-0005-0000-0000-000062440000}"/>
    <cellStyle name="Note 4 2 3 20" xfId="8855" xr:uid="{00000000-0005-0000-0000-000063440000}"/>
    <cellStyle name="Note 4 2 3 21" xfId="8595" xr:uid="{00000000-0005-0000-0000-000064440000}"/>
    <cellStyle name="Note 4 2 3 22" xfId="8633" xr:uid="{00000000-0005-0000-0000-000065440000}"/>
    <cellStyle name="Note 4 2 3 23" xfId="18064" xr:uid="{00000000-0005-0000-0000-000066440000}"/>
    <cellStyle name="Note 4 2 3 24" xfId="8648" xr:uid="{00000000-0005-0000-0000-000067440000}"/>
    <cellStyle name="Note 4 2 3 25" xfId="25811" xr:uid="{00000000-0005-0000-0000-000068440000}"/>
    <cellStyle name="Note 4 2 3 26" xfId="31357" xr:uid="{00000000-0005-0000-0000-000069440000}"/>
    <cellStyle name="Note 4 2 3 27" xfId="29701" xr:uid="{00000000-0005-0000-0000-00006A440000}"/>
    <cellStyle name="Note 4 2 3 28" xfId="39643" xr:uid="{00000000-0005-0000-0000-00006B440000}"/>
    <cellStyle name="Note 4 2 3 29" xfId="39743" xr:uid="{00000000-0005-0000-0000-00006C440000}"/>
    <cellStyle name="Note 4 2 3 3" xfId="619" xr:uid="{00000000-0005-0000-0000-00006D440000}"/>
    <cellStyle name="Note 4 2 3 3 10" xfId="12302" xr:uid="{00000000-0005-0000-0000-00006E440000}"/>
    <cellStyle name="Note 4 2 3 3 11" xfId="28246" xr:uid="{00000000-0005-0000-0000-00006F440000}"/>
    <cellStyle name="Note 4 2 3 3 12" xfId="29637" xr:uid="{00000000-0005-0000-0000-000070440000}"/>
    <cellStyle name="Note 4 2 3 3 13" xfId="33386" xr:uid="{00000000-0005-0000-0000-000071440000}"/>
    <cellStyle name="Note 4 2 3 3 14" xfId="39714" xr:uid="{00000000-0005-0000-0000-000072440000}"/>
    <cellStyle name="Note 4 2 3 3 15" xfId="39565" xr:uid="{00000000-0005-0000-0000-000073440000}"/>
    <cellStyle name="Note 4 2 3 3 2" xfId="999" xr:uid="{00000000-0005-0000-0000-000074440000}"/>
    <cellStyle name="Note 4 2 3 3 2 10" xfId="28610" xr:uid="{00000000-0005-0000-0000-000075440000}"/>
    <cellStyle name="Note 4 2 3 3 2 11" xfId="32298" xr:uid="{00000000-0005-0000-0000-000076440000}"/>
    <cellStyle name="Note 4 2 3 3 2 12" xfId="36057" xr:uid="{00000000-0005-0000-0000-000077440000}"/>
    <cellStyle name="Note 4 2 3 3 2 13" xfId="40062" xr:uid="{00000000-0005-0000-0000-000078440000}"/>
    <cellStyle name="Note 4 2 3 3 2 14" xfId="43883" xr:uid="{00000000-0005-0000-0000-000079440000}"/>
    <cellStyle name="Note 4 2 3 3 2 2" xfId="1728" xr:uid="{00000000-0005-0000-0000-00007A440000}"/>
    <cellStyle name="Note 4 2 3 3 2 2 10" xfId="33015" xr:uid="{00000000-0005-0000-0000-00007B440000}"/>
    <cellStyle name="Note 4 2 3 3 2 2 11" xfId="36785" xr:uid="{00000000-0005-0000-0000-00007C440000}"/>
    <cellStyle name="Note 4 2 3 3 2 2 12" xfId="40776" xr:uid="{00000000-0005-0000-0000-00007D440000}"/>
    <cellStyle name="Note 4 2 3 3 2 2 13" xfId="44607" xr:uid="{00000000-0005-0000-0000-00007E440000}"/>
    <cellStyle name="Note 4 2 3 3 2 2 2" xfId="3718" xr:uid="{00000000-0005-0000-0000-00007F440000}"/>
    <cellStyle name="Note 4 2 3 3 2 2 2 10" xfId="38769" xr:uid="{00000000-0005-0000-0000-000080440000}"/>
    <cellStyle name="Note 4 2 3 3 2 2 2 11" xfId="42780" xr:uid="{00000000-0005-0000-0000-000081440000}"/>
    <cellStyle name="Note 4 2 3 3 2 2 2 12" xfId="46545" xr:uid="{00000000-0005-0000-0000-000082440000}"/>
    <cellStyle name="Note 4 2 3 3 2 2 2 2" xfId="7585" xr:uid="{00000000-0005-0000-0000-000083440000}"/>
    <cellStyle name="Note 4 2 3 3 2 2 2 3" xfId="12020" xr:uid="{00000000-0005-0000-0000-000084440000}"/>
    <cellStyle name="Note 4 2 3 3 2 2 2 4" xfId="15865" xr:uid="{00000000-0005-0000-0000-000085440000}"/>
    <cellStyle name="Note 4 2 3 3 2 2 2 5" xfId="19712" xr:uid="{00000000-0005-0000-0000-000086440000}"/>
    <cellStyle name="Note 4 2 3 3 2 2 2 6" xfId="23628" xr:uid="{00000000-0005-0000-0000-000087440000}"/>
    <cellStyle name="Note 4 2 3 3 2 2 2 7" xfId="27462" xr:uid="{00000000-0005-0000-0000-000088440000}"/>
    <cellStyle name="Note 4 2 3 3 2 2 2 8" xfId="31326" xr:uid="{00000000-0005-0000-0000-000089440000}"/>
    <cellStyle name="Note 4 2 3 3 2 2 2 9" xfId="34983" xr:uid="{00000000-0005-0000-0000-00008A440000}"/>
    <cellStyle name="Note 4 2 3 3 2 2 3" xfId="5661" xr:uid="{00000000-0005-0000-0000-00008B440000}"/>
    <cellStyle name="Note 4 2 3 3 2 2 4" xfId="10019" xr:uid="{00000000-0005-0000-0000-00008C440000}"/>
    <cellStyle name="Note 4 2 3 3 2 2 5" xfId="13865" xr:uid="{00000000-0005-0000-0000-00008D440000}"/>
    <cellStyle name="Note 4 2 3 3 2 2 6" xfId="17694" xr:uid="{00000000-0005-0000-0000-00008E440000}"/>
    <cellStyle name="Note 4 2 3 3 2 2 7" xfId="21633" xr:uid="{00000000-0005-0000-0000-00008F440000}"/>
    <cellStyle name="Note 4 2 3 3 2 2 8" xfId="25446" xr:uid="{00000000-0005-0000-0000-000090440000}"/>
    <cellStyle name="Note 4 2 3 3 2 2 9" xfId="29333" xr:uid="{00000000-0005-0000-0000-000091440000}"/>
    <cellStyle name="Note 4 2 3 3 2 3" xfId="2989" xr:uid="{00000000-0005-0000-0000-000092440000}"/>
    <cellStyle name="Note 4 2 3 3 2 3 10" xfId="38041" xr:uid="{00000000-0005-0000-0000-000093440000}"/>
    <cellStyle name="Note 4 2 3 3 2 3 11" xfId="42053" xr:uid="{00000000-0005-0000-0000-000094440000}"/>
    <cellStyle name="Note 4 2 3 3 2 3 12" xfId="45828" xr:uid="{00000000-0005-0000-0000-000095440000}"/>
    <cellStyle name="Note 4 2 3 3 2 3 2" xfId="6867" xr:uid="{00000000-0005-0000-0000-000096440000}"/>
    <cellStyle name="Note 4 2 3 3 2 3 3" xfId="11295" xr:uid="{00000000-0005-0000-0000-000097440000}"/>
    <cellStyle name="Note 4 2 3 3 2 3 4" xfId="15140" xr:uid="{00000000-0005-0000-0000-000098440000}"/>
    <cellStyle name="Note 4 2 3 3 2 3 5" xfId="18983" xr:uid="{00000000-0005-0000-0000-000099440000}"/>
    <cellStyle name="Note 4 2 3 3 2 3 6" xfId="22907" xr:uid="{00000000-0005-0000-0000-00009A440000}"/>
    <cellStyle name="Note 4 2 3 3 2 3 7" xfId="26734" xr:uid="{00000000-0005-0000-0000-00009B440000}"/>
    <cellStyle name="Note 4 2 3 3 2 3 8" xfId="30608" xr:uid="{00000000-0005-0000-0000-00009C440000}"/>
    <cellStyle name="Note 4 2 3 3 2 3 9" xfId="34266" xr:uid="{00000000-0005-0000-0000-00009D440000}"/>
    <cellStyle name="Note 4 2 3 3 2 4" xfId="4943" xr:uid="{00000000-0005-0000-0000-00009E440000}"/>
    <cellStyle name="Note 4 2 3 3 2 5" xfId="9298" xr:uid="{00000000-0005-0000-0000-00009F440000}"/>
    <cellStyle name="Note 4 2 3 3 2 6" xfId="13139" xr:uid="{00000000-0005-0000-0000-0000A0440000}"/>
    <cellStyle name="Note 4 2 3 3 2 7" xfId="16965" xr:uid="{00000000-0005-0000-0000-0000A1440000}"/>
    <cellStyle name="Note 4 2 3 3 2 8" xfId="20907" xr:uid="{00000000-0005-0000-0000-0000A2440000}"/>
    <cellStyle name="Note 4 2 3 3 2 9" xfId="24722" xr:uid="{00000000-0005-0000-0000-0000A3440000}"/>
    <cellStyle name="Note 4 2 3 3 3" xfId="1375" xr:uid="{00000000-0005-0000-0000-0000A4440000}"/>
    <cellStyle name="Note 4 2 3 3 3 10" xfId="32662" xr:uid="{00000000-0005-0000-0000-0000A5440000}"/>
    <cellStyle name="Note 4 2 3 3 3 11" xfId="36432" xr:uid="{00000000-0005-0000-0000-0000A6440000}"/>
    <cellStyle name="Note 4 2 3 3 3 12" xfId="40423" xr:uid="{00000000-0005-0000-0000-0000A7440000}"/>
    <cellStyle name="Note 4 2 3 3 3 13" xfId="44254" xr:uid="{00000000-0005-0000-0000-0000A8440000}"/>
    <cellStyle name="Note 4 2 3 3 3 2" xfId="3365" xr:uid="{00000000-0005-0000-0000-0000A9440000}"/>
    <cellStyle name="Note 4 2 3 3 3 2 10" xfId="38416" xr:uid="{00000000-0005-0000-0000-0000AA440000}"/>
    <cellStyle name="Note 4 2 3 3 3 2 11" xfId="42427" xr:uid="{00000000-0005-0000-0000-0000AB440000}"/>
    <cellStyle name="Note 4 2 3 3 3 2 12" xfId="46192" xr:uid="{00000000-0005-0000-0000-0000AC440000}"/>
    <cellStyle name="Note 4 2 3 3 3 2 2" xfId="7232" xr:uid="{00000000-0005-0000-0000-0000AD440000}"/>
    <cellStyle name="Note 4 2 3 3 3 2 3" xfId="11667" xr:uid="{00000000-0005-0000-0000-0000AE440000}"/>
    <cellStyle name="Note 4 2 3 3 3 2 4" xfId="15512" xr:uid="{00000000-0005-0000-0000-0000AF440000}"/>
    <cellStyle name="Note 4 2 3 3 3 2 5" xfId="19359" xr:uid="{00000000-0005-0000-0000-0000B0440000}"/>
    <cellStyle name="Note 4 2 3 3 3 2 6" xfId="23275" xr:uid="{00000000-0005-0000-0000-0000B1440000}"/>
    <cellStyle name="Note 4 2 3 3 3 2 7" xfId="27109" xr:uid="{00000000-0005-0000-0000-0000B2440000}"/>
    <cellStyle name="Note 4 2 3 3 3 2 8" xfId="30977" xr:uid="{00000000-0005-0000-0000-0000B3440000}"/>
    <cellStyle name="Note 4 2 3 3 3 2 9" xfId="34630" xr:uid="{00000000-0005-0000-0000-0000B4440000}"/>
    <cellStyle name="Note 4 2 3 3 3 3" xfId="5308" xr:uid="{00000000-0005-0000-0000-0000B5440000}"/>
    <cellStyle name="Note 4 2 3 3 3 4" xfId="9666" xr:uid="{00000000-0005-0000-0000-0000B6440000}"/>
    <cellStyle name="Note 4 2 3 3 3 5" xfId="13512" xr:uid="{00000000-0005-0000-0000-0000B7440000}"/>
    <cellStyle name="Note 4 2 3 3 3 6" xfId="17341" xr:uid="{00000000-0005-0000-0000-0000B8440000}"/>
    <cellStyle name="Note 4 2 3 3 3 7" xfId="21280" xr:uid="{00000000-0005-0000-0000-0000B9440000}"/>
    <cellStyle name="Note 4 2 3 3 3 8" xfId="25093" xr:uid="{00000000-0005-0000-0000-0000BA440000}"/>
    <cellStyle name="Note 4 2 3 3 3 9" xfId="28980" xr:uid="{00000000-0005-0000-0000-0000BB440000}"/>
    <cellStyle name="Note 4 2 3 3 4" xfId="2622" xr:uid="{00000000-0005-0000-0000-0000BC440000}"/>
    <cellStyle name="Note 4 2 3 3 4 10" xfId="37674" xr:uid="{00000000-0005-0000-0000-0000BD440000}"/>
    <cellStyle name="Note 4 2 3 3 4 11" xfId="41688" xr:uid="{00000000-0005-0000-0000-0000BE440000}"/>
    <cellStyle name="Note 4 2 3 3 4 12" xfId="45475" xr:uid="{00000000-0005-0000-0000-0000BF440000}"/>
    <cellStyle name="Note 4 2 3 3 4 2" xfId="6512" xr:uid="{00000000-0005-0000-0000-0000C0440000}"/>
    <cellStyle name="Note 4 2 3 3 4 3" xfId="10936" xr:uid="{00000000-0005-0000-0000-0000C1440000}"/>
    <cellStyle name="Note 4 2 3 3 4 4" xfId="14780" xr:uid="{00000000-0005-0000-0000-0000C2440000}"/>
    <cellStyle name="Note 4 2 3 3 4 5" xfId="18616" xr:uid="{00000000-0005-0000-0000-0000C3440000}"/>
    <cellStyle name="Note 4 2 3 3 4 6" xfId="22549" xr:uid="{00000000-0005-0000-0000-0000C4440000}"/>
    <cellStyle name="Note 4 2 3 3 4 7" xfId="26367" xr:uid="{00000000-0005-0000-0000-0000C5440000}"/>
    <cellStyle name="Note 4 2 3 3 4 8" xfId="30246" xr:uid="{00000000-0005-0000-0000-0000C6440000}"/>
    <cellStyle name="Note 4 2 3 3 4 9" xfId="33913" xr:uid="{00000000-0005-0000-0000-0000C7440000}"/>
    <cellStyle name="Note 4 2 3 3 5" xfId="4588" xr:uid="{00000000-0005-0000-0000-0000C8440000}"/>
    <cellStyle name="Note 4 2 3 3 6" xfId="8928" xr:uid="{00000000-0005-0000-0000-0000C9440000}"/>
    <cellStyle name="Note 4 2 3 3 7" xfId="10380" xr:uid="{00000000-0005-0000-0000-0000CA440000}"/>
    <cellStyle name="Note 4 2 3 3 8" xfId="14224" xr:uid="{00000000-0005-0000-0000-0000CB440000}"/>
    <cellStyle name="Note 4 2 3 3 9" xfId="20532" xr:uid="{00000000-0005-0000-0000-0000CC440000}"/>
    <cellStyle name="Note 4 2 3 30" xfId="47355" xr:uid="{00000000-0005-0000-0000-0000CD440000}"/>
    <cellStyle name="Note 4 2 3 31" xfId="47443" xr:uid="{00000000-0005-0000-0000-0000CE440000}"/>
    <cellStyle name="Note 4 2 3 32" xfId="47490" xr:uid="{00000000-0005-0000-0000-0000CF440000}"/>
    <cellStyle name="Note 4 2 3 4" xfId="723" xr:uid="{00000000-0005-0000-0000-0000D0440000}"/>
    <cellStyle name="Note 4 2 3 4 10" xfId="24456" xr:uid="{00000000-0005-0000-0000-0000D1440000}"/>
    <cellStyle name="Note 4 2 3 4 11" xfId="28349" xr:uid="{00000000-0005-0000-0000-0000D2440000}"/>
    <cellStyle name="Note 4 2 3 4 12" xfId="29696" xr:uid="{00000000-0005-0000-0000-0000D3440000}"/>
    <cellStyle name="Note 4 2 3 4 13" xfId="35794" xr:uid="{00000000-0005-0000-0000-0000D4440000}"/>
    <cellStyle name="Note 4 2 3 4 14" xfId="39815" xr:uid="{00000000-0005-0000-0000-0000D5440000}"/>
    <cellStyle name="Note 4 2 3 4 15" xfId="43620" xr:uid="{00000000-0005-0000-0000-0000D6440000}"/>
    <cellStyle name="Note 4 2 3 4 2" xfId="1102" xr:uid="{00000000-0005-0000-0000-0000D7440000}"/>
    <cellStyle name="Note 4 2 3 4 2 10" xfId="28712" xr:uid="{00000000-0005-0000-0000-0000D8440000}"/>
    <cellStyle name="Note 4 2 3 4 2 11" xfId="32399" xr:uid="{00000000-0005-0000-0000-0000D9440000}"/>
    <cellStyle name="Note 4 2 3 4 2 12" xfId="36160" xr:uid="{00000000-0005-0000-0000-0000DA440000}"/>
    <cellStyle name="Note 4 2 3 4 2 13" xfId="40162" xr:uid="{00000000-0005-0000-0000-0000DB440000}"/>
    <cellStyle name="Note 4 2 3 4 2 14" xfId="43986" xr:uid="{00000000-0005-0000-0000-0000DC440000}"/>
    <cellStyle name="Note 4 2 3 4 2 2" xfId="1829" xr:uid="{00000000-0005-0000-0000-0000DD440000}"/>
    <cellStyle name="Note 4 2 3 4 2 2 10" xfId="33116" xr:uid="{00000000-0005-0000-0000-0000DE440000}"/>
    <cellStyle name="Note 4 2 3 4 2 2 11" xfId="36886" xr:uid="{00000000-0005-0000-0000-0000DF440000}"/>
    <cellStyle name="Note 4 2 3 4 2 2 12" xfId="40877" xr:uid="{00000000-0005-0000-0000-0000E0440000}"/>
    <cellStyle name="Note 4 2 3 4 2 2 13" xfId="44708" xr:uid="{00000000-0005-0000-0000-0000E1440000}"/>
    <cellStyle name="Note 4 2 3 4 2 2 2" xfId="3819" xr:uid="{00000000-0005-0000-0000-0000E2440000}"/>
    <cellStyle name="Note 4 2 3 4 2 2 2 10" xfId="38870" xr:uid="{00000000-0005-0000-0000-0000E3440000}"/>
    <cellStyle name="Note 4 2 3 4 2 2 2 11" xfId="42881" xr:uid="{00000000-0005-0000-0000-0000E4440000}"/>
    <cellStyle name="Note 4 2 3 4 2 2 2 12" xfId="46646" xr:uid="{00000000-0005-0000-0000-0000E5440000}"/>
    <cellStyle name="Note 4 2 3 4 2 2 2 2" xfId="7686" xr:uid="{00000000-0005-0000-0000-0000E6440000}"/>
    <cellStyle name="Note 4 2 3 4 2 2 2 3" xfId="12121" xr:uid="{00000000-0005-0000-0000-0000E7440000}"/>
    <cellStyle name="Note 4 2 3 4 2 2 2 4" xfId="15966" xr:uid="{00000000-0005-0000-0000-0000E8440000}"/>
    <cellStyle name="Note 4 2 3 4 2 2 2 5" xfId="19813" xr:uid="{00000000-0005-0000-0000-0000E9440000}"/>
    <cellStyle name="Note 4 2 3 4 2 2 2 6" xfId="23729" xr:uid="{00000000-0005-0000-0000-0000EA440000}"/>
    <cellStyle name="Note 4 2 3 4 2 2 2 7" xfId="27563" xr:uid="{00000000-0005-0000-0000-0000EB440000}"/>
    <cellStyle name="Note 4 2 3 4 2 2 2 8" xfId="31427" xr:uid="{00000000-0005-0000-0000-0000EC440000}"/>
    <cellStyle name="Note 4 2 3 4 2 2 2 9" xfId="35084" xr:uid="{00000000-0005-0000-0000-0000ED440000}"/>
    <cellStyle name="Note 4 2 3 4 2 2 3" xfId="5762" xr:uid="{00000000-0005-0000-0000-0000EE440000}"/>
    <cellStyle name="Note 4 2 3 4 2 2 4" xfId="10120" xr:uid="{00000000-0005-0000-0000-0000EF440000}"/>
    <cellStyle name="Note 4 2 3 4 2 2 5" xfId="13966" xr:uid="{00000000-0005-0000-0000-0000F0440000}"/>
    <cellStyle name="Note 4 2 3 4 2 2 6" xfId="17795" xr:uid="{00000000-0005-0000-0000-0000F1440000}"/>
    <cellStyle name="Note 4 2 3 4 2 2 7" xfId="21734" xr:uid="{00000000-0005-0000-0000-0000F2440000}"/>
    <cellStyle name="Note 4 2 3 4 2 2 8" xfId="25547" xr:uid="{00000000-0005-0000-0000-0000F3440000}"/>
    <cellStyle name="Note 4 2 3 4 2 2 9" xfId="29434" xr:uid="{00000000-0005-0000-0000-0000F4440000}"/>
    <cellStyle name="Note 4 2 3 4 2 3" xfId="3092" xr:uid="{00000000-0005-0000-0000-0000F5440000}"/>
    <cellStyle name="Note 4 2 3 4 2 3 10" xfId="38144" xr:uid="{00000000-0005-0000-0000-0000F6440000}"/>
    <cellStyle name="Note 4 2 3 4 2 3 11" xfId="42156" xr:uid="{00000000-0005-0000-0000-0000F7440000}"/>
    <cellStyle name="Note 4 2 3 4 2 3 12" xfId="45929" xr:uid="{00000000-0005-0000-0000-0000F8440000}"/>
    <cellStyle name="Note 4 2 3 4 2 3 2" xfId="6968" xr:uid="{00000000-0005-0000-0000-0000F9440000}"/>
    <cellStyle name="Note 4 2 3 4 2 3 3" xfId="11397" xr:uid="{00000000-0005-0000-0000-0000FA440000}"/>
    <cellStyle name="Note 4 2 3 4 2 3 4" xfId="15241" xr:uid="{00000000-0005-0000-0000-0000FB440000}"/>
    <cellStyle name="Note 4 2 3 4 2 3 5" xfId="19086" xr:uid="{00000000-0005-0000-0000-0000FC440000}"/>
    <cellStyle name="Note 4 2 3 4 2 3 6" xfId="23008" xr:uid="{00000000-0005-0000-0000-0000FD440000}"/>
    <cellStyle name="Note 4 2 3 4 2 3 7" xfId="26837" xr:uid="{00000000-0005-0000-0000-0000FE440000}"/>
    <cellStyle name="Note 4 2 3 4 2 3 8" xfId="30710" xr:uid="{00000000-0005-0000-0000-0000FF440000}"/>
    <cellStyle name="Note 4 2 3 4 2 3 9" xfId="34367" xr:uid="{00000000-0005-0000-0000-000000450000}"/>
    <cellStyle name="Note 4 2 3 4 2 4" xfId="5044" xr:uid="{00000000-0005-0000-0000-000001450000}"/>
    <cellStyle name="Note 4 2 3 4 2 5" xfId="9400" xr:uid="{00000000-0005-0000-0000-000002450000}"/>
    <cellStyle name="Note 4 2 3 4 2 6" xfId="13240" xr:uid="{00000000-0005-0000-0000-000003450000}"/>
    <cellStyle name="Note 4 2 3 4 2 7" xfId="17068" xr:uid="{00000000-0005-0000-0000-000004450000}"/>
    <cellStyle name="Note 4 2 3 4 2 8" xfId="21010" xr:uid="{00000000-0005-0000-0000-000005450000}"/>
    <cellStyle name="Note 4 2 3 4 2 9" xfId="24824" xr:uid="{00000000-0005-0000-0000-000006450000}"/>
    <cellStyle name="Note 4 2 3 4 3" xfId="1476" xr:uid="{00000000-0005-0000-0000-000007450000}"/>
    <cellStyle name="Note 4 2 3 4 3 10" xfId="32763" xr:uid="{00000000-0005-0000-0000-000008450000}"/>
    <cellStyle name="Note 4 2 3 4 3 11" xfId="36533" xr:uid="{00000000-0005-0000-0000-000009450000}"/>
    <cellStyle name="Note 4 2 3 4 3 12" xfId="40524" xr:uid="{00000000-0005-0000-0000-00000A450000}"/>
    <cellStyle name="Note 4 2 3 4 3 13" xfId="44355" xr:uid="{00000000-0005-0000-0000-00000B450000}"/>
    <cellStyle name="Note 4 2 3 4 3 2" xfId="3466" xr:uid="{00000000-0005-0000-0000-00000C450000}"/>
    <cellStyle name="Note 4 2 3 4 3 2 10" xfId="38517" xr:uid="{00000000-0005-0000-0000-00000D450000}"/>
    <cellStyle name="Note 4 2 3 4 3 2 11" xfId="42528" xr:uid="{00000000-0005-0000-0000-00000E450000}"/>
    <cellStyle name="Note 4 2 3 4 3 2 12" xfId="46293" xr:uid="{00000000-0005-0000-0000-00000F450000}"/>
    <cellStyle name="Note 4 2 3 4 3 2 2" xfId="7333" xr:uid="{00000000-0005-0000-0000-000010450000}"/>
    <cellStyle name="Note 4 2 3 4 3 2 3" xfId="11768" xr:uid="{00000000-0005-0000-0000-000011450000}"/>
    <cellStyle name="Note 4 2 3 4 3 2 4" xfId="15613" xr:uid="{00000000-0005-0000-0000-000012450000}"/>
    <cellStyle name="Note 4 2 3 4 3 2 5" xfId="19460" xr:uid="{00000000-0005-0000-0000-000013450000}"/>
    <cellStyle name="Note 4 2 3 4 3 2 6" xfId="23376" xr:uid="{00000000-0005-0000-0000-000014450000}"/>
    <cellStyle name="Note 4 2 3 4 3 2 7" xfId="27210" xr:uid="{00000000-0005-0000-0000-000015450000}"/>
    <cellStyle name="Note 4 2 3 4 3 2 8" xfId="31077" xr:uid="{00000000-0005-0000-0000-000016450000}"/>
    <cellStyle name="Note 4 2 3 4 3 2 9" xfId="34731" xr:uid="{00000000-0005-0000-0000-000017450000}"/>
    <cellStyle name="Note 4 2 3 4 3 3" xfId="5409" xr:uid="{00000000-0005-0000-0000-000018450000}"/>
    <cellStyle name="Note 4 2 3 4 3 4" xfId="9767" xr:uid="{00000000-0005-0000-0000-000019450000}"/>
    <cellStyle name="Note 4 2 3 4 3 5" xfId="13613" xr:uid="{00000000-0005-0000-0000-00001A450000}"/>
    <cellStyle name="Note 4 2 3 4 3 6" xfId="17442" xr:uid="{00000000-0005-0000-0000-00001B450000}"/>
    <cellStyle name="Note 4 2 3 4 3 7" xfId="21381" xr:uid="{00000000-0005-0000-0000-00001C450000}"/>
    <cellStyle name="Note 4 2 3 4 3 8" xfId="25194" xr:uid="{00000000-0005-0000-0000-00001D450000}"/>
    <cellStyle name="Note 4 2 3 4 3 9" xfId="29081" xr:uid="{00000000-0005-0000-0000-00001E450000}"/>
    <cellStyle name="Note 4 2 3 4 4" xfId="2726" xr:uid="{00000000-0005-0000-0000-00001F450000}"/>
    <cellStyle name="Note 4 2 3 4 4 10" xfId="37778" xr:uid="{00000000-0005-0000-0000-000020450000}"/>
    <cellStyle name="Note 4 2 3 4 4 11" xfId="41792" xr:uid="{00000000-0005-0000-0000-000021450000}"/>
    <cellStyle name="Note 4 2 3 4 4 12" xfId="45576" xr:uid="{00000000-0005-0000-0000-000022450000}"/>
    <cellStyle name="Note 4 2 3 4 4 2" xfId="6613" xr:uid="{00000000-0005-0000-0000-000023450000}"/>
    <cellStyle name="Note 4 2 3 4 4 3" xfId="11037" xr:uid="{00000000-0005-0000-0000-000024450000}"/>
    <cellStyle name="Note 4 2 3 4 4 4" xfId="14882" xr:uid="{00000000-0005-0000-0000-000025450000}"/>
    <cellStyle name="Note 4 2 3 4 4 5" xfId="18720" xr:uid="{00000000-0005-0000-0000-000026450000}"/>
    <cellStyle name="Note 4 2 3 4 4 6" xfId="22651" xr:uid="{00000000-0005-0000-0000-000027450000}"/>
    <cellStyle name="Note 4 2 3 4 4 7" xfId="26471" xr:uid="{00000000-0005-0000-0000-000028450000}"/>
    <cellStyle name="Note 4 2 3 4 4 8" xfId="30350" xr:uid="{00000000-0005-0000-0000-000029450000}"/>
    <cellStyle name="Note 4 2 3 4 4 9" xfId="34014" xr:uid="{00000000-0005-0000-0000-00002A450000}"/>
    <cellStyle name="Note 4 2 3 4 5" xfId="4689" xr:uid="{00000000-0005-0000-0000-00002B450000}"/>
    <cellStyle name="Note 4 2 3 4 6" xfId="9031" xr:uid="{00000000-0005-0000-0000-00002C450000}"/>
    <cellStyle name="Note 4 2 3 4 7" xfId="12869" xr:uid="{00000000-0005-0000-0000-00002D450000}"/>
    <cellStyle name="Note 4 2 3 4 8" xfId="16699" xr:uid="{00000000-0005-0000-0000-00002E450000}"/>
    <cellStyle name="Note 4 2 3 4 9" xfId="20636" xr:uid="{00000000-0005-0000-0000-00002F450000}"/>
    <cellStyle name="Note 4 2 3 5" xfId="880" xr:uid="{00000000-0005-0000-0000-000030450000}"/>
    <cellStyle name="Note 4 2 3 5 10" xfId="24604" xr:uid="{00000000-0005-0000-0000-000031450000}"/>
    <cellStyle name="Note 4 2 3 5 11" xfId="28494" xr:uid="{00000000-0005-0000-0000-000032450000}"/>
    <cellStyle name="Note 4 2 3 5 12" xfId="32181" xr:uid="{00000000-0005-0000-0000-000033450000}"/>
    <cellStyle name="Note 4 2 3 5 13" xfId="35938" xr:uid="{00000000-0005-0000-0000-000034450000}"/>
    <cellStyle name="Note 4 2 3 5 14" xfId="39948" xr:uid="{00000000-0005-0000-0000-000035450000}"/>
    <cellStyle name="Note 4 2 3 5 15" xfId="43764" xr:uid="{00000000-0005-0000-0000-000036450000}"/>
    <cellStyle name="Note 4 2 3 5 2" xfId="1217" xr:uid="{00000000-0005-0000-0000-000037450000}"/>
    <cellStyle name="Note 4 2 3 5 2 10" xfId="28825" xr:uid="{00000000-0005-0000-0000-000038450000}"/>
    <cellStyle name="Note 4 2 3 5 2 11" xfId="32509" xr:uid="{00000000-0005-0000-0000-000039450000}"/>
    <cellStyle name="Note 4 2 3 5 2 12" xfId="36275" xr:uid="{00000000-0005-0000-0000-00003A450000}"/>
    <cellStyle name="Note 4 2 3 5 2 13" xfId="40268" xr:uid="{00000000-0005-0000-0000-00003B450000}"/>
    <cellStyle name="Note 4 2 3 5 2 14" xfId="44101" xr:uid="{00000000-0005-0000-0000-00003C450000}"/>
    <cellStyle name="Note 4 2 3 5 2 2" xfId="1939" xr:uid="{00000000-0005-0000-0000-00003D450000}"/>
    <cellStyle name="Note 4 2 3 5 2 2 10" xfId="33226" xr:uid="{00000000-0005-0000-0000-00003E450000}"/>
    <cellStyle name="Note 4 2 3 5 2 2 11" xfId="36996" xr:uid="{00000000-0005-0000-0000-00003F450000}"/>
    <cellStyle name="Note 4 2 3 5 2 2 12" xfId="40987" xr:uid="{00000000-0005-0000-0000-000040450000}"/>
    <cellStyle name="Note 4 2 3 5 2 2 13" xfId="44818" xr:uid="{00000000-0005-0000-0000-000041450000}"/>
    <cellStyle name="Note 4 2 3 5 2 2 2" xfId="3929" xr:uid="{00000000-0005-0000-0000-000042450000}"/>
    <cellStyle name="Note 4 2 3 5 2 2 2 10" xfId="38980" xr:uid="{00000000-0005-0000-0000-000043450000}"/>
    <cellStyle name="Note 4 2 3 5 2 2 2 11" xfId="42991" xr:uid="{00000000-0005-0000-0000-000044450000}"/>
    <cellStyle name="Note 4 2 3 5 2 2 2 12" xfId="46756" xr:uid="{00000000-0005-0000-0000-000045450000}"/>
    <cellStyle name="Note 4 2 3 5 2 2 2 2" xfId="7796" xr:uid="{00000000-0005-0000-0000-000046450000}"/>
    <cellStyle name="Note 4 2 3 5 2 2 2 3" xfId="12231" xr:uid="{00000000-0005-0000-0000-000047450000}"/>
    <cellStyle name="Note 4 2 3 5 2 2 2 4" xfId="16076" xr:uid="{00000000-0005-0000-0000-000048450000}"/>
    <cellStyle name="Note 4 2 3 5 2 2 2 5" xfId="19923" xr:uid="{00000000-0005-0000-0000-000049450000}"/>
    <cellStyle name="Note 4 2 3 5 2 2 2 6" xfId="23839" xr:uid="{00000000-0005-0000-0000-00004A450000}"/>
    <cellStyle name="Note 4 2 3 5 2 2 2 7" xfId="27673" xr:uid="{00000000-0005-0000-0000-00004B450000}"/>
    <cellStyle name="Note 4 2 3 5 2 2 2 8" xfId="31534" xr:uid="{00000000-0005-0000-0000-00004C450000}"/>
    <cellStyle name="Note 4 2 3 5 2 2 2 9" xfId="35194" xr:uid="{00000000-0005-0000-0000-00004D450000}"/>
    <cellStyle name="Note 4 2 3 5 2 2 3" xfId="5872" xr:uid="{00000000-0005-0000-0000-00004E450000}"/>
    <cellStyle name="Note 4 2 3 5 2 2 4" xfId="10230" xr:uid="{00000000-0005-0000-0000-00004F450000}"/>
    <cellStyle name="Note 4 2 3 5 2 2 5" xfId="14076" xr:uid="{00000000-0005-0000-0000-000050450000}"/>
    <cellStyle name="Note 4 2 3 5 2 2 6" xfId="17905" xr:uid="{00000000-0005-0000-0000-000051450000}"/>
    <cellStyle name="Note 4 2 3 5 2 2 7" xfId="21844" xr:uid="{00000000-0005-0000-0000-000052450000}"/>
    <cellStyle name="Note 4 2 3 5 2 2 8" xfId="25657" xr:uid="{00000000-0005-0000-0000-000053450000}"/>
    <cellStyle name="Note 4 2 3 5 2 2 9" xfId="29544" xr:uid="{00000000-0005-0000-0000-000054450000}"/>
    <cellStyle name="Note 4 2 3 5 2 3" xfId="3207" xr:uid="{00000000-0005-0000-0000-000055450000}"/>
    <cellStyle name="Note 4 2 3 5 2 3 10" xfId="38259" xr:uid="{00000000-0005-0000-0000-000056450000}"/>
    <cellStyle name="Note 4 2 3 5 2 3 11" xfId="42270" xr:uid="{00000000-0005-0000-0000-000057450000}"/>
    <cellStyle name="Note 4 2 3 5 2 3 12" xfId="46039" xr:uid="{00000000-0005-0000-0000-000058450000}"/>
    <cellStyle name="Note 4 2 3 5 2 3 2" xfId="7079" xr:uid="{00000000-0005-0000-0000-000059450000}"/>
    <cellStyle name="Note 4 2 3 5 2 3 3" xfId="11511" xr:uid="{00000000-0005-0000-0000-00005A450000}"/>
    <cellStyle name="Note 4 2 3 5 2 3 4" xfId="15355" xr:uid="{00000000-0005-0000-0000-00005B450000}"/>
    <cellStyle name="Note 4 2 3 5 2 3 5" xfId="19201" xr:uid="{00000000-0005-0000-0000-00005C450000}"/>
    <cellStyle name="Note 4 2 3 5 2 3 6" xfId="23120" xr:uid="{00000000-0005-0000-0000-00005D450000}"/>
    <cellStyle name="Note 4 2 3 5 2 3 7" xfId="26952" xr:uid="{00000000-0005-0000-0000-00005E450000}"/>
    <cellStyle name="Note 4 2 3 5 2 3 8" xfId="30822" xr:uid="{00000000-0005-0000-0000-00005F450000}"/>
    <cellStyle name="Note 4 2 3 5 2 3 9" xfId="34477" xr:uid="{00000000-0005-0000-0000-000060450000}"/>
    <cellStyle name="Note 4 2 3 5 2 4" xfId="5155" xr:uid="{00000000-0005-0000-0000-000061450000}"/>
    <cellStyle name="Note 4 2 3 5 2 5" xfId="9511" xr:uid="{00000000-0005-0000-0000-000062450000}"/>
    <cellStyle name="Note 4 2 3 5 2 6" xfId="13355" xr:uid="{00000000-0005-0000-0000-000063450000}"/>
    <cellStyle name="Note 4 2 3 5 2 7" xfId="17183" xr:uid="{00000000-0005-0000-0000-000064450000}"/>
    <cellStyle name="Note 4 2 3 5 2 8" xfId="21125" xr:uid="{00000000-0005-0000-0000-000065450000}"/>
    <cellStyle name="Note 4 2 3 5 2 9" xfId="24936" xr:uid="{00000000-0005-0000-0000-000066450000}"/>
    <cellStyle name="Note 4 2 3 5 3" xfId="1611" xr:uid="{00000000-0005-0000-0000-000067450000}"/>
    <cellStyle name="Note 4 2 3 5 3 10" xfId="32898" xr:uid="{00000000-0005-0000-0000-000068450000}"/>
    <cellStyle name="Note 4 2 3 5 3 11" xfId="36668" xr:uid="{00000000-0005-0000-0000-000069450000}"/>
    <cellStyle name="Note 4 2 3 5 3 12" xfId="40659" xr:uid="{00000000-0005-0000-0000-00006A450000}"/>
    <cellStyle name="Note 4 2 3 5 3 13" xfId="44490" xr:uid="{00000000-0005-0000-0000-00006B450000}"/>
    <cellStyle name="Note 4 2 3 5 3 2" xfId="3601" xr:uid="{00000000-0005-0000-0000-00006C450000}"/>
    <cellStyle name="Note 4 2 3 5 3 2 10" xfId="38652" xr:uid="{00000000-0005-0000-0000-00006D450000}"/>
    <cellStyle name="Note 4 2 3 5 3 2 11" xfId="42663" xr:uid="{00000000-0005-0000-0000-00006E450000}"/>
    <cellStyle name="Note 4 2 3 5 3 2 12" xfId="46428" xr:uid="{00000000-0005-0000-0000-00006F450000}"/>
    <cellStyle name="Note 4 2 3 5 3 2 2" xfId="7468" xr:uid="{00000000-0005-0000-0000-000070450000}"/>
    <cellStyle name="Note 4 2 3 5 3 2 3" xfId="11903" xr:uid="{00000000-0005-0000-0000-000071450000}"/>
    <cellStyle name="Note 4 2 3 5 3 2 4" xfId="15748" xr:uid="{00000000-0005-0000-0000-000072450000}"/>
    <cellStyle name="Note 4 2 3 5 3 2 5" xfId="19595" xr:uid="{00000000-0005-0000-0000-000073450000}"/>
    <cellStyle name="Note 4 2 3 5 3 2 6" xfId="23511" xr:uid="{00000000-0005-0000-0000-000074450000}"/>
    <cellStyle name="Note 4 2 3 5 3 2 7" xfId="27345" xr:uid="{00000000-0005-0000-0000-000075450000}"/>
    <cellStyle name="Note 4 2 3 5 3 2 8" xfId="31210" xr:uid="{00000000-0005-0000-0000-000076450000}"/>
    <cellStyle name="Note 4 2 3 5 3 2 9" xfId="34866" xr:uid="{00000000-0005-0000-0000-000077450000}"/>
    <cellStyle name="Note 4 2 3 5 3 3" xfId="5544" xr:uid="{00000000-0005-0000-0000-000078450000}"/>
    <cellStyle name="Note 4 2 3 5 3 4" xfId="9902" xr:uid="{00000000-0005-0000-0000-000079450000}"/>
    <cellStyle name="Note 4 2 3 5 3 5" xfId="13748" xr:uid="{00000000-0005-0000-0000-00007A450000}"/>
    <cellStyle name="Note 4 2 3 5 3 6" xfId="17577" xr:uid="{00000000-0005-0000-0000-00007B450000}"/>
    <cellStyle name="Note 4 2 3 5 3 7" xfId="21516" xr:uid="{00000000-0005-0000-0000-00007C450000}"/>
    <cellStyle name="Note 4 2 3 5 3 8" xfId="25329" xr:uid="{00000000-0005-0000-0000-00007D450000}"/>
    <cellStyle name="Note 4 2 3 5 3 9" xfId="29216" xr:uid="{00000000-0005-0000-0000-00007E450000}"/>
    <cellStyle name="Note 4 2 3 5 4" xfId="2870" xr:uid="{00000000-0005-0000-0000-00007F450000}"/>
    <cellStyle name="Note 4 2 3 5 4 10" xfId="37922" xr:uid="{00000000-0005-0000-0000-000080450000}"/>
    <cellStyle name="Note 4 2 3 5 4 11" xfId="41934" xr:uid="{00000000-0005-0000-0000-000081450000}"/>
    <cellStyle name="Note 4 2 3 5 4 12" xfId="45711" xr:uid="{00000000-0005-0000-0000-000082450000}"/>
    <cellStyle name="Note 4 2 3 5 4 2" xfId="6750" xr:uid="{00000000-0005-0000-0000-000083450000}"/>
    <cellStyle name="Note 4 2 3 5 4 3" xfId="11177" xr:uid="{00000000-0005-0000-0000-000084450000}"/>
    <cellStyle name="Note 4 2 3 5 4 4" xfId="15022" xr:uid="{00000000-0005-0000-0000-000085450000}"/>
    <cellStyle name="Note 4 2 3 5 4 5" xfId="18864" xr:uid="{00000000-0005-0000-0000-000086450000}"/>
    <cellStyle name="Note 4 2 3 5 4 6" xfId="22790" xr:uid="{00000000-0005-0000-0000-000087450000}"/>
    <cellStyle name="Note 4 2 3 5 4 7" xfId="26615" xr:uid="{00000000-0005-0000-0000-000088450000}"/>
    <cellStyle name="Note 4 2 3 5 4 8" xfId="30491" xr:uid="{00000000-0005-0000-0000-000089450000}"/>
    <cellStyle name="Note 4 2 3 5 4 9" xfId="34149" xr:uid="{00000000-0005-0000-0000-00008A450000}"/>
    <cellStyle name="Note 4 2 3 5 5" xfId="4826" xr:uid="{00000000-0005-0000-0000-00008B450000}"/>
    <cellStyle name="Note 4 2 3 5 6" xfId="9180" xr:uid="{00000000-0005-0000-0000-00008C450000}"/>
    <cellStyle name="Note 4 2 3 5 7" xfId="13021" xr:uid="{00000000-0005-0000-0000-00008D450000}"/>
    <cellStyle name="Note 4 2 3 5 8" xfId="16846" xr:uid="{00000000-0005-0000-0000-00008E450000}"/>
    <cellStyle name="Note 4 2 3 5 9" xfId="20788" xr:uid="{00000000-0005-0000-0000-00008F450000}"/>
    <cellStyle name="Note 4 2 3 6" xfId="926" xr:uid="{00000000-0005-0000-0000-000090450000}"/>
    <cellStyle name="Note 4 2 3 6 10" xfId="28538" xr:uid="{00000000-0005-0000-0000-000091450000}"/>
    <cellStyle name="Note 4 2 3 6 11" xfId="32227" xr:uid="{00000000-0005-0000-0000-000092450000}"/>
    <cellStyle name="Note 4 2 3 6 12" xfId="35984" xr:uid="{00000000-0005-0000-0000-000093450000}"/>
    <cellStyle name="Note 4 2 3 6 13" xfId="39992" xr:uid="{00000000-0005-0000-0000-000094450000}"/>
    <cellStyle name="Note 4 2 3 6 14" xfId="43810" xr:uid="{00000000-0005-0000-0000-000095450000}"/>
    <cellStyle name="Note 4 2 3 6 2" xfId="1657" xr:uid="{00000000-0005-0000-0000-000096450000}"/>
    <cellStyle name="Note 4 2 3 6 2 10" xfId="32944" xr:uid="{00000000-0005-0000-0000-000097450000}"/>
    <cellStyle name="Note 4 2 3 6 2 11" xfId="36714" xr:uid="{00000000-0005-0000-0000-000098450000}"/>
    <cellStyle name="Note 4 2 3 6 2 12" xfId="40705" xr:uid="{00000000-0005-0000-0000-000099450000}"/>
    <cellStyle name="Note 4 2 3 6 2 13" xfId="44536" xr:uid="{00000000-0005-0000-0000-00009A450000}"/>
    <cellStyle name="Note 4 2 3 6 2 2" xfId="3647" xr:uid="{00000000-0005-0000-0000-00009B450000}"/>
    <cellStyle name="Note 4 2 3 6 2 2 10" xfId="38698" xr:uid="{00000000-0005-0000-0000-00009C450000}"/>
    <cellStyle name="Note 4 2 3 6 2 2 11" xfId="42709" xr:uid="{00000000-0005-0000-0000-00009D450000}"/>
    <cellStyle name="Note 4 2 3 6 2 2 12" xfId="46474" xr:uid="{00000000-0005-0000-0000-00009E450000}"/>
    <cellStyle name="Note 4 2 3 6 2 2 2" xfId="7514" xr:uid="{00000000-0005-0000-0000-00009F450000}"/>
    <cellStyle name="Note 4 2 3 6 2 2 3" xfId="11949" xr:uid="{00000000-0005-0000-0000-0000A0450000}"/>
    <cellStyle name="Note 4 2 3 6 2 2 4" xfId="15794" xr:uid="{00000000-0005-0000-0000-0000A1450000}"/>
    <cellStyle name="Note 4 2 3 6 2 2 5" xfId="19641" xr:uid="{00000000-0005-0000-0000-0000A2450000}"/>
    <cellStyle name="Note 4 2 3 6 2 2 6" xfId="23557" xr:uid="{00000000-0005-0000-0000-0000A3450000}"/>
    <cellStyle name="Note 4 2 3 6 2 2 7" xfId="27391" xr:uid="{00000000-0005-0000-0000-0000A4450000}"/>
    <cellStyle name="Note 4 2 3 6 2 2 8" xfId="31255" xr:uid="{00000000-0005-0000-0000-0000A5450000}"/>
    <cellStyle name="Note 4 2 3 6 2 2 9" xfId="34912" xr:uid="{00000000-0005-0000-0000-0000A6450000}"/>
    <cellStyle name="Note 4 2 3 6 2 3" xfId="5590" xr:uid="{00000000-0005-0000-0000-0000A7450000}"/>
    <cellStyle name="Note 4 2 3 6 2 4" xfId="9948" xr:uid="{00000000-0005-0000-0000-0000A8450000}"/>
    <cellStyle name="Note 4 2 3 6 2 5" xfId="13794" xr:uid="{00000000-0005-0000-0000-0000A9450000}"/>
    <cellStyle name="Note 4 2 3 6 2 6" xfId="17623" xr:uid="{00000000-0005-0000-0000-0000AA450000}"/>
    <cellStyle name="Note 4 2 3 6 2 7" xfId="21562" xr:uid="{00000000-0005-0000-0000-0000AB450000}"/>
    <cellStyle name="Note 4 2 3 6 2 8" xfId="25375" xr:uid="{00000000-0005-0000-0000-0000AC450000}"/>
    <cellStyle name="Note 4 2 3 6 2 9" xfId="29262" xr:uid="{00000000-0005-0000-0000-0000AD450000}"/>
    <cellStyle name="Note 4 2 3 6 3" xfId="2916" xr:uid="{00000000-0005-0000-0000-0000AE450000}"/>
    <cellStyle name="Note 4 2 3 6 3 10" xfId="37968" xr:uid="{00000000-0005-0000-0000-0000AF450000}"/>
    <cellStyle name="Note 4 2 3 6 3 11" xfId="41980" xr:uid="{00000000-0005-0000-0000-0000B0450000}"/>
    <cellStyle name="Note 4 2 3 6 3 12" xfId="45757" xr:uid="{00000000-0005-0000-0000-0000B1450000}"/>
    <cellStyle name="Note 4 2 3 6 3 2" xfId="6796" xr:uid="{00000000-0005-0000-0000-0000B2450000}"/>
    <cellStyle name="Note 4 2 3 6 3 3" xfId="11223" xr:uid="{00000000-0005-0000-0000-0000B3450000}"/>
    <cellStyle name="Note 4 2 3 6 3 4" xfId="15068" xr:uid="{00000000-0005-0000-0000-0000B4450000}"/>
    <cellStyle name="Note 4 2 3 6 3 5" xfId="18910" xr:uid="{00000000-0005-0000-0000-0000B5450000}"/>
    <cellStyle name="Note 4 2 3 6 3 6" xfId="22836" xr:uid="{00000000-0005-0000-0000-0000B6450000}"/>
    <cellStyle name="Note 4 2 3 6 3 7" xfId="26661" xr:uid="{00000000-0005-0000-0000-0000B7450000}"/>
    <cellStyle name="Note 4 2 3 6 3 8" xfId="30536" xr:uid="{00000000-0005-0000-0000-0000B8450000}"/>
    <cellStyle name="Note 4 2 3 6 3 9" xfId="34195" xr:uid="{00000000-0005-0000-0000-0000B9450000}"/>
    <cellStyle name="Note 4 2 3 6 4" xfId="4872" xr:uid="{00000000-0005-0000-0000-0000BA450000}"/>
    <cellStyle name="Note 4 2 3 6 5" xfId="9226" xr:uid="{00000000-0005-0000-0000-0000BB450000}"/>
    <cellStyle name="Note 4 2 3 6 6" xfId="13067" xr:uid="{00000000-0005-0000-0000-0000BC450000}"/>
    <cellStyle name="Note 4 2 3 6 7" xfId="16892" xr:uid="{00000000-0005-0000-0000-0000BD450000}"/>
    <cellStyle name="Note 4 2 3 6 8" xfId="20834" xr:uid="{00000000-0005-0000-0000-0000BE450000}"/>
    <cellStyle name="Note 4 2 3 6 9" xfId="24650" xr:uid="{00000000-0005-0000-0000-0000BF450000}"/>
    <cellStyle name="Note 4 2 3 7" xfId="1304" xr:uid="{00000000-0005-0000-0000-0000C0450000}"/>
    <cellStyle name="Note 4 2 3 7 10" xfId="32591" xr:uid="{00000000-0005-0000-0000-0000C1450000}"/>
    <cellStyle name="Note 4 2 3 7 11" xfId="36361" xr:uid="{00000000-0005-0000-0000-0000C2450000}"/>
    <cellStyle name="Note 4 2 3 7 12" xfId="40352" xr:uid="{00000000-0005-0000-0000-0000C3450000}"/>
    <cellStyle name="Note 4 2 3 7 13" xfId="44183" xr:uid="{00000000-0005-0000-0000-0000C4450000}"/>
    <cellStyle name="Note 4 2 3 7 2" xfId="3294" xr:uid="{00000000-0005-0000-0000-0000C5450000}"/>
    <cellStyle name="Note 4 2 3 7 2 10" xfId="38345" xr:uid="{00000000-0005-0000-0000-0000C6450000}"/>
    <cellStyle name="Note 4 2 3 7 2 11" xfId="42356" xr:uid="{00000000-0005-0000-0000-0000C7450000}"/>
    <cellStyle name="Note 4 2 3 7 2 12" xfId="46121" xr:uid="{00000000-0005-0000-0000-0000C8450000}"/>
    <cellStyle name="Note 4 2 3 7 2 2" xfId="7161" xr:uid="{00000000-0005-0000-0000-0000C9450000}"/>
    <cellStyle name="Note 4 2 3 7 2 3" xfId="11596" xr:uid="{00000000-0005-0000-0000-0000CA450000}"/>
    <cellStyle name="Note 4 2 3 7 2 4" xfId="15441" xr:uid="{00000000-0005-0000-0000-0000CB450000}"/>
    <cellStyle name="Note 4 2 3 7 2 5" xfId="19288" xr:uid="{00000000-0005-0000-0000-0000CC450000}"/>
    <cellStyle name="Note 4 2 3 7 2 6" xfId="23204" xr:uid="{00000000-0005-0000-0000-0000CD450000}"/>
    <cellStyle name="Note 4 2 3 7 2 7" xfId="27038" xr:uid="{00000000-0005-0000-0000-0000CE450000}"/>
    <cellStyle name="Note 4 2 3 7 2 8" xfId="30907" xr:uid="{00000000-0005-0000-0000-0000CF450000}"/>
    <cellStyle name="Note 4 2 3 7 2 9" xfId="34559" xr:uid="{00000000-0005-0000-0000-0000D0450000}"/>
    <cellStyle name="Note 4 2 3 7 3" xfId="5237" xr:uid="{00000000-0005-0000-0000-0000D1450000}"/>
    <cellStyle name="Note 4 2 3 7 4" xfId="9595" xr:uid="{00000000-0005-0000-0000-0000D2450000}"/>
    <cellStyle name="Note 4 2 3 7 5" xfId="13441" xr:uid="{00000000-0005-0000-0000-0000D3450000}"/>
    <cellStyle name="Note 4 2 3 7 6" xfId="17270" xr:uid="{00000000-0005-0000-0000-0000D4450000}"/>
    <cellStyle name="Note 4 2 3 7 7" xfId="21209" xr:uid="{00000000-0005-0000-0000-0000D5450000}"/>
    <cellStyle name="Note 4 2 3 7 8" xfId="25022" xr:uid="{00000000-0005-0000-0000-0000D6450000}"/>
    <cellStyle name="Note 4 2 3 7 9" xfId="28909" xr:uid="{00000000-0005-0000-0000-0000D7450000}"/>
    <cellStyle name="Note 4 2 3 8" xfId="1999" xr:uid="{00000000-0005-0000-0000-0000D8450000}"/>
    <cellStyle name="Note 4 2 3 8 10" xfId="33286" xr:uid="{00000000-0005-0000-0000-0000D9450000}"/>
    <cellStyle name="Note 4 2 3 8 11" xfId="37055" xr:uid="{00000000-0005-0000-0000-0000DA450000}"/>
    <cellStyle name="Note 4 2 3 8 12" xfId="41047" xr:uid="{00000000-0005-0000-0000-0000DB450000}"/>
    <cellStyle name="Note 4 2 3 8 13" xfId="44877" xr:uid="{00000000-0005-0000-0000-0000DC450000}"/>
    <cellStyle name="Note 4 2 3 8 2" xfId="3988" xr:uid="{00000000-0005-0000-0000-0000DD450000}"/>
    <cellStyle name="Note 4 2 3 8 2 10" xfId="39039" xr:uid="{00000000-0005-0000-0000-0000DE450000}"/>
    <cellStyle name="Note 4 2 3 8 2 11" xfId="43050" xr:uid="{00000000-0005-0000-0000-0000DF450000}"/>
    <cellStyle name="Note 4 2 3 8 2 12" xfId="46815" xr:uid="{00000000-0005-0000-0000-0000E0450000}"/>
    <cellStyle name="Note 4 2 3 8 2 2" xfId="7855" xr:uid="{00000000-0005-0000-0000-0000E1450000}"/>
    <cellStyle name="Note 4 2 3 8 2 3" xfId="12290" xr:uid="{00000000-0005-0000-0000-0000E2450000}"/>
    <cellStyle name="Note 4 2 3 8 2 4" xfId="16135" xr:uid="{00000000-0005-0000-0000-0000E3450000}"/>
    <cellStyle name="Note 4 2 3 8 2 5" xfId="19982" xr:uid="{00000000-0005-0000-0000-0000E4450000}"/>
    <cellStyle name="Note 4 2 3 8 2 6" xfId="23898" xr:uid="{00000000-0005-0000-0000-0000E5450000}"/>
    <cellStyle name="Note 4 2 3 8 2 7" xfId="27732" xr:uid="{00000000-0005-0000-0000-0000E6450000}"/>
    <cellStyle name="Note 4 2 3 8 2 8" xfId="31592" xr:uid="{00000000-0005-0000-0000-0000E7450000}"/>
    <cellStyle name="Note 4 2 3 8 2 9" xfId="35253" xr:uid="{00000000-0005-0000-0000-0000E8450000}"/>
    <cellStyle name="Note 4 2 3 8 3" xfId="5931" xr:uid="{00000000-0005-0000-0000-0000E9450000}"/>
    <cellStyle name="Note 4 2 3 8 4" xfId="10289" xr:uid="{00000000-0005-0000-0000-0000EA450000}"/>
    <cellStyle name="Note 4 2 3 8 5" xfId="14136" xr:uid="{00000000-0005-0000-0000-0000EB450000}"/>
    <cellStyle name="Note 4 2 3 8 6" xfId="17965" xr:uid="{00000000-0005-0000-0000-0000EC450000}"/>
    <cellStyle name="Note 4 2 3 8 7" xfId="21904" xr:uid="{00000000-0005-0000-0000-0000ED450000}"/>
    <cellStyle name="Note 4 2 3 8 8" xfId="25717" xr:uid="{00000000-0005-0000-0000-0000EE450000}"/>
    <cellStyle name="Note 4 2 3 8 9" xfId="29604" xr:uid="{00000000-0005-0000-0000-0000EF450000}"/>
    <cellStyle name="Note 4 2 3 9" xfId="2046" xr:uid="{00000000-0005-0000-0000-0000F0450000}"/>
    <cellStyle name="Note 4 2 3 9 10" xfId="33330" xr:uid="{00000000-0005-0000-0000-0000F1450000}"/>
    <cellStyle name="Note 4 2 3 9 11" xfId="37102" xr:uid="{00000000-0005-0000-0000-0000F2450000}"/>
    <cellStyle name="Note 4 2 3 9 12" xfId="41092" xr:uid="{00000000-0005-0000-0000-0000F3450000}"/>
    <cellStyle name="Note 4 2 3 9 13" xfId="44921" xr:uid="{00000000-0005-0000-0000-0000F4450000}"/>
    <cellStyle name="Note 4 2 3 9 2" xfId="4035" xr:uid="{00000000-0005-0000-0000-0000F5450000}"/>
    <cellStyle name="Note 4 2 3 9 2 10" xfId="39086" xr:uid="{00000000-0005-0000-0000-0000F6450000}"/>
    <cellStyle name="Note 4 2 3 9 2 11" xfId="43096" xr:uid="{00000000-0005-0000-0000-0000F7450000}"/>
    <cellStyle name="Note 4 2 3 9 2 12" xfId="46859" xr:uid="{00000000-0005-0000-0000-0000F8450000}"/>
    <cellStyle name="Note 4 2 3 9 2 2" xfId="7900" xr:uid="{00000000-0005-0000-0000-0000F9450000}"/>
    <cellStyle name="Note 4 2 3 9 2 3" xfId="12335" xr:uid="{00000000-0005-0000-0000-0000FA450000}"/>
    <cellStyle name="Note 4 2 3 9 2 4" xfId="16181" xr:uid="{00000000-0005-0000-0000-0000FB450000}"/>
    <cellStyle name="Note 4 2 3 9 2 5" xfId="20029" xr:uid="{00000000-0005-0000-0000-0000FC450000}"/>
    <cellStyle name="Note 4 2 3 9 2 6" xfId="23944" xr:uid="{00000000-0005-0000-0000-0000FD450000}"/>
    <cellStyle name="Note 4 2 3 9 2 7" xfId="27779" xr:uid="{00000000-0005-0000-0000-0000FE450000}"/>
    <cellStyle name="Note 4 2 3 9 2 8" xfId="31638" xr:uid="{00000000-0005-0000-0000-0000FF450000}"/>
    <cellStyle name="Note 4 2 3 9 2 9" xfId="35297" xr:uid="{00000000-0005-0000-0000-000000460000}"/>
    <cellStyle name="Note 4 2 3 9 3" xfId="5976" xr:uid="{00000000-0005-0000-0000-000001460000}"/>
    <cellStyle name="Note 4 2 3 9 4" xfId="10334" xr:uid="{00000000-0005-0000-0000-000002460000}"/>
    <cellStyle name="Note 4 2 3 9 5" xfId="14182" xr:uid="{00000000-0005-0000-0000-000003460000}"/>
    <cellStyle name="Note 4 2 3 9 6" xfId="18012" xr:uid="{00000000-0005-0000-0000-000004460000}"/>
    <cellStyle name="Note 4 2 3 9 7" xfId="21950" xr:uid="{00000000-0005-0000-0000-000005460000}"/>
    <cellStyle name="Note 4 2 3 9 8" xfId="25764" xr:uid="{00000000-0005-0000-0000-000006460000}"/>
    <cellStyle name="Note 4 2 3 9 9" xfId="29650" xr:uid="{00000000-0005-0000-0000-000007460000}"/>
    <cellStyle name="Note 4 2 30" xfId="47420" xr:uid="{00000000-0005-0000-0000-000008460000}"/>
    <cellStyle name="Note 4 2 31" xfId="47401" xr:uid="{00000000-0005-0000-0000-000009460000}"/>
    <cellStyle name="Note 4 2 4" xfId="657" xr:uid="{00000000-0005-0000-0000-00000A460000}"/>
    <cellStyle name="Note 4 2 4 10" xfId="21996" xr:uid="{00000000-0005-0000-0000-00000B460000}"/>
    <cellStyle name="Note 4 2 4 11" xfId="28284" xr:uid="{00000000-0005-0000-0000-00000C460000}"/>
    <cellStyle name="Note 4 2 4 12" xfId="30032" xr:uid="{00000000-0005-0000-0000-00000D460000}"/>
    <cellStyle name="Note 4 2 4 13" xfId="29592" xr:uid="{00000000-0005-0000-0000-00000E460000}"/>
    <cellStyle name="Note 4 2 4 14" xfId="39751" xr:uid="{00000000-0005-0000-0000-00000F460000}"/>
    <cellStyle name="Note 4 2 4 15" xfId="43554" xr:uid="{00000000-0005-0000-0000-000010460000}"/>
    <cellStyle name="Note 4 2 4 2" xfId="1037" xr:uid="{00000000-0005-0000-0000-000011460000}"/>
    <cellStyle name="Note 4 2 4 2 10" xfId="28648" xr:uid="{00000000-0005-0000-0000-000012460000}"/>
    <cellStyle name="Note 4 2 4 2 11" xfId="32334" xr:uid="{00000000-0005-0000-0000-000013460000}"/>
    <cellStyle name="Note 4 2 4 2 12" xfId="36095" xr:uid="{00000000-0005-0000-0000-000014460000}"/>
    <cellStyle name="Note 4 2 4 2 13" xfId="40098" xr:uid="{00000000-0005-0000-0000-000015460000}"/>
    <cellStyle name="Note 4 2 4 2 14" xfId="43921" xr:uid="{00000000-0005-0000-0000-000016460000}"/>
    <cellStyle name="Note 4 2 4 2 2" xfId="1764" xr:uid="{00000000-0005-0000-0000-000017460000}"/>
    <cellStyle name="Note 4 2 4 2 2 10" xfId="33051" xr:uid="{00000000-0005-0000-0000-000018460000}"/>
    <cellStyle name="Note 4 2 4 2 2 11" xfId="36821" xr:uid="{00000000-0005-0000-0000-000019460000}"/>
    <cellStyle name="Note 4 2 4 2 2 12" xfId="40812" xr:uid="{00000000-0005-0000-0000-00001A460000}"/>
    <cellStyle name="Note 4 2 4 2 2 13" xfId="44643" xr:uid="{00000000-0005-0000-0000-00001B460000}"/>
    <cellStyle name="Note 4 2 4 2 2 2" xfId="3754" xr:uid="{00000000-0005-0000-0000-00001C460000}"/>
    <cellStyle name="Note 4 2 4 2 2 2 10" xfId="38805" xr:uid="{00000000-0005-0000-0000-00001D460000}"/>
    <cellStyle name="Note 4 2 4 2 2 2 11" xfId="42816" xr:uid="{00000000-0005-0000-0000-00001E460000}"/>
    <cellStyle name="Note 4 2 4 2 2 2 12" xfId="46581" xr:uid="{00000000-0005-0000-0000-00001F460000}"/>
    <cellStyle name="Note 4 2 4 2 2 2 2" xfId="7621" xr:uid="{00000000-0005-0000-0000-000020460000}"/>
    <cellStyle name="Note 4 2 4 2 2 2 3" xfId="12056" xr:uid="{00000000-0005-0000-0000-000021460000}"/>
    <cellStyle name="Note 4 2 4 2 2 2 4" xfId="15901" xr:uid="{00000000-0005-0000-0000-000022460000}"/>
    <cellStyle name="Note 4 2 4 2 2 2 5" xfId="19748" xr:uid="{00000000-0005-0000-0000-000023460000}"/>
    <cellStyle name="Note 4 2 4 2 2 2 6" xfId="23664" xr:uid="{00000000-0005-0000-0000-000024460000}"/>
    <cellStyle name="Note 4 2 4 2 2 2 7" xfId="27498" xr:uid="{00000000-0005-0000-0000-000025460000}"/>
    <cellStyle name="Note 4 2 4 2 2 2 8" xfId="31362" xr:uid="{00000000-0005-0000-0000-000026460000}"/>
    <cellStyle name="Note 4 2 4 2 2 2 9" xfId="35019" xr:uid="{00000000-0005-0000-0000-000027460000}"/>
    <cellStyle name="Note 4 2 4 2 2 3" xfId="5697" xr:uid="{00000000-0005-0000-0000-000028460000}"/>
    <cellStyle name="Note 4 2 4 2 2 4" xfId="10055" xr:uid="{00000000-0005-0000-0000-000029460000}"/>
    <cellStyle name="Note 4 2 4 2 2 5" xfId="13901" xr:uid="{00000000-0005-0000-0000-00002A460000}"/>
    <cellStyle name="Note 4 2 4 2 2 6" xfId="17730" xr:uid="{00000000-0005-0000-0000-00002B460000}"/>
    <cellStyle name="Note 4 2 4 2 2 7" xfId="21669" xr:uid="{00000000-0005-0000-0000-00002C460000}"/>
    <cellStyle name="Note 4 2 4 2 2 8" xfId="25482" xr:uid="{00000000-0005-0000-0000-00002D460000}"/>
    <cellStyle name="Note 4 2 4 2 2 9" xfId="29369" xr:uid="{00000000-0005-0000-0000-00002E460000}"/>
    <cellStyle name="Note 4 2 4 2 3" xfId="3027" xr:uid="{00000000-0005-0000-0000-00002F460000}"/>
    <cellStyle name="Note 4 2 4 2 3 10" xfId="38079" xr:uid="{00000000-0005-0000-0000-000030460000}"/>
    <cellStyle name="Note 4 2 4 2 3 11" xfId="42091" xr:uid="{00000000-0005-0000-0000-000031460000}"/>
    <cellStyle name="Note 4 2 4 2 3 12" xfId="45864" xr:uid="{00000000-0005-0000-0000-000032460000}"/>
    <cellStyle name="Note 4 2 4 2 3 2" xfId="6903" xr:uid="{00000000-0005-0000-0000-000033460000}"/>
    <cellStyle name="Note 4 2 4 2 3 3" xfId="11332" xr:uid="{00000000-0005-0000-0000-000034460000}"/>
    <cellStyle name="Note 4 2 4 2 3 4" xfId="15176" xr:uid="{00000000-0005-0000-0000-000035460000}"/>
    <cellStyle name="Note 4 2 4 2 3 5" xfId="19021" xr:uid="{00000000-0005-0000-0000-000036460000}"/>
    <cellStyle name="Note 4 2 4 2 3 6" xfId="22943" xr:uid="{00000000-0005-0000-0000-000037460000}"/>
    <cellStyle name="Note 4 2 4 2 3 7" xfId="26772" xr:uid="{00000000-0005-0000-0000-000038460000}"/>
    <cellStyle name="Note 4 2 4 2 3 8" xfId="30646" xr:uid="{00000000-0005-0000-0000-000039460000}"/>
    <cellStyle name="Note 4 2 4 2 3 9" xfId="34302" xr:uid="{00000000-0005-0000-0000-00003A460000}"/>
    <cellStyle name="Note 4 2 4 2 4" xfId="4979" xr:uid="{00000000-0005-0000-0000-00003B460000}"/>
    <cellStyle name="Note 4 2 4 2 5" xfId="9335" xr:uid="{00000000-0005-0000-0000-00003C460000}"/>
    <cellStyle name="Note 4 2 4 2 6" xfId="13175" xr:uid="{00000000-0005-0000-0000-00003D460000}"/>
    <cellStyle name="Note 4 2 4 2 7" xfId="17003" xr:uid="{00000000-0005-0000-0000-00003E460000}"/>
    <cellStyle name="Note 4 2 4 2 8" xfId="20945" xr:uid="{00000000-0005-0000-0000-00003F460000}"/>
    <cellStyle name="Note 4 2 4 2 9" xfId="24759" xr:uid="{00000000-0005-0000-0000-000040460000}"/>
    <cellStyle name="Note 4 2 4 3" xfId="1411" xr:uid="{00000000-0005-0000-0000-000041460000}"/>
    <cellStyle name="Note 4 2 4 3 10" xfId="32698" xr:uid="{00000000-0005-0000-0000-000042460000}"/>
    <cellStyle name="Note 4 2 4 3 11" xfId="36468" xr:uid="{00000000-0005-0000-0000-000043460000}"/>
    <cellStyle name="Note 4 2 4 3 12" xfId="40459" xr:uid="{00000000-0005-0000-0000-000044460000}"/>
    <cellStyle name="Note 4 2 4 3 13" xfId="44290" xr:uid="{00000000-0005-0000-0000-000045460000}"/>
    <cellStyle name="Note 4 2 4 3 2" xfId="3401" xr:uid="{00000000-0005-0000-0000-000046460000}"/>
    <cellStyle name="Note 4 2 4 3 2 10" xfId="38452" xr:uid="{00000000-0005-0000-0000-000047460000}"/>
    <cellStyle name="Note 4 2 4 3 2 11" xfId="42463" xr:uid="{00000000-0005-0000-0000-000048460000}"/>
    <cellStyle name="Note 4 2 4 3 2 12" xfId="46228" xr:uid="{00000000-0005-0000-0000-000049460000}"/>
    <cellStyle name="Note 4 2 4 3 2 2" xfId="7268" xr:uid="{00000000-0005-0000-0000-00004A460000}"/>
    <cellStyle name="Note 4 2 4 3 2 3" xfId="11703" xr:uid="{00000000-0005-0000-0000-00004B460000}"/>
    <cellStyle name="Note 4 2 4 3 2 4" xfId="15548" xr:uid="{00000000-0005-0000-0000-00004C460000}"/>
    <cellStyle name="Note 4 2 4 3 2 5" xfId="19395" xr:uid="{00000000-0005-0000-0000-00004D460000}"/>
    <cellStyle name="Note 4 2 4 3 2 6" xfId="23311" xr:uid="{00000000-0005-0000-0000-00004E460000}"/>
    <cellStyle name="Note 4 2 4 3 2 7" xfId="27145" xr:uid="{00000000-0005-0000-0000-00004F460000}"/>
    <cellStyle name="Note 4 2 4 3 2 8" xfId="31013" xr:uid="{00000000-0005-0000-0000-000050460000}"/>
    <cellStyle name="Note 4 2 4 3 2 9" xfId="34666" xr:uid="{00000000-0005-0000-0000-000051460000}"/>
    <cellStyle name="Note 4 2 4 3 3" xfId="5344" xr:uid="{00000000-0005-0000-0000-000052460000}"/>
    <cellStyle name="Note 4 2 4 3 4" xfId="9702" xr:uid="{00000000-0005-0000-0000-000053460000}"/>
    <cellStyle name="Note 4 2 4 3 5" xfId="13548" xr:uid="{00000000-0005-0000-0000-000054460000}"/>
    <cellStyle name="Note 4 2 4 3 6" xfId="17377" xr:uid="{00000000-0005-0000-0000-000055460000}"/>
    <cellStyle name="Note 4 2 4 3 7" xfId="21316" xr:uid="{00000000-0005-0000-0000-000056460000}"/>
    <cellStyle name="Note 4 2 4 3 8" xfId="25129" xr:uid="{00000000-0005-0000-0000-000057460000}"/>
    <cellStyle name="Note 4 2 4 3 9" xfId="29016" xr:uid="{00000000-0005-0000-0000-000058460000}"/>
    <cellStyle name="Note 4 2 4 4" xfId="2660" xr:uid="{00000000-0005-0000-0000-000059460000}"/>
    <cellStyle name="Note 4 2 4 4 10" xfId="37712" xr:uid="{00000000-0005-0000-0000-00005A460000}"/>
    <cellStyle name="Note 4 2 4 4 11" xfId="41726" xr:uid="{00000000-0005-0000-0000-00005B460000}"/>
    <cellStyle name="Note 4 2 4 4 12" xfId="45511" xr:uid="{00000000-0005-0000-0000-00005C460000}"/>
    <cellStyle name="Note 4 2 4 4 2" xfId="6548" xr:uid="{00000000-0005-0000-0000-00005D460000}"/>
    <cellStyle name="Note 4 2 4 4 3" xfId="10972" xr:uid="{00000000-0005-0000-0000-00005E460000}"/>
    <cellStyle name="Note 4 2 4 4 4" xfId="14816" xr:uid="{00000000-0005-0000-0000-00005F460000}"/>
    <cellStyle name="Note 4 2 4 4 5" xfId="18654" xr:uid="{00000000-0005-0000-0000-000060460000}"/>
    <cellStyle name="Note 4 2 4 4 6" xfId="22585" xr:uid="{00000000-0005-0000-0000-000061460000}"/>
    <cellStyle name="Note 4 2 4 4 7" xfId="26405" xr:uid="{00000000-0005-0000-0000-000062460000}"/>
    <cellStyle name="Note 4 2 4 4 8" xfId="30284" xr:uid="{00000000-0005-0000-0000-000063460000}"/>
    <cellStyle name="Note 4 2 4 4 9" xfId="33949" xr:uid="{00000000-0005-0000-0000-000064460000}"/>
    <cellStyle name="Note 4 2 4 5" xfId="4624" xr:uid="{00000000-0005-0000-0000-000065460000}"/>
    <cellStyle name="Note 4 2 4 6" xfId="8966" xr:uid="{00000000-0005-0000-0000-000066460000}"/>
    <cellStyle name="Note 4 2 4 7" xfId="12803" xr:uid="{00000000-0005-0000-0000-000067460000}"/>
    <cellStyle name="Note 4 2 4 8" xfId="16633" xr:uid="{00000000-0005-0000-0000-000068460000}"/>
    <cellStyle name="Note 4 2 4 9" xfId="20570" xr:uid="{00000000-0005-0000-0000-000069460000}"/>
    <cellStyle name="Note 4 2 5" xfId="594" xr:uid="{00000000-0005-0000-0000-00006A460000}"/>
    <cellStyle name="Note 4 2 5 10" xfId="22007" xr:uid="{00000000-0005-0000-0000-00006B460000}"/>
    <cellStyle name="Note 4 2 5 11" xfId="22399" xr:uid="{00000000-0005-0000-0000-00006C460000}"/>
    <cellStyle name="Note 4 2 5 12" xfId="30135" xr:uid="{00000000-0005-0000-0000-00006D460000}"/>
    <cellStyle name="Note 4 2 5 13" xfId="30853" xr:uid="{00000000-0005-0000-0000-00006E460000}"/>
    <cellStyle name="Note 4 2 5 14" xfId="39689" xr:uid="{00000000-0005-0000-0000-00006F460000}"/>
    <cellStyle name="Note 4 2 5 15" xfId="41132" xr:uid="{00000000-0005-0000-0000-000070460000}"/>
    <cellStyle name="Note 4 2 5 2" xfId="974" xr:uid="{00000000-0005-0000-0000-000071460000}"/>
    <cellStyle name="Note 4 2 5 2 10" xfId="28585" xr:uid="{00000000-0005-0000-0000-000072460000}"/>
    <cellStyle name="Note 4 2 5 2 11" xfId="32273" xr:uid="{00000000-0005-0000-0000-000073460000}"/>
    <cellStyle name="Note 4 2 5 2 12" xfId="36032" xr:uid="{00000000-0005-0000-0000-000074460000}"/>
    <cellStyle name="Note 4 2 5 2 13" xfId="40037" xr:uid="{00000000-0005-0000-0000-000075460000}"/>
    <cellStyle name="Note 4 2 5 2 14" xfId="43858" xr:uid="{00000000-0005-0000-0000-000076460000}"/>
    <cellStyle name="Note 4 2 5 2 2" xfId="1703" xr:uid="{00000000-0005-0000-0000-000077460000}"/>
    <cellStyle name="Note 4 2 5 2 2 10" xfId="32990" xr:uid="{00000000-0005-0000-0000-000078460000}"/>
    <cellStyle name="Note 4 2 5 2 2 11" xfId="36760" xr:uid="{00000000-0005-0000-0000-000079460000}"/>
    <cellStyle name="Note 4 2 5 2 2 12" xfId="40751" xr:uid="{00000000-0005-0000-0000-00007A460000}"/>
    <cellStyle name="Note 4 2 5 2 2 13" xfId="44582" xr:uid="{00000000-0005-0000-0000-00007B460000}"/>
    <cellStyle name="Note 4 2 5 2 2 2" xfId="3693" xr:uid="{00000000-0005-0000-0000-00007C460000}"/>
    <cellStyle name="Note 4 2 5 2 2 2 10" xfId="38744" xr:uid="{00000000-0005-0000-0000-00007D460000}"/>
    <cellStyle name="Note 4 2 5 2 2 2 11" xfId="42755" xr:uid="{00000000-0005-0000-0000-00007E460000}"/>
    <cellStyle name="Note 4 2 5 2 2 2 12" xfId="46520" xr:uid="{00000000-0005-0000-0000-00007F460000}"/>
    <cellStyle name="Note 4 2 5 2 2 2 2" xfId="7560" xr:uid="{00000000-0005-0000-0000-000080460000}"/>
    <cellStyle name="Note 4 2 5 2 2 2 3" xfId="11995" xr:uid="{00000000-0005-0000-0000-000081460000}"/>
    <cellStyle name="Note 4 2 5 2 2 2 4" xfId="15840" xr:uid="{00000000-0005-0000-0000-000082460000}"/>
    <cellStyle name="Note 4 2 5 2 2 2 5" xfId="19687" xr:uid="{00000000-0005-0000-0000-000083460000}"/>
    <cellStyle name="Note 4 2 5 2 2 2 6" xfId="23603" xr:uid="{00000000-0005-0000-0000-000084460000}"/>
    <cellStyle name="Note 4 2 5 2 2 2 7" xfId="27437" xr:uid="{00000000-0005-0000-0000-000085460000}"/>
    <cellStyle name="Note 4 2 5 2 2 2 8" xfId="31301" xr:uid="{00000000-0005-0000-0000-000086460000}"/>
    <cellStyle name="Note 4 2 5 2 2 2 9" xfId="34958" xr:uid="{00000000-0005-0000-0000-000087460000}"/>
    <cellStyle name="Note 4 2 5 2 2 3" xfId="5636" xr:uid="{00000000-0005-0000-0000-000088460000}"/>
    <cellStyle name="Note 4 2 5 2 2 4" xfId="9994" xr:uid="{00000000-0005-0000-0000-000089460000}"/>
    <cellStyle name="Note 4 2 5 2 2 5" xfId="13840" xr:uid="{00000000-0005-0000-0000-00008A460000}"/>
    <cellStyle name="Note 4 2 5 2 2 6" xfId="17669" xr:uid="{00000000-0005-0000-0000-00008B460000}"/>
    <cellStyle name="Note 4 2 5 2 2 7" xfId="21608" xr:uid="{00000000-0005-0000-0000-00008C460000}"/>
    <cellStyle name="Note 4 2 5 2 2 8" xfId="25421" xr:uid="{00000000-0005-0000-0000-00008D460000}"/>
    <cellStyle name="Note 4 2 5 2 2 9" xfId="29308" xr:uid="{00000000-0005-0000-0000-00008E460000}"/>
    <cellStyle name="Note 4 2 5 2 3" xfId="2964" xr:uid="{00000000-0005-0000-0000-00008F460000}"/>
    <cellStyle name="Note 4 2 5 2 3 10" xfId="38016" xr:uid="{00000000-0005-0000-0000-000090460000}"/>
    <cellStyle name="Note 4 2 5 2 3 11" xfId="42028" xr:uid="{00000000-0005-0000-0000-000091460000}"/>
    <cellStyle name="Note 4 2 5 2 3 12" xfId="45803" xr:uid="{00000000-0005-0000-0000-000092460000}"/>
    <cellStyle name="Note 4 2 5 2 3 2" xfId="6842" xr:uid="{00000000-0005-0000-0000-000093460000}"/>
    <cellStyle name="Note 4 2 5 2 3 3" xfId="11270" xr:uid="{00000000-0005-0000-0000-000094460000}"/>
    <cellStyle name="Note 4 2 5 2 3 4" xfId="15115" xr:uid="{00000000-0005-0000-0000-000095460000}"/>
    <cellStyle name="Note 4 2 5 2 3 5" xfId="18958" xr:uid="{00000000-0005-0000-0000-000096460000}"/>
    <cellStyle name="Note 4 2 5 2 3 6" xfId="22882" xr:uid="{00000000-0005-0000-0000-000097460000}"/>
    <cellStyle name="Note 4 2 5 2 3 7" xfId="26709" xr:uid="{00000000-0005-0000-0000-000098460000}"/>
    <cellStyle name="Note 4 2 5 2 3 8" xfId="30583" xr:uid="{00000000-0005-0000-0000-000099460000}"/>
    <cellStyle name="Note 4 2 5 2 3 9" xfId="34241" xr:uid="{00000000-0005-0000-0000-00009A460000}"/>
    <cellStyle name="Note 4 2 5 2 4" xfId="4918" xr:uid="{00000000-0005-0000-0000-00009B460000}"/>
    <cellStyle name="Note 4 2 5 2 5" xfId="9273" xr:uid="{00000000-0005-0000-0000-00009C460000}"/>
    <cellStyle name="Note 4 2 5 2 6" xfId="13114" xr:uid="{00000000-0005-0000-0000-00009D460000}"/>
    <cellStyle name="Note 4 2 5 2 7" xfId="16940" xr:uid="{00000000-0005-0000-0000-00009E460000}"/>
    <cellStyle name="Note 4 2 5 2 8" xfId="20882" xr:uid="{00000000-0005-0000-0000-00009F460000}"/>
    <cellStyle name="Note 4 2 5 2 9" xfId="24697" xr:uid="{00000000-0005-0000-0000-0000A0460000}"/>
    <cellStyle name="Note 4 2 5 3" xfId="1350" xr:uid="{00000000-0005-0000-0000-0000A1460000}"/>
    <cellStyle name="Note 4 2 5 3 10" xfId="32637" xr:uid="{00000000-0005-0000-0000-0000A2460000}"/>
    <cellStyle name="Note 4 2 5 3 11" xfId="36407" xr:uid="{00000000-0005-0000-0000-0000A3460000}"/>
    <cellStyle name="Note 4 2 5 3 12" xfId="40398" xr:uid="{00000000-0005-0000-0000-0000A4460000}"/>
    <cellStyle name="Note 4 2 5 3 13" xfId="44229" xr:uid="{00000000-0005-0000-0000-0000A5460000}"/>
    <cellStyle name="Note 4 2 5 3 2" xfId="3340" xr:uid="{00000000-0005-0000-0000-0000A6460000}"/>
    <cellStyle name="Note 4 2 5 3 2 10" xfId="38391" xr:uid="{00000000-0005-0000-0000-0000A7460000}"/>
    <cellStyle name="Note 4 2 5 3 2 11" xfId="42402" xr:uid="{00000000-0005-0000-0000-0000A8460000}"/>
    <cellStyle name="Note 4 2 5 3 2 12" xfId="46167" xr:uid="{00000000-0005-0000-0000-0000A9460000}"/>
    <cellStyle name="Note 4 2 5 3 2 2" xfId="7207" xr:uid="{00000000-0005-0000-0000-0000AA460000}"/>
    <cellStyle name="Note 4 2 5 3 2 3" xfId="11642" xr:uid="{00000000-0005-0000-0000-0000AB460000}"/>
    <cellStyle name="Note 4 2 5 3 2 4" xfId="15487" xr:uid="{00000000-0005-0000-0000-0000AC460000}"/>
    <cellStyle name="Note 4 2 5 3 2 5" xfId="19334" xr:uid="{00000000-0005-0000-0000-0000AD460000}"/>
    <cellStyle name="Note 4 2 5 3 2 6" xfId="23250" xr:uid="{00000000-0005-0000-0000-0000AE460000}"/>
    <cellStyle name="Note 4 2 5 3 2 7" xfId="27084" xr:uid="{00000000-0005-0000-0000-0000AF460000}"/>
    <cellStyle name="Note 4 2 5 3 2 8" xfId="30952" xr:uid="{00000000-0005-0000-0000-0000B0460000}"/>
    <cellStyle name="Note 4 2 5 3 2 9" xfId="34605" xr:uid="{00000000-0005-0000-0000-0000B1460000}"/>
    <cellStyle name="Note 4 2 5 3 3" xfId="5283" xr:uid="{00000000-0005-0000-0000-0000B2460000}"/>
    <cellStyle name="Note 4 2 5 3 4" xfId="9641" xr:uid="{00000000-0005-0000-0000-0000B3460000}"/>
    <cellStyle name="Note 4 2 5 3 5" xfId="13487" xr:uid="{00000000-0005-0000-0000-0000B4460000}"/>
    <cellStyle name="Note 4 2 5 3 6" xfId="17316" xr:uid="{00000000-0005-0000-0000-0000B5460000}"/>
    <cellStyle name="Note 4 2 5 3 7" xfId="21255" xr:uid="{00000000-0005-0000-0000-0000B6460000}"/>
    <cellStyle name="Note 4 2 5 3 8" xfId="25068" xr:uid="{00000000-0005-0000-0000-0000B7460000}"/>
    <cellStyle name="Note 4 2 5 3 9" xfId="28955" xr:uid="{00000000-0005-0000-0000-0000B8460000}"/>
    <cellStyle name="Note 4 2 5 4" xfId="2597" xr:uid="{00000000-0005-0000-0000-0000B9460000}"/>
    <cellStyle name="Note 4 2 5 4 10" xfId="37649" xr:uid="{00000000-0005-0000-0000-0000BA460000}"/>
    <cellStyle name="Note 4 2 5 4 11" xfId="41663" xr:uid="{00000000-0005-0000-0000-0000BB460000}"/>
    <cellStyle name="Note 4 2 5 4 12" xfId="45450" xr:uid="{00000000-0005-0000-0000-0000BC460000}"/>
    <cellStyle name="Note 4 2 5 4 2" xfId="6487" xr:uid="{00000000-0005-0000-0000-0000BD460000}"/>
    <cellStyle name="Note 4 2 5 4 3" xfId="10911" xr:uid="{00000000-0005-0000-0000-0000BE460000}"/>
    <cellStyle name="Note 4 2 5 4 4" xfId="14755" xr:uid="{00000000-0005-0000-0000-0000BF460000}"/>
    <cellStyle name="Note 4 2 5 4 5" xfId="18591" xr:uid="{00000000-0005-0000-0000-0000C0460000}"/>
    <cellStyle name="Note 4 2 5 4 6" xfId="22524" xr:uid="{00000000-0005-0000-0000-0000C1460000}"/>
    <cellStyle name="Note 4 2 5 4 7" xfId="26342" xr:uid="{00000000-0005-0000-0000-0000C2460000}"/>
    <cellStyle name="Note 4 2 5 4 8" xfId="30221" xr:uid="{00000000-0005-0000-0000-0000C3460000}"/>
    <cellStyle name="Note 4 2 5 4 9" xfId="33888" xr:uid="{00000000-0005-0000-0000-0000C4460000}"/>
    <cellStyle name="Note 4 2 5 5" xfId="4563" xr:uid="{00000000-0005-0000-0000-0000C5460000}"/>
    <cellStyle name="Note 4 2 5 6" xfId="8903" xr:uid="{00000000-0005-0000-0000-0000C6460000}"/>
    <cellStyle name="Note 4 2 5 7" xfId="8682" xr:uid="{00000000-0005-0000-0000-0000C7460000}"/>
    <cellStyle name="Note 4 2 5 8" xfId="8821" xr:uid="{00000000-0005-0000-0000-0000C8460000}"/>
    <cellStyle name="Note 4 2 5 9" xfId="20507" xr:uid="{00000000-0005-0000-0000-0000C9460000}"/>
    <cellStyle name="Note 4 2 6" xfId="768" xr:uid="{00000000-0005-0000-0000-0000CA460000}"/>
    <cellStyle name="Note 4 2 6 10" xfId="24497" xr:uid="{00000000-0005-0000-0000-0000CB460000}"/>
    <cellStyle name="Note 4 2 6 11" xfId="28387" xr:uid="{00000000-0005-0000-0000-0000CC460000}"/>
    <cellStyle name="Note 4 2 6 12" xfId="29689" xr:uid="{00000000-0005-0000-0000-0000CD460000}"/>
    <cellStyle name="Note 4 2 6 13" xfId="35832" xr:uid="{00000000-0005-0000-0000-0000CE460000}"/>
    <cellStyle name="Note 4 2 6 14" xfId="39851" xr:uid="{00000000-0005-0000-0000-0000CF460000}"/>
    <cellStyle name="Note 4 2 6 15" xfId="43658" xr:uid="{00000000-0005-0000-0000-0000D0460000}"/>
    <cellStyle name="Note 4 2 6 2" xfId="1138" xr:uid="{00000000-0005-0000-0000-0000D1460000}"/>
    <cellStyle name="Note 4 2 6 2 10" xfId="28747" xr:uid="{00000000-0005-0000-0000-0000D2460000}"/>
    <cellStyle name="Note 4 2 6 2 11" xfId="32435" xr:uid="{00000000-0005-0000-0000-0000D3460000}"/>
    <cellStyle name="Note 4 2 6 2 12" xfId="36196" xr:uid="{00000000-0005-0000-0000-0000D4460000}"/>
    <cellStyle name="Note 4 2 6 2 13" xfId="40197" xr:uid="{00000000-0005-0000-0000-0000D5460000}"/>
    <cellStyle name="Note 4 2 6 2 14" xfId="44022" xr:uid="{00000000-0005-0000-0000-0000D6460000}"/>
    <cellStyle name="Note 4 2 6 2 2" xfId="1865" xr:uid="{00000000-0005-0000-0000-0000D7460000}"/>
    <cellStyle name="Note 4 2 6 2 2 10" xfId="33152" xr:uid="{00000000-0005-0000-0000-0000D8460000}"/>
    <cellStyle name="Note 4 2 6 2 2 11" xfId="36922" xr:uid="{00000000-0005-0000-0000-0000D9460000}"/>
    <cellStyle name="Note 4 2 6 2 2 12" xfId="40913" xr:uid="{00000000-0005-0000-0000-0000DA460000}"/>
    <cellStyle name="Note 4 2 6 2 2 13" xfId="44744" xr:uid="{00000000-0005-0000-0000-0000DB460000}"/>
    <cellStyle name="Note 4 2 6 2 2 2" xfId="3855" xr:uid="{00000000-0005-0000-0000-0000DC460000}"/>
    <cellStyle name="Note 4 2 6 2 2 2 10" xfId="38906" xr:uid="{00000000-0005-0000-0000-0000DD460000}"/>
    <cellStyle name="Note 4 2 6 2 2 2 11" xfId="42917" xr:uid="{00000000-0005-0000-0000-0000DE460000}"/>
    <cellStyle name="Note 4 2 6 2 2 2 12" xfId="46682" xr:uid="{00000000-0005-0000-0000-0000DF460000}"/>
    <cellStyle name="Note 4 2 6 2 2 2 2" xfId="7722" xr:uid="{00000000-0005-0000-0000-0000E0460000}"/>
    <cellStyle name="Note 4 2 6 2 2 2 3" xfId="12157" xr:uid="{00000000-0005-0000-0000-0000E1460000}"/>
    <cellStyle name="Note 4 2 6 2 2 2 4" xfId="16002" xr:uid="{00000000-0005-0000-0000-0000E2460000}"/>
    <cellStyle name="Note 4 2 6 2 2 2 5" xfId="19849" xr:uid="{00000000-0005-0000-0000-0000E3460000}"/>
    <cellStyle name="Note 4 2 6 2 2 2 6" xfId="23765" xr:uid="{00000000-0005-0000-0000-0000E4460000}"/>
    <cellStyle name="Note 4 2 6 2 2 2 7" xfId="27599" xr:uid="{00000000-0005-0000-0000-0000E5460000}"/>
    <cellStyle name="Note 4 2 6 2 2 2 8" xfId="31462" xr:uid="{00000000-0005-0000-0000-0000E6460000}"/>
    <cellStyle name="Note 4 2 6 2 2 2 9" xfId="35120" xr:uid="{00000000-0005-0000-0000-0000E7460000}"/>
    <cellStyle name="Note 4 2 6 2 2 3" xfId="5798" xr:uid="{00000000-0005-0000-0000-0000E8460000}"/>
    <cellStyle name="Note 4 2 6 2 2 4" xfId="10156" xr:uid="{00000000-0005-0000-0000-0000E9460000}"/>
    <cellStyle name="Note 4 2 6 2 2 5" xfId="14002" xr:uid="{00000000-0005-0000-0000-0000EA460000}"/>
    <cellStyle name="Note 4 2 6 2 2 6" xfId="17831" xr:uid="{00000000-0005-0000-0000-0000EB460000}"/>
    <cellStyle name="Note 4 2 6 2 2 7" xfId="21770" xr:uid="{00000000-0005-0000-0000-0000EC460000}"/>
    <cellStyle name="Note 4 2 6 2 2 8" xfId="25583" xr:uid="{00000000-0005-0000-0000-0000ED460000}"/>
    <cellStyle name="Note 4 2 6 2 2 9" xfId="29470" xr:uid="{00000000-0005-0000-0000-0000EE460000}"/>
    <cellStyle name="Note 4 2 6 2 3" xfId="3128" xr:uid="{00000000-0005-0000-0000-0000EF460000}"/>
    <cellStyle name="Note 4 2 6 2 3 10" xfId="38180" xr:uid="{00000000-0005-0000-0000-0000F0460000}"/>
    <cellStyle name="Note 4 2 6 2 3 11" xfId="42192" xr:uid="{00000000-0005-0000-0000-0000F1460000}"/>
    <cellStyle name="Note 4 2 6 2 3 12" xfId="45965" xr:uid="{00000000-0005-0000-0000-0000F2460000}"/>
    <cellStyle name="Note 4 2 6 2 3 2" xfId="7004" xr:uid="{00000000-0005-0000-0000-0000F3460000}"/>
    <cellStyle name="Note 4 2 6 2 3 3" xfId="11433" xr:uid="{00000000-0005-0000-0000-0000F4460000}"/>
    <cellStyle name="Note 4 2 6 2 3 4" xfId="15277" xr:uid="{00000000-0005-0000-0000-0000F5460000}"/>
    <cellStyle name="Note 4 2 6 2 3 5" xfId="19122" xr:uid="{00000000-0005-0000-0000-0000F6460000}"/>
    <cellStyle name="Note 4 2 6 2 3 6" xfId="23044" xr:uid="{00000000-0005-0000-0000-0000F7460000}"/>
    <cellStyle name="Note 4 2 6 2 3 7" xfId="26873" xr:uid="{00000000-0005-0000-0000-0000F8460000}"/>
    <cellStyle name="Note 4 2 6 2 3 8" xfId="30745" xr:uid="{00000000-0005-0000-0000-0000F9460000}"/>
    <cellStyle name="Note 4 2 6 2 3 9" xfId="34403" xr:uid="{00000000-0005-0000-0000-0000FA460000}"/>
    <cellStyle name="Note 4 2 6 2 4" xfId="5080" xr:uid="{00000000-0005-0000-0000-0000FB460000}"/>
    <cellStyle name="Note 4 2 6 2 5" xfId="9436" xr:uid="{00000000-0005-0000-0000-0000FC460000}"/>
    <cellStyle name="Note 4 2 6 2 6" xfId="13276" xr:uid="{00000000-0005-0000-0000-0000FD460000}"/>
    <cellStyle name="Note 4 2 6 2 7" xfId="17104" xr:uid="{00000000-0005-0000-0000-0000FE460000}"/>
    <cellStyle name="Note 4 2 6 2 8" xfId="21046" xr:uid="{00000000-0005-0000-0000-0000FF460000}"/>
    <cellStyle name="Note 4 2 6 2 9" xfId="24860" xr:uid="{00000000-0005-0000-0000-000000470000}"/>
    <cellStyle name="Note 4 2 6 3" xfId="1512" xr:uid="{00000000-0005-0000-0000-000001470000}"/>
    <cellStyle name="Note 4 2 6 3 10" xfId="32799" xr:uid="{00000000-0005-0000-0000-000002470000}"/>
    <cellStyle name="Note 4 2 6 3 11" xfId="36569" xr:uid="{00000000-0005-0000-0000-000003470000}"/>
    <cellStyle name="Note 4 2 6 3 12" xfId="40560" xr:uid="{00000000-0005-0000-0000-000004470000}"/>
    <cellStyle name="Note 4 2 6 3 13" xfId="44391" xr:uid="{00000000-0005-0000-0000-000005470000}"/>
    <cellStyle name="Note 4 2 6 3 2" xfId="3502" xr:uid="{00000000-0005-0000-0000-000006470000}"/>
    <cellStyle name="Note 4 2 6 3 2 10" xfId="38553" xr:uid="{00000000-0005-0000-0000-000007470000}"/>
    <cellStyle name="Note 4 2 6 3 2 11" xfId="42564" xr:uid="{00000000-0005-0000-0000-000008470000}"/>
    <cellStyle name="Note 4 2 6 3 2 12" xfId="46329" xr:uid="{00000000-0005-0000-0000-000009470000}"/>
    <cellStyle name="Note 4 2 6 3 2 2" xfId="7369" xr:uid="{00000000-0005-0000-0000-00000A470000}"/>
    <cellStyle name="Note 4 2 6 3 2 3" xfId="11804" xr:uid="{00000000-0005-0000-0000-00000B470000}"/>
    <cellStyle name="Note 4 2 6 3 2 4" xfId="15649" xr:uid="{00000000-0005-0000-0000-00000C470000}"/>
    <cellStyle name="Note 4 2 6 3 2 5" xfId="19496" xr:uid="{00000000-0005-0000-0000-00000D470000}"/>
    <cellStyle name="Note 4 2 6 3 2 6" xfId="23412" xr:uid="{00000000-0005-0000-0000-00000E470000}"/>
    <cellStyle name="Note 4 2 6 3 2 7" xfId="27246" xr:uid="{00000000-0005-0000-0000-00000F470000}"/>
    <cellStyle name="Note 4 2 6 3 2 8" xfId="31113" xr:uid="{00000000-0005-0000-0000-000010470000}"/>
    <cellStyle name="Note 4 2 6 3 2 9" xfId="34767" xr:uid="{00000000-0005-0000-0000-000011470000}"/>
    <cellStyle name="Note 4 2 6 3 3" xfId="5445" xr:uid="{00000000-0005-0000-0000-000012470000}"/>
    <cellStyle name="Note 4 2 6 3 4" xfId="9803" xr:uid="{00000000-0005-0000-0000-000013470000}"/>
    <cellStyle name="Note 4 2 6 3 5" xfId="13649" xr:uid="{00000000-0005-0000-0000-000014470000}"/>
    <cellStyle name="Note 4 2 6 3 6" xfId="17478" xr:uid="{00000000-0005-0000-0000-000015470000}"/>
    <cellStyle name="Note 4 2 6 3 7" xfId="21417" xr:uid="{00000000-0005-0000-0000-000016470000}"/>
    <cellStyle name="Note 4 2 6 3 8" xfId="25230" xr:uid="{00000000-0005-0000-0000-000017470000}"/>
    <cellStyle name="Note 4 2 6 3 9" xfId="29117" xr:uid="{00000000-0005-0000-0000-000018470000}"/>
    <cellStyle name="Note 4 2 6 4" xfId="2764" xr:uid="{00000000-0005-0000-0000-000019470000}"/>
    <cellStyle name="Note 4 2 6 4 10" xfId="37816" xr:uid="{00000000-0005-0000-0000-00001A470000}"/>
    <cellStyle name="Note 4 2 6 4 11" xfId="41829" xr:uid="{00000000-0005-0000-0000-00001B470000}"/>
    <cellStyle name="Note 4 2 6 4 12" xfId="45612" xr:uid="{00000000-0005-0000-0000-00001C470000}"/>
    <cellStyle name="Note 4 2 6 4 2" xfId="6650" xr:uid="{00000000-0005-0000-0000-00001D470000}"/>
    <cellStyle name="Note 4 2 6 4 3" xfId="11074" xr:uid="{00000000-0005-0000-0000-00001E470000}"/>
    <cellStyle name="Note 4 2 6 4 4" xfId="14919" xr:uid="{00000000-0005-0000-0000-00001F470000}"/>
    <cellStyle name="Note 4 2 6 4 5" xfId="18758" xr:uid="{00000000-0005-0000-0000-000020470000}"/>
    <cellStyle name="Note 4 2 6 4 6" xfId="22688" xr:uid="{00000000-0005-0000-0000-000021470000}"/>
    <cellStyle name="Note 4 2 6 4 7" xfId="26509" xr:uid="{00000000-0005-0000-0000-000022470000}"/>
    <cellStyle name="Note 4 2 6 4 8" xfId="30387" xr:uid="{00000000-0005-0000-0000-000023470000}"/>
    <cellStyle name="Note 4 2 6 4 9" xfId="34050" xr:uid="{00000000-0005-0000-0000-000024470000}"/>
    <cellStyle name="Note 4 2 6 5" xfId="4726" xr:uid="{00000000-0005-0000-0000-000025470000}"/>
    <cellStyle name="Note 4 2 6 6" xfId="9073" xr:uid="{00000000-0005-0000-0000-000026470000}"/>
    <cellStyle name="Note 4 2 6 7" xfId="12912" xr:uid="{00000000-0005-0000-0000-000027470000}"/>
    <cellStyle name="Note 4 2 6 8" xfId="16738" xr:uid="{00000000-0005-0000-0000-000028470000}"/>
    <cellStyle name="Note 4 2 6 9" xfId="20677" xr:uid="{00000000-0005-0000-0000-000029470000}"/>
    <cellStyle name="Note 4 2 7" xfId="853" xr:uid="{00000000-0005-0000-0000-00002A470000}"/>
    <cellStyle name="Note 4 2 7 10" xfId="24577" xr:uid="{00000000-0005-0000-0000-00002B470000}"/>
    <cellStyle name="Note 4 2 7 11" xfId="28468" xr:uid="{00000000-0005-0000-0000-00002C470000}"/>
    <cellStyle name="Note 4 2 7 12" xfId="32154" xr:uid="{00000000-0005-0000-0000-00002D470000}"/>
    <cellStyle name="Note 4 2 7 13" xfId="35911" xr:uid="{00000000-0005-0000-0000-00002E470000}"/>
    <cellStyle name="Note 4 2 7 14" xfId="39922" xr:uid="{00000000-0005-0000-0000-00002F470000}"/>
    <cellStyle name="Note 4 2 7 15" xfId="43737" xr:uid="{00000000-0005-0000-0000-000030470000}"/>
    <cellStyle name="Note 4 2 7 2" xfId="1192" xr:uid="{00000000-0005-0000-0000-000031470000}"/>
    <cellStyle name="Note 4 2 7 2 10" xfId="28801" xr:uid="{00000000-0005-0000-0000-000032470000}"/>
    <cellStyle name="Note 4 2 7 2 11" xfId="32484" xr:uid="{00000000-0005-0000-0000-000033470000}"/>
    <cellStyle name="Note 4 2 7 2 12" xfId="36250" xr:uid="{00000000-0005-0000-0000-000034470000}"/>
    <cellStyle name="Note 4 2 7 2 13" xfId="40244" xr:uid="{00000000-0005-0000-0000-000035470000}"/>
    <cellStyle name="Note 4 2 7 2 14" xfId="44076" xr:uid="{00000000-0005-0000-0000-000036470000}"/>
    <cellStyle name="Note 4 2 7 2 2" xfId="1914" xr:uid="{00000000-0005-0000-0000-000037470000}"/>
    <cellStyle name="Note 4 2 7 2 2 10" xfId="33201" xr:uid="{00000000-0005-0000-0000-000038470000}"/>
    <cellStyle name="Note 4 2 7 2 2 11" xfId="36971" xr:uid="{00000000-0005-0000-0000-000039470000}"/>
    <cellStyle name="Note 4 2 7 2 2 12" xfId="40962" xr:uid="{00000000-0005-0000-0000-00003A470000}"/>
    <cellStyle name="Note 4 2 7 2 2 13" xfId="44793" xr:uid="{00000000-0005-0000-0000-00003B470000}"/>
    <cellStyle name="Note 4 2 7 2 2 2" xfId="3904" xr:uid="{00000000-0005-0000-0000-00003C470000}"/>
    <cellStyle name="Note 4 2 7 2 2 2 10" xfId="38955" xr:uid="{00000000-0005-0000-0000-00003D470000}"/>
    <cellStyle name="Note 4 2 7 2 2 2 11" xfId="42966" xr:uid="{00000000-0005-0000-0000-00003E470000}"/>
    <cellStyle name="Note 4 2 7 2 2 2 12" xfId="46731" xr:uid="{00000000-0005-0000-0000-00003F470000}"/>
    <cellStyle name="Note 4 2 7 2 2 2 2" xfId="7771" xr:uid="{00000000-0005-0000-0000-000040470000}"/>
    <cellStyle name="Note 4 2 7 2 2 2 3" xfId="12206" xr:uid="{00000000-0005-0000-0000-000041470000}"/>
    <cellStyle name="Note 4 2 7 2 2 2 4" xfId="16051" xr:uid="{00000000-0005-0000-0000-000042470000}"/>
    <cellStyle name="Note 4 2 7 2 2 2 5" xfId="19898" xr:uid="{00000000-0005-0000-0000-000043470000}"/>
    <cellStyle name="Note 4 2 7 2 2 2 6" xfId="23814" xr:uid="{00000000-0005-0000-0000-000044470000}"/>
    <cellStyle name="Note 4 2 7 2 2 2 7" xfId="27648" xr:uid="{00000000-0005-0000-0000-000045470000}"/>
    <cellStyle name="Note 4 2 7 2 2 2 8" xfId="31510" xr:uid="{00000000-0005-0000-0000-000046470000}"/>
    <cellStyle name="Note 4 2 7 2 2 2 9" xfId="35169" xr:uid="{00000000-0005-0000-0000-000047470000}"/>
    <cellStyle name="Note 4 2 7 2 2 3" xfId="5847" xr:uid="{00000000-0005-0000-0000-000048470000}"/>
    <cellStyle name="Note 4 2 7 2 2 4" xfId="10205" xr:uid="{00000000-0005-0000-0000-000049470000}"/>
    <cellStyle name="Note 4 2 7 2 2 5" xfId="14051" xr:uid="{00000000-0005-0000-0000-00004A470000}"/>
    <cellStyle name="Note 4 2 7 2 2 6" xfId="17880" xr:uid="{00000000-0005-0000-0000-00004B470000}"/>
    <cellStyle name="Note 4 2 7 2 2 7" xfId="21819" xr:uid="{00000000-0005-0000-0000-00004C470000}"/>
    <cellStyle name="Note 4 2 7 2 2 8" xfId="25632" xr:uid="{00000000-0005-0000-0000-00004D470000}"/>
    <cellStyle name="Note 4 2 7 2 2 9" xfId="29519" xr:uid="{00000000-0005-0000-0000-00004E470000}"/>
    <cellStyle name="Note 4 2 7 2 3" xfId="3182" xr:uid="{00000000-0005-0000-0000-00004F470000}"/>
    <cellStyle name="Note 4 2 7 2 3 10" xfId="38234" xr:uid="{00000000-0005-0000-0000-000050470000}"/>
    <cellStyle name="Note 4 2 7 2 3 11" xfId="42245" xr:uid="{00000000-0005-0000-0000-000051470000}"/>
    <cellStyle name="Note 4 2 7 2 3 12" xfId="46014" xr:uid="{00000000-0005-0000-0000-000052470000}"/>
    <cellStyle name="Note 4 2 7 2 3 2" xfId="7054" xr:uid="{00000000-0005-0000-0000-000053470000}"/>
    <cellStyle name="Note 4 2 7 2 3 3" xfId="11486" xr:uid="{00000000-0005-0000-0000-000054470000}"/>
    <cellStyle name="Note 4 2 7 2 3 4" xfId="15330" xr:uid="{00000000-0005-0000-0000-000055470000}"/>
    <cellStyle name="Note 4 2 7 2 3 5" xfId="19176" xr:uid="{00000000-0005-0000-0000-000056470000}"/>
    <cellStyle name="Note 4 2 7 2 3 6" xfId="23095" xr:uid="{00000000-0005-0000-0000-000057470000}"/>
    <cellStyle name="Note 4 2 7 2 3 7" xfId="26927" xr:uid="{00000000-0005-0000-0000-000058470000}"/>
    <cellStyle name="Note 4 2 7 2 3 8" xfId="30798" xr:uid="{00000000-0005-0000-0000-000059470000}"/>
    <cellStyle name="Note 4 2 7 2 3 9" xfId="34452" xr:uid="{00000000-0005-0000-0000-00005A470000}"/>
    <cellStyle name="Note 4 2 7 2 4" xfId="5130" xr:uid="{00000000-0005-0000-0000-00005B470000}"/>
    <cellStyle name="Note 4 2 7 2 5" xfId="9486" xr:uid="{00000000-0005-0000-0000-00005C470000}"/>
    <cellStyle name="Note 4 2 7 2 6" xfId="13330" xr:uid="{00000000-0005-0000-0000-00005D470000}"/>
    <cellStyle name="Note 4 2 7 2 7" xfId="17158" xr:uid="{00000000-0005-0000-0000-00005E470000}"/>
    <cellStyle name="Note 4 2 7 2 8" xfId="21100" xr:uid="{00000000-0005-0000-0000-00005F470000}"/>
    <cellStyle name="Note 4 2 7 2 9" xfId="24911" xr:uid="{00000000-0005-0000-0000-000060470000}"/>
    <cellStyle name="Note 4 2 7 3" xfId="1584" xr:uid="{00000000-0005-0000-0000-000061470000}"/>
    <cellStyle name="Note 4 2 7 3 10" xfId="32871" xr:uid="{00000000-0005-0000-0000-000062470000}"/>
    <cellStyle name="Note 4 2 7 3 11" xfId="36641" xr:uid="{00000000-0005-0000-0000-000063470000}"/>
    <cellStyle name="Note 4 2 7 3 12" xfId="40632" xr:uid="{00000000-0005-0000-0000-000064470000}"/>
    <cellStyle name="Note 4 2 7 3 13" xfId="44463" xr:uid="{00000000-0005-0000-0000-000065470000}"/>
    <cellStyle name="Note 4 2 7 3 2" xfId="3574" xr:uid="{00000000-0005-0000-0000-000066470000}"/>
    <cellStyle name="Note 4 2 7 3 2 10" xfId="38625" xr:uid="{00000000-0005-0000-0000-000067470000}"/>
    <cellStyle name="Note 4 2 7 3 2 11" xfId="42636" xr:uid="{00000000-0005-0000-0000-000068470000}"/>
    <cellStyle name="Note 4 2 7 3 2 12" xfId="46401" xr:uid="{00000000-0005-0000-0000-000069470000}"/>
    <cellStyle name="Note 4 2 7 3 2 2" xfId="7441" xr:uid="{00000000-0005-0000-0000-00006A470000}"/>
    <cellStyle name="Note 4 2 7 3 2 3" xfId="11876" xr:uid="{00000000-0005-0000-0000-00006B470000}"/>
    <cellStyle name="Note 4 2 7 3 2 4" xfId="15721" xr:uid="{00000000-0005-0000-0000-00006C470000}"/>
    <cellStyle name="Note 4 2 7 3 2 5" xfId="19568" xr:uid="{00000000-0005-0000-0000-00006D470000}"/>
    <cellStyle name="Note 4 2 7 3 2 6" xfId="23484" xr:uid="{00000000-0005-0000-0000-00006E470000}"/>
    <cellStyle name="Note 4 2 7 3 2 7" xfId="27318" xr:uid="{00000000-0005-0000-0000-00006F470000}"/>
    <cellStyle name="Note 4 2 7 3 2 8" xfId="31184" xr:uid="{00000000-0005-0000-0000-000070470000}"/>
    <cellStyle name="Note 4 2 7 3 2 9" xfId="34839" xr:uid="{00000000-0005-0000-0000-000071470000}"/>
    <cellStyle name="Note 4 2 7 3 3" xfId="5517" xr:uid="{00000000-0005-0000-0000-000072470000}"/>
    <cellStyle name="Note 4 2 7 3 4" xfId="9875" xr:uid="{00000000-0005-0000-0000-000073470000}"/>
    <cellStyle name="Note 4 2 7 3 5" xfId="13721" xr:uid="{00000000-0005-0000-0000-000074470000}"/>
    <cellStyle name="Note 4 2 7 3 6" xfId="17550" xr:uid="{00000000-0005-0000-0000-000075470000}"/>
    <cellStyle name="Note 4 2 7 3 7" xfId="21489" xr:uid="{00000000-0005-0000-0000-000076470000}"/>
    <cellStyle name="Note 4 2 7 3 8" xfId="25302" xr:uid="{00000000-0005-0000-0000-000077470000}"/>
    <cellStyle name="Note 4 2 7 3 9" xfId="29189" xr:uid="{00000000-0005-0000-0000-000078470000}"/>
    <cellStyle name="Note 4 2 7 4" xfId="2843" xr:uid="{00000000-0005-0000-0000-000079470000}"/>
    <cellStyle name="Note 4 2 7 4 10" xfId="37895" xr:uid="{00000000-0005-0000-0000-00007A470000}"/>
    <cellStyle name="Note 4 2 7 4 11" xfId="41907" xr:uid="{00000000-0005-0000-0000-00007B470000}"/>
    <cellStyle name="Note 4 2 7 4 12" xfId="45684" xr:uid="{00000000-0005-0000-0000-00007C470000}"/>
    <cellStyle name="Note 4 2 7 4 2" xfId="6723" xr:uid="{00000000-0005-0000-0000-00007D470000}"/>
    <cellStyle name="Note 4 2 7 4 3" xfId="11150" xr:uid="{00000000-0005-0000-0000-00007E470000}"/>
    <cellStyle name="Note 4 2 7 4 4" xfId="14995" xr:uid="{00000000-0005-0000-0000-00007F470000}"/>
    <cellStyle name="Note 4 2 7 4 5" xfId="18837" xr:uid="{00000000-0005-0000-0000-000080470000}"/>
    <cellStyle name="Note 4 2 7 4 6" xfId="22763" xr:uid="{00000000-0005-0000-0000-000081470000}"/>
    <cellStyle name="Note 4 2 7 4 7" xfId="26588" xr:uid="{00000000-0005-0000-0000-000082470000}"/>
    <cellStyle name="Note 4 2 7 4 8" xfId="30465" xr:uid="{00000000-0005-0000-0000-000083470000}"/>
    <cellStyle name="Note 4 2 7 4 9" xfId="34122" xr:uid="{00000000-0005-0000-0000-000084470000}"/>
    <cellStyle name="Note 4 2 7 5" xfId="4799" xr:uid="{00000000-0005-0000-0000-000085470000}"/>
    <cellStyle name="Note 4 2 7 6" xfId="9153" xr:uid="{00000000-0005-0000-0000-000086470000}"/>
    <cellStyle name="Note 4 2 7 7" xfId="12994" xr:uid="{00000000-0005-0000-0000-000087470000}"/>
    <cellStyle name="Note 4 2 7 8" xfId="16819" xr:uid="{00000000-0005-0000-0000-000088470000}"/>
    <cellStyle name="Note 4 2 7 9" xfId="20761" xr:uid="{00000000-0005-0000-0000-000089470000}"/>
    <cellStyle name="Note 4 2 8" xfId="832" xr:uid="{00000000-0005-0000-0000-00008A470000}"/>
    <cellStyle name="Note 4 2 8 10" xfId="28447" xr:uid="{00000000-0005-0000-0000-00008B470000}"/>
    <cellStyle name="Note 4 2 8 11" xfId="32133" xr:uid="{00000000-0005-0000-0000-00008C470000}"/>
    <cellStyle name="Note 4 2 8 12" xfId="35890" xr:uid="{00000000-0005-0000-0000-00008D470000}"/>
    <cellStyle name="Note 4 2 8 13" xfId="39901" xr:uid="{00000000-0005-0000-0000-00008E470000}"/>
    <cellStyle name="Note 4 2 8 14" xfId="43716" xr:uid="{00000000-0005-0000-0000-00008F470000}"/>
    <cellStyle name="Note 4 2 8 2" xfId="1563" xr:uid="{00000000-0005-0000-0000-000090470000}"/>
    <cellStyle name="Note 4 2 8 2 10" xfId="32850" xr:uid="{00000000-0005-0000-0000-000091470000}"/>
    <cellStyle name="Note 4 2 8 2 11" xfId="36620" xr:uid="{00000000-0005-0000-0000-000092470000}"/>
    <cellStyle name="Note 4 2 8 2 12" xfId="40611" xr:uid="{00000000-0005-0000-0000-000093470000}"/>
    <cellStyle name="Note 4 2 8 2 13" xfId="44442" xr:uid="{00000000-0005-0000-0000-000094470000}"/>
    <cellStyle name="Note 4 2 8 2 2" xfId="3553" xr:uid="{00000000-0005-0000-0000-000095470000}"/>
    <cellStyle name="Note 4 2 8 2 2 10" xfId="38604" xr:uid="{00000000-0005-0000-0000-000096470000}"/>
    <cellStyle name="Note 4 2 8 2 2 11" xfId="42615" xr:uid="{00000000-0005-0000-0000-000097470000}"/>
    <cellStyle name="Note 4 2 8 2 2 12" xfId="46380" xr:uid="{00000000-0005-0000-0000-000098470000}"/>
    <cellStyle name="Note 4 2 8 2 2 2" xfId="7420" xr:uid="{00000000-0005-0000-0000-000099470000}"/>
    <cellStyle name="Note 4 2 8 2 2 3" xfId="11855" xr:uid="{00000000-0005-0000-0000-00009A470000}"/>
    <cellStyle name="Note 4 2 8 2 2 4" xfId="15700" xr:uid="{00000000-0005-0000-0000-00009B470000}"/>
    <cellStyle name="Note 4 2 8 2 2 5" xfId="19547" xr:uid="{00000000-0005-0000-0000-00009C470000}"/>
    <cellStyle name="Note 4 2 8 2 2 6" xfId="23463" xr:uid="{00000000-0005-0000-0000-00009D470000}"/>
    <cellStyle name="Note 4 2 8 2 2 7" xfId="27297" xr:uid="{00000000-0005-0000-0000-00009E470000}"/>
    <cellStyle name="Note 4 2 8 2 2 8" xfId="31163" xr:uid="{00000000-0005-0000-0000-00009F470000}"/>
    <cellStyle name="Note 4 2 8 2 2 9" xfId="34818" xr:uid="{00000000-0005-0000-0000-0000A0470000}"/>
    <cellStyle name="Note 4 2 8 2 3" xfId="5496" xr:uid="{00000000-0005-0000-0000-0000A1470000}"/>
    <cellStyle name="Note 4 2 8 2 4" xfId="9854" xr:uid="{00000000-0005-0000-0000-0000A2470000}"/>
    <cellStyle name="Note 4 2 8 2 5" xfId="13700" xr:uid="{00000000-0005-0000-0000-0000A3470000}"/>
    <cellStyle name="Note 4 2 8 2 6" xfId="17529" xr:uid="{00000000-0005-0000-0000-0000A4470000}"/>
    <cellStyle name="Note 4 2 8 2 7" xfId="21468" xr:uid="{00000000-0005-0000-0000-0000A5470000}"/>
    <cellStyle name="Note 4 2 8 2 8" xfId="25281" xr:uid="{00000000-0005-0000-0000-0000A6470000}"/>
    <cellStyle name="Note 4 2 8 2 9" xfId="29168" xr:uid="{00000000-0005-0000-0000-0000A7470000}"/>
    <cellStyle name="Note 4 2 8 3" xfId="2822" xr:uid="{00000000-0005-0000-0000-0000A8470000}"/>
    <cellStyle name="Note 4 2 8 3 10" xfId="37874" xr:uid="{00000000-0005-0000-0000-0000A9470000}"/>
    <cellStyle name="Note 4 2 8 3 11" xfId="41886" xr:uid="{00000000-0005-0000-0000-0000AA470000}"/>
    <cellStyle name="Note 4 2 8 3 12" xfId="45663" xr:uid="{00000000-0005-0000-0000-0000AB470000}"/>
    <cellStyle name="Note 4 2 8 3 2" xfId="6702" xr:uid="{00000000-0005-0000-0000-0000AC470000}"/>
    <cellStyle name="Note 4 2 8 3 3" xfId="11129" xr:uid="{00000000-0005-0000-0000-0000AD470000}"/>
    <cellStyle name="Note 4 2 8 3 4" xfId="14974" xr:uid="{00000000-0005-0000-0000-0000AE470000}"/>
    <cellStyle name="Note 4 2 8 3 5" xfId="18816" xr:uid="{00000000-0005-0000-0000-0000AF470000}"/>
    <cellStyle name="Note 4 2 8 3 6" xfId="22742" xr:uid="{00000000-0005-0000-0000-0000B0470000}"/>
    <cellStyle name="Note 4 2 8 3 7" xfId="26567" xr:uid="{00000000-0005-0000-0000-0000B1470000}"/>
    <cellStyle name="Note 4 2 8 3 8" xfId="30444" xr:uid="{00000000-0005-0000-0000-0000B2470000}"/>
    <cellStyle name="Note 4 2 8 3 9" xfId="34101" xr:uid="{00000000-0005-0000-0000-0000B3470000}"/>
    <cellStyle name="Note 4 2 8 4" xfId="4778" xr:uid="{00000000-0005-0000-0000-0000B4470000}"/>
    <cellStyle name="Note 4 2 8 5" xfId="9132" xr:uid="{00000000-0005-0000-0000-0000B5470000}"/>
    <cellStyle name="Note 4 2 8 6" xfId="12973" xr:uid="{00000000-0005-0000-0000-0000B6470000}"/>
    <cellStyle name="Note 4 2 8 7" xfId="16798" xr:uid="{00000000-0005-0000-0000-0000B7470000}"/>
    <cellStyle name="Note 4 2 8 8" xfId="20740" xr:uid="{00000000-0005-0000-0000-0000B8470000}"/>
    <cellStyle name="Note 4 2 8 9" xfId="24556" xr:uid="{00000000-0005-0000-0000-0000B9470000}"/>
    <cellStyle name="Note 4 2 9" xfId="1279" xr:uid="{00000000-0005-0000-0000-0000BA470000}"/>
    <cellStyle name="Note 4 2 9 10" xfId="32566" xr:uid="{00000000-0005-0000-0000-0000BB470000}"/>
    <cellStyle name="Note 4 2 9 11" xfId="36336" xr:uid="{00000000-0005-0000-0000-0000BC470000}"/>
    <cellStyle name="Note 4 2 9 12" xfId="40328" xr:uid="{00000000-0005-0000-0000-0000BD470000}"/>
    <cellStyle name="Note 4 2 9 13" xfId="44158" xr:uid="{00000000-0005-0000-0000-0000BE470000}"/>
    <cellStyle name="Note 4 2 9 2" xfId="3269" xr:uid="{00000000-0005-0000-0000-0000BF470000}"/>
    <cellStyle name="Note 4 2 9 2 10" xfId="38320" xr:uid="{00000000-0005-0000-0000-0000C0470000}"/>
    <cellStyle name="Note 4 2 9 2 11" xfId="42331" xr:uid="{00000000-0005-0000-0000-0000C1470000}"/>
    <cellStyle name="Note 4 2 9 2 12" xfId="46096" xr:uid="{00000000-0005-0000-0000-0000C2470000}"/>
    <cellStyle name="Note 4 2 9 2 2" xfId="7136" xr:uid="{00000000-0005-0000-0000-0000C3470000}"/>
    <cellStyle name="Note 4 2 9 2 3" xfId="11571" xr:uid="{00000000-0005-0000-0000-0000C4470000}"/>
    <cellStyle name="Note 4 2 9 2 4" xfId="15416" xr:uid="{00000000-0005-0000-0000-0000C5470000}"/>
    <cellStyle name="Note 4 2 9 2 5" xfId="19263" xr:uid="{00000000-0005-0000-0000-0000C6470000}"/>
    <cellStyle name="Note 4 2 9 2 6" xfId="23179" xr:uid="{00000000-0005-0000-0000-0000C7470000}"/>
    <cellStyle name="Note 4 2 9 2 7" xfId="27013" xr:uid="{00000000-0005-0000-0000-0000C8470000}"/>
    <cellStyle name="Note 4 2 9 2 8" xfId="30883" xr:uid="{00000000-0005-0000-0000-0000C9470000}"/>
    <cellStyle name="Note 4 2 9 2 9" xfId="34534" xr:uid="{00000000-0005-0000-0000-0000CA470000}"/>
    <cellStyle name="Note 4 2 9 3" xfId="5212" xr:uid="{00000000-0005-0000-0000-0000CB470000}"/>
    <cellStyle name="Note 4 2 9 4" xfId="9570" xr:uid="{00000000-0005-0000-0000-0000CC470000}"/>
    <cellStyle name="Note 4 2 9 5" xfId="13416" xr:uid="{00000000-0005-0000-0000-0000CD470000}"/>
    <cellStyle name="Note 4 2 9 6" xfId="17245" xr:uid="{00000000-0005-0000-0000-0000CE470000}"/>
    <cellStyle name="Note 4 2 9 7" xfId="21184" xr:uid="{00000000-0005-0000-0000-0000CF470000}"/>
    <cellStyle name="Note 4 2 9 8" xfId="24997" xr:uid="{00000000-0005-0000-0000-0000D0470000}"/>
    <cellStyle name="Note 4 2 9 9" xfId="28885" xr:uid="{00000000-0005-0000-0000-0000D1470000}"/>
    <cellStyle name="Note 4 20" xfId="2292" xr:uid="{00000000-0005-0000-0000-0000D2470000}"/>
    <cellStyle name="Note 4 20 10" xfId="33593" xr:uid="{00000000-0005-0000-0000-0000D3470000}"/>
    <cellStyle name="Note 4 20 11" xfId="37344" xr:uid="{00000000-0005-0000-0000-0000D4470000}"/>
    <cellStyle name="Note 4 20 12" xfId="41360" xr:uid="{00000000-0005-0000-0000-0000D5470000}"/>
    <cellStyle name="Note 4 20 13" xfId="45155" xr:uid="{00000000-0005-0000-0000-0000D6470000}"/>
    <cellStyle name="Note 4 20 2" xfId="4275" xr:uid="{00000000-0005-0000-0000-0000D7470000}"/>
    <cellStyle name="Note 4 20 2 10" xfId="39326" xr:uid="{00000000-0005-0000-0000-0000D8470000}"/>
    <cellStyle name="Note 4 20 2 11" xfId="43336" xr:uid="{00000000-0005-0000-0000-0000D9470000}"/>
    <cellStyle name="Note 4 20 2 12" xfId="47093" xr:uid="{00000000-0005-0000-0000-0000DA470000}"/>
    <cellStyle name="Note 4 20 2 2" xfId="8134" xr:uid="{00000000-0005-0000-0000-0000DB470000}"/>
    <cellStyle name="Note 4 20 2 3" xfId="12574" xr:uid="{00000000-0005-0000-0000-0000DC470000}"/>
    <cellStyle name="Note 4 20 2 4" xfId="16419" xr:uid="{00000000-0005-0000-0000-0000DD470000}"/>
    <cellStyle name="Note 4 20 2 5" xfId="20269" xr:uid="{00000000-0005-0000-0000-0000DE470000}"/>
    <cellStyle name="Note 4 20 2 6" xfId="24181" xr:uid="{00000000-0005-0000-0000-0000DF470000}"/>
    <cellStyle name="Note 4 20 2 7" xfId="28019" xr:uid="{00000000-0005-0000-0000-0000E0470000}"/>
    <cellStyle name="Note 4 20 2 8" xfId="31878" xr:uid="{00000000-0005-0000-0000-0000E1470000}"/>
    <cellStyle name="Note 4 20 2 9" xfId="35531" xr:uid="{00000000-0005-0000-0000-0000E2470000}"/>
    <cellStyle name="Note 4 20 3" xfId="6206" xr:uid="{00000000-0005-0000-0000-0000E3470000}"/>
    <cellStyle name="Note 4 20 4" xfId="10609" xr:uid="{00000000-0005-0000-0000-0000E4470000}"/>
    <cellStyle name="Note 4 20 5" xfId="14455" xr:uid="{00000000-0005-0000-0000-0000E5470000}"/>
    <cellStyle name="Note 4 20 6" xfId="18286" xr:uid="{00000000-0005-0000-0000-0000E6470000}"/>
    <cellStyle name="Note 4 20 7" xfId="22225" xr:uid="{00000000-0005-0000-0000-0000E7470000}"/>
    <cellStyle name="Note 4 20 8" xfId="26037" xr:uid="{00000000-0005-0000-0000-0000E8470000}"/>
    <cellStyle name="Note 4 20 9" xfId="29917" xr:uid="{00000000-0005-0000-0000-0000E9470000}"/>
    <cellStyle name="Note 4 21" xfId="2359" xr:uid="{00000000-0005-0000-0000-0000EA470000}"/>
    <cellStyle name="Note 4 21 10" xfId="33658" xr:uid="{00000000-0005-0000-0000-0000EB470000}"/>
    <cellStyle name="Note 4 21 11" xfId="37411" xr:uid="{00000000-0005-0000-0000-0000EC470000}"/>
    <cellStyle name="Note 4 21 12" xfId="41427" xr:uid="{00000000-0005-0000-0000-0000ED470000}"/>
    <cellStyle name="Note 4 21 13" xfId="45220" xr:uid="{00000000-0005-0000-0000-0000EE470000}"/>
    <cellStyle name="Note 4 21 2" xfId="4342" xr:uid="{00000000-0005-0000-0000-0000EF470000}"/>
    <cellStyle name="Note 4 21 2 10" xfId="39393" xr:uid="{00000000-0005-0000-0000-0000F0470000}"/>
    <cellStyle name="Note 4 21 2 11" xfId="43403" xr:uid="{00000000-0005-0000-0000-0000F1470000}"/>
    <cellStyle name="Note 4 21 2 12" xfId="47158" xr:uid="{00000000-0005-0000-0000-0000F2470000}"/>
    <cellStyle name="Note 4 21 2 2" xfId="8199" xr:uid="{00000000-0005-0000-0000-0000F3470000}"/>
    <cellStyle name="Note 4 21 2 3" xfId="12641" xr:uid="{00000000-0005-0000-0000-0000F4470000}"/>
    <cellStyle name="Note 4 21 2 4" xfId="16485" xr:uid="{00000000-0005-0000-0000-0000F5470000}"/>
    <cellStyle name="Note 4 21 2 5" xfId="20336" xr:uid="{00000000-0005-0000-0000-0000F6470000}"/>
    <cellStyle name="Note 4 21 2 6" xfId="24247" xr:uid="{00000000-0005-0000-0000-0000F7470000}"/>
    <cellStyle name="Note 4 21 2 7" xfId="28086" xr:uid="{00000000-0005-0000-0000-0000F8470000}"/>
    <cellStyle name="Note 4 21 2 8" xfId="31944" xr:uid="{00000000-0005-0000-0000-0000F9470000}"/>
    <cellStyle name="Note 4 21 2 9" xfId="35596" xr:uid="{00000000-0005-0000-0000-0000FA470000}"/>
    <cellStyle name="Note 4 21 3" xfId="6255" xr:uid="{00000000-0005-0000-0000-0000FB470000}"/>
    <cellStyle name="Note 4 21 4" xfId="10676" xr:uid="{00000000-0005-0000-0000-0000FC470000}"/>
    <cellStyle name="Note 4 21 5" xfId="14521" xr:uid="{00000000-0005-0000-0000-0000FD470000}"/>
    <cellStyle name="Note 4 21 6" xfId="18353" xr:uid="{00000000-0005-0000-0000-0000FE470000}"/>
    <cellStyle name="Note 4 21 7" xfId="22291" xr:uid="{00000000-0005-0000-0000-0000FF470000}"/>
    <cellStyle name="Note 4 21 8" xfId="26104" xr:uid="{00000000-0005-0000-0000-000000480000}"/>
    <cellStyle name="Note 4 21 9" xfId="29984" xr:uid="{00000000-0005-0000-0000-000001480000}"/>
    <cellStyle name="Note 4 22" xfId="2527" xr:uid="{00000000-0005-0000-0000-000002480000}"/>
    <cellStyle name="Note 4 22 10" xfId="37579" xr:uid="{00000000-0005-0000-0000-000003480000}"/>
    <cellStyle name="Note 4 22 11" xfId="41593" xr:uid="{00000000-0005-0000-0000-000004480000}"/>
    <cellStyle name="Note 4 22 12" xfId="45382" xr:uid="{00000000-0005-0000-0000-000005480000}"/>
    <cellStyle name="Note 4 22 2" xfId="6419" xr:uid="{00000000-0005-0000-0000-000006480000}"/>
    <cellStyle name="Note 4 22 3" xfId="10842" xr:uid="{00000000-0005-0000-0000-000007480000}"/>
    <cellStyle name="Note 4 22 4" xfId="14686" xr:uid="{00000000-0005-0000-0000-000008480000}"/>
    <cellStyle name="Note 4 22 5" xfId="18521" xr:uid="{00000000-0005-0000-0000-000009480000}"/>
    <cellStyle name="Note 4 22 6" xfId="22456" xr:uid="{00000000-0005-0000-0000-00000A480000}"/>
    <cellStyle name="Note 4 22 7" xfId="26272" xr:uid="{00000000-0005-0000-0000-00000B480000}"/>
    <cellStyle name="Note 4 22 8" xfId="30151" xr:uid="{00000000-0005-0000-0000-00000C480000}"/>
    <cellStyle name="Note 4 22 9" xfId="33820" xr:uid="{00000000-0005-0000-0000-00000D480000}"/>
    <cellStyle name="Note 4 23" xfId="8702" xr:uid="{00000000-0005-0000-0000-00000E480000}"/>
    <cellStyle name="Note 4 24" xfId="8794" xr:uid="{00000000-0005-0000-0000-00000F480000}"/>
    <cellStyle name="Note 4 25" xfId="8579" xr:uid="{00000000-0005-0000-0000-000010480000}"/>
    <cellStyle name="Note 4 26" xfId="10638" xr:uid="{00000000-0005-0000-0000-000011480000}"/>
    <cellStyle name="Note 4 27" xfId="18048" xr:uid="{00000000-0005-0000-0000-000012480000}"/>
    <cellStyle name="Note 4 28" xfId="8438" xr:uid="{00000000-0005-0000-0000-000013480000}"/>
    <cellStyle name="Note 4 29" xfId="8412" xr:uid="{00000000-0005-0000-0000-000014480000}"/>
    <cellStyle name="Note 4 3" xfId="482" xr:uid="{00000000-0005-0000-0000-000015480000}"/>
    <cellStyle name="Note 4 3 10" xfId="831" xr:uid="{00000000-0005-0000-0000-000016480000}"/>
    <cellStyle name="Note 4 3 10 10" xfId="28446" xr:uid="{00000000-0005-0000-0000-000017480000}"/>
    <cellStyle name="Note 4 3 10 11" xfId="32132" xr:uid="{00000000-0005-0000-0000-000018480000}"/>
    <cellStyle name="Note 4 3 10 12" xfId="35889" xr:uid="{00000000-0005-0000-0000-000019480000}"/>
    <cellStyle name="Note 4 3 10 13" xfId="39900" xr:uid="{00000000-0005-0000-0000-00001A480000}"/>
    <cellStyle name="Note 4 3 10 14" xfId="43715" xr:uid="{00000000-0005-0000-0000-00001B480000}"/>
    <cellStyle name="Note 4 3 10 2" xfId="1562" xr:uid="{00000000-0005-0000-0000-00001C480000}"/>
    <cellStyle name="Note 4 3 10 2 10" xfId="32849" xr:uid="{00000000-0005-0000-0000-00001D480000}"/>
    <cellStyle name="Note 4 3 10 2 11" xfId="36619" xr:uid="{00000000-0005-0000-0000-00001E480000}"/>
    <cellStyle name="Note 4 3 10 2 12" xfId="40610" xr:uid="{00000000-0005-0000-0000-00001F480000}"/>
    <cellStyle name="Note 4 3 10 2 13" xfId="44441" xr:uid="{00000000-0005-0000-0000-000020480000}"/>
    <cellStyle name="Note 4 3 10 2 2" xfId="3552" xr:uid="{00000000-0005-0000-0000-000021480000}"/>
    <cellStyle name="Note 4 3 10 2 2 10" xfId="38603" xr:uid="{00000000-0005-0000-0000-000022480000}"/>
    <cellStyle name="Note 4 3 10 2 2 11" xfId="42614" xr:uid="{00000000-0005-0000-0000-000023480000}"/>
    <cellStyle name="Note 4 3 10 2 2 12" xfId="46379" xr:uid="{00000000-0005-0000-0000-000024480000}"/>
    <cellStyle name="Note 4 3 10 2 2 2" xfId="7419" xr:uid="{00000000-0005-0000-0000-000025480000}"/>
    <cellStyle name="Note 4 3 10 2 2 3" xfId="11854" xr:uid="{00000000-0005-0000-0000-000026480000}"/>
    <cellStyle name="Note 4 3 10 2 2 4" xfId="15699" xr:uid="{00000000-0005-0000-0000-000027480000}"/>
    <cellStyle name="Note 4 3 10 2 2 5" xfId="19546" xr:uid="{00000000-0005-0000-0000-000028480000}"/>
    <cellStyle name="Note 4 3 10 2 2 6" xfId="23462" xr:uid="{00000000-0005-0000-0000-000029480000}"/>
    <cellStyle name="Note 4 3 10 2 2 7" xfId="27296" xr:uid="{00000000-0005-0000-0000-00002A480000}"/>
    <cellStyle name="Note 4 3 10 2 2 8" xfId="31162" xr:uid="{00000000-0005-0000-0000-00002B480000}"/>
    <cellStyle name="Note 4 3 10 2 2 9" xfId="34817" xr:uid="{00000000-0005-0000-0000-00002C480000}"/>
    <cellStyle name="Note 4 3 10 2 3" xfId="5495" xr:uid="{00000000-0005-0000-0000-00002D480000}"/>
    <cellStyle name="Note 4 3 10 2 4" xfId="9853" xr:uid="{00000000-0005-0000-0000-00002E480000}"/>
    <cellStyle name="Note 4 3 10 2 5" xfId="13699" xr:uid="{00000000-0005-0000-0000-00002F480000}"/>
    <cellStyle name="Note 4 3 10 2 6" xfId="17528" xr:uid="{00000000-0005-0000-0000-000030480000}"/>
    <cellStyle name="Note 4 3 10 2 7" xfId="21467" xr:uid="{00000000-0005-0000-0000-000031480000}"/>
    <cellStyle name="Note 4 3 10 2 8" xfId="25280" xr:uid="{00000000-0005-0000-0000-000032480000}"/>
    <cellStyle name="Note 4 3 10 2 9" xfId="29167" xr:uid="{00000000-0005-0000-0000-000033480000}"/>
    <cellStyle name="Note 4 3 10 3" xfId="2821" xr:uid="{00000000-0005-0000-0000-000034480000}"/>
    <cellStyle name="Note 4 3 10 3 10" xfId="37873" xr:uid="{00000000-0005-0000-0000-000035480000}"/>
    <cellStyle name="Note 4 3 10 3 11" xfId="41885" xr:uid="{00000000-0005-0000-0000-000036480000}"/>
    <cellStyle name="Note 4 3 10 3 12" xfId="45662" xr:uid="{00000000-0005-0000-0000-000037480000}"/>
    <cellStyle name="Note 4 3 10 3 2" xfId="6701" xr:uid="{00000000-0005-0000-0000-000038480000}"/>
    <cellStyle name="Note 4 3 10 3 3" xfId="11128" xr:uid="{00000000-0005-0000-0000-000039480000}"/>
    <cellStyle name="Note 4 3 10 3 4" xfId="14973" xr:uid="{00000000-0005-0000-0000-00003A480000}"/>
    <cellStyle name="Note 4 3 10 3 5" xfId="18815" xr:uid="{00000000-0005-0000-0000-00003B480000}"/>
    <cellStyle name="Note 4 3 10 3 6" xfId="22741" xr:uid="{00000000-0005-0000-0000-00003C480000}"/>
    <cellStyle name="Note 4 3 10 3 7" xfId="26566" xr:uid="{00000000-0005-0000-0000-00003D480000}"/>
    <cellStyle name="Note 4 3 10 3 8" xfId="30443" xr:uid="{00000000-0005-0000-0000-00003E480000}"/>
    <cellStyle name="Note 4 3 10 3 9" xfId="34100" xr:uid="{00000000-0005-0000-0000-00003F480000}"/>
    <cellStyle name="Note 4 3 10 4" xfId="4777" xr:uid="{00000000-0005-0000-0000-000040480000}"/>
    <cellStyle name="Note 4 3 10 5" xfId="9131" xr:uid="{00000000-0005-0000-0000-000041480000}"/>
    <cellStyle name="Note 4 3 10 6" xfId="12972" xr:uid="{00000000-0005-0000-0000-000042480000}"/>
    <cellStyle name="Note 4 3 10 7" xfId="16797" xr:uid="{00000000-0005-0000-0000-000043480000}"/>
    <cellStyle name="Note 4 3 10 8" xfId="20739" xr:uid="{00000000-0005-0000-0000-000044480000}"/>
    <cellStyle name="Note 4 3 10 9" xfId="24555" xr:uid="{00000000-0005-0000-0000-000045480000}"/>
    <cellStyle name="Note 4 3 11" xfId="1280" xr:uid="{00000000-0005-0000-0000-000046480000}"/>
    <cellStyle name="Note 4 3 11 10" xfId="32567" xr:uid="{00000000-0005-0000-0000-000047480000}"/>
    <cellStyle name="Note 4 3 11 11" xfId="36337" xr:uid="{00000000-0005-0000-0000-000048480000}"/>
    <cellStyle name="Note 4 3 11 12" xfId="40329" xr:uid="{00000000-0005-0000-0000-000049480000}"/>
    <cellStyle name="Note 4 3 11 13" xfId="44159" xr:uid="{00000000-0005-0000-0000-00004A480000}"/>
    <cellStyle name="Note 4 3 11 2" xfId="3270" xr:uid="{00000000-0005-0000-0000-00004B480000}"/>
    <cellStyle name="Note 4 3 11 2 10" xfId="38321" xr:uid="{00000000-0005-0000-0000-00004C480000}"/>
    <cellStyle name="Note 4 3 11 2 11" xfId="42332" xr:uid="{00000000-0005-0000-0000-00004D480000}"/>
    <cellStyle name="Note 4 3 11 2 12" xfId="46097" xr:uid="{00000000-0005-0000-0000-00004E480000}"/>
    <cellStyle name="Note 4 3 11 2 2" xfId="7137" xr:uid="{00000000-0005-0000-0000-00004F480000}"/>
    <cellStyle name="Note 4 3 11 2 3" xfId="11572" xr:uid="{00000000-0005-0000-0000-000050480000}"/>
    <cellStyle name="Note 4 3 11 2 4" xfId="15417" xr:uid="{00000000-0005-0000-0000-000051480000}"/>
    <cellStyle name="Note 4 3 11 2 5" xfId="19264" xr:uid="{00000000-0005-0000-0000-000052480000}"/>
    <cellStyle name="Note 4 3 11 2 6" xfId="23180" xr:uid="{00000000-0005-0000-0000-000053480000}"/>
    <cellStyle name="Note 4 3 11 2 7" xfId="27014" xr:uid="{00000000-0005-0000-0000-000054480000}"/>
    <cellStyle name="Note 4 3 11 2 8" xfId="30884" xr:uid="{00000000-0005-0000-0000-000055480000}"/>
    <cellStyle name="Note 4 3 11 2 9" xfId="34535" xr:uid="{00000000-0005-0000-0000-000056480000}"/>
    <cellStyle name="Note 4 3 11 3" xfId="5213" xr:uid="{00000000-0005-0000-0000-000057480000}"/>
    <cellStyle name="Note 4 3 11 4" xfId="9571" xr:uid="{00000000-0005-0000-0000-000058480000}"/>
    <cellStyle name="Note 4 3 11 5" xfId="13417" xr:uid="{00000000-0005-0000-0000-000059480000}"/>
    <cellStyle name="Note 4 3 11 6" xfId="17246" xr:uid="{00000000-0005-0000-0000-00005A480000}"/>
    <cellStyle name="Note 4 3 11 7" xfId="21185" xr:uid="{00000000-0005-0000-0000-00005B480000}"/>
    <cellStyle name="Note 4 3 11 8" xfId="24998" xr:uid="{00000000-0005-0000-0000-00005C480000}"/>
    <cellStyle name="Note 4 3 11 9" xfId="28886" xr:uid="{00000000-0005-0000-0000-00005D480000}"/>
    <cellStyle name="Note 4 3 12" xfId="1976" xr:uid="{00000000-0005-0000-0000-00005E480000}"/>
    <cellStyle name="Note 4 3 12 10" xfId="33263" xr:uid="{00000000-0005-0000-0000-00005F480000}"/>
    <cellStyle name="Note 4 3 12 11" xfId="37033" xr:uid="{00000000-0005-0000-0000-000060480000}"/>
    <cellStyle name="Note 4 3 12 12" xfId="41024" xr:uid="{00000000-0005-0000-0000-000061480000}"/>
    <cellStyle name="Note 4 3 12 13" xfId="44855" xr:uid="{00000000-0005-0000-0000-000062480000}"/>
    <cellStyle name="Note 4 3 12 2" xfId="3966" xr:uid="{00000000-0005-0000-0000-000063480000}"/>
    <cellStyle name="Note 4 3 12 2 10" xfId="39017" xr:uid="{00000000-0005-0000-0000-000064480000}"/>
    <cellStyle name="Note 4 3 12 2 11" xfId="43028" xr:uid="{00000000-0005-0000-0000-000065480000}"/>
    <cellStyle name="Note 4 3 12 2 12" xfId="46793" xr:uid="{00000000-0005-0000-0000-000066480000}"/>
    <cellStyle name="Note 4 3 12 2 2" xfId="7833" xr:uid="{00000000-0005-0000-0000-000067480000}"/>
    <cellStyle name="Note 4 3 12 2 3" xfId="12268" xr:uid="{00000000-0005-0000-0000-000068480000}"/>
    <cellStyle name="Note 4 3 12 2 4" xfId="16113" xr:uid="{00000000-0005-0000-0000-000069480000}"/>
    <cellStyle name="Note 4 3 12 2 5" xfId="19960" xr:uid="{00000000-0005-0000-0000-00006A480000}"/>
    <cellStyle name="Note 4 3 12 2 6" xfId="23876" xr:uid="{00000000-0005-0000-0000-00006B480000}"/>
    <cellStyle name="Note 4 3 12 2 7" xfId="27710" xr:uid="{00000000-0005-0000-0000-00006C480000}"/>
    <cellStyle name="Note 4 3 12 2 8" xfId="31570" xr:uid="{00000000-0005-0000-0000-00006D480000}"/>
    <cellStyle name="Note 4 3 12 2 9" xfId="35231" xr:uid="{00000000-0005-0000-0000-00006E480000}"/>
    <cellStyle name="Note 4 3 12 3" xfId="5909" xr:uid="{00000000-0005-0000-0000-00006F480000}"/>
    <cellStyle name="Note 4 3 12 4" xfId="10267" xr:uid="{00000000-0005-0000-0000-000070480000}"/>
    <cellStyle name="Note 4 3 12 5" xfId="14113" xr:uid="{00000000-0005-0000-0000-000071480000}"/>
    <cellStyle name="Note 4 3 12 6" xfId="17942" xr:uid="{00000000-0005-0000-0000-000072480000}"/>
    <cellStyle name="Note 4 3 12 7" xfId="21881" xr:uid="{00000000-0005-0000-0000-000073480000}"/>
    <cellStyle name="Note 4 3 12 8" xfId="25694" xr:uid="{00000000-0005-0000-0000-000074480000}"/>
    <cellStyle name="Note 4 3 12 9" xfId="29581" xr:uid="{00000000-0005-0000-0000-000075480000}"/>
    <cellStyle name="Note 4 3 13" xfId="1264" xr:uid="{00000000-0005-0000-0000-000076480000}"/>
    <cellStyle name="Note 4 3 13 10" xfId="32551" xr:uid="{00000000-0005-0000-0000-000077480000}"/>
    <cellStyle name="Note 4 3 13 11" xfId="36321" xr:uid="{00000000-0005-0000-0000-000078480000}"/>
    <cellStyle name="Note 4 3 13 12" xfId="40313" xr:uid="{00000000-0005-0000-0000-000079480000}"/>
    <cellStyle name="Note 4 3 13 13" xfId="44143" xr:uid="{00000000-0005-0000-0000-00007A480000}"/>
    <cellStyle name="Note 4 3 13 2" xfId="3254" xr:uid="{00000000-0005-0000-0000-00007B480000}"/>
    <cellStyle name="Note 4 3 13 2 10" xfId="38305" xr:uid="{00000000-0005-0000-0000-00007C480000}"/>
    <cellStyle name="Note 4 3 13 2 11" xfId="42316" xr:uid="{00000000-0005-0000-0000-00007D480000}"/>
    <cellStyle name="Note 4 3 13 2 12" xfId="46081" xr:uid="{00000000-0005-0000-0000-00007E480000}"/>
    <cellStyle name="Note 4 3 13 2 2" xfId="7121" xr:uid="{00000000-0005-0000-0000-00007F480000}"/>
    <cellStyle name="Note 4 3 13 2 3" xfId="11556" xr:uid="{00000000-0005-0000-0000-000080480000}"/>
    <cellStyle name="Note 4 3 13 2 4" xfId="15401" xr:uid="{00000000-0005-0000-0000-000081480000}"/>
    <cellStyle name="Note 4 3 13 2 5" xfId="19248" xr:uid="{00000000-0005-0000-0000-000082480000}"/>
    <cellStyle name="Note 4 3 13 2 6" xfId="23164" xr:uid="{00000000-0005-0000-0000-000083480000}"/>
    <cellStyle name="Note 4 3 13 2 7" xfId="26998" xr:uid="{00000000-0005-0000-0000-000084480000}"/>
    <cellStyle name="Note 4 3 13 2 8" xfId="30868" xr:uid="{00000000-0005-0000-0000-000085480000}"/>
    <cellStyle name="Note 4 3 13 2 9" xfId="34519" xr:uid="{00000000-0005-0000-0000-000086480000}"/>
    <cellStyle name="Note 4 3 13 3" xfId="5197" xr:uid="{00000000-0005-0000-0000-000087480000}"/>
    <cellStyle name="Note 4 3 13 4" xfId="9555" xr:uid="{00000000-0005-0000-0000-000088480000}"/>
    <cellStyle name="Note 4 3 13 5" xfId="13401" xr:uid="{00000000-0005-0000-0000-000089480000}"/>
    <cellStyle name="Note 4 3 13 6" xfId="17230" xr:uid="{00000000-0005-0000-0000-00008A480000}"/>
    <cellStyle name="Note 4 3 13 7" xfId="21169" xr:uid="{00000000-0005-0000-0000-00008B480000}"/>
    <cellStyle name="Note 4 3 13 8" xfId="24982" xr:uid="{00000000-0005-0000-0000-00008C480000}"/>
    <cellStyle name="Note 4 3 13 9" xfId="28870" xr:uid="{00000000-0005-0000-0000-00008D480000}"/>
    <cellStyle name="Note 4 3 14" xfId="2161" xr:uid="{00000000-0005-0000-0000-00008E480000}"/>
    <cellStyle name="Note 4 3 14 10" xfId="33462" xr:uid="{00000000-0005-0000-0000-00008F480000}"/>
    <cellStyle name="Note 4 3 14 11" xfId="37213" xr:uid="{00000000-0005-0000-0000-000090480000}"/>
    <cellStyle name="Note 4 3 14 12" xfId="41229" xr:uid="{00000000-0005-0000-0000-000091480000}"/>
    <cellStyle name="Note 4 3 14 13" xfId="45024" xr:uid="{00000000-0005-0000-0000-000092480000}"/>
    <cellStyle name="Note 4 3 14 2" xfId="4144" xr:uid="{00000000-0005-0000-0000-000093480000}"/>
    <cellStyle name="Note 4 3 14 2 10" xfId="39195" xr:uid="{00000000-0005-0000-0000-000094480000}"/>
    <cellStyle name="Note 4 3 14 2 11" xfId="43205" xr:uid="{00000000-0005-0000-0000-000095480000}"/>
    <cellStyle name="Note 4 3 14 2 12" xfId="46962" xr:uid="{00000000-0005-0000-0000-000096480000}"/>
    <cellStyle name="Note 4 3 14 2 2" xfId="8003" xr:uid="{00000000-0005-0000-0000-000097480000}"/>
    <cellStyle name="Note 4 3 14 2 3" xfId="12443" xr:uid="{00000000-0005-0000-0000-000098480000}"/>
    <cellStyle name="Note 4 3 14 2 4" xfId="16288" xr:uid="{00000000-0005-0000-0000-000099480000}"/>
    <cellStyle name="Note 4 3 14 2 5" xfId="20138" xr:uid="{00000000-0005-0000-0000-00009A480000}"/>
    <cellStyle name="Note 4 3 14 2 6" xfId="24050" xr:uid="{00000000-0005-0000-0000-00009B480000}"/>
    <cellStyle name="Note 4 3 14 2 7" xfId="27888" xr:uid="{00000000-0005-0000-0000-00009C480000}"/>
    <cellStyle name="Note 4 3 14 2 8" xfId="31747" xr:uid="{00000000-0005-0000-0000-00009D480000}"/>
    <cellStyle name="Note 4 3 14 2 9" xfId="35400" xr:uid="{00000000-0005-0000-0000-00009E480000}"/>
    <cellStyle name="Note 4 3 14 3" xfId="6077" xr:uid="{00000000-0005-0000-0000-00009F480000}"/>
    <cellStyle name="Note 4 3 14 4" xfId="10478" xr:uid="{00000000-0005-0000-0000-0000A0480000}"/>
    <cellStyle name="Note 4 3 14 5" xfId="14324" xr:uid="{00000000-0005-0000-0000-0000A1480000}"/>
    <cellStyle name="Note 4 3 14 6" xfId="18155" xr:uid="{00000000-0005-0000-0000-0000A2480000}"/>
    <cellStyle name="Note 4 3 14 7" xfId="22094" xr:uid="{00000000-0005-0000-0000-0000A3480000}"/>
    <cellStyle name="Note 4 3 14 8" xfId="25906" xr:uid="{00000000-0005-0000-0000-0000A4480000}"/>
    <cellStyle name="Note 4 3 14 9" xfId="29786" xr:uid="{00000000-0005-0000-0000-0000A5480000}"/>
    <cellStyle name="Note 4 3 15" xfId="2231" xr:uid="{00000000-0005-0000-0000-0000A6480000}"/>
    <cellStyle name="Note 4 3 15 10" xfId="33532" xr:uid="{00000000-0005-0000-0000-0000A7480000}"/>
    <cellStyle name="Note 4 3 15 11" xfId="37283" xr:uid="{00000000-0005-0000-0000-0000A8480000}"/>
    <cellStyle name="Note 4 3 15 12" xfId="41299" xr:uid="{00000000-0005-0000-0000-0000A9480000}"/>
    <cellStyle name="Note 4 3 15 13" xfId="45094" xr:uid="{00000000-0005-0000-0000-0000AA480000}"/>
    <cellStyle name="Note 4 3 15 2" xfId="4214" xr:uid="{00000000-0005-0000-0000-0000AB480000}"/>
    <cellStyle name="Note 4 3 15 2 10" xfId="39265" xr:uid="{00000000-0005-0000-0000-0000AC480000}"/>
    <cellStyle name="Note 4 3 15 2 11" xfId="43275" xr:uid="{00000000-0005-0000-0000-0000AD480000}"/>
    <cellStyle name="Note 4 3 15 2 12" xfId="47032" xr:uid="{00000000-0005-0000-0000-0000AE480000}"/>
    <cellStyle name="Note 4 3 15 2 2" xfId="8073" xr:uid="{00000000-0005-0000-0000-0000AF480000}"/>
    <cellStyle name="Note 4 3 15 2 3" xfId="12513" xr:uid="{00000000-0005-0000-0000-0000B0480000}"/>
    <cellStyle name="Note 4 3 15 2 4" xfId="16358" xr:uid="{00000000-0005-0000-0000-0000B1480000}"/>
    <cellStyle name="Note 4 3 15 2 5" xfId="20208" xr:uid="{00000000-0005-0000-0000-0000B2480000}"/>
    <cellStyle name="Note 4 3 15 2 6" xfId="24120" xr:uid="{00000000-0005-0000-0000-0000B3480000}"/>
    <cellStyle name="Note 4 3 15 2 7" xfId="27958" xr:uid="{00000000-0005-0000-0000-0000B4480000}"/>
    <cellStyle name="Note 4 3 15 2 8" xfId="31817" xr:uid="{00000000-0005-0000-0000-0000B5480000}"/>
    <cellStyle name="Note 4 3 15 2 9" xfId="35470" xr:uid="{00000000-0005-0000-0000-0000B6480000}"/>
    <cellStyle name="Note 4 3 15 3" xfId="6145" xr:uid="{00000000-0005-0000-0000-0000B7480000}"/>
    <cellStyle name="Note 4 3 15 4" xfId="10548" xr:uid="{00000000-0005-0000-0000-0000B8480000}"/>
    <cellStyle name="Note 4 3 15 5" xfId="14394" xr:uid="{00000000-0005-0000-0000-0000B9480000}"/>
    <cellStyle name="Note 4 3 15 6" xfId="18225" xr:uid="{00000000-0005-0000-0000-0000BA480000}"/>
    <cellStyle name="Note 4 3 15 7" xfId="22164" xr:uid="{00000000-0005-0000-0000-0000BB480000}"/>
    <cellStyle name="Note 4 3 15 8" xfId="25976" xr:uid="{00000000-0005-0000-0000-0000BC480000}"/>
    <cellStyle name="Note 4 3 15 9" xfId="29856" xr:uid="{00000000-0005-0000-0000-0000BD480000}"/>
    <cellStyle name="Note 4 3 16" xfId="2177" xr:uid="{00000000-0005-0000-0000-0000BE480000}"/>
    <cellStyle name="Note 4 3 16 10" xfId="33478" xr:uid="{00000000-0005-0000-0000-0000BF480000}"/>
    <cellStyle name="Note 4 3 16 11" xfId="37229" xr:uid="{00000000-0005-0000-0000-0000C0480000}"/>
    <cellStyle name="Note 4 3 16 12" xfId="41245" xr:uid="{00000000-0005-0000-0000-0000C1480000}"/>
    <cellStyle name="Note 4 3 16 13" xfId="45040" xr:uid="{00000000-0005-0000-0000-0000C2480000}"/>
    <cellStyle name="Note 4 3 16 2" xfId="4160" xr:uid="{00000000-0005-0000-0000-0000C3480000}"/>
    <cellStyle name="Note 4 3 16 2 10" xfId="39211" xr:uid="{00000000-0005-0000-0000-0000C4480000}"/>
    <cellStyle name="Note 4 3 16 2 11" xfId="43221" xr:uid="{00000000-0005-0000-0000-0000C5480000}"/>
    <cellStyle name="Note 4 3 16 2 12" xfId="46978" xr:uid="{00000000-0005-0000-0000-0000C6480000}"/>
    <cellStyle name="Note 4 3 16 2 2" xfId="8019" xr:uid="{00000000-0005-0000-0000-0000C7480000}"/>
    <cellStyle name="Note 4 3 16 2 3" xfId="12459" xr:uid="{00000000-0005-0000-0000-0000C8480000}"/>
    <cellStyle name="Note 4 3 16 2 4" xfId="16304" xr:uid="{00000000-0005-0000-0000-0000C9480000}"/>
    <cellStyle name="Note 4 3 16 2 5" xfId="20154" xr:uid="{00000000-0005-0000-0000-0000CA480000}"/>
    <cellStyle name="Note 4 3 16 2 6" xfId="24066" xr:uid="{00000000-0005-0000-0000-0000CB480000}"/>
    <cellStyle name="Note 4 3 16 2 7" xfId="27904" xr:uid="{00000000-0005-0000-0000-0000CC480000}"/>
    <cellStyle name="Note 4 3 16 2 8" xfId="31763" xr:uid="{00000000-0005-0000-0000-0000CD480000}"/>
    <cellStyle name="Note 4 3 16 2 9" xfId="35416" xr:uid="{00000000-0005-0000-0000-0000CE480000}"/>
    <cellStyle name="Note 4 3 16 3" xfId="6091" xr:uid="{00000000-0005-0000-0000-0000CF480000}"/>
    <cellStyle name="Note 4 3 16 4" xfId="10494" xr:uid="{00000000-0005-0000-0000-0000D0480000}"/>
    <cellStyle name="Note 4 3 16 5" xfId="14340" xr:uid="{00000000-0005-0000-0000-0000D1480000}"/>
    <cellStyle name="Note 4 3 16 6" xfId="18171" xr:uid="{00000000-0005-0000-0000-0000D2480000}"/>
    <cellStyle name="Note 4 3 16 7" xfId="22110" xr:uid="{00000000-0005-0000-0000-0000D3480000}"/>
    <cellStyle name="Note 4 3 16 8" xfId="25922" xr:uid="{00000000-0005-0000-0000-0000D4480000}"/>
    <cellStyle name="Note 4 3 16 9" xfId="29802" xr:uid="{00000000-0005-0000-0000-0000D5480000}"/>
    <cellStyle name="Note 4 3 17" xfId="2347" xr:uid="{00000000-0005-0000-0000-0000D6480000}"/>
    <cellStyle name="Note 4 3 17 10" xfId="37399" xr:uid="{00000000-0005-0000-0000-0000D7480000}"/>
    <cellStyle name="Note 4 3 17 11" xfId="41415" xr:uid="{00000000-0005-0000-0000-0000D8480000}"/>
    <cellStyle name="Note 4 3 17 12" xfId="45208" xr:uid="{00000000-0005-0000-0000-0000D9480000}"/>
    <cellStyle name="Note 4 3 17 2" xfId="4330" xr:uid="{00000000-0005-0000-0000-0000DA480000}"/>
    <cellStyle name="Note 4 3 17 2 10" xfId="39381" xr:uid="{00000000-0005-0000-0000-0000DB480000}"/>
    <cellStyle name="Note 4 3 17 2 11" xfId="43391" xr:uid="{00000000-0005-0000-0000-0000DC480000}"/>
    <cellStyle name="Note 4 3 17 2 12" xfId="47146" xr:uid="{00000000-0005-0000-0000-0000DD480000}"/>
    <cellStyle name="Note 4 3 17 2 2" xfId="8187" xr:uid="{00000000-0005-0000-0000-0000DE480000}"/>
    <cellStyle name="Note 4 3 17 2 3" xfId="12629" xr:uid="{00000000-0005-0000-0000-0000DF480000}"/>
    <cellStyle name="Note 4 3 17 2 4" xfId="16473" xr:uid="{00000000-0005-0000-0000-0000E0480000}"/>
    <cellStyle name="Note 4 3 17 2 5" xfId="20324" xr:uid="{00000000-0005-0000-0000-0000E1480000}"/>
    <cellStyle name="Note 4 3 17 2 6" xfId="24235" xr:uid="{00000000-0005-0000-0000-0000E2480000}"/>
    <cellStyle name="Note 4 3 17 2 7" xfId="28074" xr:uid="{00000000-0005-0000-0000-0000E3480000}"/>
    <cellStyle name="Note 4 3 17 2 8" xfId="31932" xr:uid="{00000000-0005-0000-0000-0000E4480000}"/>
    <cellStyle name="Note 4 3 17 2 9" xfId="35584" xr:uid="{00000000-0005-0000-0000-0000E5480000}"/>
    <cellStyle name="Note 4 3 17 3" xfId="10664" xr:uid="{00000000-0005-0000-0000-0000E6480000}"/>
    <cellStyle name="Note 4 3 17 4" xfId="14509" xr:uid="{00000000-0005-0000-0000-0000E7480000}"/>
    <cellStyle name="Note 4 3 17 5" xfId="18341" xr:uid="{00000000-0005-0000-0000-0000E8480000}"/>
    <cellStyle name="Note 4 3 17 6" xfId="22279" xr:uid="{00000000-0005-0000-0000-0000E9480000}"/>
    <cellStyle name="Note 4 3 17 7" xfId="26092" xr:uid="{00000000-0005-0000-0000-0000EA480000}"/>
    <cellStyle name="Note 4 3 17 8" xfId="29972" xr:uid="{00000000-0005-0000-0000-0000EB480000}"/>
    <cellStyle name="Note 4 3 17 9" xfId="33646" xr:uid="{00000000-0005-0000-0000-0000EC480000}"/>
    <cellStyle name="Note 4 3 18" xfId="2094" xr:uid="{00000000-0005-0000-0000-0000ED480000}"/>
    <cellStyle name="Note 4 3 18 10" xfId="33400" xr:uid="{00000000-0005-0000-0000-0000EE480000}"/>
    <cellStyle name="Note 4 3 18 11" xfId="37146" xr:uid="{00000000-0005-0000-0000-0000EF480000}"/>
    <cellStyle name="Note 4 3 18 12" xfId="41162" xr:uid="{00000000-0005-0000-0000-0000F0480000}"/>
    <cellStyle name="Note 4 3 18 13" xfId="44962" xr:uid="{00000000-0005-0000-0000-0000F1480000}"/>
    <cellStyle name="Note 4 3 18 2" xfId="4078" xr:uid="{00000000-0005-0000-0000-0000F2480000}"/>
    <cellStyle name="Note 4 3 18 2 10" xfId="39129" xr:uid="{00000000-0005-0000-0000-0000F3480000}"/>
    <cellStyle name="Note 4 3 18 2 11" xfId="43139" xr:uid="{00000000-0005-0000-0000-0000F4480000}"/>
    <cellStyle name="Note 4 3 18 2 12" xfId="46900" xr:uid="{00000000-0005-0000-0000-0000F5480000}"/>
    <cellStyle name="Note 4 3 18 2 2" xfId="7941" xr:uid="{00000000-0005-0000-0000-0000F6480000}"/>
    <cellStyle name="Note 4 3 18 2 3" xfId="12378" xr:uid="{00000000-0005-0000-0000-0000F7480000}"/>
    <cellStyle name="Note 4 3 18 2 4" xfId="16223" xr:uid="{00000000-0005-0000-0000-0000F8480000}"/>
    <cellStyle name="Note 4 3 18 2 5" xfId="20072" xr:uid="{00000000-0005-0000-0000-0000F9480000}"/>
    <cellStyle name="Note 4 3 18 2 6" xfId="23986" xr:uid="{00000000-0005-0000-0000-0000FA480000}"/>
    <cellStyle name="Note 4 3 18 2 7" xfId="27822" xr:uid="{00000000-0005-0000-0000-0000FB480000}"/>
    <cellStyle name="Note 4 3 18 2 8" xfId="31681" xr:uid="{00000000-0005-0000-0000-0000FC480000}"/>
    <cellStyle name="Note 4 3 18 2 9" xfId="35338" xr:uid="{00000000-0005-0000-0000-0000FD480000}"/>
    <cellStyle name="Note 4 3 18 3" xfId="6018" xr:uid="{00000000-0005-0000-0000-0000FE480000}"/>
    <cellStyle name="Note 4 3 18 4" xfId="10413" xr:uid="{00000000-0005-0000-0000-0000FF480000}"/>
    <cellStyle name="Note 4 3 18 5" xfId="14260" xr:uid="{00000000-0005-0000-0000-000000490000}"/>
    <cellStyle name="Note 4 3 18 6" xfId="18088" xr:uid="{00000000-0005-0000-0000-000001490000}"/>
    <cellStyle name="Note 4 3 18 7" xfId="22030" xr:uid="{00000000-0005-0000-0000-000002490000}"/>
    <cellStyle name="Note 4 3 18 8" xfId="25839" xr:uid="{00000000-0005-0000-0000-000003490000}"/>
    <cellStyle name="Note 4 3 18 9" xfId="29719" xr:uid="{00000000-0005-0000-0000-000004490000}"/>
    <cellStyle name="Note 4 3 19" xfId="2127" xr:uid="{00000000-0005-0000-0000-000005490000}"/>
    <cellStyle name="Note 4 3 19 10" xfId="33431" xr:uid="{00000000-0005-0000-0000-000006490000}"/>
    <cellStyle name="Note 4 3 19 11" xfId="37179" xr:uid="{00000000-0005-0000-0000-000007490000}"/>
    <cellStyle name="Note 4 3 19 12" xfId="41195" xr:uid="{00000000-0005-0000-0000-000008490000}"/>
    <cellStyle name="Note 4 3 19 13" xfId="44993" xr:uid="{00000000-0005-0000-0000-000009490000}"/>
    <cellStyle name="Note 4 3 19 2" xfId="4111" xr:uid="{00000000-0005-0000-0000-00000A490000}"/>
    <cellStyle name="Note 4 3 19 2 10" xfId="39162" xr:uid="{00000000-0005-0000-0000-00000B490000}"/>
    <cellStyle name="Note 4 3 19 2 11" xfId="43172" xr:uid="{00000000-0005-0000-0000-00000C490000}"/>
    <cellStyle name="Note 4 3 19 2 12" xfId="46931" xr:uid="{00000000-0005-0000-0000-00000D490000}"/>
    <cellStyle name="Note 4 3 19 2 2" xfId="7972" xr:uid="{00000000-0005-0000-0000-00000E490000}"/>
    <cellStyle name="Note 4 3 19 2 3" xfId="12411" xr:uid="{00000000-0005-0000-0000-00000F490000}"/>
    <cellStyle name="Note 4 3 19 2 4" xfId="16256" xr:uid="{00000000-0005-0000-0000-000010490000}"/>
    <cellStyle name="Note 4 3 19 2 5" xfId="20105" xr:uid="{00000000-0005-0000-0000-000011490000}"/>
    <cellStyle name="Note 4 3 19 2 6" xfId="24019" xr:uid="{00000000-0005-0000-0000-000012490000}"/>
    <cellStyle name="Note 4 3 19 2 7" xfId="27855" xr:uid="{00000000-0005-0000-0000-000013490000}"/>
    <cellStyle name="Note 4 3 19 2 8" xfId="31714" xr:uid="{00000000-0005-0000-0000-000014490000}"/>
    <cellStyle name="Note 4 3 19 2 9" xfId="35369" xr:uid="{00000000-0005-0000-0000-000015490000}"/>
    <cellStyle name="Note 4 3 19 3" xfId="6047" xr:uid="{00000000-0005-0000-0000-000016490000}"/>
    <cellStyle name="Note 4 3 19 4" xfId="10445" xr:uid="{00000000-0005-0000-0000-000017490000}"/>
    <cellStyle name="Note 4 3 19 5" xfId="14293" xr:uid="{00000000-0005-0000-0000-000018490000}"/>
    <cellStyle name="Note 4 3 19 6" xfId="18121" xr:uid="{00000000-0005-0000-0000-000019490000}"/>
    <cellStyle name="Note 4 3 19 7" xfId="22063" xr:uid="{00000000-0005-0000-0000-00001A490000}"/>
    <cellStyle name="Note 4 3 19 8" xfId="25872" xr:uid="{00000000-0005-0000-0000-00001B490000}"/>
    <cellStyle name="Note 4 3 19 9" xfId="29752" xr:uid="{00000000-0005-0000-0000-00001C490000}"/>
    <cellStyle name="Note 4 3 2" xfId="483" xr:uid="{00000000-0005-0000-0000-00001D490000}"/>
    <cellStyle name="Note 4 3 2 10" xfId="1977" xr:uid="{00000000-0005-0000-0000-00001E490000}"/>
    <cellStyle name="Note 4 3 2 10 10" xfId="33264" xr:uid="{00000000-0005-0000-0000-00001F490000}"/>
    <cellStyle name="Note 4 3 2 10 11" xfId="37034" xr:uid="{00000000-0005-0000-0000-000020490000}"/>
    <cellStyle name="Note 4 3 2 10 12" xfId="41025" xr:uid="{00000000-0005-0000-0000-000021490000}"/>
    <cellStyle name="Note 4 3 2 10 13" xfId="44856" xr:uid="{00000000-0005-0000-0000-000022490000}"/>
    <cellStyle name="Note 4 3 2 10 2" xfId="3967" xr:uid="{00000000-0005-0000-0000-000023490000}"/>
    <cellStyle name="Note 4 3 2 10 2 10" xfId="39018" xr:uid="{00000000-0005-0000-0000-000024490000}"/>
    <cellStyle name="Note 4 3 2 10 2 11" xfId="43029" xr:uid="{00000000-0005-0000-0000-000025490000}"/>
    <cellStyle name="Note 4 3 2 10 2 12" xfId="46794" xr:uid="{00000000-0005-0000-0000-000026490000}"/>
    <cellStyle name="Note 4 3 2 10 2 2" xfId="7834" xr:uid="{00000000-0005-0000-0000-000027490000}"/>
    <cellStyle name="Note 4 3 2 10 2 3" xfId="12269" xr:uid="{00000000-0005-0000-0000-000028490000}"/>
    <cellStyle name="Note 4 3 2 10 2 4" xfId="16114" xr:uid="{00000000-0005-0000-0000-000029490000}"/>
    <cellStyle name="Note 4 3 2 10 2 5" xfId="19961" xr:uid="{00000000-0005-0000-0000-00002A490000}"/>
    <cellStyle name="Note 4 3 2 10 2 6" xfId="23877" xr:uid="{00000000-0005-0000-0000-00002B490000}"/>
    <cellStyle name="Note 4 3 2 10 2 7" xfId="27711" xr:uid="{00000000-0005-0000-0000-00002C490000}"/>
    <cellStyle name="Note 4 3 2 10 2 8" xfId="31571" xr:uid="{00000000-0005-0000-0000-00002D490000}"/>
    <cellStyle name="Note 4 3 2 10 2 9" xfId="35232" xr:uid="{00000000-0005-0000-0000-00002E490000}"/>
    <cellStyle name="Note 4 3 2 10 3" xfId="5910" xr:uid="{00000000-0005-0000-0000-00002F490000}"/>
    <cellStyle name="Note 4 3 2 10 4" xfId="10268" xr:uid="{00000000-0005-0000-0000-000030490000}"/>
    <cellStyle name="Note 4 3 2 10 5" xfId="14114" xr:uid="{00000000-0005-0000-0000-000031490000}"/>
    <cellStyle name="Note 4 3 2 10 6" xfId="17943" xr:uid="{00000000-0005-0000-0000-000032490000}"/>
    <cellStyle name="Note 4 3 2 10 7" xfId="21882" xr:uid="{00000000-0005-0000-0000-000033490000}"/>
    <cellStyle name="Note 4 3 2 10 8" xfId="25695" xr:uid="{00000000-0005-0000-0000-000034490000}"/>
    <cellStyle name="Note 4 3 2 10 9" xfId="29582" xr:uid="{00000000-0005-0000-0000-000035490000}"/>
    <cellStyle name="Note 4 3 2 11" xfId="1269" xr:uid="{00000000-0005-0000-0000-000036490000}"/>
    <cellStyle name="Note 4 3 2 11 10" xfId="32556" xr:uid="{00000000-0005-0000-0000-000037490000}"/>
    <cellStyle name="Note 4 3 2 11 11" xfId="36326" xr:uid="{00000000-0005-0000-0000-000038490000}"/>
    <cellStyle name="Note 4 3 2 11 12" xfId="40318" xr:uid="{00000000-0005-0000-0000-000039490000}"/>
    <cellStyle name="Note 4 3 2 11 13" xfId="44148" xr:uid="{00000000-0005-0000-0000-00003A490000}"/>
    <cellStyle name="Note 4 3 2 11 2" xfId="3259" xr:uid="{00000000-0005-0000-0000-00003B490000}"/>
    <cellStyle name="Note 4 3 2 11 2 10" xfId="38310" xr:uid="{00000000-0005-0000-0000-00003C490000}"/>
    <cellStyle name="Note 4 3 2 11 2 11" xfId="42321" xr:uid="{00000000-0005-0000-0000-00003D490000}"/>
    <cellStyle name="Note 4 3 2 11 2 12" xfId="46086" xr:uid="{00000000-0005-0000-0000-00003E490000}"/>
    <cellStyle name="Note 4 3 2 11 2 2" xfId="7126" xr:uid="{00000000-0005-0000-0000-00003F490000}"/>
    <cellStyle name="Note 4 3 2 11 2 3" xfId="11561" xr:uid="{00000000-0005-0000-0000-000040490000}"/>
    <cellStyle name="Note 4 3 2 11 2 4" xfId="15406" xr:uid="{00000000-0005-0000-0000-000041490000}"/>
    <cellStyle name="Note 4 3 2 11 2 5" xfId="19253" xr:uid="{00000000-0005-0000-0000-000042490000}"/>
    <cellStyle name="Note 4 3 2 11 2 6" xfId="23169" xr:uid="{00000000-0005-0000-0000-000043490000}"/>
    <cellStyle name="Note 4 3 2 11 2 7" xfId="27003" xr:uid="{00000000-0005-0000-0000-000044490000}"/>
    <cellStyle name="Note 4 3 2 11 2 8" xfId="30873" xr:uid="{00000000-0005-0000-0000-000045490000}"/>
    <cellStyle name="Note 4 3 2 11 2 9" xfId="34524" xr:uid="{00000000-0005-0000-0000-000046490000}"/>
    <cellStyle name="Note 4 3 2 11 3" xfId="5202" xr:uid="{00000000-0005-0000-0000-000047490000}"/>
    <cellStyle name="Note 4 3 2 11 4" xfId="9560" xr:uid="{00000000-0005-0000-0000-000048490000}"/>
    <cellStyle name="Note 4 3 2 11 5" xfId="13406" xr:uid="{00000000-0005-0000-0000-000049490000}"/>
    <cellStyle name="Note 4 3 2 11 6" xfId="17235" xr:uid="{00000000-0005-0000-0000-00004A490000}"/>
    <cellStyle name="Note 4 3 2 11 7" xfId="21174" xr:uid="{00000000-0005-0000-0000-00004B490000}"/>
    <cellStyle name="Note 4 3 2 11 8" xfId="24987" xr:uid="{00000000-0005-0000-0000-00004C490000}"/>
    <cellStyle name="Note 4 3 2 11 9" xfId="28875" xr:uid="{00000000-0005-0000-0000-00004D490000}"/>
    <cellStyle name="Note 4 3 2 12" xfId="2162" xr:uid="{00000000-0005-0000-0000-00004E490000}"/>
    <cellStyle name="Note 4 3 2 12 10" xfId="33463" xr:uid="{00000000-0005-0000-0000-00004F490000}"/>
    <cellStyle name="Note 4 3 2 12 11" xfId="37214" xr:uid="{00000000-0005-0000-0000-000050490000}"/>
    <cellStyle name="Note 4 3 2 12 12" xfId="41230" xr:uid="{00000000-0005-0000-0000-000051490000}"/>
    <cellStyle name="Note 4 3 2 12 13" xfId="45025" xr:uid="{00000000-0005-0000-0000-000052490000}"/>
    <cellStyle name="Note 4 3 2 12 2" xfId="4145" xr:uid="{00000000-0005-0000-0000-000053490000}"/>
    <cellStyle name="Note 4 3 2 12 2 10" xfId="39196" xr:uid="{00000000-0005-0000-0000-000054490000}"/>
    <cellStyle name="Note 4 3 2 12 2 11" xfId="43206" xr:uid="{00000000-0005-0000-0000-000055490000}"/>
    <cellStyle name="Note 4 3 2 12 2 12" xfId="46963" xr:uid="{00000000-0005-0000-0000-000056490000}"/>
    <cellStyle name="Note 4 3 2 12 2 2" xfId="8004" xr:uid="{00000000-0005-0000-0000-000057490000}"/>
    <cellStyle name="Note 4 3 2 12 2 3" xfId="12444" xr:uid="{00000000-0005-0000-0000-000058490000}"/>
    <cellStyle name="Note 4 3 2 12 2 4" xfId="16289" xr:uid="{00000000-0005-0000-0000-000059490000}"/>
    <cellStyle name="Note 4 3 2 12 2 5" xfId="20139" xr:uid="{00000000-0005-0000-0000-00005A490000}"/>
    <cellStyle name="Note 4 3 2 12 2 6" xfId="24051" xr:uid="{00000000-0005-0000-0000-00005B490000}"/>
    <cellStyle name="Note 4 3 2 12 2 7" xfId="27889" xr:uid="{00000000-0005-0000-0000-00005C490000}"/>
    <cellStyle name="Note 4 3 2 12 2 8" xfId="31748" xr:uid="{00000000-0005-0000-0000-00005D490000}"/>
    <cellStyle name="Note 4 3 2 12 2 9" xfId="35401" xr:uid="{00000000-0005-0000-0000-00005E490000}"/>
    <cellStyle name="Note 4 3 2 12 3" xfId="6078" xr:uid="{00000000-0005-0000-0000-00005F490000}"/>
    <cellStyle name="Note 4 3 2 12 4" xfId="10479" xr:uid="{00000000-0005-0000-0000-000060490000}"/>
    <cellStyle name="Note 4 3 2 12 5" xfId="14325" xr:uid="{00000000-0005-0000-0000-000061490000}"/>
    <cellStyle name="Note 4 3 2 12 6" xfId="18156" xr:uid="{00000000-0005-0000-0000-000062490000}"/>
    <cellStyle name="Note 4 3 2 12 7" xfId="22095" xr:uid="{00000000-0005-0000-0000-000063490000}"/>
    <cellStyle name="Note 4 3 2 12 8" xfId="25907" xr:uid="{00000000-0005-0000-0000-000064490000}"/>
    <cellStyle name="Note 4 3 2 12 9" xfId="29787" xr:uid="{00000000-0005-0000-0000-000065490000}"/>
    <cellStyle name="Note 4 3 2 13" xfId="2232" xr:uid="{00000000-0005-0000-0000-000066490000}"/>
    <cellStyle name="Note 4 3 2 13 10" xfId="33533" xr:uid="{00000000-0005-0000-0000-000067490000}"/>
    <cellStyle name="Note 4 3 2 13 11" xfId="37284" xr:uid="{00000000-0005-0000-0000-000068490000}"/>
    <cellStyle name="Note 4 3 2 13 12" xfId="41300" xr:uid="{00000000-0005-0000-0000-000069490000}"/>
    <cellStyle name="Note 4 3 2 13 13" xfId="45095" xr:uid="{00000000-0005-0000-0000-00006A490000}"/>
    <cellStyle name="Note 4 3 2 13 2" xfId="4215" xr:uid="{00000000-0005-0000-0000-00006B490000}"/>
    <cellStyle name="Note 4 3 2 13 2 10" xfId="39266" xr:uid="{00000000-0005-0000-0000-00006C490000}"/>
    <cellStyle name="Note 4 3 2 13 2 11" xfId="43276" xr:uid="{00000000-0005-0000-0000-00006D490000}"/>
    <cellStyle name="Note 4 3 2 13 2 12" xfId="47033" xr:uid="{00000000-0005-0000-0000-00006E490000}"/>
    <cellStyle name="Note 4 3 2 13 2 2" xfId="8074" xr:uid="{00000000-0005-0000-0000-00006F490000}"/>
    <cellStyle name="Note 4 3 2 13 2 3" xfId="12514" xr:uid="{00000000-0005-0000-0000-000070490000}"/>
    <cellStyle name="Note 4 3 2 13 2 4" xfId="16359" xr:uid="{00000000-0005-0000-0000-000071490000}"/>
    <cellStyle name="Note 4 3 2 13 2 5" xfId="20209" xr:uid="{00000000-0005-0000-0000-000072490000}"/>
    <cellStyle name="Note 4 3 2 13 2 6" xfId="24121" xr:uid="{00000000-0005-0000-0000-000073490000}"/>
    <cellStyle name="Note 4 3 2 13 2 7" xfId="27959" xr:uid="{00000000-0005-0000-0000-000074490000}"/>
    <cellStyle name="Note 4 3 2 13 2 8" xfId="31818" xr:uid="{00000000-0005-0000-0000-000075490000}"/>
    <cellStyle name="Note 4 3 2 13 2 9" xfId="35471" xr:uid="{00000000-0005-0000-0000-000076490000}"/>
    <cellStyle name="Note 4 3 2 13 3" xfId="6146" xr:uid="{00000000-0005-0000-0000-000077490000}"/>
    <cellStyle name="Note 4 3 2 13 4" xfId="10549" xr:uid="{00000000-0005-0000-0000-000078490000}"/>
    <cellStyle name="Note 4 3 2 13 5" xfId="14395" xr:uid="{00000000-0005-0000-0000-000079490000}"/>
    <cellStyle name="Note 4 3 2 13 6" xfId="18226" xr:uid="{00000000-0005-0000-0000-00007A490000}"/>
    <cellStyle name="Note 4 3 2 13 7" xfId="22165" xr:uid="{00000000-0005-0000-0000-00007B490000}"/>
    <cellStyle name="Note 4 3 2 13 8" xfId="25977" xr:uid="{00000000-0005-0000-0000-00007C490000}"/>
    <cellStyle name="Note 4 3 2 13 9" xfId="29857" xr:uid="{00000000-0005-0000-0000-00007D490000}"/>
    <cellStyle name="Note 4 3 2 14" xfId="2178" xr:uid="{00000000-0005-0000-0000-00007E490000}"/>
    <cellStyle name="Note 4 3 2 14 10" xfId="33479" xr:uid="{00000000-0005-0000-0000-00007F490000}"/>
    <cellStyle name="Note 4 3 2 14 11" xfId="37230" xr:uid="{00000000-0005-0000-0000-000080490000}"/>
    <cellStyle name="Note 4 3 2 14 12" xfId="41246" xr:uid="{00000000-0005-0000-0000-000081490000}"/>
    <cellStyle name="Note 4 3 2 14 13" xfId="45041" xr:uid="{00000000-0005-0000-0000-000082490000}"/>
    <cellStyle name="Note 4 3 2 14 2" xfId="4161" xr:uid="{00000000-0005-0000-0000-000083490000}"/>
    <cellStyle name="Note 4 3 2 14 2 10" xfId="39212" xr:uid="{00000000-0005-0000-0000-000084490000}"/>
    <cellStyle name="Note 4 3 2 14 2 11" xfId="43222" xr:uid="{00000000-0005-0000-0000-000085490000}"/>
    <cellStyle name="Note 4 3 2 14 2 12" xfId="46979" xr:uid="{00000000-0005-0000-0000-000086490000}"/>
    <cellStyle name="Note 4 3 2 14 2 2" xfId="8020" xr:uid="{00000000-0005-0000-0000-000087490000}"/>
    <cellStyle name="Note 4 3 2 14 2 3" xfId="12460" xr:uid="{00000000-0005-0000-0000-000088490000}"/>
    <cellStyle name="Note 4 3 2 14 2 4" xfId="16305" xr:uid="{00000000-0005-0000-0000-000089490000}"/>
    <cellStyle name="Note 4 3 2 14 2 5" xfId="20155" xr:uid="{00000000-0005-0000-0000-00008A490000}"/>
    <cellStyle name="Note 4 3 2 14 2 6" xfId="24067" xr:uid="{00000000-0005-0000-0000-00008B490000}"/>
    <cellStyle name="Note 4 3 2 14 2 7" xfId="27905" xr:uid="{00000000-0005-0000-0000-00008C490000}"/>
    <cellStyle name="Note 4 3 2 14 2 8" xfId="31764" xr:uid="{00000000-0005-0000-0000-00008D490000}"/>
    <cellStyle name="Note 4 3 2 14 2 9" xfId="35417" xr:uid="{00000000-0005-0000-0000-00008E490000}"/>
    <cellStyle name="Note 4 3 2 14 3" xfId="6092" xr:uid="{00000000-0005-0000-0000-00008F490000}"/>
    <cellStyle name="Note 4 3 2 14 4" xfId="10495" xr:uid="{00000000-0005-0000-0000-000090490000}"/>
    <cellStyle name="Note 4 3 2 14 5" xfId="14341" xr:uid="{00000000-0005-0000-0000-000091490000}"/>
    <cellStyle name="Note 4 3 2 14 6" xfId="18172" xr:uid="{00000000-0005-0000-0000-000092490000}"/>
    <cellStyle name="Note 4 3 2 14 7" xfId="22111" xr:uid="{00000000-0005-0000-0000-000093490000}"/>
    <cellStyle name="Note 4 3 2 14 8" xfId="25923" xr:uid="{00000000-0005-0000-0000-000094490000}"/>
    <cellStyle name="Note 4 3 2 14 9" xfId="29803" xr:uid="{00000000-0005-0000-0000-000095490000}"/>
    <cellStyle name="Note 4 3 2 15" xfId="2348" xr:uid="{00000000-0005-0000-0000-000096490000}"/>
    <cellStyle name="Note 4 3 2 15 10" xfId="37400" xr:uid="{00000000-0005-0000-0000-000097490000}"/>
    <cellStyle name="Note 4 3 2 15 11" xfId="41416" xr:uid="{00000000-0005-0000-0000-000098490000}"/>
    <cellStyle name="Note 4 3 2 15 12" xfId="45209" xr:uid="{00000000-0005-0000-0000-000099490000}"/>
    <cellStyle name="Note 4 3 2 15 2" xfId="4331" xr:uid="{00000000-0005-0000-0000-00009A490000}"/>
    <cellStyle name="Note 4 3 2 15 2 10" xfId="39382" xr:uid="{00000000-0005-0000-0000-00009B490000}"/>
    <cellStyle name="Note 4 3 2 15 2 11" xfId="43392" xr:uid="{00000000-0005-0000-0000-00009C490000}"/>
    <cellStyle name="Note 4 3 2 15 2 12" xfId="47147" xr:uid="{00000000-0005-0000-0000-00009D490000}"/>
    <cellStyle name="Note 4 3 2 15 2 2" xfId="8188" xr:uid="{00000000-0005-0000-0000-00009E490000}"/>
    <cellStyle name="Note 4 3 2 15 2 3" xfId="12630" xr:uid="{00000000-0005-0000-0000-00009F490000}"/>
    <cellStyle name="Note 4 3 2 15 2 4" xfId="16474" xr:uid="{00000000-0005-0000-0000-0000A0490000}"/>
    <cellStyle name="Note 4 3 2 15 2 5" xfId="20325" xr:uid="{00000000-0005-0000-0000-0000A1490000}"/>
    <cellStyle name="Note 4 3 2 15 2 6" xfId="24236" xr:uid="{00000000-0005-0000-0000-0000A2490000}"/>
    <cellStyle name="Note 4 3 2 15 2 7" xfId="28075" xr:uid="{00000000-0005-0000-0000-0000A3490000}"/>
    <cellStyle name="Note 4 3 2 15 2 8" xfId="31933" xr:uid="{00000000-0005-0000-0000-0000A4490000}"/>
    <cellStyle name="Note 4 3 2 15 2 9" xfId="35585" xr:uid="{00000000-0005-0000-0000-0000A5490000}"/>
    <cellStyle name="Note 4 3 2 15 3" xfId="10665" xr:uid="{00000000-0005-0000-0000-0000A6490000}"/>
    <cellStyle name="Note 4 3 2 15 4" xfId="14510" xr:uid="{00000000-0005-0000-0000-0000A7490000}"/>
    <cellStyle name="Note 4 3 2 15 5" xfId="18342" xr:uid="{00000000-0005-0000-0000-0000A8490000}"/>
    <cellStyle name="Note 4 3 2 15 6" xfId="22280" xr:uid="{00000000-0005-0000-0000-0000A9490000}"/>
    <cellStyle name="Note 4 3 2 15 7" xfId="26093" xr:uid="{00000000-0005-0000-0000-0000AA490000}"/>
    <cellStyle name="Note 4 3 2 15 8" xfId="29973" xr:uid="{00000000-0005-0000-0000-0000AB490000}"/>
    <cellStyle name="Note 4 3 2 15 9" xfId="33647" xr:uid="{00000000-0005-0000-0000-0000AC490000}"/>
    <cellStyle name="Note 4 3 2 16" xfId="2145" xr:uid="{00000000-0005-0000-0000-0000AD490000}"/>
    <cellStyle name="Note 4 3 2 16 10" xfId="33447" xr:uid="{00000000-0005-0000-0000-0000AE490000}"/>
    <cellStyle name="Note 4 3 2 16 11" xfId="37197" xr:uid="{00000000-0005-0000-0000-0000AF490000}"/>
    <cellStyle name="Note 4 3 2 16 12" xfId="41213" xr:uid="{00000000-0005-0000-0000-0000B0490000}"/>
    <cellStyle name="Note 4 3 2 16 13" xfId="45009" xr:uid="{00000000-0005-0000-0000-0000B1490000}"/>
    <cellStyle name="Note 4 3 2 16 2" xfId="4129" xr:uid="{00000000-0005-0000-0000-0000B2490000}"/>
    <cellStyle name="Note 4 3 2 16 2 10" xfId="39180" xr:uid="{00000000-0005-0000-0000-0000B3490000}"/>
    <cellStyle name="Note 4 3 2 16 2 11" xfId="43190" xr:uid="{00000000-0005-0000-0000-0000B4490000}"/>
    <cellStyle name="Note 4 3 2 16 2 12" xfId="46947" xr:uid="{00000000-0005-0000-0000-0000B5490000}"/>
    <cellStyle name="Note 4 3 2 16 2 2" xfId="7988" xr:uid="{00000000-0005-0000-0000-0000B6490000}"/>
    <cellStyle name="Note 4 3 2 16 2 3" xfId="12428" xr:uid="{00000000-0005-0000-0000-0000B7490000}"/>
    <cellStyle name="Note 4 3 2 16 2 4" xfId="16273" xr:uid="{00000000-0005-0000-0000-0000B8490000}"/>
    <cellStyle name="Note 4 3 2 16 2 5" xfId="20123" xr:uid="{00000000-0005-0000-0000-0000B9490000}"/>
    <cellStyle name="Note 4 3 2 16 2 6" xfId="24035" xr:uid="{00000000-0005-0000-0000-0000BA490000}"/>
    <cellStyle name="Note 4 3 2 16 2 7" xfId="27873" xr:uid="{00000000-0005-0000-0000-0000BB490000}"/>
    <cellStyle name="Note 4 3 2 16 2 8" xfId="31732" xr:uid="{00000000-0005-0000-0000-0000BC490000}"/>
    <cellStyle name="Note 4 3 2 16 2 9" xfId="35385" xr:uid="{00000000-0005-0000-0000-0000BD490000}"/>
    <cellStyle name="Note 4 3 2 16 3" xfId="6062" xr:uid="{00000000-0005-0000-0000-0000BE490000}"/>
    <cellStyle name="Note 4 3 2 16 4" xfId="10462" xr:uid="{00000000-0005-0000-0000-0000BF490000}"/>
    <cellStyle name="Note 4 3 2 16 5" xfId="14309" xr:uid="{00000000-0005-0000-0000-0000C0490000}"/>
    <cellStyle name="Note 4 3 2 16 6" xfId="18139" xr:uid="{00000000-0005-0000-0000-0000C1490000}"/>
    <cellStyle name="Note 4 3 2 16 7" xfId="22079" xr:uid="{00000000-0005-0000-0000-0000C2490000}"/>
    <cellStyle name="Note 4 3 2 16 8" xfId="25890" xr:uid="{00000000-0005-0000-0000-0000C3490000}"/>
    <cellStyle name="Note 4 3 2 16 9" xfId="29770" xr:uid="{00000000-0005-0000-0000-0000C4490000}"/>
    <cellStyle name="Note 4 3 2 17" xfId="2360" xr:uid="{00000000-0005-0000-0000-0000C5490000}"/>
    <cellStyle name="Note 4 3 2 17 10" xfId="33659" xr:uid="{00000000-0005-0000-0000-0000C6490000}"/>
    <cellStyle name="Note 4 3 2 17 11" xfId="37412" xr:uid="{00000000-0005-0000-0000-0000C7490000}"/>
    <cellStyle name="Note 4 3 2 17 12" xfId="41428" xr:uid="{00000000-0005-0000-0000-0000C8490000}"/>
    <cellStyle name="Note 4 3 2 17 13" xfId="45221" xr:uid="{00000000-0005-0000-0000-0000C9490000}"/>
    <cellStyle name="Note 4 3 2 17 2" xfId="4343" xr:uid="{00000000-0005-0000-0000-0000CA490000}"/>
    <cellStyle name="Note 4 3 2 17 2 10" xfId="39394" xr:uid="{00000000-0005-0000-0000-0000CB490000}"/>
    <cellStyle name="Note 4 3 2 17 2 11" xfId="43404" xr:uid="{00000000-0005-0000-0000-0000CC490000}"/>
    <cellStyle name="Note 4 3 2 17 2 12" xfId="47159" xr:uid="{00000000-0005-0000-0000-0000CD490000}"/>
    <cellStyle name="Note 4 3 2 17 2 2" xfId="8200" xr:uid="{00000000-0005-0000-0000-0000CE490000}"/>
    <cellStyle name="Note 4 3 2 17 2 3" xfId="12642" xr:uid="{00000000-0005-0000-0000-0000CF490000}"/>
    <cellStyle name="Note 4 3 2 17 2 4" xfId="16486" xr:uid="{00000000-0005-0000-0000-0000D0490000}"/>
    <cellStyle name="Note 4 3 2 17 2 5" xfId="20337" xr:uid="{00000000-0005-0000-0000-0000D1490000}"/>
    <cellStyle name="Note 4 3 2 17 2 6" xfId="24248" xr:uid="{00000000-0005-0000-0000-0000D2490000}"/>
    <cellStyle name="Note 4 3 2 17 2 7" xfId="28087" xr:uid="{00000000-0005-0000-0000-0000D3490000}"/>
    <cellStyle name="Note 4 3 2 17 2 8" xfId="31945" xr:uid="{00000000-0005-0000-0000-0000D4490000}"/>
    <cellStyle name="Note 4 3 2 17 2 9" xfId="35597" xr:uid="{00000000-0005-0000-0000-0000D5490000}"/>
    <cellStyle name="Note 4 3 2 17 3" xfId="6256" xr:uid="{00000000-0005-0000-0000-0000D6490000}"/>
    <cellStyle name="Note 4 3 2 17 4" xfId="10677" xr:uid="{00000000-0005-0000-0000-0000D7490000}"/>
    <cellStyle name="Note 4 3 2 17 5" xfId="14522" xr:uid="{00000000-0005-0000-0000-0000D8490000}"/>
    <cellStyle name="Note 4 3 2 17 6" xfId="18354" xr:uid="{00000000-0005-0000-0000-0000D9490000}"/>
    <cellStyle name="Note 4 3 2 17 7" xfId="22292" xr:uid="{00000000-0005-0000-0000-0000DA490000}"/>
    <cellStyle name="Note 4 3 2 17 8" xfId="26105" xr:uid="{00000000-0005-0000-0000-0000DB490000}"/>
    <cellStyle name="Note 4 3 2 17 9" xfId="29985" xr:uid="{00000000-0005-0000-0000-0000DC490000}"/>
    <cellStyle name="Note 4 3 2 18" xfId="2530" xr:uid="{00000000-0005-0000-0000-0000DD490000}"/>
    <cellStyle name="Note 4 3 2 18 10" xfId="37582" xr:uid="{00000000-0005-0000-0000-0000DE490000}"/>
    <cellStyle name="Note 4 3 2 18 11" xfId="41596" xr:uid="{00000000-0005-0000-0000-0000DF490000}"/>
    <cellStyle name="Note 4 3 2 18 12" xfId="45385" xr:uid="{00000000-0005-0000-0000-0000E0490000}"/>
    <cellStyle name="Note 4 3 2 18 2" xfId="6422" xr:uid="{00000000-0005-0000-0000-0000E1490000}"/>
    <cellStyle name="Note 4 3 2 18 3" xfId="10845" xr:uid="{00000000-0005-0000-0000-0000E2490000}"/>
    <cellStyle name="Note 4 3 2 18 4" xfId="14689" xr:uid="{00000000-0005-0000-0000-0000E3490000}"/>
    <cellStyle name="Note 4 3 2 18 5" xfId="18524" xr:uid="{00000000-0005-0000-0000-0000E4490000}"/>
    <cellStyle name="Note 4 3 2 18 6" xfId="22459" xr:uid="{00000000-0005-0000-0000-0000E5490000}"/>
    <cellStyle name="Note 4 3 2 18 7" xfId="26275" xr:uid="{00000000-0005-0000-0000-0000E6490000}"/>
    <cellStyle name="Note 4 3 2 18 8" xfId="30154" xr:uid="{00000000-0005-0000-0000-0000E7490000}"/>
    <cellStyle name="Note 4 3 2 18 9" xfId="33823" xr:uid="{00000000-0005-0000-0000-0000E8490000}"/>
    <cellStyle name="Note 4 3 2 19" xfId="8705" xr:uid="{00000000-0005-0000-0000-0000E9490000}"/>
    <cellStyle name="Note 4 3 2 2" xfId="563" xr:uid="{00000000-0005-0000-0000-0000EA490000}"/>
    <cellStyle name="Note 4 3 2 2 10" xfId="2213" xr:uid="{00000000-0005-0000-0000-0000EB490000}"/>
    <cellStyle name="Note 4 3 2 2 10 10" xfId="33514" xr:uid="{00000000-0005-0000-0000-0000EC490000}"/>
    <cellStyle name="Note 4 3 2 2 10 11" xfId="37265" xr:uid="{00000000-0005-0000-0000-0000ED490000}"/>
    <cellStyle name="Note 4 3 2 2 10 12" xfId="41281" xr:uid="{00000000-0005-0000-0000-0000EE490000}"/>
    <cellStyle name="Note 4 3 2 2 10 13" xfId="45076" xr:uid="{00000000-0005-0000-0000-0000EF490000}"/>
    <cellStyle name="Note 4 3 2 2 10 2" xfId="4196" xr:uid="{00000000-0005-0000-0000-0000F0490000}"/>
    <cellStyle name="Note 4 3 2 2 10 2 10" xfId="39247" xr:uid="{00000000-0005-0000-0000-0000F1490000}"/>
    <cellStyle name="Note 4 3 2 2 10 2 11" xfId="43257" xr:uid="{00000000-0005-0000-0000-0000F2490000}"/>
    <cellStyle name="Note 4 3 2 2 10 2 12" xfId="47014" xr:uid="{00000000-0005-0000-0000-0000F3490000}"/>
    <cellStyle name="Note 4 3 2 2 10 2 2" xfId="8055" xr:uid="{00000000-0005-0000-0000-0000F4490000}"/>
    <cellStyle name="Note 4 3 2 2 10 2 3" xfId="12495" xr:uid="{00000000-0005-0000-0000-0000F5490000}"/>
    <cellStyle name="Note 4 3 2 2 10 2 4" xfId="16340" xr:uid="{00000000-0005-0000-0000-0000F6490000}"/>
    <cellStyle name="Note 4 3 2 2 10 2 5" xfId="20190" xr:uid="{00000000-0005-0000-0000-0000F7490000}"/>
    <cellStyle name="Note 4 3 2 2 10 2 6" xfId="24102" xr:uid="{00000000-0005-0000-0000-0000F8490000}"/>
    <cellStyle name="Note 4 3 2 2 10 2 7" xfId="27940" xr:uid="{00000000-0005-0000-0000-0000F9490000}"/>
    <cellStyle name="Note 4 3 2 2 10 2 8" xfId="31799" xr:uid="{00000000-0005-0000-0000-0000FA490000}"/>
    <cellStyle name="Note 4 3 2 2 10 2 9" xfId="35452" xr:uid="{00000000-0005-0000-0000-0000FB490000}"/>
    <cellStyle name="Note 4 3 2 2 10 3" xfId="6127" xr:uid="{00000000-0005-0000-0000-0000FC490000}"/>
    <cellStyle name="Note 4 3 2 2 10 4" xfId="10530" xr:uid="{00000000-0005-0000-0000-0000FD490000}"/>
    <cellStyle name="Note 4 3 2 2 10 5" xfId="14376" xr:uid="{00000000-0005-0000-0000-0000FE490000}"/>
    <cellStyle name="Note 4 3 2 2 10 6" xfId="18207" xr:uid="{00000000-0005-0000-0000-0000FF490000}"/>
    <cellStyle name="Note 4 3 2 2 10 7" xfId="22146" xr:uid="{00000000-0005-0000-0000-0000004A0000}"/>
    <cellStyle name="Note 4 3 2 2 10 8" xfId="25958" xr:uid="{00000000-0005-0000-0000-0000014A0000}"/>
    <cellStyle name="Note 4 3 2 2 10 9" xfId="29838" xr:uid="{00000000-0005-0000-0000-0000024A0000}"/>
    <cellStyle name="Note 4 3 2 2 11" xfId="2271" xr:uid="{00000000-0005-0000-0000-0000034A0000}"/>
    <cellStyle name="Note 4 3 2 2 11 10" xfId="33572" xr:uid="{00000000-0005-0000-0000-0000044A0000}"/>
    <cellStyle name="Note 4 3 2 2 11 11" xfId="37323" xr:uid="{00000000-0005-0000-0000-0000054A0000}"/>
    <cellStyle name="Note 4 3 2 2 11 12" xfId="41339" xr:uid="{00000000-0005-0000-0000-0000064A0000}"/>
    <cellStyle name="Note 4 3 2 2 11 13" xfId="45134" xr:uid="{00000000-0005-0000-0000-0000074A0000}"/>
    <cellStyle name="Note 4 3 2 2 11 2" xfId="4254" xr:uid="{00000000-0005-0000-0000-0000084A0000}"/>
    <cellStyle name="Note 4 3 2 2 11 2 10" xfId="39305" xr:uid="{00000000-0005-0000-0000-0000094A0000}"/>
    <cellStyle name="Note 4 3 2 2 11 2 11" xfId="43315" xr:uid="{00000000-0005-0000-0000-00000A4A0000}"/>
    <cellStyle name="Note 4 3 2 2 11 2 12" xfId="47072" xr:uid="{00000000-0005-0000-0000-00000B4A0000}"/>
    <cellStyle name="Note 4 3 2 2 11 2 2" xfId="8113" xr:uid="{00000000-0005-0000-0000-00000C4A0000}"/>
    <cellStyle name="Note 4 3 2 2 11 2 3" xfId="12553" xr:uid="{00000000-0005-0000-0000-00000D4A0000}"/>
    <cellStyle name="Note 4 3 2 2 11 2 4" xfId="16398" xr:uid="{00000000-0005-0000-0000-00000E4A0000}"/>
    <cellStyle name="Note 4 3 2 2 11 2 5" xfId="20248" xr:uid="{00000000-0005-0000-0000-00000F4A0000}"/>
    <cellStyle name="Note 4 3 2 2 11 2 6" xfId="24160" xr:uid="{00000000-0005-0000-0000-0000104A0000}"/>
    <cellStyle name="Note 4 3 2 2 11 2 7" xfId="27998" xr:uid="{00000000-0005-0000-0000-0000114A0000}"/>
    <cellStyle name="Note 4 3 2 2 11 2 8" xfId="31857" xr:uid="{00000000-0005-0000-0000-0000124A0000}"/>
    <cellStyle name="Note 4 3 2 2 11 2 9" xfId="35510" xr:uid="{00000000-0005-0000-0000-0000134A0000}"/>
    <cellStyle name="Note 4 3 2 2 11 3" xfId="6185" xr:uid="{00000000-0005-0000-0000-0000144A0000}"/>
    <cellStyle name="Note 4 3 2 2 11 4" xfId="10588" xr:uid="{00000000-0005-0000-0000-0000154A0000}"/>
    <cellStyle name="Note 4 3 2 2 11 5" xfId="14434" xr:uid="{00000000-0005-0000-0000-0000164A0000}"/>
    <cellStyle name="Note 4 3 2 2 11 6" xfId="18265" xr:uid="{00000000-0005-0000-0000-0000174A0000}"/>
    <cellStyle name="Note 4 3 2 2 11 7" xfId="22204" xr:uid="{00000000-0005-0000-0000-0000184A0000}"/>
    <cellStyle name="Note 4 3 2 2 11 8" xfId="26016" xr:uid="{00000000-0005-0000-0000-0000194A0000}"/>
    <cellStyle name="Note 4 3 2 2 11 9" xfId="29896" xr:uid="{00000000-0005-0000-0000-00001A4A0000}"/>
    <cellStyle name="Note 4 3 2 2 12" xfId="2328" xr:uid="{00000000-0005-0000-0000-00001B4A0000}"/>
    <cellStyle name="Note 4 3 2 2 12 10" xfId="33627" xr:uid="{00000000-0005-0000-0000-00001C4A0000}"/>
    <cellStyle name="Note 4 3 2 2 12 11" xfId="37380" xr:uid="{00000000-0005-0000-0000-00001D4A0000}"/>
    <cellStyle name="Note 4 3 2 2 12 12" xfId="41396" xr:uid="{00000000-0005-0000-0000-00001E4A0000}"/>
    <cellStyle name="Note 4 3 2 2 12 13" xfId="45189" xr:uid="{00000000-0005-0000-0000-00001F4A0000}"/>
    <cellStyle name="Note 4 3 2 2 12 2" xfId="4311" xr:uid="{00000000-0005-0000-0000-0000204A0000}"/>
    <cellStyle name="Note 4 3 2 2 12 2 10" xfId="39362" xr:uid="{00000000-0005-0000-0000-0000214A0000}"/>
    <cellStyle name="Note 4 3 2 2 12 2 11" xfId="43372" xr:uid="{00000000-0005-0000-0000-0000224A0000}"/>
    <cellStyle name="Note 4 3 2 2 12 2 12" xfId="47127" xr:uid="{00000000-0005-0000-0000-0000234A0000}"/>
    <cellStyle name="Note 4 3 2 2 12 2 2" xfId="8168" xr:uid="{00000000-0005-0000-0000-0000244A0000}"/>
    <cellStyle name="Note 4 3 2 2 12 2 3" xfId="12610" xr:uid="{00000000-0005-0000-0000-0000254A0000}"/>
    <cellStyle name="Note 4 3 2 2 12 2 4" xfId="16454" xr:uid="{00000000-0005-0000-0000-0000264A0000}"/>
    <cellStyle name="Note 4 3 2 2 12 2 5" xfId="20305" xr:uid="{00000000-0005-0000-0000-0000274A0000}"/>
    <cellStyle name="Note 4 3 2 2 12 2 6" xfId="24216" xr:uid="{00000000-0005-0000-0000-0000284A0000}"/>
    <cellStyle name="Note 4 3 2 2 12 2 7" xfId="28055" xr:uid="{00000000-0005-0000-0000-0000294A0000}"/>
    <cellStyle name="Note 4 3 2 2 12 2 8" xfId="31914" xr:uid="{00000000-0005-0000-0000-00002A4A0000}"/>
    <cellStyle name="Note 4 3 2 2 12 2 9" xfId="35565" xr:uid="{00000000-0005-0000-0000-00002B4A0000}"/>
    <cellStyle name="Note 4 3 2 2 12 3" xfId="6240" xr:uid="{00000000-0005-0000-0000-00002C4A0000}"/>
    <cellStyle name="Note 4 3 2 2 12 4" xfId="10645" xr:uid="{00000000-0005-0000-0000-00002D4A0000}"/>
    <cellStyle name="Note 4 3 2 2 12 5" xfId="14490" xr:uid="{00000000-0005-0000-0000-00002E4A0000}"/>
    <cellStyle name="Note 4 3 2 2 12 6" xfId="18322" xr:uid="{00000000-0005-0000-0000-00002F4A0000}"/>
    <cellStyle name="Note 4 3 2 2 12 7" xfId="22260" xr:uid="{00000000-0005-0000-0000-0000304A0000}"/>
    <cellStyle name="Note 4 3 2 2 12 8" xfId="26073" xr:uid="{00000000-0005-0000-0000-0000314A0000}"/>
    <cellStyle name="Note 4 3 2 2 12 9" xfId="29953" xr:uid="{00000000-0005-0000-0000-0000324A0000}"/>
    <cellStyle name="Note 4 3 2 2 13" xfId="2393" xr:uid="{00000000-0005-0000-0000-0000334A0000}"/>
    <cellStyle name="Note 4 3 2 2 13 10" xfId="33691" xr:uid="{00000000-0005-0000-0000-0000344A0000}"/>
    <cellStyle name="Note 4 3 2 2 13 11" xfId="37445" xr:uid="{00000000-0005-0000-0000-0000354A0000}"/>
    <cellStyle name="Note 4 3 2 2 13 12" xfId="41460" xr:uid="{00000000-0005-0000-0000-0000364A0000}"/>
    <cellStyle name="Note 4 3 2 2 13 13" xfId="45253" xr:uid="{00000000-0005-0000-0000-0000374A0000}"/>
    <cellStyle name="Note 4 3 2 2 13 2" xfId="4376" xr:uid="{00000000-0005-0000-0000-0000384A0000}"/>
    <cellStyle name="Note 4 3 2 2 13 2 10" xfId="39427" xr:uid="{00000000-0005-0000-0000-0000394A0000}"/>
    <cellStyle name="Note 4 3 2 2 13 2 11" xfId="43436" xr:uid="{00000000-0005-0000-0000-00003A4A0000}"/>
    <cellStyle name="Note 4 3 2 2 13 2 12" xfId="47191" xr:uid="{00000000-0005-0000-0000-00003B4A0000}"/>
    <cellStyle name="Note 4 3 2 2 13 2 2" xfId="8233" xr:uid="{00000000-0005-0000-0000-00003C4A0000}"/>
    <cellStyle name="Note 4 3 2 2 13 2 3" xfId="12674" xr:uid="{00000000-0005-0000-0000-00003D4A0000}"/>
    <cellStyle name="Note 4 3 2 2 13 2 4" xfId="16519" xr:uid="{00000000-0005-0000-0000-00003E4A0000}"/>
    <cellStyle name="Note 4 3 2 2 13 2 5" xfId="20370" xr:uid="{00000000-0005-0000-0000-00003F4A0000}"/>
    <cellStyle name="Note 4 3 2 2 13 2 6" xfId="24281" xr:uid="{00000000-0005-0000-0000-0000404A0000}"/>
    <cellStyle name="Note 4 3 2 2 13 2 7" xfId="28120" xr:uid="{00000000-0005-0000-0000-0000414A0000}"/>
    <cellStyle name="Note 4 3 2 2 13 2 8" xfId="31978" xr:uid="{00000000-0005-0000-0000-0000424A0000}"/>
    <cellStyle name="Note 4 3 2 2 13 2 9" xfId="35629" xr:uid="{00000000-0005-0000-0000-0000434A0000}"/>
    <cellStyle name="Note 4 3 2 2 13 3" xfId="6289" xr:uid="{00000000-0005-0000-0000-0000444A0000}"/>
    <cellStyle name="Note 4 3 2 2 13 4" xfId="10709" xr:uid="{00000000-0005-0000-0000-0000454A0000}"/>
    <cellStyle name="Note 4 3 2 2 13 5" xfId="14555" xr:uid="{00000000-0005-0000-0000-0000464A0000}"/>
    <cellStyle name="Note 4 3 2 2 13 6" xfId="18387" xr:uid="{00000000-0005-0000-0000-0000474A0000}"/>
    <cellStyle name="Note 4 3 2 2 13 7" xfId="22325" xr:uid="{00000000-0005-0000-0000-0000484A0000}"/>
    <cellStyle name="Note 4 3 2 2 13 8" xfId="26138" xr:uid="{00000000-0005-0000-0000-0000494A0000}"/>
    <cellStyle name="Note 4 3 2 2 13 9" xfId="30018" xr:uid="{00000000-0005-0000-0000-00004A4A0000}"/>
    <cellStyle name="Note 4 3 2 2 14" xfId="2445" xr:uid="{00000000-0005-0000-0000-00004B4A0000}"/>
    <cellStyle name="Note 4 3 2 2 14 10" xfId="33741" xr:uid="{00000000-0005-0000-0000-00004C4A0000}"/>
    <cellStyle name="Note 4 3 2 2 14 11" xfId="37497" xr:uid="{00000000-0005-0000-0000-00004D4A0000}"/>
    <cellStyle name="Note 4 3 2 2 14 12" xfId="41512" xr:uid="{00000000-0005-0000-0000-00004E4A0000}"/>
    <cellStyle name="Note 4 3 2 2 14 13" xfId="45303" xr:uid="{00000000-0005-0000-0000-00004F4A0000}"/>
    <cellStyle name="Note 4 3 2 2 14 2" xfId="4428" xr:uid="{00000000-0005-0000-0000-0000504A0000}"/>
    <cellStyle name="Note 4 3 2 2 14 2 10" xfId="39479" xr:uid="{00000000-0005-0000-0000-0000514A0000}"/>
    <cellStyle name="Note 4 3 2 2 14 2 11" xfId="43488" xr:uid="{00000000-0005-0000-0000-0000524A0000}"/>
    <cellStyle name="Note 4 3 2 2 14 2 12" xfId="47241" xr:uid="{00000000-0005-0000-0000-0000534A0000}"/>
    <cellStyle name="Note 4 3 2 2 14 2 2" xfId="8283" xr:uid="{00000000-0005-0000-0000-0000544A0000}"/>
    <cellStyle name="Note 4 3 2 2 14 2 3" xfId="12726" xr:uid="{00000000-0005-0000-0000-0000554A0000}"/>
    <cellStyle name="Note 4 3 2 2 14 2 4" xfId="16569" xr:uid="{00000000-0005-0000-0000-0000564A0000}"/>
    <cellStyle name="Note 4 3 2 2 14 2 5" xfId="20422" xr:uid="{00000000-0005-0000-0000-0000574A0000}"/>
    <cellStyle name="Note 4 3 2 2 14 2 6" xfId="24332" xr:uid="{00000000-0005-0000-0000-0000584A0000}"/>
    <cellStyle name="Note 4 3 2 2 14 2 7" xfId="28172" xr:uid="{00000000-0005-0000-0000-0000594A0000}"/>
    <cellStyle name="Note 4 3 2 2 14 2 8" xfId="32030" xr:uid="{00000000-0005-0000-0000-00005A4A0000}"/>
    <cellStyle name="Note 4 3 2 2 14 2 9" xfId="35679" xr:uid="{00000000-0005-0000-0000-00005B4A0000}"/>
    <cellStyle name="Note 4 3 2 2 14 3" xfId="6339" xr:uid="{00000000-0005-0000-0000-00005C4A0000}"/>
    <cellStyle name="Note 4 3 2 2 14 4" xfId="10761" xr:uid="{00000000-0005-0000-0000-00005D4A0000}"/>
    <cellStyle name="Note 4 3 2 2 14 5" xfId="14606" xr:uid="{00000000-0005-0000-0000-00005E4A0000}"/>
    <cellStyle name="Note 4 3 2 2 14 6" xfId="18439" xr:uid="{00000000-0005-0000-0000-00005F4A0000}"/>
    <cellStyle name="Note 4 3 2 2 14 7" xfId="22376" xr:uid="{00000000-0005-0000-0000-0000604A0000}"/>
    <cellStyle name="Note 4 3 2 2 14 8" xfId="26190" xr:uid="{00000000-0005-0000-0000-0000614A0000}"/>
    <cellStyle name="Note 4 3 2 2 14 9" xfId="30069" xr:uid="{00000000-0005-0000-0000-0000624A0000}"/>
    <cellStyle name="Note 4 3 2 2 15" xfId="2499" xr:uid="{00000000-0005-0000-0000-0000634A0000}"/>
    <cellStyle name="Note 4 3 2 2 15 10" xfId="33792" xr:uid="{00000000-0005-0000-0000-0000644A0000}"/>
    <cellStyle name="Note 4 3 2 2 15 11" xfId="37551" xr:uid="{00000000-0005-0000-0000-0000654A0000}"/>
    <cellStyle name="Note 4 3 2 2 15 12" xfId="41565" xr:uid="{00000000-0005-0000-0000-0000664A0000}"/>
    <cellStyle name="Note 4 3 2 2 15 13" xfId="45354" xr:uid="{00000000-0005-0000-0000-0000674A0000}"/>
    <cellStyle name="Note 4 3 2 2 15 2" xfId="4479" xr:uid="{00000000-0005-0000-0000-0000684A0000}"/>
    <cellStyle name="Note 4 3 2 2 15 2 10" xfId="39530" xr:uid="{00000000-0005-0000-0000-0000694A0000}"/>
    <cellStyle name="Note 4 3 2 2 15 2 11" xfId="43539" xr:uid="{00000000-0005-0000-0000-00006A4A0000}"/>
    <cellStyle name="Note 4 3 2 2 15 2 12" xfId="47292" xr:uid="{00000000-0005-0000-0000-00006B4A0000}"/>
    <cellStyle name="Note 4 3 2 2 15 2 2" xfId="8334" xr:uid="{00000000-0005-0000-0000-00006C4A0000}"/>
    <cellStyle name="Note 4 3 2 2 15 2 3" xfId="12777" xr:uid="{00000000-0005-0000-0000-00006D4A0000}"/>
    <cellStyle name="Note 4 3 2 2 15 2 4" xfId="16620" xr:uid="{00000000-0005-0000-0000-00006E4A0000}"/>
    <cellStyle name="Note 4 3 2 2 15 2 5" xfId="20473" xr:uid="{00000000-0005-0000-0000-00006F4A0000}"/>
    <cellStyle name="Note 4 3 2 2 15 2 6" xfId="24383" xr:uid="{00000000-0005-0000-0000-0000704A0000}"/>
    <cellStyle name="Note 4 3 2 2 15 2 7" xfId="28223" xr:uid="{00000000-0005-0000-0000-0000714A0000}"/>
    <cellStyle name="Note 4 3 2 2 15 2 8" xfId="32081" xr:uid="{00000000-0005-0000-0000-0000724A0000}"/>
    <cellStyle name="Note 4 3 2 2 15 2 9" xfId="35730" xr:uid="{00000000-0005-0000-0000-0000734A0000}"/>
    <cellStyle name="Note 4 3 2 2 15 3" xfId="6391" xr:uid="{00000000-0005-0000-0000-0000744A0000}"/>
    <cellStyle name="Note 4 3 2 2 15 4" xfId="10814" xr:uid="{00000000-0005-0000-0000-0000754A0000}"/>
    <cellStyle name="Note 4 3 2 2 15 5" xfId="14658" xr:uid="{00000000-0005-0000-0000-0000764A0000}"/>
    <cellStyle name="Note 4 3 2 2 15 6" xfId="18493" xr:uid="{00000000-0005-0000-0000-0000774A0000}"/>
    <cellStyle name="Note 4 3 2 2 15 7" xfId="22428" xr:uid="{00000000-0005-0000-0000-0000784A0000}"/>
    <cellStyle name="Note 4 3 2 2 15 8" xfId="26244" xr:uid="{00000000-0005-0000-0000-0000794A0000}"/>
    <cellStyle name="Note 4 3 2 2 15 9" xfId="30123" xr:uid="{00000000-0005-0000-0000-00007A4A0000}"/>
    <cellStyle name="Note 4 3 2 2 16" xfId="2568" xr:uid="{00000000-0005-0000-0000-00007B4A0000}"/>
    <cellStyle name="Note 4 3 2 2 16 10" xfId="37620" xr:uid="{00000000-0005-0000-0000-00007C4A0000}"/>
    <cellStyle name="Note 4 3 2 2 16 11" xfId="41634" xr:uid="{00000000-0005-0000-0000-00007D4A0000}"/>
    <cellStyle name="Note 4 3 2 2 16 12" xfId="45423" xr:uid="{00000000-0005-0000-0000-00007E4A0000}"/>
    <cellStyle name="Note 4 3 2 2 16 2" xfId="6460" xr:uid="{00000000-0005-0000-0000-00007F4A0000}"/>
    <cellStyle name="Note 4 3 2 2 16 3" xfId="10883" xr:uid="{00000000-0005-0000-0000-0000804A0000}"/>
    <cellStyle name="Note 4 3 2 2 16 4" xfId="14727" xr:uid="{00000000-0005-0000-0000-0000814A0000}"/>
    <cellStyle name="Note 4 3 2 2 16 5" xfId="18562" xr:uid="{00000000-0005-0000-0000-0000824A0000}"/>
    <cellStyle name="Note 4 3 2 2 16 6" xfId="22497" xr:uid="{00000000-0005-0000-0000-0000834A0000}"/>
    <cellStyle name="Note 4 3 2 2 16 7" xfId="26313" xr:uid="{00000000-0005-0000-0000-0000844A0000}"/>
    <cellStyle name="Note 4 3 2 2 16 8" xfId="30192" xr:uid="{00000000-0005-0000-0000-0000854A0000}"/>
    <cellStyle name="Note 4 3 2 2 16 9" xfId="33861" xr:uid="{00000000-0005-0000-0000-0000864A0000}"/>
    <cellStyle name="Note 4 3 2 2 17" xfId="4536" xr:uid="{00000000-0005-0000-0000-0000874A0000}"/>
    <cellStyle name="Note 4 3 2 2 18" xfId="8352" xr:uid="{00000000-0005-0000-0000-0000884A0000}"/>
    <cellStyle name="Note 4 3 2 2 19" xfId="8753" xr:uid="{00000000-0005-0000-0000-0000894A0000}"/>
    <cellStyle name="Note 4 3 2 2 2" xfId="697" xr:uid="{00000000-0005-0000-0000-00008A4A0000}"/>
    <cellStyle name="Note 4 3 2 2 2 10" xfId="24431" xr:uid="{00000000-0005-0000-0000-00008B4A0000}"/>
    <cellStyle name="Note 4 3 2 2 2 11" xfId="28324" xr:uid="{00000000-0005-0000-0000-00008C4A0000}"/>
    <cellStyle name="Note 4 3 2 2 2 12" xfId="31927" xr:uid="{00000000-0005-0000-0000-00008D4A0000}"/>
    <cellStyle name="Note 4 3 2 2 2 13" xfId="35768" xr:uid="{00000000-0005-0000-0000-00008E4A0000}"/>
    <cellStyle name="Note 4 3 2 2 2 14" xfId="39791" xr:uid="{00000000-0005-0000-0000-00008F4A0000}"/>
    <cellStyle name="Note 4 3 2 2 2 15" xfId="43594" xr:uid="{00000000-0005-0000-0000-0000904A0000}"/>
    <cellStyle name="Note 4 3 2 2 2 2" xfId="1077" xr:uid="{00000000-0005-0000-0000-0000914A0000}"/>
    <cellStyle name="Note 4 3 2 2 2 2 10" xfId="28688" xr:uid="{00000000-0005-0000-0000-0000924A0000}"/>
    <cellStyle name="Note 4 3 2 2 2 2 11" xfId="32374" xr:uid="{00000000-0005-0000-0000-0000934A0000}"/>
    <cellStyle name="Note 4 3 2 2 2 2 12" xfId="36135" xr:uid="{00000000-0005-0000-0000-0000944A0000}"/>
    <cellStyle name="Note 4 3 2 2 2 2 13" xfId="40138" xr:uid="{00000000-0005-0000-0000-0000954A0000}"/>
    <cellStyle name="Note 4 3 2 2 2 2 14" xfId="43961" xr:uid="{00000000-0005-0000-0000-0000964A0000}"/>
    <cellStyle name="Note 4 3 2 2 2 2 2" xfId="1804" xr:uid="{00000000-0005-0000-0000-0000974A0000}"/>
    <cellStyle name="Note 4 3 2 2 2 2 2 10" xfId="33091" xr:uid="{00000000-0005-0000-0000-0000984A0000}"/>
    <cellStyle name="Note 4 3 2 2 2 2 2 11" xfId="36861" xr:uid="{00000000-0005-0000-0000-0000994A0000}"/>
    <cellStyle name="Note 4 3 2 2 2 2 2 12" xfId="40852" xr:uid="{00000000-0005-0000-0000-00009A4A0000}"/>
    <cellStyle name="Note 4 3 2 2 2 2 2 13" xfId="44683" xr:uid="{00000000-0005-0000-0000-00009B4A0000}"/>
    <cellStyle name="Note 4 3 2 2 2 2 2 2" xfId="3794" xr:uid="{00000000-0005-0000-0000-00009C4A0000}"/>
    <cellStyle name="Note 4 3 2 2 2 2 2 2 10" xfId="38845" xr:uid="{00000000-0005-0000-0000-00009D4A0000}"/>
    <cellStyle name="Note 4 3 2 2 2 2 2 2 11" xfId="42856" xr:uid="{00000000-0005-0000-0000-00009E4A0000}"/>
    <cellStyle name="Note 4 3 2 2 2 2 2 2 12" xfId="46621" xr:uid="{00000000-0005-0000-0000-00009F4A0000}"/>
    <cellStyle name="Note 4 3 2 2 2 2 2 2 2" xfId="7661" xr:uid="{00000000-0005-0000-0000-0000A04A0000}"/>
    <cellStyle name="Note 4 3 2 2 2 2 2 2 3" xfId="12096" xr:uid="{00000000-0005-0000-0000-0000A14A0000}"/>
    <cellStyle name="Note 4 3 2 2 2 2 2 2 4" xfId="15941" xr:uid="{00000000-0005-0000-0000-0000A24A0000}"/>
    <cellStyle name="Note 4 3 2 2 2 2 2 2 5" xfId="19788" xr:uid="{00000000-0005-0000-0000-0000A34A0000}"/>
    <cellStyle name="Note 4 3 2 2 2 2 2 2 6" xfId="23704" xr:uid="{00000000-0005-0000-0000-0000A44A0000}"/>
    <cellStyle name="Note 4 3 2 2 2 2 2 2 7" xfId="27538" xr:uid="{00000000-0005-0000-0000-0000A54A0000}"/>
    <cellStyle name="Note 4 3 2 2 2 2 2 2 8" xfId="31402" xr:uid="{00000000-0005-0000-0000-0000A64A0000}"/>
    <cellStyle name="Note 4 3 2 2 2 2 2 2 9" xfId="35059" xr:uid="{00000000-0005-0000-0000-0000A74A0000}"/>
    <cellStyle name="Note 4 3 2 2 2 2 2 3" xfId="5737" xr:uid="{00000000-0005-0000-0000-0000A84A0000}"/>
    <cellStyle name="Note 4 3 2 2 2 2 2 4" xfId="10095" xr:uid="{00000000-0005-0000-0000-0000A94A0000}"/>
    <cellStyle name="Note 4 3 2 2 2 2 2 5" xfId="13941" xr:uid="{00000000-0005-0000-0000-0000AA4A0000}"/>
    <cellStyle name="Note 4 3 2 2 2 2 2 6" xfId="17770" xr:uid="{00000000-0005-0000-0000-0000AB4A0000}"/>
    <cellStyle name="Note 4 3 2 2 2 2 2 7" xfId="21709" xr:uid="{00000000-0005-0000-0000-0000AC4A0000}"/>
    <cellStyle name="Note 4 3 2 2 2 2 2 8" xfId="25522" xr:uid="{00000000-0005-0000-0000-0000AD4A0000}"/>
    <cellStyle name="Note 4 3 2 2 2 2 2 9" xfId="29409" xr:uid="{00000000-0005-0000-0000-0000AE4A0000}"/>
    <cellStyle name="Note 4 3 2 2 2 2 3" xfId="3067" xr:uid="{00000000-0005-0000-0000-0000AF4A0000}"/>
    <cellStyle name="Note 4 3 2 2 2 2 3 10" xfId="38119" xr:uid="{00000000-0005-0000-0000-0000B04A0000}"/>
    <cellStyle name="Note 4 3 2 2 2 2 3 11" xfId="42131" xr:uid="{00000000-0005-0000-0000-0000B14A0000}"/>
    <cellStyle name="Note 4 3 2 2 2 2 3 12" xfId="45904" xr:uid="{00000000-0005-0000-0000-0000B24A0000}"/>
    <cellStyle name="Note 4 3 2 2 2 2 3 2" xfId="6943" xr:uid="{00000000-0005-0000-0000-0000B34A0000}"/>
    <cellStyle name="Note 4 3 2 2 2 2 3 3" xfId="11372" xr:uid="{00000000-0005-0000-0000-0000B44A0000}"/>
    <cellStyle name="Note 4 3 2 2 2 2 3 4" xfId="15216" xr:uid="{00000000-0005-0000-0000-0000B54A0000}"/>
    <cellStyle name="Note 4 3 2 2 2 2 3 5" xfId="19061" xr:uid="{00000000-0005-0000-0000-0000B64A0000}"/>
    <cellStyle name="Note 4 3 2 2 2 2 3 6" xfId="22983" xr:uid="{00000000-0005-0000-0000-0000B74A0000}"/>
    <cellStyle name="Note 4 3 2 2 2 2 3 7" xfId="26812" xr:uid="{00000000-0005-0000-0000-0000B84A0000}"/>
    <cellStyle name="Note 4 3 2 2 2 2 3 8" xfId="30686" xr:uid="{00000000-0005-0000-0000-0000B94A0000}"/>
    <cellStyle name="Note 4 3 2 2 2 2 3 9" xfId="34342" xr:uid="{00000000-0005-0000-0000-0000BA4A0000}"/>
    <cellStyle name="Note 4 3 2 2 2 2 4" xfId="5019" xr:uid="{00000000-0005-0000-0000-0000BB4A0000}"/>
    <cellStyle name="Note 4 3 2 2 2 2 5" xfId="9375" xr:uid="{00000000-0005-0000-0000-0000BC4A0000}"/>
    <cellStyle name="Note 4 3 2 2 2 2 6" xfId="13215" xr:uid="{00000000-0005-0000-0000-0000BD4A0000}"/>
    <cellStyle name="Note 4 3 2 2 2 2 7" xfId="17043" xr:uid="{00000000-0005-0000-0000-0000BE4A0000}"/>
    <cellStyle name="Note 4 3 2 2 2 2 8" xfId="20985" xr:uid="{00000000-0005-0000-0000-0000BF4A0000}"/>
    <cellStyle name="Note 4 3 2 2 2 2 9" xfId="24799" xr:uid="{00000000-0005-0000-0000-0000C04A0000}"/>
    <cellStyle name="Note 4 3 2 2 2 3" xfId="1451" xr:uid="{00000000-0005-0000-0000-0000C14A0000}"/>
    <cellStyle name="Note 4 3 2 2 2 3 10" xfId="32738" xr:uid="{00000000-0005-0000-0000-0000C24A0000}"/>
    <cellStyle name="Note 4 3 2 2 2 3 11" xfId="36508" xr:uid="{00000000-0005-0000-0000-0000C34A0000}"/>
    <cellStyle name="Note 4 3 2 2 2 3 12" xfId="40499" xr:uid="{00000000-0005-0000-0000-0000C44A0000}"/>
    <cellStyle name="Note 4 3 2 2 2 3 13" xfId="44330" xr:uid="{00000000-0005-0000-0000-0000C54A0000}"/>
    <cellStyle name="Note 4 3 2 2 2 3 2" xfId="3441" xr:uid="{00000000-0005-0000-0000-0000C64A0000}"/>
    <cellStyle name="Note 4 3 2 2 2 3 2 10" xfId="38492" xr:uid="{00000000-0005-0000-0000-0000C74A0000}"/>
    <cellStyle name="Note 4 3 2 2 2 3 2 11" xfId="42503" xr:uid="{00000000-0005-0000-0000-0000C84A0000}"/>
    <cellStyle name="Note 4 3 2 2 2 3 2 12" xfId="46268" xr:uid="{00000000-0005-0000-0000-0000C94A0000}"/>
    <cellStyle name="Note 4 3 2 2 2 3 2 2" xfId="7308" xr:uid="{00000000-0005-0000-0000-0000CA4A0000}"/>
    <cellStyle name="Note 4 3 2 2 2 3 2 3" xfId="11743" xr:uid="{00000000-0005-0000-0000-0000CB4A0000}"/>
    <cellStyle name="Note 4 3 2 2 2 3 2 4" xfId="15588" xr:uid="{00000000-0005-0000-0000-0000CC4A0000}"/>
    <cellStyle name="Note 4 3 2 2 2 3 2 5" xfId="19435" xr:uid="{00000000-0005-0000-0000-0000CD4A0000}"/>
    <cellStyle name="Note 4 3 2 2 2 3 2 6" xfId="23351" xr:uid="{00000000-0005-0000-0000-0000CE4A0000}"/>
    <cellStyle name="Note 4 3 2 2 2 3 2 7" xfId="27185" xr:uid="{00000000-0005-0000-0000-0000CF4A0000}"/>
    <cellStyle name="Note 4 3 2 2 2 3 2 8" xfId="31053" xr:uid="{00000000-0005-0000-0000-0000D04A0000}"/>
    <cellStyle name="Note 4 3 2 2 2 3 2 9" xfId="34706" xr:uid="{00000000-0005-0000-0000-0000D14A0000}"/>
    <cellStyle name="Note 4 3 2 2 2 3 3" xfId="5384" xr:uid="{00000000-0005-0000-0000-0000D24A0000}"/>
    <cellStyle name="Note 4 3 2 2 2 3 4" xfId="9742" xr:uid="{00000000-0005-0000-0000-0000D34A0000}"/>
    <cellStyle name="Note 4 3 2 2 2 3 5" xfId="13588" xr:uid="{00000000-0005-0000-0000-0000D44A0000}"/>
    <cellStyle name="Note 4 3 2 2 2 3 6" xfId="17417" xr:uid="{00000000-0005-0000-0000-0000D54A0000}"/>
    <cellStyle name="Note 4 3 2 2 2 3 7" xfId="21356" xr:uid="{00000000-0005-0000-0000-0000D64A0000}"/>
    <cellStyle name="Note 4 3 2 2 2 3 8" xfId="25169" xr:uid="{00000000-0005-0000-0000-0000D74A0000}"/>
    <cellStyle name="Note 4 3 2 2 2 3 9" xfId="29056" xr:uid="{00000000-0005-0000-0000-0000D84A0000}"/>
    <cellStyle name="Note 4 3 2 2 2 4" xfId="2700" xr:uid="{00000000-0005-0000-0000-0000D94A0000}"/>
    <cellStyle name="Note 4 3 2 2 2 4 10" xfId="37752" xr:uid="{00000000-0005-0000-0000-0000DA4A0000}"/>
    <cellStyle name="Note 4 3 2 2 2 4 11" xfId="41766" xr:uid="{00000000-0005-0000-0000-0000DB4A0000}"/>
    <cellStyle name="Note 4 3 2 2 2 4 12" xfId="45551" xr:uid="{00000000-0005-0000-0000-0000DC4A0000}"/>
    <cellStyle name="Note 4 3 2 2 2 4 2" xfId="6588" xr:uid="{00000000-0005-0000-0000-0000DD4A0000}"/>
    <cellStyle name="Note 4 3 2 2 2 4 3" xfId="11012" xr:uid="{00000000-0005-0000-0000-0000DE4A0000}"/>
    <cellStyle name="Note 4 3 2 2 2 4 4" xfId="14856" xr:uid="{00000000-0005-0000-0000-0000DF4A0000}"/>
    <cellStyle name="Note 4 3 2 2 2 4 5" xfId="18694" xr:uid="{00000000-0005-0000-0000-0000E04A0000}"/>
    <cellStyle name="Note 4 3 2 2 2 4 6" xfId="22625" xr:uid="{00000000-0005-0000-0000-0000E14A0000}"/>
    <cellStyle name="Note 4 3 2 2 2 4 7" xfId="26445" xr:uid="{00000000-0005-0000-0000-0000E24A0000}"/>
    <cellStyle name="Note 4 3 2 2 2 4 8" xfId="30324" xr:uid="{00000000-0005-0000-0000-0000E34A0000}"/>
    <cellStyle name="Note 4 3 2 2 2 4 9" xfId="33989" xr:uid="{00000000-0005-0000-0000-0000E44A0000}"/>
    <cellStyle name="Note 4 3 2 2 2 5" xfId="4664" xr:uid="{00000000-0005-0000-0000-0000E54A0000}"/>
    <cellStyle name="Note 4 3 2 2 2 6" xfId="9006" xr:uid="{00000000-0005-0000-0000-0000E64A0000}"/>
    <cellStyle name="Note 4 3 2 2 2 7" xfId="12843" xr:uid="{00000000-0005-0000-0000-0000E74A0000}"/>
    <cellStyle name="Note 4 3 2 2 2 8" xfId="16673" xr:uid="{00000000-0005-0000-0000-0000E84A0000}"/>
    <cellStyle name="Note 4 3 2 2 2 9" xfId="20610" xr:uid="{00000000-0005-0000-0000-0000E94A0000}"/>
    <cellStyle name="Note 4 3 2 2 20" xfId="8873" xr:uid="{00000000-0005-0000-0000-0000EA4A0000}"/>
    <cellStyle name="Note 4 3 2 2 21" xfId="10370" xr:uid="{00000000-0005-0000-0000-0000EB4A0000}"/>
    <cellStyle name="Note 4 3 2 2 22" xfId="8443" xr:uid="{00000000-0005-0000-0000-0000EC4A0000}"/>
    <cellStyle name="Note 4 3 2 2 23" xfId="8465" xr:uid="{00000000-0005-0000-0000-0000ED4A0000}"/>
    <cellStyle name="Note 4 3 2 2 24" xfId="8636" xr:uid="{00000000-0005-0000-0000-0000EE4A0000}"/>
    <cellStyle name="Note 4 3 2 2 25" xfId="8511" xr:uid="{00000000-0005-0000-0000-0000EF4A0000}"/>
    <cellStyle name="Note 4 3 2 2 26" xfId="25817" xr:uid="{00000000-0005-0000-0000-0000F04A0000}"/>
    <cellStyle name="Note 4 3 2 2 27" xfId="24507" xr:uid="{00000000-0005-0000-0000-0000F14A0000}"/>
    <cellStyle name="Note 4 3 2 2 28" xfId="39660" xr:uid="{00000000-0005-0000-0000-0000F24A0000}"/>
    <cellStyle name="Note 4 3 2 2 29" xfId="39746" xr:uid="{00000000-0005-0000-0000-0000F34A0000}"/>
    <cellStyle name="Note 4 3 2 2 3" xfId="636" xr:uid="{00000000-0005-0000-0000-0000F44A0000}"/>
    <cellStyle name="Note 4 3 2 2 3 10" xfId="22001" xr:uid="{00000000-0005-0000-0000-0000F54A0000}"/>
    <cellStyle name="Note 4 3 2 2 3 11" xfId="28263" xr:uid="{00000000-0005-0000-0000-0000F64A0000}"/>
    <cellStyle name="Note 4 3 2 2 3 12" xfId="30407" xr:uid="{00000000-0005-0000-0000-0000F74A0000}"/>
    <cellStyle name="Note 4 3 2 2 3 13" xfId="8464" xr:uid="{00000000-0005-0000-0000-0000F84A0000}"/>
    <cellStyle name="Note 4 3 2 2 3 14" xfId="39731" xr:uid="{00000000-0005-0000-0000-0000F94A0000}"/>
    <cellStyle name="Note 4 3 2 2 3 15" xfId="41126" xr:uid="{00000000-0005-0000-0000-0000FA4A0000}"/>
    <cellStyle name="Note 4 3 2 2 3 2" xfId="1016" xr:uid="{00000000-0005-0000-0000-0000FB4A0000}"/>
    <cellStyle name="Note 4 3 2 2 3 2 10" xfId="28627" xr:uid="{00000000-0005-0000-0000-0000FC4A0000}"/>
    <cellStyle name="Note 4 3 2 2 3 2 11" xfId="32315" xr:uid="{00000000-0005-0000-0000-0000FD4A0000}"/>
    <cellStyle name="Note 4 3 2 2 3 2 12" xfId="36074" xr:uid="{00000000-0005-0000-0000-0000FE4A0000}"/>
    <cellStyle name="Note 4 3 2 2 3 2 13" xfId="40079" xr:uid="{00000000-0005-0000-0000-0000FF4A0000}"/>
    <cellStyle name="Note 4 3 2 2 3 2 14" xfId="43900" xr:uid="{00000000-0005-0000-0000-0000004B0000}"/>
    <cellStyle name="Note 4 3 2 2 3 2 2" xfId="1745" xr:uid="{00000000-0005-0000-0000-0000014B0000}"/>
    <cellStyle name="Note 4 3 2 2 3 2 2 10" xfId="33032" xr:uid="{00000000-0005-0000-0000-0000024B0000}"/>
    <cellStyle name="Note 4 3 2 2 3 2 2 11" xfId="36802" xr:uid="{00000000-0005-0000-0000-0000034B0000}"/>
    <cellStyle name="Note 4 3 2 2 3 2 2 12" xfId="40793" xr:uid="{00000000-0005-0000-0000-0000044B0000}"/>
    <cellStyle name="Note 4 3 2 2 3 2 2 13" xfId="44624" xr:uid="{00000000-0005-0000-0000-0000054B0000}"/>
    <cellStyle name="Note 4 3 2 2 3 2 2 2" xfId="3735" xr:uid="{00000000-0005-0000-0000-0000064B0000}"/>
    <cellStyle name="Note 4 3 2 2 3 2 2 2 10" xfId="38786" xr:uid="{00000000-0005-0000-0000-0000074B0000}"/>
    <cellStyle name="Note 4 3 2 2 3 2 2 2 11" xfId="42797" xr:uid="{00000000-0005-0000-0000-0000084B0000}"/>
    <cellStyle name="Note 4 3 2 2 3 2 2 2 12" xfId="46562" xr:uid="{00000000-0005-0000-0000-0000094B0000}"/>
    <cellStyle name="Note 4 3 2 2 3 2 2 2 2" xfId="7602" xr:uid="{00000000-0005-0000-0000-00000A4B0000}"/>
    <cellStyle name="Note 4 3 2 2 3 2 2 2 3" xfId="12037" xr:uid="{00000000-0005-0000-0000-00000B4B0000}"/>
    <cellStyle name="Note 4 3 2 2 3 2 2 2 4" xfId="15882" xr:uid="{00000000-0005-0000-0000-00000C4B0000}"/>
    <cellStyle name="Note 4 3 2 2 3 2 2 2 5" xfId="19729" xr:uid="{00000000-0005-0000-0000-00000D4B0000}"/>
    <cellStyle name="Note 4 3 2 2 3 2 2 2 6" xfId="23645" xr:uid="{00000000-0005-0000-0000-00000E4B0000}"/>
    <cellStyle name="Note 4 3 2 2 3 2 2 2 7" xfId="27479" xr:uid="{00000000-0005-0000-0000-00000F4B0000}"/>
    <cellStyle name="Note 4 3 2 2 3 2 2 2 8" xfId="31343" xr:uid="{00000000-0005-0000-0000-0000104B0000}"/>
    <cellStyle name="Note 4 3 2 2 3 2 2 2 9" xfId="35000" xr:uid="{00000000-0005-0000-0000-0000114B0000}"/>
    <cellStyle name="Note 4 3 2 2 3 2 2 3" xfId="5678" xr:uid="{00000000-0005-0000-0000-0000124B0000}"/>
    <cellStyle name="Note 4 3 2 2 3 2 2 4" xfId="10036" xr:uid="{00000000-0005-0000-0000-0000134B0000}"/>
    <cellStyle name="Note 4 3 2 2 3 2 2 5" xfId="13882" xr:uid="{00000000-0005-0000-0000-0000144B0000}"/>
    <cellStyle name="Note 4 3 2 2 3 2 2 6" xfId="17711" xr:uid="{00000000-0005-0000-0000-0000154B0000}"/>
    <cellStyle name="Note 4 3 2 2 3 2 2 7" xfId="21650" xr:uid="{00000000-0005-0000-0000-0000164B0000}"/>
    <cellStyle name="Note 4 3 2 2 3 2 2 8" xfId="25463" xr:uid="{00000000-0005-0000-0000-0000174B0000}"/>
    <cellStyle name="Note 4 3 2 2 3 2 2 9" xfId="29350" xr:uid="{00000000-0005-0000-0000-0000184B0000}"/>
    <cellStyle name="Note 4 3 2 2 3 2 3" xfId="3006" xr:uid="{00000000-0005-0000-0000-0000194B0000}"/>
    <cellStyle name="Note 4 3 2 2 3 2 3 10" xfId="38058" xr:uid="{00000000-0005-0000-0000-00001A4B0000}"/>
    <cellStyle name="Note 4 3 2 2 3 2 3 11" xfId="42070" xr:uid="{00000000-0005-0000-0000-00001B4B0000}"/>
    <cellStyle name="Note 4 3 2 2 3 2 3 12" xfId="45845" xr:uid="{00000000-0005-0000-0000-00001C4B0000}"/>
    <cellStyle name="Note 4 3 2 2 3 2 3 2" xfId="6884" xr:uid="{00000000-0005-0000-0000-00001D4B0000}"/>
    <cellStyle name="Note 4 3 2 2 3 2 3 3" xfId="11312" xr:uid="{00000000-0005-0000-0000-00001E4B0000}"/>
    <cellStyle name="Note 4 3 2 2 3 2 3 4" xfId="15157" xr:uid="{00000000-0005-0000-0000-00001F4B0000}"/>
    <cellStyle name="Note 4 3 2 2 3 2 3 5" xfId="19000" xr:uid="{00000000-0005-0000-0000-0000204B0000}"/>
    <cellStyle name="Note 4 3 2 2 3 2 3 6" xfId="22924" xr:uid="{00000000-0005-0000-0000-0000214B0000}"/>
    <cellStyle name="Note 4 3 2 2 3 2 3 7" xfId="26751" xr:uid="{00000000-0005-0000-0000-0000224B0000}"/>
    <cellStyle name="Note 4 3 2 2 3 2 3 8" xfId="30625" xr:uid="{00000000-0005-0000-0000-0000234B0000}"/>
    <cellStyle name="Note 4 3 2 2 3 2 3 9" xfId="34283" xr:uid="{00000000-0005-0000-0000-0000244B0000}"/>
    <cellStyle name="Note 4 3 2 2 3 2 4" xfId="4960" xr:uid="{00000000-0005-0000-0000-0000254B0000}"/>
    <cellStyle name="Note 4 3 2 2 3 2 5" xfId="9315" xr:uid="{00000000-0005-0000-0000-0000264B0000}"/>
    <cellStyle name="Note 4 3 2 2 3 2 6" xfId="13156" xr:uid="{00000000-0005-0000-0000-0000274B0000}"/>
    <cellStyle name="Note 4 3 2 2 3 2 7" xfId="16982" xr:uid="{00000000-0005-0000-0000-0000284B0000}"/>
    <cellStyle name="Note 4 3 2 2 3 2 8" xfId="20924" xr:uid="{00000000-0005-0000-0000-0000294B0000}"/>
    <cellStyle name="Note 4 3 2 2 3 2 9" xfId="24739" xr:uid="{00000000-0005-0000-0000-00002A4B0000}"/>
    <cellStyle name="Note 4 3 2 2 3 3" xfId="1392" xr:uid="{00000000-0005-0000-0000-00002B4B0000}"/>
    <cellStyle name="Note 4 3 2 2 3 3 10" xfId="32679" xr:uid="{00000000-0005-0000-0000-00002C4B0000}"/>
    <cellStyle name="Note 4 3 2 2 3 3 11" xfId="36449" xr:uid="{00000000-0005-0000-0000-00002D4B0000}"/>
    <cellStyle name="Note 4 3 2 2 3 3 12" xfId="40440" xr:uid="{00000000-0005-0000-0000-00002E4B0000}"/>
    <cellStyle name="Note 4 3 2 2 3 3 13" xfId="44271" xr:uid="{00000000-0005-0000-0000-00002F4B0000}"/>
    <cellStyle name="Note 4 3 2 2 3 3 2" xfId="3382" xr:uid="{00000000-0005-0000-0000-0000304B0000}"/>
    <cellStyle name="Note 4 3 2 2 3 3 2 10" xfId="38433" xr:uid="{00000000-0005-0000-0000-0000314B0000}"/>
    <cellStyle name="Note 4 3 2 2 3 3 2 11" xfId="42444" xr:uid="{00000000-0005-0000-0000-0000324B0000}"/>
    <cellStyle name="Note 4 3 2 2 3 3 2 12" xfId="46209" xr:uid="{00000000-0005-0000-0000-0000334B0000}"/>
    <cellStyle name="Note 4 3 2 2 3 3 2 2" xfId="7249" xr:uid="{00000000-0005-0000-0000-0000344B0000}"/>
    <cellStyle name="Note 4 3 2 2 3 3 2 3" xfId="11684" xr:uid="{00000000-0005-0000-0000-0000354B0000}"/>
    <cellStyle name="Note 4 3 2 2 3 3 2 4" xfId="15529" xr:uid="{00000000-0005-0000-0000-0000364B0000}"/>
    <cellStyle name="Note 4 3 2 2 3 3 2 5" xfId="19376" xr:uid="{00000000-0005-0000-0000-0000374B0000}"/>
    <cellStyle name="Note 4 3 2 2 3 3 2 6" xfId="23292" xr:uid="{00000000-0005-0000-0000-0000384B0000}"/>
    <cellStyle name="Note 4 3 2 2 3 3 2 7" xfId="27126" xr:uid="{00000000-0005-0000-0000-0000394B0000}"/>
    <cellStyle name="Note 4 3 2 2 3 3 2 8" xfId="30994" xr:uid="{00000000-0005-0000-0000-00003A4B0000}"/>
    <cellStyle name="Note 4 3 2 2 3 3 2 9" xfId="34647" xr:uid="{00000000-0005-0000-0000-00003B4B0000}"/>
    <cellStyle name="Note 4 3 2 2 3 3 3" xfId="5325" xr:uid="{00000000-0005-0000-0000-00003C4B0000}"/>
    <cellStyle name="Note 4 3 2 2 3 3 4" xfId="9683" xr:uid="{00000000-0005-0000-0000-00003D4B0000}"/>
    <cellStyle name="Note 4 3 2 2 3 3 5" xfId="13529" xr:uid="{00000000-0005-0000-0000-00003E4B0000}"/>
    <cellStyle name="Note 4 3 2 2 3 3 6" xfId="17358" xr:uid="{00000000-0005-0000-0000-00003F4B0000}"/>
    <cellStyle name="Note 4 3 2 2 3 3 7" xfId="21297" xr:uid="{00000000-0005-0000-0000-0000404B0000}"/>
    <cellStyle name="Note 4 3 2 2 3 3 8" xfId="25110" xr:uid="{00000000-0005-0000-0000-0000414B0000}"/>
    <cellStyle name="Note 4 3 2 2 3 3 9" xfId="28997" xr:uid="{00000000-0005-0000-0000-0000424B0000}"/>
    <cellStyle name="Note 4 3 2 2 3 4" xfId="2639" xr:uid="{00000000-0005-0000-0000-0000434B0000}"/>
    <cellStyle name="Note 4 3 2 2 3 4 10" xfId="37691" xr:uid="{00000000-0005-0000-0000-0000444B0000}"/>
    <cellStyle name="Note 4 3 2 2 3 4 11" xfId="41705" xr:uid="{00000000-0005-0000-0000-0000454B0000}"/>
    <cellStyle name="Note 4 3 2 2 3 4 12" xfId="45492" xr:uid="{00000000-0005-0000-0000-0000464B0000}"/>
    <cellStyle name="Note 4 3 2 2 3 4 2" xfId="6529" xr:uid="{00000000-0005-0000-0000-0000474B0000}"/>
    <cellStyle name="Note 4 3 2 2 3 4 3" xfId="10953" xr:uid="{00000000-0005-0000-0000-0000484B0000}"/>
    <cellStyle name="Note 4 3 2 2 3 4 4" xfId="14797" xr:uid="{00000000-0005-0000-0000-0000494B0000}"/>
    <cellStyle name="Note 4 3 2 2 3 4 5" xfId="18633" xr:uid="{00000000-0005-0000-0000-00004A4B0000}"/>
    <cellStyle name="Note 4 3 2 2 3 4 6" xfId="22566" xr:uid="{00000000-0005-0000-0000-00004B4B0000}"/>
    <cellStyle name="Note 4 3 2 2 3 4 7" xfId="26384" xr:uid="{00000000-0005-0000-0000-00004C4B0000}"/>
    <cellStyle name="Note 4 3 2 2 3 4 8" xfId="30263" xr:uid="{00000000-0005-0000-0000-00004D4B0000}"/>
    <cellStyle name="Note 4 3 2 2 3 4 9" xfId="33930" xr:uid="{00000000-0005-0000-0000-00004E4B0000}"/>
    <cellStyle name="Note 4 3 2 2 3 5" xfId="4605" xr:uid="{00000000-0005-0000-0000-00004F4B0000}"/>
    <cellStyle name="Note 4 3 2 2 3 6" xfId="8945" xr:uid="{00000000-0005-0000-0000-0000504B0000}"/>
    <cellStyle name="Note 4 3 2 2 3 7" xfId="8555" xr:uid="{00000000-0005-0000-0000-0000514B0000}"/>
    <cellStyle name="Note 4 3 2 2 3 8" xfId="8476" xr:uid="{00000000-0005-0000-0000-0000524B0000}"/>
    <cellStyle name="Note 4 3 2 2 3 9" xfId="20549" xr:uid="{00000000-0005-0000-0000-0000534B0000}"/>
    <cellStyle name="Note 4 3 2 2 30" xfId="47374" xr:uid="{00000000-0005-0000-0000-0000544B0000}"/>
    <cellStyle name="Note 4 3 2 2 31" xfId="47460" xr:uid="{00000000-0005-0000-0000-0000554B0000}"/>
    <cellStyle name="Note 4 3 2 2 32" xfId="47509" xr:uid="{00000000-0005-0000-0000-0000564B0000}"/>
    <cellStyle name="Note 4 3 2 2 4" xfId="805" xr:uid="{00000000-0005-0000-0000-0000574B0000}"/>
    <cellStyle name="Note 4 3 2 2 4 10" xfId="24529" xr:uid="{00000000-0005-0000-0000-0000584B0000}"/>
    <cellStyle name="Note 4 3 2 2 4 11" xfId="28420" xr:uid="{00000000-0005-0000-0000-0000594B0000}"/>
    <cellStyle name="Note 4 3 2 2 4 12" xfId="32106" xr:uid="{00000000-0005-0000-0000-00005A4B0000}"/>
    <cellStyle name="Note 4 3 2 2 4 13" xfId="35863" xr:uid="{00000000-0005-0000-0000-00005B4B0000}"/>
    <cellStyle name="Note 4 3 2 2 4 14" xfId="39874" xr:uid="{00000000-0005-0000-0000-00005C4B0000}"/>
    <cellStyle name="Note 4 3 2 2 4 15" xfId="43689" xr:uid="{00000000-0005-0000-0000-00005D4B0000}"/>
    <cellStyle name="Note 4 3 2 2 4 2" xfId="1167" xr:uid="{00000000-0005-0000-0000-00005E4B0000}"/>
    <cellStyle name="Note 4 3 2 2 4 2 10" xfId="28776" xr:uid="{00000000-0005-0000-0000-00005F4B0000}"/>
    <cellStyle name="Note 4 3 2 2 4 2 11" xfId="32459" xr:uid="{00000000-0005-0000-0000-0000604B0000}"/>
    <cellStyle name="Note 4 3 2 2 4 2 12" xfId="36225" xr:uid="{00000000-0005-0000-0000-0000614B0000}"/>
    <cellStyle name="Note 4 3 2 2 4 2 13" xfId="40220" xr:uid="{00000000-0005-0000-0000-0000624B0000}"/>
    <cellStyle name="Note 4 3 2 2 4 2 14" xfId="44051" xr:uid="{00000000-0005-0000-0000-0000634B0000}"/>
    <cellStyle name="Note 4 3 2 2 4 2 2" xfId="1889" xr:uid="{00000000-0005-0000-0000-0000644B0000}"/>
    <cellStyle name="Note 4 3 2 2 4 2 2 10" xfId="33176" xr:uid="{00000000-0005-0000-0000-0000654B0000}"/>
    <cellStyle name="Note 4 3 2 2 4 2 2 11" xfId="36946" xr:uid="{00000000-0005-0000-0000-0000664B0000}"/>
    <cellStyle name="Note 4 3 2 2 4 2 2 12" xfId="40937" xr:uid="{00000000-0005-0000-0000-0000674B0000}"/>
    <cellStyle name="Note 4 3 2 2 4 2 2 13" xfId="44768" xr:uid="{00000000-0005-0000-0000-0000684B0000}"/>
    <cellStyle name="Note 4 3 2 2 4 2 2 2" xfId="3879" xr:uid="{00000000-0005-0000-0000-0000694B0000}"/>
    <cellStyle name="Note 4 3 2 2 4 2 2 2 10" xfId="38930" xr:uid="{00000000-0005-0000-0000-00006A4B0000}"/>
    <cellStyle name="Note 4 3 2 2 4 2 2 2 11" xfId="42941" xr:uid="{00000000-0005-0000-0000-00006B4B0000}"/>
    <cellStyle name="Note 4 3 2 2 4 2 2 2 12" xfId="46706" xr:uid="{00000000-0005-0000-0000-00006C4B0000}"/>
    <cellStyle name="Note 4 3 2 2 4 2 2 2 2" xfId="7746" xr:uid="{00000000-0005-0000-0000-00006D4B0000}"/>
    <cellStyle name="Note 4 3 2 2 4 2 2 2 3" xfId="12181" xr:uid="{00000000-0005-0000-0000-00006E4B0000}"/>
    <cellStyle name="Note 4 3 2 2 4 2 2 2 4" xfId="16026" xr:uid="{00000000-0005-0000-0000-00006F4B0000}"/>
    <cellStyle name="Note 4 3 2 2 4 2 2 2 5" xfId="19873" xr:uid="{00000000-0005-0000-0000-0000704B0000}"/>
    <cellStyle name="Note 4 3 2 2 4 2 2 2 6" xfId="23789" xr:uid="{00000000-0005-0000-0000-0000714B0000}"/>
    <cellStyle name="Note 4 3 2 2 4 2 2 2 7" xfId="27623" xr:uid="{00000000-0005-0000-0000-0000724B0000}"/>
    <cellStyle name="Note 4 3 2 2 4 2 2 2 8" xfId="31486" xr:uid="{00000000-0005-0000-0000-0000734B0000}"/>
    <cellStyle name="Note 4 3 2 2 4 2 2 2 9" xfId="35144" xr:uid="{00000000-0005-0000-0000-0000744B0000}"/>
    <cellStyle name="Note 4 3 2 2 4 2 2 3" xfId="5822" xr:uid="{00000000-0005-0000-0000-0000754B0000}"/>
    <cellStyle name="Note 4 3 2 2 4 2 2 4" xfId="10180" xr:uid="{00000000-0005-0000-0000-0000764B0000}"/>
    <cellStyle name="Note 4 3 2 2 4 2 2 5" xfId="14026" xr:uid="{00000000-0005-0000-0000-0000774B0000}"/>
    <cellStyle name="Note 4 3 2 2 4 2 2 6" xfId="17855" xr:uid="{00000000-0005-0000-0000-0000784B0000}"/>
    <cellStyle name="Note 4 3 2 2 4 2 2 7" xfId="21794" xr:uid="{00000000-0005-0000-0000-0000794B0000}"/>
    <cellStyle name="Note 4 3 2 2 4 2 2 8" xfId="25607" xr:uid="{00000000-0005-0000-0000-00007A4B0000}"/>
    <cellStyle name="Note 4 3 2 2 4 2 2 9" xfId="29494" xr:uid="{00000000-0005-0000-0000-00007B4B0000}"/>
    <cellStyle name="Note 4 3 2 2 4 2 3" xfId="3157" xr:uid="{00000000-0005-0000-0000-00007C4B0000}"/>
    <cellStyle name="Note 4 3 2 2 4 2 3 10" xfId="38209" xr:uid="{00000000-0005-0000-0000-00007D4B0000}"/>
    <cellStyle name="Note 4 3 2 2 4 2 3 11" xfId="42220" xr:uid="{00000000-0005-0000-0000-00007E4B0000}"/>
    <cellStyle name="Note 4 3 2 2 4 2 3 12" xfId="45989" xr:uid="{00000000-0005-0000-0000-00007F4B0000}"/>
    <cellStyle name="Note 4 3 2 2 4 2 3 2" xfId="7029" xr:uid="{00000000-0005-0000-0000-0000804B0000}"/>
    <cellStyle name="Note 4 3 2 2 4 2 3 3" xfId="11461" xr:uid="{00000000-0005-0000-0000-0000814B0000}"/>
    <cellStyle name="Note 4 3 2 2 4 2 3 4" xfId="15305" xr:uid="{00000000-0005-0000-0000-0000824B0000}"/>
    <cellStyle name="Note 4 3 2 2 4 2 3 5" xfId="19151" xr:uid="{00000000-0005-0000-0000-0000834B0000}"/>
    <cellStyle name="Note 4 3 2 2 4 2 3 6" xfId="23070" xr:uid="{00000000-0005-0000-0000-0000844B0000}"/>
    <cellStyle name="Note 4 3 2 2 4 2 3 7" xfId="26902" xr:uid="{00000000-0005-0000-0000-0000854B0000}"/>
    <cellStyle name="Note 4 3 2 2 4 2 3 8" xfId="30774" xr:uid="{00000000-0005-0000-0000-0000864B0000}"/>
    <cellStyle name="Note 4 3 2 2 4 2 3 9" xfId="34427" xr:uid="{00000000-0005-0000-0000-0000874B0000}"/>
    <cellStyle name="Note 4 3 2 2 4 2 4" xfId="5105" xr:uid="{00000000-0005-0000-0000-0000884B0000}"/>
    <cellStyle name="Note 4 3 2 2 4 2 5" xfId="9461" xr:uid="{00000000-0005-0000-0000-0000894B0000}"/>
    <cellStyle name="Note 4 3 2 2 4 2 6" xfId="13305" xr:uid="{00000000-0005-0000-0000-00008A4B0000}"/>
    <cellStyle name="Note 4 3 2 2 4 2 7" xfId="17133" xr:uid="{00000000-0005-0000-0000-00008B4B0000}"/>
    <cellStyle name="Note 4 3 2 2 4 2 8" xfId="21075" xr:uid="{00000000-0005-0000-0000-00008C4B0000}"/>
    <cellStyle name="Note 4 3 2 2 4 2 9" xfId="24886" xr:uid="{00000000-0005-0000-0000-00008D4B0000}"/>
    <cellStyle name="Note 4 3 2 2 4 3" xfId="1536" xr:uid="{00000000-0005-0000-0000-00008E4B0000}"/>
    <cellStyle name="Note 4 3 2 2 4 3 10" xfId="32823" xr:uid="{00000000-0005-0000-0000-00008F4B0000}"/>
    <cellStyle name="Note 4 3 2 2 4 3 11" xfId="36593" xr:uid="{00000000-0005-0000-0000-0000904B0000}"/>
    <cellStyle name="Note 4 3 2 2 4 3 12" xfId="40584" xr:uid="{00000000-0005-0000-0000-0000914B0000}"/>
    <cellStyle name="Note 4 3 2 2 4 3 13" xfId="44415" xr:uid="{00000000-0005-0000-0000-0000924B0000}"/>
    <cellStyle name="Note 4 3 2 2 4 3 2" xfId="3526" xr:uid="{00000000-0005-0000-0000-0000934B0000}"/>
    <cellStyle name="Note 4 3 2 2 4 3 2 10" xfId="38577" xr:uid="{00000000-0005-0000-0000-0000944B0000}"/>
    <cellStyle name="Note 4 3 2 2 4 3 2 11" xfId="42588" xr:uid="{00000000-0005-0000-0000-0000954B0000}"/>
    <cellStyle name="Note 4 3 2 2 4 3 2 12" xfId="46353" xr:uid="{00000000-0005-0000-0000-0000964B0000}"/>
    <cellStyle name="Note 4 3 2 2 4 3 2 2" xfId="7393" xr:uid="{00000000-0005-0000-0000-0000974B0000}"/>
    <cellStyle name="Note 4 3 2 2 4 3 2 3" xfId="11828" xr:uid="{00000000-0005-0000-0000-0000984B0000}"/>
    <cellStyle name="Note 4 3 2 2 4 3 2 4" xfId="15673" xr:uid="{00000000-0005-0000-0000-0000994B0000}"/>
    <cellStyle name="Note 4 3 2 2 4 3 2 5" xfId="19520" xr:uid="{00000000-0005-0000-0000-00009A4B0000}"/>
    <cellStyle name="Note 4 3 2 2 4 3 2 6" xfId="23436" xr:uid="{00000000-0005-0000-0000-00009B4B0000}"/>
    <cellStyle name="Note 4 3 2 2 4 3 2 7" xfId="27270" xr:uid="{00000000-0005-0000-0000-00009C4B0000}"/>
    <cellStyle name="Note 4 3 2 2 4 3 2 8" xfId="31137" xr:uid="{00000000-0005-0000-0000-00009D4B0000}"/>
    <cellStyle name="Note 4 3 2 2 4 3 2 9" xfId="34791" xr:uid="{00000000-0005-0000-0000-00009E4B0000}"/>
    <cellStyle name="Note 4 3 2 2 4 3 3" xfId="5469" xr:uid="{00000000-0005-0000-0000-00009F4B0000}"/>
    <cellStyle name="Note 4 3 2 2 4 3 4" xfId="9827" xr:uid="{00000000-0005-0000-0000-0000A04B0000}"/>
    <cellStyle name="Note 4 3 2 2 4 3 5" xfId="13673" xr:uid="{00000000-0005-0000-0000-0000A14B0000}"/>
    <cellStyle name="Note 4 3 2 2 4 3 6" xfId="17502" xr:uid="{00000000-0005-0000-0000-0000A24B0000}"/>
    <cellStyle name="Note 4 3 2 2 4 3 7" xfId="21441" xr:uid="{00000000-0005-0000-0000-0000A34B0000}"/>
    <cellStyle name="Note 4 3 2 2 4 3 8" xfId="25254" xr:uid="{00000000-0005-0000-0000-0000A44B0000}"/>
    <cellStyle name="Note 4 3 2 2 4 3 9" xfId="29141" xr:uid="{00000000-0005-0000-0000-0000A54B0000}"/>
    <cellStyle name="Note 4 3 2 2 4 4" xfId="2795" xr:uid="{00000000-0005-0000-0000-0000A64B0000}"/>
    <cellStyle name="Note 4 3 2 2 4 4 10" xfId="37847" xr:uid="{00000000-0005-0000-0000-0000A74B0000}"/>
    <cellStyle name="Note 4 3 2 2 4 4 11" xfId="41859" xr:uid="{00000000-0005-0000-0000-0000A84B0000}"/>
    <cellStyle name="Note 4 3 2 2 4 4 12" xfId="45636" xr:uid="{00000000-0005-0000-0000-0000A94B0000}"/>
    <cellStyle name="Note 4 3 2 2 4 4 2" xfId="6675" xr:uid="{00000000-0005-0000-0000-0000AA4B0000}"/>
    <cellStyle name="Note 4 3 2 2 4 4 3" xfId="11102" xr:uid="{00000000-0005-0000-0000-0000AB4B0000}"/>
    <cellStyle name="Note 4 3 2 2 4 4 4" xfId="14947" xr:uid="{00000000-0005-0000-0000-0000AC4B0000}"/>
    <cellStyle name="Note 4 3 2 2 4 4 5" xfId="18789" xr:uid="{00000000-0005-0000-0000-0000AD4B0000}"/>
    <cellStyle name="Note 4 3 2 2 4 4 6" xfId="22715" xr:uid="{00000000-0005-0000-0000-0000AE4B0000}"/>
    <cellStyle name="Note 4 3 2 2 4 4 7" xfId="26540" xr:uid="{00000000-0005-0000-0000-0000AF4B0000}"/>
    <cellStyle name="Note 4 3 2 2 4 4 8" xfId="30418" xr:uid="{00000000-0005-0000-0000-0000B04B0000}"/>
    <cellStyle name="Note 4 3 2 2 4 4 9" xfId="34074" xr:uid="{00000000-0005-0000-0000-0000B14B0000}"/>
    <cellStyle name="Note 4 3 2 2 4 5" xfId="4751" xr:uid="{00000000-0005-0000-0000-0000B24B0000}"/>
    <cellStyle name="Note 4 3 2 2 4 6" xfId="9105" xr:uid="{00000000-0005-0000-0000-0000B34B0000}"/>
    <cellStyle name="Note 4 3 2 2 4 7" xfId="12946" xr:uid="{00000000-0005-0000-0000-0000B44B0000}"/>
    <cellStyle name="Note 4 3 2 2 4 8" xfId="16771" xr:uid="{00000000-0005-0000-0000-0000B54B0000}"/>
    <cellStyle name="Note 4 3 2 2 4 9" xfId="20713" xr:uid="{00000000-0005-0000-0000-0000B64B0000}"/>
    <cellStyle name="Note 4 3 2 2 5" xfId="897" xr:uid="{00000000-0005-0000-0000-0000B74B0000}"/>
    <cellStyle name="Note 4 3 2 2 5 10" xfId="24621" xr:uid="{00000000-0005-0000-0000-0000B84B0000}"/>
    <cellStyle name="Note 4 3 2 2 5 11" xfId="28511" xr:uid="{00000000-0005-0000-0000-0000B94B0000}"/>
    <cellStyle name="Note 4 3 2 2 5 12" xfId="32198" xr:uid="{00000000-0005-0000-0000-0000BA4B0000}"/>
    <cellStyle name="Note 4 3 2 2 5 13" xfId="35955" xr:uid="{00000000-0005-0000-0000-0000BB4B0000}"/>
    <cellStyle name="Note 4 3 2 2 5 14" xfId="39965" xr:uid="{00000000-0005-0000-0000-0000BC4B0000}"/>
    <cellStyle name="Note 4 3 2 2 5 15" xfId="43781" xr:uid="{00000000-0005-0000-0000-0000BD4B0000}"/>
    <cellStyle name="Note 4 3 2 2 5 2" xfId="1234" xr:uid="{00000000-0005-0000-0000-0000BE4B0000}"/>
    <cellStyle name="Note 4 3 2 2 5 2 10" xfId="28842" xr:uid="{00000000-0005-0000-0000-0000BF4B0000}"/>
    <cellStyle name="Note 4 3 2 2 5 2 11" xfId="32526" xr:uid="{00000000-0005-0000-0000-0000C04B0000}"/>
    <cellStyle name="Note 4 3 2 2 5 2 12" xfId="36292" xr:uid="{00000000-0005-0000-0000-0000C14B0000}"/>
    <cellStyle name="Note 4 3 2 2 5 2 13" xfId="40285" xr:uid="{00000000-0005-0000-0000-0000C24B0000}"/>
    <cellStyle name="Note 4 3 2 2 5 2 14" xfId="44118" xr:uid="{00000000-0005-0000-0000-0000C34B0000}"/>
    <cellStyle name="Note 4 3 2 2 5 2 2" xfId="1956" xr:uid="{00000000-0005-0000-0000-0000C44B0000}"/>
    <cellStyle name="Note 4 3 2 2 5 2 2 10" xfId="33243" xr:uid="{00000000-0005-0000-0000-0000C54B0000}"/>
    <cellStyle name="Note 4 3 2 2 5 2 2 11" xfId="37013" xr:uid="{00000000-0005-0000-0000-0000C64B0000}"/>
    <cellStyle name="Note 4 3 2 2 5 2 2 12" xfId="41004" xr:uid="{00000000-0005-0000-0000-0000C74B0000}"/>
    <cellStyle name="Note 4 3 2 2 5 2 2 13" xfId="44835" xr:uid="{00000000-0005-0000-0000-0000C84B0000}"/>
    <cellStyle name="Note 4 3 2 2 5 2 2 2" xfId="3946" xr:uid="{00000000-0005-0000-0000-0000C94B0000}"/>
    <cellStyle name="Note 4 3 2 2 5 2 2 2 10" xfId="38997" xr:uid="{00000000-0005-0000-0000-0000CA4B0000}"/>
    <cellStyle name="Note 4 3 2 2 5 2 2 2 11" xfId="43008" xr:uid="{00000000-0005-0000-0000-0000CB4B0000}"/>
    <cellStyle name="Note 4 3 2 2 5 2 2 2 12" xfId="46773" xr:uid="{00000000-0005-0000-0000-0000CC4B0000}"/>
    <cellStyle name="Note 4 3 2 2 5 2 2 2 2" xfId="7813" xr:uid="{00000000-0005-0000-0000-0000CD4B0000}"/>
    <cellStyle name="Note 4 3 2 2 5 2 2 2 3" xfId="12248" xr:uid="{00000000-0005-0000-0000-0000CE4B0000}"/>
    <cellStyle name="Note 4 3 2 2 5 2 2 2 4" xfId="16093" xr:uid="{00000000-0005-0000-0000-0000CF4B0000}"/>
    <cellStyle name="Note 4 3 2 2 5 2 2 2 5" xfId="19940" xr:uid="{00000000-0005-0000-0000-0000D04B0000}"/>
    <cellStyle name="Note 4 3 2 2 5 2 2 2 6" xfId="23856" xr:uid="{00000000-0005-0000-0000-0000D14B0000}"/>
    <cellStyle name="Note 4 3 2 2 5 2 2 2 7" xfId="27690" xr:uid="{00000000-0005-0000-0000-0000D24B0000}"/>
    <cellStyle name="Note 4 3 2 2 5 2 2 2 8" xfId="31551" xr:uid="{00000000-0005-0000-0000-0000D34B0000}"/>
    <cellStyle name="Note 4 3 2 2 5 2 2 2 9" xfId="35211" xr:uid="{00000000-0005-0000-0000-0000D44B0000}"/>
    <cellStyle name="Note 4 3 2 2 5 2 2 3" xfId="5889" xr:uid="{00000000-0005-0000-0000-0000D54B0000}"/>
    <cellStyle name="Note 4 3 2 2 5 2 2 4" xfId="10247" xr:uid="{00000000-0005-0000-0000-0000D64B0000}"/>
    <cellStyle name="Note 4 3 2 2 5 2 2 5" xfId="14093" xr:uid="{00000000-0005-0000-0000-0000D74B0000}"/>
    <cellStyle name="Note 4 3 2 2 5 2 2 6" xfId="17922" xr:uid="{00000000-0005-0000-0000-0000D84B0000}"/>
    <cellStyle name="Note 4 3 2 2 5 2 2 7" xfId="21861" xr:uid="{00000000-0005-0000-0000-0000D94B0000}"/>
    <cellStyle name="Note 4 3 2 2 5 2 2 8" xfId="25674" xr:uid="{00000000-0005-0000-0000-0000DA4B0000}"/>
    <cellStyle name="Note 4 3 2 2 5 2 2 9" xfId="29561" xr:uid="{00000000-0005-0000-0000-0000DB4B0000}"/>
    <cellStyle name="Note 4 3 2 2 5 2 3" xfId="3224" xr:uid="{00000000-0005-0000-0000-0000DC4B0000}"/>
    <cellStyle name="Note 4 3 2 2 5 2 3 10" xfId="38276" xr:uid="{00000000-0005-0000-0000-0000DD4B0000}"/>
    <cellStyle name="Note 4 3 2 2 5 2 3 11" xfId="42287" xr:uid="{00000000-0005-0000-0000-0000DE4B0000}"/>
    <cellStyle name="Note 4 3 2 2 5 2 3 12" xfId="46056" xr:uid="{00000000-0005-0000-0000-0000DF4B0000}"/>
    <cellStyle name="Note 4 3 2 2 5 2 3 2" xfId="7096" xr:uid="{00000000-0005-0000-0000-0000E04B0000}"/>
    <cellStyle name="Note 4 3 2 2 5 2 3 3" xfId="11528" xr:uid="{00000000-0005-0000-0000-0000E14B0000}"/>
    <cellStyle name="Note 4 3 2 2 5 2 3 4" xfId="15372" xr:uid="{00000000-0005-0000-0000-0000E24B0000}"/>
    <cellStyle name="Note 4 3 2 2 5 2 3 5" xfId="19218" xr:uid="{00000000-0005-0000-0000-0000E34B0000}"/>
    <cellStyle name="Note 4 3 2 2 5 2 3 6" xfId="23137" xr:uid="{00000000-0005-0000-0000-0000E44B0000}"/>
    <cellStyle name="Note 4 3 2 2 5 2 3 7" xfId="26969" xr:uid="{00000000-0005-0000-0000-0000E54B0000}"/>
    <cellStyle name="Note 4 3 2 2 5 2 3 8" xfId="30839" xr:uid="{00000000-0005-0000-0000-0000E64B0000}"/>
    <cellStyle name="Note 4 3 2 2 5 2 3 9" xfId="34494" xr:uid="{00000000-0005-0000-0000-0000E74B0000}"/>
    <cellStyle name="Note 4 3 2 2 5 2 4" xfId="5172" xr:uid="{00000000-0005-0000-0000-0000E84B0000}"/>
    <cellStyle name="Note 4 3 2 2 5 2 5" xfId="9528" xr:uid="{00000000-0005-0000-0000-0000E94B0000}"/>
    <cellStyle name="Note 4 3 2 2 5 2 6" xfId="13372" xr:uid="{00000000-0005-0000-0000-0000EA4B0000}"/>
    <cellStyle name="Note 4 3 2 2 5 2 7" xfId="17200" xr:uid="{00000000-0005-0000-0000-0000EB4B0000}"/>
    <cellStyle name="Note 4 3 2 2 5 2 8" xfId="21142" xr:uid="{00000000-0005-0000-0000-0000EC4B0000}"/>
    <cellStyle name="Note 4 3 2 2 5 2 9" xfId="24953" xr:uid="{00000000-0005-0000-0000-0000ED4B0000}"/>
    <cellStyle name="Note 4 3 2 2 5 3" xfId="1628" xr:uid="{00000000-0005-0000-0000-0000EE4B0000}"/>
    <cellStyle name="Note 4 3 2 2 5 3 10" xfId="32915" xr:uid="{00000000-0005-0000-0000-0000EF4B0000}"/>
    <cellStyle name="Note 4 3 2 2 5 3 11" xfId="36685" xr:uid="{00000000-0005-0000-0000-0000F04B0000}"/>
    <cellStyle name="Note 4 3 2 2 5 3 12" xfId="40676" xr:uid="{00000000-0005-0000-0000-0000F14B0000}"/>
    <cellStyle name="Note 4 3 2 2 5 3 13" xfId="44507" xr:uid="{00000000-0005-0000-0000-0000F24B0000}"/>
    <cellStyle name="Note 4 3 2 2 5 3 2" xfId="3618" xr:uid="{00000000-0005-0000-0000-0000F34B0000}"/>
    <cellStyle name="Note 4 3 2 2 5 3 2 10" xfId="38669" xr:uid="{00000000-0005-0000-0000-0000F44B0000}"/>
    <cellStyle name="Note 4 3 2 2 5 3 2 11" xfId="42680" xr:uid="{00000000-0005-0000-0000-0000F54B0000}"/>
    <cellStyle name="Note 4 3 2 2 5 3 2 12" xfId="46445" xr:uid="{00000000-0005-0000-0000-0000F64B0000}"/>
    <cellStyle name="Note 4 3 2 2 5 3 2 2" xfId="7485" xr:uid="{00000000-0005-0000-0000-0000F74B0000}"/>
    <cellStyle name="Note 4 3 2 2 5 3 2 3" xfId="11920" xr:uid="{00000000-0005-0000-0000-0000F84B0000}"/>
    <cellStyle name="Note 4 3 2 2 5 3 2 4" xfId="15765" xr:uid="{00000000-0005-0000-0000-0000F94B0000}"/>
    <cellStyle name="Note 4 3 2 2 5 3 2 5" xfId="19612" xr:uid="{00000000-0005-0000-0000-0000FA4B0000}"/>
    <cellStyle name="Note 4 3 2 2 5 3 2 6" xfId="23528" xr:uid="{00000000-0005-0000-0000-0000FB4B0000}"/>
    <cellStyle name="Note 4 3 2 2 5 3 2 7" xfId="27362" xr:uid="{00000000-0005-0000-0000-0000FC4B0000}"/>
    <cellStyle name="Note 4 3 2 2 5 3 2 8" xfId="31227" xr:uid="{00000000-0005-0000-0000-0000FD4B0000}"/>
    <cellStyle name="Note 4 3 2 2 5 3 2 9" xfId="34883" xr:uid="{00000000-0005-0000-0000-0000FE4B0000}"/>
    <cellStyle name="Note 4 3 2 2 5 3 3" xfId="5561" xr:uid="{00000000-0005-0000-0000-0000FF4B0000}"/>
    <cellStyle name="Note 4 3 2 2 5 3 4" xfId="9919" xr:uid="{00000000-0005-0000-0000-0000004C0000}"/>
    <cellStyle name="Note 4 3 2 2 5 3 5" xfId="13765" xr:uid="{00000000-0005-0000-0000-0000014C0000}"/>
    <cellStyle name="Note 4 3 2 2 5 3 6" xfId="17594" xr:uid="{00000000-0005-0000-0000-0000024C0000}"/>
    <cellStyle name="Note 4 3 2 2 5 3 7" xfId="21533" xr:uid="{00000000-0005-0000-0000-0000034C0000}"/>
    <cellStyle name="Note 4 3 2 2 5 3 8" xfId="25346" xr:uid="{00000000-0005-0000-0000-0000044C0000}"/>
    <cellStyle name="Note 4 3 2 2 5 3 9" xfId="29233" xr:uid="{00000000-0005-0000-0000-0000054C0000}"/>
    <cellStyle name="Note 4 3 2 2 5 4" xfId="2887" xr:uid="{00000000-0005-0000-0000-0000064C0000}"/>
    <cellStyle name="Note 4 3 2 2 5 4 10" xfId="37939" xr:uid="{00000000-0005-0000-0000-0000074C0000}"/>
    <cellStyle name="Note 4 3 2 2 5 4 11" xfId="41951" xr:uid="{00000000-0005-0000-0000-0000084C0000}"/>
    <cellStyle name="Note 4 3 2 2 5 4 12" xfId="45728" xr:uid="{00000000-0005-0000-0000-0000094C0000}"/>
    <cellStyle name="Note 4 3 2 2 5 4 2" xfId="6767" xr:uid="{00000000-0005-0000-0000-00000A4C0000}"/>
    <cellStyle name="Note 4 3 2 2 5 4 3" xfId="11194" xr:uid="{00000000-0005-0000-0000-00000B4C0000}"/>
    <cellStyle name="Note 4 3 2 2 5 4 4" xfId="15039" xr:uid="{00000000-0005-0000-0000-00000C4C0000}"/>
    <cellStyle name="Note 4 3 2 2 5 4 5" xfId="18881" xr:uid="{00000000-0005-0000-0000-00000D4C0000}"/>
    <cellStyle name="Note 4 3 2 2 5 4 6" xfId="22807" xr:uid="{00000000-0005-0000-0000-00000E4C0000}"/>
    <cellStyle name="Note 4 3 2 2 5 4 7" xfId="26632" xr:uid="{00000000-0005-0000-0000-00000F4C0000}"/>
    <cellStyle name="Note 4 3 2 2 5 4 8" xfId="30508" xr:uid="{00000000-0005-0000-0000-0000104C0000}"/>
    <cellStyle name="Note 4 3 2 2 5 4 9" xfId="34166" xr:uid="{00000000-0005-0000-0000-0000114C0000}"/>
    <cellStyle name="Note 4 3 2 2 5 5" xfId="4843" xr:uid="{00000000-0005-0000-0000-0000124C0000}"/>
    <cellStyle name="Note 4 3 2 2 5 6" xfId="9197" xr:uid="{00000000-0005-0000-0000-0000134C0000}"/>
    <cellStyle name="Note 4 3 2 2 5 7" xfId="13038" xr:uid="{00000000-0005-0000-0000-0000144C0000}"/>
    <cellStyle name="Note 4 3 2 2 5 8" xfId="16863" xr:uid="{00000000-0005-0000-0000-0000154C0000}"/>
    <cellStyle name="Note 4 3 2 2 5 9" xfId="20805" xr:uid="{00000000-0005-0000-0000-0000164C0000}"/>
    <cellStyle name="Note 4 3 2 2 6" xfId="943" xr:uid="{00000000-0005-0000-0000-0000174C0000}"/>
    <cellStyle name="Note 4 3 2 2 6 10" xfId="28555" xr:uid="{00000000-0005-0000-0000-0000184C0000}"/>
    <cellStyle name="Note 4 3 2 2 6 11" xfId="32244" xr:uid="{00000000-0005-0000-0000-0000194C0000}"/>
    <cellStyle name="Note 4 3 2 2 6 12" xfId="36001" xr:uid="{00000000-0005-0000-0000-00001A4C0000}"/>
    <cellStyle name="Note 4 3 2 2 6 13" xfId="40009" xr:uid="{00000000-0005-0000-0000-00001B4C0000}"/>
    <cellStyle name="Note 4 3 2 2 6 14" xfId="43827" xr:uid="{00000000-0005-0000-0000-00001C4C0000}"/>
    <cellStyle name="Note 4 3 2 2 6 2" xfId="1674" xr:uid="{00000000-0005-0000-0000-00001D4C0000}"/>
    <cellStyle name="Note 4 3 2 2 6 2 10" xfId="32961" xr:uid="{00000000-0005-0000-0000-00001E4C0000}"/>
    <cellStyle name="Note 4 3 2 2 6 2 11" xfId="36731" xr:uid="{00000000-0005-0000-0000-00001F4C0000}"/>
    <cellStyle name="Note 4 3 2 2 6 2 12" xfId="40722" xr:uid="{00000000-0005-0000-0000-0000204C0000}"/>
    <cellStyle name="Note 4 3 2 2 6 2 13" xfId="44553" xr:uid="{00000000-0005-0000-0000-0000214C0000}"/>
    <cellStyle name="Note 4 3 2 2 6 2 2" xfId="3664" xr:uid="{00000000-0005-0000-0000-0000224C0000}"/>
    <cellStyle name="Note 4 3 2 2 6 2 2 10" xfId="38715" xr:uid="{00000000-0005-0000-0000-0000234C0000}"/>
    <cellStyle name="Note 4 3 2 2 6 2 2 11" xfId="42726" xr:uid="{00000000-0005-0000-0000-0000244C0000}"/>
    <cellStyle name="Note 4 3 2 2 6 2 2 12" xfId="46491" xr:uid="{00000000-0005-0000-0000-0000254C0000}"/>
    <cellStyle name="Note 4 3 2 2 6 2 2 2" xfId="7531" xr:uid="{00000000-0005-0000-0000-0000264C0000}"/>
    <cellStyle name="Note 4 3 2 2 6 2 2 3" xfId="11966" xr:uid="{00000000-0005-0000-0000-0000274C0000}"/>
    <cellStyle name="Note 4 3 2 2 6 2 2 4" xfId="15811" xr:uid="{00000000-0005-0000-0000-0000284C0000}"/>
    <cellStyle name="Note 4 3 2 2 6 2 2 5" xfId="19658" xr:uid="{00000000-0005-0000-0000-0000294C0000}"/>
    <cellStyle name="Note 4 3 2 2 6 2 2 6" xfId="23574" xr:uid="{00000000-0005-0000-0000-00002A4C0000}"/>
    <cellStyle name="Note 4 3 2 2 6 2 2 7" xfId="27408" xr:uid="{00000000-0005-0000-0000-00002B4C0000}"/>
    <cellStyle name="Note 4 3 2 2 6 2 2 8" xfId="31272" xr:uid="{00000000-0005-0000-0000-00002C4C0000}"/>
    <cellStyle name="Note 4 3 2 2 6 2 2 9" xfId="34929" xr:uid="{00000000-0005-0000-0000-00002D4C0000}"/>
    <cellStyle name="Note 4 3 2 2 6 2 3" xfId="5607" xr:uid="{00000000-0005-0000-0000-00002E4C0000}"/>
    <cellStyle name="Note 4 3 2 2 6 2 4" xfId="9965" xr:uid="{00000000-0005-0000-0000-00002F4C0000}"/>
    <cellStyle name="Note 4 3 2 2 6 2 5" xfId="13811" xr:uid="{00000000-0005-0000-0000-0000304C0000}"/>
    <cellStyle name="Note 4 3 2 2 6 2 6" xfId="17640" xr:uid="{00000000-0005-0000-0000-0000314C0000}"/>
    <cellStyle name="Note 4 3 2 2 6 2 7" xfId="21579" xr:uid="{00000000-0005-0000-0000-0000324C0000}"/>
    <cellStyle name="Note 4 3 2 2 6 2 8" xfId="25392" xr:uid="{00000000-0005-0000-0000-0000334C0000}"/>
    <cellStyle name="Note 4 3 2 2 6 2 9" xfId="29279" xr:uid="{00000000-0005-0000-0000-0000344C0000}"/>
    <cellStyle name="Note 4 3 2 2 6 3" xfId="2933" xr:uid="{00000000-0005-0000-0000-0000354C0000}"/>
    <cellStyle name="Note 4 3 2 2 6 3 10" xfId="37985" xr:uid="{00000000-0005-0000-0000-0000364C0000}"/>
    <cellStyle name="Note 4 3 2 2 6 3 11" xfId="41997" xr:uid="{00000000-0005-0000-0000-0000374C0000}"/>
    <cellStyle name="Note 4 3 2 2 6 3 12" xfId="45774" xr:uid="{00000000-0005-0000-0000-0000384C0000}"/>
    <cellStyle name="Note 4 3 2 2 6 3 2" xfId="6813" xr:uid="{00000000-0005-0000-0000-0000394C0000}"/>
    <cellStyle name="Note 4 3 2 2 6 3 3" xfId="11240" xr:uid="{00000000-0005-0000-0000-00003A4C0000}"/>
    <cellStyle name="Note 4 3 2 2 6 3 4" xfId="15085" xr:uid="{00000000-0005-0000-0000-00003B4C0000}"/>
    <cellStyle name="Note 4 3 2 2 6 3 5" xfId="18927" xr:uid="{00000000-0005-0000-0000-00003C4C0000}"/>
    <cellStyle name="Note 4 3 2 2 6 3 6" xfId="22853" xr:uid="{00000000-0005-0000-0000-00003D4C0000}"/>
    <cellStyle name="Note 4 3 2 2 6 3 7" xfId="26678" xr:uid="{00000000-0005-0000-0000-00003E4C0000}"/>
    <cellStyle name="Note 4 3 2 2 6 3 8" xfId="30553" xr:uid="{00000000-0005-0000-0000-00003F4C0000}"/>
    <cellStyle name="Note 4 3 2 2 6 3 9" xfId="34212" xr:uid="{00000000-0005-0000-0000-0000404C0000}"/>
    <cellStyle name="Note 4 3 2 2 6 4" xfId="4889" xr:uid="{00000000-0005-0000-0000-0000414C0000}"/>
    <cellStyle name="Note 4 3 2 2 6 5" xfId="9243" xr:uid="{00000000-0005-0000-0000-0000424C0000}"/>
    <cellStyle name="Note 4 3 2 2 6 6" xfId="13084" xr:uid="{00000000-0005-0000-0000-0000434C0000}"/>
    <cellStyle name="Note 4 3 2 2 6 7" xfId="16909" xr:uid="{00000000-0005-0000-0000-0000444C0000}"/>
    <cellStyle name="Note 4 3 2 2 6 8" xfId="20851" xr:uid="{00000000-0005-0000-0000-0000454C0000}"/>
    <cellStyle name="Note 4 3 2 2 6 9" xfId="24667" xr:uid="{00000000-0005-0000-0000-0000464C0000}"/>
    <cellStyle name="Note 4 3 2 2 7" xfId="1321" xr:uid="{00000000-0005-0000-0000-0000474C0000}"/>
    <cellStyle name="Note 4 3 2 2 7 10" xfId="32608" xr:uid="{00000000-0005-0000-0000-0000484C0000}"/>
    <cellStyle name="Note 4 3 2 2 7 11" xfId="36378" xr:uid="{00000000-0005-0000-0000-0000494C0000}"/>
    <cellStyle name="Note 4 3 2 2 7 12" xfId="40369" xr:uid="{00000000-0005-0000-0000-00004A4C0000}"/>
    <cellStyle name="Note 4 3 2 2 7 13" xfId="44200" xr:uid="{00000000-0005-0000-0000-00004B4C0000}"/>
    <cellStyle name="Note 4 3 2 2 7 2" xfId="3311" xr:uid="{00000000-0005-0000-0000-00004C4C0000}"/>
    <cellStyle name="Note 4 3 2 2 7 2 10" xfId="38362" xr:uid="{00000000-0005-0000-0000-00004D4C0000}"/>
    <cellStyle name="Note 4 3 2 2 7 2 11" xfId="42373" xr:uid="{00000000-0005-0000-0000-00004E4C0000}"/>
    <cellStyle name="Note 4 3 2 2 7 2 12" xfId="46138" xr:uid="{00000000-0005-0000-0000-00004F4C0000}"/>
    <cellStyle name="Note 4 3 2 2 7 2 2" xfId="7178" xr:uid="{00000000-0005-0000-0000-0000504C0000}"/>
    <cellStyle name="Note 4 3 2 2 7 2 3" xfId="11613" xr:uid="{00000000-0005-0000-0000-0000514C0000}"/>
    <cellStyle name="Note 4 3 2 2 7 2 4" xfId="15458" xr:uid="{00000000-0005-0000-0000-0000524C0000}"/>
    <cellStyle name="Note 4 3 2 2 7 2 5" xfId="19305" xr:uid="{00000000-0005-0000-0000-0000534C0000}"/>
    <cellStyle name="Note 4 3 2 2 7 2 6" xfId="23221" xr:uid="{00000000-0005-0000-0000-0000544C0000}"/>
    <cellStyle name="Note 4 3 2 2 7 2 7" xfId="27055" xr:uid="{00000000-0005-0000-0000-0000554C0000}"/>
    <cellStyle name="Note 4 3 2 2 7 2 8" xfId="30924" xr:uid="{00000000-0005-0000-0000-0000564C0000}"/>
    <cellStyle name="Note 4 3 2 2 7 2 9" xfId="34576" xr:uid="{00000000-0005-0000-0000-0000574C0000}"/>
    <cellStyle name="Note 4 3 2 2 7 3" xfId="5254" xr:uid="{00000000-0005-0000-0000-0000584C0000}"/>
    <cellStyle name="Note 4 3 2 2 7 4" xfId="9612" xr:uid="{00000000-0005-0000-0000-0000594C0000}"/>
    <cellStyle name="Note 4 3 2 2 7 5" xfId="13458" xr:uid="{00000000-0005-0000-0000-00005A4C0000}"/>
    <cellStyle name="Note 4 3 2 2 7 6" xfId="17287" xr:uid="{00000000-0005-0000-0000-00005B4C0000}"/>
    <cellStyle name="Note 4 3 2 2 7 7" xfId="21226" xr:uid="{00000000-0005-0000-0000-00005C4C0000}"/>
    <cellStyle name="Note 4 3 2 2 7 8" xfId="25039" xr:uid="{00000000-0005-0000-0000-00005D4C0000}"/>
    <cellStyle name="Note 4 3 2 2 7 9" xfId="28926" xr:uid="{00000000-0005-0000-0000-00005E4C0000}"/>
    <cellStyle name="Note 4 3 2 2 8" xfId="2018" xr:uid="{00000000-0005-0000-0000-00005F4C0000}"/>
    <cellStyle name="Note 4 3 2 2 8 10" xfId="33303" xr:uid="{00000000-0005-0000-0000-0000604C0000}"/>
    <cellStyle name="Note 4 3 2 2 8 11" xfId="37074" xr:uid="{00000000-0005-0000-0000-0000614C0000}"/>
    <cellStyle name="Note 4 3 2 2 8 12" xfId="41066" xr:uid="{00000000-0005-0000-0000-0000624C0000}"/>
    <cellStyle name="Note 4 3 2 2 8 13" xfId="44894" xr:uid="{00000000-0005-0000-0000-0000634C0000}"/>
    <cellStyle name="Note 4 3 2 2 8 2" xfId="4007" xr:uid="{00000000-0005-0000-0000-0000644C0000}"/>
    <cellStyle name="Note 4 3 2 2 8 2 10" xfId="39058" xr:uid="{00000000-0005-0000-0000-0000654C0000}"/>
    <cellStyle name="Note 4 3 2 2 8 2 11" xfId="43069" xr:uid="{00000000-0005-0000-0000-0000664C0000}"/>
    <cellStyle name="Note 4 3 2 2 8 2 12" xfId="46832" xr:uid="{00000000-0005-0000-0000-0000674C0000}"/>
    <cellStyle name="Note 4 3 2 2 8 2 2" xfId="7872" xr:uid="{00000000-0005-0000-0000-0000684C0000}"/>
    <cellStyle name="Note 4 3 2 2 8 2 3" xfId="12308" xr:uid="{00000000-0005-0000-0000-0000694C0000}"/>
    <cellStyle name="Note 4 3 2 2 8 2 4" xfId="16153" xr:uid="{00000000-0005-0000-0000-00006A4C0000}"/>
    <cellStyle name="Note 4 3 2 2 8 2 5" xfId="20001" xr:uid="{00000000-0005-0000-0000-00006B4C0000}"/>
    <cellStyle name="Note 4 3 2 2 8 2 6" xfId="23916" xr:uid="{00000000-0005-0000-0000-00006C4C0000}"/>
    <cellStyle name="Note 4 3 2 2 8 2 7" xfId="27751" xr:uid="{00000000-0005-0000-0000-00006D4C0000}"/>
    <cellStyle name="Note 4 3 2 2 8 2 8" xfId="31611" xr:uid="{00000000-0005-0000-0000-00006E4C0000}"/>
    <cellStyle name="Note 4 3 2 2 8 2 9" xfId="35270" xr:uid="{00000000-0005-0000-0000-00006F4C0000}"/>
    <cellStyle name="Note 4 3 2 2 8 3" xfId="5948" xr:uid="{00000000-0005-0000-0000-0000704C0000}"/>
    <cellStyle name="Note 4 3 2 2 8 4" xfId="10307" xr:uid="{00000000-0005-0000-0000-0000714C0000}"/>
    <cellStyle name="Note 4 3 2 2 8 5" xfId="14154" xr:uid="{00000000-0005-0000-0000-0000724C0000}"/>
    <cellStyle name="Note 4 3 2 2 8 6" xfId="17984" xr:uid="{00000000-0005-0000-0000-0000734C0000}"/>
    <cellStyle name="Note 4 3 2 2 8 7" xfId="21922" xr:uid="{00000000-0005-0000-0000-0000744C0000}"/>
    <cellStyle name="Note 4 3 2 2 8 8" xfId="25736" xr:uid="{00000000-0005-0000-0000-0000754C0000}"/>
    <cellStyle name="Note 4 3 2 2 8 9" xfId="29623" xr:uid="{00000000-0005-0000-0000-0000764C0000}"/>
    <cellStyle name="Note 4 3 2 2 9" xfId="2065" xr:uid="{00000000-0005-0000-0000-0000774C0000}"/>
    <cellStyle name="Note 4 3 2 2 9 10" xfId="33347" xr:uid="{00000000-0005-0000-0000-0000784C0000}"/>
    <cellStyle name="Note 4 3 2 2 9 11" xfId="37121" xr:uid="{00000000-0005-0000-0000-0000794C0000}"/>
    <cellStyle name="Note 4 3 2 2 9 12" xfId="41111" xr:uid="{00000000-0005-0000-0000-00007A4C0000}"/>
    <cellStyle name="Note 4 3 2 2 9 13" xfId="44938" xr:uid="{00000000-0005-0000-0000-00007B4C0000}"/>
    <cellStyle name="Note 4 3 2 2 9 2" xfId="4054" xr:uid="{00000000-0005-0000-0000-00007C4C0000}"/>
    <cellStyle name="Note 4 3 2 2 9 2 10" xfId="39105" xr:uid="{00000000-0005-0000-0000-00007D4C0000}"/>
    <cellStyle name="Note 4 3 2 2 9 2 11" xfId="43115" xr:uid="{00000000-0005-0000-0000-00007E4C0000}"/>
    <cellStyle name="Note 4 3 2 2 9 2 12" xfId="46876" xr:uid="{00000000-0005-0000-0000-00007F4C0000}"/>
    <cellStyle name="Note 4 3 2 2 9 2 2" xfId="7917" xr:uid="{00000000-0005-0000-0000-0000804C0000}"/>
    <cellStyle name="Note 4 3 2 2 9 2 3" xfId="12354" xr:uid="{00000000-0005-0000-0000-0000814C0000}"/>
    <cellStyle name="Note 4 3 2 2 9 2 4" xfId="16199" xr:uid="{00000000-0005-0000-0000-0000824C0000}"/>
    <cellStyle name="Note 4 3 2 2 9 2 5" xfId="20048" xr:uid="{00000000-0005-0000-0000-0000834C0000}"/>
    <cellStyle name="Note 4 3 2 2 9 2 6" xfId="23962" xr:uid="{00000000-0005-0000-0000-0000844C0000}"/>
    <cellStyle name="Note 4 3 2 2 9 2 7" xfId="27798" xr:uid="{00000000-0005-0000-0000-0000854C0000}"/>
    <cellStyle name="Note 4 3 2 2 9 2 8" xfId="31657" xr:uid="{00000000-0005-0000-0000-0000864C0000}"/>
    <cellStyle name="Note 4 3 2 2 9 2 9" xfId="35314" xr:uid="{00000000-0005-0000-0000-0000874C0000}"/>
    <cellStyle name="Note 4 3 2 2 9 3" xfId="5993" xr:uid="{00000000-0005-0000-0000-0000884C0000}"/>
    <cellStyle name="Note 4 3 2 2 9 4" xfId="10353" xr:uid="{00000000-0005-0000-0000-0000894C0000}"/>
    <cellStyle name="Note 4 3 2 2 9 5" xfId="14200" xr:uid="{00000000-0005-0000-0000-00008A4C0000}"/>
    <cellStyle name="Note 4 3 2 2 9 6" xfId="18031" xr:uid="{00000000-0005-0000-0000-00008B4C0000}"/>
    <cellStyle name="Note 4 3 2 2 9 7" xfId="21968" xr:uid="{00000000-0005-0000-0000-00008C4C0000}"/>
    <cellStyle name="Note 4 3 2 2 9 8" xfId="25783" xr:uid="{00000000-0005-0000-0000-00008D4C0000}"/>
    <cellStyle name="Note 4 3 2 2 9 9" xfId="29669" xr:uid="{00000000-0005-0000-0000-00008E4C0000}"/>
    <cellStyle name="Note 4 3 2 20" xfId="8797" xr:uid="{00000000-0005-0000-0000-00008F4C0000}"/>
    <cellStyle name="Note 4 3 2 21" xfId="8562" xr:uid="{00000000-0005-0000-0000-0000904C0000}"/>
    <cellStyle name="Note 4 3 2 22" xfId="12719" xr:uid="{00000000-0005-0000-0000-0000914C0000}"/>
    <cellStyle name="Note 4 3 2 23" xfId="18045" xr:uid="{00000000-0005-0000-0000-0000924C0000}"/>
    <cellStyle name="Note 4 3 2 24" xfId="8418" xr:uid="{00000000-0005-0000-0000-0000934C0000}"/>
    <cellStyle name="Note 4 3 2 25" xfId="15292" xr:uid="{00000000-0005-0000-0000-0000944C0000}"/>
    <cellStyle name="Note 4 3 2 26" xfId="24511" xr:uid="{00000000-0005-0000-0000-0000954C0000}"/>
    <cellStyle name="Note 4 3 2 27" xfId="39619" xr:uid="{00000000-0005-0000-0000-0000964C0000}"/>
    <cellStyle name="Note 4 3 2 28" xfId="39629" xr:uid="{00000000-0005-0000-0000-0000974C0000}"/>
    <cellStyle name="Note 4 3 2 29" xfId="47333" xr:uid="{00000000-0005-0000-0000-0000984C0000}"/>
    <cellStyle name="Note 4 3 2 3" xfId="542" xr:uid="{00000000-0005-0000-0000-0000994C0000}"/>
    <cellStyle name="Note 4 3 2 3 10" xfId="2194" xr:uid="{00000000-0005-0000-0000-00009A4C0000}"/>
    <cellStyle name="Note 4 3 2 3 10 10" xfId="33495" xr:uid="{00000000-0005-0000-0000-00009B4C0000}"/>
    <cellStyle name="Note 4 3 2 3 10 11" xfId="37246" xr:uid="{00000000-0005-0000-0000-00009C4C0000}"/>
    <cellStyle name="Note 4 3 2 3 10 12" xfId="41262" xr:uid="{00000000-0005-0000-0000-00009D4C0000}"/>
    <cellStyle name="Note 4 3 2 3 10 13" xfId="45057" xr:uid="{00000000-0005-0000-0000-00009E4C0000}"/>
    <cellStyle name="Note 4 3 2 3 10 2" xfId="4177" xr:uid="{00000000-0005-0000-0000-00009F4C0000}"/>
    <cellStyle name="Note 4 3 2 3 10 2 10" xfId="39228" xr:uid="{00000000-0005-0000-0000-0000A04C0000}"/>
    <cellStyle name="Note 4 3 2 3 10 2 11" xfId="43238" xr:uid="{00000000-0005-0000-0000-0000A14C0000}"/>
    <cellStyle name="Note 4 3 2 3 10 2 12" xfId="46995" xr:uid="{00000000-0005-0000-0000-0000A24C0000}"/>
    <cellStyle name="Note 4 3 2 3 10 2 2" xfId="8036" xr:uid="{00000000-0005-0000-0000-0000A34C0000}"/>
    <cellStyle name="Note 4 3 2 3 10 2 3" xfId="12476" xr:uid="{00000000-0005-0000-0000-0000A44C0000}"/>
    <cellStyle name="Note 4 3 2 3 10 2 4" xfId="16321" xr:uid="{00000000-0005-0000-0000-0000A54C0000}"/>
    <cellStyle name="Note 4 3 2 3 10 2 5" xfId="20171" xr:uid="{00000000-0005-0000-0000-0000A64C0000}"/>
    <cellStyle name="Note 4 3 2 3 10 2 6" xfId="24083" xr:uid="{00000000-0005-0000-0000-0000A74C0000}"/>
    <cellStyle name="Note 4 3 2 3 10 2 7" xfId="27921" xr:uid="{00000000-0005-0000-0000-0000A84C0000}"/>
    <cellStyle name="Note 4 3 2 3 10 2 8" xfId="31780" xr:uid="{00000000-0005-0000-0000-0000A94C0000}"/>
    <cellStyle name="Note 4 3 2 3 10 2 9" xfId="35433" xr:uid="{00000000-0005-0000-0000-0000AA4C0000}"/>
    <cellStyle name="Note 4 3 2 3 10 3" xfId="6108" xr:uid="{00000000-0005-0000-0000-0000AB4C0000}"/>
    <cellStyle name="Note 4 3 2 3 10 4" xfId="10511" xr:uid="{00000000-0005-0000-0000-0000AC4C0000}"/>
    <cellStyle name="Note 4 3 2 3 10 5" xfId="14357" xr:uid="{00000000-0005-0000-0000-0000AD4C0000}"/>
    <cellStyle name="Note 4 3 2 3 10 6" xfId="18188" xr:uid="{00000000-0005-0000-0000-0000AE4C0000}"/>
    <cellStyle name="Note 4 3 2 3 10 7" xfId="22127" xr:uid="{00000000-0005-0000-0000-0000AF4C0000}"/>
    <cellStyle name="Note 4 3 2 3 10 8" xfId="25939" xr:uid="{00000000-0005-0000-0000-0000B04C0000}"/>
    <cellStyle name="Note 4 3 2 3 10 9" xfId="29819" xr:uid="{00000000-0005-0000-0000-0000B14C0000}"/>
    <cellStyle name="Note 4 3 2 3 11" xfId="2252" xr:uid="{00000000-0005-0000-0000-0000B24C0000}"/>
    <cellStyle name="Note 4 3 2 3 11 10" xfId="33553" xr:uid="{00000000-0005-0000-0000-0000B34C0000}"/>
    <cellStyle name="Note 4 3 2 3 11 11" xfId="37304" xr:uid="{00000000-0005-0000-0000-0000B44C0000}"/>
    <cellStyle name="Note 4 3 2 3 11 12" xfId="41320" xr:uid="{00000000-0005-0000-0000-0000B54C0000}"/>
    <cellStyle name="Note 4 3 2 3 11 13" xfId="45115" xr:uid="{00000000-0005-0000-0000-0000B64C0000}"/>
    <cellStyle name="Note 4 3 2 3 11 2" xfId="4235" xr:uid="{00000000-0005-0000-0000-0000B74C0000}"/>
    <cellStyle name="Note 4 3 2 3 11 2 10" xfId="39286" xr:uid="{00000000-0005-0000-0000-0000B84C0000}"/>
    <cellStyle name="Note 4 3 2 3 11 2 11" xfId="43296" xr:uid="{00000000-0005-0000-0000-0000B94C0000}"/>
    <cellStyle name="Note 4 3 2 3 11 2 12" xfId="47053" xr:uid="{00000000-0005-0000-0000-0000BA4C0000}"/>
    <cellStyle name="Note 4 3 2 3 11 2 2" xfId="8094" xr:uid="{00000000-0005-0000-0000-0000BB4C0000}"/>
    <cellStyle name="Note 4 3 2 3 11 2 3" xfId="12534" xr:uid="{00000000-0005-0000-0000-0000BC4C0000}"/>
    <cellStyle name="Note 4 3 2 3 11 2 4" xfId="16379" xr:uid="{00000000-0005-0000-0000-0000BD4C0000}"/>
    <cellStyle name="Note 4 3 2 3 11 2 5" xfId="20229" xr:uid="{00000000-0005-0000-0000-0000BE4C0000}"/>
    <cellStyle name="Note 4 3 2 3 11 2 6" xfId="24141" xr:uid="{00000000-0005-0000-0000-0000BF4C0000}"/>
    <cellStyle name="Note 4 3 2 3 11 2 7" xfId="27979" xr:uid="{00000000-0005-0000-0000-0000C04C0000}"/>
    <cellStyle name="Note 4 3 2 3 11 2 8" xfId="31838" xr:uid="{00000000-0005-0000-0000-0000C14C0000}"/>
    <cellStyle name="Note 4 3 2 3 11 2 9" xfId="35491" xr:uid="{00000000-0005-0000-0000-0000C24C0000}"/>
    <cellStyle name="Note 4 3 2 3 11 3" xfId="6166" xr:uid="{00000000-0005-0000-0000-0000C34C0000}"/>
    <cellStyle name="Note 4 3 2 3 11 4" xfId="10569" xr:uid="{00000000-0005-0000-0000-0000C44C0000}"/>
    <cellStyle name="Note 4 3 2 3 11 5" xfId="14415" xr:uid="{00000000-0005-0000-0000-0000C54C0000}"/>
    <cellStyle name="Note 4 3 2 3 11 6" xfId="18246" xr:uid="{00000000-0005-0000-0000-0000C64C0000}"/>
    <cellStyle name="Note 4 3 2 3 11 7" xfId="22185" xr:uid="{00000000-0005-0000-0000-0000C74C0000}"/>
    <cellStyle name="Note 4 3 2 3 11 8" xfId="25997" xr:uid="{00000000-0005-0000-0000-0000C84C0000}"/>
    <cellStyle name="Note 4 3 2 3 11 9" xfId="29877" xr:uid="{00000000-0005-0000-0000-0000C94C0000}"/>
    <cellStyle name="Note 4 3 2 3 12" xfId="2307" xr:uid="{00000000-0005-0000-0000-0000CA4C0000}"/>
    <cellStyle name="Note 4 3 2 3 12 10" xfId="33608" xr:uid="{00000000-0005-0000-0000-0000CB4C0000}"/>
    <cellStyle name="Note 4 3 2 3 12 11" xfId="37359" xr:uid="{00000000-0005-0000-0000-0000CC4C0000}"/>
    <cellStyle name="Note 4 3 2 3 12 12" xfId="41375" xr:uid="{00000000-0005-0000-0000-0000CD4C0000}"/>
    <cellStyle name="Note 4 3 2 3 12 13" xfId="45170" xr:uid="{00000000-0005-0000-0000-0000CE4C0000}"/>
    <cellStyle name="Note 4 3 2 3 12 2" xfId="4290" xr:uid="{00000000-0005-0000-0000-0000CF4C0000}"/>
    <cellStyle name="Note 4 3 2 3 12 2 10" xfId="39341" xr:uid="{00000000-0005-0000-0000-0000D04C0000}"/>
    <cellStyle name="Note 4 3 2 3 12 2 11" xfId="43351" xr:uid="{00000000-0005-0000-0000-0000D14C0000}"/>
    <cellStyle name="Note 4 3 2 3 12 2 12" xfId="47108" xr:uid="{00000000-0005-0000-0000-0000D24C0000}"/>
    <cellStyle name="Note 4 3 2 3 12 2 2" xfId="8149" xr:uid="{00000000-0005-0000-0000-0000D34C0000}"/>
    <cellStyle name="Note 4 3 2 3 12 2 3" xfId="12589" xr:uid="{00000000-0005-0000-0000-0000D44C0000}"/>
    <cellStyle name="Note 4 3 2 3 12 2 4" xfId="16434" xr:uid="{00000000-0005-0000-0000-0000D54C0000}"/>
    <cellStyle name="Note 4 3 2 3 12 2 5" xfId="20284" xr:uid="{00000000-0005-0000-0000-0000D64C0000}"/>
    <cellStyle name="Note 4 3 2 3 12 2 6" xfId="24196" xr:uid="{00000000-0005-0000-0000-0000D74C0000}"/>
    <cellStyle name="Note 4 3 2 3 12 2 7" xfId="28034" xr:uid="{00000000-0005-0000-0000-0000D84C0000}"/>
    <cellStyle name="Note 4 3 2 3 12 2 8" xfId="31893" xr:uid="{00000000-0005-0000-0000-0000D94C0000}"/>
    <cellStyle name="Note 4 3 2 3 12 2 9" xfId="35546" xr:uid="{00000000-0005-0000-0000-0000DA4C0000}"/>
    <cellStyle name="Note 4 3 2 3 12 3" xfId="6221" xr:uid="{00000000-0005-0000-0000-0000DB4C0000}"/>
    <cellStyle name="Note 4 3 2 3 12 4" xfId="10624" xr:uid="{00000000-0005-0000-0000-0000DC4C0000}"/>
    <cellStyle name="Note 4 3 2 3 12 5" xfId="14470" xr:uid="{00000000-0005-0000-0000-0000DD4C0000}"/>
    <cellStyle name="Note 4 3 2 3 12 6" xfId="18301" xr:uid="{00000000-0005-0000-0000-0000DE4C0000}"/>
    <cellStyle name="Note 4 3 2 3 12 7" xfId="22240" xr:uid="{00000000-0005-0000-0000-0000DF4C0000}"/>
    <cellStyle name="Note 4 3 2 3 12 8" xfId="26052" xr:uid="{00000000-0005-0000-0000-0000E04C0000}"/>
    <cellStyle name="Note 4 3 2 3 12 9" xfId="29932" xr:uid="{00000000-0005-0000-0000-0000E14C0000}"/>
    <cellStyle name="Note 4 3 2 3 13" xfId="2374" xr:uid="{00000000-0005-0000-0000-0000E24C0000}"/>
    <cellStyle name="Note 4 3 2 3 13 10" xfId="33672" xr:uid="{00000000-0005-0000-0000-0000E34C0000}"/>
    <cellStyle name="Note 4 3 2 3 13 11" xfId="37426" xr:uid="{00000000-0005-0000-0000-0000E44C0000}"/>
    <cellStyle name="Note 4 3 2 3 13 12" xfId="41441" xr:uid="{00000000-0005-0000-0000-0000E54C0000}"/>
    <cellStyle name="Note 4 3 2 3 13 13" xfId="45234" xr:uid="{00000000-0005-0000-0000-0000E64C0000}"/>
    <cellStyle name="Note 4 3 2 3 13 2" xfId="4357" xr:uid="{00000000-0005-0000-0000-0000E74C0000}"/>
    <cellStyle name="Note 4 3 2 3 13 2 10" xfId="39408" xr:uid="{00000000-0005-0000-0000-0000E84C0000}"/>
    <cellStyle name="Note 4 3 2 3 13 2 11" xfId="43417" xr:uid="{00000000-0005-0000-0000-0000E94C0000}"/>
    <cellStyle name="Note 4 3 2 3 13 2 12" xfId="47172" xr:uid="{00000000-0005-0000-0000-0000EA4C0000}"/>
    <cellStyle name="Note 4 3 2 3 13 2 2" xfId="8214" xr:uid="{00000000-0005-0000-0000-0000EB4C0000}"/>
    <cellStyle name="Note 4 3 2 3 13 2 3" xfId="12655" xr:uid="{00000000-0005-0000-0000-0000EC4C0000}"/>
    <cellStyle name="Note 4 3 2 3 13 2 4" xfId="16500" xr:uid="{00000000-0005-0000-0000-0000ED4C0000}"/>
    <cellStyle name="Note 4 3 2 3 13 2 5" xfId="20351" xr:uid="{00000000-0005-0000-0000-0000EE4C0000}"/>
    <cellStyle name="Note 4 3 2 3 13 2 6" xfId="24262" xr:uid="{00000000-0005-0000-0000-0000EF4C0000}"/>
    <cellStyle name="Note 4 3 2 3 13 2 7" xfId="28101" xr:uid="{00000000-0005-0000-0000-0000F04C0000}"/>
    <cellStyle name="Note 4 3 2 3 13 2 8" xfId="31959" xr:uid="{00000000-0005-0000-0000-0000F14C0000}"/>
    <cellStyle name="Note 4 3 2 3 13 2 9" xfId="35610" xr:uid="{00000000-0005-0000-0000-0000F24C0000}"/>
    <cellStyle name="Note 4 3 2 3 13 3" xfId="6270" xr:uid="{00000000-0005-0000-0000-0000F34C0000}"/>
    <cellStyle name="Note 4 3 2 3 13 4" xfId="10690" xr:uid="{00000000-0005-0000-0000-0000F44C0000}"/>
    <cellStyle name="Note 4 3 2 3 13 5" xfId="14536" xr:uid="{00000000-0005-0000-0000-0000F54C0000}"/>
    <cellStyle name="Note 4 3 2 3 13 6" xfId="18368" xr:uid="{00000000-0005-0000-0000-0000F64C0000}"/>
    <cellStyle name="Note 4 3 2 3 13 7" xfId="22306" xr:uid="{00000000-0005-0000-0000-0000F74C0000}"/>
    <cellStyle name="Note 4 3 2 3 13 8" xfId="26119" xr:uid="{00000000-0005-0000-0000-0000F84C0000}"/>
    <cellStyle name="Note 4 3 2 3 13 9" xfId="29999" xr:uid="{00000000-0005-0000-0000-0000F94C0000}"/>
    <cellStyle name="Note 4 3 2 3 14" xfId="2424" xr:uid="{00000000-0005-0000-0000-0000FA4C0000}"/>
    <cellStyle name="Note 4 3 2 3 14 10" xfId="33722" xr:uid="{00000000-0005-0000-0000-0000FB4C0000}"/>
    <cellStyle name="Note 4 3 2 3 14 11" xfId="37476" xr:uid="{00000000-0005-0000-0000-0000FC4C0000}"/>
    <cellStyle name="Note 4 3 2 3 14 12" xfId="41491" xr:uid="{00000000-0005-0000-0000-0000FD4C0000}"/>
    <cellStyle name="Note 4 3 2 3 14 13" xfId="45284" xr:uid="{00000000-0005-0000-0000-0000FE4C0000}"/>
    <cellStyle name="Note 4 3 2 3 14 2" xfId="4407" xr:uid="{00000000-0005-0000-0000-0000FF4C0000}"/>
    <cellStyle name="Note 4 3 2 3 14 2 10" xfId="39458" xr:uid="{00000000-0005-0000-0000-0000004D0000}"/>
    <cellStyle name="Note 4 3 2 3 14 2 11" xfId="43467" xr:uid="{00000000-0005-0000-0000-0000014D0000}"/>
    <cellStyle name="Note 4 3 2 3 14 2 12" xfId="47222" xr:uid="{00000000-0005-0000-0000-0000024D0000}"/>
    <cellStyle name="Note 4 3 2 3 14 2 2" xfId="8264" xr:uid="{00000000-0005-0000-0000-0000034D0000}"/>
    <cellStyle name="Note 4 3 2 3 14 2 3" xfId="12705" xr:uid="{00000000-0005-0000-0000-0000044D0000}"/>
    <cellStyle name="Note 4 3 2 3 14 2 4" xfId="16550" xr:uid="{00000000-0005-0000-0000-0000054D0000}"/>
    <cellStyle name="Note 4 3 2 3 14 2 5" xfId="20401" xr:uid="{00000000-0005-0000-0000-0000064D0000}"/>
    <cellStyle name="Note 4 3 2 3 14 2 6" xfId="24312" xr:uid="{00000000-0005-0000-0000-0000074D0000}"/>
    <cellStyle name="Note 4 3 2 3 14 2 7" xfId="28151" xr:uid="{00000000-0005-0000-0000-0000084D0000}"/>
    <cellStyle name="Note 4 3 2 3 14 2 8" xfId="32009" xr:uid="{00000000-0005-0000-0000-0000094D0000}"/>
    <cellStyle name="Note 4 3 2 3 14 2 9" xfId="35660" xr:uid="{00000000-0005-0000-0000-00000A4D0000}"/>
    <cellStyle name="Note 4 3 2 3 14 3" xfId="6320" xr:uid="{00000000-0005-0000-0000-00000B4D0000}"/>
    <cellStyle name="Note 4 3 2 3 14 4" xfId="10740" xr:uid="{00000000-0005-0000-0000-00000C4D0000}"/>
    <cellStyle name="Note 4 3 2 3 14 5" xfId="14586" xr:uid="{00000000-0005-0000-0000-00000D4D0000}"/>
    <cellStyle name="Note 4 3 2 3 14 6" xfId="18418" xr:uid="{00000000-0005-0000-0000-00000E4D0000}"/>
    <cellStyle name="Note 4 3 2 3 14 7" xfId="22356" xr:uid="{00000000-0005-0000-0000-00000F4D0000}"/>
    <cellStyle name="Note 4 3 2 3 14 8" xfId="26169" xr:uid="{00000000-0005-0000-0000-0000104D0000}"/>
    <cellStyle name="Note 4 3 2 3 14 9" xfId="30048" xr:uid="{00000000-0005-0000-0000-0000114D0000}"/>
    <cellStyle name="Note 4 3 2 3 15" xfId="2478" xr:uid="{00000000-0005-0000-0000-0000124D0000}"/>
    <cellStyle name="Note 4 3 2 3 15 10" xfId="33773" xr:uid="{00000000-0005-0000-0000-0000134D0000}"/>
    <cellStyle name="Note 4 3 2 3 15 11" xfId="37530" xr:uid="{00000000-0005-0000-0000-0000144D0000}"/>
    <cellStyle name="Note 4 3 2 3 15 12" xfId="41544" xr:uid="{00000000-0005-0000-0000-0000154D0000}"/>
    <cellStyle name="Note 4 3 2 3 15 13" xfId="45335" xr:uid="{00000000-0005-0000-0000-0000164D0000}"/>
    <cellStyle name="Note 4 3 2 3 15 2" xfId="4460" xr:uid="{00000000-0005-0000-0000-0000174D0000}"/>
    <cellStyle name="Note 4 3 2 3 15 2 10" xfId="39511" xr:uid="{00000000-0005-0000-0000-0000184D0000}"/>
    <cellStyle name="Note 4 3 2 3 15 2 11" xfId="43520" xr:uid="{00000000-0005-0000-0000-0000194D0000}"/>
    <cellStyle name="Note 4 3 2 3 15 2 12" xfId="47273" xr:uid="{00000000-0005-0000-0000-00001A4D0000}"/>
    <cellStyle name="Note 4 3 2 3 15 2 2" xfId="8315" xr:uid="{00000000-0005-0000-0000-00001B4D0000}"/>
    <cellStyle name="Note 4 3 2 3 15 2 3" xfId="12758" xr:uid="{00000000-0005-0000-0000-00001C4D0000}"/>
    <cellStyle name="Note 4 3 2 3 15 2 4" xfId="16601" xr:uid="{00000000-0005-0000-0000-00001D4D0000}"/>
    <cellStyle name="Note 4 3 2 3 15 2 5" xfId="20454" xr:uid="{00000000-0005-0000-0000-00001E4D0000}"/>
    <cellStyle name="Note 4 3 2 3 15 2 6" xfId="24364" xr:uid="{00000000-0005-0000-0000-00001F4D0000}"/>
    <cellStyle name="Note 4 3 2 3 15 2 7" xfId="28204" xr:uid="{00000000-0005-0000-0000-0000204D0000}"/>
    <cellStyle name="Note 4 3 2 3 15 2 8" xfId="32062" xr:uid="{00000000-0005-0000-0000-0000214D0000}"/>
    <cellStyle name="Note 4 3 2 3 15 2 9" xfId="35711" xr:uid="{00000000-0005-0000-0000-0000224D0000}"/>
    <cellStyle name="Note 4 3 2 3 15 3" xfId="6372" xr:uid="{00000000-0005-0000-0000-0000234D0000}"/>
    <cellStyle name="Note 4 3 2 3 15 4" xfId="10793" xr:uid="{00000000-0005-0000-0000-0000244D0000}"/>
    <cellStyle name="Note 4 3 2 3 15 5" xfId="14639" xr:uid="{00000000-0005-0000-0000-0000254D0000}"/>
    <cellStyle name="Note 4 3 2 3 15 6" xfId="18472" xr:uid="{00000000-0005-0000-0000-0000264D0000}"/>
    <cellStyle name="Note 4 3 2 3 15 7" xfId="22409" xr:uid="{00000000-0005-0000-0000-0000274D0000}"/>
    <cellStyle name="Note 4 3 2 3 15 8" xfId="26223" xr:uid="{00000000-0005-0000-0000-0000284D0000}"/>
    <cellStyle name="Note 4 3 2 3 15 9" xfId="30102" xr:uid="{00000000-0005-0000-0000-0000294D0000}"/>
    <cellStyle name="Note 4 3 2 3 16" xfId="2549" xr:uid="{00000000-0005-0000-0000-00002A4D0000}"/>
    <cellStyle name="Note 4 3 2 3 16 10" xfId="37601" xr:uid="{00000000-0005-0000-0000-00002B4D0000}"/>
    <cellStyle name="Note 4 3 2 3 16 11" xfId="41615" xr:uid="{00000000-0005-0000-0000-00002C4D0000}"/>
    <cellStyle name="Note 4 3 2 3 16 12" xfId="45404" xr:uid="{00000000-0005-0000-0000-00002D4D0000}"/>
    <cellStyle name="Note 4 3 2 3 16 2" xfId="6441" xr:uid="{00000000-0005-0000-0000-00002E4D0000}"/>
    <cellStyle name="Note 4 3 2 3 16 3" xfId="10864" xr:uid="{00000000-0005-0000-0000-00002F4D0000}"/>
    <cellStyle name="Note 4 3 2 3 16 4" xfId="14708" xr:uid="{00000000-0005-0000-0000-0000304D0000}"/>
    <cellStyle name="Note 4 3 2 3 16 5" xfId="18543" xr:uid="{00000000-0005-0000-0000-0000314D0000}"/>
    <cellStyle name="Note 4 3 2 3 16 6" xfId="22478" xr:uid="{00000000-0005-0000-0000-0000324D0000}"/>
    <cellStyle name="Note 4 3 2 3 16 7" xfId="26294" xr:uid="{00000000-0005-0000-0000-0000334D0000}"/>
    <cellStyle name="Note 4 3 2 3 16 8" xfId="30173" xr:uid="{00000000-0005-0000-0000-0000344D0000}"/>
    <cellStyle name="Note 4 3 2 3 16 9" xfId="33842" xr:uid="{00000000-0005-0000-0000-0000354D0000}"/>
    <cellStyle name="Note 4 3 2 3 17" xfId="4517" xr:uid="{00000000-0005-0000-0000-0000364D0000}"/>
    <cellStyle name="Note 4 3 2 3 18" xfId="8377" xr:uid="{00000000-0005-0000-0000-0000374D0000}"/>
    <cellStyle name="Note 4 3 2 3 19" xfId="8732" xr:uid="{00000000-0005-0000-0000-0000384D0000}"/>
    <cellStyle name="Note 4 3 2 3 2" xfId="678" xr:uid="{00000000-0005-0000-0000-0000394D0000}"/>
    <cellStyle name="Note 4 3 2 3 2 10" xfId="24412" xr:uid="{00000000-0005-0000-0000-00003A4D0000}"/>
    <cellStyle name="Note 4 3 2 3 2 11" xfId="28305" xr:uid="{00000000-0005-0000-0000-00003B4D0000}"/>
    <cellStyle name="Note 4 3 2 3 2 12" xfId="31150" xr:uid="{00000000-0005-0000-0000-00003C4D0000}"/>
    <cellStyle name="Note 4 3 2 3 2 13" xfId="35749" xr:uid="{00000000-0005-0000-0000-00003D4D0000}"/>
    <cellStyle name="Note 4 3 2 3 2 14" xfId="39772" xr:uid="{00000000-0005-0000-0000-00003E4D0000}"/>
    <cellStyle name="Note 4 3 2 3 2 15" xfId="43575" xr:uid="{00000000-0005-0000-0000-00003F4D0000}"/>
    <cellStyle name="Note 4 3 2 3 2 2" xfId="1058" xr:uid="{00000000-0005-0000-0000-0000404D0000}"/>
    <cellStyle name="Note 4 3 2 3 2 2 10" xfId="28669" xr:uid="{00000000-0005-0000-0000-0000414D0000}"/>
    <cellStyle name="Note 4 3 2 3 2 2 11" xfId="32355" xr:uid="{00000000-0005-0000-0000-0000424D0000}"/>
    <cellStyle name="Note 4 3 2 3 2 2 12" xfId="36116" xr:uid="{00000000-0005-0000-0000-0000434D0000}"/>
    <cellStyle name="Note 4 3 2 3 2 2 13" xfId="40119" xr:uid="{00000000-0005-0000-0000-0000444D0000}"/>
    <cellStyle name="Note 4 3 2 3 2 2 14" xfId="43942" xr:uid="{00000000-0005-0000-0000-0000454D0000}"/>
    <cellStyle name="Note 4 3 2 3 2 2 2" xfId="1785" xr:uid="{00000000-0005-0000-0000-0000464D0000}"/>
    <cellStyle name="Note 4 3 2 3 2 2 2 10" xfId="33072" xr:uid="{00000000-0005-0000-0000-0000474D0000}"/>
    <cellStyle name="Note 4 3 2 3 2 2 2 11" xfId="36842" xr:uid="{00000000-0005-0000-0000-0000484D0000}"/>
    <cellStyle name="Note 4 3 2 3 2 2 2 12" xfId="40833" xr:uid="{00000000-0005-0000-0000-0000494D0000}"/>
    <cellStyle name="Note 4 3 2 3 2 2 2 13" xfId="44664" xr:uid="{00000000-0005-0000-0000-00004A4D0000}"/>
    <cellStyle name="Note 4 3 2 3 2 2 2 2" xfId="3775" xr:uid="{00000000-0005-0000-0000-00004B4D0000}"/>
    <cellStyle name="Note 4 3 2 3 2 2 2 2 10" xfId="38826" xr:uid="{00000000-0005-0000-0000-00004C4D0000}"/>
    <cellStyle name="Note 4 3 2 3 2 2 2 2 11" xfId="42837" xr:uid="{00000000-0005-0000-0000-00004D4D0000}"/>
    <cellStyle name="Note 4 3 2 3 2 2 2 2 12" xfId="46602" xr:uid="{00000000-0005-0000-0000-00004E4D0000}"/>
    <cellStyle name="Note 4 3 2 3 2 2 2 2 2" xfId="7642" xr:uid="{00000000-0005-0000-0000-00004F4D0000}"/>
    <cellStyle name="Note 4 3 2 3 2 2 2 2 3" xfId="12077" xr:uid="{00000000-0005-0000-0000-0000504D0000}"/>
    <cellStyle name="Note 4 3 2 3 2 2 2 2 4" xfId="15922" xr:uid="{00000000-0005-0000-0000-0000514D0000}"/>
    <cellStyle name="Note 4 3 2 3 2 2 2 2 5" xfId="19769" xr:uid="{00000000-0005-0000-0000-0000524D0000}"/>
    <cellStyle name="Note 4 3 2 3 2 2 2 2 6" xfId="23685" xr:uid="{00000000-0005-0000-0000-0000534D0000}"/>
    <cellStyle name="Note 4 3 2 3 2 2 2 2 7" xfId="27519" xr:uid="{00000000-0005-0000-0000-0000544D0000}"/>
    <cellStyle name="Note 4 3 2 3 2 2 2 2 8" xfId="31383" xr:uid="{00000000-0005-0000-0000-0000554D0000}"/>
    <cellStyle name="Note 4 3 2 3 2 2 2 2 9" xfId="35040" xr:uid="{00000000-0005-0000-0000-0000564D0000}"/>
    <cellStyle name="Note 4 3 2 3 2 2 2 3" xfId="5718" xr:uid="{00000000-0005-0000-0000-0000574D0000}"/>
    <cellStyle name="Note 4 3 2 3 2 2 2 4" xfId="10076" xr:uid="{00000000-0005-0000-0000-0000584D0000}"/>
    <cellStyle name="Note 4 3 2 3 2 2 2 5" xfId="13922" xr:uid="{00000000-0005-0000-0000-0000594D0000}"/>
    <cellStyle name="Note 4 3 2 3 2 2 2 6" xfId="17751" xr:uid="{00000000-0005-0000-0000-00005A4D0000}"/>
    <cellStyle name="Note 4 3 2 3 2 2 2 7" xfId="21690" xr:uid="{00000000-0005-0000-0000-00005B4D0000}"/>
    <cellStyle name="Note 4 3 2 3 2 2 2 8" xfId="25503" xr:uid="{00000000-0005-0000-0000-00005C4D0000}"/>
    <cellStyle name="Note 4 3 2 3 2 2 2 9" xfId="29390" xr:uid="{00000000-0005-0000-0000-00005D4D0000}"/>
    <cellStyle name="Note 4 3 2 3 2 2 3" xfId="3048" xr:uid="{00000000-0005-0000-0000-00005E4D0000}"/>
    <cellStyle name="Note 4 3 2 3 2 2 3 10" xfId="38100" xr:uid="{00000000-0005-0000-0000-00005F4D0000}"/>
    <cellStyle name="Note 4 3 2 3 2 2 3 11" xfId="42112" xr:uid="{00000000-0005-0000-0000-0000604D0000}"/>
    <cellStyle name="Note 4 3 2 3 2 2 3 12" xfId="45885" xr:uid="{00000000-0005-0000-0000-0000614D0000}"/>
    <cellStyle name="Note 4 3 2 3 2 2 3 2" xfId="6924" xr:uid="{00000000-0005-0000-0000-0000624D0000}"/>
    <cellStyle name="Note 4 3 2 3 2 2 3 3" xfId="11353" xr:uid="{00000000-0005-0000-0000-0000634D0000}"/>
    <cellStyle name="Note 4 3 2 3 2 2 3 4" xfId="15197" xr:uid="{00000000-0005-0000-0000-0000644D0000}"/>
    <cellStyle name="Note 4 3 2 3 2 2 3 5" xfId="19042" xr:uid="{00000000-0005-0000-0000-0000654D0000}"/>
    <cellStyle name="Note 4 3 2 3 2 2 3 6" xfId="22964" xr:uid="{00000000-0005-0000-0000-0000664D0000}"/>
    <cellStyle name="Note 4 3 2 3 2 2 3 7" xfId="26793" xr:uid="{00000000-0005-0000-0000-0000674D0000}"/>
    <cellStyle name="Note 4 3 2 3 2 2 3 8" xfId="30667" xr:uid="{00000000-0005-0000-0000-0000684D0000}"/>
    <cellStyle name="Note 4 3 2 3 2 2 3 9" xfId="34323" xr:uid="{00000000-0005-0000-0000-0000694D0000}"/>
    <cellStyle name="Note 4 3 2 3 2 2 4" xfId="5000" xr:uid="{00000000-0005-0000-0000-00006A4D0000}"/>
    <cellStyle name="Note 4 3 2 3 2 2 5" xfId="9356" xr:uid="{00000000-0005-0000-0000-00006B4D0000}"/>
    <cellStyle name="Note 4 3 2 3 2 2 6" xfId="13196" xr:uid="{00000000-0005-0000-0000-00006C4D0000}"/>
    <cellStyle name="Note 4 3 2 3 2 2 7" xfId="17024" xr:uid="{00000000-0005-0000-0000-00006D4D0000}"/>
    <cellStyle name="Note 4 3 2 3 2 2 8" xfId="20966" xr:uid="{00000000-0005-0000-0000-00006E4D0000}"/>
    <cellStyle name="Note 4 3 2 3 2 2 9" xfId="24780" xr:uid="{00000000-0005-0000-0000-00006F4D0000}"/>
    <cellStyle name="Note 4 3 2 3 2 3" xfId="1432" xr:uid="{00000000-0005-0000-0000-0000704D0000}"/>
    <cellStyle name="Note 4 3 2 3 2 3 10" xfId="32719" xr:uid="{00000000-0005-0000-0000-0000714D0000}"/>
    <cellStyle name="Note 4 3 2 3 2 3 11" xfId="36489" xr:uid="{00000000-0005-0000-0000-0000724D0000}"/>
    <cellStyle name="Note 4 3 2 3 2 3 12" xfId="40480" xr:uid="{00000000-0005-0000-0000-0000734D0000}"/>
    <cellStyle name="Note 4 3 2 3 2 3 13" xfId="44311" xr:uid="{00000000-0005-0000-0000-0000744D0000}"/>
    <cellStyle name="Note 4 3 2 3 2 3 2" xfId="3422" xr:uid="{00000000-0005-0000-0000-0000754D0000}"/>
    <cellStyle name="Note 4 3 2 3 2 3 2 10" xfId="38473" xr:uid="{00000000-0005-0000-0000-0000764D0000}"/>
    <cellStyle name="Note 4 3 2 3 2 3 2 11" xfId="42484" xr:uid="{00000000-0005-0000-0000-0000774D0000}"/>
    <cellStyle name="Note 4 3 2 3 2 3 2 12" xfId="46249" xr:uid="{00000000-0005-0000-0000-0000784D0000}"/>
    <cellStyle name="Note 4 3 2 3 2 3 2 2" xfId="7289" xr:uid="{00000000-0005-0000-0000-0000794D0000}"/>
    <cellStyle name="Note 4 3 2 3 2 3 2 3" xfId="11724" xr:uid="{00000000-0005-0000-0000-00007A4D0000}"/>
    <cellStyle name="Note 4 3 2 3 2 3 2 4" xfId="15569" xr:uid="{00000000-0005-0000-0000-00007B4D0000}"/>
    <cellStyle name="Note 4 3 2 3 2 3 2 5" xfId="19416" xr:uid="{00000000-0005-0000-0000-00007C4D0000}"/>
    <cellStyle name="Note 4 3 2 3 2 3 2 6" xfId="23332" xr:uid="{00000000-0005-0000-0000-00007D4D0000}"/>
    <cellStyle name="Note 4 3 2 3 2 3 2 7" xfId="27166" xr:uid="{00000000-0005-0000-0000-00007E4D0000}"/>
    <cellStyle name="Note 4 3 2 3 2 3 2 8" xfId="31034" xr:uid="{00000000-0005-0000-0000-00007F4D0000}"/>
    <cellStyle name="Note 4 3 2 3 2 3 2 9" xfId="34687" xr:uid="{00000000-0005-0000-0000-0000804D0000}"/>
    <cellStyle name="Note 4 3 2 3 2 3 3" xfId="5365" xr:uid="{00000000-0005-0000-0000-0000814D0000}"/>
    <cellStyle name="Note 4 3 2 3 2 3 4" xfId="9723" xr:uid="{00000000-0005-0000-0000-0000824D0000}"/>
    <cellStyle name="Note 4 3 2 3 2 3 5" xfId="13569" xr:uid="{00000000-0005-0000-0000-0000834D0000}"/>
    <cellStyle name="Note 4 3 2 3 2 3 6" xfId="17398" xr:uid="{00000000-0005-0000-0000-0000844D0000}"/>
    <cellStyle name="Note 4 3 2 3 2 3 7" xfId="21337" xr:uid="{00000000-0005-0000-0000-0000854D0000}"/>
    <cellStyle name="Note 4 3 2 3 2 3 8" xfId="25150" xr:uid="{00000000-0005-0000-0000-0000864D0000}"/>
    <cellStyle name="Note 4 3 2 3 2 3 9" xfId="29037" xr:uid="{00000000-0005-0000-0000-0000874D0000}"/>
    <cellStyle name="Note 4 3 2 3 2 4" xfId="2681" xr:uid="{00000000-0005-0000-0000-0000884D0000}"/>
    <cellStyle name="Note 4 3 2 3 2 4 10" xfId="37733" xr:uid="{00000000-0005-0000-0000-0000894D0000}"/>
    <cellStyle name="Note 4 3 2 3 2 4 11" xfId="41747" xr:uid="{00000000-0005-0000-0000-00008A4D0000}"/>
    <cellStyle name="Note 4 3 2 3 2 4 12" xfId="45532" xr:uid="{00000000-0005-0000-0000-00008B4D0000}"/>
    <cellStyle name="Note 4 3 2 3 2 4 2" xfId="6569" xr:uid="{00000000-0005-0000-0000-00008C4D0000}"/>
    <cellStyle name="Note 4 3 2 3 2 4 3" xfId="10993" xr:uid="{00000000-0005-0000-0000-00008D4D0000}"/>
    <cellStyle name="Note 4 3 2 3 2 4 4" xfId="14837" xr:uid="{00000000-0005-0000-0000-00008E4D0000}"/>
    <cellStyle name="Note 4 3 2 3 2 4 5" xfId="18675" xr:uid="{00000000-0005-0000-0000-00008F4D0000}"/>
    <cellStyle name="Note 4 3 2 3 2 4 6" xfId="22606" xr:uid="{00000000-0005-0000-0000-0000904D0000}"/>
    <cellStyle name="Note 4 3 2 3 2 4 7" xfId="26426" xr:uid="{00000000-0005-0000-0000-0000914D0000}"/>
    <cellStyle name="Note 4 3 2 3 2 4 8" xfId="30305" xr:uid="{00000000-0005-0000-0000-0000924D0000}"/>
    <cellStyle name="Note 4 3 2 3 2 4 9" xfId="33970" xr:uid="{00000000-0005-0000-0000-0000934D0000}"/>
    <cellStyle name="Note 4 3 2 3 2 5" xfId="4645" xr:uid="{00000000-0005-0000-0000-0000944D0000}"/>
    <cellStyle name="Note 4 3 2 3 2 6" xfId="8987" xr:uid="{00000000-0005-0000-0000-0000954D0000}"/>
    <cellStyle name="Note 4 3 2 3 2 7" xfId="12824" xr:uid="{00000000-0005-0000-0000-0000964D0000}"/>
    <cellStyle name="Note 4 3 2 3 2 8" xfId="16654" xr:uid="{00000000-0005-0000-0000-0000974D0000}"/>
    <cellStyle name="Note 4 3 2 3 2 9" xfId="20591" xr:uid="{00000000-0005-0000-0000-0000984D0000}"/>
    <cellStyle name="Note 4 3 2 3 20" xfId="8853" xr:uid="{00000000-0005-0000-0000-0000994D0000}"/>
    <cellStyle name="Note 4 3 2 3 21" xfId="8593" xr:uid="{00000000-0005-0000-0000-00009A4D0000}"/>
    <cellStyle name="Note 4 3 2 3 22" xfId="14247" xr:uid="{00000000-0005-0000-0000-00009B4D0000}"/>
    <cellStyle name="Note 4 3 2 3 23" xfId="8835" xr:uid="{00000000-0005-0000-0000-00009C4D0000}"/>
    <cellStyle name="Note 4 3 2 3 24" xfId="8650" xr:uid="{00000000-0005-0000-0000-00009D4D0000}"/>
    <cellStyle name="Note 4 3 2 3 25" xfId="18054" xr:uid="{00000000-0005-0000-0000-00009E4D0000}"/>
    <cellStyle name="Note 4 3 2 3 26" xfId="31008" xr:uid="{00000000-0005-0000-0000-00009F4D0000}"/>
    <cellStyle name="Note 4 3 2 3 27" xfId="19234" xr:uid="{00000000-0005-0000-0000-0000A04D0000}"/>
    <cellStyle name="Note 4 3 2 3 28" xfId="39641" xr:uid="{00000000-0005-0000-0000-0000A14D0000}"/>
    <cellStyle name="Note 4 3 2 3 29" xfId="39886" xr:uid="{00000000-0005-0000-0000-0000A24D0000}"/>
    <cellStyle name="Note 4 3 2 3 3" xfId="617" xr:uid="{00000000-0005-0000-0000-0000A34D0000}"/>
    <cellStyle name="Note 4 3 2 3 3 10" xfId="16721" xr:uid="{00000000-0005-0000-0000-0000A44D0000}"/>
    <cellStyle name="Note 4 3 2 3 3 11" xfId="28244" xr:uid="{00000000-0005-0000-0000-0000A54D0000}"/>
    <cellStyle name="Note 4 3 2 3 3 12" xfId="28362" xr:uid="{00000000-0005-0000-0000-0000A64D0000}"/>
    <cellStyle name="Note 4 3 2 3 3 13" xfId="8510" xr:uid="{00000000-0005-0000-0000-0000A74D0000}"/>
    <cellStyle name="Note 4 3 2 3 3 14" xfId="39712" xr:uid="{00000000-0005-0000-0000-0000A84D0000}"/>
    <cellStyle name="Note 4 3 2 3 3 15" xfId="39566" xr:uid="{00000000-0005-0000-0000-0000A94D0000}"/>
    <cellStyle name="Note 4 3 2 3 3 2" xfId="997" xr:uid="{00000000-0005-0000-0000-0000AA4D0000}"/>
    <cellStyle name="Note 4 3 2 3 3 2 10" xfId="28608" xr:uid="{00000000-0005-0000-0000-0000AB4D0000}"/>
    <cellStyle name="Note 4 3 2 3 3 2 11" xfId="32296" xr:uid="{00000000-0005-0000-0000-0000AC4D0000}"/>
    <cellStyle name="Note 4 3 2 3 3 2 12" xfId="36055" xr:uid="{00000000-0005-0000-0000-0000AD4D0000}"/>
    <cellStyle name="Note 4 3 2 3 3 2 13" xfId="40060" xr:uid="{00000000-0005-0000-0000-0000AE4D0000}"/>
    <cellStyle name="Note 4 3 2 3 3 2 14" xfId="43881" xr:uid="{00000000-0005-0000-0000-0000AF4D0000}"/>
    <cellStyle name="Note 4 3 2 3 3 2 2" xfId="1726" xr:uid="{00000000-0005-0000-0000-0000B04D0000}"/>
    <cellStyle name="Note 4 3 2 3 3 2 2 10" xfId="33013" xr:uid="{00000000-0005-0000-0000-0000B14D0000}"/>
    <cellStyle name="Note 4 3 2 3 3 2 2 11" xfId="36783" xr:uid="{00000000-0005-0000-0000-0000B24D0000}"/>
    <cellStyle name="Note 4 3 2 3 3 2 2 12" xfId="40774" xr:uid="{00000000-0005-0000-0000-0000B34D0000}"/>
    <cellStyle name="Note 4 3 2 3 3 2 2 13" xfId="44605" xr:uid="{00000000-0005-0000-0000-0000B44D0000}"/>
    <cellStyle name="Note 4 3 2 3 3 2 2 2" xfId="3716" xr:uid="{00000000-0005-0000-0000-0000B54D0000}"/>
    <cellStyle name="Note 4 3 2 3 3 2 2 2 10" xfId="38767" xr:uid="{00000000-0005-0000-0000-0000B64D0000}"/>
    <cellStyle name="Note 4 3 2 3 3 2 2 2 11" xfId="42778" xr:uid="{00000000-0005-0000-0000-0000B74D0000}"/>
    <cellStyle name="Note 4 3 2 3 3 2 2 2 12" xfId="46543" xr:uid="{00000000-0005-0000-0000-0000B84D0000}"/>
    <cellStyle name="Note 4 3 2 3 3 2 2 2 2" xfId="7583" xr:uid="{00000000-0005-0000-0000-0000B94D0000}"/>
    <cellStyle name="Note 4 3 2 3 3 2 2 2 3" xfId="12018" xr:uid="{00000000-0005-0000-0000-0000BA4D0000}"/>
    <cellStyle name="Note 4 3 2 3 3 2 2 2 4" xfId="15863" xr:uid="{00000000-0005-0000-0000-0000BB4D0000}"/>
    <cellStyle name="Note 4 3 2 3 3 2 2 2 5" xfId="19710" xr:uid="{00000000-0005-0000-0000-0000BC4D0000}"/>
    <cellStyle name="Note 4 3 2 3 3 2 2 2 6" xfId="23626" xr:uid="{00000000-0005-0000-0000-0000BD4D0000}"/>
    <cellStyle name="Note 4 3 2 3 3 2 2 2 7" xfId="27460" xr:uid="{00000000-0005-0000-0000-0000BE4D0000}"/>
    <cellStyle name="Note 4 3 2 3 3 2 2 2 8" xfId="31324" xr:uid="{00000000-0005-0000-0000-0000BF4D0000}"/>
    <cellStyle name="Note 4 3 2 3 3 2 2 2 9" xfId="34981" xr:uid="{00000000-0005-0000-0000-0000C04D0000}"/>
    <cellStyle name="Note 4 3 2 3 3 2 2 3" xfId="5659" xr:uid="{00000000-0005-0000-0000-0000C14D0000}"/>
    <cellStyle name="Note 4 3 2 3 3 2 2 4" xfId="10017" xr:uid="{00000000-0005-0000-0000-0000C24D0000}"/>
    <cellStyle name="Note 4 3 2 3 3 2 2 5" xfId="13863" xr:uid="{00000000-0005-0000-0000-0000C34D0000}"/>
    <cellStyle name="Note 4 3 2 3 3 2 2 6" xfId="17692" xr:uid="{00000000-0005-0000-0000-0000C44D0000}"/>
    <cellStyle name="Note 4 3 2 3 3 2 2 7" xfId="21631" xr:uid="{00000000-0005-0000-0000-0000C54D0000}"/>
    <cellStyle name="Note 4 3 2 3 3 2 2 8" xfId="25444" xr:uid="{00000000-0005-0000-0000-0000C64D0000}"/>
    <cellStyle name="Note 4 3 2 3 3 2 2 9" xfId="29331" xr:uid="{00000000-0005-0000-0000-0000C74D0000}"/>
    <cellStyle name="Note 4 3 2 3 3 2 3" xfId="2987" xr:uid="{00000000-0005-0000-0000-0000C84D0000}"/>
    <cellStyle name="Note 4 3 2 3 3 2 3 10" xfId="38039" xr:uid="{00000000-0005-0000-0000-0000C94D0000}"/>
    <cellStyle name="Note 4 3 2 3 3 2 3 11" xfId="42051" xr:uid="{00000000-0005-0000-0000-0000CA4D0000}"/>
    <cellStyle name="Note 4 3 2 3 3 2 3 12" xfId="45826" xr:uid="{00000000-0005-0000-0000-0000CB4D0000}"/>
    <cellStyle name="Note 4 3 2 3 3 2 3 2" xfId="6865" xr:uid="{00000000-0005-0000-0000-0000CC4D0000}"/>
    <cellStyle name="Note 4 3 2 3 3 2 3 3" xfId="11293" xr:uid="{00000000-0005-0000-0000-0000CD4D0000}"/>
    <cellStyle name="Note 4 3 2 3 3 2 3 4" xfId="15138" xr:uid="{00000000-0005-0000-0000-0000CE4D0000}"/>
    <cellStyle name="Note 4 3 2 3 3 2 3 5" xfId="18981" xr:uid="{00000000-0005-0000-0000-0000CF4D0000}"/>
    <cellStyle name="Note 4 3 2 3 3 2 3 6" xfId="22905" xr:uid="{00000000-0005-0000-0000-0000D04D0000}"/>
    <cellStyle name="Note 4 3 2 3 3 2 3 7" xfId="26732" xr:uid="{00000000-0005-0000-0000-0000D14D0000}"/>
    <cellStyle name="Note 4 3 2 3 3 2 3 8" xfId="30606" xr:uid="{00000000-0005-0000-0000-0000D24D0000}"/>
    <cellStyle name="Note 4 3 2 3 3 2 3 9" xfId="34264" xr:uid="{00000000-0005-0000-0000-0000D34D0000}"/>
    <cellStyle name="Note 4 3 2 3 3 2 4" xfId="4941" xr:uid="{00000000-0005-0000-0000-0000D44D0000}"/>
    <cellStyle name="Note 4 3 2 3 3 2 5" xfId="9296" xr:uid="{00000000-0005-0000-0000-0000D54D0000}"/>
    <cellStyle name="Note 4 3 2 3 3 2 6" xfId="13137" xr:uid="{00000000-0005-0000-0000-0000D64D0000}"/>
    <cellStyle name="Note 4 3 2 3 3 2 7" xfId="16963" xr:uid="{00000000-0005-0000-0000-0000D74D0000}"/>
    <cellStyle name="Note 4 3 2 3 3 2 8" xfId="20905" xr:uid="{00000000-0005-0000-0000-0000D84D0000}"/>
    <cellStyle name="Note 4 3 2 3 3 2 9" xfId="24720" xr:uid="{00000000-0005-0000-0000-0000D94D0000}"/>
    <cellStyle name="Note 4 3 2 3 3 3" xfId="1373" xr:uid="{00000000-0005-0000-0000-0000DA4D0000}"/>
    <cellStyle name="Note 4 3 2 3 3 3 10" xfId="32660" xr:uid="{00000000-0005-0000-0000-0000DB4D0000}"/>
    <cellStyle name="Note 4 3 2 3 3 3 11" xfId="36430" xr:uid="{00000000-0005-0000-0000-0000DC4D0000}"/>
    <cellStyle name="Note 4 3 2 3 3 3 12" xfId="40421" xr:uid="{00000000-0005-0000-0000-0000DD4D0000}"/>
    <cellStyle name="Note 4 3 2 3 3 3 13" xfId="44252" xr:uid="{00000000-0005-0000-0000-0000DE4D0000}"/>
    <cellStyle name="Note 4 3 2 3 3 3 2" xfId="3363" xr:uid="{00000000-0005-0000-0000-0000DF4D0000}"/>
    <cellStyle name="Note 4 3 2 3 3 3 2 10" xfId="38414" xr:uid="{00000000-0005-0000-0000-0000E04D0000}"/>
    <cellStyle name="Note 4 3 2 3 3 3 2 11" xfId="42425" xr:uid="{00000000-0005-0000-0000-0000E14D0000}"/>
    <cellStyle name="Note 4 3 2 3 3 3 2 12" xfId="46190" xr:uid="{00000000-0005-0000-0000-0000E24D0000}"/>
    <cellStyle name="Note 4 3 2 3 3 3 2 2" xfId="7230" xr:uid="{00000000-0005-0000-0000-0000E34D0000}"/>
    <cellStyle name="Note 4 3 2 3 3 3 2 3" xfId="11665" xr:uid="{00000000-0005-0000-0000-0000E44D0000}"/>
    <cellStyle name="Note 4 3 2 3 3 3 2 4" xfId="15510" xr:uid="{00000000-0005-0000-0000-0000E54D0000}"/>
    <cellStyle name="Note 4 3 2 3 3 3 2 5" xfId="19357" xr:uid="{00000000-0005-0000-0000-0000E64D0000}"/>
    <cellStyle name="Note 4 3 2 3 3 3 2 6" xfId="23273" xr:uid="{00000000-0005-0000-0000-0000E74D0000}"/>
    <cellStyle name="Note 4 3 2 3 3 3 2 7" xfId="27107" xr:uid="{00000000-0005-0000-0000-0000E84D0000}"/>
    <cellStyle name="Note 4 3 2 3 3 3 2 8" xfId="30975" xr:uid="{00000000-0005-0000-0000-0000E94D0000}"/>
    <cellStyle name="Note 4 3 2 3 3 3 2 9" xfId="34628" xr:uid="{00000000-0005-0000-0000-0000EA4D0000}"/>
    <cellStyle name="Note 4 3 2 3 3 3 3" xfId="5306" xr:uid="{00000000-0005-0000-0000-0000EB4D0000}"/>
    <cellStyle name="Note 4 3 2 3 3 3 4" xfId="9664" xr:uid="{00000000-0005-0000-0000-0000EC4D0000}"/>
    <cellStyle name="Note 4 3 2 3 3 3 5" xfId="13510" xr:uid="{00000000-0005-0000-0000-0000ED4D0000}"/>
    <cellStyle name="Note 4 3 2 3 3 3 6" xfId="17339" xr:uid="{00000000-0005-0000-0000-0000EE4D0000}"/>
    <cellStyle name="Note 4 3 2 3 3 3 7" xfId="21278" xr:uid="{00000000-0005-0000-0000-0000EF4D0000}"/>
    <cellStyle name="Note 4 3 2 3 3 3 8" xfId="25091" xr:uid="{00000000-0005-0000-0000-0000F04D0000}"/>
    <cellStyle name="Note 4 3 2 3 3 3 9" xfId="28978" xr:uid="{00000000-0005-0000-0000-0000F14D0000}"/>
    <cellStyle name="Note 4 3 2 3 3 4" xfId="2620" xr:uid="{00000000-0005-0000-0000-0000F24D0000}"/>
    <cellStyle name="Note 4 3 2 3 3 4 10" xfId="37672" xr:uid="{00000000-0005-0000-0000-0000F34D0000}"/>
    <cellStyle name="Note 4 3 2 3 3 4 11" xfId="41686" xr:uid="{00000000-0005-0000-0000-0000F44D0000}"/>
    <cellStyle name="Note 4 3 2 3 3 4 12" xfId="45473" xr:uid="{00000000-0005-0000-0000-0000F54D0000}"/>
    <cellStyle name="Note 4 3 2 3 3 4 2" xfId="6510" xr:uid="{00000000-0005-0000-0000-0000F64D0000}"/>
    <cellStyle name="Note 4 3 2 3 3 4 3" xfId="10934" xr:uid="{00000000-0005-0000-0000-0000F74D0000}"/>
    <cellStyle name="Note 4 3 2 3 3 4 4" xfId="14778" xr:uid="{00000000-0005-0000-0000-0000F84D0000}"/>
    <cellStyle name="Note 4 3 2 3 3 4 5" xfId="18614" xr:uid="{00000000-0005-0000-0000-0000F94D0000}"/>
    <cellStyle name="Note 4 3 2 3 3 4 6" xfId="22547" xr:uid="{00000000-0005-0000-0000-0000FA4D0000}"/>
    <cellStyle name="Note 4 3 2 3 3 4 7" xfId="26365" xr:uid="{00000000-0005-0000-0000-0000FB4D0000}"/>
    <cellStyle name="Note 4 3 2 3 3 4 8" xfId="30244" xr:uid="{00000000-0005-0000-0000-0000FC4D0000}"/>
    <cellStyle name="Note 4 3 2 3 3 4 9" xfId="33911" xr:uid="{00000000-0005-0000-0000-0000FD4D0000}"/>
    <cellStyle name="Note 4 3 2 3 3 5" xfId="4586" xr:uid="{00000000-0005-0000-0000-0000FE4D0000}"/>
    <cellStyle name="Note 4 3 2 3 3 6" xfId="8926" xr:uid="{00000000-0005-0000-0000-0000FF4D0000}"/>
    <cellStyle name="Note 4 3 2 3 3 7" xfId="8695" xr:uid="{00000000-0005-0000-0000-0000004E0000}"/>
    <cellStyle name="Note 4 3 2 3 3 8" xfId="8830" xr:uid="{00000000-0005-0000-0000-0000014E0000}"/>
    <cellStyle name="Note 4 3 2 3 3 9" xfId="20530" xr:uid="{00000000-0005-0000-0000-0000024E0000}"/>
    <cellStyle name="Note 4 3 2 3 30" xfId="47353" xr:uid="{00000000-0005-0000-0000-0000034E0000}"/>
    <cellStyle name="Note 4 3 2 3 31" xfId="47441" xr:uid="{00000000-0005-0000-0000-0000044E0000}"/>
    <cellStyle name="Note 4 3 2 3 32" xfId="47488" xr:uid="{00000000-0005-0000-0000-0000054E0000}"/>
    <cellStyle name="Note 4 3 2 3 4" xfId="725" xr:uid="{00000000-0005-0000-0000-0000064E0000}"/>
    <cellStyle name="Note 4 3 2 3 4 10" xfId="24458" xr:uid="{00000000-0005-0000-0000-0000074E0000}"/>
    <cellStyle name="Note 4 3 2 3 4 11" xfId="28351" xr:uid="{00000000-0005-0000-0000-0000084E0000}"/>
    <cellStyle name="Note 4 3 2 3 4 12" xfId="24480" xr:uid="{00000000-0005-0000-0000-0000094E0000}"/>
    <cellStyle name="Note 4 3 2 3 4 13" xfId="35796" xr:uid="{00000000-0005-0000-0000-00000A4E0000}"/>
    <cellStyle name="Note 4 3 2 3 4 14" xfId="39817" xr:uid="{00000000-0005-0000-0000-00000B4E0000}"/>
    <cellStyle name="Note 4 3 2 3 4 15" xfId="43622" xr:uid="{00000000-0005-0000-0000-00000C4E0000}"/>
    <cellStyle name="Note 4 3 2 3 4 2" xfId="1104" xr:uid="{00000000-0005-0000-0000-00000D4E0000}"/>
    <cellStyle name="Note 4 3 2 3 4 2 10" xfId="28714" xr:uid="{00000000-0005-0000-0000-00000E4E0000}"/>
    <cellStyle name="Note 4 3 2 3 4 2 11" xfId="32401" xr:uid="{00000000-0005-0000-0000-00000F4E0000}"/>
    <cellStyle name="Note 4 3 2 3 4 2 12" xfId="36162" xr:uid="{00000000-0005-0000-0000-0000104E0000}"/>
    <cellStyle name="Note 4 3 2 3 4 2 13" xfId="40164" xr:uid="{00000000-0005-0000-0000-0000114E0000}"/>
    <cellStyle name="Note 4 3 2 3 4 2 14" xfId="43988" xr:uid="{00000000-0005-0000-0000-0000124E0000}"/>
    <cellStyle name="Note 4 3 2 3 4 2 2" xfId="1831" xr:uid="{00000000-0005-0000-0000-0000134E0000}"/>
    <cellStyle name="Note 4 3 2 3 4 2 2 10" xfId="33118" xr:uid="{00000000-0005-0000-0000-0000144E0000}"/>
    <cellStyle name="Note 4 3 2 3 4 2 2 11" xfId="36888" xr:uid="{00000000-0005-0000-0000-0000154E0000}"/>
    <cellStyle name="Note 4 3 2 3 4 2 2 12" xfId="40879" xr:uid="{00000000-0005-0000-0000-0000164E0000}"/>
    <cellStyle name="Note 4 3 2 3 4 2 2 13" xfId="44710" xr:uid="{00000000-0005-0000-0000-0000174E0000}"/>
    <cellStyle name="Note 4 3 2 3 4 2 2 2" xfId="3821" xr:uid="{00000000-0005-0000-0000-0000184E0000}"/>
    <cellStyle name="Note 4 3 2 3 4 2 2 2 10" xfId="38872" xr:uid="{00000000-0005-0000-0000-0000194E0000}"/>
    <cellStyle name="Note 4 3 2 3 4 2 2 2 11" xfId="42883" xr:uid="{00000000-0005-0000-0000-00001A4E0000}"/>
    <cellStyle name="Note 4 3 2 3 4 2 2 2 12" xfId="46648" xr:uid="{00000000-0005-0000-0000-00001B4E0000}"/>
    <cellStyle name="Note 4 3 2 3 4 2 2 2 2" xfId="7688" xr:uid="{00000000-0005-0000-0000-00001C4E0000}"/>
    <cellStyle name="Note 4 3 2 3 4 2 2 2 3" xfId="12123" xr:uid="{00000000-0005-0000-0000-00001D4E0000}"/>
    <cellStyle name="Note 4 3 2 3 4 2 2 2 4" xfId="15968" xr:uid="{00000000-0005-0000-0000-00001E4E0000}"/>
    <cellStyle name="Note 4 3 2 3 4 2 2 2 5" xfId="19815" xr:uid="{00000000-0005-0000-0000-00001F4E0000}"/>
    <cellStyle name="Note 4 3 2 3 4 2 2 2 6" xfId="23731" xr:uid="{00000000-0005-0000-0000-0000204E0000}"/>
    <cellStyle name="Note 4 3 2 3 4 2 2 2 7" xfId="27565" xr:uid="{00000000-0005-0000-0000-0000214E0000}"/>
    <cellStyle name="Note 4 3 2 3 4 2 2 2 8" xfId="31429" xr:uid="{00000000-0005-0000-0000-0000224E0000}"/>
    <cellStyle name="Note 4 3 2 3 4 2 2 2 9" xfId="35086" xr:uid="{00000000-0005-0000-0000-0000234E0000}"/>
    <cellStyle name="Note 4 3 2 3 4 2 2 3" xfId="5764" xr:uid="{00000000-0005-0000-0000-0000244E0000}"/>
    <cellStyle name="Note 4 3 2 3 4 2 2 4" xfId="10122" xr:uid="{00000000-0005-0000-0000-0000254E0000}"/>
    <cellStyle name="Note 4 3 2 3 4 2 2 5" xfId="13968" xr:uid="{00000000-0005-0000-0000-0000264E0000}"/>
    <cellStyle name="Note 4 3 2 3 4 2 2 6" xfId="17797" xr:uid="{00000000-0005-0000-0000-0000274E0000}"/>
    <cellStyle name="Note 4 3 2 3 4 2 2 7" xfId="21736" xr:uid="{00000000-0005-0000-0000-0000284E0000}"/>
    <cellStyle name="Note 4 3 2 3 4 2 2 8" xfId="25549" xr:uid="{00000000-0005-0000-0000-0000294E0000}"/>
    <cellStyle name="Note 4 3 2 3 4 2 2 9" xfId="29436" xr:uid="{00000000-0005-0000-0000-00002A4E0000}"/>
    <cellStyle name="Note 4 3 2 3 4 2 3" xfId="3094" xr:uid="{00000000-0005-0000-0000-00002B4E0000}"/>
    <cellStyle name="Note 4 3 2 3 4 2 3 10" xfId="38146" xr:uid="{00000000-0005-0000-0000-00002C4E0000}"/>
    <cellStyle name="Note 4 3 2 3 4 2 3 11" xfId="42158" xr:uid="{00000000-0005-0000-0000-00002D4E0000}"/>
    <cellStyle name="Note 4 3 2 3 4 2 3 12" xfId="45931" xr:uid="{00000000-0005-0000-0000-00002E4E0000}"/>
    <cellStyle name="Note 4 3 2 3 4 2 3 2" xfId="6970" xr:uid="{00000000-0005-0000-0000-00002F4E0000}"/>
    <cellStyle name="Note 4 3 2 3 4 2 3 3" xfId="11399" xr:uid="{00000000-0005-0000-0000-0000304E0000}"/>
    <cellStyle name="Note 4 3 2 3 4 2 3 4" xfId="15243" xr:uid="{00000000-0005-0000-0000-0000314E0000}"/>
    <cellStyle name="Note 4 3 2 3 4 2 3 5" xfId="19088" xr:uid="{00000000-0005-0000-0000-0000324E0000}"/>
    <cellStyle name="Note 4 3 2 3 4 2 3 6" xfId="23010" xr:uid="{00000000-0005-0000-0000-0000334E0000}"/>
    <cellStyle name="Note 4 3 2 3 4 2 3 7" xfId="26839" xr:uid="{00000000-0005-0000-0000-0000344E0000}"/>
    <cellStyle name="Note 4 3 2 3 4 2 3 8" xfId="30712" xr:uid="{00000000-0005-0000-0000-0000354E0000}"/>
    <cellStyle name="Note 4 3 2 3 4 2 3 9" xfId="34369" xr:uid="{00000000-0005-0000-0000-0000364E0000}"/>
    <cellStyle name="Note 4 3 2 3 4 2 4" xfId="5046" xr:uid="{00000000-0005-0000-0000-0000374E0000}"/>
    <cellStyle name="Note 4 3 2 3 4 2 5" xfId="9402" xr:uid="{00000000-0005-0000-0000-0000384E0000}"/>
    <cellStyle name="Note 4 3 2 3 4 2 6" xfId="13242" xr:uid="{00000000-0005-0000-0000-0000394E0000}"/>
    <cellStyle name="Note 4 3 2 3 4 2 7" xfId="17070" xr:uid="{00000000-0005-0000-0000-00003A4E0000}"/>
    <cellStyle name="Note 4 3 2 3 4 2 8" xfId="21012" xr:uid="{00000000-0005-0000-0000-00003B4E0000}"/>
    <cellStyle name="Note 4 3 2 3 4 2 9" xfId="24826" xr:uid="{00000000-0005-0000-0000-00003C4E0000}"/>
    <cellStyle name="Note 4 3 2 3 4 3" xfId="1478" xr:uid="{00000000-0005-0000-0000-00003D4E0000}"/>
    <cellStyle name="Note 4 3 2 3 4 3 10" xfId="32765" xr:uid="{00000000-0005-0000-0000-00003E4E0000}"/>
    <cellStyle name="Note 4 3 2 3 4 3 11" xfId="36535" xr:uid="{00000000-0005-0000-0000-00003F4E0000}"/>
    <cellStyle name="Note 4 3 2 3 4 3 12" xfId="40526" xr:uid="{00000000-0005-0000-0000-0000404E0000}"/>
    <cellStyle name="Note 4 3 2 3 4 3 13" xfId="44357" xr:uid="{00000000-0005-0000-0000-0000414E0000}"/>
    <cellStyle name="Note 4 3 2 3 4 3 2" xfId="3468" xr:uid="{00000000-0005-0000-0000-0000424E0000}"/>
    <cellStyle name="Note 4 3 2 3 4 3 2 10" xfId="38519" xr:uid="{00000000-0005-0000-0000-0000434E0000}"/>
    <cellStyle name="Note 4 3 2 3 4 3 2 11" xfId="42530" xr:uid="{00000000-0005-0000-0000-0000444E0000}"/>
    <cellStyle name="Note 4 3 2 3 4 3 2 12" xfId="46295" xr:uid="{00000000-0005-0000-0000-0000454E0000}"/>
    <cellStyle name="Note 4 3 2 3 4 3 2 2" xfId="7335" xr:uid="{00000000-0005-0000-0000-0000464E0000}"/>
    <cellStyle name="Note 4 3 2 3 4 3 2 3" xfId="11770" xr:uid="{00000000-0005-0000-0000-0000474E0000}"/>
    <cellStyle name="Note 4 3 2 3 4 3 2 4" xfId="15615" xr:uid="{00000000-0005-0000-0000-0000484E0000}"/>
    <cellStyle name="Note 4 3 2 3 4 3 2 5" xfId="19462" xr:uid="{00000000-0005-0000-0000-0000494E0000}"/>
    <cellStyle name="Note 4 3 2 3 4 3 2 6" xfId="23378" xr:uid="{00000000-0005-0000-0000-00004A4E0000}"/>
    <cellStyle name="Note 4 3 2 3 4 3 2 7" xfId="27212" xr:uid="{00000000-0005-0000-0000-00004B4E0000}"/>
    <cellStyle name="Note 4 3 2 3 4 3 2 8" xfId="31079" xr:uid="{00000000-0005-0000-0000-00004C4E0000}"/>
    <cellStyle name="Note 4 3 2 3 4 3 2 9" xfId="34733" xr:uid="{00000000-0005-0000-0000-00004D4E0000}"/>
    <cellStyle name="Note 4 3 2 3 4 3 3" xfId="5411" xr:uid="{00000000-0005-0000-0000-00004E4E0000}"/>
    <cellStyle name="Note 4 3 2 3 4 3 4" xfId="9769" xr:uid="{00000000-0005-0000-0000-00004F4E0000}"/>
    <cellStyle name="Note 4 3 2 3 4 3 5" xfId="13615" xr:uid="{00000000-0005-0000-0000-0000504E0000}"/>
    <cellStyle name="Note 4 3 2 3 4 3 6" xfId="17444" xr:uid="{00000000-0005-0000-0000-0000514E0000}"/>
    <cellStyle name="Note 4 3 2 3 4 3 7" xfId="21383" xr:uid="{00000000-0005-0000-0000-0000524E0000}"/>
    <cellStyle name="Note 4 3 2 3 4 3 8" xfId="25196" xr:uid="{00000000-0005-0000-0000-0000534E0000}"/>
    <cellStyle name="Note 4 3 2 3 4 3 9" xfId="29083" xr:uid="{00000000-0005-0000-0000-0000544E0000}"/>
    <cellStyle name="Note 4 3 2 3 4 4" xfId="2728" xr:uid="{00000000-0005-0000-0000-0000554E0000}"/>
    <cellStyle name="Note 4 3 2 3 4 4 10" xfId="37780" xr:uid="{00000000-0005-0000-0000-0000564E0000}"/>
    <cellStyle name="Note 4 3 2 3 4 4 11" xfId="41794" xr:uid="{00000000-0005-0000-0000-0000574E0000}"/>
    <cellStyle name="Note 4 3 2 3 4 4 12" xfId="45578" xr:uid="{00000000-0005-0000-0000-0000584E0000}"/>
    <cellStyle name="Note 4 3 2 3 4 4 2" xfId="6615" xr:uid="{00000000-0005-0000-0000-0000594E0000}"/>
    <cellStyle name="Note 4 3 2 3 4 4 3" xfId="11039" xr:uid="{00000000-0005-0000-0000-00005A4E0000}"/>
    <cellStyle name="Note 4 3 2 3 4 4 4" xfId="14884" xr:uid="{00000000-0005-0000-0000-00005B4E0000}"/>
    <cellStyle name="Note 4 3 2 3 4 4 5" xfId="18722" xr:uid="{00000000-0005-0000-0000-00005C4E0000}"/>
    <cellStyle name="Note 4 3 2 3 4 4 6" xfId="22653" xr:uid="{00000000-0005-0000-0000-00005D4E0000}"/>
    <cellStyle name="Note 4 3 2 3 4 4 7" xfId="26473" xr:uid="{00000000-0005-0000-0000-00005E4E0000}"/>
    <cellStyle name="Note 4 3 2 3 4 4 8" xfId="30352" xr:uid="{00000000-0005-0000-0000-00005F4E0000}"/>
    <cellStyle name="Note 4 3 2 3 4 4 9" xfId="34016" xr:uid="{00000000-0005-0000-0000-0000604E0000}"/>
    <cellStyle name="Note 4 3 2 3 4 5" xfId="4691" xr:uid="{00000000-0005-0000-0000-0000614E0000}"/>
    <cellStyle name="Note 4 3 2 3 4 6" xfId="9033" xr:uid="{00000000-0005-0000-0000-0000624E0000}"/>
    <cellStyle name="Note 4 3 2 3 4 7" xfId="12871" xr:uid="{00000000-0005-0000-0000-0000634E0000}"/>
    <cellStyle name="Note 4 3 2 3 4 8" xfId="16701" xr:uid="{00000000-0005-0000-0000-0000644E0000}"/>
    <cellStyle name="Note 4 3 2 3 4 9" xfId="20638" xr:uid="{00000000-0005-0000-0000-0000654E0000}"/>
    <cellStyle name="Note 4 3 2 3 5" xfId="878" xr:uid="{00000000-0005-0000-0000-0000664E0000}"/>
    <cellStyle name="Note 4 3 2 3 5 10" xfId="24602" xr:uid="{00000000-0005-0000-0000-0000674E0000}"/>
    <cellStyle name="Note 4 3 2 3 5 11" xfId="28492" xr:uid="{00000000-0005-0000-0000-0000684E0000}"/>
    <cellStyle name="Note 4 3 2 3 5 12" xfId="32179" xr:uid="{00000000-0005-0000-0000-0000694E0000}"/>
    <cellStyle name="Note 4 3 2 3 5 13" xfId="35936" xr:uid="{00000000-0005-0000-0000-00006A4E0000}"/>
    <cellStyle name="Note 4 3 2 3 5 14" xfId="39946" xr:uid="{00000000-0005-0000-0000-00006B4E0000}"/>
    <cellStyle name="Note 4 3 2 3 5 15" xfId="43762" xr:uid="{00000000-0005-0000-0000-00006C4E0000}"/>
    <cellStyle name="Note 4 3 2 3 5 2" xfId="1215" xr:uid="{00000000-0005-0000-0000-00006D4E0000}"/>
    <cellStyle name="Note 4 3 2 3 5 2 10" xfId="28823" xr:uid="{00000000-0005-0000-0000-00006E4E0000}"/>
    <cellStyle name="Note 4 3 2 3 5 2 11" xfId="32507" xr:uid="{00000000-0005-0000-0000-00006F4E0000}"/>
    <cellStyle name="Note 4 3 2 3 5 2 12" xfId="36273" xr:uid="{00000000-0005-0000-0000-0000704E0000}"/>
    <cellStyle name="Note 4 3 2 3 5 2 13" xfId="40266" xr:uid="{00000000-0005-0000-0000-0000714E0000}"/>
    <cellStyle name="Note 4 3 2 3 5 2 14" xfId="44099" xr:uid="{00000000-0005-0000-0000-0000724E0000}"/>
    <cellStyle name="Note 4 3 2 3 5 2 2" xfId="1937" xr:uid="{00000000-0005-0000-0000-0000734E0000}"/>
    <cellStyle name="Note 4 3 2 3 5 2 2 10" xfId="33224" xr:uid="{00000000-0005-0000-0000-0000744E0000}"/>
    <cellStyle name="Note 4 3 2 3 5 2 2 11" xfId="36994" xr:uid="{00000000-0005-0000-0000-0000754E0000}"/>
    <cellStyle name="Note 4 3 2 3 5 2 2 12" xfId="40985" xr:uid="{00000000-0005-0000-0000-0000764E0000}"/>
    <cellStyle name="Note 4 3 2 3 5 2 2 13" xfId="44816" xr:uid="{00000000-0005-0000-0000-0000774E0000}"/>
    <cellStyle name="Note 4 3 2 3 5 2 2 2" xfId="3927" xr:uid="{00000000-0005-0000-0000-0000784E0000}"/>
    <cellStyle name="Note 4 3 2 3 5 2 2 2 10" xfId="38978" xr:uid="{00000000-0005-0000-0000-0000794E0000}"/>
    <cellStyle name="Note 4 3 2 3 5 2 2 2 11" xfId="42989" xr:uid="{00000000-0005-0000-0000-00007A4E0000}"/>
    <cellStyle name="Note 4 3 2 3 5 2 2 2 12" xfId="46754" xr:uid="{00000000-0005-0000-0000-00007B4E0000}"/>
    <cellStyle name="Note 4 3 2 3 5 2 2 2 2" xfId="7794" xr:uid="{00000000-0005-0000-0000-00007C4E0000}"/>
    <cellStyle name="Note 4 3 2 3 5 2 2 2 3" xfId="12229" xr:uid="{00000000-0005-0000-0000-00007D4E0000}"/>
    <cellStyle name="Note 4 3 2 3 5 2 2 2 4" xfId="16074" xr:uid="{00000000-0005-0000-0000-00007E4E0000}"/>
    <cellStyle name="Note 4 3 2 3 5 2 2 2 5" xfId="19921" xr:uid="{00000000-0005-0000-0000-00007F4E0000}"/>
    <cellStyle name="Note 4 3 2 3 5 2 2 2 6" xfId="23837" xr:uid="{00000000-0005-0000-0000-0000804E0000}"/>
    <cellStyle name="Note 4 3 2 3 5 2 2 2 7" xfId="27671" xr:uid="{00000000-0005-0000-0000-0000814E0000}"/>
    <cellStyle name="Note 4 3 2 3 5 2 2 2 8" xfId="31532" xr:uid="{00000000-0005-0000-0000-0000824E0000}"/>
    <cellStyle name="Note 4 3 2 3 5 2 2 2 9" xfId="35192" xr:uid="{00000000-0005-0000-0000-0000834E0000}"/>
    <cellStyle name="Note 4 3 2 3 5 2 2 3" xfId="5870" xr:uid="{00000000-0005-0000-0000-0000844E0000}"/>
    <cellStyle name="Note 4 3 2 3 5 2 2 4" xfId="10228" xr:uid="{00000000-0005-0000-0000-0000854E0000}"/>
    <cellStyle name="Note 4 3 2 3 5 2 2 5" xfId="14074" xr:uid="{00000000-0005-0000-0000-0000864E0000}"/>
    <cellStyle name="Note 4 3 2 3 5 2 2 6" xfId="17903" xr:uid="{00000000-0005-0000-0000-0000874E0000}"/>
    <cellStyle name="Note 4 3 2 3 5 2 2 7" xfId="21842" xr:uid="{00000000-0005-0000-0000-0000884E0000}"/>
    <cellStyle name="Note 4 3 2 3 5 2 2 8" xfId="25655" xr:uid="{00000000-0005-0000-0000-0000894E0000}"/>
    <cellStyle name="Note 4 3 2 3 5 2 2 9" xfId="29542" xr:uid="{00000000-0005-0000-0000-00008A4E0000}"/>
    <cellStyle name="Note 4 3 2 3 5 2 3" xfId="3205" xr:uid="{00000000-0005-0000-0000-00008B4E0000}"/>
    <cellStyle name="Note 4 3 2 3 5 2 3 10" xfId="38257" xr:uid="{00000000-0005-0000-0000-00008C4E0000}"/>
    <cellStyle name="Note 4 3 2 3 5 2 3 11" xfId="42268" xr:uid="{00000000-0005-0000-0000-00008D4E0000}"/>
    <cellStyle name="Note 4 3 2 3 5 2 3 12" xfId="46037" xr:uid="{00000000-0005-0000-0000-00008E4E0000}"/>
    <cellStyle name="Note 4 3 2 3 5 2 3 2" xfId="7077" xr:uid="{00000000-0005-0000-0000-00008F4E0000}"/>
    <cellStyle name="Note 4 3 2 3 5 2 3 3" xfId="11509" xr:uid="{00000000-0005-0000-0000-0000904E0000}"/>
    <cellStyle name="Note 4 3 2 3 5 2 3 4" xfId="15353" xr:uid="{00000000-0005-0000-0000-0000914E0000}"/>
    <cellStyle name="Note 4 3 2 3 5 2 3 5" xfId="19199" xr:uid="{00000000-0005-0000-0000-0000924E0000}"/>
    <cellStyle name="Note 4 3 2 3 5 2 3 6" xfId="23118" xr:uid="{00000000-0005-0000-0000-0000934E0000}"/>
    <cellStyle name="Note 4 3 2 3 5 2 3 7" xfId="26950" xr:uid="{00000000-0005-0000-0000-0000944E0000}"/>
    <cellStyle name="Note 4 3 2 3 5 2 3 8" xfId="30820" xr:uid="{00000000-0005-0000-0000-0000954E0000}"/>
    <cellStyle name="Note 4 3 2 3 5 2 3 9" xfId="34475" xr:uid="{00000000-0005-0000-0000-0000964E0000}"/>
    <cellStyle name="Note 4 3 2 3 5 2 4" xfId="5153" xr:uid="{00000000-0005-0000-0000-0000974E0000}"/>
    <cellStyle name="Note 4 3 2 3 5 2 5" xfId="9509" xr:uid="{00000000-0005-0000-0000-0000984E0000}"/>
    <cellStyle name="Note 4 3 2 3 5 2 6" xfId="13353" xr:uid="{00000000-0005-0000-0000-0000994E0000}"/>
    <cellStyle name="Note 4 3 2 3 5 2 7" xfId="17181" xr:uid="{00000000-0005-0000-0000-00009A4E0000}"/>
    <cellStyle name="Note 4 3 2 3 5 2 8" xfId="21123" xr:uid="{00000000-0005-0000-0000-00009B4E0000}"/>
    <cellStyle name="Note 4 3 2 3 5 2 9" xfId="24934" xr:uid="{00000000-0005-0000-0000-00009C4E0000}"/>
    <cellStyle name="Note 4 3 2 3 5 3" xfId="1609" xr:uid="{00000000-0005-0000-0000-00009D4E0000}"/>
    <cellStyle name="Note 4 3 2 3 5 3 10" xfId="32896" xr:uid="{00000000-0005-0000-0000-00009E4E0000}"/>
    <cellStyle name="Note 4 3 2 3 5 3 11" xfId="36666" xr:uid="{00000000-0005-0000-0000-00009F4E0000}"/>
    <cellStyle name="Note 4 3 2 3 5 3 12" xfId="40657" xr:uid="{00000000-0005-0000-0000-0000A04E0000}"/>
    <cellStyle name="Note 4 3 2 3 5 3 13" xfId="44488" xr:uid="{00000000-0005-0000-0000-0000A14E0000}"/>
    <cellStyle name="Note 4 3 2 3 5 3 2" xfId="3599" xr:uid="{00000000-0005-0000-0000-0000A24E0000}"/>
    <cellStyle name="Note 4 3 2 3 5 3 2 10" xfId="38650" xr:uid="{00000000-0005-0000-0000-0000A34E0000}"/>
    <cellStyle name="Note 4 3 2 3 5 3 2 11" xfId="42661" xr:uid="{00000000-0005-0000-0000-0000A44E0000}"/>
    <cellStyle name="Note 4 3 2 3 5 3 2 12" xfId="46426" xr:uid="{00000000-0005-0000-0000-0000A54E0000}"/>
    <cellStyle name="Note 4 3 2 3 5 3 2 2" xfId="7466" xr:uid="{00000000-0005-0000-0000-0000A64E0000}"/>
    <cellStyle name="Note 4 3 2 3 5 3 2 3" xfId="11901" xr:uid="{00000000-0005-0000-0000-0000A74E0000}"/>
    <cellStyle name="Note 4 3 2 3 5 3 2 4" xfId="15746" xr:uid="{00000000-0005-0000-0000-0000A84E0000}"/>
    <cellStyle name="Note 4 3 2 3 5 3 2 5" xfId="19593" xr:uid="{00000000-0005-0000-0000-0000A94E0000}"/>
    <cellStyle name="Note 4 3 2 3 5 3 2 6" xfId="23509" xr:uid="{00000000-0005-0000-0000-0000AA4E0000}"/>
    <cellStyle name="Note 4 3 2 3 5 3 2 7" xfId="27343" xr:uid="{00000000-0005-0000-0000-0000AB4E0000}"/>
    <cellStyle name="Note 4 3 2 3 5 3 2 8" xfId="31208" xr:uid="{00000000-0005-0000-0000-0000AC4E0000}"/>
    <cellStyle name="Note 4 3 2 3 5 3 2 9" xfId="34864" xr:uid="{00000000-0005-0000-0000-0000AD4E0000}"/>
    <cellStyle name="Note 4 3 2 3 5 3 3" xfId="5542" xr:uid="{00000000-0005-0000-0000-0000AE4E0000}"/>
    <cellStyle name="Note 4 3 2 3 5 3 4" xfId="9900" xr:uid="{00000000-0005-0000-0000-0000AF4E0000}"/>
    <cellStyle name="Note 4 3 2 3 5 3 5" xfId="13746" xr:uid="{00000000-0005-0000-0000-0000B04E0000}"/>
    <cellStyle name="Note 4 3 2 3 5 3 6" xfId="17575" xr:uid="{00000000-0005-0000-0000-0000B14E0000}"/>
    <cellStyle name="Note 4 3 2 3 5 3 7" xfId="21514" xr:uid="{00000000-0005-0000-0000-0000B24E0000}"/>
    <cellStyle name="Note 4 3 2 3 5 3 8" xfId="25327" xr:uid="{00000000-0005-0000-0000-0000B34E0000}"/>
    <cellStyle name="Note 4 3 2 3 5 3 9" xfId="29214" xr:uid="{00000000-0005-0000-0000-0000B44E0000}"/>
    <cellStyle name="Note 4 3 2 3 5 4" xfId="2868" xr:uid="{00000000-0005-0000-0000-0000B54E0000}"/>
    <cellStyle name="Note 4 3 2 3 5 4 10" xfId="37920" xr:uid="{00000000-0005-0000-0000-0000B64E0000}"/>
    <cellStyle name="Note 4 3 2 3 5 4 11" xfId="41932" xr:uid="{00000000-0005-0000-0000-0000B74E0000}"/>
    <cellStyle name="Note 4 3 2 3 5 4 12" xfId="45709" xr:uid="{00000000-0005-0000-0000-0000B84E0000}"/>
    <cellStyle name="Note 4 3 2 3 5 4 2" xfId="6748" xr:uid="{00000000-0005-0000-0000-0000B94E0000}"/>
    <cellStyle name="Note 4 3 2 3 5 4 3" xfId="11175" xr:uid="{00000000-0005-0000-0000-0000BA4E0000}"/>
    <cellStyle name="Note 4 3 2 3 5 4 4" xfId="15020" xr:uid="{00000000-0005-0000-0000-0000BB4E0000}"/>
    <cellStyle name="Note 4 3 2 3 5 4 5" xfId="18862" xr:uid="{00000000-0005-0000-0000-0000BC4E0000}"/>
    <cellStyle name="Note 4 3 2 3 5 4 6" xfId="22788" xr:uid="{00000000-0005-0000-0000-0000BD4E0000}"/>
    <cellStyle name="Note 4 3 2 3 5 4 7" xfId="26613" xr:uid="{00000000-0005-0000-0000-0000BE4E0000}"/>
    <cellStyle name="Note 4 3 2 3 5 4 8" xfId="30489" xr:uid="{00000000-0005-0000-0000-0000BF4E0000}"/>
    <cellStyle name="Note 4 3 2 3 5 4 9" xfId="34147" xr:uid="{00000000-0005-0000-0000-0000C04E0000}"/>
    <cellStyle name="Note 4 3 2 3 5 5" xfId="4824" xr:uid="{00000000-0005-0000-0000-0000C14E0000}"/>
    <cellStyle name="Note 4 3 2 3 5 6" xfId="9178" xr:uid="{00000000-0005-0000-0000-0000C24E0000}"/>
    <cellStyle name="Note 4 3 2 3 5 7" xfId="13019" xr:uid="{00000000-0005-0000-0000-0000C34E0000}"/>
    <cellStyle name="Note 4 3 2 3 5 8" xfId="16844" xr:uid="{00000000-0005-0000-0000-0000C44E0000}"/>
    <cellStyle name="Note 4 3 2 3 5 9" xfId="20786" xr:uid="{00000000-0005-0000-0000-0000C54E0000}"/>
    <cellStyle name="Note 4 3 2 3 6" xfId="924" xr:uid="{00000000-0005-0000-0000-0000C64E0000}"/>
    <cellStyle name="Note 4 3 2 3 6 10" xfId="28536" xr:uid="{00000000-0005-0000-0000-0000C74E0000}"/>
    <cellStyle name="Note 4 3 2 3 6 11" xfId="32225" xr:uid="{00000000-0005-0000-0000-0000C84E0000}"/>
    <cellStyle name="Note 4 3 2 3 6 12" xfId="35982" xr:uid="{00000000-0005-0000-0000-0000C94E0000}"/>
    <cellStyle name="Note 4 3 2 3 6 13" xfId="39990" xr:uid="{00000000-0005-0000-0000-0000CA4E0000}"/>
    <cellStyle name="Note 4 3 2 3 6 14" xfId="43808" xr:uid="{00000000-0005-0000-0000-0000CB4E0000}"/>
    <cellStyle name="Note 4 3 2 3 6 2" xfId="1655" xr:uid="{00000000-0005-0000-0000-0000CC4E0000}"/>
    <cellStyle name="Note 4 3 2 3 6 2 10" xfId="32942" xr:uid="{00000000-0005-0000-0000-0000CD4E0000}"/>
    <cellStyle name="Note 4 3 2 3 6 2 11" xfId="36712" xr:uid="{00000000-0005-0000-0000-0000CE4E0000}"/>
    <cellStyle name="Note 4 3 2 3 6 2 12" xfId="40703" xr:uid="{00000000-0005-0000-0000-0000CF4E0000}"/>
    <cellStyle name="Note 4 3 2 3 6 2 13" xfId="44534" xr:uid="{00000000-0005-0000-0000-0000D04E0000}"/>
    <cellStyle name="Note 4 3 2 3 6 2 2" xfId="3645" xr:uid="{00000000-0005-0000-0000-0000D14E0000}"/>
    <cellStyle name="Note 4 3 2 3 6 2 2 10" xfId="38696" xr:uid="{00000000-0005-0000-0000-0000D24E0000}"/>
    <cellStyle name="Note 4 3 2 3 6 2 2 11" xfId="42707" xr:uid="{00000000-0005-0000-0000-0000D34E0000}"/>
    <cellStyle name="Note 4 3 2 3 6 2 2 12" xfId="46472" xr:uid="{00000000-0005-0000-0000-0000D44E0000}"/>
    <cellStyle name="Note 4 3 2 3 6 2 2 2" xfId="7512" xr:uid="{00000000-0005-0000-0000-0000D54E0000}"/>
    <cellStyle name="Note 4 3 2 3 6 2 2 3" xfId="11947" xr:uid="{00000000-0005-0000-0000-0000D64E0000}"/>
    <cellStyle name="Note 4 3 2 3 6 2 2 4" xfId="15792" xr:uid="{00000000-0005-0000-0000-0000D74E0000}"/>
    <cellStyle name="Note 4 3 2 3 6 2 2 5" xfId="19639" xr:uid="{00000000-0005-0000-0000-0000D84E0000}"/>
    <cellStyle name="Note 4 3 2 3 6 2 2 6" xfId="23555" xr:uid="{00000000-0005-0000-0000-0000D94E0000}"/>
    <cellStyle name="Note 4 3 2 3 6 2 2 7" xfId="27389" xr:uid="{00000000-0005-0000-0000-0000DA4E0000}"/>
    <cellStyle name="Note 4 3 2 3 6 2 2 8" xfId="31253" xr:uid="{00000000-0005-0000-0000-0000DB4E0000}"/>
    <cellStyle name="Note 4 3 2 3 6 2 2 9" xfId="34910" xr:uid="{00000000-0005-0000-0000-0000DC4E0000}"/>
    <cellStyle name="Note 4 3 2 3 6 2 3" xfId="5588" xr:uid="{00000000-0005-0000-0000-0000DD4E0000}"/>
    <cellStyle name="Note 4 3 2 3 6 2 4" xfId="9946" xr:uid="{00000000-0005-0000-0000-0000DE4E0000}"/>
    <cellStyle name="Note 4 3 2 3 6 2 5" xfId="13792" xr:uid="{00000000-0005-0000-0000-0000DF4E0000}"/>
    <cellStyle name="Note 4 3 2 3 6 2 6" xfId="17621" xr:uid="{00000000-0005-0000-0000-0000E04E0000}"/>
    <cellStyle name="Note 4 3 2 3 6 2 7" xfId="21560" xr:uid="{00000000-0005-0000-0000-0000E14E0000}"/>
    <cellStyle name="Note 4 3 2 3 6 2 8" xfId="25373" xr:uid="{00000000-0005-0000-0000-0000E24E0000}"/>
    <cellStyle name="Note 4 3 2 3 6 2 9" xfId="29260" xr:uid="{00000000-0005-0000-0000-0000E34E0000}"/>
    <cellStyle name="Note 4 3 2 3 6 3" xfId="2914" xr:uid="{00000000-0005-0000-0000-0000E44E0000}"/>
    <cellStyle name="Note 4 3 2 3 6 3 10" xfId="37966" xr:uid="{00000000-0005-0000-0000-0000E54E0000}"/>
    <cellStyle name="Note 4 3 2 3 6 3 11" xfId="41978" xr:uid="{00000000-0005-0000-0000-0000E64E0000}"/>
    <cellStyle name="Note 4 3 2 3 6 3 12" xfId="45755" xr:uid="{00000000-0005-0000-0000-0000E74E0000}"/>
    <cellStyle name="Note 4 3 2 3 6 3 2" xfId="6794" xr:uid="{00000000-0005-0000-0000-0000E84E0000}"/>
    <cellStyle name="Note 4 3 2 3 6 3 3" xfId="11221" xr:uid="{00000000-0005-0000-0000-0000E94E0000}"/>
    <cellStyle name="Note 4 3 2 3 6 3 4" xfId="15066" xr:uid="{00000000-0005-0000-0000-0000EA4E0000}"/>
    <cellStyle name="Note 4 3 2 3 6 3 5" xfId="18908" xr:uid="{00000000-0005-0000-0000-0000EB4E0000}"/>
    <cellStyle name="Note 4 3 2 3 6 3 6" xfId="22834" xr:uid="{00000000-0005-0000-0000-0000EC4E0000}"/>
    <cellStyle name="Note 4 3 2 3 6 3 7" xfId="26659" xr:uid="{00000000-0005-0000-0000-0000ED4E0000}"/>
    <cellStyle name="Note 4 3 2 3 6 3 8" xfId="30534" xr:uid="{00000000-0005-0000-0000-0000EE4E0000}"/>
    <cellStyle name="Note 4 3 2 3 6 3 9" xfId="34193" xr:uid="{00000000-0005-0000-0000-0000EF4E0000}"/>
    <cellStyle name="Note 4 3 2 3 6 4" xfId="4870" xr:uid="{00000000-0005-0000-0000-0000F04E0000}"/>
    <cellStyle name="Note 4 3 2 3 6 5" xfId="9224" xr:uid="{00000000-0005-0000-0000-0000F14E0000}"/>
    <cellStyle name="Note 4 3 2 3 6 6" xfId="13065" xr:uid="{00000000-0005-0000-0000-0000F24E0000}"/>
    <cellStyle name="Note 4 3 2 3 6 7" xfId="16890" xr:uid="{00000000-0005-0000-0000-0000F34E0000}"/>
    <cellStyle name="Note 4 3 2 3 6 8" xfId="20832" xr:uid="{00000000-0005-0000-0000-0000F44E0000}"/>
    <cellStyle name="Note 4 3 2 3 6 9" xfId="24648" xr:uid="{00000000-0005-0000-0000-0000F54E0000}"/>
    <cellStyle name="Note 4 3 2 3 7" xfId="1302" xr:uid="{00000000-0005-0000-0000-0000F64E0000}"/>
    <cellStyle name="Note 4 3 2 3 7 10" xfId="32589" xr:uid="{00000000-0005-0000-0000-0000F74E0000}"/>
    <cellStyle name="Note 4 3 2 3 7 11" xfId="36359" xr:uid="{00000000-0005-0000-0000-0000F84E0000}"/>
    <cellStyle name="Note 4 3 2 3 7 12" xfId="40350" xr:uid="{00000000-0005-0000-0000-0000F94E0000}"/>
    <cellStyle name="Note 4 3 2 3 7 13" xfId="44181" xr:uid="{00000000-0005-0000-0000-0000FA4E0000}"/>
    <cellStyle name="Note 4 3 2 3 7 2" xfId="3292" xr:uid="{00000000-0005-0000-0000-0000FB4E0000}"/>
    <cellStyle name="Note 4 3 2 3 7 2 10" xfId="38343" xr:uid="{00000000-0005-0000-0000-0000FC4E0000}"/>
    <cellStyle name="Note 4 3 2 3 7 2 11" xfId="42354" xr:uid="{00000000-0005-0000-0000-0000FD4E0000}"/>
    <cellStyle name="Note 4 3 2 3 7 2 12" xfId="46119" xr:uid="{00000000-0005-0000-0000-0000FE4E0000}"/>
    <cellStyle name="Note 4 3 2 3 7 2 2" xfId="7159" xr:uid="{00000000-0005-0000-0000-0000FF4E0000}"/>
    <cellStyle name="Note 4 3 2 3 7 2 3" xfId="11594" xr:uid="{00000000-0005-0000-0000-0000004F0000}"/>
    <cellStyle name="Note 4 3 2 3 7 2 4" xfId="15439" xr:uid="{00000000-0005-0000-0000-0000014F0000}"/>
    <cellStyle name="Note 4 3 2 3 7 2 5" xfId="19286" xr:uid="{00000000-0005-0000-0000-0000024F0000}"/>
    <cellStyle name="Note 4 3 2 3 7 2 6" xfId="23202" xr:uid="{00000000-0005-0000-0000-0000034F0000}"/>
    <cellStyle name="Note 4 3 2 3 7 2 7" xfId="27036" xr:uid="{00000000-0005-0000-0000-0000044F0000}"/>
    <cellStyle name="Note 4 3 2 3 7 2 8" xfId="30905" xr:uid="{00000000-0005-0000-0000-0000054F0000}"/>
    <cellStyle name="Note 4 3 2 3 7 2 9" xfId="34557" xr:uid="{00000000-0005-0000-0000-0000064F0000}"/>
    <cellStyle name="Note 4 3 2 3 7 3" xfId="5235" xr:uid="{00000000-0005-0000-0000-0000074F0000}"/>
    <cellStyle name="Note 4 3 2 3 7 4" xfId="9593" xr:uid="{00000000-0005-0000-0000-0000084F0000}"/>
    <cellStyle name="Note 4 3 2 3 7 5" xfId="13439" xr:uid="{00000000-0005-0000-0000-0000094F0000}"/>
    <cellStyle name="Note 4 3 2 3 7 6" xfId="17268" xr:uid="{00000000-0005-0000-0000-00000A4F0000}"/>
    <cellStyle name="Note 4 3 2 3 7 7" xfId="21207" xr:uid="{00000000-0005-0000-0000-00000B4F0000}"/>
    <cellStyle name="Note 4 3 2 3 7 8" xfId="25020" xr:uid="{00000000-0005-0000-0000-00000C4F0000}"/>
    <cellStyle name="Note 4 3 2 3 7 9" xfId="28907" xr:uid="{00000000-0005-0000-0000-00000D4F0000}"/>
    <cellStyle name="Note 4 3 2 3 8" xfId="1997" xr:uid="{00000000-0005-0000-0000-00000E4F0000}"/>
    <cellStyle name="Note 4 3 2 3 8 10" xfId="33284" xr:uid="{00000000-0005-0000-0000-00000F4F0000}"/>
    <cellStyle name="Note 4 3 2 3 8 11" xfId="37053" xr:uid="{00000000-0005-0000-0000-0000104F0000}"/>
    <cellStyle name="Note 4 3 2 3 8 12" xfId="41045" xr:uid="{00000000-0005-0000-0000-0000114F0000}"/>
    <cellStyle name="Note 4 3 2 3 8 13" xfId="44875" xr:uid="{00000000-0005-0000-0000-0000124F0000}"/>
    <cellStyle name="Note 4 3 2 3 8 2" xfId="3986" xr:uid="{00000000-0005-0000-0000-0000134F0000}"/>
    <cellStyle name="Note 4 3 2 3 8 2 10" xfId="39037" xr:uid="{00000000-0005-0000-0000-0000144F0000}"/>
    <cellStyle name="Note 4 3 2 3 8 2 11" xfId="43048" xr:uid="{00000000-0005-0000-0000-0000154F0000}"/>
    <cellStyle name="Note 4 3 2 3 8 2 12" xfId="46813" xr:uid="{00000000-0005-0000-0000-0000164F0000}"/>
    <cellStyle name="Note 4 3 2 3 8 2 2" xfId="7853" xr:uid="{00000000-0005-0000-0000-0000174F0000}"/>
    <cellStyle name="Note 4 3 2 3 8 2 3" xfId="12288" xr:uid="{00000000-0005-0000-0000-0000184F0000}"/>
    <cellStyle name="Note 4 3 2 3 8 2 4" xfId="16133" xr:uid="{00000000-0005-0000-0000-0000194F0000}"/>
    <cellStyle name="Note 4 3 2 3 8 2 5" xfId="19980" xr:uid="{00000000-0005-0000-0000-00001A4F0000}"/>
    <cellStyle name="Note 4 3 2 3 8 2 6" xfId="23896" xr:uid="{00000000-0005-0000-0000-00001B4F0000}"/>
    <cellStyle name="Note 4 3 2 3 8 2 7" xfId="27730" xr:uid="{00000000-0005-0000-0000-00001C4F0000}"/>
    <cellStyle name="Note 4 3 2 3 8 2 8" xfId="31590" xr:uid="{00000000-0005-0000-0000-00001D4F0000}"/>
    <cellStyle name="Note 4 3 2 3 8 2 9" xfId="35251" xr:uid="{00000000-0005-0000-0000-00001E4F0000}"/>
    <cellStyle name="Note 4 3 2 3 8 3" xfId="5929" xr:uid="{00000000-0005-0000-0000-00001F4F0000}"/>
    <cellStyle name="Note 4 3 2 3 8 4" xfId="10287" xr:uid="{00000000-0005-0000-0000-0000204F0000}"/>
    <cellStyle name="Note 4 3 2 3 8 5" xfId="14134" xr:uid="{00000000-0005-0000-0000-0000214F0000}"/>
    <cellStyle name="Note 4 3 2 3 8 6" xfId="17963" xr:uid="{00000000-0005-0000-0000-0000224F0000}"/>
    <cellStyle name="Note 4 3 2 3 8 7" xfId="21902" xr:uid="{00000000-0005-0000-0000-0000234F0000}"/>
    <cellStyle name="Note 4 3 2 3 8 8" xfId="25715" xr:uid="{00000000-0005-0000-0000-0000244F0000}"/>
    <cellStyle name="Note 4 3 2 3 8 9" xfId="29602" xr:uid="{00000000-0005-0000-0000-0000254F0000}"/>
    <cellStyle name="Note 4 3 2 3 9" xfId="2044" xr:uid="{00000000-0005-0000-0000-0000264F0000}"/>
    <cellStyle name="Note 4 3 2 3 9 10" xfId="33328" xr:uid="{00000000-0005-0000-0000-0000274F0000}"/>
    <cellStyle name="Note 4 3 2 3 9 11" xfId="37100" xr:uid="{00000000-0005-0000-0000-0000284F0000}"/>
    <cellStyle name="Note 4 3 2 3 9 12" xfId="41090" xr:uid="{00000000-0005-0000-0000-0000294F0000}"/>
    <cellStyle name="Note 4 3 2 3 9 13" xfId="44919" xr:uid="{00000000-0005-0000-0000-00002A4F0000}"/>
    <cellStyle name="Note 4 3 2 3 9 2" xfId="4033" xr:uid="{00000000-0005-0000-0000-00002B4F0000}"/>
    <cellStyle name="Note 4 3 2 3 9 2 10" xfId="39084" xr:uid="{00000000-0005-0000-0000-00002C4F0000}"/>
    <cellStyle name="Note 4 3 2 3 9 2 11" xfId="43094" xr:uid="{00000000-0005-0000-0000-00002D4F0000}"/>
    <cellStyle name="Note 4 3 2 3 9 2 12" xfId="46857" xr:uid="{00000000-0005-0000-0000-00002E4F0000}"/>
    <cellStyle name="Note 4 3 2 3 9 2 2" xfId="7898" xr:uid="{00000000-0005-0000-0000-00002F4F0000}"/>
    <cellStyle name="Note 4 3 2 3 9 2 3" xfId="12333" xr:uid="{00000000-0005-0000-0000-0000304F0000}"/>
    <cellStyle name="Note 4 3 2 3 9 2 4" xfId="16179" xr:uid="{00000000-0005-0000-0000-0000314F0000}"/>
    <cellStyle name="Note 4 3 2 3 9 2 5" xfId="20027" xr:uid="{00000000-0005-0000-0000-0000324F0000}"/>
    <cellStyle name="Note 4 3 2 3 9 2 6" xfId="23942" xr:uid="{00000000-0005-0000-0000-0000334F0000}"/>
    <cellStyle name="Note 4 3 2 3 9 2 7" xfId="27777" xr:uid="{00000000-0005-0000-0000-0000344F0000}"/>
    <cellStyle name="Note 4 3 2 3 9 2 8" xfId="31636" xr:uid="{00000000-0005-0000-0000-0000354F0000}"/>
    <cellStyle name="Note 4 3 2 3 9 2 9" xfId="35295" xr:uid="{00000000-0005-0000-0000-0000364F0000}"/>
    <cellStyle name="Note 4 3 2 3 9 3" xfId="5974" xr:uid="{00000000-0005-0000-0000-0000374F0000}"/>
    <cellStyle name="Note 4 3 2 3 9 4" xfId="10332" xr:uid="{00000000-0005-0000-0000-0000384F0000}"/>
    <cellStyle name="Note 4 3 2 3 9 5" xfId="14180" xr:uid="{00000000-0005-0000-0000-0000394F0000}"/>
    <cellStyle name="Note 4 3 2 3 9 6" xfId="18010" xr:uid="{00000000-0005-0000-0000-00003A4F0000}"/>
    <cellStyle name="Note 4 3 2 3 9 7" xfId="21948" xr:uid="{00000000-0005-0000-0000-00003B4F0000}"/>
    <cellStyle name="Note 4 3 2 3 9 8" xfId="25762" xr:uid="{00000000-0005-0000-0000-00003C4F0000}"/>
    <cellStyle name="Note 4 3 2 3 9 9" xfId="29648" xr:uid="{00000000-0005-0000-0000-00003D4F0000}"/>
    <cellStyle name="Note 4 3 2 30" xfId="47422" xr:uid="{00000000-0005-0000-0000-00003E4F0000}"/>
    <cellStyle name="Note 4 3 2 31" xfId="47399" xr:uid="{00000000-0005-0000-0000-00003F4F0000}"/>
    <cellStyle name="Note 4 3 2 4" xfId="659" xr:uid="{00000000-0005-0000-0000-0000404F0000}"/>
    <cellStyle name="Note 4 3 2 4 10" xfId="8962" xr:uid="{00000000-0005-0000-0000-0000414F0000}"/>
    <cellStyle name="Note 4 3 2 4 11" xfId="28286" xr:uid="{00000000-0005-0000-0000-0000424F0000}"/>
    <cellStyle name="Note 4 3 2 4 12" xfId="29968" xr:uid="{00000000-0005-0000-0000-0000434F0000}"/>
    <cellStyle name="Note 4 3 2 4 13" xfId="8867" xr:uid="{00000000-0005-0000-0000-0000444F0000}"/>
    <cellStyle name="Note 4 3 2 4 14" xfId="39753" xr:uid="{00000000-0005-0000-0000-0000454F0000}"/>
    <cellStyle name="Note 4 3 2 4 15" xfId="43556" xr:uid="{00000000-0005-0000-0000-0000464F0000}"/>
    <cellStyle name="Note 4 3 2 4 2" xfId="1039" xr:uid="{00000000-0005-0000-0000-0000474F0000}"/>
    <cellStyle name="Note 4 3 2 4 2 10" xfId="28650" xr:uid="{00000000-0005-0000-0000-0000484F0000}"/>
    <cellStyle name="Note 4 3 2 4 2 11" xfId="32336" xr:uid="{00000000-0005-0000-0000-0000494F0000}"/>
    <cellStyle name="Note 4 3 2 4 2 12" xfId="36097" xr:uid="{00000000-0005-0000-0000-00004A4F0000}"/>
    <cellStyle name="Note 4 3 2 4 2 13" xfId="40100" xr:uid="{00000000-0005-0000-0000-00004B4F0000}"/>
    <cellStyle name="Note 4 3 2 4 2 14" xfId="43923" xr:uid="{00000000-0005-0000-0000-00004C4F0000}"/>
    <cellStyle name="Note 4 3 2 4 2 2" xfId="1766" xr:uid="{00000000-0005-0000-0000-00004D4F0000}"/>
    <cellStyle name="Note 4 3 2 4 2 2 10" xfId="33053" xr:uid="{00000000-0005-0000-0000-00004E4F0000}"/>
    <cellStyle name="Note 4 3 2 4 2 2 11" xfId="36823" xr:uid="{00000000-0005-0000-0000-00004F4F0000}"/>
    <cellStyle name="Note 4 3 2 4 2 2 12" xfId="40814" xr:uid="{00000000-0005-0000-0000-0000504F0000}"/>
    <cellStyle name="Note 4 3 2 4 2 2 13" xfId="44645" xr:uid="{00000000-0005-0000-0000-0000514F0000}"/>
    <cellStyle name="Note 4 3 2 4 2 2 2" xfId="3756" xr:uid="{00000000-0005-0000-0000-0000524F0000}"/>
    <cellStyle name="Note 4 3 2 4 2 2 2 10" xfId="38807" xr:uid="{00000000-0005-0000-0000-0000534F0000}"/>
    <cellStyle name="Note 4 3 2 4 2 2 2 11" xfId="42818" xr:uid="{00000000-0005-0000-0000-0000544F0000}"/>
    <cellStyle name="Note 4 3 2 4 2 2 2 12" xfId="46583" xr:uid="{00000000-0005-0000-0000-0000554F0000}"/>
    <cellStyle name="Note 4 3 2 4 2 2 2 2" xfId="7623" xr:uid="{00000000-0005-0000-0000-0000564F0000}"/>
    <cellStyle name="Note 4 3 2 4 2 2 2 3" xfId="12058" xr:uid="{00000000-0005-0000-0000-0000574F0000}"/>
    <cellStyle name="Note 4 3 2 4 2 2 2 4" xfId="15903" xr:uid="{00000000-0005-0000-0000-0000584F0000}"/>
    <cellStyle name="Note 4 3 2 4 2 2 2 5" xfId="19750" xr:uid="{00000000-0005-0000-0000-0000594F0000}"/>
    <cellStyle name="Note 4 3 2 4 2 2 2 6" xfId="23666" xr:uid="{00000000-0005-0000-0000-00005A4F0000}"/>
    <cellStyle name="Note 4 3 2 4 2 2 2 7" xfId="27500" xr:uid="{00000000-0005-0000-0000-00005B4F0000}"/>
    <cellStyle name="Note 4 3 2 4 2 2 2 8" xfId="31364" xr:uid="{00000000-0005-0000-0000-00005C4F0000}"/>
    <cellStyle name="Note 4 3 2 4 2 2 2 9" xfId="35021" xr:uid="{00000000-0005-0000-0000-00005D4F0000}"/>
    <cellStyle name="Note 4 3 2 4 2 2 3" xfId="5699" xr:uid="{00000000-0005-0000-0000-00005E4F0000}"/>
    <cellStyle name="Note 4 3 2 4 2 2 4" xfId="10057" xr:uid="{00000000-0005-0000-0000-00005F4F0000}"/>
    <cellStyle name="Note 4 3 2 4 2 2 5" xfId="13903" xr:uid="{00000000-0005-0000-0000-0000604F0000}"/>
    <cellStyle name="Note 4 3 2 4 2 2 6" xfId="17732" xr:uid="{00000000-0005-0000-0000-0000614F0000}"/>
    <cellStyle name="Note 4 3 2 4 2 2 7" xfId="21671" xr:uid="{00000000-0005-0000-0000-0000624F0000}"/>
    <cellStyle name="Note 4 3 2 4 2 2 8" xfId="25484" xr:uid="{00000000-0005-0000-0000-0000634F0000}"/>
    <cellStyle name="Note 4 3 2 4 2 2 9" xfId="29371" xr:uid="{00000000-0005-0000-0000-0000644F0000}"/>
    <cellStyle name="Note 4 3 2 4 2 3" xfId="3029" xr:uid="{00000000-0005-0000-0000-0000654F0000}"/>
    <cellStyle name="Note 4 3 2 4 2 3 10" xfId="38081" xr:uid="{00000000-0005-0000-0000-0000664F0000}"/>
    <cellStyle name="Note 4 3 2 4 2 3 11" xfId="42093" xr:uid="{00000000-0005-0000-0000-0000674F0000}"/>
    <cellStyle name="Note 4 3 2 4 2 3 12" xfId="45866" xr:uid="{00000000-0005-0000-0000-0000684F0000}"/>
    <cellStyle name="Note 4 3 2 4 2 3 2" xfId="6905" xr:uid="{00000000-0005-0000-0000-0000694F0000}"/>
    <cellStyle name="Note 4 3 2 4 2 3 3" xfId="11334" xr:uid="{00000000-0005-0000-0000-00006A4F0000}"/>
    <cellStyle name="Note 4 3 2 4 2 3 4" xfId="15178" xr:uid="{00000000-0005-0000-0000-00006B4F0000}"/>
    <cellStyle name="Note 4 3 2 4 2 3 5" xfId="19023" xr:uid="{00000000-0005-0000-0000-00006C4F0000}"/>
    <cellStyle name="Note 4 3 2 4 2 3 6" xfId="22945" xr:uid="{00000000-0005-0000-0000-00006D4F0000}"/>
    <cellStyle name="Note 4 3 2 4 2 3 7" xfId="26774" xr:uid="{00000000-0005-0000-0000-00006E4F0000}"/>
    <cellStyle name="Note 4 3 2 4 2 3 8" xfId="30648" xr:uid="{00000000-0005-0000-0000-00006F4F0000}"/>
    <cellStyle name="Note 4 3 2 4 2 3 9" xfId="34304" xr:uid="{00000000-0005-0000-0000-0000704F0000}"/>
    <cellStyle name="Note 4 3 2 4 2 4" xfId="4981" xr:uid="{00000000-0005-0000-0000-0000714F0000}"/>
    <cellStyle name="Note 4 3 2 4 2 5" xfId="9337" xr:uid="{00000000-0005-0000-0000-0000724F0000}"/>
    <cellStyle name="Note 4 3 2 4 2 6" xfId="13177" xr:uid="{00000000-0005-0000-0000-0000734F0000}"/>
    <cellStyle name="Note 4 3 2 4 2 7" xfId="17005" xr:uid="{00000000-0005-0000-0000-0000744F0000}"/>
    <cellStyle name="Note 4 3 2 4 2 8" xfId="20947" xr:uid="{00000000-0005-0000-0000-0000754F0000}"/>
    <cellStyle name="Note 4 3 2 4 2 9" xfId="24761" xr:uid="{00000000-0005-0000-0000-0000764F0000}"/>
    <cellStyle name="Note 4 3 2 4 3" xfId="1413" xr:uid="{00000000-0005-0000-0000-0000774F0000}"/>
    <cellStyle name="Note 4 3 2 4 3 10" xfId="32700" xr:uid="{00000000-0005-0000-0000-0000784F0000}"/>
    <cellStyle name="Note 4 3 2 4 3 11" xfId="36470" xr:uid="{00000000-0005-0000-0000-0000794F0000}"/>
    <cellStyle name="Note 4 3 2 4 3 12" xfId="40461" xr:uid="{00000000-0005-0000-0000-00007A4F0000}"/>
    <cellStyle name="Note 4 3 2 4 3 13" xfId="44292" xr:uid="{00000000-0005-0000-0000-00007B4F0000}"/>
    <cellStyle name="Note 4 3 2 4 3 2" xfId="3403" xr:uid="{00000000-0005-0000-0000-00007C4F0000}"/>
    <cellStyle name="Note 4 3 2 4 3 2 10" xfId="38454" xr:uid="{00000000-0005-0000-0000-00007D4F0000}"/>
    <cellStyle name="Note 4 3 2 4 3 2 11" xfId="42465" xr:uid="{00000000-0005-0000-0000-00007E4F0000}"/>
    <cellStyle name="Note 4 3 2 4 3 2 12" xfId="46230" xr:uid="{00000000-0005-0000-0000-00007F4F0000}"/>
    <cellStyle name="Note 4 3 2 4 3 2 2" xfId="7270" xr:uid="{00000000-0005-0000-0000-0000804F0000}"/>
    <cellStyle name="Note 4 3 2 4 3 2 3" xfId="11705" xr:uid="{00000000-0005-0000-0000-0000814F0000}"/>
    <cellStyle name="Note 4 3 2 4 3 2 4" xfId="15550" xr:uid="{00000000-0005-0000-0000-0000824F0000}"/>
    <cellStyle name="Note 4 3 2 4 3 2 5" xfId="19397" xr:uid="{00000000-0005-0000-0000-0000834F0000}"/>
    <cellStyle name="Note 4 3 2 4 3 2 6" xfId="23313" xr:uid="{00000000-0005-0000-0000-0000844F0000}"/>
    <cellStyle name="Note 4 3 2 4 3 2 7" xfId="27147" xr:uid="{00000000-0005-0000-0000-0000854F0000}"/>
    <cellStyle name="Note 4 3 2 4 3 2 8" xfId="31015" xr:uid="{00000000-0005-0000-0000-0000864F0000}"/>
    <cellStyle name="Note 4 3 2 4 3 2 9" xfId="34668" xr:uid="{00000000-0005-0000-0000-0000874F0000}"/>
    <cellStyle name="Note 4 3 2 4 3 3" xfId="5346" xr:uid="{00000000-0005-0000-0000-0000884F0000}"/>
    <cellStyle name="Note 4 3 2 4 3 4" xfId="9704" xr:uid="{00000000-0005-0000-0000-0000894F0000}"/>
    <cellStyle name="Note 4 3 2 4 3 5" xfId="13550" xr:uid="{00000000-0005-0000-0000-00008A4F0000}"/>
    <cellStyle name="Note 4 3 2 4 3 6" xfId="17379" xr:uid="{00000000-0005-0000-0000-00008B4F0000}"/>
    <cellStyle name="Note 4 3 2 4 3 7" xfId="21318" xr:uid="{00000000-0005-0000-0000-00008C4F0000}"/>
    <cellStyle name="Note 4 3 2 4 3 8" xfId="25131" xr:uid="{00000000-0005-0000-0000-00008D4F0000}"/>
    <cellStyle name="Note 4 3 2 4 3 9" xfId="29018" xr:uid="{00000000-0005-0000-0000-00008E4F0000}"/>
    <cellStyle name="Note 4 3 2 4 4" xfId="2662" xr:uid="{00000000-0005-0000-0000-00008F4F0000}"/>
    <cellStyle name="Note 4 3 2 4 4 10" xfId="37714" xr:uid="{00000000-0005-0000-0000-0000904F0000}"/>
    <cellStyle name="Note 4 3 2 4 4 11" xfId="41728" xr:uid="{00000000-0005-0000-0000-0000914F0000}"/>
    <cellStyle name="Note 4 3 2 4 4 12" xfId="45513" xr:uid="{00000000-0005-0000-0000-0000924F0000}"/>
    <cellStyle name="Note 4 3 2 4 4 2" xfId="6550" xr:uid="{00000000-0005-0000-0000-0000934F0000}"/>
    <cellStyle name="Note 4 3 2 4 4 3" xfId="10974" xr:uid="{00000000-0005-0000-0000-0000944F0000}"/>
    <cellStyle name="Note 4 3 2 4 4 4" xfId="14818" xr:uid="{00000000-0005-0000-0000-0000954F0000}"/>
    <cellStyle name="Note 4 3 2 4 4 5" xfId="18656" xr:uid="{00000000-0005-0000-0000-0000964F0000}"/>
    <cellStyle name="Note 4 3 2 4 4 6" xfId="22587" xr:uid="{00000000-0005-0000-0000-0000974F0000}"/>
    <cellStyle name="Note 4 3 2 4 4 7" xfId="26407" xr:uid="{00000000-0005-0000-0000-0000984F0000}"/>
    <cellStyle name="Note 4 3 2 4 4 8" xfId="30286" xr:uid="{00000000-0005-0000-0000-0000994F0000}"/>
    <cellStyle name="Note 4 3 2 4 4 9" xfId="33951" xr:uid="{00000000-0005-0000-0000-00009A4F0000}"/>
    <cellStyle name="Note 4 3 2 4 5" xfId="4626" xr:uid="{00000000-0005-0000-0000-00009B4F0000}"/>
    <cellStyle name="Note 4 3 2 4 6" xfId="8968" xr:uid="{00000000-0005-0000-0000-00009C4F0000}"/>
    <cellStyle name="Note 4 3 2 4 7" xfId="12805" xr:uid="{00000000-0005-0000-0000-00009D4F0000}"/>
    <cellStyle name="Note 4 3 2 4 8" xfId="16635" xr:uid="{00000000-0005-0000-0000-00009E4F0000}"/>
    <cellStyle name="Note 4 3 2 4 9" xfId="20572" xr:uid="{00000000-0005-0000-0000-00009F4F0000}"/>
    <cellStyle name="Note 4 3 2 5" xfId="596" xr:uid="{00000000-0005-0000-0000-0000A04F0000}"/>
    <cellStyle name="Note 4 3 2 5 10" xfId="8500" xr:uid="{00000000-0005-0000-0000-0000A14F0000}"/>
    <cellStyle name="Note 4 3 2 5 11" xfId="12924" xr:uid="{00000000-0005-0000-0000-0000A24F0000}"/>
    <cellStyle name="Note 4 3 2 5 12" xfId="31926" xr:uid="{00000000-0005-0000-0000-0000A34F0000}"/>
    <cellStyle name="Note 4 3 2 5 13" xfId="21159" xr:uid="{00000000-0005-0000-0000-0000A44F0000}"/>
    <cellStyle name="Note 4 3 2 5 14" xfId="39691" xr:uid="{00000000-0005-0000-0000-0000A54F0000}"/>
    <cellStyle name="Note 4 3 2 5 15" xfId="39580" xr:uid="{00000000-0005-0000-0000-0000A64F0000}"/>
    <cellStyle name="Note 4 3 2 5 2" xfId="976" xr:uid="{00000000-0005-0000-0000-0000A74F0000}"/>
    <cellStyle name="Note 4 3 2 5 2 10" xfId="28587" xr:uid="{00000000-0005-0000-0000-0000A84F0000}"/>
    <cellStyle name="Note 4 3 2 5 2 11" xfId="32275" xr:uid="{00000000-0005-0000-0000-0000A94F0000}"/>
    <cellStyle name="Note 4 3 2 5 2 12" xfId="36034" xr:uid="{00000000-0005-0000-0000-0000AA4F0000}"/>
    <cellStyle name="Note 4 3 2 5 2 13" xfId="40039" xr:uid="{00000000-0005-0000-0000-0000AB4F0000}"/>
    <cellStyle name="Note 4 3 2 5 2 14" xfId="43860" xr:uid="{00000000-0005-0000-0000-0000AC4F0000}"/>
    <cellStyle name="Note 4 3 2 5 2 2" xfId="1705" xr:uid="{00000000-0005-0000-0000-0000AD4F0000}"/>
    <cellStyle name="Note 4 3 2 5 2 2 10" xfId="32992" xr:uid="{00000000-0005-0000-0000-0000AE4F0000}"/>
    <cellStyle name="Note 4 3 2 5 2 2 11" xfId="36762" xr:uid="{00000000-0005-0000-0000-0000AF4F0000}"/>
    <cellStyle name="Note 4 3 2 5 2 2 12" xfId="40753" xr:uid="{00000000-0005-0000-0000-0000B04F0000}"/>
    <cellStyle name="Note 4 3 2 5 2 2 13" xfId="44584" xr:uid="{00000000-0005-0000-0000-0000B14F0000}"/>
    <cellStyle name="Note 4 3 2 5 2 2 2" xfId="3695" xr:uid="{00000000-0005-0000-0000-0000B24F0000}"/>
    <cellStyle name="Note 4 3 2 5 2 2 2 10" xfId="38746" xr:uid="{00000000-0005-0000-0000-0000B34F0000}"/>
    <cellStyle name="Note 4 3 2 5 2 2 2 11" xfId="42757" xr:uid="{00000000-0005-0000-0000-0000B44F0000}"/>
    <cellStyle name="Note 4 3 2 5 2 2 2 12" xfId="46522" xr:uid="{00000000-0005-0000-0000-0000B54F0000}"/>
    <cellStyle name="Note 4 3 2 5 2 2 2 2" xfId="7562" xr:uid="{00000000-0005-0000-0000-0000B64F0000}"/>
    <cellStyle name="Note 4 3 2 5 2 2 2 3" xfId="11997" xr:uid="{00000000-0005-0000-0000-0000B74F0000}"/>
    <cellStyle name="Note 4 3 2 5 2 2 2 4" xfId="15842" xr:uid="{00000000-0005-0000-0000-0000B84F0000}"/>
    <cellStyle name="Note 4 3 2 5 2 2 2 5" xfId="19689" xr:uid="{00000000-0005-0000-0000-0000B94F0000}"/>
    <cellStyle name="Note 4 3 2 5 2 2 2 6" xfId="23605" xr:uid="{00000000-0005-0000-0000-0000BA4F0000}"/>
    <cellStyle name="Note 4 3 2 5 2 2 2 7" xfId="27439" xr:uid="{00000000-0005-0000-0000-0000BB4F0000}"/>
    <cellStyle name="Note 4 3 2 5 2 2 2 8" xfId="31303" xr:uid="{00000000-0005-0000-0000-0000BC4F0000}"/>
    <cellStyle name="Note 4 3 2 5 2 2 2 9" xfId="34960" xr:uid="{00000000-0005-0000-0000-0000BD4F0000}"/>
    <cellStyle name="Note 4 3 2 5 2 2 3" xfId="5638" xr:uid="{00000000-0005-0000-0000-0000BE4F0000}"/>
    <cellStyle name="Note 4 3 2 5 2 2 4" xfId="9996" xr:uid="{00000000-0005-0000-0000-0000BF4F0000}"/>
    <cellStyle name="Note 4 3 2 5 2 2 5" xfId="13842" xr:uid="{00000000-0005-0000-0000-0000C04F0000}"/>
    <cellStyle name="Note 4 3 2 5 2 2 6" xfId="17671" xr:uid="{00000000-0005-0000-0000-0000C14F0000}"/>
    <cellStyle name="Note 4 3 2 5 2 2 7" xfId="21610" xr:uid="{00000000-0005-0000-0000-0000C24F0000}"/>
    <cellStyle name="Note 4 3 2 5 2 2 8" xfId="25423" xr:uid="{00000000-0005-0000-0000-0000C34F0000}"/>
    <cellStyle name="Note 4 3 2 5 2 2 9" xfId="29310" xr:uid="{00000000-0005-0000-0000-0000C44F0000}"/>
    <cellStyle name="Note 4 3 2 5 2 3" xfId="2966" xr:uid="{00000000-0005-0000-0000-0000C54F0000}"/>
    <cellStyle name="Note 4 3 2 5 2 3 10" xfId="38018" xr:uid="{00000000-0005-0000-0000-0000C64F0000}"/>
    <cellStyle name="Note 4 3 2 5 2 3 11" xfId="42030" xr:uid="{00000000-0005-0000-0000-0000C74F0000}"/>
    <cellStyle name="Note 4 3 2 5 2 3 12" xfId="45805" xr:uid="{00000000-0005-0000-0000-0000C84F0000}"/>
    <cellStyle name="Note 4 3 2 5 2 3 2" xfId="6844" xr:uid="{00000000-0005-0000-0000-0000C94F0000}"/>
    <cellStyle name="Note 4 3 2 5 2 3 3" xfId="11272" xr:uid="{00000000-0005-0000-0000-0000CA4F0000}"/>
    <cellStyle name="Note 4 3 2 5 2 3 4" xfId="15117" xr:uid="{00000000-0005-0000-0000-0000CB4F0000}"/>
    <cellStyle name="Note 4 3 2 5 2 3 5" xfId="18960" xr:uid="{00000000-0005-0000-0000-0000CC4F0000}"/>
    <cellStyle name="Note 4 3 2 5 2 3 6" xfId="22884" xr:uid="{00000000-0005-0000-0000-0000CD4F0000}"/>
    <cellStyle name="Note 4 3 2 5 2 3 7" xfId="26711" xr:uid="{00000000-0005-0000-0000-0000CE4F0000}"/>
    <cellStyle name="Note 4 3 2 5 2 3 8" xfId="30585" xr:uid="{00000000-0005-0000-0000-0000CF4F0000}"/>
    <cellStyle name="Note 4 3 2 5 2 3 9" xfId="34243" xr:uid="{00000000-0005-0000-0000-0000D04F0000}"/>
    <cellStyle name="Note 4 3 2 5 2 4" xfId="4920" xr:uid="{00000000-0005-0000-0000-0000D14F0000}"/>
    <cellStyle name="Note 4 3 2 5 2 5" xfId="9275" xr:uid="{00000000-0005-0000-0000-0000D24F0000}"/>
    <cellStyle name="Note 4 3 2 5 2 6" xfId="13116" xr:uid="{00000000-0005-0000-0000-0000D34F0000}"/>
    <cellStyle name="Note 4 3 2 5 2 7" xfId="16942" xr:uid="{00000000-0005-0000-0000-0000D44F0000}"/>
    <cellStyle name="Note 4 3 2 5 2 8" xfId="20884" xr:uid="{00000000-0005-0000-0000-0000D54F0000}"/>
    <cellStyle name="Note 4 3 2 5 2 9" xfId="24699" xr:uid="{00000000-0005-0000-0000-0000D64F0000}"/>
    <cellStyle name="Note 4 3 2 5 3" xfId="1352" xr:uid="{00000000-0005-0000-0000-0000D74F0000}"/>
    <cellStyle name="Note 4 3 2 5 3 10" xfId="32639" xr:uid="{00000000-0005-0000-0000-0000D84F0000}"/>
    <cellStyle name="Note 4 3 2 5 3 11" xfId="36409" xr:uid="{00000000-0005-0000-0000-0000D94F0000}"/>
    <cellStyle name="Note 4 3 2 5 3 12" xfId="40400" xr:uid="{00000000-0005-0000-0000-0000DA4F0000}"/>
    <cellStyle name="Note 4 3 2 5 3 13" xfId="44231" xr:uid="{00000000-0005-0000-0000-0000DB4F0000}"/>
    <cellStyle name="Note 4 3 2 5 3 2" xfId="3342" xr:uid="{00000000-0005-0000-0000-0000DC4F0000}"/>
    <cellStyle name="Note 4 3 2 5 3 2 10" xfId="38393" xr:uid="{00000000-0005-0000-0000-0000DD4F0000}"/>
    <cellStyle name="Note 4 3 2 5 3 2 11" xfId="42404" xr:uid="{00000000-0005-0000-0000-0000DE4F0000}"/>
    <cellStyle name="Note 4 3 2 5 3 2 12" xfId="46169" xr:uid="{00000000-0005-0000-0000-0000DF4F0000}"/>
    <cellStyle name="Note 4 3 2 5 3 2 2" xfId="7209" xr:uid="{00000000-0005-0000-0000-0000E04F0000}"/>
    <cellStyle name="Note 4 3 2 5 3 2 3" xfId="11644" xr:uid="{00000000-0005-0000-0000-0000E14F0000}"/>
    <cellStyle name="Note 4 3 2 5 3 2 4" xfId="15489" xr:uid="{00000000-0005-0000-0000-0000E24F0000}"/>
    <cellStyle name="Note 4 3 2 5 3 2 5" xfId="19336" xr:uid="{00000000-0005-0000-0000-0000E34F0000}"/>
    <cellStyle name="Note 4 3 2 5 3 2 6" xfId="23252" xr:uid="{00000000-0005-0000-0000-0000E44F0000}"/>
    <cellStyle name="Note 4 3 2 5 3 2 7" xfId="27086" xr:uid="{00000000-0005-0000-0000-0000E54F0000}"/>
    <cellStyle name="Note 4 3 2 5 3 2 8" xfId="30954" xr:uid="{00000000-0005-0000-0000-0000E64F0000}"/>
    <cellStyle name="Note 4 3 2 5 3 2 9" xfId="34607" xr:uid="{00000000-0005-0000-0000-0000E74F0000}"/>
    <cellStyle name="Note 4 3 2 5 3 3" xfId="5285" xr:uid="{00000000-0005-0000-0000-0000E84F0000}"/>
    <cellStyle name="Note 4 3 2 5 3 4" xfId="9643" xr:uid="{00000000-0005-0000-0000-0000E94F0000}"/>
    <cellStyle name="Note 4 3 2 5 3 5" xfId="13489" xr:uid="{00000000-0005-0000-0000-0000EA4F0000}"/>
    <cellStyle name="Note 4 3 2 5 3 6" xfId="17318" xr:uid="{00000000-0005-0000-0000-0000EB4F0000}"/>
    <cellStyle name="Note 4 3 2 5 3 7" xfId="21257" xr:uid="{00000000-0005-0000-0000-0000EC4F0000}"/>
    <cellStyle name="Note 4 3 2 5 3 8" xfId="25070" xr:uid="{00000000-0005-0000-0000-0000ED4F0000}"/>
    <cellStyle name="Note 4 3 2 5 3 9" xfId="28957" xr:uid="{00000000-0005-0000-0000-0000EE4F0000}"/>
    <cellStyle name="Note 4 3 2 5 4" xfId="2599" xr:uid="{00000000-0005-0000-0000-0000EF4F0000}"/>
    <cellStyle name="Note 4 3 2 5 4 10" xfId="37651" xr:uid="{00000000-0005-0000-0000-0000F04F0000}"/>
    <cellStyle name="Note 4 3 2 5 4 11" xfId="41665" xr:uid="{00000000-0005-0000-0000-0000F14F0000}"/>
    <cellStyle name="Note 4 3 2 5 4 12" xfId="45452" xr:uid="{00000000-0005-0000-0000-0000F24F0000}"/>
    <cellStyle name="Note 4 3 2 5 4 2" xfId="6489" xr:uid="{00000000-0005-0000-0000-0000F34F0000}"/>
    <cellStyle name="Note 4 3 2 5 4 3" xfId="10913" xr:uid="{00000000-0005-0000-0000-0000F44F0000}"/>
    <cellStyle name="Note 4 3 2 5 4 4" xfId="14757" xr:uid="{00000000-0005-0000-0000-0000F54F0000}"/>
    <cellStyle name="Note 4 3 2 5 4 5" xfId="18593" xr:uid="{00000000-0005-0000-0000-0000F64F0000}"/>
    <cellStyle name="Note 4 3 2 5 4 6" xfId="22526" xr:uid="{00000000-0005-0000-0000-0000F74F0000}"/>
    <cellStyle name="Note 4 3 2 5 4 7" xfId="26344" xr:uid="{00000000-0005-0000-0000-0000F84F0000}"/>
    <cellStyle name="Note 4 3 2 5 4 8" xfId="30223" xr:uid="{00000000-0005-0000-0000-0000F94F0000}"/>
    <cellStyle name="Note 4 3 2 5 4 9" xfId="33890" xr:uid="{00000000-0005-0000-0000-0000FA4F0000}"/>
    <cellStyle name="Note 4 3 2 5 5" xfId="4565" xr:uid="{00000000-0005-0000-0000-0000FB4F0000}"/>
    <cellStyle name="Note 4 3 2 5 6" xfId="8905" xr:uid="{00000000-0005-0000-0000-0000FC4F0000}"/>
    <cellStyle name="Note 4 3 2 5 7" xfId="8683" xr:uid="{00000000-0005-0000-0000-0000FD4F0000}"/>
    <cellStyle name="Note 4 3 2 5 8" xfId="8822" xr:uid="{00000000-0005-0000-0000-0000FE4F0000}"/>
    <cellStyle name="Note 4 3 2 5 9" xfId="20509" xr:uid="{00000000-0005-0000-0000-0000FF4F0000}"/>
    <cellStyle name="Note 4 3 2 6" xfId="766" xr:uid="{00000000-0005-0000-0000-000000500000}"/>
    <cellStyle name="Note 4 3 2 6 10" xfId="24495" xr:uid="{00000000-0005-0000-0000-000001500000}"/>
    <cellStyle name="Note 4 3 2 6 11" xfId="28385" xr:uid="{00000000-0005-0000-0000-000002500000}"/>
    <cellStyle name="Note 4 3 2 6 12" xfId="24468" xr:uid="{00000000-0005-0000-0000-000003500000}"/>
    <cellStyle name="Note 4 3 2 6 13" xfId="35830" xr:uid="{00000000-0005-0000-0000-000004500000}"/>
    <cellStyle name="Note 4 3 2 6 14" xfId="39849" xr:uid="{00000000-0005-0000-0000-000005500000}"/>
    <cellStyle name="Note 4 3 2 6 15" xfId="43656" xr:uid="{00000000-0005-0000-0000-000006500000}"/>
    <cellStyle name="Note 4 3 2 6 2" xfId="1136" xr:uid="{00000000-0005-0000-0000-000007500000}"/>
    <cellStyle name="Note 4 3 2 6 2 10" xfId="28745" xr:uid="{00000000-0005-0000-0000-000008500000}"/>
    <cellStyle name="Note 4 3 2 6 2 11" xfId="32433" xr:uid="{00000000-0005-0000-0000-000009500000}"/>
    <cellStyle name="Note 4 3 2 6 2 12" xfId="36194" xr:uid="{00000000-0005-0000-0000-00000A500000}"/>
    <cellStyle name="Note 4 3 2 6 2 13" xfId="40195" xr:uid="{00000000-0005-0000-0000-00000B500000}"/>
    <cellStyle name="Note 4 3 2 6 2 14" xfId="44020" xr:uid="{00000000-0005-0000-0000-00000C500000}"/>
    <cellStyle name="Note 4 3 2 6 2 2" xfId="1863" xr:uid="{00000000-0005-0000-0000-00000D500000}"/>
    <cellStyle name="Note 4 3 2 6 2 2 10" xfId="33150" xr:uid="{00000000-0005-0000-0000-00000E500000}"/>
    <cellStyle name="Note 4 3 2 6 2 2 11" xfId="36920" xr:uid="{00000000-0005-0000-0000-00000F500000}"/>
    <cellStyle name="Note 4 3 2 6 2 2 12" xfId="40911" xr:uid="{00000000-0005-0000-0000-000010500000}"/>
    <cellStyle name="Note 4 3 2 6 2 2 13" xfId="44742" xr:uid="{00000000-0005-0000-0000-000011500000}"/>
    <cellStyle name="Note 4 3 2 6 2 2 2" xfId="3853" xr:uid="{00000000-0005-0000-0000-000012500000}"/>
    <cellStyle name="Note 4 3 2 6 2 2 2 10" xfId="38904" xr:uid="{00000000-0005-0000-0000-000013500000}"/>
    <cellStyle name="Note 4 3 2 6 2 2 2 11" xfId="42915" xr:uid="{00000000-0005-0000-0000-000014500000}"/>
    <cellStyle name="Note 4 3 2 6 2 2 2 12" xfId="46680" xr:uid="{00000000-0005-0000-0000-000015500000}"/>
    <cellStyle name="Note 4 3 2 6 2 2 2 2" xfId="7720" xr:uid="{00000000-0005-0000-0000-000016500000}"/>
    <cellStyle name="Note 4 3 2 6 2 2 2 3" xfId="12155" xr:uid="{00000000-0005-0000-0000-000017500000}"/>
    <cellStyle name="Note 4 3 2 6 2 2 2 4" xfId="16000" xr:uid="{00000000-0005-0000-0000-000018500000}"/>
    <cellStyle name="Note 4 3 2 6 2 2 2 5" xfId="19847" xr:uid="{00000000-0005-0000-0000-000019500000}"/>
    <cellStyle name="Note 4 3 2 6 2 2 2 6" xfId="23763" xr:uid="{00000000-0005-0000-0000-00001A500000}"/>
    <cellStyle name="Note 4 3 2 6 2 2 2 7" xfId="27597" xr:uid="{00000000-0005-0000-0000-00001B500000}"/>
    <cellStyle name="Note 4 3 2 6 2 2 2 8" xfId="31460" xr:uid="{00000000-0005-0000-0000-00001C500000}"/>
    <cellStyle name="Note 4 3 2 6 2 2 2 9" xfId="35118" xr:uid="{00000000-0005-0000-0000-00001D500000}"/>
    <cellStyle name="Note 4 3 2 6 2 2 3" xfId="5796" xr:uid="{00000000-0005-0000-0000-00001E500000}"/>
    <cellStyle name="Note 4 3 2 6 2 2 4" xfId="10154" xr:uid="{00000000-0005-0000-0000-00001F500000}"/>
    <cellStyle name="Note 4 3 2 6 2 2 5" xfId="14000" xr:uid="{00000000-0005-0000-0000-000020500000}"/>
    <cellStyle name="Note 4 3 2 6 2 2 6" xfId="17829" xr:uid="{00000000-0005-0000-0000-000021500000}"/>
    <cellStyle name="Note 4 3 2 6 2 2 7" xfId="21768" xr:uid="{00000000-0005-0000-0000-000022500000}"/>
    <cellStyle name="Note 4 3 2 6 2 2 8" xfId="25581" xr:uid="{00000000-0005-0000-0000-000023500000}"/>
    <cellStyle name="Note 4 3 2 6 2 2 9" xfId="29468" xr:uid="{00000000-0005-0000-0000-000024500000}"/>
    <cellStyle name="Note 4 3 2 6 2 3" xfId="3126" xr:uid="{00000000-0005-0000-0000-000025500000}"/>
    <cellStyle name="Note 4 3 2 6 2 3 10" xfId="38178" xr:uid="{00000000-0005-0000-0000-000026500000}"/>
    <cellStyle name="Note 4 3 2 6 2 3 11" xfId="42190" xr:uid="{00000000-0005-0000-0000-000027500000}"/>
    <cellStyle name="Note 4 3 2 6 2 3 12" xfId="45963" xr:uid="{00000000-0005-0000-0000-000028500000}"/>
    <cellStyle name="Note 4 3 2 6 2 3 2" xfId="7002" xr:uid="{00000000-0005-0000-0000-000029500000}"/>
    <cellStyle name="Note 4 3 2 6 2 3 3" xfId="11431" xr:uid="{00000000-0005-0000-0000-00002A500000}"/>
    <cellStyle name="Note 4 3 2 6 2 3 4" xfId="15275" xr:uid="{00000000-0005-0000-0000-00002B500000}"/>
    <cellStyle name="Note 4 3 2 6 2 3 5" xfId="19120" xr:uid="{00000000-0005-0000-0000-00002C500000}"/>
    <cellStyle name="Note 4 3 2 6 2 3 6" xfId="23042" xr:uid="{00000000-0005-0000-0000-00002D500000}"/>
    <cellStyle name="Note 4 3 2 6 2 3 7" xfId="26871" xr:uid="{00000000-0005-0000-0000-00002E500000}"/>
    <cellStyle name="Note 4 3 2 6 2 3 8" xfId="30743" xr:uid="{00000000-0005-0000-0000-00002F500000}"/>
    <cellStyle name="Note 4 3 2 6 2 3 9" xfId="34401" xr:uid="{00000000-0005-0000-0000-000030500000}"/>
    <cellStyle name="Note 4 3 2 6 2 4" xfId="5078" xr:uid="{00000000-0005-0000-0000-000031500000}"/>
    <cellStyle name="Note 4 3 2 6 2 5" xfId="9434" xr:uid="{00000000-0005-0000-0000-000032500000}"/>
    <cellStyle name="Note 4 3 2 6 2 6" xfId="13274" xr:uid="{00000000-0005-0000-0000-000033500000}"/>
    <cellStyle name="Note 4 3 2 6 2 7" xfId="17102" xr:uid="{00000000-0005-0000-0000-000034500000}"/>
    <cellStyle name="Note 4 3 2 6 2 8" xfId="21044" xr:uid="{00000000-0005-0000-0000-000035500000}"/>
    <cellStyle name="Note 4 3 2 6 2 9" xfId="24858" xr:uid="{00000000-0005-0000-0000-000036500000}"/>
    <cellStyle name="Note 4 3 2 6 3" xfId="1510" xr:uid="{00000000-0005-0000-0000-000037500000}"/>
    <cellStyle name="Note 4 3 2 6 3 10" xfId="32797" xr:uid="{00000000-0005-0000-0000-000038500000}"/>
    <cellStyle name="Note 4 3 2 6 3 11" xfId="36567" xr:uid="{00000000-0005-0000-0000-000039500000}"/>
    <cellStyle name="Note 4 3 2 6 3 12" xfId="40558" xr:uid="{00000000-0005-0000-0000-00003A500000}"/>
    <cellStyle name="Note 4 3 2 6 3 13" xfId="44389" xr:uid="{00000000-0005-0000-0000-00003B500000}"/>
    <cellStyle name="Note 4 3 2 6 3 2" xfId="3500" xr:uid="{00000000-0005-0000-0000-00003C500000}"/>
    <cellStyle name="Note 4 3 2 6 3 2 10" xfId="38551" xr:uid="{00000000-0005-0000-0000-00003D500000}"/>
    <cellStyle name="Note 4 3 2 6 3 2 11" xfId="42562" xr:uid="{00000000-0005-0000-0000-00003E500000}"/>
    <cellStyle name="Note 4 3 2 6 3 2 12" xfId="46327" xr:uid="{00000000-0005-0000-0000-00003F500000}"/>
    <cellStyle name="Note 4 3 2 6 3 2 2" xfId="7367" xr:uid="{00000000-0005-0000-0000-000040500000}"/>
    <cellStyle name="Note 4 3 2 6 3 2 3" xfId="11802" xr:uid="{00000000-0005-0000-0000-000041500000}"/>
    <cellStyle name="Note 4 3 2 6 3 2 4" xfId="15647" xr:uid="{00000000-0005-0000-0000-000042500000}"/>
    <cellStyle name="Note 4 3 2 6 3 2 5" xfId="19494" xr:uid="{00000000-0005-0000-0000-000043500000}"/>
    <cellStyle name="Note 4 3 2 6 3 2 6" xfId="23410" xr:uid="{00000000-0005-0000-0000-000044500000}"/>
    <cellStyle name="Note 4 3 2 6 3 2 7" xfId="27244" xr:uid="{00000000-0005-0000-0000-000045500000}"/>
    <cellStyle name="Note 4 3 2 6 3 2 8" xfId="31111" xr:uid="{00000000-0005-0000-0000-000046500000}"/>
    <cellStyle name="Note 4 3 2 6 3 2 9" xfId="34765" xr:uid="{00000000-0005-0000-0000-000047500000}"/>
    <cellStyle name="Note 4 3 2 6 3 3" xfId="5443" xr:uid="{00000000-0005-0000-0000-000048500000}"/>
    <cellStyle name="Note 4 3 2 6 3 4" xfId="9801" xr:uid="{00000000-0005-0000-0000-000049500000}"/>
    <cellStyle name="Note 4 3 2 6 3 5" xfId="13647" xr:uid="{00000000-0005-0000-0000-00004A500000}"/>
    <cellStyle name="Note 4 3 2 6 3 6" xfId="17476" xr:uid="{00000000-0005-0000-0000-00004B500000}"/>
    <cellStyle name="Note 4 3 2 6 3 7" xfId="21415" xr:uid="{00000000-0005-0000-0000-00004C500000}"/>
    <cellStyle name="Note 4 3 2 6 3 8" xfId="25228" xr:uid="{00000000-0005-0000-0000-00004D500000}"/>
    <cellStyle name="Note 4 3 2 6 3 9" xfId="29115" xr:uid="{00000000-0005-0000-0000-00004E500000}"/>
    <cellStyle name="Note 4 3 2 6 4" xfId="2762" xr:uid="{00000000-0005-0000-0000-00004F500000}"/>
    <cellStyle name="Note 4 3 2 6 4 10" xfId="37814" xr:uid="{00000000-0005-0000-0000-000050500000}"/>
    <cellStyle name="Note 4 3 2 6 4 11" xfId="41827" xr:uid="{00000000-0005-0000-0000-000051500000}"/>
    <cellStyle name="Note 4 3 2 6 4 12" xfId="45610" xr:uid="{00000000-0005-0000-0000-000052500000}"/>
    <cellStyle name="Note 4 3 2 6 4 2" xfId="6648" xr:uid="{00000000-0005-0000-0000-000053500000}"/>
    <cellStyle name="Note 4 3 2 6 4 3" xfId="11072" xr:uid="{00000000-0005-0000-0000-000054500000}"/>
    <cellStyle name="Note 4 3 2 6 4 4" xfId="14917" xr:uid="{00000000-0005-0000-0000-000055500000}"/>
    <cellStyle name="Note 4 3 2 6 4 5" xfId="18756" xr:uid="{00000000-0005-0000-0000-000056500000}"/>
    <cellStyle name="Note 4 3 2 6 4 6" xfId="22686" xr:uid="{00000000-0005-0000-0000-000057500000}"/>
    <cellStyle name="Note 4 3 2 6 4 7" xfId="26507" xr:uid="{00000000-0005-0000-0000-000058500000}"/>
    <cellStyle name="Note 4 3 2 6 4 8" xfId="30385" xr:uid="{00000000-0005-0000-0000-000059500000}"/>
    <cellStyle name="Note 4 3 2 6 4 9" xfId="34048" xr:uid="{00000000-0005-0000-0000-00005A500000}"/>
    <cellStyle name="Note 4 3 2 6 5" xfId="4724" xr:uid="{00000000-0005-0000-0000-00005B500000}"/>
    <cellStyle name="Note 4 3 2 6 6" xfId="9071" xr:uid="{00000000-0005-0000-0000-00005C500000}"/>
    <cellStyle name="Note 4 3 2 6 7" xfId="12910" xr:uid="{00000000-0005-0000-0000-00005D500000}"/>
    <cellStyle name="Note 4 3 2 6 8" xfId="16736" xr:uid="{00000000-0005-0000-0000-00005E500000}"/>
    <cellStyle name="Note 4 3 2 6 9" xfId="20675" xr:uid="{00000000-0005-0000-0000-00005F500000}"/>
    <cellStyle name="Note 4 3 2 7" xfId="855" xr:uid="{00000000-0005-0000-0000-000060500000}"/>
    <cellStyle name="Note 4 3 2 7 10" xfId="24579" xr:uid="{00000000-0005-0000-0000-000061500000}"/>
    <cellStyle name="Note 4 3 2 7 11" xfId="28470" xr:uid="{00000000-0005-0000-0000-000062500000}"/>
    <cellStyle name="Note 4 3 2 7 12" xfId="32156" xr:uid="{00000000-0005-0000-0000-000063500000}"/>
    <cellStyle name="Note 4 3 2 7 13" xfId="35913" xr:uid="{00000000-0005-0000-0000-000064500000}"/>
    <cellStyle name="Note 4 3 2 7 14" xfId="39924" xr:uid="{00000000-0005-0000-0000-000065500000}"/>
    <cellStyle name="Note 4 3 2 7 15" xfId="43739" xr:uid="{00000000-0005-0000-0000-000066500000}"/>
    <cellStyle name="Note 4 3 2 7 2" xfId="1194" xr:uid="{00000000-0005-0000-0000-000067500000}"/>
    <cellStyle name="Note 4 3 2 7 2 10" xfId="28803" xr:uid="{00000000-0005-0000-0000-000068500000}"/>
    <cellStyle name="Note 4 3 2 7 2 11" xfId="32486" xr:uid="{00000000-0005-0000-0000-000069500000}"/>
    <cellStyle name="Note 4 3 2 7 2 12" xfId="36252" xr:uid="{00000000-0005-0000-0000-00006A500000}"/>
    <cellStyle name="Note 4 3 2 7 2 13" xfId="40246" xr:uid="{00000000-0005-0000-0000-00006B500000}"/>
    <cellStyle name="Note 4 3 2 7 2 14" xfId="44078" xr:uid="{00000000-0005-0000-0000-00006C500000}"/>
    <cellStyle name="Note 4 3 2 7 2 2" xfId="1916" xr:uid="{00000000-0005-0000-0000-00006D500000}"/>
    <cellStyle name="Note 4 3 2 7 2 2 10" xfId="33203" xr:uid="{00000000-0005-0000-0000-00006E500000}"/>
    <cellStyle name="Note 4 3 2 7 2 2 11" xfId="36973" xr:uid="{00000000-0005-0000-0000-00006F500000}"/>
    <cellStyle name="Note 4 3 2 7 2 2 12" xfId="40964" xr:uid="{00000000-0005-0000-0000-000070500000}"/>
    <cellStyle name="Note 4 3 2 7 2 2 13" xfId="44795" xr:uid="{00000000-0005-0000-0000-000071500000}"/>
    <cellStyle name="Note 4 3 2 7 2 2 2" xfId="3906" xr:uid="{00000000-0005-0000-0000-000072500000}"/>
    <cellStyle name="Note 4 3 2 7 2 2 2 10" xfId="38957" xr:uid="{00000000-0005-0000-0000-000073500000}"/>
    <cellStyle name="Note 4 3 2 7 2 2 2 11" xfId="42968" xr:uid="{00000000-0005-0000-0000-000074500000}"/>
    <cellStyle name="Note 4 3 2 7 2 2 2 12" xfId="46733" xr:uid="{00000000-0005-0000-0000-000075500000}"/>
    <cellStyle name="Note 4 3 2 7 2 2 2 2" xfId="7773" xr:uid="{00000000-0005-0000-0000-000076500000}"/>
    <cellStyle name="Note 4 3 2 7 2 2 2 3" xfId="12208" xr:uid="{00000000-0005-0000-0000-000077500000}"/>
    <cellStyle name="Note 4 3 2 7 2 2 2 4" xfId="16053" xr:uid="{00000000-0005-0000-0000-000078500000}"/>
    <cellStyle name="Note 4 3 2 7 2 2 2 5" xfId="19900" xr:uid="{00000000-0005-0000-0000-000079500000}"/>
    <cellStyle name="Note 4 3 2 7 2 2 2 6" xfId="23816" xr:uid="{00000000-0005-0000-0000-00007A500000}"/>
    <cellStyle name="Note 4 3 2 7 2 2 2 7" xfId="27650" xr:uid="{00000000-0005-0000-0000-00007B500000}"/>
    <cellStyle name="Note 4 3 2 7 2 2 2 8" xfId="31512" xr:uid="{00000000-0005-0000-0000-00007C500000}"/>
    <cellStyle name="Note 4 3 2 7 2 2 2 9" xfId="35171" xr:uid="{00000000-0005-0000-0000-00007D500000}"/>
    <cellStyle name="Note 4 3 2 7 2 2 3" xfId="5849" xr:uid="{00000000-0005-0000-0000-00007E500000}"/>
    <cellStyle name="Note 4 3 2 7 2 2 4" xfId="10207" xr:uid="{00000000-0005-0000-0000-00007F500000}"/>
    <cellStyle name="Note 4 3 2 7 2 2 5" xfId="14053" xr:uid="{00000000-0005-0000-0000-000080500000}"/>
    <cellStyle name="Note 4 3 2 7 2 2 6" xfId="17882" xr:uid="{00000000-0005-0000-0000-000081500000}"/>
    <cellStyle name="Note 4 3 2 7 2 2 7" xfId="21821" xr:uid="{00000000-0005-0000-0000-000082500000}"/>
    <cellStyle name="Note 4 3 2 7 2 2 8" xfId="25634" xr:uid="{00000000-0005-0000-0000-000083500000}"/>
    <cellStyle name="Note 4 3 2 7 2 2 9" xfId="29521" xr:uid="{00000000-0005-0000-0000-000084500000}"/>
    <cellStyle name="Note 4 3 2 7 2 3" xfId="3184" xr:uid="{00000000-0005-0000-0000-000085500000}"/>
    <cellStyle name="Note 4 3 2 7 2 3 10" xfId="38236" xr:uid="{00000000-0005-0000-0000-000086500000}"/>
    <cellStyle name="Note 4 3 2 7 2 3 11" xfId="42247" xr:uid="{00000000-0005-0000-0000-000087500000}"/>
    <cellStyle name="Note 4 3 2 7 2 3 12" xfId="46016" xr:uid="{00000000-0005-0000-0000-000088500000}"/>
    <cellStyle name="Note 4 3 2 7 2 3 2" xfId="7056" xr:uid="{00000000-0005-0000-0000-000089500000}"/>
    <cellStyle name="Note 4 3 2 7 2 3 3" xfId="11488" xr:uid="{00000000-0005-0000-0000-00008A500000}"/>
    <cellStyle name="Note 4 3 2 7 2 3 4" xfId="15332" xr:uid="{00000000-0005-0000-0000-00008B500000}"/>
    <cellStyle name="Note 4 3 2 7 2 3 5" xfId="19178" xr:uid="{00000000-0005-0000-0000-00008C500000}"/>
    <cellStyle name="Note 4 3 2 7 2 3 6" xfId="23097" xr:uid="{00000000-0005-0000-0000-00008D500000}"/>
    <cellStyle name="Note 4 3 2 7 2 3 7" xfId="26929" xr:uid="{00000000-0005-0000-0000-00008E500000}"/>
    <cellStyle name="Note 4 3 2 7 2 3 8" xfId="30800" xr:uid="{00000000-0005-0000-0000-00008F500000}"/>
    <cellStyle name="Note 4 3 2 7 2 3 9" xfId="34454" xr:uid="{00000000-0005-0000-0000-000090500000}"/>
    <cellStyle name="Note 4 3 2 7 2 4" xfId="5132" xr:uid="{00000000-0005-0000-0000-000091500000}"/>
    <cellStyle name="Note 4 3 2 7 2 5" xfId="9488" xr:uid="{00000000-0005-0000-0000-000092500000}"/>
    <cellStyle name="Note 4 3 2 7 2 6" xfId="13332" xr:uid="{00000000-0005-0000-0000-000093500000}"/>
    <cellStyle name="Note 4 3 2 7 2 7" xfId="17160" xr:uid="{00000000-0005-0000-0000-000094500000}"/>
    <cellStyle name="Note 4 3 2 7 2 8" xfId="21102" xr:uid="{00000000-0005-0000-0000-000095500000}"/>
    <cellStyle name="Note 4 3 2 7 2 9" xfId="24913" xr:uid="{00000000-0005-0000-0000-000096500000}"/>
    <cellStyle name="Note 4 3 2 7 3" xfId="1586" xr:uid="{00000000-0005-0000-0000-000097500000}"/>
    <cellStyle name="Note 4 3 2 7 3 10" xfId="32873" xr:uid="{00000000-0005-0000-0000-000098500000}"/>
    <cellStyle name="Note 4 3 2 7 3 11" xfId="36643" xr:uid="{00000000-0005-0000-0000-000099500000}"/>
    <cellStyle name="Note 4 3 2 7 3 12" xfId="40634" xr:uid="{00000000-0005-0000-0000-00009A500000}"/>
    <cellStyle name="Note 4 3 2 7 3 13" xfId="44465" xr:uid="{00000000-0005-0000-0000-00009B500000}"/>
    <cellStyle name="Note 4 3 2 7 3 2" xfId="3576" xr:uid="{00000000-0005-0000-0000-00009C500000}"/>
    <cellStyle name="Note 4 3 2 7 3 2 10" xfId="38627" xr:uid="{00000000-0005-0000-0000-00009D500000}"/>
    <cellStyle name="Note 4 3 2 7 3 2 11" xfId="42638" xr:uid="{00000000-0005-0000-0000-00009E500000}"/>
    <cellStyle name="Note 4 3 2 7 3 2 12" xfId="46403" xr:uid="{00000000-0005-0000-0000-00009F500000}"/>
    <cellStyle name="Note 4 3 2 7 3 2 2" xfId="7443" xr:uid="{00000000-0005-0000-0000-0000A0500000}"/>
    <cellStyle name="Note 4 3 2 7 3 2 3" xfId="11878" xr:uid="{00000000-0005-0000-0000-0000A1500000}"/>
    <cellStyle name="Note 4 3 2 7 3 2 4" xfId="15723" xr:uid="{00000000-0005-0000-0000-0000A2500000}"/>
    <cellStyle name="Note 4 3 2 7 3 2 5" xfId="19570" xr:uid="{00000000-0005-0000-0000-0000A3500000}"/>
    <cellStyle name="Note 4 3 2 7 3 2 6" xfId="23486" xr:uid="{00000000-0005-0000-0000-0000A4500000}"/>
    <cellStyle name="Note 4 3 2 7 3 2 7" xfId="27320" xr:uid="{00000000-0005-0000-0000-0000A5500000}"/>
    <cellStyle name="Note 4 3 2 7 3 2 8" xfId="31186" xr:uid="{00000000-0005-0000-0000-0000A6500000}"/>
    <cellStyle name="Note 4 3 2 7 3 2 9" xfId="34841" xr:uid="{00000000-0005-0000-0000-0000A7500000}"/>
    <cellStyle name="Note 4 3 2 7 3 3" xfId="5519" xr:uid="{00000000-0005-0000-0000-0000A8500000}"/>
    <cellStyle name="Note 4 3 2 7 3 4" xfId="9877" xr:uid="{00000000-0005-0000-0000-0000A9500000}"/>
    <cellStyle name="Note 4 3 2 7 3 5" xfId="13723" xr:uid="{00000000-0005-0000-0000-0000AA500000}"/>
    <cellStyle name="Note 4 3 2 7 3 6" xfId="17552" xr:uid="{00000000-0005-0000-0000-0000AB500000}"/>
    <cellStyle name="Note 4 3 2 7 3 7" xfId="21491" xr:uid="{00000000-0005-0000-0000-0000AC500000}"/>
    <cellStyle name="Note 4 3 2 7 3 8" xfId="25304" xr:uid="{00000000-0005-0000-0000-0000AD500000}"/>
    <cellStyle name="Note 4 3 2 7 3 9" xfId="29191" xr:uid="{00000000-0005-0000-0000-0000AE500000}"/>
    <cellStyle name="Note 4 3 2 7 4" xfId="2845" xr:uid="{00000000-0005-0000-0000-0000AF500000}"/>
    <cellStyle name="Note 4 3 2 7 4 10" xfId="37897" xr:uid="{00000000-0005-0000-0000-0000B0500000}"/>
    <cellStyle name="Note 4 3 2 7 4 11" xfId="41909" xr:uid="{00000000-0005-0000-0000-0000B1500000}"/>
    <cellStyle name="Note 4 3 2 7 4 12" xfId="45686" xr:uid="{00000000-0005-0000-0000-0000B2500000}"/>
    <cellStyle name="Note 4 3 2 7 4 2" xfId="6725" xr:uid="{00000000-0005-0000-0000-0000B3500000}"/>
    <cellStyle name="Note 4 3 2 7 4 3" xfId="11152" xr:uid="{00000000-0005-0000-0000-0000B4500000}"/>
    <cellStyle name="Note 4 3 2 7 4 4" xfId="14997" xr:uid="{00000000-0005-0000-0000-0000B5500000}"/>
    <cellStyle name="Note 4 3 2 7 4 5" xfId="18839" xr:uid="{00000000-0005-0000-0000-0000B6500000}"/>
    <cellStyle name="Note 4 3 2 7 4 6" xfId="22765" xr:uid="{00000000-0005-0000-0000-0000B7500000}"/>
    <cellStyle name="Note 4 3 2 7 4 7" xfId="26590" xr:uid="{00000000-0005-0000-0000-0000B8500000}"/>
    <cellStyle name="Note 4 3 2 7 4 8" xfId="30467" xr:uid="{00000000-0005-0000-0000-0000B9500000}"/>
    <cellStyle name="Note 4 3 2 7 4 9" xfId="34124" xr:uid="{00000000-0005-0000-0000-0000BA500000}"/>
    <cellStyle name="Note 4 3 2 7 5" xfId="4801" xr:uid="{00000000-0005-0000-0000-0000BB500000}"/>
    <cellStyle name="Note 4 3 2 7 6" xfId="9155" xr:uid="{00000000-0005-0000-0000-0000BC500000}"/>
    <cellStyle name="Note 4 3 2 7 7" xfId="12996" xr:uid="{00000000-0005-0000-0000-0000BD500000}"/>
    <cellStyle name="Note 4 3 2 7 8" xfId="16821" xr:uid="{00000000-0005-0000-0000-0000BE500000}"/>
    <cellStyle name="Note 4 3 2 7 9" xfId="20763" xr:uid="{00000000-0005-0000-0000-0000BF500000}"/>
    <cellStyle name="Note 4 3 2 8" xfId="830" xr:uid="{00000000-0005-0000-0000-0000C0500000}"/>
    <cellStyle name="Note 4 3 2 8 10" xfId="28445" xr:uid="{00000000-0005-0000-0000-0000C1500000}"/>
    <cellStyle name="Note 4 3 2 8 11" xfId="32131" xr:uid="{00000000-0005-0000-0000-0000C2500000}"/>
    <cellStyle name="Note 4 3 2 8 12" xfId="35888" xr:uid="{00000000-0005-0000-0000-0000C3500000}"/>
    <cellStyle name="Note 4 3 2 8 13" xfId="39899" xr:uid="{00000000-0005-0000-0000-0000C4500000}"/>
    <cellStyle name="Note 4 3 2 8 14" xfId="43714" xr:uid="{00000000-0005-0000-0000-0000C5500000}"/>
    <cellStyle name="Note 4 3 2 8 2" xfId="1561" xr:uid="{00000000-0005-0000-0000-0000C6500000}"/>
    <cellStyle name="Note 4 3 2 8 2 10" xfId="32848" xr:uid="{00000000-0005-0000-0000-0000C7500000}"/>
    <cellStyle name="Note 4 3 2 8 2 11" xfId="36618" xr:uid="{00000000-0005-0000-0000-0000C8500000}"/>
    <cellStyle name="Note 4 3 2 8 2 12" xfId="40609" xr:uid="{00000000-0005-0000-0000-0000C9500000}"/>
    <cellStyle name="Note 4 3 2 8 2 13" xfId="44440" xr:uid="{00000000-0005-0000-0000-0000CA500000}"/>
    <cellStyle name="Note 4 3 2 8 2 2" xfId="3551" xr:uid="{00000000-0005-0000-0000-0000CB500000}"/>
    <cellStyle name="Note 4 3 2 8 2 2 10" xfId="38602" xr:uid="{00000000-0005-0000-0000-0000CC500000}"/>
    <cellStyle name="Note 4 3 2 8 2 2 11" xfId="42613" xr:uid="{00000000-0005-0000-0000-0000CD500000}"/>
    <cellStyle name="Note 4 3 2 8 2 2 12" xfId="46378" xr:uid="{00000000-0005-0000-0000-0000CE500000}"/>
    <cellStyle name="Note 4 3 2 8 2 2 2" xfId="7418" xr:uid="{00000000-0005-0000-0000-0000CF500000}"/>
    <cellStyle name="Note 4 3 2 8 2 2 3" xfId="11853" xr:uid="{00000000-0005-0000-0000-0000D0500000}"/>
    <cellStyle name="Note 4 3 2 8 2 2 4" xfId="15698" xr:uid="{00000000-0005-0000-0000-0000D1500000}"/>
    <cellStyle name="Note 4 3 2 8 2 2 5" xfId="19545" xr:uid="{00000000-0005-0000-0000-0000D2500000}"/>
    <cellStyle name="Note 4 3 2 8 2 2 6" xfId="23461" xr:uid="{00000000-0005-0000-0000-0000D3500000}"/>
    <cellStyle name="Note 4 3 2 8 2 2 7" xfId="27295" xr:uid="{00000000-0005-0000-0000-0000D4500000}"/>
    <cellStyle name="Note 4 3 2 8 2 2 8" xfId="31161" xr:uid="{00000000-0005-0000-0000-0000D5500000}"/>
    <cellStyle name="Note 4 3 2 8 2 2 9" xfId="34816" xr:uid="{00000000-0005-0000-0000-0000D6500000}"/>
    <cellStyle name="Note 4 3 2 8 2 3" xfId="5494" xr:uid="{00000000-0005-0000-0000-0000D7500000}"/>
    <cellStyle name="Note 4 3 2 8 2 4" xfId="9852" xr:uid="{00000000-0005-0000-0000-0000D8500000}"/>
    <cellStyle name="Note 4 3 2 8 2 5" xfId="13698" xr:uid="{00000000-0005-0000-0000-0000D9500000}"/>
    <cellStyle name="Note 4 3 2 8 2 6" xfId="17527" xr:uid="{00000000-0005-0000-0000-0000DA500000}"/>
    <cellStyle name="Note 4 3 2 8 2 7" xfId="21466" xr:uid="{00000000-0005-0000-0000-0000DB500000}"/>
    <cellStyle name="Note 4 3 2 8 2 8" xfId="25279" xr:uid="{00000000-0005-0000-0000-0000DC500000}"/>
    <cellStyle name="Note 4 3 2 8 2 9" xfId="29166" xr:uid="{00000000-0005-0000-0000-0000DD500000}"/>
    <cellStyle name="Note 4 3 2 8 3" xfId="2820" xr:uid="{00000000-0005-0000-0000-0000DE500000}"/>
    <cellStyle name="Note 4 3 2 8 3 10" xfId="37872" xr:uid="{00000000-0005-0000-0000-0000DF500000}"/>
    <cellStyle name="Note 4 3 2 8 3 11" xfId="41884" xr:uid="{00000000-0005-0000-0000-0000E0500000}"/>
    <cellStyle name="Note 4 3 2 8 3 12" xfId="45661" xr:uid="{00000000-0005-0000-0000-0000E1500000}"/>
    <cellStyle name="Note 4 3 2 8 3 2" xfId="6700" xr:uid="{00000000-0005-0000-0000-0000E2500000}"/>
    <cellStyle name="Note 4 3 2 8 3 3" xfId="11127" xr:uid="{00000000-0005-0000-0000-0000E3500000}"/>
    <cellStyle name="Note 4 3 2 8 3 4" xfId="14972" xr:uid="{00000000-0005-0000-0000-0000E4500000}"/>
    <cellStyle name="Note 4 3 2 8 3 5" xfId="18814" xr:uid="{00000000-0005-0000-0000-0000E5500000}"/>
    <cellStyle name="Note 4 3 2 8 3 6" xfId="22740" xr:uid="{00000000-0005-0000-0000-0000E6500000}"/>
    <cellStyle name="Note 4 3 2 8 3 7" xfId="26565" xr:uid="{00000000-0005-0000-0000-0000E7500000}"/>
    <cellStyle name="Note 4 3 2 8 3 8" xfId="30442" xr:uid="{00000000-0005-0000-0000-0000E8500000}"/>
    <cellStyle name="Note 4 3 2 8 3 9" xfId="34099" xr:uid="{00000000-0005-0000-0000-0000E9500000}"/>
    <cellStyle name="Note 4 3 2 8 4" xfId="4776" xr:uid="{00000000-0005-0000-0000-0000EA500000}"/>
    <cellStyle name="Note 4 3 2 8 5" xfId="9130" xr:uid="{00000000-0005-0000-0000-0000EB500000}"/>
    <cellStyle name="Note 4 3 2 8 6" xfId="12971" xr:uid="{00000000-0005-0000-0000-0000EC500000}"/>
    <cellStyle name="Note 4 3 2 8 7" xfId="16796" xr:uid="{00000000-0005-0000-0000-0000ED500000}"/>
    <cellStyle name="Note 4 3 2 8 8" xfId="20738" xr:uid="{00000000-0005-0000-0000-0000EE500000}"/>
    <cellStyle name="Note 4 3 2 8 9" xfId="24554" xr:uid="{00000000-0005-0000-0000-0000EF500000}"/>
    <cellStyle name="Note 4 3 2 9" xfId="1281" xr:uid="{00000000-0005-0000-0000-0000F0500000}"/>
    <cellStyle name="Note 4 3 2 9 10" xfId="32568" xr:uid="{00000000-0005-0000-0000-0000F1500000}"/>
    <cellStyle name="Note 4 3 2 9 11" xfId="36338" xr:uid="{00000000-0005-0000-0000-0000F2500000}"/>
    <cellStyle name="Note 4 3 2 9 12" xfId="40330" xr:uid="{00000000-0005-0000-0000-0000F3500000}"/>
    <cellStyle name="Note 4 3 2 9 13" xfId="44160" xr:uid="{00000000-0005-0000-0000-0000F4500000}"/>
    <cellStyle name="Note 4 3 2 9 2" xfId="3271" xr:uid="{00000000-0005-0000-0000-0000F5500000}"/>
    <cellStyle name="Note 4 3 2 9 2 10" xfId="38322" xr:uid="{00000000-0005-0000-0000-0000F6500000}"/>
    <cellStyle name="Note 4 3 2 9 2 11" xfId="42333" xr:uid="{00000000-0005-0000-0000-0000F7500000}"/>
    <cellStyle name="Note 4 3 2 9 2 12" xfId="46098" xr:uid="{00000000-0005-0000-0000-0000F8500000}"/>
    <cellStyle name="Note 4 3 2 9 2 2" xfId="7138" xr:uid="{00000000-0005-0000-0000-0000F9500000}"/>
    <cellStyle name="Note 4 3 2 9 2 3" xfId="11573" xr:uid="{00000000-0005-0000-0000-0000FA500000}"/>
    <cellStyle name="Note 4 3 2 9 2 4" xfId="15418" xr:uid="{00000000-0005-0000-0000-0000FB500000}"/>
    <cellStyle name="Note 4 3 2 9 2 5" xfId="19265" xr:uid="{00000000-0005-0000-0000-0000FC500000}"/>
    <cellStyle name="Note 4 3 2 9 2 6" xfId="23181" xr:uid="{00000000-0005-0000-0000-0000FD500000}"/>
    <cellStyle name="Note 4 3 2 9 2 7" xfId="27015" xr:uid="{00000000-0005-0000-0000-0000FE500000}"/>
    <cellStyle name="Note 4 3 2 9 2 8" xfId="30885" xr:uid="{00000000-0005-0000-0000-0000FF500000}"/>
    <cellStyle name="Note 4 3 2 9 2 9" xfId="34536" xr:uid="{00000000-0005-0000-0000-000000510000}"/>
    <cellStyle name="Note 4 3 2 9 3" xfId="5214" xr:uid="{00000000-0005-0000-0000-000001510000}"/>
    <cellStyle name="Note 4 3 2 9 4" xfId="9572" xr:uid="{00000000-0005-0000-0000-000002510000}"/>
    <cellStyle name="Note 4 3 2 9 5" xfId="13418" xr:uid="{00000000-0005-0000-0000-000003510000}"/>
    <cellStyle name="Note 4 3 2 9 6" xfId="17247" xr:uid="{00000000-0005-0000-0000-000004510000}"/>
    <cellStyle name="Note 4 3 2 9 7" xfId="21186" xr:uid="{00000000-0005-0000-0000-000005510000}"/>
    <cellStyle name="Note 4 3 2 9 8" xfId="24999" xr:uid="{00000000-0005-0000-0000-000006510000}"/>
    <cellStyle name="Note 4 3 2 9 9" xfId="28887" xr:uid="{00000000-0005-0000-0000-000007510000}"/>
    <cellStyle name="Note 4 3 20" xfId="2529" xr:uid="{00000000-0005-0000-0000-000008510000}"/>
    <cellStyle name="Note 4 3 20 10" xfId="37581" xr:uid="{00000000-0005-0000-0000-000009510000}"/>
    <cellStyle name="Note 4 3 20 11" xfId="41595" xr:uid="{00000000-0005-0000-0000-00000A510000}"/>
    <cellStyle name="Note 4 3 20 12" xfId="45384" xr:uid="{00000000-0005-0000-0000-00000B510000}"/>
    <cellStyle name="Note 4 3 20 2" xfId="6421" xr:uid="{00000000-0005-0000-0000-00000C510000}"/>
    <cellStyle name="Note 4 3 20 3" xfId="10844" xr:uid="{00000000-0005-0000-0000-00000D510000}"/>
    <cellStyle name="Note 4 3 20 4" xfId="14688" xr:uid="{00000000-0005-0000-0000-00000E510000}"/>
    <cellStyle name="Note 4 3 20 5" xfId="18523" xr:uid="{00000000-0005-0000-0000-00000F510000}"/>
    <cellStyle name="Note 4 3 20 6" xfId="22458" xr:uid="{00000000-0005-0000-0000-000010510000}"/>
    <cellStyle name="Note 4 3 20 7" xfId="26274" xr:uid="{00000000-0005-0000-0000-000011510000}"/>
    <cellStyle name="Note 4 3 20 8" xfId="30153" xr:uid="{00000000-0005-0000-0000-000012510000}"/>
    <cellStyle name="Note 4 3 20 9" xfId="33822" xr:uid="{00000000-0005-0000-0000-000013510000}"/>
    <cellStyle name="Note 4 3 21" xfId="8704" xr:uid="{00000000-0005-0000-0000-000014510000}"/>
    <cellStyle name="Note 4 3 22" xfId="8796" xr:uid="{00000000-0005-0000-0000-000015510000}"/>
    <cellStyle name="Note 4 3 23" xfId="8520" xr:uid="{00000000-0005-0000-0000-000016510000}"/>
    <cellStyle name="Note 4 3 24" xfId="10754" xr:uid="{00000000-0005-0000-0000-000017510000}"/>
    <cellStyle name="Note 4 3 25" xfId="8561" xr:uid="{00000000-0005-0000-0000-000018510000}"/>
    <cellStyle name="Note 4 3 26" xfId="24503" xr:uid="{00000000-0005-0000-0000-000019510000}"/>
    <cellStyle name="Note 4 3 27" xfId="16743" xr:uid="{00000000-0005-0000-0000-00001A510000}"/>
    <cellStyle name="Note 4 3 28" xfId="29684" xr:uid="{00000000-0005-0000-0000-00001B510000}"/>
    <cellStyle name="Note 4 3 29" xfId="39618" xr:uid="{00000000-0005-0000-0000-00001C510000}"/>
    <cellStyle name="Note 4 3 3" xfId="484" xr:uid="{00000000-0005-0000-0000-00001D510000}"/>
    <cellStyle name="Note 4 3 3 10" xfId="829" xr:uid="{00000000-0005-0000-0000-00001E510000}"/>
    <cellStyle name="Note 4 3 3 10 10" xfId="28444" xr:uid="{00000000-0005-0000-0000-00001F510000}"/>
    <cellStyle name="Note 4 3 3 10 11" xfId="32130" xr:uid="{00000000-0005-0000-0000-000020510000}"/>
    <cellStyle name="Note 4 3 3 10 12" xfId="35887" xr:uid="{00000000-0005-0000-0000-000021510000}"/>
    <cellStyle name="Note 4 3 3 10 13" xfId="39898" xr:uid="{00000000-0005-0000-0000-000022510000}"/>
    <cellStyle name="Note 4 3 3 10 14" xfId="43713" xr:uid="{00000000-0005-0000-0000-000023510000}"/>
    <cellStyle name="Note 4 3 3 10 2" xfId="1560" xr:uid="{00000000-0005-0000-0000-000024510000}"/>
    <cellStyle name="Note 4 3 3 10 2 10" xfId="32847" xr:uid="{00000000-0005-0000-0000-000025510000}"/>
    <cellStyle name="Note 4 3 3 10 2 11" xfId="36617" xr:uid="{00000000-0005-0000-0000-000026510000}"/>
    <cellStyle name="Note 4 3 3 10 2 12" xfId="40608" xr:uid="{00000000-0005-0000-0000-000027510000}"/>
    <cellStyle name="Note 4 3 3 10 2 13" xfId="44439" xr:uid="{00000000-0005-0000-0000-000028510000}"/>
    <cellStyle name="Note 4 3 3 10 2 2" xfId="3550" xr:uid="{00000000-0005-0000-0000-000029510000}"/>
    <cellStyle name="Note 4 3 3 10 2 2 10" xfId="38601" xr:uid="{00000000-0005-0000-0000-00002A510000}"/>
    <cellStyle name="Note 4 3 3 10 2 2 11" xfId="42612" xr:uid="{00000000-0005-0000-0000-00002B510000}"/>
    <cellStyle name="Note 4 3 3 10 2 2 12" xfId="46377" xr:uid="{00000000-0005-0000-0000-00002C510000}"/>
    <cellStyle name="Note 4 3 3 10 2 2 2" xfId="7417" xr:uid="{00000000-0005-0000-0000-00002D510000}"/>
    <cellStyle name="Note 4 3 3 10 2 2 3" xfId="11852" xr:uid="{00000000-0005-0000-0000-00002E510000}"/>
    <cellStyle name="Note 4 3 3 10 2 2 4" xfId="15697" xr:uid="{00000000-0005-0000-0000-00002F510000}"/>
    <cellStyle name="Note 4 3 3 10 2 2 5" xfId="19544" xr:uid="{00000000-0005-0000-0000-000030510000}"/>
    <cellStyle name="Note 4 3 3 10 2 2 6" xfId="23460" xr:uid="{00000000-0005-0000-0000-000031510000}"/>
    <cellStyle name="Note 4 3 3 10 2 2 7" xfId="27294" xr:uid="{00000000-0005-0000-0000-000032510000}"/>
    <cellStyle name="Note 4 3 3 10 2 2 8" xfId="31160" xr:uid="{00000000-0005-0000-0000-000033510000}"/>
    <cellStyle name="Note 4 3 3 10 2 2 9" xfId="34815" xr:uid="{00000000-0005-0000-0000-000034510000}"/>
    <cellStyle name="Note 4 3 3 10 2 3" xfId="5493" xr:uid="{00000000-0005-0000-0000-000035510000}"/>
    <cellStyle name="Note 4 3 3 10 2 4" xfId="9851" xr:uid="{00000000-0005-0000-0000-000036510000}"/>
    <cellStyle name="Note 4 3 3 10 2 5" xfId="13697" xr:uid="{00000000-0005-0000-0000-000037510000}"/>
    <cellStyle name="Note 4 3 3 10 2 6" xfId="17526" xr:uid="{00000000-0005-0000-0000-000038510000}"/>
    <cellStyle name="Note 4 3 3 10 2 7" xfId="21465" xr:uid="{00000000-0005-0000-0000-000039510000}"/>
    <cellStyle name="Note 4 3 3 10 2 8" xfId="25278" xr:uid="{00000000-0005-0000-0000-00003A510000}"/>
    <cellStyle name="Note 4 3 3 10 2 9" xfId="29165" xr:uid="{00000000-0005-0000-0000-00003B510000}"/>
    <cellStyle name="Note 4 3 3 10 3" xfId="2819" xr:uid="{00000000-0005-0000-0000-00003C510000}"/>
    <cellStyle name="Note 4 3 3 10 3 10" xfId="37871" xr:uid="{00000000-0005-0000-0000-00003D510000}"/>
    <cellStyle name="Note 4 3 3 10 3 11" xfId="41883" xr:uid="{00000000-0005-0000-0000-00003E510000}"/>
    <cellStyle name="Note 4 3 3 10 3 12" xfId="45660" xr:uid="{00000000-0005-0000-0000-00003F510000}"/>
    <cellStyle name="Note 4 3 3 10 3 2" xfId="6699" xr:uid="{00000000-0005-0000-0000-000040510000}"/>
    <cellStyle name="Note 4 3 3 10 3 3" xfId="11126" xr:uid="{00000000-0005-0000-0000-000041510000}"/>
    <cellStyle name="Note 4 3 3 10 3 4" xfId="14971" xr:uid="{00000000-0005-0000-0000-000042510000}"/>
    <cellStyle name="Note 4 3 3 10 3 5" xfId="18813" xr:uid="{00000000-0005-0000-0000-000043510000}"/>
    <cellStyle name="Note 4 3 3 10 3 6" xfId="22739" xr:uid="{00000000-0005-0000-0000-000044510000}"/>
    <cellStyle name="Note 4 3 3 10 3 7" xfId="26564" xr:uid="{00000000-0005-0000-0000-000045510000}"/>
    <cellStyle name="Note 4 3 3 10 3 8" xfId="30441" xr:uid="{00000000-0005-0000-0000-000046510000}"/>
    <cellStyle name="Note 4 3 3 10 3 9" xfId="34098" xr:uid="{00000000-0005-0000-0000-000047510000}"/>
    <cellStyle name="Note 4 3 3 10 4" xfId="4775" xr:uid="{00000000-0005-0000-0000-000048510000}"/>
    <cellStyle name="Note 4 3 3 10 5" xfId="9129" xr:uid="{00000000-0005-0000-0000-000049510000}"/>
    <cellStyle name="Note 4 3 3 10 6" xfId="12970" xr:uid="{00000000-0005-0000-0000-00004A510000}"/>
    <cellStyle name="Note 4 3 3 10 7" xfId="16795" xr:uid="{00000000-0005-0000-0000-00004B510000}"/>
    <cellStyle name="Note 4 3 3 10 8" xfId="20737" xr:uid="{00000000-0005-0000-0000-00004C510000}"/>
    <cellStyle name="Note 4 3 3 10 9" xfId="24553" xr:uid="{00000000-0005-0000-0000-00004D510000}"/>
    <cellStyle name="Note 4 3 3 11" xfId="1282" xr:uid="{00000000-0005-0000-0000-00004E510000}"/>
    <cellStyle name="Note 4 3 3 11 10" xfId="32569" xr:uid="{00000000-0005-0000-0000-00004F510000}"/>
    <cellStyle name="Note 4 3 3 11 11" xfId="36339" xr:uid="{00000000-0005-0000-0000-000050510000}"/>
    <cellStyle name="Note 4 3 3 11 12" xfId="40331" xr:uid="{00000000-0005-0000-0000-000051510000}"/>
    <cellStyle name="Note 4 3 3 11 13" xfId="44161" xr:uid="{00000000-0005-0000-0000-000052510000}"/>
    <cellStyle name="Note 4 3 3 11 2" xfId="3272" xr:uid="{00000000-0005-0000-0000-000053510000}"/>
    <cellStyle name="Note 4 3 3 11 2 10" xfId="38323" xr:uid="{00000000-0005-0000-0000-000054510000}"/>
    <cellStyle name="Note 4 3 3 11 2 11" xfId="42334" xr:uid="{00000000-0005-0000-0000-000055510000}"/>
    <cellStyle name="Note 4 3 3 11 2 12" xfId="46099" xr:uid="{00000000-0005-0000-0000-000056510000}"/>
    <cellStyle name="Note 4 3 3 11 2 2" xfId="7139" xr:uid="{00000000-0005-0000-0000-000057510000}"/>
    <cellStyle name="Note 4 3 3 11 2 3" xfId="11574" xr:uid="{00000000-0005-0000-0000-000058510000}"/>
    <cellStyle name="Note 4 3 3 11 2 4" xfId="15419" xr:uid="{00000000-0005-0000-0000-000059510000}"/>
    <cellStyle name="Note 4 3 3 11 2 5" xfId="19266" xr:uid="{00000000-0005-0000-0000-00005A510000}"/>
    <cellStyle name="Note 4 3 3 11 2 6" xfId="23182" xr:uid="{00000000-0005-0000-0000-00005B510000}"/>
    <cellStyle name="Note 4 3 3 11 2 7" xfId="27016" xr:uid="{00000000-0005-0000-0000-00005C510000}"/>
    <cellStyle name="Note 4 3 3 11 2 8" xfId="30886" xr:uid="{00000000-0005-0000-0000-00005D510000}"/>
    <cellStyle name="Note 4 3 3 11 2 9" xfId="34537" xr:uid="{00000000-0005-0000-0000-00005E510000}"/>
    <cellStyle name="Note 4 3 3 11 3" xfId="5215" xr:uid="{00000000-0005-0000-0000-00005F510000}"/>
    <cellStyle name="Note 4 3 3 11 4" xfId="9573" xr:uid="{00000000-0005-0000-0000-000060510000}"/>
    <cellStyle name="Note 4 3 3 11 5" xfId="13419" xr:uid="{00000000-0005-0000-0000-000061510000}"/>
    <cellStyle name="Note 4 3 3 11 6" xfId="17248" xr:uid="{00000000-0005-0000-0000-000062510000}"/>
    <cellStyle name="Note 4 3 3 11 7" xfId="21187" xr:uid="{00000000-0005-0000-0000-000063510000}"/>
    <cellStyle name="Note 4 3 3 11 8" xfId="25000" xr:uid="{00000000-0005-0000-0000-000064510000}"/>
    <cellStyle name="Note 4 3 3 11 9" xfId="28888" xr:uid="{00000000-0005-0000-0000-000065510000}"/>
    <cellStyle name="Note 4 3 3 12" xfId="1978" xr:uid="{00000000-0005-0000-0000-000066510000}"/>
    <cellStyle name="Note 4 3 3 12 10" xfId="33265" xr:uid="{00000000-0005-0000-0000-000067510000}"/>
    <cellStyle name="Note 4 3 3 12 11" xfId="37035" xr:uid="{00000000-0005-0000-0000-000068510000}"/>
    <cellStyle name="Note 4 3 3 12 12" xfId="41026" xr:uid="{00000000-0005-0000-0000-000069510000}"/>
    <cellStyle name="Note 4 3 3 12 13" xfId="44857" xr:uid="{00000000-0005-0000-0000-00006A510000}"/>
    <cellStyle name="Note 4 3 3 12 2" xfId="3968" xr:uid="{00000000-0005-0000-0000-00006B510000}"/>
    <cellStyle name="Note 4 3 3 12 2 10" xfId="39019" xr:uid="{00000000-0005-0000-0000-00006C510000}"/>
    <cellStyle name="Note 4 3 3 12 2 11" xfId="43030" xr:uid="{00000000-0005-0000-0000-00006D510000}"/>
    <cellStyle name="Note 4 3 3 12 2 12" xfId="46795" xr:uid="{00000000-0005-0000-0000-00006E510000}"/>
    <cellStyle name="Note 4 3 3 12 2 2" xfId="7835" xr:uid="{00000000-0005-0000-0000-00006F510000}"/>
    <cellStyle name="Note 4 3 3 12 2 3" xfId="12270" xr:uid="{00000000-0005-0000-0000-000070510000}"/>
    <cellStyle name="Note 4 3 3 12 2 4" xfId="16115" xr:uid="{00000000-0005-0000-0000-000071510000}"/>
    <cellStyle name="Note 4 3 3 12 2 5" xfId="19962" xr:uid="{00000000-0005-0000-0000-000072510000}"/>
    <cellStyle name="Note 4 3 3 12 2 6" xfId="23878" xr:uid="{00000000-0005-0000-0000-000073510000}"/>
    <cellStyle name="Note 4 3 3 12 2 7" xfId="27712" xr:uid="{00000000-0005-0000-0000-000074510000}"/>
    <cellStyle name="Note 4 3 3 12 2 8" xfId="31572" xr:uid="{00000000-0005-0000-0000-000075510000}"/>
    <cellStyle name="Note 4 3 3 12 2 9" xfId="35233" xr:uid="{00000000-0005-0000-0000-000076510000}"/>
    <cellStyle name="Note 4 3 3 12 3" xfId="5911" xr:uid="{00000000-0005-0000-0000-000077510000}"/>
    <cellStyle name="Note 4 3 3 12 4" xfId="10269" xr:uid="{00000000-0005-0000-0000-000078510000}"/>
    <cellStyle name="Note 4 3 3 12 5" xfId="14115" xr:uid="{00000000-0005-0000-0000-000079510000}"/>
    <cellStyle name="Note 4 3 3 12 6" xfId="17944" xr:uid="{00000000-0005-0000-0000-00007A510000}"/>
    <cellStyle name="Note 4 3 3 12 7" xfId="21883" xr:uid="{00000000-0005-0000-0000-00007B510000}"/>
    <cellStyle name="Note 4 3 3 12 8" xfId="25696" xr:uid="{00000000-0005-0000-0000-00007C510000}"/>
    <cellStyle name="Note 4 3 3 12 9" xfId="29583" xr:uid="{00000000-0005-0000-0000-00007D510000}"/>
    <cellStyle name="Note 4 3 3 13" xfId="1270" xr:uid="{00000000-0005-0000-0000-00007E510000}"/>
    <cellStyle name="Note 4 3 3 13 10" xfId="32557" xr:uid="{00000000-0005-0000-0000-00007F510000}"/>
    <cellStyle name="Note 4 3 3 13 11" xfId="36327" xr:uid="{00000000-0005-0000-0000-000080510000}"/>
    <cellStyle name="Note 4 3 3 13 12" xfId="40319" xr:uid="{00000000-0005-0000-0000-000081510000}"/>
    <cellStyle name="Note 4 3 3 13 13" xfId="44149" xr:uid="{00000000-0005-0000-0000-000082510000}"/>
    <cellStyle name="Note 4 3 3 13 2" xfId="3260" xr:uid="{00000000-0005-0000-0000-000083510000}"/>
    <cellStyle name="Note 4 3 3 13 2 10" xfId="38311" xr:uid="{00000000-0005-0000-0000-000084510000}"/>
    <cellStyle name="Note 4 3 3 13 2 11" xfId="42322" xr:uid="{00000000-0005-0000-0000-000085510000}"/>
    <cellStyle name="Note 4 3 3 13 2 12" xfId="46087" xr:uid="{00000000-0005-0000-0000-000086510000}"/>
    <cellStyle name="Note 4 3 3 13 2 2" xfId="7127" xr:uid="{00000000-0005-0000-0000-000087510000}"/>
    <cellStyle name="Note 4 3 3 13 2 3" xfId="11562" xr:uid="{00000000-0005-0000-0000-000088510000}"/>
    <cellStyle name="Note 4 3 3 13 2 4" xfId="15407" xr:uid="{00000000-0005-0000-0000-000089510000}"/>
    <cellStyle name="Note 4 3 3 13 2 5" xfId="19254" xr:uid="{00000000-0005-0000-0000-00008A510000}"/>
    <cellStyle name="Note 4 3 3 13 2 6" xfId="23170" xr:uid="{00000000-0005-0000-0000-00008B510000}"/>
    <cellStyle name="Note 4 3 3 13 2 7" xfId="27004" xr:uid="{00000000-0005-0000-0000-00008C510000}"/>
    <cellStyle name="Note 4 3 3 13 2 8" xfId="30874" xr:uid="{00000000-0005-0000-0000-00008D510000}"/>
    <cellStyle name="Note 4 3 3 13 2 9" xfId="34525" xr:uid="{00000000-0005-0000-0000-00008E510000}"/>
    <cellStyle name="Note 4 3 3 13 3" xfId="5203" xr:uid="{00000000-0005-0000-0000-00008F510000}"/>
    <cellStyle name="Note 4 3 3 13 4" xfId="9561" xr:uid="{00000000-0005-0000-0000-000090510000}"/>
    <cellStyle name="Note 4 3 3 13 5" xfId="13407" xr:uid="{00000000-0005-0000-0000-000091510000}"/>
    <cellStyle name="Note 4 3 3 13 6" xfId="17236" xr:uid="{00000000-0005-0000-0000-000092510000}"/>
    <cellStyle name="Note 4 3 3 13 7" xfId="21175" xr:uid="{00000000-0005-0000-0000-000093510000}"/>
    <cellStyle name="Note 4 3 3 13 8" xfId="24988" xr:uid="{00000000-0005-0000-0000-000094510000}"/>
    <cellStyle name="Note 4 3 3 13 9" xfId="28876" xr:uid="{00000000-0005-0000-0000-000095510000}"/>
    <cellStyle name="Note 4 3 3 14" xfId="2163" xr:uid="{00000000-0005-0000-0000-000096510000}"/>
    <cellStyle name="Note 4 3 3 14 10" xfId="33464" xr:uid="{00000000-0005-0000-0000-000097510000}"/>
    <cellStyle name="Note 4 3 3 14 11" xfId="37215" xr:uid="{00000000-0005-0000-0000-000098510000}"/>
    <cellStyle name="Note 4 3 3 14 12" xfId="41231" xr:uid="{00000000-0005-0000-0000-000099510000}"/>
    <cellStyle name="Note 4 3 3 14 13" xfId="45026" xr:uid="{00000000-0005-0000-0000-00009A510000}"/>
    <cellStyle name="Note 4 3 3 14 2" xfId="4146" xr:uid="{00000000-0005-0000-0000-00009B510000}"/>
    <cellStyle name="Note 4 3 3 14 2 10" xfId="39197" xr:uid="{00000000-0005-0000-0000-00009C510000}"/>
    <cellStyle name="Note 4 3 3 14 2 11" xfId="43207" xr:uid="{00000000-0005-0000-0000-00009D510000}"/>
    <cellStyle name="Note 4 3 3 14 2 12" xfId="46964" xr:uid="{00000000-0005-0000-0000-00009E510000}"/>
    <cellStyle name="Note 4 3 3 14 2 2" xfId="8005" xr:uid="{00000000-0005-0000-0000-00009F510000}"/>
    <cellStyle name="Note 4 3 3 14 2 3" xfId="12445" xr:uid="{00000000-0005-0000-0000-0000A0510000}"/>
    <cellStyle name="Note 4 3 3 14 2 4" xfId="16290" xr:uid="{00000000-0005-0000-0000-0000A1510000}"/>
    <cellStyle name="Note 4 3 3 14 2 5" xfId="20140" xr:uid="{00000000-0005-0000-0000-0000A2510000}"/>
    <cellStyle name="Note 4 3 3 14 2 6" xfId="24052" xr:uid="{00000000-0005-0000-0000-0000A3510000}"/>
    <cellStyle name="Note 4 3 3 14 2 7" xfId="27890" xr:uid="{00000000-0005-0000-0000-0000A4510000}"/>
    <cellStyle name="Note 4 3 3 14 2 8" xfId="31749" xr:uid="{00000000-0005-0000-0000-0000A5510000}"/>
    <cellStyle name="Note 4 3 3 14 2 9" xfId="35402" xr:uid="{00000000-0005-0000-0000-0000A6510000}"/>
    <cellStyle name="Note 4 3 3 14 3" xfId="6079" xr:uid="{00000000-0005-0000-0000-0000A7510000}"/>
    <cellStyle name="Note 4 3 3 14 4" xfId="10480" xr:uid="{00000000-0005-0000-0000-0000A8510000}"/>
    <cellStyle name="Note 4 3 3 14 5" xfId="14326" xr:uid="{00000000-0005-0000-0000-0000A9510000}"/>
    <cellStyle name="Note 4 3 3 14 6" xfId="18157" xr:uid="{00000000-0005-0000-0000-0000AA510000}"/>
    <cellStyle name="Note 4 3 3 14 7" xfId="22096" xr:uid="{00000000-0005-0000-0000-0000AB510000}"/>
    <cellStyle name="Note 4 3 3 14 8" xfId="25908" xr:uid="{00000000-0005-0000-0000-0000AC510000}"/>
    <cellStyle name="Note 4 3 3 14 9" xfId="29788" xr:uid="{00000000-0005-0000-0000-0000AD510000}"/>
    <cellStyle name="Note 4 3 3 15" xfId="2233" xr:uid="{00000000-0005-0000-0000-0000AE510000}"/>
    <cellStyle name="Note 4 3 3 15 10" xfId="33534" xr:uid="{00000000-0005-0000-0000-0000AF510000}"/>
    <cellStyle name="Note 4 3 3 15 11" xfId="37285" xr:uid="{00000000-0005-0000-0000-0000B0510000}"/>
    <cellStyle name="Note 4 3 3 15 12" xfId="41301" xr:uid="{00000000-0005-0000-0000-0000B1510000}"/>
    <cellStyle name="Note 4 3 3 15 13" xfId="45096" xr:uid="{00000000-0005-0000-0000-0000B2510000}"/>
    <cellStyle name="Note 4 3 3 15 2" xfId="4216" xr:uid="{00000000-0005-0000-0000-0000B3510000}"/>
    <cellStyle name="Note 4 3 3 15 2 10" xfId="39267" xr:uid="{00000000-0005-0000-0000-0000B4510000}"/>
    <cellStyle name="Note 4 3 3 15 2 11" xfId="43277" xr:uid="{00000000-0005-0000-0000-0000B5510000}"/>
    <cellStyle name="Note 4 3 3 15 2 12" xfId="47034" xr:uid="{00000000-0005-0000-0000-0000B6510000}"/>
    <cellStyle name="Note 4 3 3 15 2 2" xfId="8075" xr:uid="{00000000-0005-0000-0000-0000B7510000}"/>
    <cellStyle name="Note 4 3 3 15 2 3" xfId="12515" xr:uid="{00000000-0005-0000-0000-0000B8510000}"/>
    <cellStyle name="Note 4 3 3 15 2 4" xfId="16360" xr:uid="{00000000-0005-0000-0000-0000B9510000}"/>
    <cellStyle name="Note 4 3 3 15 2 5" xfId="20210" xr:uid="{00000000-0005-0000-0000-0000BA510000}"/>
    <cellStyle name="Note 4 3 3 15 2 6" xfId="24122" xr:uid="{00000000-0005-0000-0000-0000BB510000}"/>
    <cellStyle name="Note 4 3 3 15 2 7" xfId="27960" xr:uid="{00000000-0005-0000-0000-0000BC510000}"/>
    <cellStyle name="Note 4 3 3 15 2 8" xfId="31819" xr:uid="{00000000-0005-0000-0000-0000BD510000}"/>
    <cellStyle name="Note 4 3 3 15 2 9" xfId="35472" xr:uid="{00000000-0005-0000-0000-0000BE510000}"/>
    <cellStyle name="Note 4 3 3 15 3" xfId="6147" xr:uid="{00000000-0005-0000-0000-0000BF510000}"/>
    <cellStyle name="Note 4 3 3 15 4" xfId="10550" xr:uid="{00000000-0005-0000-0000-0000C0510000}"/>
    <cellStyle name="Note 4 3 3 15 5" xfId="14396" xr:uid="{00000000-0005-0000-0000-0000C1510000}"/>
    <cellStyle name="Note 4 3 3 15 6" xfId="18227" xr:uid="{00000000-0005-0000-0000-0000C2510000}"/>
    <cellStyle name="Note 4 3 3 15 7" xfId="22166" xr:uid="{00000000-0005-0000-0000-0000C3510000}"/>
    <cellStyle name="Note 4 3 3 15 8" xfId="25978" xr:uid="{00000000-0005-0000-0000-0000C4510000}"/>
    <cellStyle name="Note 4 3 3 15 9" xfId="29858" xr:uid="{00000000-0005-0000-0000-0000C5510000}"/>
    <cellStyle name="Note 4 3 3 16" xfId="2179" xr:uid="{00000000-0005-0000-0000-0000C6510000}"/>
    <cellStyle name="Note 4 3 3 16 10" xfId="33480" xr:uid="{00000000-0005-0000-0000-0000C7510000}"/>
    <cellStyle name="Note 4 3 3 16 11" xfId="37231" xr:uid="{00000000-0005-0000-0000-0000C8510000}"/>
    <cellStyle name="Note 4 3 3 16 12" xfId="41247" xr:uid="{00000000-0005-0000-0000-0000C9510000}"/>
    <cellStyle name="Note 4 3 3 16 13" xfId="45042" xr:uid="{00000000-0005-0000-0000-0000CA510000}"/>
    <cellStyle name="Note 4 3 3 16 2" xfId="4162" xr:uid="{00000000-0005-0000-0000-0000CB510000}"/>
    <cellStyle name="Note 4 3 3 16 2 10" xfId="39213" xr:uid="{00000000-0005-0000-0000-0000CC510000}"/>
    <cellStyle name="Note 4 3 3 16 2 11" xfId="43223" xr:uid="{00000000-0005-0000-0000-0000CD510000}"/>
    <cellStyle name="Note 4 3 3 16 2 12" xfId="46980" xr:uid="{00000000-0005-0000-0000-0000CE510000}"/>
    <cellStyle name="Note 4 3 3 16 2 2" xfId="8021" xr:uid="{00000000-0005-0000-0000-0000CF510000}"/>
    <cellStyle name="Note 4 3 3 16 2 3" xfId="12461" xr:uid="{00000000-0005-0000-0000-0000D0510000}"/>
    <cellStyle name="Note 4 3 3 16 2 4" xfId="16306" xr:uid="{00000000-0005-0000-0000-0000D1510000}"/>
    <cellStyle name="Note 4 3 3 16 2 5" xfId="20156" xr:uid="{00000000-0005-0000-0000-0000D2510000}"/>
    <cellStyle name="Note 4 3 3 16 2 6" xfId="24068" xr:uid="{00000000-0005-0000-0000-0000D3510000}"/>
    <cellStyle name="Note 4 3 3 16 2 7" xfId="27906" xr:uid="{00000000-0005-0000-0000-0000D4510000}"/>
    <cellStyle name="Note 4 3 3 16 2 8" xfId="31765" xr:uid="{00000000-0005-0000-0000-0000D5510000}"/>
    <cellStyle name="Note 4 3 3 16 2 9" xfId="35418" xr:uid="{00000000-0005-0000-0000-0000D6510000}"/>
    <cellStyle name="Note 4 3 3 16 3" xfId="6093" xr:uid="{00000000-0005-0000-0000-0000D7510000}"/>
    <cellStyle name="Note 4 3 3 16 4" xfId="10496" xr:uid="{00000000-0005-0000-0000-0000D8510000}"/>
    <cellStyle name="Note 4 3 3 16 5" xfId="14342" xr:uid="{00000000-0005-0000-0000-0000D9510000}"/>
    <cellStyle name="Note 4 3 3 16 6" xfId="18173" xr:uid="{00000000-0005-0000-0000-0000DA510000}"/>
    <cellStyle name="Note 4 3 3 16 7" xfId="22112" xr:uid="{00000000-0005-0000-0000-0000DB510000}"/>
    <cellStyle name="Note 4 3 3 16 8" xfId="25924" xr:uid="{00000000-0005-0000-0000-0000DC510000}"/>
    <cellStyle name="Note 4 3 3 16 9" xfId="29804" xr:uid="{00000000-0005-0000-0000-0000DD510000}"/>
    <cellStyle name="Note 4 3 3 17" xfId="2349" xr:uid="{00000000-0005-0000-0000-0000DE510000}"/>
    <cellStyle name="Note 4 3 3 17 10" xfId="37401" xr:uid="{00000000-0005-0000-0000-0000DF510000}"/>
    <cellStyle name="Note 4 3 3 17 11" xfId="41417" xr:uid="{00000000-0005-0000-0000-0000E0510000}"/>
    <cellStyle name="Note 4 3 3 17 12" xfId="45210" xr:uid="{00000000-0005-0000-0000-0000E1510000}"/>
    <cellStyle name="Note 4 3 3 17 2" xfId="4332" xr:uid="{00000000-0005-0000-0000-0000E2510000}"/>
    <cellStyle name="Note 4 3 3 17 2 10" xfId="39383" xr:uid="{00000000-0005-0000-0000-0000E3510000}"/>
    <cellStyle name="Note 4 3 3 17 2 11" xfId="43393" xr:uid="{00000000-0005-0000-0000-0000E4510000}"/>
    <cellStyle name="Note 4 3 3 17 2 12" xfId="47148" xr:uid="{00000000-0005-0000-0000-0000E5510000}"/>
    <cellStyle name="Note 4 3 3 17 2 2" xfId="8189" xr:uid="{00000000-0005-0000-0000-0000E6510000}"/>
    <cellStyle name="Note 4 3 3 17 2 3" xfId="12631" xr:uid="{00000000-0005-0000-0000-0000E7510000}"/>
    <cellStyle name="Note 4 3 3 17 2 4" xfId="16475" xr:uid="{00000000-0005-0000-0000-0000E8510000}"/>
    <cellStyle name="Note 4 3 3 17 2 5" xfId="20326" xr:uid="{00000000-0005-0000-0000-0000E9510000}"/>
    <cellStyle name="Note 4 3 3 17 2 6" xfId="24237" xr:uid="{00000000-0005-0000-0000-0000EA510000}"/>
    <cellStyle name="Note 4 3 3 17 2 7" xfId="28076" xr:uid="{00000000-0005-0000-0000-0000EB510000}"/>
    <cellStyle name="Note 4 3 3 17 2 8" xfId="31934" xr:uid="{00000000-0005-0000-0000-0000EC510000}"/>
    <cellStyle name="Note 4 3 3 17 2 9" xfId="35586" xr:uid="{00000000-0005-0000-0000-0000ED510000}"/>
    <cellStyle name="Note 4 3 3 17 3" xfId="10666" xr:uid="{00000000-0005-0000-0000-0000EE510000}"/>
    <cellStyle name="Note 4 3 3 17 4" xfId="14511" xr:uid="{00000000-0005-0000-0000-0000EF510000}"/>
    <cellStyle name="Note 4 3 3 17 5" xfId="18343" xr:uid="{00000000-0005-0000-0000-0000F0510000}"/>
    <cellStyle name="Note 4 3 3 17 6" xfId="22281" xr:uid="{00000000-0005-0000-0000-0000F1510000}"/>
    <cellStyle name="Note 4 3 3 17 7" xfId="26094" xr:uid="{00000000-0005-0000-0000-0000F2510000}"/>
    <cellStyle name="Note 4 3 3 17 8" xfId="29974" xr:uid="{00000000-0005-0000-0000-0000F3510000}"/>
    <cellStyle name="Note 4 3 3 17 9" xfId="33648" xr:uid="{00000000-0005-0000-0000-0000F4510000}"/>
    <cellStyle name="Note 4 3 3 18" xfId="2294" xr:uid="{00000000-0005-0000-0000-0000F5510000}"/>
    <cellStyle name="Note 4 3 3 18 10" xfId="33595" xr:uid="{00000000-0005-0000-0000-0000F6510000}"/>
    <cellStyle name="Note 4 3 3 18 11" xfId="37346" xr:uid="{00000000-0005-0000-0000-0000F7510000}"/>
    <cellStyle name="Note 4 3 3 18 12" xfId="41362" xr:uid="{00000000-0005-0000-0000-0000F8510000}"/>
    <cellStyle name="Note 4 3 3 18 13" xfId="45157" xr:uid="{00000000-0005-0000-0000-0000F9510000}"/>
    <cellStyle name="Note 4 3 3 18 2" xfId="4277" xr:uid="{00000000-0005-0000-0000-0000FA510000}"/>
    <cellStyle name="Note 4 3 3 18 2 10" xfId="39328" xr:uid="{00000000-0005-0000-0000-0000FB510000}"/>
    <cellStyle name="Note 4 3 3 18 2 11" xfId="43338" xr:uid="{00000000-0005-0000-0000-0000FC510000}"/>
    <cellStyle name="Note 4 3 3 18 2 12" xfId="47095" xr:uid="{00000000-0005-0000-0000-0000FD510000}"/>
    <cellStyle name="Note 4 3 3 18 2 2" xfId="8136" xr:uid="{00000000-0005-0000-0000-0000FE510000}"/>
    <cellStyle name="Note 4 3 3 18 2 3" xfId="12576" xr:uid="{00000000-0005-0000-0000-0000FF510000}"/>
    <cellStyle name="Note 4 3 3 18 2 4" xfId="16421" xr:uid="{00000000-0005-0000-0000-000000520000}"/>
    <cellStyle name="Note 4 3 3 18 2 5" xfId="20271" xr:uid="{00000000-0005-0000-0000-000001520000}"/>
    <cellStyle name="Note 4 3 3 18 2 6" xfId="24183" xr:uid="{00000000-0005-0000-0000-000002520000}"/>
    <cellStyle name="Note 4 3 3 18 2 7" xfId="28021" xr:uid="{00000000-0005-0000-0000-000003520000}"/>
    <cellStyle name="Note 4 3 3 18 2 8" xfId="31880" xr:uid="{00000000-0005-0000-0000-000004520000}"/>
    <cellStyle name="Note 4 3 3 18 2 9" xfId="35533" xr:uid="{00000000-0005-0000-0000-000005520000}"/>
    <cellStyle name="Note 4 3 3 18 3" xfId="6208" xr:uid="{00000000-0005-0000-0000-000006520000}"/>
    <cellStyle name="Note 4 3 3 18 4" xfId="10611" xr:uid="{00000000-0005-0000-0000-000007520000}"/>
    <cellStyle name="Note 4 3 3 18 5" xfId="14457" xr:uid="{00000000-0005-0000-0000-000008520000}"/>
    <cellStyle name="Note 4 3 3 18 6" xfId="18288" xr:uid="{00000000-0005-0000-0000-000009520000}"/>
    <cellStyle name="Note 4 3 3 18 7" xfId="22227" xr:uid="{00000000-0005-0000-0000-00000A520000}"/>
    <cellStyle name="Note 4 3 3 18 8" xfId="26039" xr:uid="{00000000-0005-0000-0000-00000B520000}"/>
    <cellStyle name="Note 4 3 3 18 9" xfId="29919" xr:uid="{00000000-0005-0000-0000-00000C520000}"/>
    <cellStyle name="Note 4 3 3 19" xfId="2361" xr:uid="{00000000-0005-0000-0000-00000D520000}"/>
    <cellStyle name="Note 4 3 3 19 10" xfId="33660" xr:uid="{00000000-0005-0000-0000-00000E520000}"/>
    <cellStyle name="Note 4 3 3 19 11" xfId="37413" xr:uid="{00000000-0005-0000-0000-00000F520000}"/>
    <cellStyle name="Note 4 3 3 19 12" xfId="41429" xr:uid="{00000000-0005-0000-0000-000010520000}"/>
    <cellStyle name="Note 4 3 3 19 13" xfId="45222" xr:uid="{00000000-0005-0000-0000-000011520000}"/>
    <cellStyle name="Note 4 3 3 19 2" xfId="4344" xr:uid="{00000000-0005-0000-0000-000012520000}"/>
    <cellStyle name="Note 4 3 3 19 2 10" xfId="39395" xr:uid="{00000000-0005-0000-0000-000013520000}"/>
    <cellStyle name="Note 4 3 3 19 2 11" xfId="43405" xr:uid="{00000000-0005-0000-0000-000014520000}"/>
    <cellStyle name="Note 4 3 3 19 2 12" xfId="47160" xr:uid="{00000000-0005-0000-0000-000015520000}"/>
    <cellStyle name="Note 4 3 3 19 2 2" xfId="8201" xr:uid="{00000000-0005-0000-0000-000016520000}"/>
    <cellStyle name="Note 4 3 3 19 2 3" xfId="12643" xr:uid="{00000000-0005-0000-0000-000017520000}"/>
    <cellStyle name="Note 4 3 3 19 2 4" xfId="16487" xr:uid="{00000000-0005-0000-0000-000018520000}"/>
    <cellStyle name="Note 4 3 3 19 2 5" xfId="20338" xr:uid="{00000000-0005-0000-0000-000019520000}"/>
    <cellStyle name="Note 4 3 3 19 2 6" xfId="24249" xr:uid="{00000000-0005-0000-0000-00001A520000}"/>
    <cellStyle name="Note 4 3 3 19 2 7" xfId="28088" xr:uid="{00000000-0005-0000-0000-00001B520000}"/>
    <cellStyle name="Note 4 3 3 19 2 8" xfId="31946" xr:uid="{00000000-0005-0000-0000-00001C520000}"/>
    <cellStyle name="Note 4 3 3 19 2 9" xfId="35598" xr:uid="{00000000-0005-0000-0000-00001D520000}"/>
    <cellStyle name="Note 4 3 3 19 3" xfId="6257" xr:uid="{00000000-0005-0000-0000-00001E520000}"/>
    <cellStyle name="Note 4 3 3 19 4" xfId="10678" xr:uid="{00000000-0005-0000-0000-00001F520000}"/>
    <cellStyle name="Note 4 3 3 19 5" xfId="14523" xr:uid="{00000000-0005-0000-0000-000020520000}"/>
    <cellStyle name="Note 4 3 3 19 6" xfId="18355" xr:uid="{00000000-0005-0000-0000-000021520000}"/>
    <cellStyle name="Note 4 3 3 19 7" xfId="22293" xr:uid="{00000000-0005-0000-0000-000022520000}"/>
    <cellStyle name="Note 4 3 3 19 8" xfId="26106" xr:uid="{00000000-0005-0000-0000-000023520000}"/>
    <cellStyle name="Note 4 3 3 19 9" xfId="29986" xr:uid="{00000000-0005-0000-0000-000024520000}"/>
    <cellStyle name="Note 4 3 3 2" xfId="485" xr:uid="{00000000-0005-0000-0000-000025520000}"/>
    <cellStyle name="Note 4 3 3 2 10" xfId="1979" xr:uid="{00000000-0005-0000-0000-000026520000}"/>
    <cellStyle name="Note 4 3 3 2 10 10" xfId="33266" xr:uid="{00000000-0005-0000-0000-000027520000}"/>
    <cellStyle name="Note 4 3 3 2 10 11" xfId="37036" xr:uid="{00000000-0005-0000-0000-000028520000}"/>
    <cellStyle name="Note 4 3 3 2 10 12" xfId="41027" xr:uid="{00000000-0005-0000-0000-000029520000}"/>
    <cellStyle name="Note 4 3 3 2 10 13" xfId="44858" xr:uid="{00000000-0005-0000-0000-00002A520000}"/>
    <cellStyle name="Note 4 3 3 2 10 2" xfId="3969" xr:uid="{00000000-0005-0000-0000-00002B520000}"/>
    <cellStyle name="Note 4 3 3 2 10 2 10" xfId="39020" xr:uid="{00000000-0005-0000-0000-00002C520000}"/>
    <cellStyle name="Note 4 3 3 2 10 2 11" xfId="43031" xr:uid="{00000000-0005-0000-0000-00002D520000}"/>
    <cellStyle name="Note 4 3 3 2 10 2 12" xfId="46796" xr:uid="{00000000-0005-0000-0000-00002E520000}"/>
    <cellStyle name="Note 4 3 3 2 10 2 2" xfId="7836" xr:uid="{00000000-0005-0000-0000-00002F520000}"/>
    <cellStyle name="Note 4 3 3 2 10 2 3" xfId="12271" xr:uid="{00000000-0005-0000-0000-000030520000}"/>
    <cellStyle name="Note 4 3 3 2 10 2 4" xfId="16116" xr:uid="{00000000-0005-0000-0000-000031520000}"/>
    <cellStyle name="Note 4 3 3 2 10 2 5" xfId="19963" xr:uid="{00000000-0005-0000-0000-000032520000}"/>
    <cellStyle name="Note 4 3 3 2 10 2 6" xfId="23879" xr:uid="{00000000-0005-0000-0000-000033520000}"/>
    <cellStyle name="Note 4 3 3 2 10 2 7" xfId="27713" xr:uid="{00000000-0005-0000-0000-000034520000}"/>
    <cellStyle name="Note 4 3 3 2 10 2 8" xfId="31573" xr:uid="{00000000-0005-0000-0000-000035520000}"/>
    <cellStyle name="Note 4 3 3 2 10 2 9" xfId="35234" xr:uid="{00000000-0005-0000-0000-000036520000}"/>
    <cellStyle name="Note 4 3 3 2 10 3" xfId="5912" xr:uid="{00000000-0005-0000-0000-000037520000}"/>
    <cellStyle name="Note 4 3 3 2 10 4" xfId="10270" xr:uid="{00000000-0005-0000-0000-000038520000}"/>
    <cellStyle name="Note 4 3 3 2 10 5" xfId="14116" xr:uid="{00000000-0005-0000-0000-000039520000}"/>
    <cellStyle name="Note 4 3 3 2 10 6" xfId="17945" xr:uid="{00000000-0005-0000-0000-00003A520000}"/>
    <cellStyle name="Note 4 3 3 2 10 7" xfId="21884" xr:uid="{00000000-0005-0000-0000-00003B520000}"/>
    <cellStyle name="Note 4 3 3 2 10 8" xfId="25697" xr:uid="{00000000-0005-0000-0000-00003C520000}"/>
    <cellStyle name="Note 4 3 3 2 10 9" xfId="29584" xr:uid="{00000000-0005-0000-0000-00003D520000}"/>
    <cellStyle name="Note 4 3 3 2 11" xfId="1271" xr:uid="{00000000-0005-0000-0000-00003E520000}"/>
    <cellStyle name="Note 4 3 3 2 11 10" xfId="32558" xr:uid="{00000000-0005-0000-0000-00003F520000}"/>
    <cellStyle name="Note 4 3 3 2 11 11" xfId="36328" xr:uid="{00000000-0005-0000-0000-000040520000}"/>
    <cellStyle name="Note 4 3 3 2 11 12" xfId="40320" xr:uid="{00000000-0005-0000-0000-000041520000}"/>
    <cellStyle name="Note 4 3 3 2 11 13" xfId="44150" xr:uid="{00000000-0005-0000-0000-000042520000}"/>
    <cellStyle name="Note 4 3 3 2 11 2" xfId="3261" xr:uid="{00000000-0005-0000-0000-000043520000}"/>
    <cellStyle name="Note 4 3 3 2 11 2 10" xfId="38312" xr:uid="{00000000-0005-0000-0000-000044520000}"/>
    <cellStyle name="Note 4 3 3 2 11 2 11" xfId="42323" xr:uid="{00000000-0005-0000-0000-000045520000}"/>
    <cellStyle name="Note 4 3 3 2 11 2 12" xfId="46088" xr:uid="{00000000-0005-0000-0000-000046520000}"/>
    <cellStyle name="Note 4 3 3 2 11 2 2" xfId="7128" xr:uid="{00000000-0005-0000-0000-000047520000}"/>
    <cellStyle name="Note 4 3 3 2 11 2 3" xfId="11563" xr:uid="{00000000-0005-0000-0000-000048520000}"/>
    <cellStyle name="Note 4 3 3 2 11 2 4" xfId="15408" xr:uid="{00000000-0005-0000-0000-000049520000}"/>
    <cellStyle name="Note 4 3 3 2 11 2 5" xfId="19255" xr:uid="{00000000-0005-0000-0000-00004A520000}"/>
    <cellStyle name="Note 4 3 3 2 11 2 6" xfId="23171" xr:uid="{00000000-0005-0000-0000-00004B520000}"/>
    <cellStyle name="Note 4 3 3 2 11 2 7" xfId="27005" xr:uid="{00000000-0005-0000-0000-00004C520000}"/>
    <cellStyle name="Note 4 3 3 2 11 2 8" xfId="30875" xr:uid="{00000000-0005-0000-0000-00004D520000}"/>
    <cellStyle name="Note 4 3 3 2 11 2 9" xfId="34526" xr:uid="{00000000-0005-0000-0000-00004E520000}"/>
    <cellStyle name="Note 4 3 3 2 11 3" xfId="5204" xr:uid="{00000000-0005-0000-0000-00004F520000}"/>
    <cellStyle name="Note 4 3 3 2 11 4" xfId="9562" xr:uid="{00000000-0005-0000-0000-000050520000}"/>
    <cellStyle name="Note 4 3 3 2 11 5" xfId="13408" xr:uid="{00000000-0005-0000-0000-000051520000}"/>
    <cellStyle name="Note 4 3 3 2 11 6" xfId="17237" xr:uid="{00000000-0005-0000-0000-000052520000}"/>
    <cellStyle name="Note 4 3 3 2 11 7" xfId="21176" xr:uid="{00000000-0005-0000-0000-000053520000}"/>
    <cellStyle name="Note 4 3 3 2 11 8" xfId="24989" xr:uid="{00000000-0005-0000-0000-000054520000}"/>
    <cellStyle name="Note 4 3 3 2 11 9" xfId="28877" xr:uid="{00000000-0005-0000-0000-000055520000}"/>
    <cellStyle name="Note 4 3 3 2 12" xfId="2164" xr:uid="{00000000-0005-0000-0000-000056520000}"/>
    <cellStyle name="Note 4 3 3 2 12 10" xfId="33465" xr:uid="{00000000-0005-0000-0000-000057520000}"/>
    <cellStyle name="Note 4 3 3 2 12 11" xfId="37216" xr:uid="{00000000-0005-0000-0000-000058520000}"/>
    <cellStyle name="Note 4 3 3 2 12 12" xfId="41232" xr:uid="{00000000-0005-0000-0000-000059520000}"/>
    <cellStyle name="Note 4 3 3 2 12 13" xfId="45027" xr:uid="{00000000-0005-0000-0000-00005A520000}"/>
    <cellStyle name="Note 4 3 3 2 12 2" xfId="4147" xr:uid="{00000000-0005-0000-0000-00005B520000}"/>
    <cellStyle name="Note 4 3 3 2 12 2 10" xfId="39198" xr:uid="{00000000-0005-0000-0000-00005C520000}"/>
    <cellStyle name="Note 4 3 3 2 12 2 11" xfId="43208" xr:uid="{00000000-0005-0000-0000-00005D520000}"/>
    <cellStyle name="Note 4 3 3 2 12 2 12" xfId="46965" xr:uid="{00000000-0005-0000-0000-00005E520000}"/>
    <cellStyle name="Note 4 3 3 2 12 2 2" xfId="8006" xr:uid="{00000000-0005-0000-0000-00005F520000}"/>
    <cellStyle name="Note 4 3 3 2 12 2 3" xfId="12446" xr:uid="{00000000-0005-0000-0000-000060520000}"/>
    <cellStyle name="Note 4 3 3 2 12 2 4" xfId="16291" xr:uid="{00000000-0005-0000-0000-000061520000}"/>
    <cellStyle name="Note 4 3 3 2 12 2 5" xfId="20141" xr:uid="{00000000-0005-0000-0000-000062520000}"/>
    <cellStyle name="Note 4 3 3 2 12 2 6" xfId="24053" xr:uid="{00000000-0005-0000-0000-000063520000}"/>
    <cellStyle name="Note 4 3 3 2 12 2 7" xfId="27891" xr:uid="{00000000-0005-0000-0000-000064520000}"/>
    <cellStyle name="Note 4 3 3 2 12 2 8" xfId="31750" xr:uid="{00000000-0005-0000-0000-000065520000}"/>
    <cellStyle name="Note 4 3 3 2 12 2 9" xfId="35403" xr:uid="{00000000-0005-0000-0000-000066520000}"/>
    <cellStyle name="Note 4 3 3 2 12 3" xfId="6080" xr:uid="{00000000-0005-0000-0000-000067520000}"/>
    <cellStyle name="Note 4 3 3 2 12 4" xfId="10481" xr:uid="{00000000-0005-0000-0000-000068520000}"/>
    <cellStyle name="Note 4 3 3 2 12 5" xfId="14327" xr:uid="{00000000-0005-0000-0000-000069520000}"/>
    <cellStyle name="Note 4 3 3 2 12 6" xfId="18158" xr:uid="{00000000-0005-0000-0000-00006A520000}"/>
    <cellStyle name="Note 4 3 3 2 12 7" xfId="22097" xr:uid="{00000000-0005-0000-0000-00006B520000}"/>
    <cellStyle name="Note 4 3 3 2 12 8" xfId="25909" xr:uid="{00000000-0005-0000-0000-00006C520000}"/>
    <cellStyle name="Note 4 3 3 2 12 9" xfId="29789" xr:uid="{00000000-0005-0000-0000-00006D520000}"/>
    <cellStyle name="Note 4 3 3 2 13" xfId="2234" xr:uid="{00000000-0005-0000-0000-00006E520000}"/>
    <cellStyle name="Note 4 3 3 2 13 10" xfId="33535" xr:uid="{00000000-0005-0000-0000-00006F520000}"/>
    <cellStyle name="Note 4 3 3 2 13 11" xfId="37286" xr:uid="{00000000-0005-0000-0000-000070520000}"/>
    <cellStyle name="Note 4 3 3 2 13 12" xfId="41302" xr:uid="{00000000-0005-0000-0000-000071520000}"/>
    <cellStyle name="Note 4 3 3 2 13 13" xfId="45097" xr:uid="{00000000-0005-0000-0000-000072520000}"/>
    <cellStyle name="Note 4 3 3 2 13 2" xfId="4217" xr:uid="{00000000-0005-0000-0000-000073520000}"/>
    <cellStyle name="Note 4 3 3 2 13 2 10" xfId="39268" xr:uid="{00000000-0005-0000-0000-000074520000}"/>
    <cellStyle name="Note 4 3 3 2 13 2 11" xfId="43278" xr:uid="{00000000-0005-0000-0000-000075520000}"/>
    <cellStyle name="Note 4 3 3 2 13 2 12" xfId="47035" xr:uid="{00000000-0005-0000-0000-000076520000}"/>
    <cellStyle name="Note 4 3 3 2 13 2 2" xfId="8076" xr:uid="{00000000-0005-0000-0000-000077520000}"/>
    <cellStyle name="Note 4 3 3 2 13 2 3" xfId="12516" xr:uid="{00000000-0005-0000-0000-000078520000}"/>
    <cellStyle name="Note 4 3 3 2 13 2 4" xfId="16361" xr:uid="{00000000-0005-0000-0000-000079520000}"/>
    <cellStyle name="Note 4 3 3 2 13 2 5" xfId="20211" xr:uid="{00000000-0005-0000-0000-00007A520000}"/>
    <cellStyle name="Note 4 3 3 2 13 2 6" xfId="24123" xr:uid="{00000000-0005-0000-0000-00007B520000}"/>
    <cellStyle name="Note 4 3 3 2 13 2 7" xfId="27961" xr:uid="{00000000-0005-0000-0000-00007C520000}"/>
    <cellStyle name="Note 4 3 3 2 13 2 8" xfId="31820" xr:uid="{00000000-0005-0000-0000-00007D520000}"/>
    <cellStyle name="Note 4 3 3 2 13 2 9" xfId="35473" xr:uid="{00000000-0005-0000-0000-00007E520000}"/>
    <cellStyle name="Note 4 3 3 2 13 3" xfId="6148" xr:uid="{00000000-0005-0000-0000-00007F520000}"/>
    <cellStyle name="Note 4 3 3 2 13 4" xfId="10551" xr:uid="{00000000-0005-0000-0000-000080520000}"/>
    <cellStyle name="Note 4 3 3 2 13 5" xfId="14397" xr:uid="{00000000-0005-0000-0000-000081520000}"/>
    <cellStyle name="Note 4 3 3 2 13 6" xfId="18228" xr:uid="{00000000-0005-0000-0000-000082520000}"/>
    <cellStyle name="Note 4 3 3 2 13 7" xfId="22167" xr:uid="{00000000-0005-0000-0000-000083520000}"/>
    <cellStyle name="Note 4 3 3 2 13 8" xfId="25979" xr:uid="{00000000-0005-0000-0000-000084520000}"/>
    <cellStyle name="Note 4 3 3 2 13 9" xfId="29859" xr:uid="{00000000-0005-0000-0000-000085520000}"/>
    <cellStyle name="Note 4 3 3 2 14" xfId="2123" xr:uid="{00000000-0005-0000-0000-000086520000}"/>
    <cellStyle name="Note 4 3 3 2 14 10" xfId="33427" xr:uid="{00000000-0005-0000-0000-000087520000}"/>
    <cellStyle name="Note 4 3 3 2 14 11" xfId="37175" xr:uid="{00000000-0005-0000-0000-000088520000}"/>
    <cellStyle name="Note 4 3 3 2 14 12" xfId="41191" xr:uid="{00000000-0005-0000-0000-000089520000}"/>
    <cellStyle name="Note 4 3 3 2 14 13" xfId="44989" xr:uid="{00000000-0005-0000-0000-00008A520000}"/>
    <cellStyle name="Note 4 3 3 2 14 2" xfId="4107" xr:uid="{00000000-0005-0000-0000-00008B520000}"/>
    <cellStyle name="Note 4 3 3 2 14 2 10" xfId="39158" xr:uid="{00000000-0005-0000-0000-00008C520000}"/>
    <cellStyle name="Note 4 3 3 2 14 2 11" xfId="43168" xr:uid="{00000000-0005-0000-0000-00008D520000}"/>
    <cellStyle name="Note 4 3 3 2 14 2 12" xfId="46927" xr:uid="{00000000-0005-0000-0000-00008E520000}"/>
    <cellStyle name="Note 4 3 3 2 14 2 2" xfId="7968" xr:uid="{00000000-0005-0000-0000-00008F520000}"/>
    <cellStyle name="Note 4 3 3 2 14 2 3" xfId="12407" xr:uid="{00000000-0005-0000-0000-000090520000}"/>
    <cellStyle name="Note 4 3 3 2 14 2 4" xfId="16252" xr:uid="{00000000-0005-0000-0000-000091520000}"/>
    <cellStyle name="Note 4 3 3 2 14 2 5" xfId="20101" xr:uid="{00000000-0005-0000-0000-000092520000}"/>
    <cellStyle name="Note 4 3 3 2 14 2 6" xfId="24015" xr:uid="{00000000-0005-0000-0000-000093520000}"/>
    <cellStyle name="Note 4 3 3 2 14 2 7" xfId="27851" xr:uid="{00000000-0005-0000-0000-000094520000}"/>
    <cellStyle name="Note 4 3 3 2 14 2 8" xfId="31710" xr:uid="{00000000-0005-0000-0000-000095520000}"/>
    <cellStyle name="Note 4 3 3 2 14 2 9" xfId="35365" xr:uid="{00000000-0005-0000-0000-000096520000}"/>
    <cellStyle name="Note 4 3 3 2 14 3" xfId="6043" xr:uid="{00000000-0005-0000-0000-000097520000}"/>
    <cellStyle name="Note 4 3 3 2 14 4" xfId="10441" xr:uid="{00000000-0005-0000-0000-000098520000}"/>
    <cellStyle name="Note 4 3 3 2 14 5" xfId="14289" xr:uid="{00000000-0005-0000-0000-000099520000}"/>
    <cellStyle name="Note 4 3 3 2 14 6" xfId="18117" xr:uid="{00000000-0005-0000-0000-00009A520000}"/>
    <cellStyle name="Note 4 3 3 2 14 7" xfId="22059" xr:uid="{00000000-0005-0000-0000-00009B520000}"/>
    <cellStyle name="Note 4 3 3 2 14 8" xfId="25868" xr:uid="{00000000-0005-0000-0000-00009C520000}"/>
    <cellStyle name="Note 4 3 3 2 14 9" xfId="29748" xr:uid="{00000000-0005-0000-0000-00009D520000}"/>
    <cellStyle name="Note 4 3 3 2 15" xfId="2350" xr:uid="{00000000-0005-0000-0000-00009E520000}"/>
    <cellStyle name="Note 4 3 3 2 15 10" xfId="37402" xr:uid="{00000000-0005-0000-0000-00009F520000}"/>
    <cellStyle name="Note 4 3 3 2 15 11" xfId="41418" xr:uid="{00000000-0005-0000-0000-0000A0520000}"/>
    <cellStyle name="Note 4 3 3 2 15 12" xfId="45211" xr:uid="{00000000-0005-0000-0000-0000A1520000}"/>
    <cellStyle name="Note 4 3 3 2 15 2" xfId="4333" xr:uid="{00000000-0005-0000-0000-0000A2520000}"/>
    <cellStyle name="Note 4 3 3 2 15 2 10" xfId="39384" xr:uid="{00000000-0005-0000-0000-0000A3520000}"/>
    <cellStyle name="Note 4 3 3 2 15 2 11" xfId="43394" xr:uid="{00000000-0005-0000-0000-0000A4520000}"/>
    <cellStyle name="Note 4 3 3 2 15 2 12" xfId="47149" xr:uid="{00000000-0005-0000-0000-0000A5520000}"/>
    <cellStyle name="Note 4 3 3 2 15 2 2" xfId="8190" xr:uid="{00000000-0005-0000-0000-0000A6520000}"/>
    <cellStyle name="Note 4 3 3 2 15 2 3" xfId="12632" xr:uid="{00000000-0005-0000-0000-0000A7520000}"/>
    <cellStyle name="Note 4 3 3 2 15 2 4" xfId="16476" xr:uid="{00000000-0005-0000-0000-0000A8520000}"/>
    <cellStyle name="Note 4 3 3 2 15 2 5" xfId="20327" xr:uid="{00000000-0005-0000-0000-0000A9520000}"/>
    <cellStyle name="Note 4 3 3 2 15 2 6" xfId="24238" xr:uid="{00000000-0005-0000-0000-0000AA520000}"/>
    <cellStyle name="Note 4 3 3 2 15 2 7" xfId="28077" xr:uid="{00000000-0005-0000-0000-0000AB520000}"/>
    <cellStyle name="Note 4 3 3 2 15 2 8" xfId="31935" xr:uid="{00000000-0005-0000-0000-0000AC520000}"/>
    <cellStyle name="Note 4 3 3 2 15 2 9" xfId="35587" xr:uid="{00000000-0005-0000-0000-0000AD520000}"/>
    <cellStyle name="Note 4 3 3 2 15 3" xfId="10667" xr:uid="{00000000-0005-0000-0000-0000AE520000}"/>
    <cellStyle name="Note 4 3 3 2 15 4" xfId="14512" xr:uid="{00000000-0005-0000-0000-0000AF520000}"/>
    <cellStyle name="Note 4 3 3 2 15 5" xfId="18344" xr:uid="{00000000-0005-0000-0000-0000B0520000}"/>
    <cellStyle name="Note 4 3 3 2 15 6" xfId="22282" xr:uid="{00000000-0005-0000-0000-0000B1520000}"/>
    <cellStyle name="Note 4 3 3 2 15 7" xfId="26095" xr:uid="{00000000-0005-0000-0000-0000B2520000}"/>
    <cellStyle name="Note 4 3 3 2 15 8" xfId="29975" xr:uid="{00000000-0005-0000-0000-0000B3520000}"/>
    <cellStyle name="Note 4 3 3 2 15 9" xfId="33649" xr:uid="{00000000-0005-0000-0000-0000B4520000}"/>
    <cellStyle name="Note 4 3 3 2 16" xfId="2295" xr:uid="{00000000-0005-0000-0000-0000B5520000}"/>
    <cellStyle name="Note 4 3 3 2 16 10" xfId="33596" xr:uid="{00000000-0005-0000-0000-0000B6520000}"/>
    <cellStyle name="Note 4 3 3 2 16 11" xfId="37347" xr:uid="{00000000-0005-0000-0000-0000B7520000}"/>
    <cellStyle name="Note 4 3 3 2 16 12" xfId="41363" xr:uid="{00000000-0005-0000-0000-0000B8520000}"/>
    <cellStyle name="Note 4 3 3 2 16 13" xfId="45158" xr:uid="{00000000-0005-0000-0000-0000B9520000}"/>
    <cellStyle name="Note 4 3 3 2 16 2" xfId="4278" xr:uid="{00000000-0005-0000-0000-0000BA520000}"/>
    <cellStyle name="Note 4 3 3 2 16 2 10" xfId="39329" xr:uid="{00000000-0005-0000-0000-0000BB520000}"/>
    <cellStyle name="Note 4 3 3 2 16 2 11" xfId="43339" xr:uid="{00000000-0005-0000-0000-0000BC520000}"/>
    <cellStyle name="Note 4 3 3 2 16 2 12" xfId="47096" xr:uid="{00000000-0005-0000-0000-0000BD520000}"/>
    <cellStyle name="Note 4 3 3 2 16 2 2" xfId="8137" xr:uid="{00000000-0005-0000-0000-0000BE520000}"/>
    <cellStyle name="Note 4 3 3 2 16 2 3" xfId="12577" xr:uid="{00000000-0005-0000-0000-0000BF520000}"/>
    <cellStyle name="Note 4 3 3 2 16 2 4" xfId="16422" xr:uid="{00000000-0005-0000-0000-0000C0520000}"/>
    <cellStyle name="Note 4 3 3 2 16 2 5" xfId="20272" xr:uid="{00000000-0005-0000-0000-0000C1520000}"/>
    <cellStyle name="Note 4 3 3 2 16 2 6" xfId="24184" xr:uid="{00000000-0005-0000-0000-0000C2520000}"/>
    <cellStyle name="Note 4 3 3 2 16 2 7" xfId="28022" xr:uid="{00000000-0005-0000-0000-0000C3520000}"/>
    <cellStyle name="Note 4 3 3 2 16 2 8" xfId="31881" xr:uid="{00000000-0005-0000-0000-0000C4520000}"/>
    <cellStyle name="Note 4 3 3 2 16 2 9" xfId="35534" xr:uid="{00000000-0005-0000-0000-0000C5520000}"/>
    <cellStyle name="Note 4 3 3 2 16 3" xfId="6209" xr:uid="{00000000-0005-0000-0000-0000C6520000}"/>
    <cellStyle name="Note 4 3 3 2 16 4" xfId="10612" xr:uid="{00000000-0005-0000-0000-0000C7520000}"/>
    <cellStyle name="Note 4 3 3 2 16 5" xfId="14458" xr:uid="{00000000-0005-0000-0000-0000C8520000}"/>
    <cellStyle name="Note 4 3 3 2 16 6" xfId="18289" xr:uid="{00000000-0005-0000-0000-0000C9520000}"/>
    <cellStyle name="Note 4 3 3 2 16 7" xfId="22228" xr:uid="{00000000-0005-0000-0000-0000CA520000}"/>
    <cellStyle name="Note 4 3 3 2 16 8" xfId="26040" xr:uid="{00000000-0005-0000-0000-0000CB520000}"/>
    <cellStyle name="Note 4 3 3 2 16 9" xfId="29920" xr:uid="{00000000-0005-0000-0000-0000CC520000}"/>
    <cellStyle name="Note 4 3 3 2 17" xfId="2126" xr:uid="{00000000-0005-0000-0000-0000CD520000}"/>
    <cellStyle name="Note 4 3 3 2 17 10" xfId="33430" xr:uid="{00000000-0005-0000-0000-0000CE520000}"/>
    <cellStyle name="Note 4 3 3 2 17 11" xfId="37178" xr:uid="{00000000-0005-0000-0000-0000CF520000}"/>
    <cellStyle name="Note 4 3 3 2 17 12" xfId="41194" xr:uid="{00000000-0005-0000-0000-0000D0520000}"/>
    <cellStyle name="Note 4 3 3 2 17 13" xfId="44992" xr:uid="{00000000-0005-0000-0000-0000D1520000}"/>
    <cellStyle name="Note 4 3 3 2 17 2" xfId="4110" xr:uid="{00000000-0005-0000-0000-0000D2520000}"/>
    <cellStyle name="Note 4 3 3 2 17 2 10" xfId="39161" xr:uid="{00000000-0005-0000-0000-0000D3520000}"/>
    <cellStyle name="Note 4 3 3 2 17 2 11" xfId="43171" xr:uid="{00000000-0005-0000-0000-0000D4520000}"/>
    <cellStyle name="Note 4 3 3 2 17 2 12" xfId="46930" xr:uid="{00000000-0005-0000-0000-0000D5520000}"/>
    <cellStyle name="Note 4 3 3 2 17 2 2" xfId="7971" xr:uid="{00000000-0005-0000-0000-0000D6520000}"/>
    <cellStyle name="Note 4 3 3 2 17 2 3" xfId="12410" xr:uid="{00000000-0005-0000-0000-0000D7520000}"/>
    <cellStyle name="Note 4 3 3 2 17 2 4" xfId="16255" xr:uid="{00000000-0005-0000-0000-0000D8520000}"/>
    <cellStyle name="Note 4 3 3 2 17 2 5" xfId="20104" xr:uid="{00000000-0005-0000-0000-0000D9520000}"/>
    <cellStyle name="Note 4 3 3 2 17 2 6" xfId="24018" xr:uid="{00000000-0005-0000-0000-0000DA520000}"/>
    <cellStyle name="Note 4 3 3 2 17 2 7" xfId="27854" xr:uid="{00000000-0005-0000-0000-0000DB520000}"/>
    <cellStyle name="Note 4 3 3 2 17 2 8" xfId="31713" xr:uid="{00000000-0005-0000-0000-0000DC520000}"/>
    <cellStyle name="Note 4 3 3 2 17 2 9" xfId="35368" xr:uid="{00000000-0005-0000-0000-0000DD520000}"/>
    <cellStyle name="Note 4 3 3 2 17 3" xfId="6046" xr:uid="{00000000-0005-0000-0000-0000DE520000}"/>
    <cellStyle name="Note 4 3 3 2 17 4" xfId="10444" xr:uid="{00000000-0005-0000-0000-0000DF520000}"/>
    <cellStyle name="Note 4 3 3 2 17 5" xfId="14292" xr:uid="{00000000-0005-0000-0000-0000E0520000}"/>
    <cellStyle name="Note 4 3 3 2 17 6" xfId="18120" xr:uid="{00000000-0005-0000-0000-0000E1520000}"/>
    <cellStyle name="Note 4 3 3 2 17 7" xfId="22062" xr:uid="{00000000-0005-0000-0000-0000E2520000}"/>
    <cellStyle name="Note 4 3 3 2 17 8" xfId="25871" xr:uid="{00000000-0005-0000-0000-0000E3520000}"/>
    <cellStyle name="Note 4 3 3 2 17 9" xfId="29751" xr:uid="{00000000-0005-0000-0000-0000E4520000}"/>
    <cellStyle name="Note 4 3 3 2 18" xfId="2532" xr:uid="{00000000-0005-0000-0000-0000E5520000}"/>
    <cellStyle name="Note 4 3 3 2 18 10" xfId="37584" xr:uid="{00000000-0005-0000-0000-0000E6520000}"/>
    <cellStyle name="Note 4 3 3 2 18 11" xfId="41598" xr:uid="{00000000-0005-0000-0000-0000E7520000}"/>
    <cellStyle name="Note 4 3 3 2 18 12" xfId="45387" xr:uid="{00000000-0005-0000-0000-0000E8520000}"/>
    <cellStyle name="Note 4 3 3 2 18 2" xfId="6424" xr:uid="{00000000-0005-0000-0000-0000E9520000}"/>
    <cellStyle name="Note 4 3 3 2 18 3" xfId="10847" xr:uid="{00000000-0005-0000-0000-0000EA520000}"/>
    <cellStyle name="Note 4 3 3 2 18 4" xfId="14691" xr:uid="{00000000-0005-0000-0000-0000EB520000}"/>
    <cellStyle name="Note 4 3 3 2 18 5" xfId="18526" xr:uid="{00000000-0005-0000-0000-0000EC520000}"/>
    <cellStyle name="Note 4 3 3 2 18 6" xfId="22461" xr:uid="{00000000-0005-0000-0000-0000ED520000}"/>
    <cellStyle name="Note 4 3 3 2 18 7" xfId="26277" xr:uid="{00000000-0005-0000-0000-0000EE520000}"/>
    <cellStyle name="Note 4 3 3 2 18 8" xfId="30156" xr:uid="{00000000-0005-0000-0000-0000EF520000}"/>
    <cellStyle name="Note 4 3 3 2 18 9" xfId="33825" xr:uid="{00000000-0005-0000-0000-0000F0520000}"/>
    <cellStyle name="Note 4 3 3 2 19" xfId="8707" xr:uid="{00000000-0005-0000-0000-0000F1520000}"/>
    <cellStyle name="Note 4 3 3 2 2" xfId="565" xr:uid="{00000000-0005-0000-0000-0000F2520000}"/>
    <cellStyle name="Note 4 3 3 2 2 10" xfId="2215" xr:uid="{00000000-0005-0000-0000-0000F3520000}"/>
    <cellStyle name="Note 4 3 3 2 2 10 10" xfId="33516" xr:uid="{00000000-0005-0000-0000-0000F4520000}"/>
    <cellStyle name="Note 4 3 3 2 2 10 11" xfId="37267" xr:uid="{00000000-0005-0000-0000-0000F5520000}"/>
    <cellStyle name="Note 4 3 3 2 2 10 12" xfId="41283" xr:uid="{00000000-0005-0000-0000-0000F6520000}"/>
    <cellStyle name="Note 4 3 3 2 2 10 13" xfId="45078" xr:uid="{00000000-0005-0000-0000-0000F7520000}"/>
    <cellStyle name="Note 4 3 3 2 2 10 2" xfId="4198" xr:uid="{00000000-0005-0000-0000-0000F8520000}"/>
    <cellStyle name="Note 4 3 3 2 2 10 2 10" xfId="39249" xr:uid="{00000000-0005-0000-0000-0000F9520000}"/>
    <cellStyle name="Note 4 3 3 2 2 10 2 11" xfId="43259" xr:uid="{00000000-0005-0000-0000-0000FA520000}"/>
    <cellStyle name="Note 4 3 3 2 2 10 2 12" xfId="47016" xr:uid="{00000000-0005-0000-0000-0000FB520000}"/>
    <cellStyle name="Note 4 3 3 2 2 10 2 2" xfId="8057" xr:uid="{00000000-0005-0000-0000-0000FC520000}"/>
    <cellStyle name="Note 4 3 3 2 2 10 2 3" xfId="12497" xr:uid="{00000000-0005-0000-0000-0000FD520000}"/>
    <cellStyle name="Note 4 3 3 2 2 10 2 4" xfId="16342" xr:uid="{00000000-0005-0000-0000-0000FE520000}"/>
    <cellStyle name="Note 4 3 3 2 2 10 2 5" xfId="20192" xr:uid="{00000000-0005-0000-0000-0000FF520000}"/>
    <cellStyle name="Note 4 3 3 2 2 10 2 6" xfId="24104" xr:uid="{00000000-0005-0000-0000-000000530000}"/>
    <cellStyle name="Note 4 3 3 2 2 10 2 7" xfId="27942" xr:uid="{00000000-0005-0000-0000-000001530000}"/>
    <cellStyle name="Note 4 3 3 2 2 10 2 8" xfId="31801" xr:uid="{00000000-0005-0000-0000-000002530000}"/>
    <cellStyle name="Note 4 3 3 2 2 10 2 9" xfId="35454" xr:uid="{00000000-0005-0000-0000-000003530000}"/>
    <cellStyle name="Note 4 3 3 2 2 10 3" xfId="6129" xr:uid="{00000000-0005-0000-0000-000004530000}"/>
    <cellStyle name="Note 4 3 3 2 2 10 4" xfId="10532" xr:uid="{00000000-0005-0000-0000-000005530000}"/>
    <cellStyle name="Note 4 3 3 2 2 10 5" xfId="14378" xr:uid="{00000000-0005-0000-0000-000006530000}"/>
    <cellStyle name="Note 4 3 3 2 2 10 6" xfId="18209" xr:uid="{00000000-0005-0000-0000-000007530000}"/>
    <cellStyle name="Note 4 3 3 2 2 10 7" xfId="22148" xr:uid="{00000000-0005-0000-0000-000008530000}"/>
    <cellStyle name="Note 4 3 3 2 2 10 8" xfId="25960" xr:uid="{00000000-0005-0000-0000-000009530000}"/>
    <cellStyle name="Note 4 3 3 2 2 10 9" xfId="29840" xr:uid="{00000000-0005-0000-0000-00000A530000}"/>
    <cellStyle name="Note 4 3 3 2 2 11" xfId="2273" xr:uid="{00000000-0005-0000-0000-00000B530000}"/>
    <cellStyle name="Note 4 3 3 2 2 11 10" xfId="33574" xr:uid="{00000000-0005-0000-0000-00000C530000}"/>
    <cellStyle name="Note 4 3 3 2 2 11 11" xfId="37325" xr:uid="{00000000-0005-0000-0000-00000D530000}"/>
    <cellStyle name="Note 4 3 3 2 2 11 12" xfId="41341" xr:uid="{00000000-0005-0000-0000-00000E530000}"/>
    <cellStyle name="Note 4 3 3 2 2 11 13" xfId="45136" xr:uid="{00000000-0005-0000-0000-00000F530000}"/>
    <cellStyle name="Note 4 3 3 2 2 11 2" xfId="4256" xr:uid="{00000000-0005-0000-0000-000010530000}"/>
    <cellStyle name="Note 4 3 3 2 2 11 2 10" xfId="39307" xr:uid="{00000000-0005-0000-0000-000011530000}"/>
    <cellStyle name="Note 4 3 3 2 2 11 2 11" xfId="43317" xr:uid="{00000000-0005-0000-0000-000012530000}"/>
    <cellStyle name="Note 4 3 3 2 2 11 2 12" xfId="47074" xr:uid="{00000000-0005-0000-0000-000013530000}"/>
    <cellStyle name="Note 4 3 3 2 2 11 2 2" xfId="8115" xr:uid="{00000000-0005-0000-0000-000014530000}"/>
    <cellStyle name="Note 4 3 3 2 2 11 2 3" xfId="12555" xr:uid="{00000000-0005-0000-0000-000015530000}"/>
    <cellStyle name="Note 4 3 3 2 2 11 2 4" xfId="16400" xr:uid="{00000000-0005-0000-0000-000016530000}"/>
    <cellStyle name="Note 4 3 3 2 2 11 2 5" xfId="20250" xr:uid="{00000000-0005-0000-0000-000017530000}"/>
    <cellStyle name="Note 4 3 3 2 2 11 2 6" xfId="24162" xr:uid="{00000000-0005-0000-0000-000018530000}"/>
    <cellStyle name="Note 4 3 3 2 2 11 2 7" xfId="28000" xr:uid="{00000000-0005-0000-0000-000019530000}"/>
    <cellStyle name="Note 4 3 3 2 2 11 2 8" xfId="31859" xr:uid="{00000000-0005-0000-0000-00001A530000}"/>
    <cellStyle name="Note 4 3 3 2 2 11 2 9" xfId="35512" xr:uid="{00000000-0005-0000-0000-00001B530000}"/>
    <cellStyle name="Note 4 3 3 2 2 11 3" xfId="6187" xr:uid="{00000000-0005-0000-0000-00001C530000}"/>
    <cellStyle name="Note 4 3 3 2 2 11 4" xfId="10590" xr:uid="{00000000-0005-0000-0000-00001D530000}"/>
    <cellStyle name="Note 4 3 3 2 2 11 5" xfId="14436" xr:uid="{00000000-0005-0000-0000-00001E530000}"/>
    <cellStyle name="Note 4 3 3 2 2 11 6" xfId="18267" xr:uid="{00000000-0005-0000-0000-00001F530000}"/>
    <cellStyle name="Note 4 3 3 2 2 11 7" xfId="22206" xr:uid="{00000000-0005-0000-0000-000020530000}"/>
    <cellStyle name="Note 4 3 3 2 2 11 8" xfId="26018" xr:uid="{00000000-0005-0000-0000-000021530000}"/>
    <cellStyle name="Note 4 3 3 2 2 11 9" xfId="29898" xr:uid="{00000000-0005-0000-0000-000022530000}"/>
    <cellStyle name="Note 4 3 3 2 2 12" xfId="2330" xr:uid="{00000000-0005-0000-0000-000023530000}"/>
    <cellStyle name="Note 4 3 3 2 2 12 10" xfId="33629" xr:uid="{00000000-0005-0000-0000-000024530000}"/>
    <cellStyle name="Note 4 3 3 2 2 12 11" xfId="37382" xr:uid="{00000000-0005-0000-0000-000025530000}"/>
    <cellStyle name="Note 4 3 3 2 2 12 12" xfId="41398" xr:uid="{00000000-0005-0000-0000-000026530000}"/>
    <cellStyle name="Note 4 3 3 2 2 12 13" xfId="45191" xr:uid="{00000000-0005-0000-0000-000027530000}"/>
    <cellStyle name="Note 4 3 3 2 2 12 2" xfId="4313" xr:uid="{00000000-0005-0000-0000-000028530000}"/>
    <cellStyle name="Note 4 3 3 2 2 12 2 10" xfId="39364" xr:uid="{00000000-0005-0000-0000-000029530000}"/>
    <cellStyle name="Note 4 3 3 2 2 12 2 11" xfId="43374" xr:uid="{00000000-0005-0000-0000-00002A530000}"/>
    <cellStyle name="Note 4 3 3 2 2 12 2 12" xfId="47129" xr:uid="{00000000-0005-0000-0000-00002B530000}"/>
    <cellStyle name="Note 4 3 3 2 2 12 2 2" xfId="8170" xr:uid="{00000000-0005-0000-0000-00002C530000}"/>
    <cellStyle name="Note 4 3 3 2 2 12 2 3" xfId="12612" xr:uid="{00000000-0005-0000-0000-00002D530000}"/>
    <cellStyle name="Note 4 3 3 2 2 12 2 4" xfId="16456" xr:uid="{00000000-0005-0000-0000-00002E530000}"/>
    <cellStyle name="Note 4 3 3 2 2 12 2 5" xfId="20307" xr:uid="{00000000-0005-0000-0000-00002F530000}"/>
    <cellStyle name="Note 4 3 3 2 2 12 2 6" xfId="24218" xr:uid="{00000000-0005-0000-0000-000030530000}"/>
    <cellStyle name="Note 4 3 3 2 2 12 2 7" xfId="28057" xr:uid="{00000000-0005-0000-0000-000031530000}"/>
    <cellStyle name="Note 4 3 3 2 2 12 2 8" xfId="31916" xr:uid="{00000000-0005-0000-0000-000032530000}"/>
    <cellStyle name="Note 4 3 3 2 2 12 2 9" xfId="35567" xr:uid="{00000000-0005-0000-0000-000033530000}"/>
    <cellStyle name="Note 4 3 3 2 2 12 3" xfId="6242" xr:uid="{00000000-0005-0000-0000-000034530000}"/>
    <cellStyle name="Note 4 3 3 2 2 12 4" xfId="10647" xr:uid="{00000000-0005-0000-0000-000035530000}"/>
    <cellStyle name="Note 4 3 3 2 2 12 5" xfId="14492" xr:uid="{00000000-0005-0000-0000-000036530000}"/>
    <cellStyle name="Note 4 3 3 2 2 12 6" xfId="18324" xr:uid="{00000000-0005-0000-0000-000037530000}"/>
    <cellStyle name="Note 4 3 3 2 2 12 7" xfId="22262" xr:uid="{00000000-0005-0000-0000-000038530000}"/>
    <cellStyle name="Note 4 3 3 2 2 12 8" xfId="26075" xr:uid="{00000000-0005-0000-0000-000039530000}"/>
    <cellStyle name="Note 4 3 3 2 2 12 9" xfId="29955" xr:uid="{00000000-0005-0000-0000-00003A530000}"/>
    <cellStyle name="Note 4 3 3 2 2 13" xfId="2395" xr:uid="{00000000-0005-0000-0000-00003B530000}"/>
    <cellStyle name="Note 4 3 3 2 2 13 10" xfId="33693" xr:uid="{00000000-0005-0000-0000-00003C530000}"/>
    <cellStyle name="Note 4 3 3 2 2 13 11" xfId="37447" xr:uid="{00000000-0005-0000-0000-00003D530000}"/>
    <cellStyle name="Note 4 3 3 2 2 13 12" xfId="41462" xr:uid="{00000000-0005-0000-0000-00003E530000}"/>
    <cellStyle name="Note 4 3 3 2 2 13 13" xfId="45255" xr:uid="{00000000-0005-0000-0000-00003F530000}"/>
    <cellStyle name="Note 4 3 3 2 2 13 2" xfId="4378" xr:uid="{00000000-0005-0000-0000-000040530000}"/>
    <cellStyle name="Note 4 3 3 2 2 13 2 10" xfId="39429" xr:uid="{00000000-0005-0000-0000-000041530000}"/>
    <cellStyle name="Note 4 3 3 2 2 13 2 11" xfId="43438" xr:uid="{00000000-0005-0000-0000-000042530000}"/>
    <cellStyle name="Note 4 3 3 2 2 13 2 12" xfId="47193" xr:uid="{00000000-0005-0000-0000-000043530000}"/>
    <cellStyle name="Note 4 3 3 2 2 13 2 2" xfId="8235" xr:uid="{00000000-0005-0000-0000-000044530000}"/>
    <cellStyle name="Note 4 3 3 2 2 13 2 3" xfId="12676" xr:uid="{00000000-0005-0000-0000-000045530000}"/>
    <cellStyle name="Note 4 3 3 2 2 13 2 4" xfId="16521" xr:uid="{00000000-0005-0000-0000-000046530000}"/>
    <cellStyle name="Note 4 3 3 2 2 13 2 5" xfId="20372" xr:uid="{00000000-0005-0000-0000-000047530000}"/>
    <cellStyle name="Note 4 3 3 2 2 13 2 6" xfId="24283" xr:uid="{00000000-0005-0000-0000-000048530000}"/>
    <cellStyle name="Note 4 3 3 2 2 13 2 7" xfId="28122" xr:uid="{00000000-0005-0000-0000-000049530000}"/>
    <cellStyle name="Note 4 3 3 2 2 13 2 8" xfId="31980" xr:uid="{00000000-0005-0000-0000-00004A530000}"/>
    <cellStyle name="Note 4 3 3 2 2 13 2 9" xfId="35631" xr:uid="{00000000-0005-0000-0000-00004B530000}"/>
    <cellStyle name="Note 4 3 3 2 2 13 3" xfId="6291" xr:uid="{00000000-0005-0000-0000-00004C530000}"/>
    <cellStyle name="Note 4 3 3 2 2 13 4" xfId="10711" xr:uid="{00000000-0005-0000-0000-00004D530000}"/>
    <cellStyle name="Note 4 3 3 2 2 13 5" xfId="14557" xr:uid="{00000000-0005-0000-0000-00004E530000}"/>
    <cellStyle name="Note 4 3 3 2 2 13 6" xfId="18389" xr:uid="{00000000-0005-0000-0000-00004F530000}"/>
    <cellStyle name="Note 4 3 3 2 2 13 7" xfId="22327" xr:uid="{00000000-0005-0000-0000-000050530000}"/>
    <cellStyle name="Note 4 3 3 2 2 13 8" xfId="26140" xr:uid="{00000000-0005-0000-0000-000051530000}"/>
    <cellStyle name="Note 4 3 3 2 2 13 9" xfId="30020" xr:uid="{00000000-0005-0000-0000-000052530000}"/>
    <cellStyle name="Note 4 3 3 2 2 14" xfId="2447" xr:uid="{00000000-0005-0000-0000-000053530000}"/>
    <cellStyle name="Note 4 3 3 2 2 14 10" xfId="33743" xr:uid="{00000000-0005-0000-0000-000054530000}"/>
    <cellStyle name="Note 4 3 3 2 2 14 11" xfId="37499" xr:uid="{00000000-0005-0000-0000-000055530000}"/>
    <cellStyle name="Note 4 3 3 2 2 14 12" xfId="41514" xr:uid="{00000000-0005-0000-0000-000056530000}"/>
    <cellStyle name="Note 4 3 3 2 2 14 13" xfId="45305" xr:uid="{00000000-0005-0000-0000-000057530000}"/>
    <cellStyle name="Note 4 3 3 2 2 14 2" xfId="4430" xr:uid="{00000000-0005-0000-0000-000058530000}"/>
    <cellStyle name="Note 4 3 3 2 2 14 2 10" xfId="39481" xr:uid="{00000000-0005-0000-0000-000059530000}"/>
    <cellStyle name="Note 4 3 3 2 2 14 2 11" xfId="43490" xr:uid="{00000000-0005-0000-0000-00005A530000}"/>
    <cellStyle name="Note 4 3 3 2 2 14 2 12" xfId="47243" xr:uid="{00000000-0005-0000-0000-00005B530000}"/>
    <cellStyle name="Note 4 3 3 2 2 14 2 2" xfId="8285" xr:uid="{00000000-0005-0000-0000-00005C530000}"/>
    <cellStyle name="Note 4 3 3 2 2 14 2 3" xfId="12728" xr:uid="{00000000-0005-0000-0000-00005D530000}"/>
    <cellStyle name="Note 4 3 3 2 2 14 2 4" xfId="16571" xr:uid="{00000000-0005-0000-0000-00005E530000}"/>
    <cellStyle name="Note 4 3 3 2 2 14 2 5" xfId="20424" xr:uid="{00000000-0005-0000-0000-00005F530000}"/>
    <cellStyle name="Note 4 3 3 2 2 14 2 6" xfId="24334" xr:uid="{00000000-0005-0000-0000-000060530000}"/>
    <cellStyle name="Note 4 3 3 2 2 14 2 7" xfId="28174" xr:uid="{00000000-0005-0000-0000-000061530000}"/>
    <cellStyle name="Note 4 3 3 2 2 14 2 8" xfId="32032" xr:uid="{00000000-0005-0000-0000-000062530000}"/>
    <cellStyle name="Note 4 3 3 2 2 14 2 9" xfId="35681" xr:uid="{00000000-0005-0000-0000-000063530000}"/>
    <cellStyle name="Note 4 3 3 2 2 14 3" xfId="6341" xr:uid="{00000000-0005-0000-0000-000064530000}"/>
    <cellStyle name="Note 4 3 3 2 2 14 4" xfId="10763" xr:uid="{00000000-0005-0000-0000-000065530000}"/>
    <cellStyle name="Note 4 3 3 2 2 14 5" xfId="14608" xr:uid="{00000000-0005-0000-0000-000066530000}"/>
    <cellStyle name="Note 4 3 3 2 2 14 6" xfId="18441" xr:uid="{00000000-0005-0000-0000-000067530000}"/>
    <cellStyle name="Note 4 3 3 2 2 14 7" xfId="22378" xr:uid="{00000000-0005-0000-0000-000068530000}"/>
    <cellStyle name="Note 4 3 3 2 2 14 8" xfId="26192" xr:uid="{00000000-0005-0000-0000-000069530000}"/>
    <cellStyle name="Note 4 3 3 2 2 14 9" xfId="30071" xr:uid="{00000000-0005-0000-0000-00006A530000}"/>
    <cellStyle name="Note 4 3 3 2 2 15" xfId="2501" xr:uid="{00000000-0005-0000-0000-00006B530000}"/>
    <cellStyle name="Note 4 3 3 2 2 15 10" xfId="33794" xr:uid="{00000000-0005-0000-0000-00006C530000}"/>
    <cellStyle name="Note 4 3 3 2 2 15 11" xfId="37553" xr:uid="{00000000-0005-0000-0000-00006D530000}"/>
    <cellStyle name="Note 4 3 3 2 2 15 12" xfId="41567" xr:uid="{00000000-0005-0000-0000-00006E530000}"/>
    <cellStyle name="Note 4 3 3 2 2 15 13" xfId="45356" xr:uid="{00000000-0005-0000-0000-00006F530000}"/>
    <cellStyle name="Note 4 3 3 2 2 15 2" xfId="4481" xr:uid="{00000000-0005-0000-0000-000070530000}"/>
    <cellStyle name="Note 4 3 3 2 2 15 2 10" xfId="39532" xr:uid="{00000000-0005-0000-0000-000071530000}"/>
    <cellStyle name="Note 4 3 3 2 2 15 2 11" xfId="43541" xr:uid="{00000000-0005-0000-0000-000072530000}"/>
    <cellStyle name="Note 4 3 3 2 2 15 2 12" xfId="47294" xr:uid="{00000000-0005-0000-0000-000073530000}"/>
    <cellStyle name="Note 4 3 3 2 2 15 2 2" xfId="8336" xr:uid="{00000000-0005-0000-0000-000074530000}"/>
    <cellStyle name="Note 4 3 3 2 2 15 2 3" xfId="12779" xr:uid="{00000000-0005-0000-0000-000075530000}"/>
    <cellStyle name="Note 4 3 3 2 2 15 2 4" xfId="16622" xr:uid="{00000000-0005-0000-0000-000076530000}"/>
    <cellStyle name="Note 4 3 3 2 2 15 2 5" xfId="20475" xr:uid="{00000000-0005-0000-0000-000077530000}"/>
    <cellStyle name="Note 4 3 3 2 2 15 2 6" xfId="24385" xr:uid="{00000000-0005-0000-0000-000078530000}"/>
    <cellStyle name="Note 4 3 3 2 2 15 2 7" xfId="28225" xr:uid="{00000000-0005-0000-0000-000079530000}"/>
    <cellStyle name="Note 4 3 3 2 2 15 2 8" xfId="32083" xr:uid="{00000000-0005-0000-0000-00007A530000}"/>
    <cellStyle name="Note 4 3 3 2 2 15 2 9" xfId="35732" xr:uid="{00000000-0005-0000-0000-00007B530000}"/>
    <cellStyle name="Note 4 3 3 2 2 15 3" xfId="6393" xr:uid="{00000000-0005-0000-0000-00007C530000}"/>
    <cellStyle name="Note 4 3 3 2 2 15 4" xfId="10816" xr:uid="{00000000-0005-0000-0000-00007D530000}"/>
    <cellStyle name="Note 4 3 3 2 2 15 5" xfId="14660" xr:uid="{00000000-0005-0000-0000-00007E530000}"/>
    <cellStyle name="Note 4 3 3 2 2 15 6" xfId="18495" xr:uid="{00000000-0005-0000-0000-00007F530000}"/>
    <cellStyle name="Note 4 3 3 2 2 15 7" xfId="22430" xr:uid="{00000000-0005-0000-0000-000080530000}"/>
    <cellStyle name="Note 4 3 3 2 2 15 8" xfId="26246" xr:uid="{00000000-0005-0000-0000-000081530000}"/>
    <cellStyle name="Note 4 3 3 2 2 15 9" xfId="30125" xr:uid="{00000000-0005-0000-0000-000082530000}"/>
    <cellStyle name="Note 4 3 3 2 2 16" xfId="2570" xr:uid="{00000000-0005-0000-0000-000083530000}"/>
    <cellStyle name="Note 4 3 3 2 2 16 10" xfId="37622" xr:uid="{00000000-0005-0000-0000-000084530000}"/>
    <cellStyle name="Note 4 3 3 2 2 16 11" xfId="41636" xr:uid="{00000000-0005-0000-0000-000085530000}"/>
    <cellStyle name="Note 4 3 3 2 2 16 12" xfId="45425" xr:uid="{00000000-0005-0000-0000-000086530000}"/>
    <cellStyle name="Note 4 3 3 2 2 16 2" xfId="6462" xr:uid="{00000000-0005-0000-0000-000087530000}"/>
    <cellStyle name="Note 4 3 3 2 2 16 3" xfId="10885" xr:uid="{00000000-0005-0000-0000-000088530000}"/>
    <cellStyle name="Note 4 3 3 2 2 16 4" xfId="14729" xr:uid="{00000000-0005-0000-0000-000089530000}"/>
    <cellStyle name="Note 4 3 3 2 2 16 5" xfId="18564" xr:uid="{00000000-0005-0000-0000-00008A530000}"/>
    <cellStyle name="Note 4 3 3 2 2 16 6" xfId="22499" xr:uid="{00000000-0005-0000-0000-00008B530000}"/>
    <cellStyle name="Note 4 3 3 2 2 16 7" xfId="26315" xr:uid="{00000000-0005-0000-0000-00008C530000}"/>
    <cellStyle name="Note 4 3 3 2 2 16 8" xfId="30194" xr:uid="{00000000-0005-0000-0000-00008D530000}"/>
    <cellStyle name="Note 4 3 3 2 2 16 9" xfId="33863" xr:uid="{00000000-0005-0000-0000-00008E530000}"/>
    <cellStyle name="Note 4 3 3 2 2 17" xfId="4538" xr:uid="{00000000-0005-0000-0000-00008F530000}"/>
    <cellStyle name="Note 4 3 3 2 2 18" xfId="8373" xr:uid="{00000000-0005-0000-0000-000090530000}"/>
    <cellStyle name="Note 4 3 3 2 2 19" xfId="8755" xr:uid="{00000000-0005-0000-0000-000091530000}"/>
    <cellStyle name="Note 4 3 3 2 2 2" xfId="699" xr:uid="{00000000-0005-0000-0000-000092530000}"/>
    <cellStyle name="Note 4 3 3 2 2 2 10" xfId="24433" xr:uid="{00000000-0005-0000-0000-000093530000}"/>
    <cellStyle name="Note 4 3 3 2 2 2 11" xfId="28326" xr:uid="{00000000-0005-0000-0000-000094530000}"/>
    <cellStyle name="Note 4 3 3 2 2 2 12" xfId="31870" xr:uid="{00000000-0005-0000-0000-000095530000}"/>
    <cellStyle name="Note 4 3 3 2 2 2 13" xfId="35770" xr:uid="{00000000-0005-0000-0000-000096530000}"/>
    <cellStyle name="Note 4 3 3 2 2 2 14" xfId="39793" xr:uid="{00000000-0005-0000-0000-000097530000}"/>
    <cellStyle name="Note 4 3 3 2 2 2 15" xfId="43596" xr:uid="{00000000-0005-0000-0000-000098530000}"/>
    <cellStyle name="Note 4 3 3 2 2 2 2" xfId="1079" xr:uid="{00000000-0005-0000-0000-000099530000}"/>
    <cellStyle name="Note 4 3 3 2 2 2 2 10" xfId="28690" xr:uid="{00000000-0005-0000-0000-00009A530000}"/>
    <cellStyle name="Note 4 3 3 2 2 2 2 11" xfId="32376" xr:uid="{00000000-0005-0000-0000-00009B530000}"/>
    <cellStyle name="Note 4 3 3 2 2 2 2 12" xfId="36137" xr:uid="{00000000-0005-0000-0000-00009C530000}"/>
    <cellStyle name="Note 4 3 3 2 2 2 2 13" xfId="40140" xr:uid="{00000000-0005-0000-0000-00009D530000}"/>
    <cellStyle name="Note 4 3 3 2 2 2 2 14" xfId="43963" xr:uid="{00000000-0005-0000-0000-00009E530000}"/>
    <cellStyle name="Note 4 3 3 2 2 2 2 2" xfId="1806" xr:uid="{00000000-0005-0000-0000-00009F530000}"/>
    <cellStyle name="Note 4 3 3 2 2 2 2 2 10" xfId="33093" xr:uid="{00000000-0005-0000-0000-0000A0530000}"/>
    <cellStyle name="Note 4 3 3 2 2 2 2 2 11" xfId="36863" xr:uid="{00000000-0005-0000-0000-0000A1530000}"/>
    <cellStyle name="Note 4 3 3 2 2 2 2 2 12" xfId="40854" xr:uid="{00000000-0005-0000-0000-0000A2530000}"/>
    <cellStyle name="Note 4 3 3 2 2 2 2 2 13" xfId="44685" xr:uid="{00000000-0005-0000-0000-0000A3530000}"/>
    <cellStyle name="Note 4 3 3 2 2 2 2 2 2" xfId="3796" xr:uid="{00000000-0005-0000-0000-0000A4530000}"/>
    <cellStyle name="Note 4 3 3 2 2 2 2 2 2 10" xfId="38847" xr:uid="{00000000-0005-0000-0000-0000A5530000}"/>
    <cellStyle name="Note 4 3 3 2 2 2 2 2 2 11" xfId="42858" xr:uid="{00000000-0005-0000-0000-0000A6530000}"/>
    <cellStyle name="Note 4 3 3 2 2 2 2 2 2 12" xfId="46623" xr:uid="{00000000-0005-0000-0000-0000A7530000}"/>
    <cellStyle name="Note 4 3 3 2 2 2 2 2 2 2" xfId="7663" xr:uid="{00000000-0005-0000-0000-0000A8530000}"/>
    <cellStyle name="Note 4 3 3 2 2 2 2 2 2 3" xfId="12098" xr:uid="{00000000-0005-0000-0000-0000A9530000}"/>
    <cellStyle name="Note 4 3 3 2 2 2 2 2 2 4" xfId="15943" xr:uid="{00000000-0005-0000-0000-0000AA530000}"/>
    <cellStyle name="Note 4 3 3 2 2 2 2 2 2 5" xfId="19790" xr:uid="{00000000-0005-0000-0000-0000AB530000}"/>
    <cellStyle name="Note 4 3 3 2 2 2 2 2 2 6" xfId="23706" xr:uid="{00000000-0005-0000-0000-0000AC530000}"/>
    <cellStyle name="Note 4 3 3 2 2 2 2 2 2 7" xfId="27540" xr:uid="{00000000-0005-0000-0000-0000AD530000}"/>
    <cellStyle name="Note 4 3 3 2 2 2 2 2 2 8" xfId="31404" xr:uid="{00000000-0005-0000-0000-0000AE530000}"/>
    <cellStyle name="Note 4 3 3 2 2 2 2 2 2 9" xfId="35061" xr:uid="{00000000-0005-0000-0000-0000AF530000}"/>
    <cellStyle name="Note 4 3 3 2 2 2 2 2 3" xfId="5739" xr:uid="{00000000-0005-0000-0000-0000B0530000}"/>
    <cellStyle name="Note 4 3 3 2 2 2 2 2 4" xfId="10097" xr:uid="{00000000-0005-0000-0000-0000B1530000}"/>
    <cellStyle name="Note 4 3 3 2 2 2 2 2 5" xfId="13943" xr:uid="{00000000-0005-0000-0000-0000B2530000}"/>
    <cellStyle name="Note 4 3 3 2 2 2 2 2 6" xfId="17772" xr:uid="{00000000-0005-0000-0000-0000B3530000}"/>
    <cellStyle name="Note 4 3 3 2 2 2 2 2 7" xfId="21711" xr:uid="{00000000-0005-0000-0000-0000B4530000}"/>
    <cellStyle name="Note 4 3 3 2 2 2 2 2 8" xfId="25524" xr:uid="{00000000-0005-0000-0000-0000B5530000}"/>
    <cellStyle name="Note 4 3 3 2 2 2 2 2 9" xfId="29411" xr:uid="{00000000-0005-0000-0000-0000B6530000}"/>
    <cellStyle name="Note 4 3 3 2 2 2 2 3" xfId="3069" xr:uid="{00000000-0005-0000-0000-0000B7530000}"/>
    <cellStyle name="Note 4 3 3 2 2 2 2 3 10" xfId="38121" xr:uid="{00000000-0005-0000-0000-0000B8530000}"/>
    <cellStyle name="Note 4 3 3 2 2 2 2 3 11" xfId="42133" xr:uid="{00000000-0005-0000-0000-0000B9530000}"/>
    <cellStyle name="Note 4 3 3 2 2 2 2 3 12" xfId="45906" xr:uid="{00000000-0005-0000-0000-0000BA530000}"/>
    <cellStyle name="Note 4 3 3 2 2 2 2 3 2" xfId="6945" xr:uid="{00000000-0005-0000-0000-0000BB530000}"/>
    <cellStyle name="Note 4 3 3 2 2 2 2 3 3" xfId="11374" xr:uid="{00000000-0005-0000-0000-0000BC530000}"/>
    <cellStyle name="Note 4 3 3 2 2 2 2 3 4" xfId="15218" xr:uid="{00000000-0005-0000-0000-0000BD530000}"/>
    <cellStyle name="Note 4 3 3 2 2 2 2 3 5" xfId="19063" xr:uid="{00000000-0005-0000-0000-0000BE530000}"/>
    <cellStyle name="Note 4 3 3 2 2 2 2 3 6" xfId="22985" xr:uid="{00000000-0005-0000-0000-0000BF530000}"/>
    <cellStyle name="Note 4 3 3 2 2 2 2 3 7" xfId="26814" xr:uid="{00000000-0005-0000-0000-0000C0530000}"/>
    <cellStyle name="Note 4 3 3 2 2 2 2 3 8" xfId="30688" xr:uid="{00000000-0005-0000-0000-0000C1530000}"/>
    <cellStyle name="Note 4 3 3 2 2 2 2 3 9" xfId="34344" xr:uid="{00000000-0005-0000-0000-0000C2530000}"/>
    <cellStyle name="Note 4 3 3 2 2 2 2 4" xfId="5021" xr:uid="{00000000-0005-0000-0000-0000C3530000}"/>
    <cellStyle name="Note 4 3 3 2 2 2 2 5" xfId="9377" xr:uid="{00000000-0005-0000-0000-0000C4530000}"/>
    <cellStyle name="Note 4 3 3 2 2 2 2 6" xfId="13217" xr:uid="{00000000-0005-0000-0000-0000C5530000}"/>
    <cellStyle name="Note 4 3 3 2 2 2 2 7" xfId="17045" xr:uid="{00000000-0005-0000-0000-0000C6530000}"/>
    <cellStyle name="Note 4 3 3 2 2 2 2 8" xfId="20987" xr:uid="{00000000-0005-0000-0000-0000C7530000}"/>
    <cellStyle name="Note 4 3 3 2 2 2 2 9" xfId="24801" xr:uid="{00000000-0005-0000-0000-0000C8530000}"/>
    <cellStyle name="Note 4 3 3 2 2 2 3" xfId="1453" xr:uid="{00000000-0005-0000-0000-0000C9530000}"/>
    <cellStyle name="Note 4 3 3 2 2 2 3 10" xfId="32740" xr:uid="{00000000-0005-0000-0000-0000CA530000}"/>
    <cellStyle name="Note 4 3 3 2 2 2 3 11" xfId="36510" xr:uid="{00000000-0005-0000-0000-0000CB530000}"/>
    <cellStyle name="Note 4 3 3 2 2 2 3 12" xfId="40501" xr:uid="{00000000-0005-0000-0000-0000CC530000}"/>
    <cellStyle name="Note 4 3 3 2 2 2 3 13" xfId="44332" xr:uid="{00000000-0005-0000-0000-0000CD530000}"/>
    <cellStyle name="Note 4 3 3 2 2 2 3 2" xfId="3443" xr:uid="{00000000-0005-0000-0000-0000CE530000}"/>
    <cellStyle name="Note 4 3 3 2 2 2 3 2 10" xfId="38494" xr:uid="{00000000-0005-0000-0000-0000CF530000}"/>
    <cellStyle name="Note 4 3 3 2 2 2 3 2 11" xfId="42505" xr:uid="{00000000-0005-0000-0000-0000D0530000}"/>
    <cellStyle name="Note 4 3 3 2 2 2 3 2 12" xfId="46270" xr:uid="{00000000-0005-0000-0000-0000D1530000}"/>
    <cellStyle name="Note 4 3 3 2 2 2 3 2 2" xfId="7310" xr:uid="{00000000-0005-0000-0000-0000D2530000}"/>
    <cellStyle name="Note 4 3 3 2 2 2 3 2 3" xfId="11745" xr:uid="{00000000-0005-0000-0000-0000D3530000}"/>
    <cellStyle name="Note 4 3 3 2 2 2 3 2 4" xfId="15590" xr:uid="{00000000-0005-0000-0000-0000D4530000}"/>
    <cellStyle name="Note 4 3 3 2 2 2 3 2 5" xfId="19437" xr:uid="{00000000-0005-0000-0000-0000D5530000}"/>
    <cellStyle name="Note 4 3 3 2 2 2 3 2 6" xfId="23353" xr:uid="{00000000-0005-0000-0000-0000D6530000}"/>
    <cellStyle name="Note 4 3 3 2 2 2 3 2 7" xfId="27187" xr:uid="{00000000-0005-0000-0000-0000D7530000}"/>
    <cellStyle name="Note 4 3 3 2 2 2 3 2 8" xfId="31055" xr:uid="{00000000-0005-0000-0000-0000D8530000}"/>
    <cellStyle name="Note 4 3 3 2 2 2 3 2 9" xfId="34708" xr:uid="{00000000-0005-0000-0000-0000D9530000}"/>
    <cellStyle name="Note 4 3 3 2 2 2 3 3" xfId="5386" xr:uid="{00000000-0005-0000-0000-0000DA530000}"/>
    <cellStyle name="Note 4 3 3 2 2 2 3 4" xfId="9744" xr:uid="{00000000-0005-0000-0000-0000DB530000}"/>
    <cellStyle name="Note 4 3 3 2 2 2 3 5" xfId="13590" xr:uid="{00000000-0005-0000-0000-0000DC530000}"/>
    <cellStyle name="Note 4 3 3 2 2 2 3 6" xfId="17419" xr:uid="{00000000-0005-0000-0000-0000DD530000}"/>
    <cellStyle name="Note 4 3 3 2 2 2 3 7" xfId="21358" xr:uid="{00000000-0005-0000-0000-0000DE530000}"/>
    <cellStyle name="Note 4 3 3 2 2 2 3 8" xfId="25171" xr:uid="{00000000-0005-0000-0000-0000DF530000}"/>
    <cellStyle name="Note 4 3 3 2 2 2 3 9" xfId="29058" xr:uid="{00000000-0005-0000-0000-0000E0530000}"/>
    <cellStyle name="Note 4 3 3 2 2 2 4" xfId="2702" xr:uid="{00000000-0005-0000-0000-0000E1530000}"/>
    <cellStyle name="Note 4 3 3 2 2 2 4 10" xfId="37754" xr:uid="{00000000-0005-0000-0000-0000E2530000}"/>
    <cellStyle name="Note 4 3 3 2 2 2 4 11" xfId="41768" xr:uid="{00000000-0005-0000-0000-0000E3530000}"/>
    <cellStyle name="Note 4 3 3 2 2 2 4 12" xfId="45553" xr:uid="{00000000-0005-0000-0000-0000E4530000}"/>
    <cellStyle name="Note 4 3 3 2 2 2 4 2" xfId="6590" xr:uid="{00000000-0005-0000-0000-0000E5530000}"/>
    <cellStyle name="Note 4 3 3 2 2 2 4 3" xfId="11014" xr:uid="{00000000-0005-0000-0000-0000E6530000}"/>
    <cellStyle name="Note 4 3 3 2 2 2 4 4" xfId="14858" xr:uid="{00000000-0005-0000-0000-0000E7530000}"/>
    <cellStyle name="Note 4 3 3 2 2 2 4 5" xfId="18696" xr:uid="{00000000-0005-0000-0000-0000E8530000}"/>
    <cellStyle name="Note 4 3 3 2 2 2 4 6" xfId="22627" xr:uid="{00000000-0005-0000-0000-0000E9530000}"/>
    <cellStyle name="Note 4 3 3 2 2 2 4 7" xfId="26447" xr:uid="{00000000-0005-0000-0000-0000EA530000}"/>
    <cellStyle name="Note 4 3 3 2 2 2 4 8" xfId="30326" xr:uid="{00000000-0005-0000-0000-0000EB530000}"/>
    <cellStyle name="Note 4 3 3 2 2 2 4 9" xfId="33991" xr:uid="{00000000-0005-0000-0000-0000EC530000}"/>
    <cellStyle name="Note 4 3 3 2 2 2 5" xfId="4666" xr:uid="{00000000-0005-0000-0000-0000ED530000}"/>
    <cellStyle name="Note 4 3 3 2 2 2 6" xfId="9008" xr:uid="{00000000-0005-0000-0000-0000EE530000}"/>
    <cellStyle name="Note 4 3 3 2 2 2 7" xfId="12845" xr:uid="{00000000-0005-0000-0000-0000EF530000}"/>
    <cellStyle name="Note 4 3 3 2 2 2 8" xfId="16675" xr:uid="{00000000-0005-0000-0000-0000F0530000}"/>
    <cellStyle name="Note 4 3 3 2 2 2 9" xfId="20612" xr:uid="{00000000-0005-0000-0000-0000F1530000}"/>
    <cellStyle name="Note 4 3 3 2 2 20" xfId="8875" xr:uid="{00000000-0005-0000-0000-0000F2530000}"/>
    <cellStyle name="Note 4 3 3 2 2 21" xfId="8838" xr:uid="{00000000-0005-0000-0000-0000F3530000}"/>
    <cellStyle name="Note 4 3 3 2 2 22" xfId="8518" xr:uid="{00000000-0005-0000-0000-0000F4530000}"/>
    <cellStyle name="Note 4 3 3 2 2 23" xfId="18059" xr:uid="{00000000-0005-0000-0000-0000F5530000}"/>
    <cellStyle name="Note 4 3 3 2 2 24" xfId="8771" xr:uid="{00000000-0005-0000-0000-0000F6530000}"/>
    <cellStyle name="Note 4 3 3 2 2 25" xfId="25810" xr:uid="{00000000-0005-0000-0000-0000F7530000}"/>
    <cellStyle name="Note 4 3 3 2 2 26" xfId="29635" xr:uid="{00000000-0005-0000-0000-0000F8530000}"/>
    <cellStyle name="Note 4 3 3 2 2 27" xfId="9078" xr:uid="{00000000-0005-0000-0000-0000F9530000}"/>
    <cellStyle name="Note 4 3 3 2 2 28" xfId="39662" xr:uid="{00000000-0005-0000-0000-0000FA530000}"/>
    <cellStyle name="Note 4 3 3 2 2 29" xfId="39805" xr:uid="{00000000-0005-0000-0000-0000FB530000}"/>
    <cellStyle name="Note 4 3 3 2 2 3" xfId="638" xr:uid="{00000000-0005-0000-0000-0000FC530000}"/>
    <cellStyle name="Note 4 3 3 2 2 3 10" xfId="8444" xr:uid="{00000000-0005-0000-0000-0000FD530000}"/>
    <cellStyle name="Note 4 3 3 2 2 3 11" xfId="28265" xr:uid="{00000000-0005-0000-0000-0000FE530000}"/>
    <cellStyle name="Note 4 3 3 2 2 3 12" xfId="30765" xr:uid="{00000000-0005-0000-0000-0000FF530000}"/>
    <cellStyle name="Note 4 3 3 2 2 3 13" xfId="24479" xr:uid="{00000000-0005-0000-0000-000000540000}"/>
    <cellStyle name="Note 4 3 3 2 2 3 14" xfId="39733" xr:uid="{00000000-0005-0000-0000-000001540000}"/>
    <cellStyle name="Note 4 3 3 2 2 3 15" xfId="39552" xr:uid="{00000000-0005-0000-0000-000002540000}"/>
    <cellStyle name="Note 4 3 3 2 2 3 2" xfId="1018" xr:uid="{00000000-0005-0000-0000-000003540000}"/>
    <cellStyle name="Note 4 3 3 2 2 3 2 10" xfId="28629" xr:uid="{00000000-0005-0000-0000-000004540000}"/>
    <cellStyle name="Note 4 3 3 2 2 3 2 11" xfId="32317" xr:uid="{00000000-0005-0000-0000-000005540000}"/>
    <cellStyle name="Note 4 3 3 2 2 3 2 12" xfId="36076" xr:uid="{00000000-0005-0000-0000-000006540000}"/>
    <cellStyle name="Note 4 3 3 2 2 3 2 13" xfId="40081" xr:uid="{00000000-0005-0000-0000-000007540000}"/>
    <cellStyle name="Note 4 3 3 2 2 3 2 14" xfId="43902" xr:uid="{00000000-0005-0000-0000-000008540000}"/>
    <cellStyle name="Note 4 3 3 2 2 3 2 2" xfId="1747" xr:uid="{00000000-0005-0000-0000-000009540000}"/>
    <cellStyle name="Note 4 3 3 2 2 3 2 2 10" xfId="33034" xr:uid="{00000000-0005-0000-0000-00000A540000}"/>
    <cellStyle name="Note 4 3 3 2 2 3 2 2 11" xfId="36804" xr:uid="{00000000-0005-0000-0000-00000B540000}"/>
    <cellStyle name="Note 4 3 3 2 2 3 2 2 12" xfId="40795" xr:uid="{00000000-0005-0000-0000-00000C540000}"/>
    <cellStyle name="Note 4 3 3 2 2 3 2 2 13" xfId="44626" xr:uid="{00000000-0005-0000-0000-00000D540000}"/>
    <cellStyle name="Note 4 3 3 2 2 3 2 2 2" xfId="3737" xr:uid="{00000000-0005-0000-0000-00000E540000}"/>
    <cellStyle name="Note 4 3 3 2 2 3 2 2 2 10" xfId="38788" xr:uid="{00000000-0005-0000-0000-00000F540000}"/>
    <cellStyle name="Note 4 3 3 2 2 3 2 2 2 11" xfId="42799" xr:uid="{00000000-0005-0000-0000-000010540000}"/>
    <cellStyle name="Note 4 3 3 2 2 3 2 2 2 12" xfId="46564" xr:uid="{00000000-0005-0000-0000-000011540000}"/>
    <cellStyle name="Note 4 3 3 2 2 3 2 2 2 2" xfId="7604" xr:uid="{00000000-0005-0000-0000-000012540000}"/>
    <cellStyle name="Note 4 3 3 2 2 3 2 2 2 3" xfId="12039" xr:uid="{00000000-0005-0000-0000-000013540000}"/>
    <cellStyle name="Note 4 3 3 2 2 3 2 2 2 4" xfId="15884" xr:uid="{00000000-0005-0000-0000-000014540000}"/>
    <cellStyle name="Note 4 3 3 2 2 3 2 2 2 5" xfId="19731" xr:uid="{00000000-0005-0000-0000-000015540000}"/>
    <cellStyle name="Note 4 3 3 2 2 3 2 2 2 6" xfId="23647" xr:uid="{00000000-0005-0000-0000-000016540000}"/>
    <cellStyle name="Note 4 3 3 2 2 3 2 2 2 7" xfId="27481" xr:uid="{00000000-0005-0000-0000-000017540000}"/>
    <cellStyle name="Note 4 3 3 2 2 3 2 2 2 8" xfId="31345" xr:uid="{00000000-0005-0000-0000-000018540000}"/>
    <cellStyle name="Note 4 3 3 2 2 3 2 2 2 9" xfId="35002" xr:uid="{00000000-0005-0000-0000-000019540000}"/>
    <cellStyle name="Note 4 3 3 2 2 3 2 2 3" xfId="5680" xr:uid="{00000000-0005-0000-0000-00001A540000}"/>
    <cellStyle name="Note 4 3 3 2 2 3 2 2 4" xfId="10038" xr:uid="{00000000-0005-0000-0000-00001B540000}"/>
    <cellStyle name="Note 4 3 3 2 2 3 2 2 5" xfId="13884" xr:uid="{00000000-0005-0000-0000-00001C540000}"/>
    <cellStyle name="Note 4 3 3 2 2 3 2 2 6" xfId="17713" xr:uid="{00000000-0005-0000-0000-00001D540000}"/>
    <cellStyle name="Note 4 3 3 2 2 3 2 2 7" xfId="21652" xr:uid="{00000000-0005-0000-0000-00001E540000}"/>
    <cellStyle name="Note 4 3 3 2 2 3 2 2 8" xfId="25465" xr:uid="{00000000-0005-0000-0000-00001F540000}"/>
    <cellStyle name="Note 4 3 3 2 2 3 2 2 9" xfId="29352" xr:uid="{00000000-0005-0000-0000-000020540000}"/>
    <cellStyle name="Note 4 3 3 2 2 3 2 3" xfId="3008" xr:uid="{00000000-0005-0000-0000-000021540000}"/>
    <cellStyle name="Note 4 3 3 2 2 3 2 3 10" xfId="38060" xr:uid="{00000000-0005-0000-0000-000022540000}"/>
    <cellStyle name="Note 4 3 3 2 2 3 2 3 11" xfId="42072" xr:uid="{00000000-0005-0000-0000-000023540000}"/>
    <cellStyle name="Note 4 3 3 2 2 3 2 3 12" xfId="45847" xr:uid="{00000000-0005-0000-0000-000024540000}"/>
    <cellStyle name="Note 4 3 3 2 2 3 2 3 2" xfId="6886" xr:uid="{00000000-0005-0000-0000-000025540000}"/>
    <cellStyle name="Note 4 3 3 2 2 3 2 3 3" xfId="11314" xr:uid="{00000000-0005-0000-0000-000026540000}"/>
    <cellStyle name="Note 4 3 3 2 2 3 2 3 4" xfId="15159" xr:uid="{00000000-0005-0000-0000-000027540000}"/>
    <cellStyle name="Note 4 3 3 2 2 3 2 3 5" xfId="19002" xr:uid="{00000000-0005-0000-0000-000028540000}"/>
    <cellStyle name="Note 4 3 3 2 2 3 2 3 6" xfId="22926" xr:uid="{00000000-0005-0000-0000-000029540000}"/>
    <cellStyle name="Note 4 3 3 2 2 3 2 3 7" xfId="26753" xr:uid="{00000000-0005-0000-0000-00002A540000}"/>
    <cellStyle name="Note 4 3 3 2 2 3 2 3 8" xfId="30627" xr:uid="{00000000-0005-0000-0000-00002B540000}"/>
    <cellStyle name="Note 4 3 3 2 2 3 2 3 9" xfId="34285" xr:uid="{00000000-0005-0000-0000-00002C540000}"/>
    <cellStyle name="Note 4 3 3 2 2 3 2 4" xfId="4962" xr:uid="{00000000-0005-0000-0000-00002D540000}"/>
    <cellStyle name="Note 4 3 3 2 2 3 2 5" xfId="9317" xr:uid="{00000000-0005-0000-0000-00002E540000}"/>
    <cellStyle name="Note 4 3 3 2 2 3 2 6" xfId="13158" xr:uid="{00000000-0005-0000-0000-00002F540000}"/>
    <cellStyle name="Note 4 3 3 2 2 3 2 7" xfId="16984" xr:uid="{00000000-0005-0000-0000-000030540000}"/>
    <cellStyle name="Note 4 3 3 2 2 3 2 8" xfId="20926" xr:uid="{00000000-0005-0000-0000-000031540000}"/>
    <cellStyle name="Note 4 3 3 2 2 3 2 9" xfId="24741" xr:uid="{00000000-0005-0000-0000-000032540000}"/>
    <cellStyle name="Note 4 3 3 2 2 3 3" xfId="1394" xr:uid="{00000000-0005-0000-0000-000033540000}"/>
    <cellStyle name="Note 4 3 3 2 2 3 3 10" xfId="32681" xr:uid="{00000000-0005-0000-0000-000034540000}"/>
    <cellStyle name="Note 4 3 3 2 2 3 3 11" xfId="36451" xr:uid="{00000000-0005-0000-0000-000035540000}"/>
    <cellStyle name="Note 4 3 3 2 2 3 3 12" xfId="40442" xr:uid="{00000000-0005-0000-0000-000036540000}"/>
    <cellStyle name="Note 4 3 3 2 2 3 3 13" xfId="44273" xr:uid="{00000000-0005-0000-0000-000037540000}"/>
    <cellStyle name="Note 4 3 3 2 2 3 3 2" xfId="3384" xr:uid="{00000000-0005-0000-0000-000038540000}"/>
    <cellStyle name="Note 4 3 3 2 2 3 3 2 10" xfId="38435" xr:uid="{00000000-0005-0000-0000-000039540000}"/>
    <cellStyle name="Note 4 3 3 2 2 3 3 2 11" xfId="42446" xr:uid="{00000000-0005-0000-0000-00003A540000}"/>
    <cellStyle name="Note 4 3 3 2 2 3 3 2 12" xfId="46211" xr:uid="{00000000-0005-0000-0000-00003B540000}"/>
    <cellStyle name="Note 4 3 3 2 2 3 3 2 2" xfId="7251" xr:uid="{00000000-0005-0000-0000-00003C540000}"/>
    <cellStyle name="Note 4 3 3 2 2 3 3 2 3" xfId="11686" xr:uid="{00000000-0005-0000-0000-00003D540000}"/>
    <cellStyle name="Note 4 3 3 2 2 3 3 2 4" xfId="15531" xr:uid="{00000000-0005-0000-0000-00003E540000}"/>
    <cellStyle name="Note 4 3 3 2 2 3 3 2 5" xfId="19378" xr:uid="{00000000-0005-0000-0000-00003F540000}"/>
    <cellStyle name="Note 4 3 3 2 2 3 3 2 6" xfId="23294" xr:uid="{00000000-0005-0000-0000-000040540000}"/>
    <cellStyle name="Note 4 3 3 2 2 3 3 2 7" xfId="27128" xr:uid="{00000000-0005-0000-0000-000041540000}"/>
    <cellStyle name="Note 4 3 3 2 2 3 3 2 8" xfId="30996" xr:uid="{00000000-0005-0000-0000-000042540000}"/>
    <cellStyle name="Note 4 3 3 2 2 3 3 2 9" xfId="34649" xr:uid="{00000000-0005-0000-0000-000043540000}"/>
    <cellStyle name="Note 4 3 3 2 2 3 3 3" xfId="5327" xr:uid="{00000000-0005-0000-0000-000044540000}"/>
    <cellStyle name="Note 4 3 3 2 2 3 3 4" xfId="9685" xr:uid="{00000000-0005-0000-0000-000045540000}"/>
    <cellStyle name="Note 4 3 3 2 2 3 3 5" xfId="13531" xr:uid="{00000000-0005-0000-0000-000046540000}"/>
    <cellStyle name="Note 4 3 3 2 2 3 3 6" xfId="17360" xr:uid="{00000000-0005-0000-0000-000047540000}"/>
    <cellStyle name="Note 4 3 3 2 2 3 3 7" xfId="21299" xr:uid="{00000000-0005-0000-0000-000048540000}"/>
    <cellStyle name="Note 4 3 3 2 2 3 3 8" xfId="25112" xr:uid="{00000000-0005-0000-0000-000049540000}"/>
    <cellStyle name="Note 4 3 3 2 2 3 3 9" xfId="28999" xr:uid="{00000000-0005-0000-0000-00004A540000}"/>
    <cellStyle name="Note 4 3 3 2 2 3 4" xfId="2641" xr:uid="{00000000-0005-0000-0000-00004B540000}"/>
    <cellStyle name="Note 4 3 3 2 2 3 4 10" xfId="37693" xr:uid="{00000000-0005-0000-0000-00004C540000}"/>
    <cellStyle name="Note 4 3 3 2 2 3 4 11" xfId="41707" xr:uid="{00000000-0005-0000-0000-00004D540000}"/>
    <cellStyle name="Note 4 3 3 2 2 3 4 12" xfId="45494" xr:uid="{00000000-0005-0000-0000-00004E540000}"/>
    <cellStyle name="Note 4 3 3 2 2 3 4 2" xfId="6531" xr:uid="{00000000-0005-0000-0000-00004F540000}"/>
    <cellStyle name="Note 4 3 3 2 2 3 4 3" xfId="10955" xr:uid="{00000000-0005-0000-0000-000050540000}"/>
    <cellStyle name="Note 4 3 3 2 2 3 4 4" xfId="14799" xr:uid="{00000000-0005-0000-0000-000051540000}"/>
    <cellStyle name="Note 4 3 3 2 2 3 4 5" xfId="18635" xr:uid="{00000000-0005-0000-0000-000052540000}"/>
    <cellStyle name="Note 4 3 3 2 2 3 4 6" xfId="22568" xr:uid="{00000000-0005-0000-0000-000053540000}"/>
    <cellStyle name="Note 4 3 3 2 2 3 4 7" xfId="26386" xr:uid="{00000000-0005-0000-0000-000054540000}"/>
    <cellStyle name="Note 4 3 3 2 2 3 4 8" xfId="30265" xr:uid="{00000000-0005-0000-0000-000055540000}"/>
    <cellStyle name="Note 4 3 3 2 2 3 4 9" xfId="33932" xr:uid="{00000000-0005-0000-0000-000056540000}"/>
    <cellStyle name="Note 4 3 3 2 2 3 5" xfId="4607" xr:uid="{00000000-0005-0000-0000-000057540000}"/>
    <cellStyle name="Note 4 3 3 2 2 3 6" xfId="8947" xr:uid="{00000000-0005-0000-0000-000058540000}"/>
    <cellStyle name="Note 4 3 3 2 2 3 7" xfId="8563" xr:uid="{00000000-0005-0000-0000-000059540000}"/>
    <cellStyle name="Note 4 3 3 2 2 3 8" xfId="8833" xr:uid="{00000000-0005-0000-0000-00005A540000}"/>
    <cellStyle name="Note 4 3 3 2 2 3 9" xfId="20551" xr:uid="{00000000-0005-0000-0000-00005B540000}"/>
    <cellStyle name="Note 4 3 3 2 2 30" xfId="47376" xr:uid="{00000000-0005-0000-0000-00005C540000}"/>
    <cellStyle name="Note 4 3 3 2 2 31" xfId="47462" xr:uid="{00000000-0005-0000-0000-00005D540000}"/>
    <cellStyle name="Note 4 3 3 2 2 32" xfId="47511" xr:uid="{00000000-0005-0000-0000-00005E540000}"/>
    <cellStyle name="Note 4 3 3 2 2 4" xfId="807" xr:uid="{00000000-0005-0000-0000-00005F540000}"/>
    <cellStyle name="Note 4 3 3 2 2 4 10" xfId="24531" xr:uid="{00000000-0005-0000-0000-000060540000}"/>
    <cellStyle name="Note 4 3 3 2 2 4 11" xfId="28422" xr:uid="{00000000-0005-0000-0000-000061540000}"/>
    <cellStyle name="Note 4 3 3 2 2 4 12" xfId="32108" xr:uid="{00000000-0005-0000-0000-000062540000}"/>
    <cellStyle name="Note 4 3 3 2 2 4 13" xfId="35865" xr:uid="{00000000-0005-0000-0000-000063540000}"/>
    <cellStyle name="Note 4 3 3 2 2 4 14" xfId="39876" xr:uid="{00000000-0005-0000-0000-000064540000}"/>
    <cellStyle name="Note 4 3 3 2 2 4 15" xfId="43691" xr:uid="{00000000-0005-0000-0000-000065540000}"/>
    <cellStyle name="Note 4 3 3 2 2 4 2" xfId="1169" xr:uid="{00000000-0005-0000-0000-000066540000}"/>
    <cellStyle name="Note 4 3 3 2 2 4 2 10" xfId="28778" xr:uid="{00000000-0005-0000-0000-000067540000}"/>
    <cellStyle name="Note 4 3 3 2 2 4 2 11" xfId="32461" xr:uid="{00000000-0005-0000-0000-000068540000}"/>
    <cellStyle name="Note 4 3 3 2 2 4 2 12" xfId="36227" xr:uid="{00000000-0005-0000-0000-000069540000}"/>
    <cellStyle name="Note 4 3 3 2 2 4 2 13" xfId="40222" xr:uid="{00000000-0005-0000-0000-00006A540000}"/>
    <cellStyle name="Note 4 3 3 2 2 4 2 14" xfId="44053" xr:uid="{00000000-0005-0000-0000-00006B540000}"/>
    <cellStyle name="Note 4 3 3 2 2 4 2 2" xfId="1891" xr:uid="{00000000-0005-0000-0000-00006C540000}"/>
    <cellStyle name="Note 4 3 3 2 2 4 2 2 10" xfId="33178" xr:uid="{00000000-0005-0000-0000-00006D540000}"/>
    <cellStyle name="Note 4 3 3 2 2 4 2 2 11" xfId="36948" xr:uid="{00000000-0005-0000-0000-00006E540000}"/>
    <cellStyle name="Note 4 3 3 2 2 4 2 2 12" xfId="40939" xr:uid="{00000000-0005-0000-0000-00006F540000}"/>
    <cellStyle name="Note 4 3 3 2 2 4 2 2 13" xfId="44770" xr:uid="{00000000-0005-0000-0000-000070540000}"/>
    <cellStyle name="Note 4 3 3 2 2 4 2 2 2" xfId="3881" xr:uid="{00000000-0005-0000-0000-000071540000}"/>
    <cellStyle name="Note 4 3 3 2 2 4 2 2 2 10" xfId="38932" xr:uid="{00000000-0005-0000-0000-000072540000}"/>
    <cellStyle name="Note 4 3 3 2 2 4 2 2 2 11" xfId="42943" xr:uid="{00000000-0005-0000-0000-000073540000}"/>
    <cellStyle name="Note 4 3 3 2 2 4 2 2 2 12" xfId="46708" xr:uid="{00000000-0005-0000-0000-000074540000}"/>
    <cellStyle name="Note 4 3 3 2 2 4 2 2 2 2" xfId="7748" xr:uid="{00000000-0005-0000-0000-000075540000}"/>
    <cellStyle name="Note 4 3 3 2 2 4 2 2 2 3" xfId="12183" xr:uid="{00000000-0005-0000-0000-000076540000}"/>
    <cellStyle name="Note 4 3 3 2 2 4 2 2 2 4" xfId="16028" xr:uid="{00000000-0005-0000-0000-000077540000}"/>
    <cellStyle name="Note 4 3 3 2 2 4 2 2 2 5" xfId="19875" xr:uid="{00000000-0005-0000-0000-000078540000}"/>
    <cellStyle name="Note 4 3 3 2 2 4 2 2 2 6" xfId="23791" xr:uid="{00000000-0005-0000-0000-000079540000}"/>
    <cellStyle name="Note 4 3 3 2 2 4 2 2 2 7" xfId="27625" xr:uid="{00000000-0005-0000-0000-00007A540000}"/>
    <cellStyle name="Note 4 3 3 2 2 4 2 2 2 8" xfId="31488" xr:uid="{00000000-0005-0000-0000-00007B540000}"/>
    <cellStyle name="Note 4 3 3 2 2 4 2 2 2 9" xfId="35146" xr:uid="{00000000-0005-0000-0000-00007C540000}"/>
    <cellStyle name="Note 4 3 3 2 2 4 2 2 3" xfId="5824" xr:uid="{00000000-0005-0000-0000-00007D540000}"/>
    <cellStyle name="Note 4 3 3 2 2 4 2 2 4" xfId="10182" xr:uid="{00000000-0005-0000-0000-00007E540000}"/>
    <cellStyle name="Note 4 3 3 2 2 4 2 2 5" xfId="14028" xr:uid="{00000000-0005-0000-0000-00007F540000}"/>
    <cellStyle name="Note 4 3 3 2 2 4 2 2 6" xfId="17857" xr:uid="{00000000-0005-0000-0000-000080540000}"/>
    <cellStyle name="Note 4 3 3 2 2 4 2 2 7" xfId="21796" xr:uid="{00000000-0005-0000-0000-000081540000}"/>
    <cellStyle name="Note 4 3 3 2 2 4 2 2 8" xfId="25609" xr:uid="{00000000-0005-0000-0000-000082540000}"/>
    <cellStyle name="Note 4 3 3 2 2 4 2 2 9" xfId="29496" xr:uid="{00000000-0005-0000-0000-000083540000}"/>
    <cellStyle name="Note 4 3 3 2 2 4 2 3" xfId="3159" xr:uid="{00000000-0005-0000-0000-000084540000}"/>
    <cellStyle name="Note 4 3 3 2 2 4 2 3 10" xfId="38211" xr:uid="{00000000-0005-0000-0000-000085540000}"/>
    <cellStyle name="Note 4 3 3 2 2 4 2 3 11" xfId="42222" xr:uid="{00000000-0005-0000-0000-000086540000}"/>
    <cellStyle name="Note 4 3 3 2 2 4 2 3 12" xfId="45991" xr:uid="{00000000-0005-0000-0000-000087540000}"/>
    <cellStyle name="Note 4 3 3 2 2 4 2 3 2" xfId="7031" xr:uid="{00000000-0005-0000-0000-000088540000}"/>
    <cellStyle name="Note 4 3 3 2 2 4 2 3 3" xfId="11463" xr:uid="{00000000-0005-0000-0000-000089540000}"/>
    <cellStyle name="Note 4 3 3 2 2 4 2 3 4" xfId="15307" xr:uid="{00000000-0005-0000-0000-00008A540000}"/>
    <cellStyle name="Note 4 3 3 2 2 4 2 3 5" xfId="19153" xr:uid="{00000000-0005-0000-0000-00008B540000}"/>
    <cellStyle name="Note 4 3 3 2 2 4 2 3 6" xfId="23072" xr:uid="{00000000-0005-0000-0000-00008C540000}"/>
    <cellStyle name="Note 4 3 3 2 2 4 2 3 7" xfId="26904" xr:uid="{00000000-0005-0000-0000-00008D540000}"/>
    <cellStyle name="Note 4 3 3 2 2 4 2 3 8" xfId="30776" xr:uid="{00000000-0005-0000-0000-00008E540000}"/>
    <cellStyle name="Note 4 3 3 2 2 4 2 3 9" xfId="34429" xr:uid="{00000000-0005-0000-0000-00008F540000}"/>
    <cellStyle name="Note 4 3 3 2 2 4 2 4" xfId="5107" xr:uid="{00000000-0005-0000-0000-000090540000}"/>
    <cellStyle name="Note 4 3 3 2 2 4 2 5" xfId="9463" xr:uid="{00000000-0005-0000-0000-000091540000}"/>
    <cellStyle name="Note 4 3 3 2 2 4 2 6" xfId="13307" xr:uid="{00000000-0005-0000-0000-000092540000}"/>
    <cellStyle name="Note 4 3 3 2 2 4 2 7" xfId="17135" xr:uid="{00000000-0005-0000-0000-000093540000}"/>
    <cellStyle name="Note 4 3 3 2 2 4 2 8" xfId="21077" xr:uid="{00000000-0005-0000-0000-000094540000}"/>
    <cellStyle name="Note 4 3 3 2 2 4 2 9" xfId="24888" xr:uid="{00000000-0005-0000-0000-000095540000}"/>
    <cellStyle name="Note 4 3 3 2 2 4 3" xfId="1538" xr:uid="{00000000-0005-0000-0000-000096540000}"/>
    <cellStyle name="Note 4 3 3 2 2 4 3 10" xfId="32825" xr:uid="{00000000-0005-0000-0000-000097540000}"/>
    <cellStyle name="Note 4 3 3 2 2 4 3 11" xfId="36595" xr:uid="{00000000-0005-0000-0000-000098540000}"/>
    <cellStyle name="Note 4 3 3 2 2 4 3 12" xfId="40586" xr:uid="{00000000-0005-0000-0000-000099540000}"/>
    <cellStyle name="Note 4 3 3 2 2 4 3 13" xfId="44417" xr:uid="{00000000-0005-0000-0000-00009A540000}"/>
    <cellStyle name="Note 4 3 3 2 2 4 3 2" xfId="3528" xr:uid="{00000000-0005-0000-0000-00009B540000}"/>
    <cellStyle name="Note 4 3 3 2 2 4 3 2 10" xfId="38579" xr:uid="{00000000-0005-0000-0000-00009C540000}"/>
    <cellStyle name="Note 4 3 3 2 2 4 3 2 11" xfId="42590" xr:uid="{00000000-0005-0000-0000-00009D540000}"/>
    <cellStyle name="Note 4 3 3 2 2 4 3 2 12" xfId="46355" xr:uid="{00000000-0005-0000-0000-00009E540000}"/>
    <cellStyle name="Note 4 3 3 2 2 4 3 2 2" xfId="7395" xr:uid="{00000000-0005-0000-0000-00009F540000}"/>
    <cellStyle name="Note 4 3 3 2 2 4 3 2 3" xfId="11830" xr:uid="{00000000-0005-0000-0000-0000A0540000}"/>
    <cellStyle name="Note 4 3 3 2 2 4 3 2 4" xfId="15675" xr:uid="{00000000-0005-0000-0000-0000A1540000}"/>
    <cellStyle name="Note 4 3 3 2 2 4 3 2 5" xfId="19522" xr:uid="{00000000-0005-0000-0000-0000A2540000}"/>
    <cellStyle name="Note 4 3 3 2 2 4 3 2 6" xfId="23438" xr:uid="{00000000-0005-0000-0000-0000A3540000}"/>
    <cellStyle name="Note 4 3 3 2 2 4 3 2 7" xfId="27272" xr:uid="{00000000-0005-0000-0000-0000A4540000}"/>
    <cellStyle name="Note 4 3 3 2 2 4 3 2 8" xfId="31139" xr:uid="{00000000-0005-0000-0000-0000A5540000}"/>
    <cellStyle name="Note 4 3 3 2 2 4 3 2 9" xfId="34793" xr:uid="{00000000-0005-0000-0000-0000A6540000}"/>
    <cellStyle name="Note 4 3 3 2 2 4 3 3" xfId="5471" xr:uid="{00000000-0005-0000-0000-0000A7540000}"/>
    <cellStyle name="Note 4 3 3 2 2 4 3 4" xfId="9829" xr:uid="{00000000-0005-0000-0000-0000A8540000}"/>
    <cellStyle name="Note 4 3 3 2 2 4 3 5" xfId="13675" xr:uid="{00000000-0005-0000-0000-0000A9540000}"/>
    <cellStyle name="Note 4 3 3 2 2 4 3 6" xfId="17504" xr:uid="{00000000-0005-0000-0000-0000AA540000}"/>
    <cellStyle name="Note 4 3 3 2 2 4 3 7" xfId="21443" xr:uid="{00000000-0005-0000-0000-0000AB540000}"/>
    <cellStyle name="Note 4 3 3 2 2 4 3 8" xfId="25256" xr:uid="{00000000-0005-0000-0000-0000AC540000}"/>
    <cellStyle name="Note 4 3 3 2 2 4 3 9" xfId="29143" xr:uid="{00000000-0005-0000-0000-0000AD540000}"/>
    <cellStyle name="Note 4 3 3 2 2 4 4" xfId="2797" xr:uid="{00000000-0005-0000-0000-0000AE540000}"/>
    <cellStyle name="Note 4 3 3 2 2 4 4 10" xfId="37849" xr:uid="{00000000-0005-0000-0000-0000AF540000}"/>
    <cellStyle name="Note 4 3 3 2 2 4 4 11" xfId="41861" xr:uid="{00000000-0005-0000-0000-0000B0540000}"/>
    <cellStyle name="Note 4 3 3 2 2 4 4 12" xfId="45638" xr:uid="{00000000-0005-0000-0000-0000B1540000}"/>
    <cellStyle name="Note 4 3 3 2 2 4 4 2" xfId="6677" xr:uid="{00000000-0005-0000-0000-0000B2540000}"/>
    <cellStyle name="Note 4 3 3 2 2 4 4 3" xfId="11104" xr:uid="{00000000-0005-0000-0000-0000B3540000}"/>
    <cellStyle name="Note 4 3 3 2 2 4 4 4" xfId="14949" xr:uid="{00000000-0005-0000-0000-0000B4540000}"/>
    <cellStyle name="Note 4 3 3 2 2 4 4 5" xfId="18791" xr:uid="{00000000-0005-0000-0000-0000B5540000}"/>
    <cellStyle name="Note 4 3 3 2 2 4 4 6" xfId="22717" xr:uid="{00000000-0005-0000-0000-0000B6540000}"/>
    <cellStyle name="Note 4 3 3 2 2 4 4 7" xfId="26542" xr:uid="{00000000-0005-0000-0000-0000B7540000}"/>
    <cellStyle name="Note 4 3 3 2 2 4 4 8" xfId="30420" xr:uid="{00000000-0005-0000-0000-0000B8540000}"/>
    <cellStyle name="Note 4 3 3 2 2 4 4 9" xfId="34076" xr:uid="{00000000-0005-0000-0000-0000B9540000}"/>
    <cellStyle name="Note 4 3 3 2 2 4 5" xfId="4753" xr:uid="{00000000-0005-0000-0000-0000BA540000}"/>
    <cellStyle name="Note 4 3 3 2 2 4 6" xfId="9107" xr:uid="{00000000-0005-0000-0000-0000BB540000}"/>
    <cellStyle name="Note 4 3 3 2 2 4 7" xfId="12948" xr:uid="{00000000-0005-0000-0000-0000BC540000}"/>
    <cellStyle name="Note 4 3 3 2 2 4 8" xfId="16773" xr:uid="{00000000-0005-0000-0000-0000BD540000}"/>
    <cellStyle name="Note 4 3 3 2 2 4 9" xfId="20715" xr:uid="{00000000-0005-0000-0000-0000BE540000}"/>
    <cellStyle name="Note 4 3 3 2 2 5" xfId="899" xr:uid="{00000000-0005-0000-0000-0000BF540000}"/>
    <cellStyle name="Note 4 3 3 2 2 5 10" xfId="24623" xr:uid="{00000000-0005-0000-0000-0000C0540000}"/>
    <cellStyle name="Note 4 3 3 2 2 5 11" xfId="28513" xr:uid="{00000000-0005-0000-0000-0000C1540000}"/>
    <cellStyle name="Note 4 3 3 2 2 5 12" xfId="32200" xr:uid="{00000000-0005-0000-0000-0000C2540000}"/>
    <cellStyle name="Note 4 3 3 2 2 5 13" xfId="35957" xr:uid="{00000000-0005-0000-0000-0000C3540000}"/>
    <cellStyle name="Note 4 3 3 2 2 5 14" xfId="39967" xr:uid="{00000000-0005-0000-0000-0000C4540000}"/>
    <cellStyle name="Note 4 3 3 2 2 5 15" xfId="43783" xr:uid="{00000000-0005-0000-0000-0000C5540000}"/>
    <cellStyle name="Note 4 3 3 2 2 5 2" xfId="1236" xr:uid="{00000000-0005-0000-0000-0000C6540000}"/>
    <cellStyle name="Note 4 3 3 2 2 5 2 10" xfId="28844" xr:uid="{00000000-0005-0000-0000-0000C7540000}"/>
    <cellStyle name="Note 4 3 3 2 2 5 2 11" xfId="32528" xr:uid="{00000000-0005-0000-0000-0000C8540000}"/>
    <cellStyle name="Note 4 3 3 2 2 5 2 12" xfId="36294" xr:uid="{00000000-0005-0000-0000-0000C9540000}"/>
    <cellStyle name="Note 4 3 3 2 2 5 2 13" xfId="40287" xr:uid="{00000000-0005-0000-0000-0000CA540000}"/>
    <cellStyle name="Note 4 3 3 2 2 5 2 14" xfId="44120" xr:uid="{00000000-0005-0000-0000-0000CB540000}"/>
    <cellStyle name="Note 4 3 3 2 2 5 2 2" xfId="1958" xr:uid="{00000000-0005-0000-0000-0000CC540000}"/>
    <cellStyle name="Note 4 3 3 2 2 5 2 2 10" xfId="33245" xr:uid="{00000000-0005-0000-0000-0000CD540000}"/>
    <cellStyle name="Note 4 3 3 2 2 5 2 2 11" xfId="37015" xr:uid="{00000000-0005-0000-0000-0000CE540000}"/>
    <cellStyle name="Note 4 3 3 2 2 5 2 2 12" xfId="41006" xr:uid="{00000000-0005-0000-0000-0000CF540000}"/>
    <cellStyle name="Note 4 3 3 2 2 5 2 2 13" xfId="44837" xr:uid="{00000000-0005-0000-0000-0000D0540000}"/>
    <cellStyle name="Note 4 3 3 2 2 5 2 2 2" xfId="3948" xr:uid="{00000000-0005-0000-0000-0000D1540000}"/>
    <cellStyle name="Note 4 3 3 2 2 5 2 2 2 10" xfId="38999" xr:uid="{00000000-0005-0000-0000-0000D2540000}"/>
    <cellStyle name="Note 4 3 3 2 2 5 2 2 2 11" xfId="43010" xr:uid="{00000000-0005-0000-0000-0000D3540000}"/>
    <cellStyle name="Note 4 3 3 2 2 5 2 2 2 12" xfId="46775" xr:uid="{00000000-0005-0000-0000-0000D4540000}"/>
    <cellStyle name="Note 4 3 3 2 2 5 2 2 2 2" xfId="7815" xr:uid="{00000000-0005-0000-0000-0000D5540000}"/>
    <cellStyle name="Note 4 3 3 2 2 5 2 2 2 3" xfId="12250" xr:uid="{00000000-0005-0000-0000-0000D6540000}"/>
    <cellStyle name="Note 4 3 3 2 2 5 2 2 2 4" xfId="16095" xr:uid="{00000000-0005-0000-0000-0000D7540000}"/>
    <cellStyle name="Note 4 3 3 2 2 5 2 2 2 5" xfId="19942" xr:uid="{00000000-0005-0000-0000-0000D8540000}"/>
    <cellStyle name="Note 4 3 3 2 2 5 2 2 2 6" xfId="23858" xr:uid="{00000000-0005-0000-0000-0000D9540000}"/>
    <cellStyle name="Note 4 3 3 2 2 5 2 2 2 7" xfId="27692" xr:uid="{00000000-0005-0000-0000-0000DA540000}"/>
    <cellStyle name="Note 4 3 3 2 2 5 2 2 2 8" xfId="31553" xr:uid="{00000000-0005-0000-0000-0000DB540000}"/>
    <cellStyle name="Note 4 3 3 2 2 5 2 2 2 9" xfId="35213" xr:uid="{00000000-0005-0000-0000-0000DC540000}"/>
    <cellStyle name="Note 4 3 3 2 2 5 2 2 3" xfId="5891" xr:uid="{00000000-0005-0000-0000-0000DD540000}"/>
    <cellStyle name="Note 4 3 3 2 2 5 2 2 4" xfId="10249" xr:uid="{00000000-0005-0000-0000-0000DE540000}"/>
    <cellStyle name="Note 4 3 3 2 2 5 2 2 5" xfId="14095" xr:uid="{00000000-0005-0000-0000-0000DF540000}"/>
    <cellStyle name="Note 4 3 3 2 2 5 2 2 6" xfId="17924" xr:uid="{00000000-0005-0000-0000-0000E0540000}"/>
    <cellStyle name="Note 4 3 3 2 2 5 2 2 7" xfId="21863" xr:uid="{00000000-0005-0000-0000-0000E1540000}"/>
    <cellStyle name="Note 4 3 3 2 2 5 2 2 8" xfId="25676" xr:uid="{00000000-0005-0000-0000-0000E2540000}"/>
    <cellStyle name="Note 4 3 3 2 2 5 2 2 9" xfId="29563" xr:uid="{00000000-0005-0000-0000-0000E3540000}"/>
    <cellStyle name="Note 4 3 3 2 2 5 2 3" xfId="3226" xr:uid="{00000000-0005-0000-0000-0000E4540000}"/>
    <cellStyle name="Note 4 3 3 2 2 5 2 3 10" xfId="38278" xr:uid="{00000000-0005-0000-0000-0000E5540000}"/>
    <cellStyle name="Note 4 3 3 2 2 5 2 3 11" xfId="42289" xr:uid="{00000000-0005-0000-0000-0000E6540000}"/>
    <cellStyle name="Note 4 3 3 2 2 5 2 3 12" xfId="46058" xr:uid="{00000000-0005-0000-0000-0000E7540000}"/>
    <cellStyle name="Note 4 3 3 2 2 5 2 3 2" xfId="7098" xr:uid="{00000000-0005-0000-0000-0000E8540000}"/>
    <cellStyle name="Note 4 3 3 2 2 5 2 3 3" xfId="11530" xr:uid="{00000000-0005-0000-0000-0000E9540000}"/>
    <cellStyle name="Note 4 3 3 2 2 5 2 3 4" xfId="15374" xr:uid="{00000000-0005-0000-0000-0000EA540000}"/>
    <cellStyle name="Note 4 3 3 2 2 5 2 3 5" xfId="19220" xr:uid="{00000000-0005-0000-0000-0000EB540000}"/>
    <cellStyle name="Note 4 3 3 2 2 5 2 3 6" xfId="23139" xr:uid="{00000000-0005-0000-0000-0000EC540000}"/>
    <cellStyle name="Note 4 3 3 2 2 5 2 3 7" xfId="26971" xr:uid="{00000000-0005-0000-0000-0000ED540000}"/>
    <cellStyle name="Note 4 3 3 2 2 5 2 3 8" xfId="30841" xr:uid="{00000000-0005-0000-0000-0000EE540000}"/>
    <cellStyle name="Note 4 3 3 2 2 5 2 3 9" xfId="34496" xr:uid="{00000000-0005-0000-0000-0000EF540000}"/>
    <cellStyle name="Note 4 3 3 2 2 5 2 4" xfId="5174" xr:uid="{00000000-0005-0000-0000-0000F0540000}"/>
    <cellStyle name="Note 4 3 3 2 2 5 2 5" xfId="9530" xr:uid="{00000000-0005-0000-0000-0000F1540000}"/>
    <cellStyle name="Note 4 3 3 2 2 5 2 6" xfId="13374" xr:uid="{00000000-0005-0000-0000-0000F2540000}"/>
    <cellStyle name="Note 4 3 3 2 2 5 2 7" xfId="17202" xr:uid="{00000000-0005-0000-0000-0000F3540000}"/>
    <cellStyle name="Note 4 3 3 2 2 5 2 8" xfId="21144" xr:uid="{00000000-0005-0000-0000-0000F4540000}"/>
    <cellStyle name="Note 4 3 3 2 2 5 2 9" xfId="24955" xr:uid="{00000000-0005-0000-0000-0000F5540000}"/>
    <cellStyle name="Note 4 3 3 2 2 5 3" xfId="1630" xr:uid="{00000000-0005-0000-0000-0000F6540000}"/>
    <cellStyle name="Note 4 3 3 2 2 5 3 10" xfId="32917" xr:uid="{00000000-0005-0000-0000-0000F7540000}"/>
    <cellStyle name="Note 4 3 3 2 2 5 3 11" xfId="36687" xr:uid="{00000000-0005-0000-0000-0000F8540000}"/>
    <cellStyle name="Note 4 3 3 2 2 5 3 12" xfId="40678" xr:uid="{00000000-0005-0000-0000-0000F9540000}"/>
    <cellStyle name="Note 4 3 3 2 2 5 3 13" xfId="44509" xr:uid="{00000000-0005-0000-0000-0000FA540000}"/>
    <cellStyle name="Note 4 3 3 2 2 5 3 2" xfId="3620" xr:uid="{00000000-0005-0000-0000-0000FB540000}"/>
    <cellStyle name="Note 4 3 3 2 2 5 3 2 10" xfId="38671" xr:uid="{00000000-0005-0000-0000-0000FC540000}"/>
    <cellStyle name="Note 4 3 3 2 2 5 3 2 11" xfId="42682" xr:uid="{00000000-0005-0000-0000-0000FD540000}"/>
    <cellStyle name="Note 4 3 3 2 2 5 3 2 12" xfId="46447" xr:uid="{00000000-0005-0000-0000-0000FE540000}"/>
    <cellStyle name="Note 4 3 3 2 2 5 3 2 2" xfId="7487" xr:uid="{00000000-0005-0000-0000-0000FF540000}"/>
    <cellStyle name="Note 4 3 3 2 2 5 3 2 3" xfId="11922" xr:uid="{00000000-0005-0000-0000-000000550000}"/>
    <cellStyle name="Note 4 3 3 2 2 5 3 2 4" xfId="15767" xr:uid="{00000000-0005-0000-0000-000001550000}"/>
    <cellStyle name="Note 4 3 3 2 2 5 3 2 5" xfId="19614" xr:uid="{00000000-0005-0000-0000-000002550000}"/>
    <cellStyle name="Note 4 3 3 2 2 5 3 2 6" xfId="23530" xr:uid="{00000000-0005-0000-0000-000003550000}"/>
    <cellStyle name="Note 4 3 3 2 2 5 3 2 7" xfId="27364" xr:uid="{00000000-0005-0000-0000-000004550000}"/>
    <cellStyle name="Note 4 3 3 2 2 5 3 2 8" xfId="31229" xr:uid="{00000000-0005-0000-0000-000005550000}"/>
    <cellStyle name="Note 4 3 3 2 2 5 3 2 9" xfId="34885" xr:uid="{00000000-0005-0000-0000-000006550000}"/>
    <cellStyle name="Note 4 3 3 2 2 5 3 3" xfId="5563" xr:uid="{00000000-0005-0000-0000-000007550000}"/>
    <cellStyle name="Note 4 3 3 2 2 5 3 4" xfId="9921" xr:uid="{00000000-0005-0000-0000-000008550000}"/>
    <cellStyle name="Note 4 3 3 2 2 5 3 5" xfId="13767" xr:uid="{00000000-0005-0000-0000-000009550000}"/>
    <cellStyle name="Note 4 3 3 2 2 5 3 6" xfId="17596" xr:uid="{00000000-0005-0000-0000-00000A550000}"/>
    <cellStyle name="Note 4 3 3 2 2 5 3 7" xfId="21535" xr:uid="{00000000-0005-0000-0000-00000B550000}"/>
    <cellStyle name="Note 4 3 3 2 2 5 3 8" xfId="25348" xr:uid="{00000000-0005-0000-0000-00000C550000}"/>
    <cellStyle name="Note 4 3 3 2 2 5 3 9" xfId="29235" xr:uid="{00000000-0005-0000-0000-00000D550000}"/>
    <cellStyle name="Note 4 3 3 2 2 5 4" xfId="2889" xr:uid="{00000000-0005-0000-0000-00000E550000}"/>
    <cellStyle name="Note 4 3 3 2 2 5 4 10" xfId="37941" xr:uid="{00000000-0005-0000-0000-00000F550000}"/>
    <cellStyle name="Note 4 3 3 2 2 5 4 11" xfId="41953" xr:uid="{00000000-0005-0000-0000-000010550000}"/>
    <cellStyle name="Note 4 3 3 2 2 5 4 12" xfId="45730" xr:uid="{00000000-0005-0000-0000-000011550000}"/>
    <cellStyle name="Note 4 3 3 2 2 5 4 2" xfId="6769" xr:uid="{00000000-0005-0000-0000-000012550000}"/>
    <cellStyle name="Note 4 3 3 2 2 5 4 3" xfId="11196" xr:uid="{00000000-0005-0000-0000-000013550000}"/>
    <cellStyle name="Note 4 3 3 2 2 5 4 4" xfId="15041" xr:uid="{00000000-0005-0000-0000-000014550000}"/>
    <cellStyle name="Note 4 3 3 2 2 5 4 5" xfId="18883" xr:uid="{00000000-0005-0000-0000-000015550000}"/>
    <cellStyle name="Note 4 3 3 2 2 5 4 6" xfId="22809" xr:uid="{00000000-0005-0000-0000-000016550000}"/>
    <cellStyle name="Note 4 3 3 2 2 5 4 7" xfId="26634" xr:uid="{00000000-0005-0000-0000-000017550000}"/>
    <cellStyle name="Note 4 3 3 2 2 5 4 8" xfId="30510" xr:uid="{00000000-0005-0000-0000-000018550000}"/>
    <cellStyle name="Note 4 3 3 2 2 5 4 9" xfId="34168" xr:uid="{00000000-0005-0000-0000-000019550000}"/>
    <cellStyle name="Note 4 3 3 2 2 5 5" xfId="4845" xr:uid="{00000000-0005-0000-0000-00001A550000}"/>
    <cellStyle name="Note 4 3 3 2 2 5 6" xfId="9199" xr:uid="{00000000-0005-0000-0000-00001B550000}"/>
    <cellStyle name="Note 4 3 3 2 2 5 7" xfId="13040" xr:uid="{00000000-0005-0000-0000-00001C550000}"/>
    <cellStyle name="Note 4 3 3 2 2 5 8" xfId="16865" xr:uid="{00000000-0005-0000-0000-00001D550000}"/>
    <cellStyle name="Note 4 3 3 2 2 5 9" xfId="20807" xr:uid="{00000000-0005-0000-0000-00001E550000}"/>
    <cellStyle name="Note 4 3 3 2 2 6" xfId="945" xr:uid="{00000000-0005-0000-0000-00001F550000}"/>
    <cellStyle name="Note 4 3 3 2 2 6 10" xfId="28557" xr:uid="{00000000-0005-0000-0000-000020550000}"/>
    <cellStyle name="Note 4 3 3 2 2 6 11" xfId="32246" xr:uid="{00000000-0005-0000-0000-000021550000}"/>
    <cellStyle name="Note 4 3 3 2 2 6 12" xfId="36003" xr:uid="{00000000-0005-0000-0000-000022550000}"/>
    <cellStyle name="Note 4 3 3 2 2 6 13" xfId="40011" xr:uid="{00000000-0005-0000-0000-000023550000}"/>
    <cellStyle name="Note 4 3 3 2 2 6 14" xfId="43829" xr:uid="{00000000-0005-0000-0000-000024550000}"/>
    <cellStyle name="Note 4 3 3 2 2 6 2" xfId="1676" xr:uid="{00000000-0005-0000-0000-000025550000}"/>
    <cellStyle name="Note 4 3 3 2 2 6 2 10" xfId="32963" xr:uid="{00000000-0005-0000-0000-000026550000}"/>
    <cellStyle name="Note 4 3 3 2 2 6 2 11" xfId="36733" xr:uid="{00000000-0005-0000-0000-000027550000}"/>
    <cellStyle name="Note 4 3 3 2 2 6 2 12" xfId="40724" xr:uid="{00000000-0005-0000-0000-000028550000}"/>
    <cellStyle name="Note 4 3 3 2 2 6 2 13" xfId="44555" xr:uid="{00000000-0005-0000-0000-000029550000}"/>
    <cellStyle name="Note 4 3 3 2 2 6 2 2" xfId="3666" xr:uid="{00000000-0005-0000-0000-00002A550000}"/>
    <cellStyle name="Note 4 3 3 2 2 6 2 2 10" xfId="38717" xr:uid="{00000000-0005-0000-0000-00002B550000}"/>
    <cellStyle name="Note 4 3 3 2 2 6 2 2 11" xfId="42728" xr:uid="{00000000-0005-0000-0000-00002C550000}"/>
    <cellStyle name="Note 4 3 3 2 2 6 2 2 12" xfId="46493" xr:uid="{00000000-0005-0000-0000-00002D550000}"/>
    <cellStyle name="Note 4 3 3 2 2 6 2 2 2" xfId="7533" xr:uid="{00000000-0005-0000-0000-00002E550000}"/>
    <cellStyle name="Note 4 3 3 2 2 6 2 2 3" xfId="11968" xr:uid="{00000000-0005-0000-0000-00002F550000}"/>
    <cellStyle name="Note 4 3 3 2 2 6 2 2 4" xfId="15813" xr:uid="{00000000-0005-0000-0000-000030550000}"/>
    <cellStyle name="Note 4 3 3 2 2 6 2 2 5" xfId="19660" xr:uid="{00000000-0005-0000-0000-000031550000}"/>
    <cellStyle name="Note 4 3 3 2 2 6 2 2 6" xfId="23576" xr:uid="{00000000-0005-0000-0000-000032550000}"/>
    <cellStyle name="Note 4 3 3 2 2 6 2 2 7" xfId="27410" xr:uid="{00000000-0005-0000-0000-000033550000}"/>
    <cellStyle name="Note 4 3 3 2 2 6 2 2 8" xfId="31274" xr:uid="{00000000-0005-0000-0000-000034550000}"/>
    <cellStyle name="Note 4 3 3 2 2 6 2 2 9" xfId="34931" xr:uid="{00000000-0005-0000-0000-000035550000}"/>
    <cellStyle name="Note 4 3 3 2 2 6 2 3" xfId="5609" xr:uid="{00000000-0005-0000-0000-000036550000}"/>
    <cellStyle name="Note 4 3 3 2 2 6 2 4" xfId="9967" xr:uid="{00000000-0005-0000-0000-000037550000}"/>
    <cellStyle name="Note 4 3 3 2 2 6 2 5" xfId="13813" xr:uid="{00000000-0005-0000-0000-000038550000}"/>
    <cellStyle name="Note 4 3 3 2 2 6 2 6" xfId="17642" xr:uid="{00000000-0005-0000-0000-000039550000}"/>
    <cellStyle name="Note 4 3 3 2 2 6 2 7" xfId="21581" xr:uid="{00000000-0005-0000-0000-00003A550000}"/>
    <cellStyle name="Note 4 3 3 2 2 6 2 8" xfId="25394" xr:uid="{00000000-0005-0000-0000-00003B550000}"/>
    <cellStyle name="Note 4 3 3 2 2 6 2 9" xfId="29281" xr:uid="{00000000-0005-0000-0000-00003C550000}"/>
    <cellStyle name="Note 4 3 3 2 2 6 3" xfId="2935" xr:uid="{00000000-0005-0000-0000-00003D550000}"/>
    <cellStyle name="Note 4 3 3 2 2 6 3 10" xfId="37987" xr:uid="{00000000-0005-0000-0000-00003E550000}"/>
    <cellStyle name="Note 4 3 3 2 2 6 3 11" xfId="41999" xr:uid="{00000000-0005-0000-0000-00003F550000}"/>
    <cellStyle name="Note 4 3 3 2 2 6 3 12" xfId="45776" xr:uid="{00000000-0005-0000-0000-000040550000}"/>
    <cellStyle name="Note 4 3 3 2 2 6 3 2" xfId="6815" xr:uid="{00000000-0005-0000-0000-000041550000}"/>
    <cellStyle name="Note 4 3 3 2 2 6 3 3" xfId="11242" xr:uid="{00000000-0005-0000-0000-000042550000}"/>
    <cellStyle name="Note 4 3 3 2 2 6 3 4" xfId="15087" xr:uid="{00000000-0005-0000-0000-000043550000}"/>
    <cellStyle name="Note 4 3 3 2 2 6 3 5" xfId="18929" xr:uid="{00000000-0005-0000-0000-000044550000}"/>
    <cellStyle name="Note 4 3 3 2 2 6 3 6" xfId="22855" xr:uid="{00000000-0005-0000-0000-000045550000}"/>
    <cellStyle name="Note 4 3 3 2 2 6 3 7" xfId="26680" xr:uid="{00000000-0005-0000-0000-000046550000}"/>
    <cellStyle name="Note 4 3 3 2 2 6 3 8" xfId="30555" xr:uid="{00000000-0005-0000-0000-000047550000}"/>
    <cellStyle name="Note 4 3 3 2 2 6 3 9" xfId="34214" xr:uid="{00000000-0005-0000-0000-000048550000}"/>
    <cellStyle name="Note 4 3 3 2 2 6 4" xfId="4891" xr:uid="{00000000-0005-0000-0000-000049550000}"/>
    <cellStyle name="Note 4 3 3 2 2 6 5" xfId="9245" xr:uid="{00000000-0005-0000-0000-00004A550000}"/>
    <cellStyle name="Note 4 3 3 2 2 6 6" xfId="13086" xr:uid="{00000000-0005-0000-0000-00004B550000}"/>
    <cellStyle name="Note 4 3 3 2 2 6 7" xfId="16911" xr:uid="{00000000-0005-0000-0000-00004C550000}"/>
    <cellStyle name="Note 4 3 3 2 2 6 8" xfId="20853" xr:uid="{00000000-0005-0000-0000-00004D550000}"/>
    <cellStyle name="Note 4 3 3 2 2 6 9" xfId="24669" xr:uid="{00000000-0005-0000-0000-00004E550000}"/>
    <cellStyle name="Note 4 3 3 2 2 7" xfId="1323" xr:uid="{00000000-0005-0000-0000-00004F550000}"/>
    <cellStyle name="Note 4 3 3 2 2 7 10" xfId="32610" xr:uid="{00000000-0005-0000-0000-000050550000}"/>
    <cellStyle name="Note 4 3 3 2 2 7 11" xfId="36380" xr:uid="{00000000-0005-0000-0000-000051550000}"/>
    <cellStyle name="Note 4 3 3 2 2 7 12" xfId="40371" xr:uid="{00000000-0005-0000-0000-000052550000}"/>
    <cellStyle name="Note 4 3 3 2 2 7 13" xfId="44202" xr:uid="{00000000-0005-0000-0000-000053550000}"/>
    <cellStyle name="Note 4 3 3 2 2 7 2" xfId="3313" xr:uid="{00000000-0005-0000-0000-000054550000}"/>
    <cellStyle name="Note 4 3 3 2 2 7 2 10" xfId="38364" xr:uid="{00000000-0005-0000-0000-000055550000}"/>
    <cellStyle name="Note 4 3 3 2 2 7 2 11" xfId="42375" xr:uid="{00000000-0005-0000-0000-000056550000}"/>
    <cellStyle name="Note 4 3 3 2 2 7 2 12" xfId="46140" xr:uid="{00000000-0005-0000-0000-000057550000}"/>
    <cellStyle name="Note 4 3 3 2 2 7 2 2" xfId="7180" xr:uid="{00000000-0005-0000-0000-000058550000}"/>
    <cellStyle name="Note 4 3 3 2 2 7 2 3" xfId="11615" xr:uid="{00000000-0005-0000-0000-000059550000}"/>
    <cellStyle name="Note 4 3 3 2 2 7 2 4" xfId="15460" xr:uid="{00000000-0005-0000-0000-00005A550000}"/>
    <cellStyle name="Note 4 3 3 2 2 7 2 5" xfId="19307" xr:uid="{00000000-0005-0000-0000-00005B550000}"/>
    <cellStyle name="Note 4 3 3 2 2 7 2 6" xfId="23223" xr:uid="{00000000-0005-0000-0000-00005C550000}"/>
    <cellStyle name="Note 4 3 3 2 2 7 2 7" xfId="27057" xr:uid="{00000000-0005-0000-0000-00005D550000}"/>
    <cellStyle name="Note 4 3 3 2 2 7 2 8" xfId="30926" xr:uid="{00000000-0005-0000-0000-00005E550000}"/>
    <cellStyle name="Note 4 3 3 2 2 7 2 9" xfId="34578" xr:uid="{00000000-0005-0000-0000-00005F550000}"/>
    <cellStyle name="Note 4 3 3 2 2 7 3" xfId="5256" xr:uid="{00000000-0005-0000-0000-000060550000}"/>
    <cellStyle name="Note 4 3 3 2 2 7 4" xfId="9614" xr:uid="{00000000-0005-0000-0000-000061550000}"/>
    <cellStyle name="Note 4 3 3 2 2 7 5" xfId="13460" xr:uid="{00000000-0005-0000-0000-000062550000}"/>
    <cellStyle name="Note 4 3 3 2 2 7 6" xfId="17289" xr:uid="{00000000-0005-0000-0000-000063550000}"/>
    <cellStyle name="Note 4 3 3 2 2 7 7" xfId="21228" xr:uid="{00000000-0005-0000-0000-000064550000}"/>
    <cellStyle name="Note 4 3 3 2 2 7 8" xfId="25041" xr:uid="{00000000-0005-0000-0000-000065550000}"/>
    <cellStyle name="Note 4 3 3 2 2 7 9" xfId="28928" xr:uid="{00000000-0005-0000-0000-000066550000}"/>
    <cellStyle name="Note 4 3 3 2 2 8" xfId="2020" xr:uid="{00000000-0005-0000-0000-000067550000}"/>
    <cellStyle name="Note 4 3 3 2 2 8 10" xfId="33305" xr:uid="{00000000-0005-0000-0000-000068550000}"/>
    <cellStyle name="Note 4 3 3 2 2 8 11" xfId="37076" xr:uid="{00000000-0005-0000-0000-000069550000}"/>
    <cellStyle name="Note 4 3 3 2 2 8 12" xfId="41068" xr:uid="{00000000-0005-0000-0000-00006A550000}"/>
    <cellStyle name="Note 4 3 3 2 2 8 13" xfId="44896" xr:uid="{00000000-0005-0000-0000-00006B550000}"/>
    <cellStyle name="Note 4 3 3 2 2 8 2" xfId="4009" xr:uid="{00000000-0005-0000-0000-00006C550000}"/>
    <cellStyle name="Note 4 3 3 2 2 8 2 10" xfId="39060" xr:uid="{00000000-0005-0000-0000-00006D550000}"/>
    <cellStyle name="Note 4 3 3 2 2 8 2 11" xfId="43071" xr:uid="{00000000-0005-0000-0000-00006E550000}"/>
    <cellStyle name="Note 4 3 3 2 2 8 2 12" xfId="46834" xr:uid="{00000000-0005-0000-0000-00006F550000}"/>
    <cellStyle name="Note 4 3 3 2 2 8 2 2" xfId="7874" xr:uid="{00000000-0005-0000-0000-000070550000}"/>
    <cellStyle name="Note 4 3 3 2 2 8 2 3" xfId="12310" xr:uid="{00000000-0005-0000-0000-000071550000}"/>
    <cellStyle name="Note 4 3 3 2 2 8 2 4" xfId="16155" xr:uid="{00000000-0005-0000-0000-000072550000}"/>
    <cellStyle name="Note 4 3 3 2 2 8 2 5" xfId="20003" xr:uid="{00000000-0005-0000-0000-000073550000}"/>
    <cellStyle name="Note 4 3 3 2 2 8 2 6" xfId="23918" xr:uid="{00000000-0005-0000-0000-000074550000}"/>
    <cellStyle name="Note 4 3 3 2 2 8 2 7" xfId="27753" xr:uid="{00000000-0005-0000-0000-000075550000}"/>
    <cellStyle name="Note 4 3 3 2 2 8 2 8" xfId="31613" xr:uid="{00000000-0005-0000-0000-000076550000}"/>
    <cellStyle name="Note 4 3 3 2 2 8 2 9" xfId="35272" xr:uid="{00000000-0005-0000-0000-000077550000}"/>
    <cellStyle name="Note 4 3 3 2 2 8 3" xfId="5950" xr:uid="{00000000-0005-0000-0000-000078550000}"/>
    <cellStyle name="Note 4 3 3 2 2 8 4" xfId="10309" xr:uid="{00000000-0005-0000-0000-000079550000}"/>
    <cellStyle name="Note 4 3 3 2 2 8 5" xfId="14156" xr:uid="{00000000-0005-0000-0000-00007A550000}"/>
    <cellStyle name="Note 4 3 3 2 2 8 6" xfId="17986" xr:uid="{00000000-0005-0000-0000-00007B550000}"/>
    <cellStyle name="Note 4 3 3 2 2 8 7" xfId="21924" xr:uid="{00000000-0005-0000-0000-00007C550000}"/>
    <cellStyle name="Note 4 3 3 2 2 8 8" xfId="25738" xr:uid="{00000000-0005-0000-0000-00007D550000}"/>
    <cellStyle name="Note 4 3 3 2 2 8 9" xfId="29625" xr:uid="{00000000-0005-0000-0000-00007E550000}"/>
    <cellStyle name="Note 4 3 3 2 2 9" xfId="2067" xr:uid="{00000000-0005-0000-0000-00007F550000}"/>
    <cellStyle name="Note 4 3 3 2 2 9 10" xfId="33349" xr:uid="{00000000-0005-0000-0000-000080550000}"/>
    <cellStyle name="Note 4 3 3 2 2 9 11" xfId="37123" xr:uid="{00000000-0005-0000-0000-000081550000}"/>
    <cellStyle name="Note 4 3 3 2 2 9 12" xfId="41113" xr:uid="{00000000-0005-0000-0000-000082550000}"/>
    <cellStyle name="Note 4 3 3 2 2 9 13" xfId="44940" xr:uid="{00000000-0005-0000-0000-000083550000}"/>
    <cellStyle name="Note 4 3 3 2 2 9 2" xfId="4056" xr:uid="{00000000-0005-0000-0000-000084550000}"/>
    <cellStyle name="Note 4 3 3 2 2 9 2 10" xfId="39107" xr:uid="{00000000-0005-0000-0000-000085550000}"/>
    <cellStyle name="Note 4 3 3 2 2 9 2 11" xfId="43117" xr:uid="{00000000-0005-0000-0000-000086550000}"/>
    <cellStyle name="Note 4 3 3 2 2 9 2 12" xfId="46878" xr:uid="{00000000-0005-0000-0000-000087550000}"/>
    <cellStyle name="Note 4 3 3 2 2 9 2 2" xfId="7919" xr:uid="{00000000-0005-0000-0000-000088550000}"/>
    <cellStyle name="Note 4 3 3 2 2 9 2 3" xfId="12356" xr:uid="{00000000-0005-0000-0000-000089550000}"/>
    <cellStyle name="Note 4 3 3 2 2 9 2 4" xfId="16201" xr:uid="{00000000-0005-0000-0000-00008A550000}"/>
    <cellStyle name="Note 4 3 3 2 2 9 2 5" xfId="20050" xr:uid="{00000000-0005-0000-0000-00008B550000}"/>
    <cellStyle name="Note 4 3 3 2 2 9 2 6" xfId="23964" xr:uid="{00000000-0005-0000-0000-00008C550000}"/>
    <cellStyle name="Note 4 3 3 2 2 9 2 7" xfId="27800" xr:uid="{00000000-0005-0000-0000-00008D550000}"/>
    <cellStyle name="Note 4 3 3 2 2 9 2 8" xfId="31659" xr:uid="{00000000-0005-0000-0000-00008E550000}"/>
    <cellStyle name="Note 4 3 3 2 2 9 2 9" xfId="35316" xr:uid="{00000000-0005-0000-0000-00008F550000}"/>
    <cellStyle name="Note 4 3 3 2 2 9 3" xfId="5995" xr:uid="{00000000-0005-0000-0000-000090550000}"/>
    <cellStyle name="Note 4 3 3 2 2 9 4" xfId="10355" xr:uid="{00000000-0005-0000-0000-000091550000}"/>
    <cellStyle name="Note 4 3 3 2 2 9 5" xfId="14202" xr:uid="{00000000-0005-0000-0000-000092550000}"/>
    <cellStyle name="Note 4 3 3 2 2 9 6" xfId="18033" xr:uid="{00000000-0005-0000-0000-000093550000}"/>
    <cellStyle name="Note 4 3 3 2 2 9 7" xfId="21970" xr:uid="{00000000-0005-0000-0000-000094550000}"/>
    <cellStyle name="Note 4 3 3 2 2 9 8" xfId="25785" xr:uid="{00000000-0005-0000-0000-000095550000}"/>
    <cellStyle name="Note 4 3 3 2 2 9 9" xfId="29671" xr:uid="{00000000-0005-0000-0000-000096550000}"/>
    <cellStyle name="Note 4 3 3 2 20" xfId="8799" xr:uid="{00000000-0005-0000-0000-000097550000}"/>
    <cellStyle name="Note 4 3 3 2 21" xfId="8522" xr:uid="{00000000-0005-0000-0000-000098550000}"/>
    <cellStyle name="Note 4 3 3 2 22" xfId="10365" xr:uid="{00000000-0005-0000-0000-000099550000}"/>
    <cellStyle name="Note 4 3 3 2 23" xfId="8398" xr:uid="{00000000-0005-0000-0000-00009A550000}"/>
    <cellStyle name="Note 4 3 3 2 24" xfId="8529" xr:uid="{00000000-0005-0000-0000-00009B550000}"/>
    <cellStyle name="Note 4 3 3 2 25" xfId="13292" xr:uid="{00000000-0005-0000-0000-00009C550000}"/>
    <cellStyle name="Note 4 3 3 2 26" xfId="29685" xr:uid="{00000000-0005-0000-0000-00009D550000}"/>
    <cellStyle name="Note 4 3 3 2 27" xfId="39621" xr:uid="{00000000-0005-0000-0000-00009E550000}"/>
    <cellStyle name="Note 4 3 3 2 28" xfId="39611" xr:uid="{00000000-0005-0000-0000-00009F550000}"/>
    <cellStyle name="Note 4 3 3 2 29" xfId="47335" xr:uid="{00000000-0005-0000-0000-0000A0550000}"/>
    <cellStyle name="Note 4 3 3 2 3" xfId="540" xr:uid="{00000000-0005-0000-0000-0000A1550000}"/>
    <cellStyle name="Note 4 3 3 2 3 10" xfId="2192" xr:uid="{00000000-0005-0000-0000-0000A2550000}"/>
    <cellStyle name="Note 4 3 3 2 3 10 10" xfId="33493" xr:uid="{00000000-0005-0000-0000-0000A3550000}"/>
    <cellStyle name="Note 4 3 3 2 3 10 11" xfId="37244" xr:uid="{00000000-0005-0000-0000-0000A4550000}"/>
    <cellStyle name="Note 4 3 3 2 3 10 12" xfId="41260" xr:uid="{00000000-0005-0000-0000-0000A5550000}"/>
    <cellStyle name="Note 4 3 3 2 3 10 13" xfId="45055" xr:uid="{00000000-0005-0000-0000-0000A6550000}"/>
    <cellStyle name="Note 4 3 3 2 3 10 2" xfId="4175" xr:uid="{00000000-0005-0000-0000-0000A7550000}"/>
    <cellStyle name="Note 4 3 3 2 3 10 2 10" xfId="39226" xr:uid="{00000000-0005-0000-0000-0000A8550000}"/>
    <cellStyle name="Note 4 3 3 2 3 10 2 11" xfId="43236" xr:uid="{00000000-0005-0000-0000-0000A9550000}"/>
    <cellStyle name="Note 4 3 3 2 3 10 2 12" xfId="46993" xr:uid="{00000000-0005-0000-0000-0000AA550000}"/>
    <cellStyle name="Note 4 3 3 2 3 10 2 2" xfId="8034" xr:uid="{00000000-0005-0000-0000-0000AB550000}"/>
    <cellStyle name="Note 4 3 3 2 3 10 2 3" xfId="12474" xr:uid="{00000000-0005-0000-0000-0000AC550000}"/>
    <cellStyle name="Note 4 3 3 2 3 10 2 4" xfId="16319" xr:uid="{00000000-0005-0000-0000-0000AD550000}"/>
    <cellStyle name="Note 4 3 3 2 3 10 2 5" xfId="20169" xr:uid="{00000000-0005-0000-0000-0000AE550000}"/>
    <cellStyle name="Note 4 3 3 2 3 10 2 6" xfId="24081" xr:uid="{00000000-0005-0000-0000-0000AF550000}"/>
    <cellStyle name="Note 4 3 3 2 3 10 2 7" xfId="27919" xr:uid="{00000000-0005-0000-0000-0000B0550000}"/>
    <cellStyle name="Note 4 3 3 2 3 10 2 8" xfId="31778" xr:uid="{00000000-0005-0000-0000-0000B1550000}"/>
    <cellStyle name="Note 4 3 3 2 3 10 2 9" xfId="35431" xr:uid="{00000000-0005-0000-0000-0000B2550000}"/>
    <cellStyle name="Note 4 3 3 2 3 10 3" xfId="6106" xr:uid="{00000000-0005-0000-0000-0000B3550000}"/>
    <cellStyle name="Note 4 3 3 2 3 10 4" xfId="10509" xr:uid="{00000000-0005-0000-0000-0000B4550000}"/>
    <cellStyle name="Note 4 3 3 2 3 10 5" xfId="14355" xr:uid="{00000000-0005-0000-0000-0000B5550000}"/>
    <cellStyle name="Note 4 3 3 2 3 10 6" xfId="18186" xr:uid="{00000000-0005-0000-0000-0000B6550000}"/>
    <cellStyle name="Note 4 3 3 2 3 10 7" xfId="22125" xr:uid="{00000000-0005-0000-0000-0000B7550000}"/>
    <cellStyle name="Note 4 3 3 2 3 10 8" xfId="25937" xr:uid="{00000000-0005-0000-0000-0000B8550000}"/>
    <cellStyle name="Note 4 3 3 2 3 10 9" xfId="29817" xr:uid="{00000000-0005-0000-0000-0000B9550000}"/>
    <cellStyle name="Note 4 3 3 2 3 11" xfId="2250" xr:uid="{00000000-0005-0000-0000-0000BA550000}"/>
    <cellStyle name="Note 4 3 3 2 3 11 10" xfId="33551" xr:uid="{00000000-0005-0000-0000-0000BB550000}"/>
    <cellStyle name="Note 4 3 3 2 3 11 11" xfId="37302" xr:uid="{00000000-0005-0000-0000-0000BC550000}"/>
    <cellStyle name="Note 4 3 3 2 3 11 12" xfId="41318" xr:uid="{00000000-0005-0000-0000-0000BD550000}"/>
    <cellStyle name="Note 4 3 3 2 3 11 13" xfId="45113" xr:uid="{00000000-0005-0000-0000-0000BE550000}"/>
    <cellStyle name="Note 4 3 3 2 3 11 2" xfId="4233" xr:uid="{00000000-0005-0000-0000-0000BF550000}"/>
    <cellStyle name="Note 4 3 3 2 3 11 2 10" xfId="39284" xr:uid="{00000000-0005-0000-0000-0000C0550000}"/>
    <cellStyle name="Note 4 3 3 2 3 11 2 11" xfId="43294" xr:uid="{00000000-0005-0000-0000-0000C1550000}"/>
    <cellStyle name="Note 4 3 3 2 3 11 2 12" xfId="47051" xr:uid="{00000000-0005-0000-0000-0000C2550000}"/>
    <cellStyle name="Note 4 3 3 2 3 11 2 2" xfId="8092" xr:uid="{00000000-0005-0000-0000-0000C3550000}"/>
    <cellStyle name="Note 4 3 3 2 3 11 2 3" xfId="12532" xr:uid="{00000000-0005-0000-0000-0000C4550000}"/>
    <cellStyle name="Note 4 3 3 2 3 11 2 4" xfId="16377" xr:uid="{00000000-0005-0000-0000-0000C5550000}"/>
    <cellStyle name="Note 4 3 3 2 3 11 2 5" xfId="20227" xr:uid="{00000000-0005-0000-0000-0000C6550000}"/>
    <cellStyle name="Note 4 3 3 2 3 11 2 6" xfId="24139" xr:uid="{00000000-0005-0000-0000-0000C7550000}"/>
    <cellStyle name="Note 4 3 3 2 3 11 2 7" xfId="27977" xr:uid="{00000000-0005-0000-0000-0000C8550000}"/>
    <cellStyle name="Note 4 3 3 2 3 11 2 8" xfId="31836" xr:uid="{00000000-0005-0000-0000-0000C9550000}"/>
    <cellStyle name="Note 4 3 3 2 3 11 2 9" xfId="35489" xr:uid="{00000000-0005-0000-0000-0000CA550000}"/>
    <cellStyle name="Note 4 3 3 2 3 11 3" xfId="6164" xr:uid="{00000000-0005-0000-0000-0000CB550000}"/>
    <cellStyle name="Note 4 3 3 2 3 11 4" xfId="10567" xr:uid="{00000000-0005-0000-0000-0000CC550000}"/>
    <cellStyle name="Note 4 3 3 2 3 11 5" xfId="14413" xr:uid="{00000000-0005-0000-0000-0000CD550000}"/>
    <cellStyle name="Note 4 3 3 2 3 11 6" xfId="18244" xr:uid="{00000000-0005-0000-0000-0000CE550000}"/>
    <cellStyle name="Note 4 3 3 2 3 11 7" xfId="22183" xr:uid="{00000000-0005-0000-0000-0000CF550000}"/>
    <cellStyle name="Note 4 3 3 2 3 11 8" xfId="25995" xr:uid="{00000000-0005-0000-0000-0000D0550000}"/>
    <cellStyle name="Note 4 3 3 2 3 11 9" xfId="29875" xr:uid="{00000000-0005-0000-0000-0000D1550000}"/>
    <cellStyle name="Note 4 3 3 2 3 12" xfId="2305" xr:uid="{00000000-0005-0000-0000-0000D2550000}"/>
    <cellStyle name="Note 4 3 3 2 3 12 10" xfId="33606" xr:uid="{00000000-0005-0000-0000-0000D3550000}"/>
    <cellStyle name="Note 4 3 3 2 3 12 11" xfId="37357" xr:uid="{00000000-0005-0000-0000-0000D4550000}"/>
    <cellStyle name="Note 4 3 3 2 3 12 12" xfId="41373" xr:uid="{00000000-0005-0000-0000-0000D5550000}"/>
    <cellStyle name="Note 4 3 3 2 3 12 13" xfId="45168" xr:uid="{00000000-0005-0000-0000-0000D6550000}"/>
    <cellStyle name="Note 4 3 3 2 3 12 2" xfId="4288" xr:uid="{00000000-0005-0000-0000-0000D7550000}"/>
    <cellStyle name="Note 4 3 3 2 3 12 2 10" xfId="39339" xr:uid="{00000000-0005-0000-0000-0000D8550000}"/>
    <cellStyle name="Note 4 3 3 2 3 12 2 11" xfId="43349" xr:uid="{00000000-0005-0000-0000-0000D9550000}"/>
    <cellStyle name="Note 4 3 3 2 3 12 2 12" xfId="47106" xr:uid="{00000000-0005-0000-0000-0000DA550000}"/>
    <cellStyle name="Note 4 3 3 2 3 12 2 2" xfId="8147" xr:uid="{00000000-0005-0000-0000-0000DB550000}"/>
    <cellStyle name="Note 4 3 3 2 3 12 2 3" xfId="12587" xr:uid="{00000000-0005-0000-0000-0000DC550000}"/>
    <cellStyle name="Note 4 3 3 2 3 12 2 4" xfId="16432" xr:uid="{00000000-0005-0000-0000-0000DD550000}"/>
    <cellStyle name="Note 4 3 3 2 3 12 2 5" xfId="20282" xr:uid="{00000000-0005-0000-0000-0000DE550000}"/>
    <cellStyle name="Note 4 3 3 2 3 12 2 6" xfId="24194" xr:uid="{00000000-0005-0000-0000-0000DF550000}"/>
    <cellStyle name="Note 4 3 3 2 3 12 2 7" xfId="28032" xr:uid="{00000000-0005-0000-0000-0000E0550000}"/>
    <cellStyle name="Note 4 3 3 2 3 12 2 8" xfId="31891" xr:uid="{00000000-0005-0000-0000-0000E1550000}"/>
    <cellStyle name="Note 4 3 3 2 3 12 2 9" xfId="35544" xr:uid="{00000000-0005-0000-0000-0000E2550000}"/>
    <cellStyle name="Note 4 3 3 2 3 12 3" xfId="6219" xr:uid="{00000000-0005-0000-0000-0000E3550000}"/>
    <cellStyle name="Note 4 3 3 2 3 12 4" xfId="10622" xr:uid="{00000000-0005-0000-0000-0000E4550000}"/>
    <cellStyle name="Note 4 3 3 2 3 12 5" xfId="14468" xr:uid="{00000000-0005-0000-0000-0000E5550000}"/>
    <cellStyle name="Note 4 3 3 2 3 12 6" xfId="18299" xr:uid="{00000000-0005-0000-0000-0000E6550000}"/>
    <cellStyle name="Note 4 3 3 2 3 12 7" xfId="22238" xr:uid="{00000000-0005-0000-0000-0000E7550000}"/>
    <cellStyle name="Note 4 3 3 2 3 12 8" xfId="26050" xr:uid="{00000000-0005-0000-0000-0000E8550000}"/>
    <cellStyle name="Note 4 3 3 2 3 12 9" xfId="29930" xr:uid="{00000000-0005-0000-0000-0000E9550000}"/>
    <cellStyle name="Note 4 3 3 2 3 13" xfId="2372" xr:uid="{00000000-0005-0000-0000-0000EA550000}"/>
    <cellStyle name="Note 4 3 3 2 3 13 10" xfId="33670" xr:uid="{00000000-0005-0000-0000-0000EB550000}"/>
    <cellStyle name="Note 4 3 3 2 3 13 11" xfId="37424" xr:uid="{00000000-0005-0000-0000-0000EC550000}"/>
    <cellStyle name="Note 4 3 3 2 3 13 12" xfId="41439" xr:uid="{00000000-0005-0000-0000-0000ED550000}"/>
    <cellStyle name="Note 4 3 3 2 3 13 13" xfId="45232" xr:uid="{00000000-0005-0000-0000-0000EE550000}"/>
    <cellStyle name="Note 4 3 3 2 3 13 2" xfId="4355" xr:uid="{00000000-0005-0000-0000-0000EF550000}"/>
    <cellStyle name="Note 4 3 3 2 3 13 2 10" xfId="39406" xr:uid="{00000000-0005-0000-0000-0000F0550000}"/>
    <cellStyle name="Note 4 3 3 2 3 13 2 11" xfId="43415" xr:uid="{00000000-0005-0000-0000-0000F1550000}"/>
    <cellStyle name="Note 4 3 3 2 3 13 2 12" xfId="47170" xr:uid="{00000000-0005-0000-0000-0000F2550000}"/>
    <cellStyle name="Note 4 3 3 2 3 13 2 2" xfId="8212" xr:uid="{00000000-0005-0000-0000-0000F3550000}"/>
    <cellStyle name="Note 4 3 3 2 3 13 2 3" xfId="12653" xr:uid="{00000000-0005-0000-0000-0000F4550000}"/>
    <cellStyle name="Note 4 3 3 2 3 13 2 4" xfId="16498" xr:uid="{00000000-0005-0000-0000-0000F5550000}"/>
    <cellStyle name="Note 4 3 3 2 3 13 2 5" xfId="20349" xr:uid="{00000000-0005-0000-0000-0000F6550000}"/>
    <cellStyle name="Note 4 3 3 2 3 13 2 6" xfId="24260" xr:uid="{00000000-0005-0000-0000-0000F7550000}"/>
    <cellStyle name="Note 4 3 3 2 3 13 2 7" xfId="28099" xr:uid="{00000000-0005-0000-0000-0000F8550000}"/>
    <cellStyle name="Note 4 3 3 2 3 13 2 8" xfId="31957" xr:uid="{00000000-0005-0000-0000-0000F9550000}"/>
    <cellStyle name="Note 4 3 3 2 3 13 2 9" xfId="35608" xr:uid="{00000000-0005-0000-0000-0000FA550000}"/>
    <cellStyle name="Note 4 3 3 2 3 13 3" xfId="6268" xr:uid="{00000000-0005-0000-0000-0000FB550000}"/>
    <cellStyle name="Note 4 3 3 2 3 13 4" xfId="10688" xr:uid="{00000000-0005-0000-0000-0000FC550000}"/>
    <cellStyle name="Note 4 3 3 2 3 13 5" xfId="14534" xr:uid="{00000000-0005-0000-0000-0000FD550000}"/>
    <cellStyle name="Note 4 3 3 2 3 13 6" xfId="18366" xr:uid="{00000000-0005-0000-0000-0000FE550000}"/>
    <cellStyle name="Note 4 3 3 2 3 13 7" xfId="22304" xr:uid="{00000000-0005-0000-0000-0000FF550000}"/>
    <cellStyle name="Note 4 3 3 2 3 13 8" xfId="26117" xr:uid="{00000000-0005-0000-0000-000000560000}"/>
    <cellStyle name="Note 4 3 3 2 3 13 9" xfId="29997" xr:uid="{00000000-0005-0000-0000-000001560000}"/>
    <cellStyle name="Note 4 3 3 2 3 14" xfId="2422" xr:uid="{00000000-0005-0000-0000-000002560000}"/>
    <cellStyle name="Note 4 3 3 2 3 14 10" xfId="33720" xr:uid="{00000000-0005-0000-0000-000003560000}"/>
    <cellStyle name="Note 4 3 3 2 3 14 11" xfId="37474" xr:uid="{00000000-0005-0000-0000-000004560000}"/>
    <cellStyle name="Note 4 3 3 2 3 14 12" xfId="41489" xr:uid="{00000000-0005-0000-0000-000005560000}"/>
    <cellStyle name="Note 4 3 3 2 3 14 13" xfId="45282" xr:uid="{00000000-0005-0000-0000-000006560000}"/>
    <cellStyle name="Note 4 3 3 2 3 14 2" xfId="4405" xr:uid="{00000000-0005-0000-0000-000007560000}"/>
    <cellStyle name="Note 4 3 3 2 3 14 2 10" xfId="39456" xr:uid="{00000000-0005-0000-0000-000008560000}"/>
    <cellStyle name="Note 4 3 3 2 3 14 2 11" xfId="43465" xr:uid="{00000000-0005-0000-0000-000009560000}"/>
    <cellStyle name="Note 4 3 3 2 3 14 2 12" xfId="47220" xr:uid="{00000000-0005-0000-0000-00000A560000}"/>
    <cellStyle name="Note 4 3 3 2 3 14 2 2" xfId="8262" xr:uid="{00000000-0005-0000-0000-00000B560000}"/>
    <cellStyle name="Note 4 3 3 2 3 14 2 3" xfId="12703" xr:uid="{00000000-0005-0000-0000-00000C560000}"/>
    <cellStyle name="Note 4 3 3 2 3 14 2 4" xfId="16548" xr:uid="{00000000-0005-0000-0000-00000D560000}"/>
    <cellStyle name="Note 4 3 3 2 3 14 2 5" xfId="20399" xr:uid="{00000000-0005-0000-0000-00000E560000}"/>
    <cellStyle name="Note 4 3 3 2 3 14 2 6" xfId="24310" xr:uid="{00000000-0005-0000-0000-00000F560000}"/>
    <cellStyle name="Note 4 3 3 2 3 14 2 7" xfId="28149" xr:uid="{00000000-0005-0000-0000-000010560000}"/>
    <cellStyle name="Note 4 3 3 2 3 14 2 8" xfId="32007" xr:uid="{00000000-0005-0000-0000-000011560000}"/>
    <cellStyle name="Note 4 3 3 2 3 14 2 9" xfId="35658" xr:uid="{00000000-0005-0000-0000-000012560000}"/>
    <cellStyle name="Note 4 3 3 2 3 14 3" xfId="6318" xr:uid="{00000000-0005-0000-0000-000013560000}"/>
    <cellStyle name="Note 4 3 3 2 3 14 4" xfId="10738" xr:uid="{00000000-0005-0000-0000-000014560000}"/>
    <cellStyle name="Note 4 3 3 2 3 14 5" xfId="14584" xr:uid="{00000000-0005-0000-0000-000015560000}"/>
    <cellStyle name="Note 4 3 3 2 3 14 6" xfId="18416" xr:uid="{00000000-0005-0000-0000-000016560000}"/>
    <cellStyle name="Note 4 3 3 2 3 14 7" xfId="22354" xr:uid="{00000000-0005-0000-0000-000017560000}"/>
    <cellStyle name="Note 4 3 3 2 3 14 8" xfId="26167" xr:uid="{00000000-0005-0000-0000-000018560000}"/>
    <cellStyle name="Note 4 3 3 2 3 14 9" xfId="30046" xr:uid="{00000000-0005-0000-0000-000019560000}"/>
    <cellStyle name="Note 4 3 3 2 3 15" xfId="2476" xr:uid="{00000000-0005-0000-0000-00001A560000}"/>
    <cellStyle name="Note 4 3 3 2 3 15 10" xfId="33771" xr:uid="{00000000-0005-0000-0000-00001B560000}"/>
    <cellStyle name="Note 4 3 3 2 3 15 11" xfId="37528" xr:uid="{00000000-0005-0000-0000-00001C560000}"/>
    <cellStyle name="Note 4 3 3 2 3 15 12" xfId="41542" xr:uid="{00000000-0005-0000-0000-00001D560000}"/>
    <cellStyle name="Note 4 3 3 2 3 15 13" xfId="45333" xr:uid="{00000000-0005-0000-0000-00001E560000}"/>
    <cellStyle name="Note 4 3 3 2 3 15 2" xfId="4458" xr:uid="{00000000-0005-0000-0000-00001F560000}"/>
    <cellStyle name="Note 4 3 3 2 3 15 2 10" xfId="39509" xr:uid="{00000000-0005-0000-0000-000020560000}"/>
    <cellStyle name="Note 4 3 3 2 3 15 2 11" xfId="43518" xr:uid="{00000000-0005-0000-0000-000021560000}"/>
    <cellStyle name="Note 4 3 3 2 3 15 2 12" xfId="47271" xr:uid="{00000000-0005-0000-0000-000022560000}"/>
    <cellStyle name="Note 4 3 3 2 3 15 2 2" xfId="8313" xr:uid="{00000000-0005-0000-0000-000023560000}"/>
    <cellStyle name="Note 4 3 3 2 3 15 2 3" xfId="12756" xr:uid="{00000000-0005-0000-0000-000024560000}"/>
    <cellStyle name="Note 4 3 3 2 3 15 2 4" xfId="16599" xr:uid="{00000000-0005-0000-0000-000025560000}"/>
    <cellStyle name="Note 4 3 3 2 3 15 2 5" xfId="20452" xr:uid="{00000000-0005-0000-0000-000026560000}"/>
    <cellStyle name="Note 4 3 3 2 3 15 2 6" xfId="24362" xr:uid="{00000000-0005-0000-0000-000027560000}"/>
    <cellStyle name="Note 4 3 3 2 3 15 2 7" xfId="28202" xr:uid="{00000000-0005-0000-0000-000028560000}"/>
    <cellStyle name="Note 4 3 3 2 3 15 2 8" xfId="32060" xr:uid="{00000000-0005-0000-0000-000029560000}"/>
    <cellStyle name="Note 4 3 3 2 3 15 2 9" xfId="35709" xr:uid="{00000000-0005-0000-0000-00002A560000}"/>
    <cellStyle name="Note 4 3 3 2 3 15 3" xfId="6370" xr:uid="{00000000-0005-0000-0000-00002B560000}"/>
    <cellStyle name="Note 4 3 3 2 3 15 4" xfId="10791" xr:uid="{00000000-0005-0000-0000-00002C560000}"/>
    <cellStyle name="Note 4 3 3 2 3 15 5" xfId="14637" xr:uid="{00000000-0005-0000-0000-00002D560000}"/>
    <cellStyle name="Note 4 3 3 2 3 15 6" xfId="18470" xr:uid="{00000000-0005-0000-0000-00002E560000}"/>
    <cellStyle name="Note 4 3 3 2 3 15 7" xfId="22407" xr:uid="{00000000-0005-0000-0000-00002F560000}"/>
    <cellStyle name="Note 4 3 3 2 3 15 8" xfId="26221" xr:uid="{00000000-0005-0000-0000-000030560000}"/>
    <cellStyle name="Note 4 3 3 2 3 15 9" xfId="30100" xr:uid="{00000000-0005-0000-0000-000031560000}"/>
    <cellStyle name="Note 4 3 3 2 3 16" xfId="2547" xr:uid="{00000000-0005-0000-0000-000032560000}"/>
    <cellStyle name="Note 4 3 3 2 3 16 10" xfId="37599" xr:uid="{00000000-0005-0000-0000-000033560000}"/>
    <cellStyle name="Note 4 3 3 2 3 16 11" xfId="41613" xr:uid="{00000000-0005-0000-0000-000034560000}"/>
    <cellStyle name="Note 4 3 3 2 3 16 12" xfId="45402" xr:uid="{00000000-0005-0000-0000-000035560000}"/>
    <cellStyle name="Note 4 3 3 2 3 16 2" xfId="6439" xr:uid="{00000000-0005-0000-0000-000036560000}"/>
    <cellStyle name="Note 4 3 3 2 3 16 3" xfId="10862" xr:uid="{00000000-0005-0000-0000-000037560000}"/>
    <cellStyle name="Note 4 3 3 2 3 16 4" xfId="14706" xr:uid="{00000000-0005-0000-0000-000038560000}"/>
    <cellStyle name="Note 4 3 3 2 3 16 5" xfId="18541" xr:uid="{00000000-0005-0000-0000-000039560000}"/>
    <cellStyle name="Note 4 3 3 2 3 16 6" xfId="22476" xr:uid="{00000000-0005-0000-0000-00003A560000}"/>
    <cellStyle name="Note 4 3 3 2 3 16 7" xfId="26292" xr:uid="{00000000-0005-0000-0000-00003B560000}"/>
    <cellStyle name="Note 4 3 3 2 3 16 8" xfId="30171" xr:uid="{00000000-0005-0000-0000-00003C560000}"/>
    <cellStyle name="Note 4 3 3 2 3 16 9" xfId="33840" xr:uid="{00000000-0005-0000-0000-00003D560000}"/>
    <cellStyle name="Note 4 3 3 2 3 17" xfId="4515" xr:uid="{00000000-0005-0000-0000-00003E560000}"/>
    <cellStyle name="Note 4 3 3 2 3 18" xfId="8382" xr:uid="{00000000-0005-0000-0000-00003F560000}"/>
    <cellStyle name="Note 4 3 3 2 3 19" xfId="8730" xr:uid="{00000000-0005-0000-0000-000040560000}"/>
    <cellStyle name="Note 4 3 3 2 3 2" xfId="676" xr:uid="{00000000-0005-0000-0000-000041560000}"/>
    <cellStyle name="Note 4 3 3 2 3 2 10" xfId="24410" xr:uid="{00000000-0005-0000-0000-000042560000}"/>
    <cellStyle name="Note 4 3 3 2 3 2 11" xfId="28303" xr:uid="{00000000-0005-0000-0000-000043560000}"/>
    <cellStyle name="Note 4 3 3 2 3 2 12" xfId="28524" xr:uid="{00000000-0005-0000-0000-000044560000}"/>
    <cellStyle name="Note 4 3 3 2 3 2 13" xfId="35747" xr:uid="{00000000-0005-0000-0000-000045560000}"/>
    <cellStyle name="Note 4 3 3 2 3 2 14" xfId="39770" xr:uid="{00000000-0005-0000-0000-000046560000}"/>
    <cellStyle name="Note 4 3 3 2 3 2 15" xfId="43573" xr:uid="{00000000-0005-0000-0000-000047560000}"/>
    <cellStyle name="Note 4 3 3 2 3 2 2" xfId="1056" xr:uid="{00000000-0005-0000-0000-000048560000}"/>
    <cellStyle name="Note 4 3 3 2 3 2 2 10" xfId="28667" xr:uid="{00000000-0005-0000-0000-000049560000}"/>
    <cellStyle name="Note 4 3 3 2 3 2 2 11" xfId="32353" xr:uid="{00000000-0005-0000-0000-00004A560000}"/>
    <cellStyle name="Note 4 3 3 2 3 2 2 12" xfId="36114" xr:uid="{00000000-0005-0000-0000-00004B560000}"/>
    <cellStyle name="Note 4 3 3 2 3 2 2 13" xfId="40117" xr:uid="{00000000-0005-0000-0000-00004C560000}"/>
    <cellStyle name="Note 4 3 3 2 3 2 2 14" xfId="43940" xr:uid="{00000000-0005-0000-0000-00004D560000}"/>
    <cellStyle name="Note 4 3 3 2 3 2 2 2" xfId="1783" xr:uid="{00000000-0005-0000-0000-00004E560000}"/>
    <cellStyle name="Note 4 3 3 2 3 2 2 2 10" xfId="33070" xr:uid="{00000000-0005-0000-0000-00004F560000}"/>
    <cellStyle name="Note 4 3 3 2 3 2 2 2 11" xfId="36840" xr:uid="{00000000-0005-0000-0000-000050560000}"/>
    <cellStyle name="Note 4 3 3 2 3 2 2 2 12" xfId="40831" xr:uid="{00000000-0005-0000-0000-000051560000}"/>
    <cellStyle name="Note 4 3 3 2 3 2 2 2 13" xfId="44662" xr:uid="{00000000-0005-0000-0000-000052560000}"/>
    <cellStyle name="Note 4 3 3 2 3 2 2 2 2" xfId="3773" xr:uid="{00000000-0005-0000-0000-000053560000}"/>
    <cellStyle name="Note 4 3 3 2 3 2 2 2 2 10" xfId="38824" xr:uid="{00000000-0005-0000-0000-000054560000}"/>
    <cellStyle name="Note 4 3 3 2 3 2 2 2 2 11" xfId="42835" xr:uid="{00000000-0005-0000-0000-000055560000}"/>
    <cellStyle name="Note 4 3 3 2 3 2 2 2 2 12" xfId="46600" xr:uid="{00000000-0005-0000-0000-000056560000}"/>
    <cellStyle name="Note 4 3 3 2 3 2 2 2 2 2" xfId="7640" xr:uid="{00000000-0005-0000-0000-000057560000}"/>
    <cellStyle name="Note 4 3 3 2 3 2 2 2 2 3" xfId="12075" xr:uid="{00000000-0005-0000-0000-000058560000}"/>
    <cellStyle name="Note 4 3 3 2 3 2 2 2 2 4" xfId="15920" xr:uid="{00000000-0005-0000-0000-000059560000}"/>
    <cellStyle name="Note 4 3 3 2 3 2 2 2 2 5" xfId="19767" xr:uid="{00000000-0005-0000-0000-00005A560000}"/>
    <cellStyle name="Note 4 3 3 2 3 2 2 2 2 6" xfId="23683" xr:uid="{00000000-0005-0000-0000-00005B560000}"/>
    <cellStyle name="Note 4 3 3 2 3 2 2 2 2 7" xfId="27517" xr:uid="{00000000-0005-0000-0000-00005C560000}"/>
    <cellStyle name="Note 4 3 3 2 3 2 2 2 2 8" xfId="31381" xr:uid="{00000000-0005-0000-0000-00005D560000}"/>
    <cellStyle name="Note 4 3 3 2 3 2 2 2 2 9" xfId="35038" xr:uid="{00000000-0005-0000-0000-00005E560000}"/>
    <cellStyle name="Note 4 3 3 2 3 2 2 2 3" xfId="5716" xr:uid="{00000000-0005-0000-0000-00005F560000}"/>
    <cellStyle name="Note 4 3 3 2 3 2 2 2 4" xfId="10074" xr:uid="{00000000-0005-0000-0000-000060560000}"/>
    <cellStyle name="Note 4 3 3 2 3 2 2 2 5" xfId="13920" xr:uid="{00000000-0005-0000-0000-000061560000}"/>
    <cellStyle name="Note 4 3 3 2 3 2 2 2 6" xfId="17749" xr:uid="{00000000-0005-0000-0000-000062560000}"/>
    <cellStyle name="Note 4 3 3 2 3 2 2 2 7" xfId="21688" xr:uid="{00000000-0005-0000-0000-000063560000}"/>
    <cellStyle name="Note 4 3 3 2 3 2 2 2 8" xfId="25501" xr:uid="{00000000-0005-0000-0000-000064560000}"/>
    <cellStyle name="Note 4 3 3 2 3 2 2 2 9" xfId="29388" xr:uid="{00000000-0005-0000-0000-000065560000}"/>
    <cellStyle name="Note 4 3 3 2 3 2 2 3" xfId="3046" xr:uid="{00000000-0005-0000-0000-000066560000}"/>
    <cellStyle name="Note 4 3 3 2 3 2 2 3 10" xfId="38098" xr:uid="{00000000-0005-0000-0000-000067560000}"/>
    <cellStyle name="Note 4 3 3 2 3 2 2 3 11" xfId="42110" xr:uid="{00000000-0005-0000-0000-000068560000}"/>
    <cellStyle name="Note 4 3 3 2 3 2 2 3 12" xfId="45883" xr:uid="{00000000-0005-0000-0000-000069560000}"/>
    <cellStyle name="Note 4 3 3 2 3 2 2 3 2" xfId="6922" xr:uid="{00000000-0005-0000-0000-00006A560000}"/>
    <cellStyle name="Note 4 3 3 2 3 2 2 3 3" xfId="11351" xr:uid="{00000000-0005-0000-0000-00006B560000}"/>
    <cellStyle name="Note 4 3 3 2 3 2 2 3 4" xfId="15195" xr:uid="{00000000-0005-0000-0000-00006C560000}"/>
    <cellStyle name="Note 4 3 3 2 3 2 2 3 5" xfId="19040" xr:uid="{00000000-0005-0000-0000-00006D560000}"/>
    <cellStyle name="Note 4 3 3 2 3 2 2 3 6" xfId="22962" xr:uid="{00000000-0005-0000-0000-00006E560000}"/>
    <cellStyle name="Note 4 3 3 2 3 2 2 3 7" xfId="26791" xr:uid="{00000000-0005-0000-0000-00006F560000}"/>
    <cellStyle name="Note 4 3 3 2 3 2 2 3 8" xfId="30665" xr:uid="{00000000-0005-0000-0000-000070560000}"/>
    <cellStyle name="Note 4 3 3 2 3 2 2 3 9" xfId="34321" xr:uid="{00000000-0005-0000-0000-000071560000}"/>
    <cellStyle name="Note 4 3 3 2 3 2 2 4" xfId="4998" xr:uid="{00000000-0005-0000-0000-000072560000}"/>
    <cellStyle name="Note 4 3 3 2 3 2 2 5" xfId="9354" xr:uid="{00000000-0005-0000-0000-000073560000}"/>
    <cellStyle name="Note 4 3 3 2 3 2 2 6" xfId="13194" xr:uid="{00000000-0005-0000-0000-000074560000}"/>
    <cellStyle name="Note 4 3 3 2 3 2 2 7" xfId="17022" xr:uid="{00000000-0005-0000-0000-000075560000}"/>
    <cellStyle name="Note 4 3 3 2 3 2 2 8" xfId="20964" xr:uid="{00000000-0005-0000-0000-000076560000}"/>
    <cellStyle name="Note 4 3 3 2 3 2 2 9" xfId="24778" xr:uid="{00000000-0005-0000-0000-000077560000}"/>
    <cellStyle name="Note 4 3 3 2 3 2 3" xfId="1430" xr:uid="{00000000-0005-0000-0000-000078560000}"/>
    <cellStyle name="Note 4 3 3 2 3 2 3 10" xfId="32717" xr:uid="{00000000-0005-0000-0000-000079560000}"/>
    <cellStyle name="Note 4 3 3 2 3 2 3 11" xfId="36487" xr:uid="{00000000-0005-0000-0000-00007A560000}"/>
    <cellStyle name="Note 4 3 3 2 3 2 3 12" xfId="40478" xr:uid="{00000000-0005-0000-0000-00007B560000}"/>
    <cellStyle name="Note 4 3 3 2 3 2 3 13" xfId="44309" xr:uid="{00000000-0005-0000-0000-00007C560000}"/>
    <cellStyle name="Note 4 3 3 2 3 2 3 2" xfId="3420" xr:uid="{00000000-0005-0000-0000-00007D560000}"/>
    <cellStyle name="Note 4 3 3 2 3 2 3 2 10" xfId="38471" xr:uid="{00000000-0005-0000-0000-00007E560000}"/>
    <cellStyle name="Note 4 3 3 2 3 2 3 2 11" xfId="42482" xr:uid="{00000000-0005-0000-0000-00007F560000}"/>
    <cellStyle name="Note 4 3 3 2 3 2 3 2 12" xfId="46247" xr:uid="{00000000-0005-0000-0000-000080560000}"/>
    <cellStyle name="Note 4 3 3 2 3 2 3 2 2" xfId="7287" xr:uid="{00000000-0005-0000-0000-000081560000}"/>
    <cellStyle name="Note 4 3 3 2 3 2 3 2 3" xfId="11722" xr:uid="{00000000-0005-0000-0000-000082560000}"/>
    <cellStyle name="Note 4 3 3 2 3 2 3 2 4" xfId="15567" xr:uid="{00000000-0005-0000-0000-000083560000}"/>
    <cellStyle name="Note 4 3 3 2 3 2 3 2 5" xfId="19414" xr:uid="{00000000-0005-0000-0000-000084560000}"/>
    <cellStyle name="Note 4 3 3 2 3 2 3 2 6" xfId="23330" xr:uid="{00000000-0005-0000-0000-000085560000}"/>
    <cellStyle name="Note 4 3 3 2 3 2 3 2 7" xfId="27164" xr:uid="{00000000-0005-0000-0000-000086560000}"/>
    <cellStyle name="Note 4 3 3 2 3 2 3 2 8" xfId="31032" xr:uid="{00000000-0005-0000-0000-000087560000}"/>
    <cellStyle name="Note 4 3 3 2 3 2 3 2 9" xfId="34685" xr:uid="{00000000-0005-0000-0000-000088560000}"/>
    <cellStyle name="Note 4 3 3 2 3 2 3 3" xfId="5363" xr:uid="{00000000-0005-0000-0000-000089560000}"/>
    <cellStyle name="Note 4 3 3 2 3 2 3 4" xfId="9721" xr:uid="{00000000-0005-0000-0000-00008A560000}"/>
    <cellStyle name="Note 4 3 3 2 3 2 3 5" xfId="13567" xr:uid="{00000000-0005-0000-0000-00008B560000}"/>
    <cellStyle name="Note 4 3 3 2 3 2 3 6" xfId="17396" xr:uid="{00000000-0005-0000-0000-00008C560000}"/>
    <cellStyle name="Note 4 3 3 2 3 2 3 7" xfId="21335" xr:uid="{00000000-0005-0000-0000-00008D560000}"/>
    <cellStyle name="Note 4 3 3 2 3 2 3 8" xfId="25148" xr:uid="{00000000-0005-0000-0000-00008E560000}"/>
    <cellStyle name="Note 4 3 3 2 3 2 3 9" xfId="29035" xr:uid="{00000000-0005-0000-0000-00008F560000}"/>
    <cellStyle name="Note 4 3 3 2 3 2 4" xfId="2679" xr:uid="{00000000-0005-0000-0000-000090560000}"/>
    <cellStyle name="Note 4 3 3 2 3 2 4 10" xfId="37731" xr:uid="{00000000-0005-0000-0000-000091560000}"/>
    <cellStyle name="Note 4 3 3 2 3 2 4 11" xfId="41745" xr:uid="{00000000-0005-0000-0000-000092560000}"/>
    <cellStyle name="Note 4 3 3 2 3 2 4 12" xfId="45530" xr:uid="{00000000-0005-0000-0000-000093560000}"/>
    <cellStyle name="Note 4 3 3 2 3 2 4 2" xfId="6567" xr:uid="{00000000-0005-0000-0000-000094560000}"/>
    <cellStyle name="Note 4 3 3 2 3 2 4 3" xfId="10991" xr:uid="{00000000-0005-0000-0000-000095560000}"/>
    <cellStyle name="Note 4 3 3 2 3 2 4 4" xfId="14835" xr:uid="{00000000-0005-0000-0000-000096560000}"/>
    <cellStyle name="Note 4 3 3 2 3 2 4 5" xfId="18673" xr:uid="{00000000-0005-0000-0000-000097560000}"/>
    <cellStyle name="Note 4 3 3 2 3 2 4 6" xfId="22604" xr:uid="{00000000-0005-0000-0000-000098560000}"/>
    <cellStyle name="Note 4 3 3 2 3 2 4 7" xfId="26424" xr:uid="{00000000-0005-0000-0000-000099560000}"/>
    <cellStyle name="Note 4 3 3 2 3 2 4 8" xfId="30303" xr:uid="{00000000-0005-0000-0000-00009A560000}"/>
    <cellStyle name="Note 4 3 3 2 3 2 4 9" xfId="33968" xr:uid="{00000000-0005-0000-0000-00009B560000}"/>
    <cellStyle name="Note 4 3 3 2 3 2 5" xfId="4643" xr:uid="{00000000-0005-0000-0000-00009C560000}"/>
    <cellStyle name="Note 4 3 3 2 3 2 6" xfId="8985" xr:uid="{00000000-0005-0000-0000-00009D560000}"/>
    <cellStyle name="Note 4 3 3 2 3 2 7" xfId="12822" xr:uid="{00000000-0005-0000-0000-00009E560000}"/>
    <cellStyle name="Note 4 3 3 2 3 2 8" xfId="16652" xr:uid="{00000000-0005-0000-0000-00009F560000}"/>
    <cellStyle name="Note 4 3 3 2 3 2 9" xfId="20589" xr:uid="{00000000-0005-0000-0000-0000A0560000}"/>
    <cellStyle name="Note 4 3 3 2 3 20" xfId="8851" xr:uid="{00000000-0005-0000-0000-0000A1560000}"/>
    <cellStyle name="Note 4 3 3 2 3 21" xfId="8591" xr:uid="{00000000-0005-0000-0000-0000A2560000}"/>
    <cellStyle name="Note 4 3 3 2 3 22" xfId="8492" xr:uid="{00000000-0005-0000-0000-0000A3560000}"/>
    <cellStyle name="Note 4 3 3 2 3 23" xfId="8582" xr:uid="{00000000-0005-0000-0000-0000A4560000}"/>
    <cellStyle name="Note 4 3 3 2 3 24" xfId="8573" xr:uid="{00000000-0005-0000-0000-0000A5560000}"/>
    <cellStyle name="Note 4 3 3 2 3 25" xfId="15388" xr:uid="{00000000-0005-0000-0000-0000A6560000}"/>
    <cellStyle name="Note 4 3 3 2 3 26" xfId="28408" xr:uid="{00000000-0005-0000-0000-0000A7560000}"/>
    <cellStyle name="Note 4 3 3 2 3 27" xfId="12393" xr:uid="{00000000-0005-0000-0000-0000A8560000}"/>
    <cellStyle name="Note 4 3 3 2 3 28" xfId="39639" xr:uid="{00000000-0005-0000-0000-0000A9560000}"/>
    <cellStyle name="Note 4 3 3 2 3 29" xfId="39977" xr:uid="{00000000-0005-0000-0000-0000AA560000}"/>
    <cellStyle name="Note 4 3 3 2 3 3" xfId="615" xr:uid="{00000000-0005-0000-0000-0000AB560000}"/>
    <cellStyle name="Note 4 3 3 2 3 3 10" xfId="22006" xr:uid="{00000000-0005-0000-0000-0000AC560000}"/>
    <cellStyle name="Note 4 3 3 2 3 3 11" xfId="28242" xr:uid="{00000000-0005-0000-0000-0000AD560000}"/>
    <cellStyle name="Note 4 3 3 2 3 3 12" xfId="31439" xr:uid="{00000000-0005-0000-0000-0000AE560000}"/>
    <cellStyle name="Note 4 3 3 2 3 3 13" xfId="14927" xr:uid="{00000000-0005-0000-0000-0000AF560000}"/>
    <cellStyle name="Note 4 3 3 2 3 3 14" xfId="39710" xr:uid="{00000000-0005-0000-0000-0000B0560000}"/>
    <cellStyle name="Note 4 3 3 2 3 3 15" xfId="41131" xr:uid="{00000000-0005-0000-0000-0000B1560000}"/>
    <cellStyle name="Note 4 3 3 2 3 3 2" xfId="995" xr:uid="{00000000-0005-0000-0000-0000B2560000}"/>
    <cellStyle name="Note 4 3 3 2 3 3 2 10" xfId="28606" xr:uid="{00000000-0005-0000-0000-0000B3560000}"/>
    <cellStyle name="Note 4 3 3 2 3 3 2 11" xfId="32294" xr:uid="{00000000-0005-0000-0000-0000B4560000}"/>
    <cellStyle name="Note 4 3 3 2 3 3 2 12" xfId="36053" xr:uid="{00000000-0005-0000-0000-0000B5560000}"/>
    <cellStyle name="Note 4 3 3 2 3 3 2 13" xfId="40058" xr:uid="{00000000-0005-0000-0000-0000B6560000}"/>
    <cellStyle name="Note 4 3 3 2 3 3 2 14" xfId="43879" xr:uid="{00000000-0005-0000-0000-0000B7560000}"/>
    <cellStyle name="Note 4 3 3 2 3 3 2 2" xfId="1724" xr:uid="{00000000-0005-0000-0000-0000B8560000}"/>
    <cellStyle name="Note 4 3 3 2 3 3 2 2 10" xfId="33011" xr:uid="{00000000-0005-0000-0000-0000B9560000}"/>
    <cellStyle name="Note 4 3 3 2 3 3 2 2 11" xfId="36781" xr:uid="{00000000-0005-0000-0000-0000BA560000}"/>
    <cellStyle name="Note 4 3 3 2 3 3 2 2 12" xfId="40772" xr:uid="{00000000-0005-0000-0000-0000BB560000}"/>
    <cellStyle name="Note 4 3 3 2 3 3 2 2 13" xfId="44603" xr:uid="{00000000-0005-0000-0000-0000BC560000}"/>
    <cellStyle name="Note 4 3 3 2 3 3 2 2 2" xfId="3714" xr:uid="{00000000-0005-0000-0000-0000BD560000}"/>
    <cellStyle name="Note 4 3 3 2 3 3 2 2 2 10" xfId="38765" xr:uid="{00000000-0005-0000-0000-0000BE560000}"/>
    <cellStyle name="Note 4 3 3 2 3 3 2 2 2 11" xfId="42776" xr:uid="{00000000-0005-0000-0000-0000BF560000}"/>
    <cellStyle name="Note 4 3 3 2 3 3 2 2 2 12" xfId="46541" xr:uid="{00000000-0005-0000-0000-0000C0560000}"/>
    <cellStyle name="Note 4 3 3 2 3 3 2 2 2 2" xfId="7581" xr:uid="{00000000-0005-0000-0000-0000C1560000}"/>
    <cellStyle name="Note 4 3 3 2 3 3 2 2 2 3" xfId="12016" xr:uid="{00000000-0005-0000-0000-0000C2560000}"/>
    <cellStyle name="Note 4 3 3 2 3 3 2 2 2 4" xfId="15861" xr:uid="{00000000-0005-0000-0000-0000C3560000}"/>
    <cellStyle name="Note 4 3 3 2 3 3 2 2 2 5" xfId="19708" xr:uid="{00000000-0005-0000-0000-0000C4560000}"/>
    <cellStyle name="Note 4 3 3 2 3 3 2 2 2 6" xfId="23624" xr:uid="{00000000-0005-0000-0000-0000C5560000}"/>
    <cellStyle name="Note 4 3 3 2 3 3 2 2 2 7" xfId="27458" xr:uid="{00000000-0005-0000-0000-0000C6560000}"/>
    <cellStyle name="Note 4 3 3 2 3 3 2 2 2 8" xfId="31322" xr:uid="{00000000-0005-0000-0000-0000C7560000}"/>
    <cellStyle name="Note 4 3 3 2 3 3 2 2 2 9" xfId="34979" xr:uid="{00000000-0005-0000-0000-0000C8560000}"/>
    <cellStyle name="Note 4 3 3 2 3 3 2 2 3" xfId="5657" xr:uid="{00000000-0005-0000-0000-0000C9560000}"/>
    <cellStyle name="Note 4 3 3 2 3 3 2 2 4" xfId="10015" xr:uid="{00000000-0005-0000-0000-0000CA560000}"/>
    <cellStyle name="Note 4 3 3 2 3 3 2 2 5" xfId="13861" xr:uid="{00000000-0005-0000-0000-0000CB560000}"/>
    <cellStyle name="Note 4 3 3 2 3 3 2 2 6" xfId="17690" xr:uid="{00000000-0005-0000-0000-0000CC560000}"/>
    <cellStyle name="Note 4 3 3 2 3 3 2 2 7" xfId="21629" xr:uid="{00000000-0005-0000-0000-0000CD560000}"/>
    <cellStyle name="Note 4 3 3 2 3 3 2 2 8" xfId="25442" xr:uid="{00000000-0005-0000-0000-0000CE560000}"/>
    <cellStyle name="Note 4 3 3 2 3 3 2 2 9" xfId="29329" xr:uid="{00000000-0005-0000-0000-0000CF560000}"/>
    <cellStyle name="Note 4 3 3 2 3 3 2 3" xfId="2985" xr:uid="{00000000-0005-0000-0000-0000D0560000}"/>
    <cellStyle name="Note 4 3 3 2 3 3 2 3 10" xfId="38037" xr:uid="{00000000-0005-0000-0000-0000D1560000}"/>
    <cellStyle name="Note 4 3 3 2 3 3 2 3 11" xfId="42049" xr:uid="{00000000-0005-0000-0000-0000D2560000}"/>
    <cellStyle name="Note 4 3 3 2 3 3 2 3 12" xfId="45824" xr:uid="{00000000-0005-0000-0000-0000D3560000}"/>
    <cellStyle name="Note 4 3 3 2 3 3 2 3 2" xfId="6863" xr:uid="{00000000-0005-0000-0000-0000D4560000}"/>
    <cellStyle name="Note 4 3 3 2 3 3 2 3 3" xfId="11291" xr:uid="{00000000-0005-0000-0000-0000D5560000}"/>
    <cellStyle name="Note 4 3 3 2 3 3 2 3 4" xfId="15136" xr:uid="{00000000-0005-0000-0000-0000D6560000}"/>
    <cellStyle name="Note 4 3 3 2 3 3 2 3 5" xfId="18979" xr:uid="{00000000-0005-0000-0000-0000D7560000}"/>
    <cellStyle name="Note 4 3 3 2 3 3 2 3 6" xfId="22903" xr:uid="{00000000-0005-0000-0000-0000D8560000}"/>
    <cellStyle name="Note 4 3 3 2 3 3 2 3 7" xfId="26730" xr:uid="{00000000-0005-0000-0000-0000D9560000}"/>
    <cellStyle name="Note 4 3 3 2 3 3 2 3 8" xfId="30604" xr:uid="{00000000-0005-0000-0000-0000DA560000}"/>
    <cellStyle name="Note 4 3 3 2 3 3 2 3 9" xfId="34262" xr:uid="{00000000-0005-0000-0000-0000DB560000}"/>
    <cellStyle name="Note 4 3 3 2 3 3 2 4" xfId="4939" xr:uid="{00000000-0005-0000-0000-0000DC560000}"/>
    <cellStyle name="Note 4 3 3 2 3 3 2 5" xfId="9294" xr:uid="{00000000-0005-0000-0000-0000DD560000}"/>
    <cellStyle name="Note 4 3 3 2 3 3 2 6" xfId="13135" xr:uid="{00000000-0005-0000-0000-0000DE560000}"/>
    <cellStyle name="Note 4 3 3 2 3 3 2 7" xfId="16961" xr:uid="{00000000-0005-0000-0000-0000DF560000}"/>
    <cellStyle name="Note 4 3 3 2 3 3 2 8" xfId="20903" xr:uid="{00000000-0005-0000-0000-0000E0560000}"/>
    <cellStyle name="Note 4 3 3 2 3 3 2 9" xfId="24718" xr:uid="{00000000-0005-0000-0000-0000E1560000}"/>
    <cellStyle name="Note 4 3 3 2 3 3 3" xfId="1371" xr:uid="{00000000-0005-0000-0000-0000E2560000}"/>
    <cellStyle name="Note 4 3 3 2 3 3 3 10" xfId="32658" xr:uid="{00000000-0005-0000-0000-0000E3560000}"/>
    <cellStyle name="Note 4 3 3 2 3 3 3 11" xfId="36428" xr:uid="{00000000-0005-0000-0000-0000E4560000}"/>
    <cellStyle name="Note 4 3 3 2 3 3 3 12" xfId="40419" xr:uid="{00000000-0005-0000-0000-0000E5560000}"/>
    <cellStyle name="Note 4 3 3 2 3 3 3 13" xfId="44250" xr:uid="{00000000-0005-0000-0000-0000E6560000}"/>
    <cellStyle name="Note 4 3 3 2 3 3 3 2" xfId="3361" xr:uid="{00000000-0005-0000-0000-0000E7560000}"/>
    <cellStyle name="Note 4 3 3 2 3 3 3 2 10" xfId="38412" xr:uid="{00000000-0005-0000-0000-0000E8560000}"/>
    <cellStyle name="Note 4 3 3 2 3 3 3 2 11" xfId="42423" xr:uid="{00000000-0005-0000-0000-0000E9560000}"/>
    <cellStyle name="Note 4 3 3 2 3 3 3 2 12" xfId="46188" xr:uid="{00000000-0005-0000-0000-0000EA560000}"/>
    <cellStyle name="Note 4 3 3 2 3 3 3 2 2" xfId="7228" xr:uid="{00000000-0005-0000-0000-0000EB560000}"/>
    <cellStyle name="Note 4 3 3 2 3 3 3 2 3" xfId="11663" xr:uid="{00000000-0005-0000-0000-0000EC560000}"/>
    <cellStyle name="Note 4 3 3 2 3 3 3 2 4" xfId="15508" xr:uid="{00000000-0005-0000-0000-0000ED560000}"/>
    <cellStyle name="Note 4 3 3 2 3 3 3 2 5" xfId="19355" xr:uid="{00000000-0005-0000-0000-0000EE560000}"/>
    <cellStyle name="Note 4 3 3 2 3 3 3 2 6" xfId="23271" xr:uid="{00000000-0005-0000-0000-0000EF560000}"/>
    <cellStyle name="Note 4 3 3 2 3 3 3 2 7" xfId="27105" xr:uid="{00000000-0005-0000-0000-0000F0560000}"/>
    <cellStyle name="Note 4 3 3 2 3 3 3 2 8" xfId="30973" xr:uid="{00000000-0005-0000-0000-0000F1560000}"/>
    <cellStyle name="Note 4 3 3 2 3 3 3 2 9" xfId="34626" xr:uid="{00000000-0005-0000-0000-0000F2560000}"/>
    <cellStyle name="Note 4 3 3 2 3 3 3 3" xfId="5304" xr:uid="{00000000-0005-0000-0000-0000F3560000}"/>
    <cellStyle name="Note 4 3 3 2 3 3 3 4" xfId="9662" xr:uid="{00000000-0005-0000-0000-0000F4560000}"/>
    <cellStyle name="Note 4 3 3 2 3 3 3 5" xfId="13508" xr:uid="{00000000-0005-0000-0000-0000F5560000}"/>
    <cellStyle name="Note 4 3 3 2 3 3 3 6" xfId="17337" xr:uid="{00000000-0005-0000-0000-0000F6560000}"/>
    <cellStyle name="Note 4 3 3 2 3 3 3 7" xfId="21276" xr:uid="{00000000-0005-0000-0000-0000F7560000}"/>
    <cellStyle name="Note 4 3 3 2 3 3 3 8" xfId="25089" xr:uid="{00000000-0005-0000-0000-0000F8560000}"/>
    <cellStyle name="Note 4 3 3 2 3 3 3 9" xfId="28976" xr:uid="{00000000-0005-0000-0000-0000F9560000}"/>
    <cellStyle name="Note 4 3 3 2 3 3 4" xfId="2618" xr:uid="{00000000-0005-0000-0000-0000FA560000}"/>
    <cellStyle name="Note 4 3 3 2 3 3 4 10" xfId="37670" xr:uid="{00000000-0005-0000-0000-0000FB560000}"/>
    <cellStyle name="Note 4 3 3 2 3 3 4 11" xfId="41684" xr:uid="{00000000-0005-0000-0000-0000FC560000}"/>
    <cellStyle name="Note 4 3 3 2 3 3 4 12" xfId="45471" xr:uid="{00000000-0005-0000-0000-0000FD560000}"/>
    <cellStyle name="Note 4 3 3 2 3 3 4 2" xfId="6508" xr:uid="{00000000-0005-0000-0000-0000FE560000}"/>
    <cellStyle name="Note 4 3 3 2 3 3 4 3" xfId="10932" xr:uid="{00000000-0005-0000-0000-0000FF560000}"/>
    <cellStyle name="Note 4 3 3 2 3 3 4 4" xfId="14776" xr:uid="{00000000-0005-0000-0000-000000570000}"/>
    <cellStyle name="Note 4 3 3 2 3 3 4 5" xfId="18612" xr:uid="{00000000-0005-0000-0000-000001570000}"/>
    <cellStyle name="Note 4 3 3 2 3 3 4 6" xfId="22545" xr:uid="{00000000-0005-0000-0000-000002570000}"/>
    <cellStyle name="Note 4 3 3 2 3 3 4 7" xfId="26363" xr:uid="{00000000-0005-0000-0000-000003570000}"/>
    <cellStyle name="Note 4 3 3 2 3 3 4 8" xfId="30242" xr:uid="{00000000-0005-0000-0000-000004570000}"/>
    <cellStyle name="Note 4 3 3 2 3 3 4 9" xfId="33909" xr:uid="{00000000-0005-0000-0000-000005570000}"/>
    <cellStyle name="Note 4 3 3 2 3 3 5" xfId="4584" xr:uid="{00000000-0005-0000-0000-000006570000}"/>
    <cellStyle name="Note 4 3 3 2 3 3 6" xfId="8924" xr:uid="{00000000-0005-0000-0000-000007570000}"/>
    <cellStyle name="Note 4 3 3 2 3 3 7" xfId="8694" xr:uid="{00000000-0005-0000-0000-000008570000}"/>
    <cellStyle name="Note 4 3 3 2 3 3 8" xfId="8484" xr:uid="{00000000-0005-0000-0000-000009570000}"/>
    <cellStyle name="Note 4 3 3 2 3 3 9" xfId="20528" xr:uid="{00000000-0005-0000-0000-00000A570000}"/>
    <cellStyle name="Note 4 3 3 2 3 30" xfId="47351" xr:uid="{00000000-0005-0000-0000-00000B570000}"/>
    <cellStyle name="Note 4 3 3 2 3 31" xfId="47439" xr:uid="{00000000-0005-0000-0000-00000C570000}"/>
    <cellStyle name="Note 4 3 3 2 3 32" xfId="47486" xr:uid="{00000000-0005-0000-0000-00000D570000}"/>
    <cellStyle name="Note 4 3 3 2 3 4" xfId="727" xr:uid="{00000000-0005-0000-0000-00000E570000}"/>
    <cellStyle name="Note 4 3 3 2 3 4 10" xfId="24460" xr:uid="{00000000-0005-0000-0000-00000F570000}"/>
    <cellStyle name="Note 4 3 3 2 3 4 11" xfId="28353" xr:uid="{00000000-0005-0000-0000-000010570000}"/>
    <cellStyle name="Note 4 3 3 2 3 4 12" xfId="8507" xr:uid="{00000000-0005-0000-0000-000011570000}"/>
    <cellStyle name="Note 4 3 3 2 3 4 13" xfId="35798" xr:uid="{00000000-0005-0000-0000-000012570000}"/>
    <cellStyle name="Note 4 3 3 2 3 4 14" xfId="39819" xr:uid="{00000000-0005-0000-0000-000013570000}"/>
    <cellStyle name="Note 4 3 3 2 3 4 15" xfId="43624" xr:uid="{00000000-0005-0000-0000-000014570000}"/>
    <cellStyle name="Note 4 3 3 2 3 4 2" xfId="1106" xr:uid="{00000000-0005-0000-0000-000015570000}"/>
    <cellStyle name="Note 4 3 3 2 3 4 2 10" xfId="28716" xr:uid="{00000000-0005-0000-0000-000016570000}"/>
    <cellStyle name="Note 4 3 3 2 3 4 2 11" xfId="32403" xr:uid="{00000000-0005-0000-0000-000017570000}"/>
    <cellStyle name="Note 4 3 3 2 3 4 2 12" xfId="36164" xr:uid="{00000000-0005-0000-0000-000018570000}"/>
    <cellStyle name="Note 4 3 3 2 3 4 2 13" xfId="40166" xr:uid="{00000000-0005-0000-0000-000019570000}"/>
    <cellStyle name="Note 4 3 3 2 3 4 2 14" xfId="43990" xr:uid="{00000000-0005-0000-0000-00001A570000}"/>
    <cellStyle name="Note 4 3 3 2 3 4 2 2" xfId="1833" xr:uid="{00000000-0005-0000-0000-00001B570000}"/>
    <cellStyle name="Note 4 3 3 2 3 4 2 2 10" xfId="33120" xr:uid="{00000000-0005-0000-0000-00001C570000}"/>
    <cellStyle name="Note 4 3 3 2 3 4 2 2 11" xfId="36890" xr:uid="{00000000-0005-0000-0000-00001D570000}"/>
    <cellStyle name="Note 4 3 3 2 3 4 2 2 12" xfId="40881" xr:uid="{00000000-0005-0000-0000-00001E570000}"/>
    <cellStyle name="Note 4 3 3 2 3 4 2 2 13" xfId="44712" xr:uid="{00000000-0005-0000-0000-00001F570000}"/>
    <cellStyle name="Note 4 3 3 2 3 4 2 2 2" xfId="3823" xr:uid="{00000000-0005-0000-0000-000020570000}"/>
    <cellStyle name="Note 4 3 3 2 3 4 2 2 2 10" xfId="38874" xr:uid="{00000000-0005-0000-0000-000021570000}"/>
    <cellStyle name="Note 4 3 3 2 3 4 2 2 2 11" xfId="42885" xr:uid="{00000000-0005-0000-0000-000022570000}"/>
    <cellStyle name="Note 4 3 3 2 3 4 2 2 2 12" xfId="46650" xr:uid="{00000000-0005-0000-0000-000023570000}"/>
    <cellStyle name="Note 4 3 3 2 3 4 2 2 2 2" xfId="7690" xr:uid="{00000000-0005-0000-0000-000024570000}"/>
    <cellStyle name="Note 4 3 3 2 3 4 2 2 2 3" xfId="12125" xr:uid="{00000000-0005-0000-0000-000025570000}"/>
    <cellStyle name="Note 4 3 3 2 3 4 2 2 2 4" xfId="15970" xr:uid="{00000000-0005-0000-0000-000026570000}"/>
    <cellStyle name="Note 4 3 3 2 3 4 2 2 2 5" xfId="19817" xr:uid="{00000000-0005-0000-0000-000027570000}"/>
    <cellStyle name="Note 4 3 3 2 3 4 2 2 2 6" xfId="23733" xr:uid="{00000000-0005-0000-0000-000028570000}"/>
    <cellStyle name="Note 4 3 3 2 3 4 2 2 2 7" xfId="27567" xr:uid="{00000000-0005-0000-0000-000029570000}"/>
    <cellStyle name="Note 4 3 3 2 3 4 2 2 2 8" xfId="31431" xr:uid="{00000000-0005-0000-0000-00002A570000}"/>
    <cellStyle name="Note 4 3 3 2 3 4 2 2 2 9" xfId="35088" xr:uid="{00000000-0005-0000-0000-00002B570000}"/>
    <cellStyle name="Note 4 3 3 2 3 4 2 2 3" xfId="5766" xr:uid="{00000000-0005-0000-0000-00002C570000}"/>
    <cellStyle name="Note 4 3 3 2 3 4 2 2 4" xfId="10124" xr:uid="{00000000-0005-0000-0000-00002D570000}"/>
    <cellStyle name="Note 4 3 3 2 3 4 2 2 5" xfId="13970" xr:uid="{00000000-0005-0000-0000-00002E570000}"/>
    <cellStyle name="Note 4 3 3 2 3 4 2 2 6" xfId="17799" xr:uid="{00000000-0005-0000-0000-00002F570000}"/>
    <cellStyle name="Note 4 3 3 2 3 4 2 2 7" xfId="21738" xr:uid="{00000000-0005-0000-0000-000030570000}"/>
    <cellStyle name="Note 4 3 3 2 3 4 2 2 8" xfId="25551" xr:uid="{00000000-0005-0000-0000-000031570000}"/>
    <cellStyle name="Note 4 3 3 2 3 4 2 2 9" xfId="29438" xr:uid="{00000000-0005-0000-0000-000032570000}"/>
    <cellStyle name="Note 4 3 3 2 3 4 2 3" xfId="3096" xr:uid="{00000000-0005-0000-0000-000033570000}"/>
    <cellStyle name="Note 4 3 3 2 3 4 2 3 10" xfId="38148" xr:uid="{00000000-0005-0000-0000-000034570000}"/>
    <cellStyle name="Note 4 3 3 2 3 4 2 3 11" xfId="42160" xr:uid="{00000000-0005-0000-0000-000035570000}"/>
    <cellStyle name="Note 4 3 3 2 3 4 2 3 12" xfId="45933" xr:uid="{00000000-0005-0000-0000-000036570000}"/>
    <cellStyle name="Note 4 3 3 2 3 4 2 3 2" xfId="6972" xr:uid="{00000000-0005-0000-0000-000037570000}"/>
    <cellStyle name="Note 4 3 3 2 3 4 2 3 3" xfId="11401" xr:uid="{00000000-0005-0000-0000-000038570000}"/>
    <cellStyle name="Note 4 3 3 2 3 4 2 3 4" xfId="15245" xr:uid="{00000000-0005-0000-0000-000039570000}"/>
    <cellStyle name="Note 4 3 3 2 3 4 2 3 5" xfId="19090" xr:uid="{00000000-0005-0000-0000-00003A570000}"/>
    <cellStyle name="Note 4 3 3 2 3 4 2 3 6" xfId="23012" xr:uid="{00000000-0005-0000-0000-00003B570000}"/>
    <cellStyle name="Note 4 3 3 2 3 4 2 3 7" xfId="26841" xr:uid="{00000000-0005-0000-0000-00003C570000}"/>
    <cellStyle name="Note 4 3 3 2 3 4 2 3 8" xfId="30714" xr:uid="{00000000-0005-0000-0000-00003D570000}"/>
    <cellStyle name="Note 4 3 3 2 3 4 2 3 9" xfId="34371" xr:uid="{00000000-0005-0000-0000-00003E570000}"/>
    <cellStyle name="Note 4 3 3 2 3 4 2 4" xfId="5048" xr:uid="{00000000-0005-0000-0000-00003F570000}"/>
    <cellStyle name="Note 4 3 3 2 3 4 2 5" xfId="9404" xr:uid="{00000000-0005-0000-0000-000040570000}"/>
    <cellStyle name="Note 4 3 3 2 3 4 2 6" xfId="13244" xr:uid="{00000000-0005-0000-0000-000041570000}"/>
    <cellStyle name="Note 4 3 3 2 3 4 2 7" xfId="17072" xr:uid="{00000000-0005-0000-0000-000042570000}"/>
    <cellStyle name="Note 4 3 3 2 3 4 2 8" xfId="21014" xr:uid="{00000000-0005-0000-0000-000043570000}"/>
    <cellStyle name="Note 4 3 3 2 3 4 2 9" xfId="24828" xr:uid="{00000000-0005-0000-0000-000044570000}"/>
    <cellStyle name="Note 4 3 3 2 3 4 3" xfId="1480" xr:uid="{00000000-0005-0000-0000-000045570000}"/>
    <cellStyle name="Note 4 3 3 2 3 4 3 10" xfId="32767" xr:uid="{00000000-0005-0000-0000-000046570000}"/>
    <cellStyle name="Note 4 3 3 2 3 4 3 11" xfId="36537" xr:uid="{00000000-0005-0000-0000-000047570000}"/>
    <cellStyle name="Note 4 3 3 2 3 4 3 12" xfId="40528" xr:uid="{00000000-0005-0000-0000-000048570000}"/>
    <cellStyle name="Note 4 3 3 2 3 4 3 13" xfId="44359" xr:uid="{00000000-0005-0000-0000-000049570000}"/>
    <cellStyle name="Note 4 3 3 2 3 4 3 2" xfId="3470" xr:uid="{00000000-0005-0000-0000-00004A570000}"/>
    <cellStyle name="Note 4 3 3 2 3 4 3 2 10" xfId="38521" xr:uid="{00000000-0005-0000-0000-00004B570000}"/>
    <cellStyle name="Note 4 3 3 2 3 4 3 2 11" xfId="42532" xr:uid="{00000000-0005-0000-0000-00004C570000}"/>
    <cellStyle name="Note 4 3 3 2 3 4 3 2 12" xfId="46297" xr:uid="{00000000-0005-0000-0000-00004D570000}"/>
    <cellStyle name="Note 4 3 3 2 3 4 3 2 2" xfId="7337" xr:uid="{00000000-0005-0000-0000-00004E570000}"/>
    <cellStyle name="Note 4 3 3 2 3 4 3 2 3" xfId="11772" xr:uid="{00000000-0005-0000-0000-00004F570000}"/>
    <cellStyle name="Note 4 3 3 2 3 4 3 2 4" xfId="15617" xr:uid="{00000000-0005-0000-0000-000050570000}"/>
    <cellStyle name="Note 4 3 3 2 3 4 3 2 5" xfId="19464" xr:uid="{00000000-0005-0000-0000-000051570000}"/>
    <cellStyle name="Note 4 3 3 2 3 4 3 2 6" xfId="23380" xr:uid="{00000000-0005-0000-0000-000052570000}"/>
    <cellStyle name="Note 4 3 3 2 3 4 3 2 7" xfId="27214" xr:uid="{00000000-0005-0000-0000-000053570000}"/>
    <cellStyle name="Note 4 3 3 2 3 4 3 2 8" xfId="31081" xr:uid="{00000000-0005-0000-0000-000054570000}"/>
    <cellStyle name="Note 4 3 3 2 3 4 3 2 9" xfId="34735" xr:uid="{00000000-0005-0000-0000-000055570000}"/>
    <cellStyle name="Note 4 3 3 2 3 4 3 3" xfId="5413" xr:uid="{00000000-0005-0000-0000-000056570000}"/>
    <cellStyle name="Note 4 3 3 2 3 4 3 4" xfId="9771" xr:uid="{00000000-0005-0000-0000-000057570000}"/>
    <cellStyle name="Note 4 3 3 2 3 4 3 5" xfId="13617" xr:uid="{00000000-0005-0000-0000-000058570000}"/>
    <cellStyle name="Note 4 3 3 2 3 4 3 6" xfId="17446" xr:uid="{00000000-0005-0000-0000-000059570000}"/>
    <cellStyle name="Note 4 3 3 2 3 4 3 7" xfId="21385" xr:uid="{00000000-0005-0000-0000-00005A570000}"/>
    <cellStyle name="Note 4 3 3 2 3 4 3 8" xfId="25198" xr:uid="{00000000-0005-0000-0000-00005B570000}"/>
    <cellStyle name="Note 4 3 3 2 3 4 3 9" xfId="29085" xr:uid="{00000000-0005-0000-0000-00005C570000}"/>
    <cellStyle name="Note 4 3 3 2 3 4 4" xfId="2730" xr:uid="{00000000-0005-0000-0000-00005D570000}"/>
    <cellStyle name="Note 4 3 3 2 3 4 4 10" xfId="37782" xr:uid="{00000000-0005-0000-0000-00005E570000}"/>
    <cellStyle name="Note 4 3 3 2 3 4 4 11" xfId="41796" xr:uid="{00000000-0005-0000-0000-00005F570000}"/>
    <cellStyle name="Note 4 3 3 2 3 4 4 12" xfId="45580" xr:uid="{00000000-0005-0000-0000-000060570000}"/>
    <cellStyle name="Note 4 3 3 2 3 4 4 2" xfId="6617" xr:uid="{00000000-0005-0000-0000-000061570000}"/>
    <cellStyle name="Note 4 3 3 2 3 4 4 3" xfId="11041" xr:uid="{00000000-0005-0000-0000-000062570000}"/>
    <cellStyle name="Note 4 3 3 2 3 4 4 4" xfId="14886" xr:uid="{00000000-0005-0000-0000-000063570000}"/>
    <cellStyle name="Note 4 3 3 2 3 4 4 5" xfId="18724" xr:uid="{00000000-0005-0000-0000-000064570000}"/>
    <cellStyle name="Note 4 3 3 2 3 4 4 6" xfId="22655" xr:uid="{00000000-0005-0000-0000-000065570000}"/>
    <cellStyle name="Note 4 3 3 2 3 4 4 7" xfId="26475" xr:uid="{00000000-0005-0000-0000-000066570000}"/>
    <cellStyle name="Note 4 3 3 2 3 4 4 8" xfId="30354" xr:uid="{00000000-0005-0000-0000-000067570000}"/>
    <cellStyle name="Note 4 3 3 2 3 4 4 9" xfId="34018" xr:uid="{00000000-0005-0000-0000-000068570000}"/>
    <cellStyle name="Note 4 3 3 2 3 4 5" xfId="4693" xr:uid="{00000000-0005-0000-0000-000069570000}"/>
    <cellStyle name="Note 4 3 3 2 3 4 6" xfId="9035" xr:uid="{00000000-0005-0000-0000-00006A570000}"/>
    <cellStyle name="Note 4 3 3 2 3 4 7" xfId="12873" xr:uid="{00000000-0005-0000-0000-00006B570000}"/>
    <cellStyle name="Note 4 3 3 2 3 4 8" xfId="16703" xr:uid="{00000000-0005-0000-0000-00006C570000}"/>
    <cellStyle name="Note 4 3 3 2 3 4 9" xfId="20640" xr:uid="{00000000-0005-0000-0000-00006D570000}"/>
    <cellStyle name="Note 4 3 3 2 3 5" xfId="876" xr:uid="{00000000-0005-0000-0000-00006E570000}"/>
    <cellStyle name="Note 4 3 3 2 3 5 10" xfId="24600" xr:uid="{00000000-0005-0000-0000-00006F570000}"/>
    <cellStyle name="Note 4 3 3 2 3 5 11" xfId="28490" xr:uid="{00000000-0005-0000-0000-000070570000}"/>
    <cellStyle name="Note 4 3 3 2 3 5 12" xfId="32177" xr:uid="{00000000-0005-0000-0000-000071570000}"/>
    <cellStyle name="Note 4 3 3 2 3 5 13" xfId="35934" xr:uid="{00000000-0005-0000-0000-000072570000}"/>
    <cellStyle name="Note 4 3 3 2 3 5 14" xfId="39944" xr:uid="{00000000-0005-0000-0000-000073570000}"/>
    <cellStyle name="Note 4 3 3 2 3 5 15" xfId="43760" xr:uid="{00000000-0005-0000-0000-000074570000}"/>
    <cellStyle name="Note 4 3 3 2 3 5 2" xfId="1213" xr:uid="{00000000-0005-0000-0000-000075570000}"/>
    <cellStyle name="Note 4 3 3 2 3 5 2 10" xfId="28821" xr:uid="{00000000-0005-0000-0000-000076570000}"/>
    <cellStyle name="Note 4 3 3 2 3 5 2 11" xfId="32505" xr:uid="{00000000-0005-0000-0000-000077570000}"/>
    <cellStyle name="Note 4 3 3 2 3 5 2 12" xfId="36271" xr:uid="{00000000-0005-0000-0000-000078570000}"/>
    <cellStyle name="Note 4 3 3 2 3 5 2 13" xfId="40264" xr:uid="{00000000-0005-0000-0000-000079570000}"/>
    <cellStyle name="Note 4 3 3 2 3 5 2 14" xfId="44097" xr:uid="{00000000-0005-0000-0000-00007A570000}"/>
    <cellStyle name="Note 4 3 3 2 3 5 2 2" xfId="1935" xr:uid="{00000000-0005-0000-0000-00007B570000}"/>
    <cellStyle name="Note 4 3 3 2 3 5 2 2 10" xfId="33222" xr:uid="{00000000-0005-0000-0000-00007C570000}"/>
    <cellStyle name="Note 4 3 3 2 3 5 2 2 11" xfId="36992" xr:uid="{00000000-0005-0000-0000-00007D570000}"/>
    <cellStyle name="Note 4 3 3 2 3 5 2 2 12" xfId="40983" xr:uid="{00000000-0005-0000-0000-00007E570000}"/>
    <cellStyle name="Note 4 3 3 2 3 5 2 2 13" xfId="44814" xr:uid="{00000000-0005-0000-0000-00007F570000}"/>
    <cellStyle name="Note 4 3 3 2 3 5 2 2 2" xfId="3925" xr:uid="{00000000-0005-0000-0000-000080570000}"/>
    <cellStyle name="Note 4 3 3 2 3 5 2 2 2 10" xfId="38976" xr:uid="{00000000-0005-0000-0000-000081570000}"/>
    <cellStyle name="Note 4 3 3 2 3 5 2 2 2 11" xfId="42987" xr:uid="{00000000-0005-0000-0000-000082570000}"/>
    <cellStyle name="Note 4 3 3 2 3 5 2 2 2 12" xfId="46752" xr:uid="{00000000-0005-0000-0000-000083570000}"/>
    <cellStyle name="Note 4 3 3 2 3 5 2 2 2 2" xfId="7792" xr:uid="{00000000-0005-0000-0000-000084570000}"/>
    <cellStyle name="Note 4 3 3 2 3 5 2 2 2 3" xfId="12227" xr:uid="{00000000-0005-0000-0000-000085570000}"/>
    <cellStyle name="Note 4 3 3 2 3 5 2 2 2 4" xfId="16072" xr:uid="{00000000-0005-0000-0000-000086570000}"/>
    <cellStyle name="Note 4 3 3 2 3 5 2 2 2 5" xfId="19919" xr:uid="{00000000-0005-0000-0000-000087570000}"/>
    <cellStyle name="Note 4 3 3 2 3 5 2 2 2 6" xfId="23835" xr:uid="{00000000-0005-0000-0000-000088570000}"/>
    <cellStyle name="Note 4 3 3 2 3 5 2 2 2 7" xfId="27669" xr:uid="{00000000-0005-0000-0000-000089570000}"/>
    <cellStyle name="Note 4 3 3 2 3 5 2 2 2 8" xfId="31530" xr:uid="{00000000-0005-0000-0000-00008A570000}"/>
    <cellStyle name="Note 4 3 3 2 3 5 2 2 2 9" xfId="35190" xr:uid="{00000000-0005-0000-0000-00008B570000}"/>
    <cellStyle name="Note 4 3 3 2 3 5 2 2 3" xfId="5868" xr:uid="{00000000-0005-0000-0000-00008C570000}"/>
    <cellStyle name="Note 4 3 3 2 3 5 2 2 4" xfId="10226" xr:uid="{00000000-0005-0000-0000-00008D570000}"/>
    <cellStyle name="Note 4 3 3 2 3 5 2 2 5" xfId="14072" xr:uid="{00000000-0005-0000-0000-00008E570000}"/>
    <cellStyle name="Note 4 3 3 2 3 5 2 2 6" xfId="17901" xr:uid="{00000000-0005-0000-0000-00008F570000}"/>
    <cellStyle name="Note 4 3 3 2 3 5 2 2 7" xfId="21840" xr:uid="{00000000-0005-0000-0000-000090570000}"/>
    <cellStyle name="Note 4 3 3 2 3 5 2 2 8" xfId="25653" xr:uid="{00000000-0005-0000-0000-000091570000}"/>
    <cellStyle name="Note 4 3 3 2 3 5 2 2 9" xfId="29540" xr:uid="{00000000-0005-0000-0000-000092570000}"/>
    <cellStyle name="Note 4 3 3 2 3 5 2 3" xfId="3203" xr:uid="{00000000-0005-0000-0000-000093570000}"/>
    <cellStyle name="Note 4 3 3 2 3 5 2 3 10" xfId="38255" xr:uid="{00000000-0005-0000-0000-000094570000}"/>
    <cellStyle name="Note 4 3 3 2 3 5 2 3 11" xfId="42266" xr:uid="{00000000-0005-0000-0000-000095570000}"/>
    <cellStyle name="Note 4 3 3 2 3 5 2 3 12" xfId="46035" xr:uid="{00000000-0005-0000-0000-000096570000}"/>
    <cellStyle name="Note 4 3 3 2 3 5 2 3 2" xfId="7075" xr:uid="{00000000-0005-0000-0000-000097570000}"/>
    <cellStyle name="Note 4 3 3 2 3 5 2 3 3" xfId="11507" xr:uid="{00000000-0005-0000-0000-000098570000}"/>
    <cellStyle name="Note 4 3 3 2 3 5 2 3 4" xfId="15351" xr:uid="{00000000-0005-0000-0000-000099570000}"/>
    <cellStyle name="Note 4 3 3 2 3 5 2 3 5" xfId="19197" xr:uid="{00000000-0005-0000-0000-00009A570000}"/>
    <cellStyle name="Note 4 3 3 2 3 5 2 3 6" xfId="23116" xr:uid="{00000000-0005-0000-0000-00009B570000}"/>
    <cellStyle name="Note 4 3 3 2 3 5 2 3 7" xfId="26948" xr:uid="{00000000-0005-0000-0000-00009C570000}"/>
    <cellStyle name="Note 4 3 3 2 3 5 2 3 8" xfId="30818" xr:uid="{00000000-0005-0000-0000-00009D570000}"/>
    <cellStyle name="Note 4 3 3 2 3 5 2 3 9" xfId="34473" xr:uid="{00000000-0005-0000-0000-00009E570000}"/>
    <cellStyle name="Note 4 3 3 2 3 5 2 4" xfId="5151" xr:uid="{00000000-0005-0000-0000-00009F570000}"/>
    <cellStyle name="Note 4 3 3 2 3 5 2 5" xfId="9507" xr:uid="{00000000-0005-0000-0000-0000A0570000}"/>
    <cellStyle name="Note 4 3 3 2 3 5 2 6" xfId="13351" xr:uid="{00000000-0005-0000-0000-0000A1570000}"/>
    <cellStyle name="Note 4 3 3 2 3 5 2 7" xfId="17179" xr:uid="{00000000-0005-0000-0000-0000A2570000}"/>
    <cellStyle name="Note 4 3 3 2 3 5 2 8" xfId="21121" xr:uid="{00000000-0005-0000-0000-0000A3570000}"/>
    <cellStyle name="Note 4 3 3 2 3 5 2 9" xfId="24932" xr:uid="{00000000-0005-0000-0000-0000A4570000}"/>
    <cellStyle name="Note 4 3 3 2 3 5 3" xfId="1607" xr:uid="{00000000-0005-0000-0000-0000A5570000}"/>
    <cellStyle name="Note 4 3 3 2 3 5 3 10" xfId="32894" xr:uid="{00000000-0005-0000-0000-0000A6570000}"/>
    <cellStyle name="Note 4 3 3 2 3 5 3 11" xfId="36664" xr:uid="{00000000-0005-0000-0000-0000A7570000}"/>
    <cellStyle name="Note 4 3 3 2 3 5 3 12" xfId="40655" xr:uid="{00000000-0005-0000-0000-0000A8570000}"/>
    <cellStyle name="Note 4 3 3 2 3 5 3 13" xfId="44486" xr:uid="{00000000-0005-0000-0000-0000A9570000}"/>
    <cellStyle name="Note 4 3 3 2 3 5 3 2" xfId="3597" xr:uid="{00000000-0005-0000-0000-0000AA570000}"/>
    <cellStyle name="Note 4 3 3 2 3 5 3 2 10" xfId="38648" xr:uid="{00000000-0005-0000-0000-0000AB570000}"/>
    <cellStyle name="Note 4 3 3 2 3 5 3 2 11" xfId="42659" xr:uid="{00000000-0005-0000-0000-0000AC570000}"/>
    <cellStyle name="Note 4 3 3 2 3 5 3 2 12" xfId="46424" xr:uid="{00000000-0005-0000-0000-0000AD570000}"/>
    <cellStyle name="Note 4 3 3 2 3 5 3 2 2" xfId="7464" xr:uid="{00000000-0005-0000-0000-0000AE570000}"/>
    <cellStyle name="Note 4 3 3 2 3 5 3 2 3" xfId="11899" xr:uid="{00000000-0005-0000-0000-0000AF570000}"/>
    <cellStyle name="Note 4 3 3 2 3 5 3 2 4" xfId="15744" xr:uid="{00000000-0005-0000-0000-0000B0570000}"/>
    <cellStyle name="Note 4 3 3 2 3 5 3 2 5" xfId="19591" xr:uid="{00000000-0005-0000-0000-0000B1570000}"/>
    <cellStyle name="Note 4 3 3 2 3 5 3 2 6" xfId="23507" xr:uid="{00000000-0005-0000-0000-0000B2570000}"/>
    <cellStyle name="Note 4 3 3 2 3 5 3 2 7" xfId="27341" xr:uid="{00000000-0005-0000-0000-0000B3570000}"/>
    <cellStyle name="Note 4 3 3 2 3 5 3 2 8" xfId="31206" xr:uid="{00000000-0005-0000-0000-0000B4570000}"/>
    <cellStyle name="Note 4 3 3 2 3 5 3 2 9" xfId="34862" xr:uid="{00000000-0005-0000-0000-0000B5570000}"/>
    <cellStyle name="Note 4 3 3 2 3 5 3 3" xfId="5540" xr:uid="{00000000-0005-0000-0000-0000B6570000}"/>
    <cellStyle name="Note 4 3 3 2 3 5 3 4" xfId="9898" xr:uid="{00000000-0005-0000-0000-0000B7570000}"/>
    <cellStyle name="Note 4 3 3 2 3 5 3 5" xfId="13744" xr:uid="{00000000-0005-0000-0000-0000B8570000}"/>
    <cellStyle name="Note 4 3 3 2 3 5 3 6" xfId="17573" xr:uid="{00000000-0005-0000-0000-0000B9570000}"/>
    <cellStyle name="Note 4 3 3 2 3 5 3 7" xfId="21512" xr:uid="{00000000-0005-0000-0000-0000BA570000}"/>
    <cellStyle name="Note 4 3 3 2 3 5 3 8" xfId="25325" xr:uid="{00000000-0005-0000-0000-0000BB570000}"/>
    <cellStyle name="Note 4 3 3 2 3 5 3 9" xfId="29212" xr:uid="{00000000-0005-0000-0000-0000BC570000}"/>
    <cellStyle name="Note 4 3 3 2 3 5 4" xfId="2866" xr:uid="{00000000-0005-0000-0000-0000BD570000}"/>
    <cellStyle name="Note 4 3 3 2 3 5 4 10" xfId="37918" xr:uid="{00000000-0005-0000-0000-0000BE570000}"/>
    <cellStyle name="Note 4 3 3 2 3 5 4 11" xfId="41930" xr:uid="{00000000-0005-0000-0000-0000BF570000}"/>
    <cellStyle name="Note 4 3 3 2 3 5 4 12" xfId="45707" xr:uid="{00000000-0005-0000-0000-0000C0570000}"/>
    <cellStyle name="Note 4 3 3 2 3 5 4 2" xfId="6746" xr:uid="{00000000-0005-0000-0000-0000C1570000}"/>
    <cellStyle name="Note 4 3 3 2 3 5 4 3" xfId="11173" xr:uid="{00000000-0005-0000-0000-0000C2570000}"/>
    <cellStyle name="Note 4 3 3 2 3 5 4 4" xfId="15018" xr:uid="{00000000-0005-0000-0000-0000C3570000}"/>
    <cellStyle name="Note 4 3 3 2 3 5 4 5" xfId="18860" xr:uid="{00000000-0005-0000-0000-0000C4570000}"/>
    <cellStyle name="Note 4 3 3 2 3 5 4 6" xfId="22786" xr:uid="{00000000-0005-0000-0000-0000C5570000}"/>
    <cellStyle name="Note 4 3 3 2 3 5 4 7" xfId="26611" xr:uid="{00000000-0005-0000-0000-0000C6570000}"/>
    <cellStyle name="Note 4 3 3 2 3 5 4 8" xfId="30487" xr:uid="{00000000-0005-0000-0000-0000C7570000}"/>
    <cellStyle name="Note 4 3 3 2 3 5 4 9" xfId="34145" xr:uid="{00000000-0005-0000-0000-0000C8570000}"/>
    <cellStyle name="Note 4 3 3 2 3 5 5" xfId="4822" xr:uid="{00000000-0005-0000-0000-0000C9570000}"/>
    <cellStyle name="Note 4 3 3 2 3 5 6" xfId="9176" xr:uid="{00000000-0005-0000-0000-0000CA570000}"/>
    <cellStyle name="Note 4 3 3 2 3 5 7" xfId="13017" xr:uid="{00000000-0005-0000-0000-0000CB570000}"/>
    <cellStyle name="Note 4 3 3 2 3 5 8" xfId="16842" xr:uid="{00000000-0005-0000-0000-0000CC570000}"/>
    <cellStyle name="Note 4 3 3 2 3 5 9" xfId="20784" xr:uid="{00000000-0005-0000-0000-0000CD570000}"/>
    <cellStyle name="Note 4 3 3 2 3 6" xfId="922" xr:uid="{00000000-0005-0000-0000-0000CE570000}"/>
    <cellStyle name="Note 4 3 3 2 3 6 10" xfId="28534" xr:uid="{00000000-0005-0000-0000-0000CF570000}"/>
    <cellStyle name="Note 4 3 3 2 3 6 11" xfId="32223" xr:uid="{00000000-0005-0000-0000-0000D0570000}"/>
    <cellStyle name="Note 4 3 3 2 3 6 12" xfId="35980" xr:uid="{00000000-0005-0000-0000-0000D1570000}"/>
    <cellStyle name="Note 4 3 3 2 3 6 13" xfId="39988" xr:uid="{00000000-0005-0000-0000-0000D2570000}"/>
    <cellStyle name="Note 4 3 3 2 3 6 14" xfId="43806" xr:uid="{00000000-0005-0000-0000-0000D3570000}"/>
    <cellStyle name="Note 4 3 3 2 3 6 2" xfId="1653" xr:uid="{00000000-0005-0000-0000-0000D4570000}"/>
    <cellStyle name="Note 4 3 3 2 3 6 2 10" xfId="32940" xr:uid="{00000000-0005-0000-0000-0000D5570000}"/>
    <cellStyle name="Note 4 3 3 2 3 6 2 11" xfId="36710" xr:uid="{00000000-0005-0000-0000-0000D6570000}"/>
    <cellStyle name="Note 4 3 3 2 3 6 2 12" xfId="40701" xr:uid="{00000000-0005-0000-0000-0000D7570000}"/>
    <cellStyle name="Note 4 3 3 2 3 6 2 13" xfId="44532" xr:uid="{00000000-0005-0000-0000-0000D8570000}"/>
    <cellStyle name="Note 4 3 3 2 3 6 2 2" xfId="3643" xr:uid="{00000000-0005-0000-0000-0000D9570000}"/>
    <cellStyle name="Note 4 3 3 2 3 6 2 2 10" xfId="38694" xr:uid="{00000000-0005-0000-0000-0000DA570000}"/>
    <cellStyle name="Note 4 3 3 2 3 6 2 2 11" xfId="42705" xr:uid="{00000000-0005-0000-0000-0000DB570000}"/>
    <cellStyle name="Note 4 3 3 2 3 6 2 2 12" xfId="46470" xr:uid="{00000000-0005-0000-0000-0000DC570000}"/>
    <cellStyle name="Note 4 3 3 2 3 6 2 2 2" xfId="7510" xr:uid="{00000000-0005-0000-0000-0000DD570000}"/>
    <cellStyle name="Note 4 3 3 2 3 6 2 2 3" xfId="11945" xr:uid="{00000000-0005-0000-0000-0000DE570000}"/>
    <cellStyle name="Note 4 3 3 2 3 6 2 2 4" xfId="15790" xr:uid="{00000000-0005-0000-0000-0000DF570000}"/>
    <cellStyle name="Note 4 3 3 2 3 6 2 2 5" xfId="19637" xr:uid="{00000000-0005-0000-0000-0000E0570000}"/>
    <cellStyle name="Note 4 3 3 2 3 6 2 2 6" xfId="23553" xr:uid="{00000000-0005-0000-0000-0000E1570000}"/>
    <cellStyle name="Note 4 3 3 2 3 6 2 2 7" xfId="27387" xr:uid="{00000000-0005-0000-0000-0000E2570000}"/>
    <cellStyle name="Note 4 3 3 2 3 6 2 2 8" xfId="31251" xr:uid="{00000000-0005-0000-0000-0000E3570000}"/>
    <cellStyle name="Note 4 3 3 2 3 6 2 2 9" xfId="34908" xr:uid="{00000000-0005-0000-0000-0000E4570000}"/>
    <cellStyle name="Note 4 3 3 2 3 6 2 3" xfId="5586" xr:uid="{00000000-0005-0000-0000-0000E5570000}"/>
    <cellStyle name="Note 4 3 3 2 3 6 2 4" xfId="9944" xr:uid="{00000000-0005-0000-0000-0000E6570000}"/>
    <cellStyle name="Note 4 3 3 2 3 6 2 5" xfId="13790" xr:uid="{00000000-0005-0000-0000-0000E7570000}"/>
    <cellStyle name="Note 4 3 3 2 3 6 2 6" xfId="17619" xr:uid="{00000000-0005-0000-0000-0000E8570000}"/>
    <cellStyle name="Note 4 3 3 2 3 6 2 7" xfId="21558" xr:uid="{00000000-0005-0000-0000-0000E9570000}"/>
    <cellStyle name="Note 4 3 3 2 3 6 2 8" xfId="25371" xr:uid="{00000000-0005-0000-0000-0000EA570000}"/>
    <cellStyle name="Note 4 3 3 2 3 6 2 9" xfId="29258" xr:uid="{00000000-0005-0000-0000-0000EB570000}"/>
    <cellStyle name="Note 4 3 3 2 3 6 3" xfId="2912" xr:uid="{00000000-0005-0000-0000-0000EC570000}"/>
    <cellStyle name="Note 4 3 3 2 3 6 3 10" xfId="37964" xr:uid="{00000000-0005-0000-0000-0000ED570000}"/>
    <cellStyle name="Note 4 3 3 2 3 6 3 11" xfId="41976" xr:uid="{00000000-0005-0000-0000-0000EE570000}"/>
    <cellStyle name="Note 4 3 3 2 3 6 3 12" xfId="45753" xr:uid="{00000000-0005-0000-0000-0000EF570000}"/>
    <cellStyle name="Note 4 3 3 2 3 6 3 2" xfId="6792" xr:uid="{00000000-0005-0000-0000-0000F0570000}"/>
    <cellStyle name="Note 4 3 3 2 3 6 3 3" xfId="11219" xr:uid="{00000000-0005-0000-0000-0000F1570000}"/>
    <cellStyle name="Note 4 3 3 2 3 6 3 4" xfId="15064" xr:uid="{00000000-0005-0000-0000-0000F2570000}"/>
    <cellStyle name="Note 4 3 3 2 3 6 3 5" xfId="18906" xr:uid="{00000000-0005-0000-0000-0000F3570000}"/>
    <cellStyle name="Note 4 3 3 2 3 6 3 6" xfId="22832" xr:uid="{00000000-0005-0000-0000-0000F4570000}"/>
    <cellStyle name="Note 4 3 3 2 3 6 3 7" xfId="26657" xr:uid="{00000000-0005-0000-0000-0000F5570000}"/>
    <cellStyle name="Note 4 3 3 2 3 6 3 8" xfId="30532" xr:uid="{00000000-0005-0000-0000-0000F6570000}"/>
    <cellStyle name="Note 4 3 3 2 3 6 3 9" xfId="34191" xr:uid="{00000000-0005-0000-0000-0000F7570000}"/>
    <cellStyle name="Note 4 3 3 2 3 6 4" xfId="4868" xr:uid="{00000000-0005-0000-0000-0000F8570000}"/>
    <cellStyle name="Note 4 3 3 2 3 6 5" xfId="9222" xr:uid="{00000000-0005-0000-0000-0000F9570000}"/>
    <cellStyle name="Note 4 3 3 2 3 6 6" xfId="13063" xr:uid="{00000000-0005-0000-0000-0000FA570000}"/>
    <cellStyle name="Note 4 3 3 2 3 6 7" xfId="16888" xr:uid="{00000000-0005-0000-0000-0000FB570000}"/>
    <cellStyle name="Note 4 3 3 2 3 6 8" xfId="20830" xr:uid="{00000000-0005-0000-0000-0000FC570000}"/>
    <cellStyle name="Note 4 3 3 2 3 6 9" xfId="24646" xr:uid="{00000000-0005-0000-0000-0000FD570000}"/>
    <cellStyle name="Note 4 3 3 2 3 7" xfId="1300" xr:uid="{00000000-0005-0000-0000-0000FE570000}"/>
    <cellStyle name="Note 4 3 3 2 3 7 10" xfId="32587" xr:uid="{00000000-0005-0000-0000-0000FF570000}"/>
    <cellStyle name="Note 4 3 3 2 3 7 11" xfId="36357" xr:uid="{00000000-0005-0000-0000-000000580000}"/>
    <cellStyle name="Note 4 3 3 2 3 7 12" xfId="40348" xr:uid="{00000000-0005-0000-0000-000001580000}"/>
    <cellStyle name="Note 4 3 3 2 3 7 13" xfId="44179" xr:uid="{00000000-0005-0000-0000-000002580000}"/>
    <cellStyle name="Note 4 3 3 2 3 7 2" xfId="3290" xr:uid="{00000000-0005-0000-0000-000003580000}"/>
    <cellStyle name="Note 4 3 3 2 3 7 2 10" xfId="38341" xr:uid="{00000000-0005-0000-0000-000004580000}"/>
    <cellStyle name="Note 4 3 3 2 3 7 2 11" xfId="42352" xr:uid="{00000000-0005-0000-0000-000005580000}"/>
    <cellStyle name="Note 4 3 3 2 3 7 2 12" xfId="46117" xr:uid="{00000000-0005-0000-0000-000006580000}"/>
    <cellStyle name="Note 4 3 3 2 3 7 2 2" xfId="7157" xr:uid="{00000000-0005-0000-0000-000007580000}"/>
    <cellStyle name="Note 4 3 3 2 3 7 2 3" xfId="11592" xr:uid="{00000000-0005-0000-0000-000008580000}"/>
    <cellStyle name="Note 4 3 3 2 3 7 2 4" xfId="15437" xr:uid="{00000000-0005-0000-0000-000009580000}"/>
    <cellStyle name="Note 4 3 3 2 3 7 2 5" xfId="19284" xr:uid="{00000000-0005-0000-0000-00000A580000}"/>
    <cellStyle name="Note 4 3 3 2 3 7 2 6" xfId="23200" xr:uid="{00000000-0005-0000-0000-00000B580000}"/>
    <cellStyle name="Note 4 3 3 2 3 7 2 7" xfId="27034" xr:uid="{00000000-0005-0000-0000-00000C580000}"/>
    <cellStyle name="Note 4 3 3 2 3 7 2 8" xfId="30903" xr:uid="{00000000-0005-0000-0000-00000D580000}"/>
    <cellStyle name="Note 4 3 3 2 3 7 2 9" xfId="34555" xr:uid="{00000000-0005-0000-0000-00000E580000}"/>
    <cellStyle name="Note 4 3 3 2 3 7 3" xfId="5233" xr:uid="{00000000-0005-0000-0000-00000F580000}"/>
    <cellStyle name="Note 4 3 3 2 3 7 4" xfId="9591" xr:uid="{00000000-0005-0000-0000-000010580000}"/>
    <cellStyle name="Note 4 3 3 2 3 7 5" xfId="13437" xr:uid="{00000000-0005-0000-0000-000011580000}"/>
    <cellStyle name="Note 4 3 3 2 3 7 6" xfId="17266" xr:uid="{00000000-0005-0000-0000-000012580000}"/>
    <cellStyle name="Note 4 3 3 2 3 7 7" xfId="21205" xr:uid="{00000000-0005-0000-0000-000013580000}"/>
    <cellStyle name="Note 4 3 3 2 3 7 8" xfId="25018" xr:uid="{00000000-0005-0000-0000-000014580000}"/>
    <cellStyle name="Note 4 3 3 2 3 7 9" xfId="28905" xr:uid="{00000000-0005-0000-0000-000015580000}"/>
    <cellStyle name="Note 4 3 3 2 3 8" xfId="1995" xr:uid="{00000000-0005-0000-0000-000016580000}"/>
    <cellStyle name="Note 4 3 3 2 3 8 10" xfId="33282" xr:uid="{00000000-0005-0000-0000-000017580000}"/>
    <cellStyle name="Note 4 3 3 2 3 8 11" xfId="37051" xr:uid="{00000000-0005-0000-0000-000018580000}"/>
    <cellStyle name="Note 4 3 3 2 3 8 12" xfId="41043" xr:uid="{00000000-0005-0000-0000-000019580000}"/>
    <cellStyle name="Note 4 3 3 2 3 8 13" xfId="44873" xr:uid="{00000000-0005-0000-0000-00001A580000}"/>
    <cellStyle name="Note 4 3 3 2 3 8 2" xfId="3984" xr:uid="{00000000-0005-0000-0000-00001B580000}"/>
    <cellStyle name="Note 4 3 3 2 3 8 2 10" xfId="39035" xr:uid="{00000000-0005-0000-0000-00001C580000}"/>
    <cellStyle name="Note 4 3 3 2 3 8 2 11" xfId="43046" xr:uid="{00000000-0005-0000-0000-00001D580000}"/>
    <cellStyle name="Note 4 3 3 2 3 8 2 12" xfId="46811" xr:uid="{00000000-0005-0000-0000-00001E580000}"/>
    <cellStyle name="Note 4 3 3 2 3 8 2 2" xfId="7851" xr:uid="{00000000-0005-0000-0000-00001F580000}"/>
    <cellStyle name="Note 4 3 3 2 3 8 2 3" xfId="12286" xr:uid="{00000000-0005-0000-0000-000020580000}"/>
    <cellStyle name="Note 4 3 3 2 3 8 2 4" xfId="16131" xr:uid="{00000000-0005-0000-0000-000021580000}"/>
    <cellStyle name="Note 4 3 3 2 3 8 2 5" xfId="19978" xr:uid="{00000000-0005-0000-0000-000022580000}"/>
    <cellStyle name="Note 4 3 3 2 3 8 2 6" xfId="23894" xr:uid="{00000000-0005-0000-0000-000023580000}"/>
    <cellStyle name="Note 4 3 3 2 3 8 2 7" xfId="27728" xr:uid="{00000000-0005-0000-0000-000024580000}"/>
    <cellStyle name="Note 4 3 3 2 3 8 2 8" xfId="31588" xr:uid="{00000000-0005-0000-0000-000025580000}"/>
    <cellStyle name="Note 4 3 3 2 3 8 2 9" xfId="35249" xr:uid="{00000000-0005-0000-0000-000026580000}"/>
    <cellStyle name="Note 4 3 3 2 3 8 3" xfId="5927" xr:uid="{00000000-0005-0000-0000-000027580000}"/>
    <cellStyle name="Note 4 3 3 2 3 8 4" xfId="10285" xr:uid="{00000000-0005-0000-0000-000028580000}"/>
    <cellStyle name="Note 4 3 3 2 3 8 5" xfId="14132" xr:uid="{00000000-0005-0000-0000-000029580000}"/>
    <cellStyle name="Note 4 3 3 2 3 8 6" xfId="17961" xr:uid="{00000000-0005-0000-0000-00002A580000}"/>
    <cellStyle name="Note 4 3 3 2 3 8 7" xfId="21900" xr:uid="{00000000-0005-0000-0000-00002B580000}"/>
    <cellStyle name="Note 4 3 3 2 3 8 8" xfId="25713" xr:uid="{00000000-0005-0000-0000-00002C580000}"/>
    <cellStyle name="Note 4 3 3 2 3 8 9" xfId="29600" xr:uid="{00000000-0005-0000-0000-00002D580000}"/>
    <cellStyle name="Note 4 3 3 2 3 9" xfId="2042" xr:uid="{00000000-0005-0000-0000-00002E580000}"/>
    <cellStyle name="Note 4 3 3 2 3 9 10" xfId="33326" xr:uid="{00000000-0005-0000-0000-00002F580000}"/>
    <cellStyle name="Note 4 3 3 2 3 9 11" xfId="37098" xr:uid="{00000000-0005-0000-0000-000030580000}"/>
    <cellStyle name="Note 4 3 3 2 3 9 12" xfId="41088" xr:uid="{00000000-0005-0000-0000-000031580000}"/>
    <cellStyle name="Note 4 3 3 2 3 9 13" xfId="44917" xr:uid="{00000000-0005-0000-0000-000032580000}"/>
    <cellStyle name="Note 4 3 3 2 3 9 2" xfId="4031" xr:uid="{00000000-0005-0000-0000-000033580000}"/>
    <cellStyle name="Note 4 3 3 2 3 9 2 10" xfId="39082" xr:uid="{00000000-0005-0000-0000-000034580000}"/>
    <cellStyle name="Note 4 3 3 2 3 9 2 11" xfId="43092" xr:uid="{00000000-0005-0000-0000-000035580000}"/>
    <cellStyle name="Note 4 3 3 2 3 9 2 12" xfId="46855" xr:uid="{00000000-0005-0000-0000-000036580000}"/>
    <cellStyle name="Note 4 3 3 2 3 9 2 2" xfId="7896" xr:uid="{00000000-0005-0000-0000-000037580000}"/>
    <cellStyle name="Note 4 3 3 2 3 9 2 3" xfId="12331" xr:uid="{00000000-0005-0000-0000-000038580000}"/>
    <cellStyle name="Note 4 3 3 2 3 9 2 4" xfId="16177" xr:uid="{00000000-0005-0000-0000-000039580000}"/>
    <cellStyle name="Note 4 3 3 2 3 9 2 5" xfId="20025" xr:uid="{00000000-0005-0000-0000-00003A580000}"/>
    <cellStyle name="Note 4 3 3 2 3 9 2 6" xfId="23940" xr:uid="{00000000-0005-0000-0000-00003B580000}"/>
    <cellStyle name="Note 4 3 3 2 3 9 2 7" xfId="27775" xr:uid="{00000000-0005-0000-0000-00003C580000}"/>
    <cellStyle name="Note 4 3 3 2 3 9 2 8" xfId="31634" xr:uid="{00000000-0005-0000-0000-00003D580000}"/>
    <cellStyle name="Note 4 3 3 2 3 9 2 9" xfId="35293" xr:uid="{00000000-0005-0000-0000-00003E580000}"/>
    <cellStyle name="Note 4 3 3 2 3 9 3" xfId="5972" xr:uid="{00000000-0005-0000-0000-00003F580000}"/>
    <cellStyle name="Note 4 3 3 2 3 9 4" xfId="10330" xr:uid="{00000000-0005-0000-0000-000040580000}"/>
    <cellStyle name="Note 4 3 3 2 3 9 5" xfId="14178" xr:uid="{00000000-0005-0000-0000-000041580000}"/>
    <cellStyle name="Note 4 3 3 2 3 9 6" xfId="18008" xr:uid="{00000000-0005-0000-0000-000042580000}"/>
    <cellStyle name="Note 4 3 3 2 3 9 7" xfId="21946" xr:uid="{00000000-0005-0000-0000-000043580000}"/>
    <cellStyle name="Note 4 3 3 2 3 9 8" xfId="25760" xr:uid="{00000000-0005-0000-0000-000044580000}"/>
    <cellStyle name="Note 4 3 3 2 3 9 9" xfId="29646" xr:uid="{00000000-0005-0000-0000-000045580000}"/>
    <cellStyle name="Note 4 3 3 2 30" xfId="47424" xr:uid="{00000000-0005-0000-0000-000046580000}"/>
    <cellStyle name="Note 4 3 3 2 31" xfId="47397" xr:uid="{00000000-0005-0000-0000-000047580000}"/>
    <cellStyle name="Note 4 3 3 2 4" xfId="661" xr:uid="{00000000-0005-0000-0000-000048580000}"/>
    <cellStyle name="Note 4 3 3 2 4 10" xfId="24395" xr:uid="{00000000-0005-0000-0000-000049580000}"/>
    <cellStyle name="Note 4 3 3 2 4 11" xfId="28288" xr:uid="{00000000-0005-0000-0000-00004A580000}"/>
    <cellStyle name="Note 4 3 3 2 4 12" xfId="29911" xr:uid="{00000000-0005-0000-0000-00004B580000}"/>
    <cellStyle name="Note 4 3 3 2 4 13" xfId="33376" xr:uid="{00000000-0005-0000-0000-00004C580000}"/>
    <cellStyle name="Note 4 3 3 2 4 14" xfId="39755" xr:uid="{00000000-0005-0000-0000-00004D580000}"/>
    <cellStyle name="Note 4 3 3 2 4 15" xfId="43558" xr:uid="{00000000-0005-0000-0000-00004E580000}"/>
    <cellStyle name="Note 4 3 3 2 4 2" xfId="1041" xr:uid="{00000000-0005-0000-0000-00004F580000}"/>
    <cellStyle name="Note 4 3 3 2 4 2 10" xfId="28652" xr:uid="{00000000-0005-0000-0000-000050580000}"/>
    <cellStyle name="Note 4 3 3 2 4 2 11" xfId="32338" xr:uid="{00000000-0005-0000-0000-000051580000}"/>
    <cellStyle name="Note 4 3 3 2 4 2 12" xfId="36099" xr:uid="{00000000-0005-0000-0000-000052580000}"/>
    <cellStyle name="Note 4 3 3 2 4 2 13" xfId="40102" xr:uid="{00000000-0005-0000-0000-000053580000}"/>
    <cellStyle name="Note 4 3 3 2 4 2 14" xfId="43925" xr:uid="{00000000-0005-0000-0000-000054580000}"/>
    <cellStyle name="Note 4 3 3 2 4 2 2" xfId="1768" xr:uid="{00000000-0005-0000-0000-000055580000}"/>
    <cellStyle name="Note 4 3 3 2 4 2 2 10" xfId="33055" xr:uid="{00000000-0005-0000-0000-000056580000}"/>
    <cellStyle name="Note 4 3 3 2 4 2 2 11" xfId="36825" xr:uid="{00000000-0005-0000-0000-000057580000}"/>
    <cellStyle name="Note 4 3 3 2 4 2 2 12" xfId="40816" xr:uid="{00000000-0005-0000-0000-000058580000}"/>
    <cellStyle name="Note 4 3 3 2 4 2 2 13" xfId="44647" xr:uid="{00000000-0005-0000-0000-000059580000}"/>
    <cellStyle name="Note 4 3 3 2 4 2 2 2" xfId="3758" xr:uid="{00000000-0005-0000-0000-00005A580000}"/>
    <cellStyle name="Note 4 3 3 2 4 2 2 2 10" xfId="38809" xr:uid="{00000000-0005-0000-0000-00005B580000}"/>
    <cellStyle name="Note 4 3 3 2 4 2 2 2 11" xfId="42820" xr:uid="{00000000-0005-0000-0000-00005C580000}"/>
    <cellStyle name="Note 4 3 3 2 4 2 2 2 12" xfId="46585" xr:uid="{00000000-0005-0000-0000-00005D580000}"/>
    <cellStyle name="Note 4 3 3 2 4 2 2 2 2" xfId="7625" xr:uid="{00000000-0005-0000-0000-00005E580000}"/>
    <cellStyle name="Note 4 3 3 2 4 2 2 2 3" xfId="12060" xr:uid="{00000000-0005-0000-0000-00005F580000}"/>
    <cellStyle name="Note 4 3 3 2 4 2 2 2 4" xfId="15905" xr:uid="{00000000-0005-0000-0000-000060580000}"/>
    <cellStyle name="Note 4 3 3 2 4 2 2 2 5" xfId="19752" xr:uid="{00000000-0005-0000-0000-000061580000}"/>
    <cellStyle name="Note 4 3 3 2 4 2 2 2 6" xfId="23668" xr:uid="{00000000-0005-0000-0000-000062580000}"/>
    <cellStyle name="Note 4 3 3 2 4 2 2 2 7" xfId="27502" xr:uid="{00000000-0005-0000-0000-000063580000}"/>
    <cellStyle name="Note 4 3 3 2 4 2 2 2 8" xfId="31366" xr:uid="{00000000-0005-0000-0000-000064580000}"/>
    <cellStyle name="Note 4 3 3 2 4 2 2 2 9" xfId="35023" xr:uid="{00000000-0005-0000-0000-000065580000}"/>
    <cellStyle name="Note 4 3 3 2 4 2 2 3" xfId="5701" xr:uid="{00000000-0005-0000-0000-000066580000}"/>
    <cellStyle name="Note 4 3 3 2 4 2 2 4" xfId="10059" xr:uid="{00000000-0005-0000-0000-000067580000}"/>
    <cellStyle name="Note 4 3 3 2 4 2 2 5" xfId="13905" xr:uid="{00000000-0005-0000-0000-000068580000}"/>
    <cellStyle name="Note 4 3 3 2 4 2 2 6" xfId="17734" xr:uid="{00000000-0005-0000-0000-000069580000}"/>
    <cellStyle name="Note 4 3 3 2 4 2 2 7" xfId="21673" xr:uid="{00000000-0005-0000-0000-00006A580000}"/>
    <cellStyle name="Note 4 3 3 2 4 2 2 8" xfId="25486" xr:uid="{00000000-0005-0000-0000-00006B580000}"/>
    <cellStyle name="Note 4 3 3 2 4 2 2 9" xfId="29373" xr:uid="{00000000-0005-0000-0000-00006C580000}"/>
    <cellStyle name="Note 4 3 3 2 4 2 3" xfId="3031" xr:uid="{00000000-0005-0000-0000-00006D580000}"/>
    <cellStyle name="Note 4 3 3 2 4 2 3 10" xfId="38083" xr:uid="{00000000-0005-0000-0000-00006E580000}"/>
    <cellStyle name="Note 4 3 3 2 4 2 3 11" xfId="42095" xr:uid="{00000000-0005-0000-0000-00006F580000}"/>
    <cellStyle name="Note 4 3 3 2 4 2 3 12" xfId="45868" xr:uid="{00000000-0005-0000-0000-000070580000}"/>
    <cellStyle name="Note 4 3 3 2 4 2 3 2" xfId="6907" xr:uid="{00000000-0005-0000-0000-000071580000}"/>
    <cellStyle name="Note 4 3 3 2 4 2 3 3" xfId="11336" xr:uid="{00000000-0005-0000-0000-000072580000}"/>
    <cellStyle name="Note 4 3 3 2 4 2 3 4" xfId="15180" xr:uid="{00000000-0005-0000-0000-000073580000}"/>
    <cellStyle name="Note 4 3 3 2 4 2 3 5" xfId="19025" xr:uid="{00000000-0005-0000-0000-000074580000}"/>
    <cellStyle name="Note 4 3 3 2 4 2 3 6" xfId="22947" xr:uid="{00000000-0005-0000-0000-000075580000}"/>
    <cellStyle name="Note 4 3 3 2 4 2 3 7" xfId="26776" xr:uid="{00000000-0005-0000-0000-000076580000}"/>
    <cellStyle name="Note 4 3 3 2 4 2 3 8" xfId="30650" xr:uid="{00000000-0005-0000-0000-000077580000}"/>
    <cellStyle name="Note 4 3 3 2 4 2 3 9" xfId="34306" xr:uid="{00000000-0005-0000-0000-000078580000}"/>
    <cellStyle name="Note 4 3 3 2 4 2 4" xfId="4983" xr:uid="{00000000-0005-0000-0000-000079580000}"/>
    <cellStyle name="Note 4 3 3 2 4 2 5" xfId="9339" xr:uid="{00000000-0005-0000-0000-00007A580000}"/>
    <cellStyle name="Note 4 3 3 2 4 2 6" xfId="13179" xr:uid="{00000000-0005-0000-0000-00007B580000}"/>
    <cellStyle name="Note 4 3 3 2 4 2 7" xfId="17007" xr:uid="{00000000-0005-0000-0000-00007C580000}"/>
    <cellStyle name="Note 4 3 3 2 4 2 8" xfId="20949" xr:uid="{00000000-0005-0000-0000-00007D580000}"/>
    <cellStyle name="Note 4 3 3 2 4 2 9" xfId="24763" xr:uid="{00000000-0005-0000-0000-00007E580000}"/>
    <cellStyle name="Note 4 3 3 2 4 3" xfId="1415" xr:uid="{00000000-0005-0000-0000-00007F580000}"/>
    <cellStyle name="Note 4 3 3 2 4 3 10" xfId="32702" xr:uid="{00000000-0005-0000-0000-000080580000}"/>
    <cellStyle name="Note 4 3 3 2 4 3 11" xfId="36472" xr:uid="{00000000-0005-0000-0000-000081580000}"/>
    <cellStyle name="Note 4 3 3 2 4 3 12" xfId="40463" xr:uid="{00000000-0005-0000-0000-000082580000}"/>
    <cellStyle name="Note 4 3 3 2 4 3 13" xfId="44294" xr:uid="{00000000-0005-0000-0000-000083580000}"/>
    <cellStyle name="Note 4 3 3 2 4 3 2" xfId="3405" xr:uid="{00000000-0005-0000-0000-000084580000}"/>
    <cellStyle name="Note 4 3 3 2 4 3 2 10" xfId="38456" xr:uid="{00000000-0005-0000-0000-000085580000}"/>
    <cellStyle name="Note 4 3 3 2 4 3 2 11" xfId="42467" xr:uid="{00000000-0005-0000-0000-000086580000}"/>
    <cellStyle name="Note 4 3 3 2 4 3 2 12" xfId="46232" xr:uid="{00000000-0005-0000-0000-000087580000}"/>
    <cellStyle name="Note 4 3 3 2 4 3 2 2" xfId="7272" xr:uid="{00000000-0005-0000-0000-000088580000}"/>
    <cellStyle name="Note 4 3 3 2 4 3 2 3" xfId="11707" xr:uid="{00000000-0005-0000-0000-000089580000}"/>
    <cellStyle name="Note 4 3 3 2 4 3 2 4" xfId="15552" xr:uid="{00000000-0005-0000-0000-00008A580000}"/>
    <cellStyle name="Note 4 3 3 2 4 3 2 5" xfId="19399" xr:uid="{00000000-0005-0000-0000-00008B580000}"/>
    <cellStyle name="Note 4 3 3 2 4 3 2 6" xfId="23315" xr:uid="{00000000-0005-0000-0000-00008C580000}"/>
    <cellStyle name="Note 4 3 3 2 4 3 2 7" xfId="27149" xr:uid="{00000000-0005-0000-0000-00008D580000}"/>
    <cellStyle name="Note 4 3 3 2 4 3 2 8" xfId="31017" xr:uid="{00000000-0005-0000-0000-00008E580000}"/>
    <cellStyle name="Note 4 3 3 2 4 3 2 9" xfId="34670" xr:uid="{00000000-0005-0000-0000-00008F580000}"/>
    <cellStyle name="Note 4 3 3 2 4 3 3" xfId="5348" xr:uid="{00000000-0005-0000-0000-000090580000}"/>
    <cellStyle name="Note 4 3 3 2 4 3 4" xfId="9706" xr:uid="{00000000-0005-0000-0000-000091580000}"/>
    <cellStyle name="Note 4 3 3 2 4 3 5" xfId="13552" xr:uid="{00000000-0005-0000-0000-000092580000}"/>
    <cellStyle name="Note 4 3 3 2 4 3 6" xfId="17381" xr:uid="{00000000-0005-0000-0000-000093580000}"/>
    <cellStyle name="Note 4 3 3 2 4 3 7" xfId="21320" xr:uid="{00000000-0005-0000-0000-000094580000}"/>
    <cellStyle name="Note 4 3 3 2 4 3 8" xfId="25133" xr:uid="{00000000-0005-0000-0000-000095580000}"/>
    <cellStyle name="Note 4 3 3 2 4 3 9" xfId="29020" xr:uid="{00000000-0005-0000-0000-000096580000}"/>
    <cellStyle name="Note 4 3 3 2 4 4" xfId="2664" xr:uid="{00000000-0005-0000-0000-000097580000}"/>
    <cellStyle name="Note 4 3 3 2 4 4 10" xfId="37716" xr:uid="{00000000-0005-0000-0000-000098580000}"/>
    <cellStyle name="Note 4 3 3 2 4 4 11" xfId="41730" xr:uid="{00000000-0005-0000-0000-000099580000}"/>
    <cellStyle name="Note 4 3 3 2 4 4 12" xfId="45515" xr:uid="{00000000-0005-0000-0000-00009A580000}"/>
    <cellStyle name="Note 4 3 3 2 4 4 2" xfId="6552" xr:uid="{00000000-0005-0000-0000-00009B580000}"/>
    <cellStyle name="Note 4 3 3 2 4 4 3" xfId="10976" xr:uid="{00000000-0005-0000-0000-00009C580000}"/>
    <cellStyle name="Note 4 3 3 2 4 4 4" xfId="14820" xr:uid="{00000000-0005-0000-0000-00009D580000}"/>
    <cellStyle name="Note 4 3 3 2 4 4 5" xfId="18658" xr:uid="{00000000-0005-0000-0000-00009E580000}"/>
    <cellStyle name="Note 4 3 3 2 4 4 6" xfId="22589" xr:uid="{00000000-0005-0000-0000-00009F580000}"/>
    <cellStyle name="Note 4 3 3 2 4 4 7" xfId="26409" xr:uid="{00000000-0005-0000-0000-0000A0580000}"/>
    <cellStyle name="Note 4 3 3 2 4 4 8" xfId="30288" xr:uid="{00000000-0005-0000-0000-0000A1580000}"/>
    <cellStyle name="Note 4 3 3 2 4 4 9" xfId="33953" xr:uid="{00000000-0005-0000-0000-0000A2580000}"/>
    <cellStyle name="Note 4 3 3 2 4 5" xfId="4628" xr:uid="{00000000-0005-0000-0000-0000A3580000}"/>
    <cellStyle name="Note 4 3 3 2 4 6" xfId="8970" xr:uid="{00000000-0005-0000-0000-0000A4580000}"/>
    <cellStyle name="Note 4 3 3 2 4 7" xfId="12807" xr:uid="{00000000-0005-0000-0000-0000A5580000}"/>
    <cellStyle name="Note 4 3 3 2 4 8" xfId="16637" xr:uid="{00000000-0005-0000-0000-0000A6580000}"/>
    <cellStyle name="Note 4 3 3 2 4 9" xfId="20574" xr:uid="{00000000-0005-0000-0000-0000A7580000}"/>
    <cellStyle name="Note 4 3 3 2 5" xfId="598" xr:uid="{00000000-0005-0000-0000-0000A8580000}"/>
    <cellStyle name="Note 4 3 3 2 5 10" xfId="8781" xr:uid="{00000000-0005-0000-0000-0000A9580000}"/>
    <cellStyle name="Note 4 3 3 2 5 11" xfId="25812" xr:uid="{00000000-0005-0000-0000-0000AA580000}"/>
    <cellStyle name="Note 4 3 3 2 5 12" xfId="31869" xr:uid="{00000000-0005-0000-0000-0000AB580000}"/>
    <cellStyle name="Note 4 3 3 2 5 13" xfId="33359" xr:uid="{00000000-0005-0000-0000-0000AC580000}"/>
    <cellStyle name="Note 4 3 3 2 5 14" xfId="39693" xr:uid="{00000000-0005-0000-0000-0000AD580000}"/>
    <cellStyle name="Note 4 3 3 2 5 15" xfId="39579" xr:uid="{00000000-0005-0000-0000-0000AE580000}"/>
    <cellStyle name="Note 4 3 3 2 5 2" xfId="978" xr:uid="{00000000-0005-0000-0000-0000AF580000}"/>
    <cellStyle name="Note 4 3 3 2 5 2 10" xfId="28589" xr:uid="{00000000-0005-0000-0000-0000B0580000}"/>
    <cellStyle name="Note 4 3 3 2 5 2 11" xfId="32277" xr:uid="{00000000-0005-0000-0000-0000B1580000}"/>
    <cellStyle name="Note 4 3 3 2 5 2 12" xfId="36036" xr:uid="{00000000-0005-0000-0000-0000B2580000}"/>
    <cellStyle name="Note 4 3 3 2 5 2 13" xfId="40041" xr:uid="{00000000-0005-0000-0000-0000B3580000}"/>
    <cellStyle name="Note 4 3 3 2 5 2 14" xfId="43862" xr:uid="{00000000-0005-0000-0000-0000B4580000}"/>
    <cellStyle name="Note 4 3 3 2 5 2 2" xfId="1707" xr:uid="{00000000-0005-0000-0000-0000B5580000}"/>
    <cellStyle name="Note 4 3 3 2 5 2 2 10" xfId="32994" xr:uid="{00000000-0005-0000-0000-0000B6580000}"/>
    <cellStyle name="Note 4 3 3 2 5 2 2 11" xfId="36764" xr:uid="{00000000-0005-0000-0000-0000B7580000}"/>
    <cellStyle name="Note 4 3 3 2 5 2 2 12" xfId="40755" xr:uid="{00000000-0005-0000-0000-0000B8580000}"/>
    <cellStyle name="Note 4 3 3 2 5 2 2 13" xfId="44586" xr:uid="{00000000-0005-0000-0000-0000B9580000}"/>
    <cellStyle name="Note 4 3 3 2 5 2 2 2" xfId="3697" xr:uid="{00000000-0005-0000-0000-0000BA580000}"/>
    <cellStyle name="Note 4 3 3 2 5 2 2 2 10" xfId="38748" xr:uid="{00000000-0005-0000-0000-0000BB580000}"/>
    <cellStyle name="Note 4 3 3 2 5 2 2 2 11" xfId="42759" xr:uid="{00000000-0005-0000-0000-0000BC580000}"/>
    <cellStyle name="Note 4 3 3 2 5 2 2 2 12" xfId="46524" xr:uid="{00000000-0005-0000-0000-0000BD580000}"/>
    <cellStyle name="Note 4 3 3 2 5 2 2 2 2" xfId="7564" xr:uid="{00000000-0005-0000-0000-0000BE580000}"/>
    <cellStyle name="Note 4 3 3 2 5 2 2 2 3" xfId="11999" xr:uid="{00000000-0005-0000-0000-0000BF580000}"/>
    <cellStyle name="Note 4 3 3 2 5 2 2 2 4" xfId="15844" xr:uid="{00000000-0005-0000-0000-0000C0580000}"/>
    <cellStyle name="Note 4 3 3 2 5 2 2 2 5" xfId="19691" xr:uid="{00000000-0005-0000-0000-0000C1580000}"/>
    <cellStyle name="Note 4 3 3 2 5 2 2 2 6" xfId="23607" xr:uid="{00000000-0005-0000-0000-0000C2580000}"/>
    <cellStyle name="Note 4 3 3 2 5 2 2 2 7" xfId="27441" xr:uid="{00000000-0005-0000-0000-0000C3580000}"/>
    <cellStyle name="Note 4 3 3 2 5 2 2 2 8" xfId="31305" xr:uid="{00000000-0005-0000-0000-0000C4580000}"/>
    <cellStyle name="Note 4 3 3 2 5 2 2 2 9" xfId="34962" xr:uid="{00000000-0005-0000-0000-0000C5580000}"/>
    <cellStyle name="Note 4 3 3 2 5 2 2 3" xfId="5640" xr:uid="{00000000-0005-0000-0000-0000C6580000}"/>
    <cellStyle name="Note 4 3 3 2 5 2 2 4" xfId="9998" xr:uid="{00000000-0005-0000-0000-0000C7580000}"/>
    <cellStyle name="Note 4 3 3 2 5 2 2 5" xfId="13844" xr:uid="{00000000-0005-0000-0000-0000C8580000}"/>
    <cellStyle name="Note 4 3 3 2 5 2 2 6" xfId="17673" xr:uid="{00000000-0005-0000-0000-0000C9580000}"/>
    <cellStyle name="Note 4 3 3 2 5 2 2 7" xfId="21612" xr:uid="{00000000-0005-0000-0000-0000CA580000}"/>
    <cellStyle name="Note 4 3 3 2 5 2 2 8" xfId="25425" xr:uid="{00000000-0005-0000-0000-0000CB580000}"/>
    <cellStyle name="Note 4 3 3 2 5 2 2 9" xfId="29312" xr:uid="{00000000-0005-0000-0000-0000CC580000}"/>
    <cellStyle name="Note 4 3 3 2 5 2 3" xfId="2968" xr:uid="{00000000-0005-0000-0000-0000CD580000}"/>
    <cellStyle name="Note 4 3 3 2 5 2 3 10" xfId="38020" xr:uid="{00000000-0005-0000-0000-0000CE580000}"/>
    <cellStyle name="Note 4 3 3 2 5 2 3 11" xfId="42032" xr:uid="{00000000-0005-0000-0000-0000CF580000}"/>
    <cellStyle name="Note 4 3 3 2 5 2 3 12" xfId="45807" xr:uid="{00000000-0005-0000-0000-0000D0580000}"/>
    <cellStyle name="Note 4 3 3 2 5 2 3 2" xfId="6846" xr:uid="{00000000-0005-0000-0000-0000D1580000}"/>
    <cellStyle name="Note 4 3 3 2 5 2 3 3" xfId="11274" xr:uid="{00000000-0005-0000-0000-0000D2580000}"/>
    <cellStyle name="Note 4 3 3 2 5 2 3 4" xfId="15119" xr:uid="{00000000-0005-0000-0000-0000D3580000}"/>
    <cellStyle name="Note 4 3 3 2 5 2 3 5" xfId="18962" xr:uid="{00000000-0005-0000-0000-0000D4580000}"/>
    <cellStyle name="Note 4 3 3 2 5 2 3 6" xfId="22886" xr:uid="{00000000-0005-0000-0000-0000D5580000}"/>
    <cellStyle name="Note 4 3 3 2 5 2 3 7" xfId="26713" xr:uid="{00000000-0005-0000-0000-0000D6580000}"/>
    <cellStyle name="Note 4 3 3 2 5 2 3 8" xfId="30587" xr:uid="{00000000-0005-0000-0000-0000D7580000}"/>
    <cellStyle name="Note 4 3 3 2 5 2 3 9" xfId="34245" xr:uid="{00000000-0005-0000-0000-0000D8580000}"/>
    <cellStyle name="Note 4 3 3 2 5 2 4" xfId="4922" xr:uid="{00000000-0005-0000-0000-0000D9580000}"/>
    <cellStyle name="Note 4 3 3 2 5 2 5" xfId="9277" xr:uid="{00000000-0005-0000-0000-0000DA580000}"/>
    <cellStyle name="Note 4 3 3 2 5 2 6" xfId="13118" xr:uid="{00000000-0005-0000-0000-0000DB580000}"/>
    <cellStyle name="Note 4 3 3 2 5 2 7" xfId="16944" xr:uid="{00000000-0005-0000-0000-0000DC580000}"/>
    <cellStyle name="Note 4 3 3 2 5 2 8" xfId="20886" xr:uid="{00000000-0005-0000-0000-0000DD580000}"/>
    <cellStyle name="Note 4 3 3 2 5 2 9" xfId="24701" xr:uid="{00000000-0005-0000-0000-0000DE580000}"/>
    <cellStyle name="Note 4 3 3 2 5 3" xfId="1354" xr:uid="{00000000-0005-0000-0000-0000DF580000}"/>
    <cellStyle name="Note 4 3 3 2 5 3 10" xfId="32641" xr:uid="{00000000-0005-0000-0000-0000E0580000}"/>
    <cellStyle name="Note 4 3 3 2 5 3 11" xfId="36411" xr:uid="{00000000-0005-0000-0000-0000E1580000}"/>
    <cellStyle name="Note 4 3 3 2 5 3 12" xfId="40402" xr:uid="{00000000-0005-0000-0000-0000E2580000}"/>
    <cellStyle name="Note 4 3 3 2 5 3 13" xfId="44233" xr:uid="{00000000-0005-0000-0000-0000E3580000}"/>
    <cellStyle name="Note 4 3 3 2 5 3 2" xfId="3344" xr:uid="{00000000-0005-0000-0000-0000E4580000}"/>
    <cellStyle name="Note 4 3 3 2 5 3 2 10" xfId="38395" xr:uid="{00000000-0005-0000-0000-0000E5580000}"/>
    <cellStyle name="Note 4 3 3 2 5 3 2 11" xfId="42406" xr:uid="{00000000-0005-0000-0000-0000E6580000}"/>
    <cellStyle name="Note 4 3 3 2 5 3 2 12" xfId="46171" xr:uid="{00000000-0005-0000-0000-0000E7580000}"/>
    <cellStyle name="Note 4 3 3 2 5 3 2 2" xfId="7211" xr:uid="{00000000-0005-0000-0000-0000E8580000}"/>
    <cellStyle name="Note 4 3 3 2 5 3 2 3" xfId="11646" xr:uid="{00000000-0005-0000-0000-0000E9580000}"/>
    <cellStyle name="Note 4 3 3 2 5 3 2 4" xfId="15491" xr:uid="{00000000-0005-0000-0000-0000EA580000}"/>
    <cellStyle name="Note 4 3 3 2 5 3 2 5" xfId="19338" xr:uid="{00000000-0005-0000-0000-0000EB580000}"/>
    <cellStyle name="Note 4 3 3 2 5 3 2 6" xfId="23254" xr:uid="{00000000-0005-0000-0000-0000EC580000}"/>
    <cellStyle name="Note 4 3 3 2 5 3 2 7" xfId="27088" xr:uid="{00000000-0005-0000-0000-0000ED580000}"/>
    <cellStyle name="Note 4 3 3 2 5 3 2 8" xfId="30956" xr:uid="{00000000-0005-0000-0000-0000EE580000}"/>
    <cellStyle name="Note 4 3 3 2 5 3 2 9" xfId="34609" xr:uid="{00000000-0005-0000-0000-0000EF580000}"/>
    <cellStyle name="Note 4 3 3 2 5 3 3" xfId="5287" xr:uid="{00000000-0005-0000-0000-0000F0580000}"/>
    <cellStyle name="Note 4 3 3 2 5 3 4" xfId="9645" xr:uid="{00000000-0005-0000-0000-0000F1580000}"/>
    <cellStyle name="Note 4 3 3 2 5 3 5" xfId="13491" xr:uid="{00000000-0005-0000-0000-0000F2580000}"/>
    <cellStyle name="Note 4 3 3 2 5 3 6" xfId="17320" xr:uid="{00000000-0005-0000-0000-0000F3580000}"/>
    <cellStyle name="Note 4 3 3 2 5 3 7" xfId="21259" xr:uid="{00000000-0005-0000-0000-0000F4580000}"/>
    <cellStyle name="Note 4 3 3 2 5 3 8" xfId="25072" xr:uid="{00000000-0005-0000-0000-0000F5580000}"/>
    <cellStyle name="Note 4 3 3 2 5 3 9" xfId="28959" xr:uid="{00000000-0005-0000-0000-0000F6580000}"/>
    <cellStyle name="Note 4 3 3 2 5 4" xfId="2601" xr:uid="{00000000-0005-0000-0000-0000F7580000}"/>
    <cellStyle name="Note 4 3 3 2 5 4 10" xfId="37653" xr:uid="{00000000-0005-0000-0000-0000F8580000}"/>
    <cellStyle name="Note 4 3 3 2 5 4 11" xfId="41667" xr:uid="{00000000-0005-0000-0000-0000F9580000}"/>
    <cellStyle name="Note 4 3 3 2 5 4 12" xfId="45454" xr:uid="{00000000-0005-0000-0000-0000FA580000}"/>
    <cellStyle name="Note 4 3 3 2 5 4 2" xfId="6491" xr:uid="{00000000-0005-0000-0000-0000FB580000}"/>
    <cellStyle name="Note 4 3 3 2 5 4 3" xfId="10915" xr:uid="{00000000-0005-0000-0000-0000FC580000}"/>
    <cellStyle name="Note 4 3 3 2 5 4 4" xfId="14759" xr:uid="{00000000-0005-0000-0000-0000FD580000}"/>
    <cellStyle name="Note 4 3 3 2 5 4 5" xfId="18595" xr:uid="{00000000-0005-0000-0000-0000FE580000}"/>
    <cellStyle name="Note 4 3 3 2 5 4 6" xfId="22528" xr:uid="{00000000-0005-0000-0000-0000FF580000}"/>
    <cellStyle name="Note 4 3 3 2 5 4 7" xfId="26346" xr:uid="{00000000-0005-0000-0000-000000590000}"/>
    <cellStyle name="Note 4 3 3 2 5 4 8" xfId="30225" xr:uid="{00000000-0005-0000-0000-000001590000}"/>
    <cellStyle name="Note 4 3 3 2 5 4 9" xfId="33892" xr:uid="{00000000-0005-0000-0000-000002590000}"/>
    <cellStyle name="Note 4 3 3 2 5 5" xfId="4567" xr:uid="{00000000-0005-0000-0000-000003590000}"/>
    <cellStyle name="Note 4 3 3 2 5 6" xfId="8907" xr:uid="{00000000-0005-0000-0000-000004590000}"/>
    <cellStyle name="Note 4 3 3 2 5 7" xfId="10385" xr:uid="{00000000-0005-0000-0000-000005590000}"/>
    <cellStyle name="Note 4 3 3 2 5 8" xfId="14225" xr:uid="{00000000-0005-0000-0000-000006590000}"/>
    <cellStyle name="Note 4 3 3 2 5 9" xfId="20511" xr:uid="{00000000-0005-0000-0000-000007590000}"/>
    <cellStyle name="Note 4 3 3 2 6" xfId="764" xr:uid="{00000000-0005-0000-0000-000008590000}"/>
    <cellStyle name="Note 4 3 3 2 6 10" xfId="24493" xr:uid="{00000000-0005-0000-0000-000009590000}"/>
    <cellStyle name="Note 4 3 3 2 6 11" xfId="28383" xr:uid="{00000000-0005-0000-0000-00000A590000}"/>
    <cellStyle name="Note 4 3 3 2 6 12" xfId="26523" xr:uid="{00000000-0005-0000-0000-00000B590000}"/>
    <cellStyle name="Note 4 3 3 2 6 13" xfId="35828" xr:uid="{00000000-0005-0000-0000-00000C590000}"/>
    <cellStyle name="Note 4 3 3 2 6 14" xfId="39847" xr:uid="{00000000-0005-0000-0000-00000D590000}"/>
    <cellStyle name="Note 4 3 3 2 6 15" xfId="43654" xr:uid="{00000000-0005-0000-0000-00000E590000}"/>
    <cellStyle name="Note 4 3 3 2 6 2" xfId="1134" xr:uid="{00000000-0005-0000-0000-00000F590000}"/>
    <cellStyle name="Note 4 3 3 2 6 2 10" xfId="28743" xr:uid="{00000000-0005-0000-0000-000010590000}"/>
    <cellStyle name="Note 4 3 3 2 6 2 11" xfId="32431" xr:uid="{00000000-0005-0000-0000-000011590000}"/>
    <cellStyle name="Note 4 3 3 2 6 2 12" xfId="36192" xr:uid="{00000000-0005-0000-0000-000012590000}"/>
    <cellStyle name="Note 4 3 3 2 6 2 13" xfId="40193" xr:uid="{00000000-0005-0000-0000-000013590000}"/>
    <cellStyle name="Note 4 3 3 2 6 2 14" xfId="44018" xr:uid="{00000000-0005-0000-0000-000014590000}"/>
    <cellStyle name="Note 4 3 3 2 6 2 2" xfId="1861" xr:uid="{00000000-0005-0000-0000-000015590000}"/>
    <cellStyle name="Note 4 3 3 2 6 2 2 10" xfId="33148" xr:uid="{00000000-0005-0000-0000-000016590000}"/>
    <cellStyle name="Note 4 3 3 2 6 2 2 11" xfId="36918" xr:uid="{00000000-0005-0000-0000-000017590000}"/>
    <cellStyle name="Note 4 3 3 2 6 2 2 12" xfId="40909" xr:uid="{00000000-0005-0000-0000-000018590000}"/>
    <cellStyle name="Note 4 3 3 2 6 2 2 13" xfId="44740" xr:uid="{00000000-0005-0000-0000-000019590000}"/>
    <cellStyle name="Note 4 3 3 2 6 2 2 2" xfId="3851" xr:uid="{00000000-0005-0000-0000-00001A590000}"/>
    <cellStyle name="Note 4 3 3 2 6 2 2 2 10" xfId="38902" xr:uid="{00000000-0005-0000-0000-00001B590000}"/>
    <cellStyle name="Note 4 3 3 2 6 2 2 2 11" xfId="42913" xr:uid="{00000000-0005-0000-0000-00001C590000}"/>
    <cellStyle name="Note 4 3 3 2 6 2 2 2 12" xfId="46678" xr:uid="{00000000-0005-0000-0000-00001D590000}"/>
    <cellStyle name="Note 4 3 3 2 6 2 2 2 2" xfId="7718" xr:uid="{00000000-0005-0000-0000-00001E590000}"/>
    <cellStyle name="Note 4 3 3 2 6 2 2 2 3" xfId="12153" xr:uid="{00000000-0005-0000-0000-00001F590000}"/>
    <cellStyle name="Note 4 3 3 2 6 2 2 2 4" xfId="15998" xr:uid="{00000000-0005-0000-0000-000020590000}"/>
    <cellStyle name="Note 4 3 3 2 6 2 2 2 5" xfId="19845" xr:uid="{00000000-0005-0000-0000-000021590000}"/>
    <cellStyle name="Note 4 3 3 2 6 2 2 2 6" xfId="23761" xr:uid="{00000000-0005-0000-0000-000022590000}"/>
    <cellStyle name="Note 4 3 3 2 6 2 2 2 7" xfId="27595" xr:uid="{00000000-0005-0000-0000-000023590000}"/>
    <cellStyle name="Note 4 3 3 2 6 2 2 2 8" xfId="31458" xr:uid="{00000000-0005-0000-0000-000024590000}"/>
    <cellStyle name="Note 4 3 3 2 6 2 2 2 9" xfId="35116" xr:uid="{00000000-0005-0000-0000-000025590000}"/>
    <cellStyle name="Note 4 3 3 2 6 2 2 3" xfId="5794" xr:uid="{00000000-0005-0000-0000-000026590000}"/>
    <cellStyle name="Note 4 3 3 2 6 2 2 4" xfId="10152" xr:uid="{00000000-0005-0000-0000-000027590000}"/>
    <cellStyle name="Note 4 3 3 2 6 2 2 5" xfId="13998" xr:uid="{00000000-0005-0000-0000-000028590000}"/>
    <cellStyle name="Note 4 3 3 2 6 2 2 6" xfId="17827" xr:uid="{00000000-0005-0000-0000-000029590000}"/>
    <cellStyle name="Note 4 3 3 2 6 2 2 7" xfId="21766" xr:uid="{00000000-0005-0000-0000-00002A590000}"/>
    <cellStyle name="Note 4 3 3 2 6 2 2 8" xfId="25579" xr:uid="{00000000-0005-0000-0000-00002B590000}"/>
    <cellStyle name="Note 4 3 3 2 6 2 2 9" xfId="29466" xr:uid="{00000000-0005-0000-0000-00002C590000}"/>
    <cellStyle name="Note 4 3 3 2 6 2 3" xfId="3124" xr:uid="{00000000-0005-0000-0000-00002D590000}"/>
    <cellStyle name="Note 4 3 3 2 6 2 3 10" xfId="38176" xr:uid="{00000000-0005-0000-0000-00002E590000}"/>
    <cellStyle name="Note 4 3 3 2 6 2 3 11" xfId="42188" xr:uid="{00000000-0005-0000-0000-00002F590000}"/>
    <cellStyle name="Note 4 3 3 2 6 2 3 12" xfId="45961" xr:uid="{00000000-0005-0000-0000-000030590000}"/>
    <cellStyle name="Note 4 3 3 2 6 2 3 2" xfId="7000" xr:uid="{00000000-0005-0000-0000-000031590000}"/>
    <cellStyle name="Note 4 3 3 2 6 2 3 3" xfId="11429" xr:uid="{00000000-0005-0000-0000-000032590000}"/>
    <cellStyle name="Note 4 3 3 2 6 2 3 4" xfId="15273" xr:uid="{00000000-0005-0000-0000-000033590000}"/>
    <cellStyle name="Note 4 3 3 2 6 2 3 5" xfId="19118" xr:uid="{00000000-0005-0000-0000-000034590000}"/>
    <cellStyle name="Note 4 3 3 2 6 2 3 6" xfId="23040" xr:uid="{00000000-0005-0000-0000-000035590000}"/>
    <cellStyle name="Note 4 3 3 2 6 2 3 7" xfId="26869" xr:uid="{00000000-0005-0000-0000-000036590000}"/>
    <cellStyle name="Note 4 3 3 2 6 2 3 8" xfId="30741" xr:uid="{00000000-0005-0000-0000-000037590000}"/>
    <cellStyle name="Note 4 3 3 2 6 2 3 9" xfId="34399" xr:uid="{00000000-0005-0000-0000-000038590000}"/>
    <cellStyle name="Note 4 3 3 2 6 2 4" xfId="5076" xr:uid="{00000000-0005-0000-0000-000039590000}"/>
    <cellStyle name="Note 4 3 3 2 6 2 5" xfId="9432" xr:uid="{00000000-0005-0000-0000-00003A590000}"/>
    <cellStyle name="Note 4 3 3 2 6 2 6" xfId="13272" xr:uid="{00000000-0005-0000-0000-00003B590000}"/>
    <cellStyle name="Note 4 3 3 2 6 2 7" xfId="17100" xr:uid="{00000000-0005-0000-0000-00003C590000}"/>
    <cellStyle name="Note 4 3 3 2 6 2 8" xfId="21042" xr:uid="{00000000-0005-0000-0000-00003D590000}"/>
    <cellStyle name="Note 4 3 3 2 6 2 9" xfId="24856" xr:uid="{00000000-0005-0000-0000-00003E590000}"/>
    <cellStyle name="Note 4 3 3 2 6 3" xfId="1508" xr:uid="{00000000-0005-0000-0000-00003F590000}"/>
    <cellStyle name="Note 4 3 3 2 6 3 10" xfId="32795" xr:uid="{00000000-0005-0000-0000-000040590000}"/>
    <cellStyle name="Note 4 3 3 2 6 3 11" xfId="36565" xr:uid="{00000000-0005-0000-0000-000041590000}"/>
    <cellStyle name="Note 4 3 3 2 6 3 12" xfId="40556" xr:uid="{00000000-0005-0000-0000-000042590000}"/>
    <cellStyle name="Note 4 3 3 2 6 3 13" xfId="44387" xr:uid="{00000000-0005-0000-0000-000043590000}"/>
    <cellStyle name="Note 4 3 3 2 6 3 2" xfId="3498" xr:uid="{00000000-0005-0000-0000-000044590000}"/>
    <cellStyle name="Note 4 3 3 2 6 3 2 10" xfId="38549" xr:uid="{00000000-0005-0000-0000-000045590000}"/>
    <cellStyle name="Note 4 3 3 2 6 3 2 11" xfId="42560" xr:uid="{00000000-0005-0000-0000-000046590000}"/>
    <cellStyle name="Note 4 3 3 2 6 3 2 12" xfId="46325" xr:uid="{00000000-0005-0000-0000-000047590000}"/>
    <cellStyle name="Note 4 3 3 2 6 3 2 2" xfId="7365" xr:uid="{00000000-0005-0000-0000-000048590000}"/>
    <cellStyle name="Note 4 3 3 2 6 3 2 3" xfId="11800" xr:uid="{00000000-0005-0000-0000-000049590000}"/>
    <cellStyle name="Note 4 3 3 2 6 3 2 4" xfId="15645" xr:uid="{00000000-0005-0000-0000-00004A590000}"/>
    <cellStyle name="Note 4 3 3 2 6 3 2 5" xfId="19492" xr:uid="{00000000-0005-0000-0000-00004B590000}"/>
    <cellStyle name="Note 4 3 3 2 6 3 2 6" xfId="23408" xr:uid="{00000000-0005-0000-0000-00004C590000}"/>
    <cellStyle name="Note 4 3 3 2 6 3 2 7" xfId="27242" xr:uid="{00000000-0005-0000-0000-00004D590000}"/>
    <cellStyle name="Note 4 3 3 2 6 3 2 8" xfId="31109" xr:uid="{00000000-0005-0000-0000-00004E590000}"/>
    <cellStyle name="Note 4 3 3 2 6 3 2 9" xfId="34763" xr:uid="{00000000-0005-0000-0000-00004F590000}"/>
    <cellStyle name="Note 4 3 3 2 6 3 3" xfId="5441" xr:uid="{00000000-0005-0000-0000-000050590000}"/>
    <cellStyle name="Note 4 3 3 2 6 3 4" xfId="9799" xr:uid="{00000000-0005-0000-0000-000051590000}"/>
    <cellStyle name="Note 4 3 3 2 6 3 5" xfId="13645" xr:uid="{00000000-0005-0000-0000-000052590000}"/>
    <cellStyle name="Note 4 3 3 2 6 3 6" xfId="17474" xr:uid="{00000000-0005-0000-0000-000053590000}"/>
    <cellStyle name="Note 4 3 3 2 6 3 7" xfId="21413" xr:uid="{00000000-0005-0000-0000-000054590000}"/>
    <cellStyle name="Note 4 3 3 2 6 3 8" xfId="25226" xr:uid="{00000000-0005-0000-0000-000055590000}"/>
    <cellStyle name="Note 4 3 3 2 6 3 9" xfId="29113" xr:uid="{00000000-0005-0000-0000-000056590000}"/>
    <cellStyle name="Note 4 3 3 2 6 4" xfId="2760" xr:uid="{00000000-0005-0000-0000-000057590000}"/>
    <cellStyle name="Note 4 3 3 2 6 4 10" xfId="37812" xr:uid="{00000000-0005-0000-0000-000058590000}"/>
    <cellStyle name="Note 4 3 3 2 6 4 11" xfId="41825" xr:uid="{00000000-0005-0000-0000-000059590000}"/>
    <cellStyle name="Note 4 3 3 2 6 4 12" xfId="45608" xr:uid="{00000000-0005-0000-0000-00005A590000}"/>
    <cellStyle name="Note 4 3 3 2 6 4 2" xfId="6646" xr:uid="{00000000-0005-0000-0000-00005B590000}"/>
    <cellStyle name="Note 4 3 3 2 6 4 3" xfId="11070" xr:uid="{00000000-0005-0000-0000-00005C590000}"/>
    <cellStyle name="Note 4 3 3 2 6 4 4" xfId="14915" xr:uid="{00000000-0005-0000-0000-00005D590000}"/>
    <cellStyle name="Note 4 3 3 2 6 4 5" xfId="18754" xr:uid="{00000000-0005-0000-0000-00005E590000}"/>
    <cellStyle name="Note 4 3 3 2 6 4 6" xfId="22684" xr:uid="{00000000-0005-0000-0000-00005F590000}"/>
    <cellStyle name="Note 4 3 3 2 6 4 7" xfId="26505" xr:uid="{00000000-0005-0000-0000-000060590000}"/>
    <cellStyle name="Note 4 3 3 2 6 4 8" xfId="30383" xr:uid="{00000000-0005-0000-0000-000061590000}"/>
    <cellStyle name="Note 4 3 3 2 6 4 9" xfId="34046" xr:uid="{00000000-0005-0000-0000-000062590000}"/>
    <cellStyle name="Note 4 3 3 2 6 5" xfId="4722" xr:uid="{00000000-0005-0000-0000-000063590000}"/>
    <cellStyle name="Note 4 3 3 2 6 6" xfId="9069" xr:uid="{00000000-0005-0000-0000-000064590000}"/>
    <cellStyle name="Note 4 3 3 2 6 7" xfId="12908" xr:uid="{00000000-0005-0000-0000-000065590000}"/>
    <cellStyle name="Note 4 3 3 2 6 8" xfId="16734" xr:uid="{00000000-0005-0000-0000-000066590000}"/>
    <cellStyle name="Note 4 3 3 2 6 9" xfId="20673" xr:uid="{00000000-0005-0000-0000-000067590000}"/>
    <cellStyle name="Note 4 3 3 2 7" xfId="857" xr:uid="{00000000-0005-0000-0000-000068590000}"/>
    <cellStyle name="Note 4 3 3 2 7 10" xfId="24581" xr:uid="{00000000-0005-0000-0000-000069590000}"/>
    <cellStyle name="Note 4 3 3 2 7 11" xfId="28472" xr:uid="{00000000-0005-0000-0000-00006A590000}"/>
    <cellStyle name="Note 4 3 3 2 7 12" xfId="32158" xr:uid="{00000000-0005-0000-0000-00006B590000}"/>
    <cellStyle name="Note 4 3 3 2 7 13" xfId="35915" xr:uid="{00000000-0005-0000-0000-00006C590000}"/>
    <cellStyle name="Note 4 3 3 2 7 14" xfId="39926" xr:uid="{00000000-0005-0000-0000-00006D590000}"/>
    <cellStyle name="Note 4 3 3 2 7 15" xfId="43741" xr:uid="{00000000-0005-0000-0000-00006E590000}"/>
    <cellStyle name="Note 4 3 3 2 7 2" xfId="1196" xr:uid="{00000000-0005-0000-0000-00006F590000}"/>
    <cellStyle name="Note 4 3 3 2 7 2 10" xfId="28805" xr:uid="{00000000-0005-0000-0000-000070590000}"/>
    <cellStyle name="Note 4 3 3 2 7 2 11" xfId="32488" xr:uid="{00000000-0005-0000-0000-000071590000}"/>
    <cellStyle name="Note 4 3 3 2 7 2 12" xfId="36254" xr:uid="{00000000-0005-0000-0000-000072590000}"/>
    <cellStyle name="Note 4 3 3 2 7 2 13" xfId="40248" xr:uid="{00000000-0005-0000-0000-000073590000}"/>
    <cellStyle name="Note 4 3 3 2 7 2 14" xfId="44080" xr:uid="{00000000-0005-0000-0000-000074590000}"/>
    <cellStyle name="Note 4 3 3 2 7 2 2" xfId="1918" xr:uid="{00000000-0005-0000-0000-000075590000}"/>
    <cellStyle name="Note 4 3 3 2 7 2 2 10" xfId="33205" xr:uid="{00000000-0005-0000-0000-000076590000}"/>
    <cellStyle name="Note 4 3 3 2 7 2 2 11" xfId="36975" xr:uid="{00000000-0005-0000-0000-000077590000}"/>
    <cellStyle name="Note 4 3 3 2 7 2 2 12" xfId="40966" xr:uid="{00000000-0005-0000-0000-000078590000}"/>
    <cellStyle name="Note 4 3 3 2 7 2 2 13" xfId="44797" xr:uid="{00000000-0005-0000-0000-000079590000}"/>
    <cellStyle name="Note 4 3 3 2 7 2 2 2" xfId="3908" xr:uid="{00000000-0005-0000-0000-00007A590000}"/>
    <cellStyle name="Note 4 3 3 2 7 2 2 2 10" xfId="38959" xr:uid="{00000000-0005-0000-0000-00007B590000}"/>
    <cellStyle name="Note 4 3 3 2 7 2 2 2 11" xfId="42970" xr:uid="{00000000-0005-0000-0000-00007C590000}"/>
    <cellStyle name="Note 4 3 3 2 7 2 2 2 12" xfId="46735" xr:uid="{00000000-0005-0000-0000-00007D590000}"/>
    <cellStyle name="Note 4 3 3 2 7 2 2 2 2" xfId="7775" xr:uid="{00000000-0005-0000-0000-00007E590000}"/>
    <cellStyle name="Note 4 3 3 2 7 2 2 2 3" xfId="12210" xr:uid="{00000000-0005-0000-0000-00007F590000}"/>
    <cellStyle name="Note 4 3 3 2 7 2 2 2 4" xfId="16055" xr:uid="{00000000-0005-0000-0000-000080590000}"/>
    <cellStyle name="Note 4 3 3 2 7 2 2 2 5" xfId="19902" xr:uid="{00000000-0005-0000-0000-000081590000}"/>
    <cellStyle name="Note 4 3 3 2 7 2 2 2 6" xfId="23818" xr:uid="{00000000-0005-0000-0000-000082590000}"/>
    <cellStyle name="Note 4 3 3 2 7 2 2 2 7" xfId="27652" xr:uid="{00000000-0005-0000-0000-000083590000}"/>
    <cellStyle name="Note 4 3 3 2 7 2 2 2 8" xfId="31514" xr:uid="{00000000-0005-0000-0000-000084590000}"/>
    <cellStyle name="Note 4 3 3 2 7 2 2 2 9" xfId="35173" xr:uid="{00000000-0005-0000-0000-000085590000}"/>
    <cellStyle name="Note 4 3 3 2 7 2 2 3" xfId="5851" xr:uid="{00000000-0005-0000-0000-000086590000}"/>
    <cellStyle name="Note 4 3 3 2 7 2 2 4" xfId="10209" xr:uid="{00000000-0005-0000-0000-000087590000}"/>
    <cellStyle name="Note 4 3 3 2 7 2 2 5" xfId="14055" xr:uid="{00000000-0005-0000-0000-000088590000}"/>
    <cellStyle name="Note 4 3 3 2 7 2 2 6" xfId="17884" xr:uid="{00000000-0005-0000-0000-000089590000}"/>
    <cellStyle name="Note 4 3 3 2 7 2 2 7" xfId="21823" xr:uid="{00000000-0005-0000-0000-00008A590000}"/>
    <cellStyle name="Note 4 3 3 2 7 2 2 8" xfId="25636" xr:uid="{00000000-0005-0000-0000-00008B590000}"/>
    <cellStyle name="Note 4 3 3 2 7 2 2 9" xfId="29523" xr:uid="{00000000-0005-0000-0000-00008C590000}"/>
    <cellStyle name="Note 4 3 3 2 7 2 3" xfId="3186" xr:uid="{00000000-0005-0000-0000-00008D590000}"/>
    <cellStyle name="Note 4 3 3 2 7 2 3 10" xfId="38238" xr:uid="{00000000-0005-0000-0000-00008E590000}"/>
    <cellStyle name="Note 4 3 3 2 7 2 3 11" xfId="42249" xr:uid="{00000000-0005-0000-0000-00008F590000}"/>
    <cellStyle name="Note 4 3 3 2 7 2 3 12" xfId="46018" xr:uid="{00000000-0005-0000-0000-000090590000}"/>
    <cellStyle name="Note 4 3 3 2 7 2 3 2" xfId="7058" xr:uid="{00000000-0005-0000-0000-000091590000}"/>
    <cellStyle name="Note 4 3 3 2 7 2 3 3" xfId="11490" xr:uid="{00000000-0005-0000-0000-000092590000}"/>
    <cellStyle name="Note 4 3 3 2 7 2 3 4" xfId="15334" xr:uid="{00000000-0005-0000-0000-000093590000}"/>
    <cellStyle name="Note 4 3 3 2 7 2 3 5" xfId="19180" xr:uid="{00000000-0005-0000-0000-000094590000}"/>
    <cellStyle name="Note 4 3 3 2 7 2 3 6" xfId="23099" xr:uid="{00000000-0005-0000-0000-000095590000}"/>
    <cellStyle name="Note 4 3 3 2 7 2 3 7" xfId="26931" xr:uid="{00000000-0005-0000-0000-000096590000}"/>
    <cellStyle name="Note 4 3 3 2 7 2 3 8" xfId="30802" xr:uid="{00000000-0005-0000-0000-000097590000}"/>
    <cellStyle name="Note 4 3 3 2 7 2 3 9" xfId="34456" xr:uid="{00000000-0005-0000-0000-000098590000}"/>
    <cellStyle name="Note 4 3 3 2 7 2 4" xfId="5134" xr:uid="{00000000-0005-0000-0000-000099590000}"/>
    <cellStyle name="Note 4 3 3 2 7 2 5" xfId="9490" xr:uid="{00000000-0005-0000-0000-00009A590000}"/>
    <cellStyle name="Note 4 3 3 2 7 2 6" xfId="13334" xr:uid="{00000000-0005-0000-0000-00009B590000}"/>
    <cellStyle name="Note 4 3 3 2 7 2 7" xfId="17162" xr:uid="{00000000-0005-0000-0000-00009C590000}"/>
    <cellStyle name="Note 4 3 3 2 7 2 8" xfId="21104" xr:uid="{00000000-0005-0000-0000-00009D590000}"/>
    <cellStyle name="Note 4 3 3 2 7 2 9" xfId="24915" xr:uid="{00000000-0005-0000-0000-00009E590000}"/>
    <cellStyle name="Note 4 3 3 2 7 3" xfId="1588" xr:uid="{00000000-0005-0000-0000-00009F590000}"/>
    <cellStyle name="Note 4 3 3 2 7 3 10" xfId="32875" xr:uid="{00000000-0005-0000-0000-0000A0590000}"/>
    <cellStyle name="Note 4 3 3 2 7 3 11" xfId="36645" xr:uid="{00000000-0005-0000-0000-0000A1590000}"/>
    <cellStyle name="Note 4 3 3 2 7 3 12" xfId="40636" xr:uid="{00000000-0005-0000-0000-0000A2590000}"/>
    <cellStyle name="Note 4 3 3 2 7 3 13" xfId="44467" xr:uid="{00000000-0005-0000-0000-0000A3590000}"/>
    <cellStyle name="Note 4 3 3 2 7 3 2" xfId="3578" xr:uid="{00000000-0005-0000-0000-0000A4590000}"/>
    <cellStyle name="Note 4 3 3 2 7 3 2 10" xfId="38629" xr:uid="{00000000-0005-0000-0000-0000A5590000}"/>
    <cellStyle name="Note 4 3 3 2 7 3 2 11" xfId="42640" xr:uid="{00000000-0005-0000-0000-0000A6590000}"/>
    <cellStyle name="Note 4 3 3 2 7 3 2 12" xfId="46405" xr:uid="{00000000-0005-0000-0000-0000A7590000}"/>
    <cellStyle name="Note 4 3 3 2 7 3 2 2" xfId="7445" xr:uid="{00000000-0005-0000-0000-0000A8590000}"/>
    <cellStyle name="Note 4 3 3 2 7 3 2 3" xfId="11880" xr:uid="{00000000-0005-0000-0000-0000A9590000}"/>
    <cellStyle name="Note 4 3 3 2 7 3 2 4" xfId="15725" xr:uid="{00000000-0005-0000-0000-0000AA590000}"/>
    <cellStyle name="Note 4 3 3 2 7 3 2 5" xfId="19572" xr:uid="{00000000-0005-0000-0000-0000AB590000}"/>
    <cellStyle name="Note 4 3 3 2 7 3 2 6" xfId="23488" xr:uid="{00000000-0005-0000-0000-0000AC590000}"/>
    <cellStyle name="Note 4 3 3 2 7 3 2 7" xfId="27322" xr:uid="{00000000-0005-0000-0000-0000AD590000}"/>
    <cellStyle name="Note 4 3 3 2 7 3 2 8" xfId="31188" xr:uid="{00000000-0005-0000-0000-0000AE590000}"/>
    <cellStyle name="Note 4 3 3 2 7 3 2 9" xfId="34843" xr:uid="{00000000-0005-0000-0000-0000AF590000}"/>
    <cellStyle name="Note 4 3 3 2 7 3 3" xfId="5521" xr:uid="{00000000-0005-0000-0000-0000B0590000}"/>
    <cellStyle name="Note 4 3 3 2 7 3 4" xfId="9879" xr:uid="{00000000-0005-0000-0000-0000B1590000}"/>
    <cellStyle name="Note 4 3 3 2 7 3 5" xfId="13725" xr:uid="{00000000-0005-0000-0000-0000B2590000}"/>
    <cellStyle name="Note 4 3 3 2 7 3 6" xfId="17554" xr:uid="{00000000-0005-0000-0000-0000B3590000}"/>
    <cellStyle name="Note 4 3 3 2 7 3 7" xfId="21493" xr:uid="{00000000-0005-0000-0000-0000B4590000}"/>
    <cellStyle name="Note 4 3 3 2 7 3 8" xfId="25306" xr:uid="{00000000-0005-0000-0000-0000B5590000}"/>
    <cellStyle name="Note 4 3 3 2 7 3 9" xfId="29193" xr:uid="{00000000-0005-0000-0000-0000B6590000}"/>
    <cellStyle name="Note 4 3 3 2 7 4" xfId="2847" xr:uid="{00000000-0005-0000-0000-0000B7590000}"/>
    <cellStyle name="Note 4 3 3 2 7 4 10" xfId="37899" xr:uid="{00000000-0005-0000-0000-0000B8590000}"/>
    <cellStyle name="Note 4 3 3 2 7 4 11" xfId="41911" xr:uid="{00000000-0005-0000-0000-0000B9590000}"/>
    <cellStyle name="Note 4 3 3 2 7 4 12" xfId="45688" xr:uid="{00000000-0005-0000-0000-0000BA590000}"/>
    <cellStyle name="Note 4 3 3 2 7 4 2" xfId="6727" xr:uid="{00000000-0005-0000-0000-0000BB590000}"/>
    <cellStyle name="Note 4 3 3 2 7 4 3" xfId="11154" xr:uid="{00000000-0005-0000-0000-0000BC590000}"/>
    <cellStyle name="Note 4 3 3 2 7 4 4" xfId="14999" xr:uid="{00000000-0005-0000-0000-0000BD590000}"/>
    <cellStyle name="Note 4 3 3 2 7 4 5" xfId="18841" xr:uid="{00000000-0005-0000-0000-0000BE590000}"/>
    <cellStyle name="Note 4 3 3 2 7 4 6" xfId="22767" xr:uid="{00000000-0005-0000-0000-0000BF590000}"/>
    <cellStyle name="Note 4 3 3 2 7 4 7" xfId="26592" xr:uid="{00000000-0005-0000-0000-0000C0590000}"/>
    <cellStyle name="Note 4 3 3 2 7 4 8" xfId="30469" xr:uid="{00000000-0005-0000-0000-0000C1590000}"/>
    <cellStyle name="Note 4 3 3 2 7 4 9" xfId="34126" xr:uid="{00000000-0005-0000-0000-0000C2590000}"/>
    <cellStyle name="Note 4 3 3 2 7 5" xfId="4803" xr:uid="{00000000-0005-0000-0000-0000C3590000}"/>
    <cellStyle name="Note 4 3 3 2 7 6" xfId="9157" xr:uid="{00000000-0005-0000-0000-0000C4590000}"/>
    <cellStyle name="Note 4 3 3 2 7 7" xfId="12998" xr:uid="{00000000-0005-0000-0000-0000C5590000}"/>
    <cellStyle name="Note 4 3 3 2 7 8" xfId="16823" xr:uid="{00000000-0005-0000-0000-0000C6590000}"/>
    <cellStyle name="Note 4 3 3 2 7 9" xfId="20765" xr:uid="{00000000-0005-0000-0000-0000C7590000}"/>
    <cellStyle name="Note 4 3 3 2 8" xfId="828" xr:uid="{00000000-0005-0000-0000-0000C8590000}"/>
    <cellStyle name="Note 4 3 3 2 8 10" xfId="28443" xr:uid="{00000000-0005-0000-0000-0000C9590000}"/>
    <cellStyle name="Note 4 3 3 2 8 11" xfId="32129" xr:uid="{00000000-0005-0000-0000-0000CA590000}"/>
    <cellStyle name="Note 4 3 3 2 8 12" xfId="35886" xr:uid="{00000000-0005-0000-0000-0000CB590000}"/>
    <cellStyle name="Note 4 3 3 2 8 13" xfId="39897" xr:uid="{00000000-0005-0000-0000-0000CC590000}"/>
    <cellStyle name="Note 4 3 3 2 8 14" xfId="43712" xr:uid="{00000000-0005-0000-0000-0000CD590000}"/>
    <cellStyle name="Note 4 3 3 2 8 2" xfId="1559" xr:uid="{00000000-0005-0000-0000-0000CE590000}"/>
    <cellStyle name="Note 4 3 3 2 8 2 10" xfId="32846" xr:uid="{00000000-0005-0000-0000-0000CF590000}"/>
    <cellStyle name="Note 4 3 3 2 8 2 11" xfId="36616" xr:uid="{00000000-0005-0000-0000-0000D0590000}"/>
    <cellStyle name="Note 4 3 3 2 8 2 12" xfId="40607" xr:uid="{00000000-0005-0000-0000-0000D1590000}"/>
    <cellStyle name="Note 4 3 3 2 8 2 13" xfId="44438" xr:uid="{00000000-0005-0000-0000-0000D2590000}"/>
    <cellStyle name="Note 4 3 3 2 8 2 2" xfId="3549" xr:uid="{00000000-0005-0000-0000-0000D3590000}"/>
    <cellStyle name="Note 4 3 3 2 8 2 2 10" xfId="38600" xr:uid="{00000000-0005-0000-0000-0000D4590000}"/>
    <cellStyle name="Note 4 3 3 2 8 2 2 11" xfId="42611" xr:uid="{00000000-0005-0000-0000-0000D5590000}"/>
    <cellStyle name="Note 4 3 3 2 8 2 2 12" xfId="46376" xr:uid="{00000000-0005-0000-0000-0000D6590000}"/>
    <cellStyle name="Note 4 3 3 2 8 2 2 2" xfId="7416" xr:uid="{00000000-0005-0000-0000-0000D7590000}"/>
    <cellStyle name="Note 4 3 3 2 8 2 2 3" xfId="11851" xr:uid="{00000000-0005-0000-0000-0000D8590000}"/>
    <cellStyle name="Note 4 3 3 2 8 2 2 4" xfId="15696" xr:uid="{00000000-0005-0000-0000-0000D9590000}"/>
    <cellStyle name="Note 4 3 3 2 8 2 2 5" xfId="19543" xr:uid="{00000000-0005-0000-0000-0000DA590000}"/>
    <cellStyle name="Note 4 3 3 2 8 2 2 6" xfId="23459" xr:uid="{00000000-0005-0000-0000-0000DB590000}"/>
    <cellStyle name="Note 4 3 3 2 8 2 2 7" xfId="27293" xr:uid="{00000000-0005-0000-0000-0000DC590000}"/>
    <cellStyle name="Note 4 3 3 2 8 2 2 8" xfId="31159" xr:uid="{00000000-0005-0000-0000-0000DD590000}"/>
    <cellStyle name="Note 4 3 3 2 8 2 2 9" xfId="34814" xr:uid="{00000000-0005-0000-0000-0000DE590000}"/>
    <cellStyle name="Note 4 3 3 2 8 2 3" xfId="5492" xr:uid="{00000000-0005-0000-0000-0000DF590000}"/>
    <cellStyle name="Note 4 3 3 2 8 2 4" xfId="9850" xr:uid="{00000000-0005-0000-0000-0000E0590000}"/>
    <cellStyle name="Note 4 3 3 2 8 2 5" xfId="13696" xr:uid="{00000000-0005-0000-0000-0000E1590000}"/>
    <cellStyle name="Note 4 3 3 2 8 2 6" xfId="17525" xr:uid="{00000000-0005-0000-0000-0000E2590000}"/>
    <cellStyle name="Note 4 3 3 2 8 2 7" xfId="21464" xr:uid="{00000000-0005-0000-0000-0000E3590000}"/>
    <cellStyle name="Note 4 3 3 2 8 2 8" xfId="25277" xr:uid="{00000000-0005-0000-0000-0000E4590000}"/>
    <cellStyle name="Note 4 3 3 2 8 2 9" xfId="29164" xr:uid="{00000000-0005-0000-0000-0000E5590000}"/>
    <cellStyle name="Note 4 3 3 2 8 3" xfId="2818" xr:uid="{00000000-0005-0000-0000-0000E6590000}"/>
    <cellStyle name="Note 4 3 3 2 8 3 10" xfId="37870" xr:uid="{00000000-0005-0000-0000-0000E7590000}"/>
    <cellStyle name="Note 4 3 3 2 8 3 11" xfId="41882" xr:uid="{00000000-0005-0000-0000-0000E8590000}"/>
    <cellStyle name="Note 4 3 3 2 8 3 12" xfId="45659" xr:uid="{00000000-0005-0000-0000-0000E9590000}"/>
    <cellStyle name="Note 4 3 3 2 8 3 2" xfId="6698" xr:uid="{00000000-0005-0000-0000-0000EA590000}"/>
    <cellStyle name="Note 4 3 3 2 8 3 3" xfId="11125" xr:uid="{00000000-0005-0000-0000-0000EB590000}"/>
    <cellStyle name="Note 4 3 3 2 8 3 4" xfId="14970" xr:uid="{00000000-0005-0000-0000-0000EC590000}"/>
    <cellStyle name="Note 4 3 3 2 8 3 5" xfId="18812" xr:uid="{00000000-0005-0000-0000-0000ED590000}"/>
    <cellStyle name="Note 4 3 3 2 8 3 6" xfId="22738" xr:uid="{00000000-0005-0000-0000-0000EE590000}"/>
    <cellStyle name="Note 4 3 3 2 8 3 7" xfId="26563" xr:uid="{00000000-0005-0000-0000-0000EF590000}"/>
    <cellStyle name="Note 4 3 3 2 8 3 8" xfId="30440" xr:uid="{00000000-0005-0000-0000-0000F0590000}"/>
    <cellStyle name="Note 4 3 3 2 8 3 9" xfId="34097" xr:uid="{00000000-0005-0000-0000-0000F1590000}"/>
    <cellStyle name="Note 4 3 3 2 8 4" xfId="4774" xr:uid="{00000000-0005-0000-0000-0000F2590000}"/>
    <cellStyle name="Note 4 3 3 2 8 5" xfId="9128" xr:uid="{00000000-0005-0000-0000-0000F3590000}"/>
    <cellStyle name="Note 4 3 3 2 8 6" xfId="12969" xr:uid="{00000000-0005-0000-0000-0000F4590000}"/>
    <cellStyle name="Note 4 3 3 2 8 7" xfId="16794" xr:uid="{00000000-0005-0000-0000-0000F5590000}"/>
    <cellStyle name="Note 4 3 3 2 8 8" xfId="20736" xr:uid="{00000000-0005-0000-0000-0000F6590000}"/>
    <cellStyle name="Note 4 3 3 2 8 9" xfId="24552" xr:uid="{00000000-0005-0000-0000-0000F7590000}"/>
    <cellStyle name="Note 4 3 3 2 9" xfId="1283" xr:uid="{00000000-0005-0000-0000-0000F8590000}"/>
    <cellStyle name="Note 4 3 3 2 9 10" xfId="32570" xr:uid="{00000000-0005-0000-0000-0000F9590000}"/>
    <cellStyle name="Note 4 3 3 2 9 11" xfId="36340" xr:uid="{00000000-0005-0000-0000-0000FA590000}"/>
    <cellStyle name="Note 4 3 3 2 9 12" xfId="40332" xr:uid="{00000000-0005-0000-0000-0000FB590000}"/>
    <cellStyle name="Note 4 3 3 2 9 13" xfId="44162" xr:uid="{00000000-0005-0000-0000-0000FC590000}"/>
    <cellStyle name="Note 4 3 3 2 9 2" xfId="3273" xr:uid="{00000000-0005-0000-0000-0000FD590000}"/>
    <cellStyle name="Note 4 3 3 2 9 2 10" xfId="38324" xr:uid="{00000000-0005-0000-0000-0000FE590000}"/>
    <cellStyle name="Note 4 3 3 2 9 2 11" xfId="42335" xr:uid="{00000000-0005-0000-0000-0000FF590000}"/>
    <cellStyle name="Note 4 3 3 2 9 2 12" xfId="46100" xr:uid="{00000000-0005-0000-0000-0000005A0000}"/>
    <cellStyle name="Note 4 3 3 2 9 2 2" xfId="7140" xr:uid="{00000000-0005-0000-0000-0000015A0000}"/>
    <cellStyle name="Note 4 3 3 2 9 2 3" xfId="11575" xr:uid="{00000000-0005-0000-0000-0000025A0000}"/>
    <cellStyle name="Note 4 3 3 2 9 2 4" xfId="15420" xr:uid="{00000000-0005-0000-0000-0000035A0000}"/>
    <cellStyle name="Note 4 3 3 2 9 2 5" xfId="19267" xr:uid="{00000000-0005-0000-0000-0000045A0000}"/>
    <cellStyle name="Note 4 3 3 2 9 2 6" xfId="23183" xr:uid="{00000000-0005-0000-0000-0000055A0000}"/>
    <cellStyle name="Note 4 3 3 2 9 2 7" xfId="27017" xr:uid="{00000000-0005-0000-0000-0000065A0000}"/>
    <cellStyle name="Note 4 3 3 2 9 2 8" xfId="30887" xr:uid="{00000000-0005-0000-0000-0000075A0000}"/>
    <cellStyle name="Note 4 3 3 2 9 2 9" xfId="34538" xr:uid="{00000000-0005-0000-0000-0000085A0000}"/>
    <cellStyle name="Note 4 3 3 2 9 3" xfId="5216" xr:uid="{00000000-0005-0000-0000-0000095A0000}"/>
    <cellStyle name="Note 4 3 3 2 9 4" xfId="9574" xr:uid="{00000000-0005-0000-0000-00000A5A0000}"/>
    <cellStyle name="Note 4 3 3 2 9 5" xfId="13420" xr:uid="{00000000-0005-0000-0000-00000B5A0000}"/>
    <cellStyle name="Note 4 3 3 2 9 6" xfId="17249" xr:uid="{00000000-0005-0000-0000-00000C5A0000}"/>
    <cellStyle name="Note 4 3 3 2 9 7" xfId="21188" xr:uid="{00000000-0005-0000-0000-00000D5A0000}"/>
    <cellStyle name="Note 4 3 3 2 9 8" xfId="25001" xr:uid="{00000000-0005-0000-0000-00000E5A0000}"/>
    <cellStyle name="Note 4 3 3 2 9 9" xfId="28889" xr:uid="{00000000-0005-0000-0000-00000F5A0000}"/>
    <cellStyle name="Note 4 3 3 20" xfId="2531" xr:uid="{00000000-0005-0000-0000-0000105A0000}"/>
    <cellStyle name="Note 4 3 3 20 10" xfId="37583" xr:uid="{00000000-0005-0000-0000-0000115A0000}"/>
    <cellStyle name="Note 4 3 3 20 11" xfId="41597" xr:uid="{00000000-0005-0000-0000-0000125A0000}"/>
    <cellStyle name="Note 4 3 3 20 12" xfId="45386" xr:uid="{00000000-0005-0000-0000-0000135A0000}"/>
    <cellStyle name="Note 4 3 3 20 2" xfId="6423" xr:uid="{00000000-0005-0000-0000-0000145A0000}"/>
    <cellStyle name="Note 4 3 3 20 3" xfId="10846" xr:uid="{00000000-0005-0000-0000-0000155A0000}"/>
    <cellStyle name="Note 4 3 3 20 4" xfId="14690" xr:uid="{00000000-0005-0000-0000-0000165A0000}"/>
    <cellStyle name="Note 4 3 3 20 5" xfId="18525" xr:uid="{00000000-0005-0000-0000-0000175A0000}"/>
    <cellStyle name="Note 4 3 3 20 6" xfId="22460" xr:uid="{00000000-0005-0000-0000-0000185A0000}"/>
    <cellStyle name="Note 4 3 3 20 7" xfId="26276" xr:uid="{00000000-0005-0000-0000-0000195A0000}"/>
    <cellStyle name="Note 4 3 3 20 8" xfId="30155" xr:uid="{00000000-0005-0000-0000-00001A5A0000}"/>
    <cellStyle name="Note 4 3 3 20 9" xfId="33824" xr:uid="{00000000-0005-0000-0000-00001B5A0000}"/>
    <cellStyle name="Note 4 3 3 21" xfId="8706" xr:uid="{00000000-0005-0000-0000-00001C5A0000}"/>
    <cellStyle name="Note 4 3 3 22" xfId="8798" xr:uid="{00000000-0005-0000-0000-00001D5A0000}"/>
    <cellStyle name="Note 4 3 3 23" xfId="8521" xr:uid="{00000000-0005-0000-0000-00001E5A0000}"/>
    <cellStyle name="Note 4 3 3 24" xfId="10807" xr:uid="{00000000-0005-0000-0000-00001F5A0000}"/>
    <cellStyle name="Note 4 3 3 25" xfId="8575" xr:uid="{00000000-0005-0000-0000-0000205A0000}"/>
    <cellStyle name="Note 4 3 3 26" xfId="24502" xr:uid="{00000000-0005-0000-0000-0000215A0000}"/>
    <cellStyle name="Note 4 3 3 27" xfId="8660" xr:uid="{00000000-0005-0000-0000-0000225A0000}"/>
    <cellStyle name="Note 4 3 3 28" xfId="8961" xr:uid="{00000000-0005-0000-0000-0000235A0000}"/>
    <cellStyle name="Note 4 3 3 29" xfId="39620" xr:uid="{00000000-0005-0000-0000-0000245A0000}"/>
    <cellStyle name="Note 4 3 3 3" xfId="486" xr:uid="{00000000-0005-0000-0000-0000255A0000}"/>
    <cellStyle name="Note 4 3 3 3 10" xfId="1284" xr:uid="{00000000-0005-0000-0000-0000265A0000}"/>
    <cellStyle name="Note 4 3 3 3 10 10" xfId="32571" xr:uid="{00000000-0005-0000-0000-0000275A0000}"/>
    <cellStyle name="Note 4 3 3 3 10 11" xfId="36341" xr:uid="{00000000-0005-0000-0000-0000285A0000}"/>
    <cellStyle name="Note 4 3 3 3 10 12" xfId="40333" xr:uid="{00000000-0005-0000-0000-0000295A0000}"/>
    <cellStyle name="Note 4 3 3 3 10 13" xfId="44163" xr:uid="{00000000-0005-0000-0000-00002A5A0000}"/>
    <cellStyle name="Note 4 3 3 3 10 2" xfId="3274" xr:uid="{00000000-0005-0000-0000-00002B5A0000}"/>
    <cellStyle name="Note 4 3 3 3 10 2 10" xfId="38325" xr:uid="{00000000-0005-0000-0000-00002C5A0000}"/>
    <cellStyle name="Note 4 3 3 3 10 2 11" xfId="42336" xr:uid="{00000000-0005-0000-0000-00002D5A0000}"/>
    <cellStyle name="Note 4 3 3 3 10 2 12" xfId="46101" xr:uid="{00000000-0005-0000-0000-00002E5A0000}"/>
    <cellStyle name="Note 4 3 3 3 10 2 2" xfId="7141" xr:uid="{00000000-0005-0000-0000-00002F5A0000}"/>
    <cellStyle name="Note 4 3 3 3 10 2 3" xfId="11576" xr:uid="{00000000-0005-0000-0000-0000305A0000}"/>
    <cellStyle name="Note 4 3 3 3 10 2 4" xfId="15421" xr:uid="{00000000-0005-0000-0000-0000315A0000}"/>
    <cellStyle name="Note 4 3 3 3 10 2 5" xfId="19268" xr:uid="{00000000-0005-0000-0000-0000325A0000}"/>
    <cellStyle name="Note 4 3 3 3 10 2 6" xfId="23184" xr:uid="{00000000-0005-0000-0000-0000335A0000}"/>
    <cellStyle name="Note 4 3 3 3 10 2 7" xfId="27018" xr:uid="{00000000-0005-0000-0000-0000345A0000}"/>
    <cellStyle name="Note 4 3 3 3 10 2 8" xfId="30888" xr:uid="{00000000-0005-0000-0000-0000355A0000}"/>
    <cellStyle name="Note 4 3 3 3 10 2 9" xfId="34539" xr:uid="{00000000-0005-0000-0000-0000365A0000}"/>
    <cellStyle name="Note 4 3 3 3 10 3" xfId="5217" xr:uid="{00000000-0005-0000-0000-0000375A0000}"/>
    <cellStyle name="Note 4 3 3 3 10 4" xfId="9575" xr:uid="{00000000-0005-0000-0000-0000385A0000}"/>
    <cellStyle name="Note 4 3 3 3 10 5" xfId="13421" xr:uid="{00000000-0005-0000-0000-0000395A0000}"/>
    <cellStyle name="Note 4 3 3 3 10 6" xfId="17250" xr:uid="{00000000-0005-0000-0000-00003A5A0000}"/>
    <cellStyle name="Note 4 3 3 3 10 7" xfId="21189" xr:uid="{00000000-0005-0000-0000-00003B5A0000}"/>
    <cellStyle name="Note 4 3 3 3 10 8" xfId="25002" xr:uid="{00000000-0005-0000-0000-00003C5A0000}"/>
    <cellStyle name="Note 4 3 3 3 10 9" xfId="28890" xr:uid="{00000000-0005-0000-0000-00003D5A0000}"/>
    <cellStyle name="Note 4 3 3 3 11" xfId="1980" xr:uid="{00000000-0005-0000-0000-00003E5A0000}"/>
    <cellStyle name="Note 4 3 3 3 11 10" xfId="33267" xr:uid="{00000000-0005-0000-0000-00003F5A0000}"/>
    <cellStyle name="Note 4 3 3 3 11 11" xfId="37037" xr:uid="{00000000-0005-0000-0000-0000405A0000}"/>
    <cellStyle name="Note 4 3 3 3 11 12" xfId="41028" xr:uid="{00000000-0005-0000-0000-0000415A0000}"/>
    <cellStyle name="Note 4 3 3 3 11 13" xfId="44859" xr:uid="{00000000-0005-0000-0000-0000425A0000}"/>
    <cellStyle name="Note 4 3 3 3 11 2" xfId="3970" xr:uid="{00000000-0005-0000-0000-0000435A0000}"/>
    <cellStyle name="Note 4 3 3 3 11 2 10" xfId="39021" xr:uid="{00000000-0005-0000-0000-0000445A0000}"/>
    <cellStyle name="Note 4 3 3 3 11 2 11" xfId="43032" xr:uid="{00000000-0005-0000-0000-0000455A0000}"/>
    <cellStyle name="Note 4 3 3 3 11 2 12" xfId="46797" xr:uid="{00000000-0005-0000-0000-0000465A0000}"/>
    <cellStyle name="Note 4 3 3 3 11 2 2" xfId="7837" xr:uid="{00000000-0005-0000-0000-0000475A0000}"/>
    <cellStyle name="Note 4 3 3 3 11 2 3" xfId="12272" xr:uid="{00000000-0005-0000-0000-0000485A0000}"/>
    <cellStyle name="Note 4 3 3 3 11 2 4" xfId="16117" xr:uid="{00000000-0005-0000-0000-0000495A0000}"/>
    <cellStyle name="Note 4 3 3 3 11 2 5" xfId="19964" xr:uid="{00000000-0005-0000-0000-00004A5A0000}"/>
    <cellStyle name="Note 4 3 3 3 11 2 6" xfId="23880" xr:uid="{00000000-0005-0000-0000-00004B5A0000}"/>
    <cellStyle name="Note 4 3 3 3 11 2 7" xfId="27714" xr:uid="{00000000-0005-0000-0000-00004C5A0000}"/>
    <cellStyle name="Note 4 3 3 3 11 2 8" xfId="31574" xr:uid="{00000000-0005-0000-0000-00004D5A0000}"/>
    <cellStyle name="Note 4 3 3 3 11 2 9" xfId="35235" xr:uid="{00000000-0005-0000-0000-00004E5A0000}"/>
    <cellStyle name="Note 4 3 3 3 11 3" xfId="5913" xr:uid="{00000000-0005-0000-0000-00004F5A0000}"/>
    <cellStyle name="Note 4 3 3 3 11 4" xfId="10271" xr:uid="{00000000-0005-0000-0000-0000505A0000}"/>
    <cellStyle name="Note 4 3 3 3 11 5" xfId="14117" xr:uid="{00000000-0005-0000-0000-0000515A0000}"/>
    <cellStyle name="Note 4 3 3 3 11 6" xfId="17946" xr:uid="{00000000-0005-0000-0000-0000525A0000}"/>
    <cellStyle name="Note 4 3 3 3 11 7" xfId="21885" xr:uid="{00000000-0005-0000-0000-0000535A0000}"/>
    <cellStyle name="Note 4 3 3 3 11 8" xfId="25698" xr:uid="{00000000-0005-0000-0000-0000545A0000}"/>
    <cellStyle name="Note 4 3 3 3 11 9" xfId="29585" xr:uid="{00000000-0005-0000-0000-0000555A0000}"/>
    <cellStyle name="Note 4 3 3 3 12" xfId="1272" xr:uid="{00000000-0005-0000-0000-0000565A0000}"/>
    <cellStyle name="Note 4 3 3 3 12 10" xfId="32559" xr:uid="{00000000-0005-0000-0000-0000575A0000}"/>
    <cellStyle name="Note 4 3 3 3 12 11" xfId="36329" xr:uid="{00000000-0005-0000-0000-0000585A0000}"/>
    <cellStyle name="Note 4 3 3 3 12 12" xfId="40321" xr:uid="{00000000-0005-0000-0000-0000595A0000}"/>
    <cellStyle name="Note 4 3 3 3 12 13" xfId="44151" xr:uid="{00000000-0005-0000-0000-00005A5A0000}"/>
    <cellStyle name="Note 4 3 3 3 12 2" xfId="3262" xr:uid="{00000000-0005-0000-0000-00005B5A0000}"/>
    <cellStyle name="Note 4 3 3 3 12 2 10" xfId="38313" xr:uid="{00000000-0005-0000-0000-00005C5A0000}"/>
    <cellStyle name="Note 4 3 3 3 12 2 11" xfId="42324" xr:uid="{00000000-0005-0000-0000-00005D5A0000}"/>
    <cellStyle name="Note 4 3 3 3 12 2 12" xfId="46089" xr:uid="{00000000-0005-0000-0000-00005E5A0000}"/>
    <cellStyle name="Note 4 3 3 3 12 2 2" xfId="7129" xr:uid="{00000000-0005-0000-0000-00005F5A0000}"/>
    <cellStyle name="Note 4 3 3 3 12 2 3" xfId="11564" xr:uid="{00000000-0005-0000-0000-0000605A0000}"/>
    <cellStyle name="Note 4 3 3 3 12 2 4" xfId="15409" xr:uid="{00000000-0005-0000-0000-0000615A0000}"/>
    <cellStyle name="Note 4 3 3 3 12 2 5" xfId="19256" xr:uid="{00000000-0005-0000-0000-0000625A0000}"/>
    <cellStyle name="Note 4 3 3 3 12 2 6" xfId="23172" xr:uid="{00000000-0005-0000-0000-0000635A0000}"/>
    <cellStyle name="Note 4 3 3 3 12 2 7" xfId="27006" xr:uid="{00000000-0005-0000-0000-0000645A0000}"/>
    <cellStyle name="Note 4 3 3 3 12 2 8" xfId="30876" xr:uid="{00000000-0005-0000-0000-0000655A0000}"/>
    <cellStyle name="Note 4 3 3 3 12 2 9" xfId="34527" xr:uid="{00000000-0005-0000-0000-0000665A0000}"/>
    <cellStyle name="Note 4 3 3 3 12 3" xfId="5205" xr:uid="{00000000-0005-0000-0000-0000675A0000}"/>
    <cellStyle name="Note 4 3 3 3 12 4" xfId="9563" xr:uid="{00000000-0005-0000-0000-0000685A0000}"/>
    <cellStyle name="Note 4 3 3 3 12 5" xfId="13409" xr:uid="{00000000-0005-0000-0000-0000695A0000}"/>
    <cellStyle name="Note 4 3 3 3 12 6" xfId="17238" xr:uid="{00000000-0005-0000-0000-00006A5A0000}"/>
    <cellStyle name="Note 4 3 3 3 12 7" xfId="21177" xr:uid="{00000000-0005-0000-0000-00006B5A0000}"/>
    <cellStyle name="Note 4 3 3 3 12 8" xfId="24990" xr:uid="{00000000-0005-0000-0000-00006C5A0000}"/>
    <cellStyle name="Note 4 3 3 3 12 9" xfId="28878" xr:uid="{00000000-0005-0000-0000-00006D5A0000}"/>
    <cellStyle name="Note 4 3 3 3 13" xfId="2165" xr:uid="{00000000-0005-0000-0000-00006E5A0000}"/>
    <cellStyle name="Note 4 3 3 3 13 10" xfId="33466" xr:uid="{00000000-0005-0000-0000-00006F5A0000}"/>
    <cellStyle name="Note 4 3 3 3 13 11" xfId="37217" xr:uid="{00000000-0005-0000-0000-0000705A0000}"/>
    <cellStyle name="Note 4 3 3 3 13 12" xfId="41233" xr:uid="{00000000-0005-0000-0000-0000715A0000}"/>
    <cellStyle name="Note 4 3 3 3 13 13" xfId="45028" xr:uid="{00000000-0005-0000-0000-0000725A0000}"/>
    <cellStyle name="Note 4 3 3 3 13 2" xfId="4148" xr:uid="{00000000-0005-0000-0000-0000735A0000}"/>
    <cellStyle name="Note 4 3 3 3 13 2 10" xfId="39199" xr:uid="{00000000-0005-0000-0000-0000745A0000}"/>
    <cellStyle name="Note 4 3 3 3 13 2 11" xfId="43209" xr:uid="{00000000-0005-0000-0000-0000755A0000}"/>
    <cellStyle name="Note 4 3 3 3 13 2 12" xfId="46966" xr:uid="{00000000-0005-0000-0000-0000765A0000}"/>
    <cellStyle name="Note 4 3 3 3 13 2 2" xfId="8007" xr:uid="{00000000-0005-0000-0000-0000775A0000}"/>
    <cellStyle name="Note 4 3 3 3 13 2 3" xfId="12447" xr:uid="{00000000-0005-0000-0000-0000785A0000}"/>
    <cellStyle name="Note 4 3 3 3 13 2 4" xfId="16292" xr:uid="{00000000-0005-0000-0000-0000795A0000}"/>
    <cellStyle name="Note 4 3 3 3 13 2 5" xfId="20142" xr:uid="{00000000-0005-0000-0000-00007A5A0000}"/>
    <cellStyle name="Note 4 3 3 3 13 2 6" xfId="24054" xr:uid="{00000000-0005-0000-0000-00007B5A0000}"/>
    <cellStyle name="Note 4 3 3 3 13 2 7" xfId="27892" xr:uid="{00000000-0005-0000-0000-00007C5A0000}"/>
    <cellStyle name="Note 4 3 3 3 13 2 8" xfId="31751" xr:uid="{00000000-0005-0000-0000-00007D5A0000}"/>
    <cellStyle name="Note 4 3 3 3 13 2 9" xfId="35404" xr:uid="{00000000-0005-0000-0000-00007E5A0000}"/>
    <cellStyle name="Note 4 3 3 3 13 3" xfId="6081" xr:uid="{00000000-0005-0000-0000-00007F5A0000}"/>
    <cellStyle name="Note 4 3 3 3 13 4" xfId="10482" xr:uid="{00000000-0005-0000-0000-0000805A0000}"/>
    <cellStyle name="Note 4 3 3 3 13 5" xfId="14328" xr:uid="{00000000-0005-0000-0000-0000815A0000}"/>
    <cellStyle name="Note 4 3 3 3 13 6" xfId="18159" xr:uid="{00000000-0005-0000-0000-0000825A0000}"/>
    <cellStyle name="Note 4 3 3 3 13 7" xfId="22098" xr:uid="{00000000-0005-0000-0000-0000835A0000}"/>
    <cellStyle name="Note 4 3 3 3 13 8" xfId="25910" xr:uid="{00000000-0005-0000-0000-0000845A0000}"/>
    <cellStyle name="Note 4 3 3 3 13 9" xfId="29790" xr:uid="{00000000-0005-0000-0000-0000855A0000}"/>
    <cellStyle name="Note 4 3 3 3 14" xfId="2235" xr:uid="{00000000-0005-0000-0000-0000865A0000}"/>
    <cellStyle name="Note 4 3 3 3 14 10" xfId="33536" xr:uid="{00000000-0005-0000-0000-0000875A0000}"/>
    <cellStyle name="Note 4 3 3 3 14 11" xfId="37287" xr:uid="{00000000-0005-0000-0000-0000885A0000}"/>
    <cellStyle name="Note 4 3 3 3 14 12" xfId="41303" xr:uid="{00000000-0005-0000-0000-0000895A0000}"/>
    <cellStyle name="Note 4 3 3 3 14 13" xfId="45098" xr:uid="{00000000-0005-0000-0000-00008A5A0000}"/>
    <cellStyle name="Note 4 3 3 3 14 2" xfId="4218" xr:uid="{00000000-0005-0000-0000-00008B5A0000}"/>
    <cellStyle name="Note 4 3 3 3 14 2 10" xfId="39269" xr:uid="{00000000-0005-0000-0000-00008C5A0000}"/>
    <cellStyle name="Note 4 3 3 3 14 2 11" xfId="43279" xr:uid="{00000000-0005-0000-0000-00008D5A0000}"/>
    <cellStyle name="Note 4 3 3 3 14 2 12" xfId="47036" xr:uid="{00000000-0005-0000-0000-00008E5A0000}"/>
    <cellStyle name="Note 4 3 3 3 14 2 2" xfId="8077" xr:uid="{00000000-0005-0000-0000-00008F5A0000}"/>
    <cellStyle name="Note 4 3 3 3 14 2 3" xfId="12517" xr:uid="{00000000-0005-0000-0000-0000905A0000}"/>
    <cellStyle name="Note 4 3 3 3 14 2 4" xfId="16362" xr:uid="{00000000-0005-0000-0000-0000915A0000}"/>
    <cellStyle name="Note 4 3 3 3 14 2 5" xfId="20212" xr:uid="{00000000-0005-0000-0000-0000925A0000}"/>
    <cellStyle name="Note 4 3 3 3 14 2 6" xfId="24124" xr:uid="{00000000-0005-0000-0000-0000935A0000}"/>
    <cellStyle name="Note 4 3 3 3 14 2 7" xfId="27962" xr:uid="{00000000-0005-0000-0000-0000945A0000}"/>
    <cellStyle name="Note 4 3 3 3 14 2 8" xfId="31821" xr:uid="{00000000-0005-0000-0000-0000955A0000}"/>
    <cellStyle name="Note 4 3 3 3 14 2 9" xfId="35474" xr:uid="{00000000-0005-0000-0000-0000965A0000}"/>
    <cellStyle name="Note 4 3 3 3 14 3" xfId="6149" xr:uid="{00000000-0005-0000-0000-0000975A0000}"/>
    <cellStyle name="Note 4 3 3 3 14 4" xfId="10552" xr:uid="{00000000-0005-0000-0000-0000985A0000}"/>
    <cellStyle name="Note 4 3 3 3 14 5" xfId="14398" xr:uid="{00000000-0005-0000-0000-0000995A0000}"/>
    <cellStyle name="Note 4 3 3 3 14 6" xfId="18229" xr:uid="{00000000-0005-0000-0000-00009A5A0000}"/>
    <cellStyle name="Note 4 3 3 3 14 7" xfId="22168" xr:uid="{00000000-0005-0000-0000-00009B5A0000}"/>
    <cellStyle name="Note 4 3 3 3 14 8" xfId="25980" xr:uid="{00000000-0005-0000-0000-00009C5A0000}"/>
    <cellStyle name="Note 4 3 3 3 14 9" xfId="29860" xr:uid="{00000000-0005-0000-0000-00009D5A0000}"/>
    <cellStyle name="Note 4 3 3 3 15" xfId="2180" xr:uid="{00000000-0005-0000-0000-00009E5A0000}"/>
    <cellStyle name="Note 4 3 3 3 15 10" xfId="33481" xr:uid="{00000000-0005-0000-0000-00009F5A0000}"/>
    <cellStyle name="Note 4 3 3 3 15 11" xfId="37232" xr:uid="{00000000-0005-0000-0000-0000A05A0000}"/>
    <cellStyle name="Note 4 3 3 3 15 12" xfId="41248" xr:uid="{00000000-0005-0000-0000-0000A15A0000}"/>
    <cellStyle name="Note 4 3 3 3 15 13" xfId="45043" xr:uid="{00000000-0005-0000-0000-0000A25A0000}"/>
    <cellStyle name="Note 4 3 3 3 15 2" xfId="4163" xr:uid="{00000000-0005-0000-0000-0000A35A0000}"/>
    <cellStyle name="Note 4 3 3 3 15 2 10" xfId="39214" xr:uid="{00000000-0005-0000-0000-0000A45A0000}"/>
    <cellStyle name="Note 4 3 3 3 15 2 11" xfId="43224" xr:uid="{00000000-0005-0000-0000-0000A55A0000}"/>
    <cellStyle name="Note 4 3 3 3 15 2 12" xfId="46981" xr:uid="{00000000-0005-0000-0000-0000A65A0000}"/>
    <cellStyle name="Note 4 3 3 3 15 2 2" xfId="8022" xr:uid="{00000000-0005-0000-0000-0000A75A0000}"/>
    <cellStyle name="Note 4 3 3 3 15 2 3" xfId="12462" xr:uid="{00000000-0005-0000-0000-0000A85A0000}"/>
    <cellStyle name="Note 4 3 3 3 15 2 4" xfId="16307" xr:uid="{00000000-0005-0000-0000-0000A95A0000}"/>
    <cellStyle name="Note 4 3 3 3 15 2 5" xfId="20157" xr:uid="{00000000-0005-0000-0000-0000AA5A0000}"/>
    <cellStyle name="Note 4 3 3 3 15 2 6" xfId="24069" xr:uid="{00000000-0005-0000-0000-0000AB5A0000}"/>
    <cellStyle name="Note 4 3 3 3 15 2 7" xfId="27907" xr:uid="{00000000-0005-0000-0000-0000AC5A0000}"/>
    <cellStyle name="Note 4 3 3 3 15 2 8" xfId="31766" xr:uid="{00000000-0005-0000-0000-0000AD5A0000}"/>
    <cellStyle name="Note 4 3 3 3 15 2 9" xfId="35419" xr:uid="{00000000-0005-0000-0000-0000AE5A0000}"/>
    <cellStyle name="Note 4 3 3 3 15 3" xfId="6094" xr:uid="{00000000-0005-0000-0000-0000AF5A0000}"/>
    <cellStyle name="Note 4 3 3 3 15 4" xfId="10497" xr:uid="{00000000-0005-0000-0000-0000B05A0000}"/>
    <cellStyle name="Note 4 3 3 3 15 5" xfId="14343" xr:uid="{00000000-0005-0000-0000-0000B15A0000}"/>
    <cellStyle name="Note 4 3 3 3 15 6" xfId="18174" xr:uid="{00000000-0005-0000-0000-0000B25A0000}"/>
    <cellStyle name="Note 4 3 3 3 15 7" xfId="22113" xr:uid="{00000000-0005-0000-0000-0000B35A0000}"/>
    <cellStyle name="Note 4 3 3 3 15 8" xfId="25925" xr:uid="{00000000-0005-0000-0000-0000B45A0000}"/>
    <cellStyle name="Note 4 3 3 3 15 9" xfId="29805" xr:uid="{00000000-0005-0000-0000-0000B55A0000}"/>
    <cellStyle name="Note 4 3 3 3 16" xfId="2351" xr:uid="{00000000-0005-0000-0000-0000B65A0000}"/>
    <cellStyle name="Note 4 3 3 3 16 10" xfId="37403" xr:uid="{00000000-0005-0000-0000-0000B75A0000}"/>
    <cellStyle name="Note 4 3 3 3 16 11" xfId="41419" xr:uid="{00000000-0005-0000-0000-0000B85A0000}"/>
    <cellStyle name="Note 4 3 3 3 16 12" xfId="45212" xr:uid="{00000000-0005-0000-0000-0000B95A0000}"/>
    <cellStyle name="Note 4 3 3 3 16 2" xfId="4334" xr:uid="{00000000-0005-0000-0000-0000BA5A0000}"/>
    <cellStyle name="Note 4 3 3 3 16 2 10" xfId="39385" xr:uid="{00000000-0005-0000-0000-0000BB5A0000}"/>
    <cellStyle name="Note 4 3 3 3 16 2 11" xfId="43395" xr:uid="{00000000-0005-0000-0000-0000BC5A0000}"/>
    <cellStyle name="Note 4 3 3 3 16 2 12" xfId="47150" xr:uid="{00000000-0005-0000-0000-0000BD5A0000}"/>
    <cellStyle name="Note 4 3 3 3 16 2 2" xfId="8191" xr:uid="{00000000-0005-0000-0000-0000BE5A0000}"/>
    <cellStyle name="Note 4 3 3 3 16 2 3" xfId="12633" xr:uid="{00000000-0005-0000-0000-0000BF5A0000}"/>
    <cellStyle name="Note 4 3 3 3 16 2 4" xfId="16477" xr:uid="{00000000-0005-0000-0000-0000C05A0000}"/>
    <cellStyle name="Note 4 3 3 3 16 2 5" xfId="20328" xr:uid="{00000000-0005-0000-0000-0000C15A0000}"/>
    <cellStyle name="Note 4 3 3 3 16 2 6" xfId="24239" xr:uid="{00000000-0005-0000-0000-0000C25A0000}"/>
    <cellStyle name="Note 4 3 3 3 16 2 7" xfId="28078" xr:uid="{00000000-0005-0000-0000-0000C35A0000}"/>
    <cellStyle name="Note 4 3 3 3 16 2 8" xfId="31936" xr:uid="{00000000-0005-0000-0000-0000C45A0000}"/>
    <cellStyle name="Note 4 3 3 3 16 2 9" xfId="35588" xr:uid="{00000000-0005-0000-0000-0000C55A0000}"/>
    <cellStyle name="Note 4 3 3 3 16 3" xfId="10668" xr:uid="{00000000-0005-0000-0000-0000C65A0000}"/>
    <cellStyle name="Note 4 3 3 3 16 4" xfId="14513" xr:uid="{00000000-0005-0000-0000-0000C75A0000}"/>
    <cellStyle name="Note 4 3 3 3 16 5" xfId="18345" xr:uid="{00000000-0005-0000-0000-0000C85A0000}"/>
    <cellStyle name="Note 4 3 3 3 16 6" xfId="22283" xr:uid="{00000000-0005-0000-0000-0000C95A0000}"/>
    <cellStyle name="Note 4 3 3 3 16 7" xfId="26096" xr:uid="{00000000-0005-0000-0000-0000CA5A0000}"/>
    <cellStyle name="Note 4 3 3 3 16 8" xfId="29976" xr:uid="{00000000-0005-0000-0000-0000CB5A0000}"/>
    <cellStyle name="Note 4 3 3 3 16 9" xfId="33650" xr:uid="{00000000-0005-0000-0000-0000CC5A0000}"/>
    <cellStyle name="Note 4 3 3 3 17" xfId="2146" xr:uid="{00000000-0005-0000-0000-0000CD5A0000}"/>
    <cellStyle name="Note 4 3 3 3 17 10" xfId="33448" xr:uid="{00000000-0005-0000-0000-0000CE5A0000}"/>
    <cellStyle name="Note 4 3 3 3 17 11" xfId="37198" xr:uid="{00000000-0005-0000-0000-0000CF5A0000}"/>
    <cellStyle name="Note 4 3 3 3 17 12" xfId="41214" xr:uid="{00000000-0005-0000-0000-0000D05A0000}"/>
    <cellStyle name="Note 4 3 3 3 17 13" xfId="45010" xr:uid="{00000000-0005-0000-0000-0000D15A0000}"/>
    <cellStyle name="Note 4 3 3 3 17 2" xfId="4130" xr:uid="{00000000-0005-0000-0000-0000D25A0000}"/>
    <cellStyle name="Note 4 3 3 3 17 2 10" xfId="39181" xr:uid="{00000000-0005-0000-0000-0000D35A0000}"/>
    <cellStyle name="Note 4 3 3 3 17 2 11" xfId="43191" xr:uid="{00000000-0005-0000-0000-0000D45A0000}"/>
    <cellStyle name="Note 4 3 3 3 17 2 12" xfId="46948" xr:uid="{00000000-0005-0000-0000-0000D55A0000}"/>
    <cellStyle name="Note 4 3 3 3 17 2 2" xfId="7989" xr:uid="{00000000-0005-0000-0000-0000D65A0000}"/>
    <cellStyle name="Note 4 3 3 3 17 2 3" xfId="12429" xr:uid="{00000000-0005-0000-0000-0000D75A0000}"/>
    <cellStyle name="Note 4 3 3 3 17 2 4" xfId="16274" xr:uid="{00000000-0005-0000-0000-0000D85A0000}"/>
    <cellStyle name="Note 4 3 3 3 17 2 5" xfId="20124" xr:uid="{00000000-0005-0000-0000-0000D95A0000}"/>
    <cellStyle name="Note 4 3 3 3 17 2 6" xfId="24036" xr:uid="{00000000-0005-0000-0000-0000DA5A0000}"/>
    <cellStyle name="Note 4 3 3 3 17 2 7" xfId="27874" xr:uid="{00000000-0005-0000-0000-0000DB5A0000}"/>
    <cellStyle name="Note 4 3 3 3 17 2 8" xfId="31733" xr:uid="{00000000-0005-0000-0000-0000DC5A0000}"/>
    <cellStyle name="Note 4 3 3 3 17 2 9" xfId="35386" xr:uid="{00000000-0005-0000-0000-0000DD5A0000}"/>
    <cellStyle name="Note 4 3 3 3 17 3" xfId="6063" xr:uid="{00000000-0005-0000-0000-0000DE5A0000}"/>
    <cellStyle name="Note 4 3 3 3 17 4" xfId="10463" xr:uid="{00000000-0005-0000-0000-0000DF5A0000}"/>
    <cellStyle name="Note 4 3 3 3 17 5" xfId="14310" xr:uid="{00000000-0005-0000-0000-0000E05A0000}"/>
    <cellStyle name="Note 4 3 3 3 17 6" xfId="18140" xr:uid="{00000000-0005-0000-0000-0000E15A0000}"/>
    <cellStyle name="Note 4 3 3 3 17 7" xfId="22080" xr:uid="{00000000-0005-0000-0000-0000E25A0000}"/>
    <cellStyle name="Note 4 3 3 3 17 8" xfId="25891" xr:uid="{00000000-0005-0000-0000-0000E35A0000}"/>
    <cellStyle name="Note 4 3 3 3 17 9" xfId="29771" xr:uid="{00000000-0005-0000-0000-0000E45A0000}"/>
    <cellStyle name="Note 4 3 3 3 18" xfId="2362" xr:uid="{00000000-0005-0000-0000-0000E55A0000}"/>
    <cellStyle name="Note 4 3 3 3 18 10" xfId="33661" xr:uid="{00000000-0005-0000-0000-0000E65A0000}"/>
    <cellStyle name="Note 4 3 3 3 18 11" xfId="37414" xr:uid="{00000000-0005-0000-0000-0000E75A0000}"/>
    <cellStyle name="Note 4 3 3 3 18 12" xfId="41430" xr:uid="{00000000-0005-0000-0000-0000E85A0000}"/>
    <cellStyle name="Note 4 3 3 3 18 13" xfId="45223" xr:uid="{00000000-0005-0000-0000-0000E95A0000}"/>
    <cellStyle name="Note 4 3 3 3 18 2" xfId="4345" xr:uid="{00000000-0005-0000-0000-0000EA5A0000}"/>
    <cellStyle name="Note 4 3 3 3 18 2 10" xfId="39396" xr:uid="{00000000-0005-0000-0000-0000EB5A0000}"/>
    <cellStyle name="Note 4 3 3 3 18 2 11" xfId="43406" xr:uid="{00000000-0005-0000-0000-0000EC5A0000}"/>
    <cellStyle name="Note 4 3 3 3 18 2 12" xfId="47161" xr:uid="{00000000-0005-0000-0000-0000ED5A0000}"/>
    <cellStyle name="Note 4 3 3 3 18 2 2" xfId="8202" xr:uid="{00000000-0005-0000-0000-0000EE5A0000}"/>
    <cellStyle name="Note 4 3 3 3 18 2 3" xfId="12644" xr:uid="{00000000-0005-0000-0000-0000EF5A0000}"/>
    <cellStyle name="Note 4 3 3 3 18 2 4" xfId="16488" xr:uid="{00000000-0005-0000-0000-0000F05A0000}"/>
    <cellStyle name="Note 4 3 3 3 18 2 5" xfId="20339" xr:uid="{00000000-0005-0000-0000-0000F15A0000}"/>
    <cellStyle name="Note 4 3 3 3 18 2 6" xfId="24250" xr:uid="{00000000-0005-0000-0000-0000F25A0000}"/>
    <cellStyle name="Note 4 3 3 3 18 2 7" xfId="28089" xr:uid="{00000000-0005-0000-0000-0000F35A0000}"/>
    <cellStyle name="Note 4 3 3 3 18 2 8" xfId="31947" xr:uid="{00000000-0005-0000-0000-0000F45A0000}"/>
    <cellStyle name="Note 4 3 3 3 18 2 9" xfId="35599" xr:uid="{00000000-0005-0000-0000-0000F55A0000}"/>
    <cellStyle name="Note 4 3 3 3 18 3" xfId="6258" xr:uid="{00000000-0005-0000-0000-0000F65A0000}"/>
    <cellStyle name="Note 4 3 3 3 18 4" xfId="10679" xr:uid="{00000000-0005-0000-0000-0000F75A0000}"/>
    <cellStyle name="Note 4 3 3 3 18 5" xfId="14524" xr:uid="{00000000-0005-0000-0000-0000F85A0000}"/>
    <cellStyle name="Note 4 3 3 3 18 6" xfId="18356" xr:uid="{00000000-0005-0000-0000-0000F95A0000}"/>
    <cellStyle name="Note 4 3 3 3 18 7" xfId="22294" xr:uid="{00000000-0005-0000-0000-0000FA5A0000}"/>
    <cellStyle name="Note 4 3 3 3 18 8" xfId="26107" xr:uid="{00000000-0005-0000-0000-0000FB5A0000}"/>
    <cellStyle name="Note 4 3 3 3 18 9" xfId="29987" xr:uid="{00000000-0005-0000-0000-0000FC5A0000}"/>
    <cellStyle name="Note 4 3 3 3 19" xfId="2533" xr:uid="{00000000-0005-0000-0000-0000FD5A0000}"/>
    <cellStyle name="Note 4 3 3 3 19 10" xfId="37585" xr:uid="{00000000-0005-0000-0000-0000FE5A0000}"/>
    <cellStyle name="Note 4 3 3 3 19 11" xfId="41599" xr:uid="{00000000-0005-0000-0000-0000FF5A0000}"/>
    <cellStyle name="Note 4 3 3 3 19 12" xfId="45388" xr:uid="{00000000-0005-0000-0000-0000005B0000}"/>
    <cellStyle name="Note 4 3 3 3 19 2" xfId="6425" xr:uid="{00000000-0005-0000-0000-0000015B0000}"/>
    <cellStyle name="Note 4 3 3 3 19 3" xfId="10848" xr:uid="{00000000-0005-0000-0000-0000025B0000}"/>
    <cellStyle name="Note 4 3 3 3 19 4" xfId="14692" xr:uid="{00000000-0005-0000-0000-0000035B0000}"/>
    <cellStyle name="Note 4 3 3 3 19 5" xfId="18527" xr:uid="{00000000-0005-0000-0000-0000045B0000}"/>
    <cellStyle name="Note 4 3 3 3 19 6" xfId="22462" xr:uid="{00000000-0005-0000-0000-0000055B0000}"/>
    <cellStyle name="Note 4 3 3 3 19 7" xfId="26278" xr:uid="{00000000-0005-0000-0000-0000065B0000}"/>
    <cellStyle name="Note 4 3 3 3 19 8" xfId="30157" xr:uid="{00000000-0005-0000-0000-0000075B0000}"/>
    <cellStyle name="Note 4 3 3 3 19 9" xfId="33826" xr:uid="{00000000-0005-0000-0000-0000085B0000}"/>
    <cellStyle name="Note 4 3 3 3 2" xfId="487" xr:uid="{00000000-0005-0000-0000-0000095B0000}"/>
    <cellStyle name="Note 4 3 3 3 2 10" xfId="1981" xr:uid="{00000000-0005-0000-0000-00000A5B0000}"/>
    <cellStyle name="Note 4 3 3 3 2 10 10" xfId="33268" xr:uid="{00000000-0005-0000-0000-00000B5B0000}"/>
    <cellStyle name="Note 4 3 3 3 2 10 11" xfId="37038" xr:uid="{00000000-0005-0000-0000-00000C5B0000}"/>
    <cellStyle name="Note 4 3 3 3 2 10 12" xfId="41029" xr:uid="{00000000-0005-0000-0000-00000D5B0000}"/>
    <cellStyle name="Note 4 3 3 3 2 10 13" xfId="44860" xr:uid="{00000000-0005-0000-0000-00000E5B0000}"/>
    <cellStyle name="Note 4 3 3 3 2 10 2" xfId="3971" xr:uid="{00000000-0005-0000-0000-00000F5B0000}"/>
    <cellStyle name="Note 4 3 3 3 2 10 2 10" xfId="39022" xr:uid="{00000000-0005-0000-0000-0000105B0000}"/>
    <cellStyle name="Note 4 3 3 3 2 10 2 11" xfId="43033" xr:uid="{00000000-0005-0000-0000-0000115B0000}"/>
    <cellStyle name="Note 4 3 3 3 2 10 2 12" xfId="46798" xr:uid="{00000000-0005-0000-0000-0000125B0000}"/>
    <cellStyle name="Note 4 3 3 3 2 10 2 2" xfId="7838" xr:uid="{00000000-0005-0000-0000-0000135B0000}"/>
    <cellStyle name="Note 4 3 3 3 2 10 2 3" xfId="12273" xr:uid="{00000000-0005-0000-0000-0000145B0000}"/>
    <cellStyle name="Note 4 3 3 3 2 10 2 4" xfId="16118" xr:uid="{00000000-0005-0000-0000-0000155B0000}"/>
    <cellStyle name="Note 4 3 3 3 2 10 2 5" xfId="19965" xr:uid="{00000000-0005-0000-0000-0000165B0000}"/>
    <cellStyle name="Note 4 3 3 3 2 10 2 6" xfId="23881" xr:uid="{00000000-0005-0000-0000-0000175B0000}"/>
    <cellStyle name="Note 4 3 3 3 2 10 2 7" xfId="27715" xr:uid="{00000000-0005-0000-0000-0000185B0000}"/>
    <cellStyle name="Note 4 3 3 3 2 10 2 8" xfId="31575" xr:uid="{00000000-0005-0000-0000-0000195B0000}"/>
    <cellStyle name="Note 4 3 3 3 2 10 2 9" xfId="35236" xr:uid="{00000000-0005-0000-0000-00001A5B0000}"/>
    <cellStyle name="Note 4 3 3 3 2 10 3" xfId="5914" xr:uid="{00000000-0005-0000-0000-00001B5B0000}"/>
    <cellStyle name="Note 4 3 3 3 2 10 4" xfId="10272" xr:uid="{00000000-0005-0000-0000-00001C5B0000}"/>
    <cellStyle name="Note 4 3 3 3 2 10 5" xfId="14118" xr:uid="{00000000-0005-0000-0000-00001D5B0000}"/>
    <cellStyle name="Note 4 3 3 3 2 10 6" xfId="17947" xr:uid="{00000000-0005-0000-0000-00001E5B0000}"/>
    <cellStyle name="Note 4 3 3 3 2 10 7" xfId="21886" xr:uid="{00000000-0005-0000-0000-00001F5B0000}"/>
    <cellStyle name="Note 4 3 3 3 2 10 8" xfId="25699" xr:uid="{00000000-0005-0000-0000-0000205B0000}"/>
    <cellStyle name="Note 4 3 3 3 2 10 9" xfId="29586" xr:uid="{00000000-0005-0000-0000-0000215B0000}"/>
    <cellStyle name="Note 4 3 3 3 2 11" xfId="1273" xr:uid="{00000000-0005-0000-0000-0000225B0000}"/>
    <cellStyle name="Note 4 3 3 3 2 11 10" xfId="32560" xr:uid="{00000000-0005-0000-0000-0000235B0000}"/>
    <cellStyle name="Note 4 3 3 3 2 11 11" xfId="36330" xr:uid="{00000000-0005-0000-0000-0000245B0000}"/>
    <cellStyle name="Note 4 3 3 3 2 11 12" xfId="40322" xr:uid="{00000000-0005-0000-0000-0000255B0000}"/>
    <cellStyle name="Note 4 3 3 3 2 11 13" xfId="44152" xr:uid="{00000000-0005-0000-0000-0000265B0000}"/>
    <cellStyle name="Note 4 3 3 3 2 11 2" xfId="3263" xr:uid="{00000000-0005-0000-0000-0000275B0000}"/>
    <cellStyle name="Note 4 3 3 3 2 11 2 10" xfId="38314" xr:uid="{00000000-0005-0000-0000-0000285B0000}"/>
    <cellStyle name="Note 4 3 3 3 2 11 2 11" xfId="42325" xr:uid="{00000000-0005-0000-0000-0000295B0000}"/>
    <cellStyle name="Note 4 3 3 3 2 11 2 12" xfId="46090" xr:uid="{00000000-0005-0000-0000-00002A5B0000}"/>
    <cellStyle name="Note 4 3 3 3 2 11 2 2" xfId="7130" xr:uid="{00000000-0005-0000-0000-00002B5B0000}"/>
    <cellStyle name="Note 4 3 3 3 2 11 2 3" xfId="11565" xr:uid="{00000000-0005-0000-0000-00002C5B0000}"/>
    <cellStyle name="Note 4 3 3 3 2 11 2 4" xfId="15410" xr:uid="{00000000-0005-0000-0000-00002D5B0000}"/>
    <cellStyle name="Note 4 3 3 3 2 11 2 5" xfId="19257" xr:uid="{00000000-0005-0000-0000-00002E5B0000}"/>
    <cellStyle name="Note 4 3 3 3 2 11 2 6" xfId="23173" xr:uid="{00000000-0005-0000-0000-00002F5B0000}"/>
    <cellStyle name="Note 4 3 3 3 2 11 2 7" xfId="27007" xr:uid="{00000000-0005-0000-0000-0000305B0000}"/>
    <cellStyle name="Note 4 3 3 3 2 11 2 8" xfId="30877" xr:uid="{00000000-0005-0000-0000-0000315B0000}"/>
    <cellStyle name="Note 4 3 3 3 2 11 2 9" xfId="34528" xr:uid="{00000000-0005-0000-0000-0000325B0000}"/>
    <cellStyle name="Note 4 3 3 3 2 11 3" xfId="5206" xr:uid="{00000000-0005-0000-0000-0000335B0000}"/>
    <cellStyle name="Note 4 3 3 3 2 11 4" xfId="9564" xr:uid="{00000000-0005-0000-0000-0000345B0000}"/>
    <cellStyle name="Note 4 3 3 3 2 11 5" xfId="13410" xr:uid="{00000000-0005-0000-0000-0000355B0000}"/>
    <cellStyle name="Note 4 3 3 3 2 11 6" xfId="17239" xr:uid="{00000000-0005-0000-0000-0000365B0000}"/>
    <cellStyle name="Note 4 3 3 3 2 11 7" xfId="21178" xr:uid="{00000000-0005-0000-0000-0000375B0000}"/>
    <cellStyle name="Note 4 3 3 3 2 11 8" xfId="24991" xr:uid="{00000000-0005-0000-0000-0000385B0000}"/>
    <cellStyle name="Note 4 3 3 3 2 11 9" xfId="28879" xr:uid="{00000000-0005-0000-0000-0000395B0000}"/>
    <cellStyle name="Note 4 3 3 3 2 12" xfId="2166" xr:uid="{00000000-0005-0000-0000-00003A5B0000}"/>
    <cellStyle name="Note 4 3 3 3 2 12 10" xfId="33467" xr:uid="{00000000-0005-0000-0000-00003B5B0000}"/>
    <cellStyle name="Note 4 3 3 3 2 12 11" xfId="37218" xr:uid="{00000000-0005-0000-0000-00003C5B0000}"/>
    <cellStyle name="Note 4 3 3 3 2 12 12" xfId="41234" xr:uid="{00000000-0005-0000-0000-00003D5B0000}"/>
    <cellStyle name="Note 4 3 3 3 2 12 13" xfId="45029" xr:uid="{00000000-0005-0000-0000-00003E5B0000}"/>
    <cellStyle name="Note 4 3 3 3 2 12 2" xfId="4149" xr:uid="{00000000-0005-0000-0000-00003F5B0000}"/>
    <cellStyle name="Note 4 3 3 3 2 12 2 10" xfId="39200" xr:uid="{00000000-0005-0000-0000-0000405B0000}"/>
    <cellStyle name="Note 4 3 3 3 2 12 2 11" xfId="43210" xr:uid="{00000000-0005-0000-0000-0000415B0000}"/>
    <cellStyle name="Note 4 3 3 3 2 12 2 12" xfId="46967" xr:uid="{00000000-0005-0000-0000-0000425B0000}"/>
    <cellStyle name="Note 4 3 3 3 2 12 2 2" xfId="8008" xr:uid="{00000000-0005-0000-0000-0000435B0000}"/>
    <cellStyle name="Note 4 3 3 3 2 12 2 3" xfId="12448" xr:uid="{00000000-0005-0000-0000-0000445B0000}"/>
    <cellStyle name="Note 4 3 3 3 2 12 2 4" xfId="16293" xr:uid="{00000000-0005-0000-0000-0000455B0000}"/>
    <cellStyle name="Note 4 3 3 3 2 12 2 5" xfId="20143" xr:uid="{00000000-0005-0000-0000-0000465B0000}"/>
    <cellStyle name="Note 4 3 3 3 2 12 2 6" xfId="24055" xr:uid="{00000000-0005-0000-0000-0000475B0000}"/>
    <cellStyle name="Note 4 3 3 3 2 12 2 7" xfId="27893" xr:uid="{00000000-0005-0000-0000-0000485B0000}"/>
    <cellStyle name="Note 4 3 3 3 2 12 2 8" xfId="31752" xr:uid="{00000000-0005-0000-0000-0000495B0000}"/>
    <cellStyle name="Note 4 3 3 3 2 12 2 9" xfId="35405" xr:uid="{00000000-0005-0000-0000-00004A5B0000}"/>
    <cellStyle name="Note 4 3 3 3 2 12 3" xfId="6082" xr:uid="{00000000-0005-0000-0000-00004B5B0000}"/>
    <cellStyle name="Note 4 3 3 3 2 12 4" xfId="10483" xr:uid="{00000000-0005-0000-0000-00004C5B0000}"/>
    <cellStyle name="Note 4 3 3 3 2 12 5" xfId="14329" xr:uid="{00000000-0005-0000-0000-00004D5B0000}"/>
    <cellStyle name="Note 4 3 3 3 2 12 6" xfId="18160" xr:uid="{00000000-0005-0000-0000-00004E5B0000}"/>
    <cellStyle name="Note 4 3 3 3 2 12 7" xfId="22099" xr:uid="{00000000-0005-0000-0000-00004F5B0000}"/>
    <cellStyle name="Note 4 3 3 3 2 12 8" xfId="25911" xr:uid="{00000000-0005-0000-0000-0000505B0000}"/>
    <cellStyle name="Note 4 3 3 3 2 12 9" xfId="29791" xr:uid="{00000000-0005-0000-0000-0000515B0000}"/>
    <cellStyle name="Note 4 3 3 3 2 13" xfId="2236" xr:uid="{00000000-0005-0000-0000-0000525B0000}"/>
    <cellStyle name="Note 4 3 3 3 2 13 10" xfId="33537" xr:uid="{00000000-0005-0000-0000-0000535B0000}"/>
    <cellStyle name="Note 4 3 3 3 2 13 11" xfId="37288" xr:uid="{00000000-0005-0000-0000-0000545B0000}"/>
    <cellStyle name="Note 4 3 3 3 2 13 12" xfId="41304" xr:uid="{00000000-0005-0000-0000-0000555B0000}"/>
    <cellStyle name="Note 4 3 3 3 2 13 13" xfId="45099" xr:uid="{00000000-0005-0000-0000-0000565B0000}"/>
    <cellStyle name="Note 4 3 3 3 2 13 2" xfId="4219" xr:uid="{00000000-0005-0000-0000-0000575B0000}"/>
    <cellStyle name="Note 4 3 3 3 2 13 2 10" xfId="39270" xr:uid="{00000000-0005-0000-0000-0000585B0000}"/>
    <cellStyle name="Note 4 3 3 3 2 13 2 11" xfId="43280" xr:uid="{00000000-0005-0000-0000-0000595B0000}"/>
    <cellStyle name="Note 4 3 3 3 2 13 2 12" xfId="47037" xr:uid="{00000000-0005-0000-0000-00005A5B0000}"/>
    <cellStyle name="Note 4 3 3 3 2 13 2 2" xfId="8078" xr:uid="{00000000-0005-0000-0000-00005B5B0000}"/>
    <cellStyle name="Note 4 3 3 3 2 13 2 3" xfId="12518" xr:uid="{00000000-0005-0000-0000-00005C5B0000}"/>
    <cellStyle name="Note 4 3 3 3 2 13 2 4" xfId="16363" xr:uid="{00000000-0005-0000-0000-00005D5B0000}"/>
    <cellStyle name="Note 4 3 3 3 2 13 2 5" xfId="20213" xr:uid="{00000000-0005-0000-0000-00005E5B0000}"/>
    <cellStyle name="Note 4 3 3 3 2 13 2 6" xfId="24125" xr:uid="{00000000-0005-0000-0000-00005F5B0000}"/>
    <cellStyle name="Note 4 3 3 3 2 13 2 7" xfId="27963" xr:uid="{00000000-0005-0000-0000-0000605B0000}"/>
    <cellStyle name="Note 4 3 3 3 2 13 2 8" xfId="31822" xr:uid="{00000000-0005-0000-0000-0000615B0000}"/>
    <cellStyle name="Note 4 3 3 3 2 13 2 9" xfId="35475" xr:uid="{00000000-0005-0000-0000-0000625B0000}"/>
    <cellStyle name="Note 4 3 3 3 2 13 3" xfId="6150" xr:uid="{00000000-0005-0000-0000-0000635B0000}"/>
    <cellStyle name="Note 4 3 3 3 2 13 4" xfId="10553" xr:uid="{00000000-0005-0000-0000-0000645B0000}"/>
    <cellStyle name="Note 4 3 3 3 2 13 5" xfId="14399" xr:uid="{00000000-0005-0000-0000-0000655B0000}"/>
    <cellStyle name="Note 4 3 3 3 2 13 6" xfId="18230" xr:uid="{00000000-0005-0000-0000-0000665B0000}"/>
    <cellStyle name="Note 4 3 3 3 2 13 7" xfId="22169" xr:uid="{00000000-0005-0000-0000-0000675B0000}"/>
    <cellStyle name="Note 4 3 3 3 2 13 8" xfId="25981" xr:uid="{00000000-0005-0000-0000-0000685B0000}"/>
    <cellStyle name="Note 4 3 3 3 2 13 9" xfId="29861" xr:uid="{00000000-0005-0000-0000-0000695B0000}"/>
    <cellStyle name="Note 4 3 3 3 2 14" xfId="2181" xr:uid="{00000000-0005-0000-0000-00006A5B0000}"/>
    <cellStyle name="Note 4 3 3 3 2 14 10" xfId="33482" xr:uid="{00000000-0005-0000-0000-00006B5B0000}"/>
    <cellStyle name="Note 4 3 3 3 2 14 11" xfId="37233" xr:uid="{00000000-0005-0000-0000-00006C5B0000}"/>
    <cellStyle name="Note 4 3 3 3 2 14 12" xfId="41249" xr:uid="{00000000-0005-0000-0000-00006D5B0000}"/>
    <cellStyle name="Note 4 3 3 3 2 14 13" xfId="45044" xr:uid="{00000000-0005-0000-0000-00006E5B0000}"/>
    <cellStyle name="Note 4 3 3 3 2 14 2" xfId="4164" xr:uid="{00000000-0005-0000-0000-00006F5B0000}"/>
    <cellStyle name="Note 4 3 3 3 2 14 2 10" xfId="39215" xr:uid="{00000000-0005-0000-0000-0000705B0000}"/>
    <cellStyle name="Note 4 3 3 3 2 14 2 11" xfId="43225" xr:uid="{00000000-0005-0000-0000-0000715B0000}"/>
    <cellStyle name="Note 4 3 3 3 2 14 2 12" xfId="46982" xr:uid="{00000000-0005-0000-0000-0000725B0000}"/>
    <cellStyle name="Note 4 3 3 3 2 14 2 2" xfId="8023" xr:uid="{00000000-0005-0000-0000-0000735B0000}"/>
    <cellStyle name="Note 4 3 3 3 2 14 2 3" xfId="12463" xr:uid="{00000000-0005-0000-0000-0000745B0000}"/>
    <cellStyle name="Note 4 3 3 3 2 14 2 4" xfId="16308" xr:uid="{00000000-0005-0000-0000-0000755B0000}"/>
    <cellStyle name="Note 4 3 3 3 2 14 2 5" xfId="20158" xr:uid="{00000000-0005-0000-0000-0000765B0000}"/>
    <cellStyle name="Note 4 3 3 3 2 14 2 6" xfId="24070" xr:uid="{00000000-0005-0000-0000-0000775B0000}"/>
    <cellStyle name="Note 4 3 3 3 2 14 2 7" xfId="27908" xr:uid="{00000000-0005-0000-0000-0000785B0000}"/>
    <cellStyle name="Note 4 3 3 3 2 14 2 8" xfId="31767" xr:uid="{00000000-0005-0000-0000-0000795B0000}"/>
    <cellStyle name="Note 4 3 3 3 2 14 2 9" xfId="35420" xr:uid="{00000000-0005-0000-0000-00007A5B0000}"/>
    <cellStyle name="Note 4 3 3 3 2 14 3" xfId="6095" xr:uid="{00000000-0005-0000-0000-00007B5B0000}"/>
    <cellStyle name="Note 4 3 3 3 2 14 4" xfId="10498" xr:uid="{00000000-0005-0000-0000-00007C5B0000}"/>
    <cellStyle name="Note 4 3 3 3 2 14 5" xfId="14344" xr:uid="{00000000-0005-0000-0000-00007D5B0000}"/>
    <cellStyle name="Note 4 3 3 3 2 14 6" xfId="18175" xr:uid="{00000000-0005-0000-0000-00007E5B0000}"/>
    <cellStyle name="Note 4 3 3 3 2 14 7" xfId="22114" xr:uid="{00000000-0005-0000-0000-00007F5B0000}"/>
    <cellStyle name="Note 4 3 3 3 2 14 8" xfId="25926" xr:uid="{00000000-0005-0000-0000-0000805B0000}"/>
    <cellStyle name="Note 4 3 3 3 2 14 9" xfId="29806" xr:uid="{00000000-0005-0000-0000-0000815B0000}"/>
    <cellStyle name="Note 4 3 3 3 2 15" xfId="2352" xr:uid="{00000000-0005-0000-0000-0000825B0000}"/>
    <cellStyle name="Note 4 3 3 3 2 15 10" xfId="37404" xr:uid="{00000000-0005-0000-0000-0000835B0000}"/>
    <cellStyle name="Note 4 3 3 3 2 15 11" xfId="41420" xr:uid="{00000000-0005-0000-0000-0000845B0000}"/>
    <cellStyle name="Note 4 3 3 3 2 15 12" xfId="45213" xr:uid="{00000000-0005-0000-0000-0000855B0000}"/>
    <cellStyle name="Note 4 3 3 3 2 15 2" xfId="4335" xr:uid="{00000000-0005-0000-0000-0000865B0000}"/>
    <cellStyle name="Note 4 3 3 3 2 15 2 10" xfId="39386" xr:uid="{00000000-0005-0000-0000-0000875B0000}"/>
    <cellStyle name="Note 4 3 3 3 2 15 2 11" xfId="43396" xr:uid="{00000000-0005-0000-0000-0000885B0000}"/>
    <cellStyle name="Note 4 3 3 3 2 15 2 12" xfId="47151" xr:uid="{00000000-0005-0000-0000-0000895B0000}"/>
    <cellStyle name="Note 4 3 3 3 2 15 2 2" xfId="8192" xr:uid="{00000000-0005-0000-0000-00008A5B0000}"/>
    <cellStyle name="Note 4 3 3 3 2 15 2 3" xfId="12634" xr:uid="{00000000-0005-0000-0000-00008B5B0000}"/>
    <cellStyle name="Note 4 3 3 3 2 15 2 4" xfId="16478" xr:uid="{00000000-0005-0000-0000-00008C5B0000}"/>
    <cellStyle name="Note 4 3 3 3 2 15 2 5" xfId="20329" xr:uid="{00000000-0005-0000-0000-00008D5B0000}"/>
    <cellStyle name="Note 4 3 3 3 2 15 2 6" xfId="24240" xr:uid="{00000000-0005-0000-0000-00008E5B0000}"/>
    <cellStyle name="Note 4 3 3 3 2 15 2 7" xfId="28079" xr:uid="{00000000-0005-0000-0000-00008F5B0000}"/>
    <cellStyle name="Note 4 3 3 3 2 15 2 8" xfId="31937" xr:uid="{00000000-0005-0000-0000-0000905B0000}"/>
    <cellStyle name="Note 4 3 3 3 2 15 2 9" xfId="35589" xr:uid="{00000000-0005-0000-0000-0000915B0000}"/>
    <cellStyle name="Note 4 3 3 3 2 15 3" xfId="10669" xr:uid="{00000000-0005-0000-0000-0000925B0000}"/>
    <cellStyle name="Note 4 3 3 3 2 15 4" xfId="14514" xr:uid="{00000000-0005-0000-0000-0000935B0000}"/>
    <cellStyle name="Note 4 3 3 3 2 15 5" xfId="18346" xr:uid="{00000000-0005-0000-0000-0000945B0000}"/>
    <cellStyle name="Note 4 3 3 3 2 15 6" xfId="22284" xr:uid="{00000000-0005-0000-0000-0000955B0000}"/>
    <cellStyle name="Note 4 3 3 3 2 15 7" xfId="26097" xr:uid="{00000000-0005-0000-0000-0000965B0000}"/>
    <cellStyle name="Note 4 3 3 3 2 15 8" xfId="29977" xr:uid="{00000000-0005-0000-0000-0000975B0000}"/>
    <cellStyle name="Note 4 3 3 3 2 15 9" xfId="33651" xr:uid="{00000000-0005-0000-0000-0000985B0000}"/>
    <cellStyle name="Note 4 3 3 3 2 16" xfId="2409" xr:uid="{00000000-0005-0000-0000-0000995B0000}"/>
    <cellStyle name="Note 4 3 3 3 2 16 10" xfId="33707" xr:uid="{00000000-0005-0000-0000-00009A5B0000}"/>
    <cellStyle name="Note 4 3 3 3 2 16 11" xfId="37461" xr:uid="{00000000-0005-0000-0000-00009B5B0000}"/>
    <cellStyle name="Note 4 3 3 3 2 16 12" xfId="41476" xr:uid="{00000000-0005-0000-0000-00009C5B0000}"/>
    <cellStyle name="Note 4 3 3 3 2 16 13" xfId="45269" xr:uid="{00000000-0005-0000-0000-00009D5B0000}"/>
    <cellStyle name="Note 4 3 3 3 2 16 2" xfId="4392" xr:uid="{00000000-0005-0000-0000-00009E5B0000}"/>
    <cellStyle name="Note 4 3 3 3 2 16 2 10" xfId="39443" xr:uid="{00000000-0005-0000-0000-00009F5B0000}"/>
    <cellStyle name="Note 4 3 3 3 2 16 2 11" xfId="43452" xr:uid="{00000000-0005-0000-0000-0000A05B0000}"/>
    <cellStyle name="Note 4 3 3 3 2 16 2 12" xfId="47207" xr:uid="{00000000-0005-0000-0000-0000A15B0000}"/>
    <cellStyle name="Note 4 3 3 3 2 16 2 2" xfId="8249" xr:uid="{00000000-0005-0000-0000-0000A25B0000}"/>
    <cellStyle name="Note 4 3 3 3 2 16 2 3" xfId="12690" xr:uid="{00000000-0005-0000-0000-0000A35B0000}"/>
    <cellStyle name="Note 4 3 3 3 2 16 2 4" xfId="16535" xr:uid="{00000000-0005-0000-0000-0000A45B0000}"/>
    <cellStyle name="Note 4 3 3 3 2 16 2 5" xfId="20386" xr:uid="{00000000-0005-0000-0000-0000A55B0000}"/>
    <cellStyle name="Note 4 3 3 3 2 16 2 6" xfId="24297" xr:uid="{00000000-0005-0000-0000-0000A65B0000}"/>
    <cellStyle name="Note 4 3 3 3 2 16 2 7" xfId="28136" xr:uid="{00000000-0005-0000-0000-0000A75B0000}"/>
    <cellStyle name="Note 4 3 3 3 2 16 2 8" xfId="31994" xr:uid="{00000000-0005-0000-0000-0000A85B0000}"/>
    <cellStyle name="Note 4 3 3 3 2 16 2 9" xfId="35645" xr:uid="{00000000-0005-0000-0000-0000A95B0000}"/>
    <cellStyle name="Note 4 3 3 3 2 16 3" xfId="6305" xr:uid="{00000000-0005-0000-0000-0000AA5B0000}"/>
    <cellStyle name="Note 4 3 3 3 2 16 4" xfId="10725" xr:uid="{00000000-0005-0000-0000-0000AB5B0000}"/>
    <cellStyle name="Note 4 3 3 3 2 16 5" xfId="14571" xr:uid="{00000000-0005-0000-0000-0000AC5B0000}"/>
    <cellStyle name="Note 4 3 3 3 2 16 6" xfId="18403" xr:uid="{00000000-0005-0000-0000-0000AD5B0000}"/>
    <cellStyle name="Note 4 3 3 3 2 16 7" xfId="22341" xr:uid="{00000000-0005-0000-0000-0000AE5B0000}"/>
    <cellStyle name="Note 4 3 3 3 2 16 8" xfId="26154" xr:uid="{00000000-0005-0000-0000-0000AF5B0000}"/>
    <cellStyle name="Note 4 3 3 3 2 16 9" xfId="30033" xr:uid="{00000000-0005-0000-0000-0000B05B0000}"/>
    <cellStyle name="Note 4 3 3 3 2 17" xfId="2363" xr:uid="{00000000-0005-0000-0000-0000B15B0000}"/>
    <cellStyle name="Note 4 3 3 3 2 17 10" xfId="33662" xr:uid="{00000000-0005-0000-0000-0000B25B0000}"/>
    <cellStyle name="Note 4 3 3 3 2 17 11" xfId="37415" xr:uid="{00000000-0005-0000-0000-0000B35B0000}"/>
    <cellStyle name="Note 4 3 3 3 2 17 12" xfId="41431" xr:uid="{00000000-0005-0000-0000-0000B45B0000}"/>
    <cellStyle name="Note 4 3 3 3 2 17 13" xfId="45224" xr:uid="{00000000-0005-0000-0000-0000B55B0000}"/>
    <cellStyle name="Note 4 3 3 3 2 17 2" xfId="4346" xr:uid="{00000000-0005-0000-0000-0000B65B0000}"/>
    <cellStyle name="Note 4 3 3 3 2 17 2 10" xfId="39397" xr:uid="{00000000-0005-0000-0000-0000B75B0000}"/>
    <cellStyle name="Note 4 3 3 3 2 17 2 11" xfId="43407" xr:uid="{00000000-0005-0000-0000-0000B85B0000}"/>
    <cellStyle name="Note 4 3 3 3 2 17 2 12" xfId="47162" xr:uid="{00000000-0005-0000-0000-0000B95B0000}"/>
    <cellStyle name="Note 4 3 3 3 2 17 2 2" xfId="8203" xr:uid="{00000000-0005-0000-0000-0000BA5B0000}"/>
    <cellStyle name="Note 4 3 3 3 2 17 2 3" xfId="12645" xr:uid="{00000000-0005-0000-0000-0000BB5B0000}"/>
    <cellStyle name="Note 4 3 3 3 2 17 2 4" xfId="16489" xr:uid="{00000000-0005-0000-0000-0000BC5B0000}"/>
    <cellStyle name="Note 4 3 3 3 2 17 2 5" xfId="20340" xr:uid="{00000000-0005-0000-0000-0000BD5B0000}"/>
    <cellStyle name="Note 4 3 3 3 2 17 2 6" xfId="24251" xr:uid="{00000000-0005-0000-0000-0000BE5B0000}"/>
    <cellStyle name="Note 4 3 3 3 2 17 2 7" xfId="28090" xr:uid="{00000000-0005-0000-0000-0000BF5B0000}"/>
    <cellStyle name="Note 4 3 3 3 2 17 2 8" xfId="31948" xr:uid="{00000000-0005-0000-0000-0000C05B0000}"/>
    <cellStyle name="Note 4 3 3 3 2 17 2 9" xfId="35600" xr:uid="{00000000-0005-0000-0000-0000C15B0000}"/>
    <cellStyle name="Note 4 3 3 3 2 17 3" xfId="6259" xr:uid="{00000000-0005-0000-0000-0000C25B0000}"/>
    <cellStyle name="Note 4 3 3 3 2 17 4" xfId="10680" xr:uid="{00000000-0005-0000-0000-0000C35B0000}"/>
    <cellStyle name="Note 4 3 3 3 2 17 5" xfId="14525" xr:uid="{00000000-0005-0000-0000-0000C45B0000}"/>
    <cellStyle name="Note 4 3 3 3 2 17 6" xfId="18357" xr:uid="{00000000-0005-0000-0000-0000C55B0000}"/>
    <cellStyle name="Note 4 3 3 3 2 17 7" xfId="22295" xr:uid="{00000000-0005-0000-0000-0000C65B0000}"/>
    <cellStyle name="Note 4 3 3 3 2 17 8" xfId="26108" xr:uid="{00000000-0005-0000-0000-0000C75B0000}"/>
    <cellStyle name="Note 4 3 3 3 2 17 9" xfId="29988" xr:uid="{00000000-0005-0000-0000-0000C85B0000}"/>
    <cellStyle name="Note 4 3 3 3 2 18" xfId="2534" xr:uid="{00000000-0005-0000-0000-0000C95B0000}"/>
    <cellStyle name="Note 4 3 3 3 2 18 10" xfId="37586" xr:uid="{00000000-0005-0000-0000-0000CA5B0000}"/>
    <cellStyle name="Note 4 3 3 3 2 18 11" xfId="41600" xr:uid="{00000000-0005-0000-0000-0000CB5B0000}"/>
    <cellStyle name="Note 4 3 3 3 2 18 12" xfId="45389" xr:uid="{00000000-0005-0000-0000-0000CC5B0000}"/>
    <cellStyle name="Note 4 3 3 3 2 18 2" xfId="6426" xr:uid="{00000000-0005-0000-0000-0000CD5B0000}"/>
    <cellStyle name="Note 4 3 3 3 2 18 3" xfId="10849" xr:uid="{00000000-0005-0000-0000-0000CE5B0000}"/>
    <cellStyle name="Note 4 3 3 3 2 18 4" xfId="14693" xr:uid="{00000000-0005-0000-0000-0000CF5B0000}"/>
    <cellStyle name="Note 4 3 3 3 2 18 5" xfId="18528" xr:uid="{00000000-0005-0000-0000-0000D05B0000}"/>
    <cellStyle name="Note 4 3 3 3 2 18 6" xfId="22463" xr:uid="{00000000-0005-0000-0000-0000D15B0000}"/>
    <cellStyle name="Note 4 3 3 3 2 18 7" xfId="26279" xr:uid="{00000000-0005-0000-0000-0000D25B0000}"/>
    <cellStyle name="Note 4 3 3 3 2 18 8" xfId="30158" xr:uid="{00000000-0005-0000-0000-0000D35B0000}"/>
    <cellStyle name="Note 4 3 3 3 2 18 9" xfId="33827" xr:uid="{00000000-0005-0000-0000-0000D45B0000}"/>
    <cellStyle name="Note 4 3 3 3 2 19" xfId="8709" xr:uid="{00000000-0005-0000-0000-0000D55B0000}"/>
    <cellStyle name="Note 4 3 3 3 2 2" xfId="567" xr:uid="{00000000-0005-0000-0000-0000D65B0000}"/>
    <cellStyle name="Note 4 3 3 3 2 2 10" xfId="2217" xr:uid="{00000000-0005-0000-0000-0000D75B0000}"/>
    <cellStyle name="Note 4 3 3 3 2 2 10 10" xfId="33518" xr:uid="{00000000-0005-0000-0000-0000D85B0000}"/>
    <cellStyle name="Note 4 3 3 3 2 2 10 11" xfId="37269" xr:uid="{00000000-0005-0000-0000-0000D95B0000}"/>
    <cellStyle name="Note 4 3 3 3 2 2 10 12" xfId="41285" xr:uid="{00000000-0005-0000-0000-0000DA5B0000}"/>
    <cellStyle name="Note 4 3 3 3 2 2 10 13" xfId="45080" xr:uid="{00000000-0005-0000-0000-0000DB5B0000}"/>
    <cellStyle name="Note 4 3 3 3 2 2 10 2" xfId="4200" xr:uid="{00000000-0005-0000-0000-0000DC5B0000}"/>
    <cellStyle name="Note 4 3 3 3 2 2 10 2 10" xfId="39251" xr:uid="{00000000-0005-0000-0000-0000DD5B0000}"/>
    <cellStyle name="Note 4 3 3 3 2 2 10 2 11" xfId="43261" xr:uid="{00000000-0005-0000-0000-0000DE5B0000}"/>
    <cellStyle name="Note 4 3 3 3 2 2 10 2 12" xfId="47018" xr:uid="{00000000-0005-0000-0000-0000DF5B0000}"/>
    <cellStyle name="Note 4 3 3 3 2 2 10 2 2" xfId="8059" xr:uid="{00000000-0005-0000-0000-0000E05B0000}"/>
    <cellStyle name="Note 4 3 3 3 2 2 10 2 3" xfId="12499" xr:uid="{00000000-0005-0000-0000-0000E15B0000}"/>
    <cellStyle name="Note 4 3 3 3 2 2 10 2 4" xfId="16344" xr:uid="{00000000-0005-0000-0000-0000E25B0000}"/>
    <cellStyle name="Note 4 3 3 3 2 2 10 2 5" xfId="20194" xr:uid="{00000000-0005-0000-0000-0000E35B0000}"/>
    <cellStyle name="Note 4 3 3 3 2 2 10 2 6" xfId="24106" xr:uid="{00000000-0005-0000-0000-0000E45B0000}"/>
    <cellStyle name="Note 4 3 3 3 2 2 10 2 7" xfId="27944" xr:uid="{00000000-0005-0000-0000-0000E55B0000}"/>
    <cellStyle name="Note 4 3 3 3 2 2 10 2 8" xfId="31803" xr:uid="{00000000-0005-0000-0000-0000E65B0000}"/>
    <cellStyle name="Note 4 3 3 3 2 2 10 2 9" xfId="35456" xr:uid="{00000000-0005-0000-0000-0000E75B0000}"/>
    <cellStyle name="Note 4 3 3 3 2 2 10 3" xfId="6131" xr:uid="{00000000-0005-0000-0000-0000E85B0000}"/>
    <cellStyle name="Note 4 3 3 3 2 2 10 4" xfId="10534" xr:uid="{00000000-0005-0000-0000-0000E95B0000}"/>
    <cellStyle name="Note 4 3 3 3 2 2 10 5" xfId="14380" xr:uid="{00000000-0005-0000-0000-0000EA5B0000}"/>
    <cellStyle name="Note 4 3 3 3 2 2 10 6" xfId="18211" xr:uid="{00000000-0005-0000-0000-0000EB5B0000}"/>
    <cellStyle name="Note 4 3 3 3 2 2 10 7" xfId="22150" xr:uid="{00000000-0005-0000-0000-0000EC5B0000}"/>
    <cellStyle name="Note 4 3 3 3 2 2 10 8" xfId="25962" xr:uid="{00000000-0005-0000-0000-0000ED5B0000}"/>
    <cellStyle name="Note 4 3 3 3 2 2 10 9" xfId="29842" xr:uid="{00000000-0005-0000-0000-0000EE5B0000}"/>
    <cellStyle name="Note 4 3 3 3 2 2 11" xfId="2275" xr:uid="{00000000-0005-0000-0000-0000EF5B0000}"/>
    <cellStyle name="Note 4 3 3 3 2 2 11 10" xfId="33576" xr:uid="{00000000-0005-0000-0000-0000F05B0000}"/>
    <cellStyle name="Note 4 3 3 3 2 2 11 11" xfId="37327" xr:uid="{00000000-0005-0000-0000-0000F15B0000}"/>
    <cellStyle name="Note 4 3 3 3 2 2 11 12" xfId="41343" xr:uid="{00000000-0005-0000-0000-0000F25B0000}"/>
    <cellStyle name="Note 4 3 3 3 2 2 11 13" xfId="45138" xr:uid="{00000000-0005-0000-0000-0000F35B0000}"/>
    <cellStyle name="Note 4 3 3 3 2 2 11 2" xfId="4258" xr:uid="{00000000-0005-0000-0000-0000F45B0000}"/>
    <cellStyle name="Note 4 3 3 3 2 2 11 2 10" xfId="39309" xr:uid="{00000000-0005-0000-0000-0000F55B0000}"/>
    <cellStyle name="Note 4 3 3 3 2 2 11 2 11" xfId="43319" xr:uid="{00000000-0005-0000-0000-0000F65B0000}"/>
    <cellStyle name="Note 4 3 3 3 2 2 11 2 12" xfId="47076" xr:uid="{00000000-0005-0000-0000-0000F75B0000}"/>
    <cellStyle name="Note 4 3 3 3 2 2 11 2 2" xfId="8117" xr:uid="{00000000-0005-0000-0000-0000F85B0000}"/>
    <cellStyle name="Note 4 3 3 3 2 2 11 2 3" xfId="12557" xr:uid="{00000000-0005-0000-0000-0000F95B0000}"/>
    <cellStyle name="Note 4 3 3 3 2 2 11 2 4" xfId="16402" xr:uid="{00000000-0005-0000-0000-0000FA5B0000}"/>
    <cellStyle name="Note 4 3 3 3 2 2 11 2 5" xfId="20252" xr:uid="{00000000-0005-0000-0000-0000FB5B0000}"/>
    <cellStyle name="Note 4 3 3 3 2 2 11 2 6" xfId="24164" xr:uid="{00000000-0005-0000-0000-0000FC5B0000}"/>
    <cellStyle name="Note 4 3 3 3 2 2 11 2 7" xfId="28002" xr:uid="{00000000-0005-0000-0000-0000FD5B0000}"/>
    <cellStyle name="Note 4 3 3 3 2 2 11 2 8" xfId="31861" xr:uid="{00000000-0005-0000-0000-0000FE5B0000}"/>
    <cellStyle name="Note 4 3 3 3 2 2 11 2 9" xfId="35514" xr:uid="{00000000-0005-0000-0000-0000FF5B0000}"/>
    <cellStyle name="Note 4 3 3 3 2 2 11 3" xfId="6189" xr:uid="{00000000-0005-0000-0000-0000005C0000}"/>
    <cellStyle name="Note 4 3 3 3 2 2 11 4" xfId="10592" xr:uid="{00000000-0005-0000-0000-0000015C0000}"/>
    <cellStyle name="Note 4 3 3 3 2 2 11 5" xfId="14438" xr:uid="{00000000-0005-0000-0000-0000025C0000}"/>
    <cellStyle name="Note 4 3 3 3 2 2 11 6" xfId="18269" xr:uid="{00000000-0005-0000-0000-0000035C0000}"/>
    <cellStyle name="Note 4 3 3 3 2 2 11 7" xfId="22208" xr:uid="{00000000-0005-0000-0000-0000045C0000}"/>
    <cellStyle name="Note 4 3 3 3 2 2 11 8" xfId="26020" xr:uid="{00000000-0005-0000-0000-0000055C0000}"/>
    <cellStyle name="Note 4 3 3 3 2 2 11 9" xfId="29900" xr:uid="{00000000-0005-0000-0000-0000065C0000}"/>
    <cellStyle name="Note 4 3 3 3 2 2 12" xfId="2332" xr:uid="{00000000-0005-0000-0000-0000075C0000}"/>
    <cellStyle name="Note 4 3 3 3 2 2 12 10" xfId="33631" xr:uid="{00000000-0005-0000-0000-0000085C0000}"/>
    <cellStyle name="Note 4 3 3 3 2 2 12 11" xfId="37384" xr:uid="{00000000-0005-0000-0000-0000095C0000}"/>
    <cellStyle name="Note 4 3 3 3 2 2 12 12" xfId="41400" xr:uid="{00000000-0005-0000-0000-00000A5C0000}"/>
    <cellStyle name="Note 4 3 3 3 2 2 12 13" xfId="45193" xr:uid="{00000000-0005-0000-0000-00000B5C0000}"/>
    <cellStyle name="Note 4 3 3 3 2 2 12 2" xfId="4315" xr:uid="{00000000-0005-0000-0000-00000C5C0000}"/>
    <cellStyle name="Note 4 3 3 3 2 2 12 2 10" xfId="39366" xr:uid="{00000000-0005-0000-0000-00000D5C0000}"/>
    <cellStyle name="Note 4 3 3 3 2 2 12 2 11" xfId="43376" xr:uid="{00000000-0005-0000-0000-00000E5C0000}"/>
    <cellStyle name="Note 4 3 3 3 2 2 12 2 12" xfId="47131" xr:uid="{00000000-0005-0000-0000-00000F5C0000}"/>
    <cellStyle name="Note 4 3 3 3 2 2 12 2 2" xfId="8172" xr:uid="{00000000-0005-0000-0000-0000105C0000}"/>
    <cellStyle name="Note 4 3 3 3 2 2 12 2 3" xfId="12614" xr:uid="{00000000-0005-0000-0000-0000115C0000}"/>
    <cellStyle name="Note 4 3 3 3 2 2 12 2 4" xfId="16458" xr:uid="{00000000-0005-0000-0000-0000125C0000}"/>
    <cellStyle name="Note 4 3 3 3 2 2 12 2 5" xfId="20309" xr:uid="{00000000-0005-0000-0000-0000135C0000}"/>
    <cellStyle name="Note 4 3 3 3 2 2 12 2 6" xfId="24220" xr:uid="{00000000-0005-0000-0000-0000145C0000}"/>
    <cellStyle name="Note 4 3 3 3 2 2 12 2 7" xfId="28059" xr:uid="{00000000-0005-0000-0000-0000155C0000}"/>
    <cellStyle name="Note 4 3 3 3 2 2 12 2 8" xfId="31918" xr:uid="{00000000-0005-0000-0000-0000165C0000}"/>
    <cellStyle name="Note 4 3 3 3 2 2 12 2 9" xfId="35569" xr:uid="{00000000-0005-0000-0000-0000175C0000}"/>
    <cellStyle name="Note 4 3 3 3 2 2 12 3" xfId="6244" xr:uid="{00000000-0005-0000-0000-0000185C0000}"/>
    <cellStyle name="Note 4 3 3 3 2 2 12 4" xfId="10649" xr:uid="{00000000-0005-0000-0000-0000195C0000}"/>
    <cellStyle name="Note 4 3 3 3 2 2 12 5" xfId="14494" xr:uid="{00000000-0005-0000-0000-00001A5C0000}"/>
    <cellStyle name="Note 4 3 3 3 2 2 12 6" xfId="18326" xr:uid="{00000000-0005-0000-0000-00001B5C0000}"/>
    <cellStyle name="Note 4 3 3 3 2 2 12 7" xfId="22264" xr:uid="{00000000-0005-0000-0000-00001C5C0000}"/>
    <cellStyle name="Note 4 3 3 3 2 2 12 8" xfId="26077" xr:uid="{00000000-0005-0000-0000-00001D5C0000}"/>
    <cellStyle name="Note 4 3 3 3 2 2 12 9" xfId="29957" xr:uid="{00000000-0005-0000-0000-00001E5C0000}"/>
    <cellStyle name="Note 4 3 3 3 2 2 13" xfId="2397" xr:uid="{00000000-0005-0000-0000-00001F5C0000}"/>
    <cellStyle name="Note 4 3 3 3 2 2 13 10" xfId="33695" xr:uid="{00000000-0005-0000-0000-0000205C0000}"/>
    <cellStyle name="Note 4 3 3 3 2 2 13 11" xfId="37449" xr:uid="{00000000-0005-0000-0000-0000215C0000}"/>
    <cellStyle name="Note 4 3 3 3 2 2 13 12" xfId="41464" xr:uid="{00000000-0005-0000-0000-0000225C0000}"/>
    <cellStyle name="Note 4 3 3 3 2 2 13 13" xfId="45257" xr:uid="{00000000-0005-0000-0000-0000235C0000}"/>
    <cellStyle name="Note 4 3 3 3 2 2 13 2" xfId="4380" xr:uid="{00000000-0005-0000-0000-0000245C0000}"/>
    <cellStyle name="Note 4 3 3 3 2 2 13 2 10" xfId="39431" xr:uid="{00000000-0005-0000-0000-0000255C0000}"/>
    <cellStyle name="Note 4 3 3 3 2 2 13 2 11" xfId="43440" xr:uid="{00000000-0005-0000-0000-0000265C0000}"/>
    <cellStyle name="Note 4 3 3 3 2 2 13 2 12" xfId="47195" xr:uid="{00000000-0005-0000-0000-0000275C0000}"/>
    <cellStyle name="Note 4 3 3 3 2 2 13 2 2" xfId="8237" xr:uid="{00000000-0005-0000-0000-0000285C0000}"/>
    <cellStyle name="Note 4 3 3 3 2 2 13 2 3" xfId="12678" xr:uid="{00000000-0005-0000-0000-0000295C0000}"/>
    <cellStyle name="Note 4 3 3 3 2 2 13 2 4" xfId="16523" xr:uid="{00000000-0005-0000-0000-00002A5C0000}"/>
    <cellStyle name="Note 4 3 3 3 2 2 13 2 5" xfId="20374" xr:uid="{00000000-0005-0000-0000-00002B5C0000}"/>
    <cellStyle name="Note 4 3 3 3 2 2 13 2 6" xfId="24285" xr:uid="{00000000-0005-0000-0000-00002C5C0000}"/>
    <cellStyle name="Note 4 3 3 3 2 2 13 2 7" xfId="28124" xr:uid="{00000000-0005-0000-0000-00002D5C0000}"/>
    <cellStyle name="Note 4 3 3 3 2 2 13 2 8" xfId="31982" xr:uid="{00000000-0005-0000-0000-00002E5C0000}"/>
    <cellStyle name="Note 4 3 3 3 2 2 13 2 9" xfId="35633" xr:uid="{00000000-0005-0000-0000-00002F5C0000}"/>
    <cellStyle name="Note 4 3 3 3 2 2 13 3" xfId="6293" xr:uid="{00000000-0005-0000-0000-0000305C0000}"/>
    <cellStyle name="Note 4 3 3 3 2 2 13 4" xfId="10713" xr:uid="{00000000-0005-0000-0000-0000315C0000}"/>
    <cellStyle name="Note 4 3 3 3 2 2 13 5" xfId="14559" xr:uid="{00000000-0005-0000-0000-0000325C0000}"/>
    <cellStyle name="Note 4 3 3 3 2 2 13 6" xfId="18391" xr:uid="{00000000-0005-0000-0000-0000335C0000}"/>
    <cellStyle name="Note 4 3 3 3 2 2 13 7" xfId="22329" xr:uid="{00000000-0005-0000-0000-0000345C0000}"/>
    <cellStyle name="Note 4 3 3 3 2 2 13 8" xfId="26142" xr:uid="{00000000-0005-0000-0000-0000355C0000}"/>
    <cellStyle name="Note 4 3 3 3 2 2 13 9" xfId="30022" xr:uid="{00000000-0005-0000-0000-0000365C0000}"/>
    <cellStyle name="Note 4 3 3 3 2 2 14" xfId="2449" xr:uid="{00000000-0005-0000-0000-0000375C0000}"/>
    <cellStyle name="Note 4 3 3 3 2 2 14 10" xfId="33745" xr:uid="{00000000-0005-0000-0000-0000385C0000}"/>
    <cellStyle name="Note 4 3 3 3 2 2 14 11" xfId="37501" xr:uid="{00000000-0005-0000-0000-0000395C0000}"/>
    <cellStyle name="Note 4 3 3 3 2 2 14 12" xfId="41516" xr:uid="{00000000-0005-0000-0000-00003A5C0000}"/>
    <cellStyle name="Note 4 3 3 3 2 2 14 13" xfId="45307" xr:uid="{00000000-0005-0000-0000-00003B5C0000}"/>
    <cellStyle name="Note 4 3 3 3 2 2 14 2" xfId="4432" xr:uid="{00000000-0005-0000-0000-00003C5C0000}"/>
    <cellStyle name="Note 4 3 3 3 2 2 14 2 10" xfId="39483" xr:uid="{00000000-0005-0000-0000-00003D5C0000}"/>
    <cellStyle name="Note 4 3 3 3 2 2 14 2 11" xfId="43492" xr:uid="{00000000-0005-0000-0000-00003E5C0000}"/>
    <cellStyle name="Note 4 3 3 3 2 2 14 2 12" xfId="47245" xr:uid="{00000000-0005-0000-0000-00003F5C0000}"/>
    <cellStyle name="Note 4 3 3 3 2 2 14 2 2" xfId="8287" xr:uid="{00000000-0005-0000-0000-0000405C0000}"/>
    <cellStyle name="Note 4 3 3 3 2 2 14 2 3" xfId="12730" xr:uid="{00000000-0005-0000-0000-0000415C0000}"/>
    <cellStyle name="Note 4 3 3 3 2 2 14 2 4" xfId="16573" xr:uid="{00000000-0005-0000-0000-0000425C0000}"/>
    <cellStyle name="Note 4 3 3 3 2 2 14 2 5" xfId="20426" xr:uid="{00000000-0005-0000-0000-0000435C0000}"/>
    <cellStyle name="Note 4 3 3 3 2 2 14 2 6" xfId="24336" xr:uid="{00000000-0005-0000-0000-0000445C0000}"/>
    <cellStyle name="Note 4 3 3 3 2 2 14 2 7" xfId="28176" xr:uid="{00000000-0005-0000-0000-0000455C0000}"/>
    <cellStyle name="Note 4 3 3 3 2 2 14 2 8" xfId="32034" xr:uid="{00000000-0005-0000-0000-0000465C0000}"/>
    <cellStyle name="Note 4 3 3 3 2 2 14 2 9" xfId="35683" xr:uid="{00000000-0005-0000-0000-0000475C0000}"/>
    <cellStyle name="Note 4 3 3 3 2 2 14 3" xfId="6343" xr:uid="{00000000-0005-0000-0000-0000485C0000}"/>
    <cellStyle name="Note 4 3 3 3 2 2 14 4" xfId="10765" xr:uid="{00000000-0005-0000-0000-0000495C0000}"/>
    <cellStyle name="Note 4 3 3 3 2 2 14 5" xfId="14610" xr:uid="{00000000-0005-0000-0000-00004A5C0000}"/>
    <cellStyle name="Note 4 3 3 3 2 2 14 6" xfId="18443" xr:uid="{00000000-0005-0000-0000-00004B5C0000}"/>
    <cellStyle name="Note 4 3 3 3 2 2 14 7" xfId="22380" xr:uid="{00000000-0005-0000-0000-00004C5C0000}"/>
    <cellStyle name="Note 4 3 3 3 2 2 14 8" xfId="26194" xr:uid="{00000000-0005-0000-0000-00004D5C0000}"/>
    <cellStyle name="Note 4 3 3 3 2 2 14 9" xfId="30073" xr:uid="{00000000-0005-0000-0000-00004E5C0000}"/>
    <cellStyle name="Note 4 3 3 3 2 2 15" xfId="2503" xr:uid="{00000000-0005-0000-0000-00004F5C0000}"/>
    <cellStyle name="Note 4 3 3 3 2 2 15 10" xfId="33796" xr:uid="{00000000-0005-0000-0000-0000505C0000}"/>
    <cellStyle name="Note 4 3 3 3 2 2 15 11" xfId="37555" xr:uid="{00000000-0005-0000-0000-0000515C0000}"/>
    <cellStyle name="Note 4 3 3 3 2 2 15 12" xfId="41569" xr:uid="{00000000-0005-0000-0000-0000525C0000}"/>
    <cellStyle name="Note 4 3 3 3 2 2 15 13" xfId="45358" xr:uid="{00000000-0005-0000-0000-0000535C0000}"/>
    <cellStyle name="Note 4 3 3 3 2 2 15 2" xfId="4483" xr:uid="{00000000-0005-0000-0000-0000545C0000}"/>
    <cellStyle name="Note 4 3 3 3 2 2 15 2 10" xfId="39534" xr:uid="{00000000-0005-0000-0000-0000555C0000}"/>
    <cellStyle name="Note 4 3 3 3 2 2 15 2 11" xfId="43543" xr:uid="{00000000-0005-0000-0000-0000565C0000}"/>
    <cellStyle name="Note 4 3 3 3 2 2 15 2 12" xfId="47296" xr:uid="{00000000-0005-0000-0000-0000575C0000}"/>
    <cellStyle name="Note 4 3 3 3 2 2 15 2 2" xfId="8338" xr:uid="{00000000-0005-0000-0000-0000585C0000}"/>
    <cellStyle name="Note 4 3 3 3 2 2 15 2 3" xfId="12781" xr:uid="{00000000-0005-0000-0000-0000595C0000}"/>
    <cellStyle name="Note 4 3 3 3 2 2 15 2 4" xfId="16624" xr:uid="{00000000-0005-0000-0000-00005A5C0000}"/>
    <cellStyle name="Note 4 3 3 3 2 2 15 2 5" xfId="20477" xr:uid="{00000000-0005-0000-0000-00005B5C0000}"/>
    <cellStyle name="Note 4 3 3 3 2 2 15 2 6" xfId="24387" xr:uid="{00000000-0005-0000-0000-00005C5C0000}"/>
    <cellStyle name="Note 4 3 3 3 2 2 15 2 7" xfId="28227" xr:uid="{00000000-0005-0000-0000-00005D5C0000}"/>
    <cellStyle name="Note 4 3 3 3 2 2 15 2 8" xfId="32085" xr:uid="{00000000-0005-0000-0000-00005E5C0000}"/>
    <cellStyle name="Note 4 3 3 3 2 2 15 2 9" xfId="35734" xr:uid="{00000000-0005-0000-0000-00005F5C0000}"/>
    <cellStyle name="Note 4 3 3 3 2 2 15 3" xfId="6395" xr:uid="{00000000-0005-0000-0000-0000605C0000}"/>
    <cellStyle name="Note 4 3 3 3 2 2 15 4" xfId="10818" xr:uid="{00000000-0005-0000-0000-0000615C0000}"/>
    <cellStyle name="Note 4 3 3 3 2 2 15 5" xfId="14662" xr:uid="{00000000-0005-0000-0000-0000625C0000}"/>
    <cellStyle name="Note 4 3 3 3 2 2 15 6" xfId="18497" xr:uid="{00000000-0005-0000-0000-0000635C0000}"/>
    <cellStyle name="Note 4 3 3 3 2 2 15 7" xfId="22432" xr:uid="{00000000-0005-0000-0000-0000645C0000}"/>
    <cellStyle name="Note 4 3 3 3 2 2 15 8" xfId="26248" xr:uid="{00000000-0005-0000-0000-0000655C0000}"/>
    <cellStyle name="Note 4 3 3 3 2 2 15 9" xfId="30127" xr:uid="{00000000-0005-0000-0000-0000665C0000}"/>
    <cellStyle name="Note 4 3 3 3 2 2 16" xfId="2572" xr:uid="{00000000-0005-0000-0000-0000675C0000}"/>
    <cellStyle name="Note 4 3 3 3 2 2 16 10" xfId="37624" xr:uid="{00000000-0005-0000-0000-0000685C0000}"/>
    <cellStyle name="Note 4 3 3 3 2 2 16 11" xfId="41638" xr:uid="{00000000-0005-0000-0000-0000695C0000}"/>
    <cellStyle name="Note 4 3 3 3 2 2 16 12" xfId="45427" xr:uid="{00000000-0005-0000-0000-00006A5C0000}"/>
    <cellStyle name="Note 4 3 3 3 2 2 16 2" xfId="6464" xr:uid="{00000000-0005-0000-0000-00006B5C0000}"/>
    <cellStyle name="Note 4 3 3 3 2 2 16 3" xfId="10887" xr:uid="{00000000-0005-0000-0000-00006C5C0000}"/>
    <cellStyle name="Note 4 3 3 3 2 2 16 4" xfId="14731" xr:uid="{00000000-0005-0000-0000-00006D5C0000}"/>
    <cellStyle name="Note 4 3 3 3 2 2 16 5" xfId="18566" xr:uid="{00000000-0005-0000-0000-00006E5C0000}"/>
    <cellStyle name="Note 4 3 3 3 2 2 16 6" xfId="22501" xr:uid="{00000000-0005-0000-0000-00006F5C0000}"/>
    <cellStyle name="Note 4 3 3 3 2 2 16 7" xfId="26317" xr:uid="{00000000-0005-0000-0000-0000705C0000}"/>
    <cellStyle name="Note 4 3 3 3 2 2 16 8" xfId="30196" xr:uid="{00000000-0005-0000-0000-0000715C0000}"/>
    <cellStyle name="Note 4 3 3 3 2 2 16 9" xfId="33865" xr:uid="{00000000-0005-0000-0000-0000725C0000}"/>
    <cellStyle name="Note 4 3 3 3 2 2 17" xfId="4540" xr:uid="{00000000-0005-0000-0000-0000735C0000}"/>
    <cellStyle name="Note 4 3 3 3 2 2 18" xfId="8358" xr:uid="{00000000-0005-0000-0000-0000745C0000}"/>
    <cellStyle name="Note 4 3 3 3 2 2 19" xfId="8757" xr:uid="{00000000-0005-0000-0000-0000755C0000}"/>
    <cellStyle name="Note 4 3 3 3 2 2 2" xfId="701" xr:uid="{00000000-0005-0000-0000-0000765C0000}"/>
    <cellStyle name="Note 4 3 3 3 2 2 2 10" xfId="24435" xr:uid="{00000000-0005-0000-0000-0000775C0000}"/>
    <cellStyle name="Note 4 3 3 3 2 2 2 11" xfId="28328" xr:uid="{00000000-0005-0000-0000-0000785C0000}"/>
    <cellStyle name="Note 4 3 3 3 2 2 2 12" xfId="8423" xr:uid="{00000000-0005-0000-0000-0000795C0000}"/>
    <cellStyle name="Note 4 3 3 3 2 2 2 13" xfId="35772" xr:uid="{00000000-0005-0000-0000-00007A5C0000}"/>
    <cellStyle name="Note 4 3 3 3 2 2 2 14" xfId="39795" xr:uid="{00000000-0005-0000-0000-00007B5C0000}"/>
    <cellStyle name="Note 4 3 3 3 2 2 2 15" xfId="43598" xr:uid="{00000000-0005-0000-0000-00007C5C0000}"/>
    <cellStyle name="Note 4 3 3 3 2 2 2 2" xfId="1081" xr:uid="{00000000-0005-0000-0000-00007D5C0000}"/>
    <cellStyle name="Note 4 3 3 3 2 2 2 2 10" xfId="28692" xr:uid="{00000000-0005-0000-0000-00007E5C0000}"/>
    <cellStyle name="Note 4 3 3 3 2 2 2 2 11" xfId="32378" xr:uid="{00000000-0005-0000-0000-00007F5C0000}"/>
    <cellStyle name="Note 4 3 3 3 2 2 2 2 12" xfId="36139" xr:uid="{00000000-0005-0000-0000-0000805C0000}"/>
    <cellStyle name="Note 4 3 3 3 2 2 2 2 13" xfId="40142" xr:uid="{00000000-0005-0000-0000-0000815C0000}"/>
    <cellStyle name="Note 4 3 3 3 2 2 2 2 14" xfId="43965" xr:uid="{00000000-0005-0000-0000-0000825C0000}"/>
    <cellStyle name="Note 4 3 3 3 2 2 2 2 2" xfId="1808" xr:uid="{00000000-0005-0000-0000-0000835C0000}"/>
    <cellStyle name="Note 4 3 3 3 2 2 2 2 2 10" xfId="33095" xr:uid="{00000000-0005-0000-0000-0000845C0000}"/>
    <cellStyle name="Note 4 3 3 3 2 2 2 2 2 11" xfId="36865" xr:uid="{00000000-0005-0000-0000-0000855C0000}"/>
    <cellStyle name="Note 4 3 3 3 2 2 2 2 2 12" xfId="40856" xr:uid="{00000000-0005-0000-0000-0000865C0000}"/>
    <cellStyle name="Note 4 3 3 3 2 2 2 2 2 13" xfId="44687" xr:uid="{00000000-0005-0000-0000-0000875C0000}"/>
    <cellStyle name="Note 4 3 3 3 2 2 2 2 2 2" xfId="3798" xr:uid="{00000000-0005-0000-0000-0000885C0000}"/>
    <cellStyle name="Note 4 3 3 3 2 2 2 2 2 2 10" xfId="38849" xr:uid="{00000000-0005-0000-0000-0000895C0000}"/>
    <cellStyle name="Note 4 3 3 3 2 2 2 2 2 2 11" xfId="42860" xr:uid="{00000000-0005-0000-0000-00008A5C0000}"/>
    <cellStyle name="Note 4 3 3 3 2 2 2 2 2 2 12" xfId="46625" xr:uid="{00000000-0005-0000-0000-00008B5C0000}"/>
    <cellStyle name="Note 4 3 3 3 2 2 2 2 2 2 2" xfId="7665" xr:uid="{00000000-0005-0000-0000-00008C5C0000}"/>
    <cellStyle name="Note 4 3 3 3 2 2 2 2 2 2 3" xfId="12100" xr:uid="{00000000-0005-0000-0000-00008D5C0000}"/>
    <cellStyle name="Note 4 3 3 3 2 2 2 2 2 2 4" xfId="15945" xr:uid="{00000000-0005-0000-0000-00008E5C0000}"/>
    <cellStyle name="Note 4 3 3 3 2 2 2 2 2 2 5" xfId="19792" xr:uid="{00000000-0005-0000-0000-00008F5C0000}"/>
    <cellStyle name="Note 4 3 3 3 2 2 2 2 2 2 6" xfId="23708" xr:uid="{00000000-0005-0000-0000-0000905C0000}"/>
    <cellStyle name="Note 4 3 3 3 2 2 2 2 2 2 7" xfId="27542" xr:uid="{00000000-0005-0000-0000-0000915C0000}"/>
    <cellStyle name="Note 4 3 3 3 2 2 2 2 2 2 8" xfId="31406" xr:uid="{00000000-0005-0000-0000-0000925C0000}"/>
    <cellStyle name="Note 4 3 3 3 2 2 2 2 2 2 9" xfId="35063" xr:uid="{00000000-0005-0000-0000-0000935C0000}"/>
    <cellStyle name="Note 4 3 3 3 2 2 2 2 2 3" xfId="5741" xr:uid="{00000000-0005-0000-0000-0000945C0000}"/>
    <cellStyle name="Note 4 3 3 3 2 2 2 2 2 4" xfId="10099" xr:uid="{00000000-0005-0000-0000-0000955C0000}"/>
    <cellStyle name="Note 4 3 3 3 2 2 2 2 2 5" xfId="13945" xr:uid="{00000000-0005-0000-0000-0000965C0000}"/>
    <cellStyle name="Note 4 3 3 3 2 2 2 2 2 6" xfId="17774" xr:uid="{00000000-0005-0000-0000-0000975C0000}"/>
    <cellStyle name="Note 4 3 3 3 2 2 2 2 2 7" xfId="21713" xr:uid="{00000000-0005-0000-0000-0000985C0000}"/>
    <cellStyle name="Note 4 3 3 3 2 2 2 2 2 8" xfId="25526" xr:uid="{00000000-0005-0000-0000-0000995C0000}"/>
    <cellStyle name="Note 4 3 3 3 2 2 2 2 2 9" xfId="29413" xr:uid="{00000000-0005-0000-0000-00009A5C0000}"/>
    <cellStyle name="Note 4 3 3 3 2 2 2 2 3" xfId="3071" xr:uid="{00000000-0005-0000-0000-00009B5C0000}"/>
    <cellStyle name="Note 4 3 3 3 2 2 2 2 3 10" xfId="38123" xr:uid="{00000000-0005-0000-0000-00009C5C0000}"/>
    <cellStyle name="Note 4 3 3 3 2 2 2 2 3 11" xfId="42135" xr:uid="{00000000-0005-0000-0000-00009D5C0000}"/>
    <cellStyle name="Note 4 3 3 3 2 2 2 2 3 12" xfId="45908" xr:uid="{00000000-0005-0000-0000-00009E5C0000}"/>
    <cellStyle name="Note 4 3 3 3 2 2 2 2 3 2" xfId="6947" xr:uid="{00000000-0005-0000-0000-00009F5C0000}"/>
    <cellStyle name="Note 4 3 3 3 2 2 2 2 3 3" xfId="11376" xr:uid="{00000000-0005-0000-0000-0000A05C0000}"/>
    <cellStyle name="Note 4 3 3 3 2 2 2 2 3 4" xfId="15220" xr:uid="{00000000-0005-0000-0000-0000A15C0000}"/>
    <cellStyle name="Note 4 3 3 3 2 2 2 2 3 5" xfId="19065" xr:uid="{00000000-0005-0000-0000-0000A25C0000}"/>
    <cellStyle name="Note 4 3 3 3 2 2 2 2 3 6" xfId="22987" xr:uid="{00000000-0005-0000-0000-0000A35C0000}"/>
    <cellStyle name="Note 4 3 3 3 2 2 2 2 3 7" xfId="26816" xr:uid="{00000000-0005-0000-0000-0000A45C0000}"/>
    <cellStyle name="Note 4 3 3 3 2 2 2 2 3 8" xfId="30690" xr:uid="{00000000-0005-0000-0000-0000A55C0000}"/>
    <cellStyle name="Note 4 3 3 3 2 2 2 2 3 9" xfId="34346" xr:uid="{00000000-0005-0000-0000-0000A65C0000}"/>
    <cellStyle name="Note 4 3 3 3 2 2 2 2 4" xfId="5023" xr:uid="{00000000-0005-0000-0000-0000A75C0000}"/>
    <cellStyle name="Note 4 3 3 3 2 2 2 2 5" xfId="9379" xr:uid="{00000000-0005-0000-0000-0000A85C0000}"/>
    <cellStyle name="Note 4 3 3 3 2 2 2 2 6" xfId="13219" xr:uid="{00000000-0005-0000-0000-0000A95C0000}"/>
    <cellStyle name="Note 4 3 3 3 2 2 2 2 7" xfId="17047" xr:uid="{00000000-0005-0000-0000-0000AA5C0000}"/>
    <cellStyle name="Note 4 3 3 3 2 2 2 2 8" xfId="20989" xr:uid="{00000000-0005-0000-0000-0000AB5C0000}"/>
    <cellStyle name="Note 4 3 3 3 2 2 2 2 9" xfId="24803" xr:uid="{00000000-0005-0000-0000-0000AC5C0000}"/>
    <cellStyle name="Note 4 3 3 3 2 2 2 3" xfId="1455" xr:uid="{00000000-0005-0000-0000-0000AD5C0000}"/>
    <cellStyle name="Note 4 3 3 3 2 2 2 3 10" xfId="32742" xr:uid="{00000000-0005-0000-0000-0000AE5C0000}"/>
    <cellStyle name="Note 4 3 3 3 2 2 2 3 11" xfId="36512" xr:uid="{00000000-0005-0000-0000-0000AF5C0000}"/>
    <cellStyle name="Note 4 3 3 3 2 2 2 3 12" xfId="40503" xr:uid="{00000000-0005-0000-0000-0000B05C0000}"/>
    <cellStyle name="Note 4 3 3 3 2 2 2 3 13" xfId="44334" xr:uid="{00000000-0005-0000-0000-0000B15C0000}"/>
    <cellStyle name="Note 4 3 3 3 2 2 2 3 2" xfId="3445" xr:uid="{00000000-0005-0000-0000-0000B25C0000}"/>
    <cellStyle name="Note 4 3 3 3 2 2 2 3 2 10" xfId="38496" xr:uid="{00000000-0005-0000-0000-0000B35C0000}"/>
    <cellStyle name="Note 4 3 3 3 2 2 2 3 2 11" xfId="42507" xr:uid="{00000000-0005-0000-0000-0000B45C0000}"/>
    <cellStyle name="Note 4 3 3 3 2 2 2 3 2 12" xfId="46272" xr:uid="{00000000-0005-0000-0000-0000B55C0000}"/>
    <cellStyle name="Note 4 3 3 3 2 2 2 3 2 2" xfId="7312" xr:uid="{00000000-0005-0000-0000-0000B65C0000}"/>
    <cellStyle name="Note 4 3 3 3 2 2 2 3 2 3" xfId="11747" xr:uid="{00000000-0005-0000-0000-0000B75C0000}"/>
    <cellStyle name="Note 4 3 3 3 2 2 2 3 2 4" xfId="15592" xr:uid="{00000000-0005-0000-0000-0000B85C0000}"/>
    <cellStyle name="Note 4 3 3 3 2 2 2 3 2 5" xfId="19439" xr:uid="{00000000-0005-0000-0000-0000B95C0000}"/>
    <cellStyle name="Note 4 3 3 3 2 2 2 3 2 6" xfId="23355" xr:uid="{00000000-0005-0000-0000-0000BA5C0000}"/>
    <cellStyle name="Note 4 3 3 3 2 2 2 3 2 7" xfId="27189" xr:uid="{00000000-0005-0000-0000-0000BB5C0000}"/>
    <cellStyle name="Note 4 3 3 3 2 2 2 3 2 8" xfId="31057" xr:uid="{00000000-0005-0000-0000-0000BC5C0000}"/>
    <cellStyle name="Note 4 3 3 3 2 2 2 3 2 9" xfId="34710" xr:uid="{00000000-0005-0000-0000-0000BD5C0000}"/>
    <cellStyle name="Note 4 3 3 3 2 2 2 3 3" xfId="5388" xr:uid="{00000000-0005-0000-0000-0000BE5C0000}"/>
    <cellStyle name="Note 4 3 3 3 2 2 2 3 4" xfId="9746" xr:uid="{00000000-0005-0000-0000-0000BF5C0000}"/>
    <cellStyle name="Note 4 3 3 3 2 2 2 3 5" xfId="13592" xr:uid="{00000000-0005-0000-0000-0000C05C0000}"/>
    <cellStyle name="Note 4 3 3 3 2 2 2 3 6" xfId="17421" xr:uid="{00000000-0005-0000-0000-0000C15C0000}"/>
    <cellStyle name="Note 4 3 3 3 2 2 2 3 7" xfId="21360" xr:uid="{00000000-0005-0000-0000-0000C25C0000}"/>
    <cellStyle name="Note 4 3 3 3 2 2 2 3 8" xfId="25173" xr:uid="{00000000-0005-0000-0000-0000C35C0000}"/>
    <cellStyle name="Note 4 3 3 3 2 2 2 3 9" xfId="29060" xr:uid="{00000000-0005-0000-0000-0000C45C0000}"/>
    <cellStyle name="Note 4 3 3 3 2 2 2 4" xfId="2704" xr:uid="{00000000-0005-0000-0000-0000C55C0000}"/>
    <cellStyle name="Note 4 3 3 3 2 2 2 4 10" xfId="37756" xr:uid="{00000000-0005-0000-0000-0000C65C0000}"/>
    <cellStyle name="Note 4 3 3 3 2 2 2 4 11" xfId="41770" xr:uid="{00000000-0005-0000-0000-0000C75C0000}"/>
    <cellStyle name="Note 4 3 3 3 2 2 2 4 12" xfId="45555" xr:uid="{00000000-0005-0000-0000-0000C85C0000}"/>
    <cellStyle name="Note 4 3 3 3 2 2 2 4 2" xfId="6592" xr:uid="{00000000-0005-0000-0000-0000C95C0000}"/>
    <cellStyle name="Note 4 3 3 3 2 2 2 4 3" xfId="11016" xr:uid="{00000000-0005-0000-0000-0000CA5C0000}"/>
    <cellStyle name="Note 4 3 3 3 2 2 2 4 4" xfId="14860" xr:uid="{00000000-0005-0000-0000-0000CB5C0000}"/>
    <cellStyle name="Note 4 3 3 3 2 2 2 4 5" xfId="18698" xr:uid="{00000000-0005-0000-0000-0000CC5C0000}"/>
    <cellStyle name="Note 4 3 3 3 2 2 2 4 6" xfId="22629" xr:uid="{00000000-0005-0000-0000-0000CD5C0000}"/>
    <cellStyle name="Note 4 3 3 3 2 2 2 4 7" xfId="26449" xr:uid="{00000000-0005-0000-0000-0000CE5C0000}"/>
    <cellStyle name="Note 4 3 3 3 2 2 2 4 8" xfId="30328" xr:uid="{00000000-0005-0000-0000-0000CF5C0000}"/>
    <cellStyle name="Note 4 3 3 3 2 2 2 4 9" xfId="33993" xr:uid="{00000000-0005-0000-0000-0000D05C0000}"/>
    <cellStyle name="Note 4 3 3 3 2 2 2 5" xfId="4668" xr:uid="{00000000-0005-0000-0000-0000D15C0000}"/>
    <cellStyle name="Note 4 3 3 3 2 2 2 6" xfId="9010" xr:uid="{00000000-0005-0000-0000-0000D25C0000}"/>
    <cellStyle name="Note 4 3 3 3 2 2 2 7" xfId="12847" xr:uid="{00000000-0005-0000-0000-0000D35C0000}"/>
    <cellStyle name="Note 4 3 3 3 2 2 2 8" xfId="16677" xr:uid="{00000000-0005-0000-0000-0000D45C0000}"/>
    <cellStyle name="Note 4 3 3 3 2 2 2 9" xfId="20614" xr:uid="{00000000-0005-0000-0000-0000D55C0000}"/>
    <cellStyle name="Note 4 3 3 3 2 2 20" xfId="8877" xr:uid="{00000000-0005-0000-0000-0000D65C0000}"/>
    <cellStyle name="Note 4 3 3 3 2 2 21" xfId="8674" xr:uid="{00000000-0005-0000-0000-0000D75C0000}"/>
    <cellStyle name="Note 4 3 3 3 2 2 22" xfId="8517" xr:uid="{00000000-0005-0000-0000-0000D85C0000}"/>
    <cellStyle name="Note 4 3 3 3 2 2 23" xfId="14212" xr:uid="{00000000-0005-0000-0000-0000D95C0000}"/>
    <cellStyle name="Note 4 3 3 3 2 2 24" xfId="8773" xr:uid="{00000000-0005-0000-0000-0000DA5C0000}"/>
    <cellStyle name="Note 4 3 3 3 2 2 25" xfId="8718" xr:uid="{00000000-0005-0000-0000-0000DB5C0000}"/>
    <cellStyle name="Note 4 3 3 3 2 2 26" xfId="30565" xr:uid="{00000000-0005-0000-0000-0000DC5C0000}"/>
    <cellStyle name="Note 4 3 3 3 2 2 27" xfId="8899" xr:uid="{00000000-0005-0000-0000-0000DD5C0000}"/>
    <cellStyle name="Note 4 3 3 3 2 2 28" xfId="39664" xr:uid="{00000000-0005-0000-0000-0000DE5C0000}"/>
    <cellStyle name="Note 4 3 3 3 2 2 29" xfId="41079" xr:uid="{00000000-0005-0000-0000-0000DF5C0000}"/>
    <cellStyle name="Note 4 3 3 3 2 2 3" xfId="640" xr:uid="{00000000-0005-0000-0000-0000E05C0000}"/>
    <cellStyle name="Note 4 3 3 3 2 2 3 10" xfId="8790" xr:uid="{00000000-0005-0000-0000-0000E15C0000}"/>
    <cellStyle name="Note 4 3 3 3 2 2 3 11" xfId="28267" xr:uid="{00000000-0005-0000-0000-0000E25C0000}"/>
    <cellStyle name="Note 4 3 3 3 2 2 3 12" xfId="28767" xr:uid="{00000000-0005-0000-0000-0000E35C0000}"/>
    <cellStyle name="Note 4 3 3 3 2 2 3 13" xfId="33381" xr:uid="{00000000-0005-0000-0000-0000E45C0000}"/>
    <cellStyle name="Note 4 3 3 3 2 2 3 14" xfId="39735" xr:uid="{00000000-0005-0000-0000-0000E55C0000}"/>
    <cellStyle name="Note 4 3 3 3 2 2 3 15" xfId="39551" xr:uid="{00000000-0005-0000-0000-0000E65C0000}"/>
    <cellStyle name="Note 4 3 3 3 2 2 3 2" xfId="1020" xr:uid="{00000000-0005-0000-0000-0000E75C0000}"/>
    <cellStyle name="Note 4 3 3 3 2 2 3 2 10" xfId="28631" xr:uid="{00000000-0005-0000-0000-0000E85C0000}"/>
    <cellStyle name="Note 4 3 3 3 2 2 3 2 11" xfId="32319" xr:uid="{00000000-0005-0000-0000-0000E95C0000}"/>
    <cellStyle name="Note 4 3 3 3 2 2 3 2 12" xfId="36078" xr:uid="{00000000-0005-0000-0000-0000EA5C0000}"/>
    <cellStyle name="Note 4 3 3 3 2 2 3 2 13" xfId="40083" xr:uid="{00000000-0005-0000-0000-0000EB5C0000}"/>
    <cellStyle name="Note 4 3 3 3 2 2 3 2 14" xfId="43904" xr:uid="{00000000-0005-0000-0000-0000EC5C0000}"/>
    <cellStyle name="Note 4 3 3 3 2 2 3 2 2" xfId="1749" xr:uid="{00000000-0005-0000-0000-0000ED5C0000}"/>
    <cellStyle name="Note 4 3 3 3 2 2 3 2 2 10" xfId="33036" xr:uid="{00000000-0005-0000-0000-0000EE5C0000}"/>
    <cellStyle name="Note 4 3 3 3 2 2 3 2 2 11" xfId="36806" xr:uid="{00000000-0005-0000-0000-0000EF5C0000}"/>
    <cellStyle name="Note 4 3 3 3 2 2 3 2 2 12" xfId="40797" xr:uid="{00000000-0005-0000-0000-0000F05C0000}"/>
    <cellStyle name="Note 4 3 3 3 2 2 3 2 2 13" xfId="44628" xr:uid="{00000000-0005-0000-0000-0000F15C0000}"/>
    <cellStyle name="Note 4 3 3 3 2 2 3 2 2 2" xfId="3739" xr:uid="{00000000-0005-0000-0000-0000F25C0000}"/>
    <cellStyle name="Note 4 3 3 3 2 2 3 2 2 2 10" xfId="38790" xr:uid="{00000000-0005-0000-0000-0000F35C0000}"/>
    <cellStyle name="Note 4 3 3 3 2 2 3 2 2 2 11" xfId="42801" xr:uid="{00000000-0005-0000-0000-0000F45C0000}"/>
    <cellStyle name="Note 4 3 3 3 2 2 3 2 2 2 12" xfId="46566" xr:uid="{00000000-0005-0000-0000-0000F55C0000}"/>
    <cellStyle name="Note 4 3 3 3 2 2 3 2 2 2 2" xfId="7606" xr:uid="{00000000-0005-0000-0000-0000F65C0000}"/>
    <cellStyle name="Note 4 3 3 3 2 2 3 2 2 2 3" xfId="12041" xr:uid="{00000000-0005-0000-0000-0000F75C0000}"/>
    <cellStyle name="Note 4 3 3 3 2 2 3 2 2 2 4" xfId="15886" xr:uid="{00000000-0005-0000-0000-0000F85C0000}"/>
    <cellStyle name="Note 4 3 3 3 2 2 3 2 2 2 5" xfId="19733" xr:uid="{00000000-0005-0000-0000-0000F95C0000}"/>
    <cellStyle name="Note 4 3 3 3 2 2 3 2 2 2 6" xfId="23649" xr:uid="{00000000-0005-0000-0000-0000FA5C0000}"/>
    <cellStyle name="Note 4 3 3 3 2 2 3 2 2 2 7" xfId="27483" xr:uid="{00000000-0005-0000-0000-0000FB5C0000}"/>
    <cellStyle name="Note 4 3 3 3 2 2 3 2 2 2 8" xfId="31347" xr:uid="{00000000-0005-0000-0000-0000FC5C0000}"/>
    <cellStyle name="Note 4 3 3 3 2 2 3 2 2 2 9" xfId="35004" xr:uid="{00000000-0005-0000-0000-0000FD5C0000}"/>
    <cellStyle name="Note 4 3 3 3 2 2 3 2 2 3" xfId="5682" xr:uid="{00000000-0005-0000-0000-0000FE5C0000}"/>
    <cellStyle name="Note 4 3 3 3 2 2 3 2 2 4" xfId="10040" xr:uid="{00000000-0005-0000-0000-0000FF5C0000}"/>
    <cellStyle name="Note 4 3 3 3 2 2 3 2 2 5" xfId="13886" xr:uid="{00000000-0005-0000-0000-0000005D0000}"/>
    <cellStyle name="Note 4 3 3 3 2 2 3 2 2 6" xfId="17715" xr:uid="{00000000-0005-0000-0000-0000015D0000}"/>
    <cellStyle name="Note 4 3 3 3 2 2 3 2 2 7" xfId="21654" xr:uid="{00000000-0005-0000-0000-0000025D0000}"/>
    <cellStyle name="Note 4 3 3 3 2 2 3 2 2 8" xfId="25467" xr:uid="{00000000-0005-0000-0000-0000035D0000}"/>
    <cellStyle name="Note 4 3 3 3 2 2 3 2 2 9" xfId="29354" xr:uid="{00000000-0005-0000-0000-0000045D0000}"/>
    <cellStyle name="Note 4 3 3 3 2 2 3 2 3" xfId="3010" xr:uid="{00000000-0005-0000-0000-0000055D0000}"/>
    <cellStyle name="Note 4 3 3 3 2 2 3 2 3 10" xfId="38062" xr:uid="{00000000-0005-0000-0000-0000065D0000}"/>
    <cellStyle name="Note 4 3 3 3 2 2 3 2 3 11" xfId="42074" xr:uid="{00000000-0005-0000-0000-0000075D0000}"/>
    <cellStyle name="Note 4 3 3 3 2 2 3 2 3 12" xfId="45849" xr:uid="{00000000-0005-0000-0000-0000085D0000}"/>
    <cellStyle name="Note 4 3 3 3 2 2 3 2 3 2" xfId="6888" xr:uid="{00000000-0005-0000-0000-0000095D0000}"/>
    <cellStyle name="Note 4 3 3 3 2 2 3 2 3 3" xfId="11316" xr:uid="{00000000-0005-0000-0000-00000A5D0000}"/>
    <cellStyle name="Note 4 3 3 3 2 2 3 2 3 4" xfId="15161" xr:uid="{00000000-0005-0000-0000-00000B5D0000}"/>
    <cellStyle name="Note 4 3 3 3 2 2 3 2 3 5" xfId="19004" xr:uid="{00000000-0005-0000-0000-00000C5D0000}"/>
    <cellStyle name="Note 4 3 3 3 2 2 3 2 3 6" xfId="22928" xr:uid="{00000000-0005-0000-0000-00000D5D0000}"/>
    <cellStyle name="Note 4 3 3 3 2 2 3 2 3 7" xfId="26755" xr:uid="{00000000-0005-0000-0000-00000E5D0000}"/>
    <cellStyle name="Note 4 3 3 3 2 2 3 2 3 8" xfId="30629" xr:uid="{00000000-0005-0000-0000-00000F5D0000}"/>
    <cellStyle name="Note 4 3 3 3 2 2 3 2 3 9" xfId="34287" xr:uid="{00000000-0005-0000-0000-0000105D0000}"/>
    <cellStyle name="Note 4 3 3 3 2 2 3 2 4" xfId="4964" xr:uid="{00000000-0005-0000-0000-0000115D0000}"/>
    <cellStyle name="Note 4 3 3 3 2 2 3 2 5" xfId="9319" xr:uid="{00000000-0005-0000-0000-0000125D0000}"/>
    <cellStyle name="Note 4 3 3 3 2 2 3 2 6" xfId="13160" xr:uid="{00000000-0005-0000-0000-0000135D0000}"/>
    <cellStyle name="Note 4 3 3 3 2 2 3 2 7" xfId="16986" xr:uid="{00000000-0005-0000-0000-0000145D0000}"/>
    <cellStyle name="Note 4 3 3 3 2 2 3 2 8" xfId="20928" xr:uid="{00000000-0005-0000-0000-0000155D0000}"/>
    <cellStyle name="Note 4 3 3 3 2 2 3 2 9" xfId="24743" xr:uid="{00000000-0005-0000-0000-0000165D0000}"/>
    <cellStyle name="Note 4 3 3 3 2 2 3 3" xfId="1396" xr:uid="{00000000-0005-0000-0000-0000175D0000}"/>
    <cellStyle name="Note 4 3 3 3 2 2 3 3 10" xfId="32683" xr:uid="{00000000-0005-0000-0000-0000185D0000}"/>
    <cellStyle name="Note 4 3 3 3 2 2 3 3 11" xfId="36453" xr:uid="{00000000-0005-0000-0000-0000195D0000}"/>
    <cellStyle name="Note 4 3 3 3 2 2 3 3 12" xfId="40444" xr:uid="{00000000-0005-0000-0000-00001A5D0000}"/>
    <cellStyle name="Note 4 3 3 3 2 2 3 3 13" xfId="44275" xr:uid="{00000000-0005-0000-0000-00001B5D0000}"/>
    <cellStyle name="Note 4 3 3 3 2 2 3 3 2" xfId="3386" xr:uid="{00000000-0005-0000-0000-00001C5D0000}"/>
    <cellStyle name="Note 4 3 3 3 2 2 3 3 2 10" xfId="38437" xr:uid="{00000000-0005-0000-0000-00001D5D0000}"/>
    <cellStyle name="Note 4 3 3 3 2 2 3 3 2 11" xfId="42448" xr:uid="{00000000-0005-0000-0000-00001E5D0000}"/>
    <cellStyle name="Note 4 3 3 3 2 2 3 3 2 12" xfId="46213" xr:uid="{00000000-0005-0000-0000-00001F5D0000}"/>
    <cellStyle name="Note 4 3 3 3 2 2 3 3 2 2" xfId="7253" xr:uid="{00000000-0005-0000-0000-0000205D0000}"/>
    <cellStyle name="Note 4 3 3 3 2 2 3 3 2 3" xfId="11688" xr:uid="{00000000-0005-0000-0000-0000215D0000}"/>
    <cellStyle name="Note 4 3 3 3 2 2 3 3 2 4" xfId="15533" xr:uid="{00000000-0005-0000-0000-0000225D0000}"/>
    <cellStyle name="Note 4 3 3 3 2 2 3 3 2 5" xfId="19380" xr:uid="{00000000-0005-0000-0000-0000235D0000}"/>
    <cellStyle name="Note 4 3 3 3 2 2 3 3 2 6" xfId="23296" xr:uid="{00000000-0005-0000-0000-0000245D0000}"/>
    <cellStyle name="Note 4 3 3 3 2 2 3 3 2 7" xfId="27130" xr:uid="{00000000-0005-0000-0000-0000255D0000}"/>
    <cellStyle name="Note 4 3 3 3 2 2 3 3 2 8" xfId="30998" xr:uid="{00000000-0005-0000-0000-0000265D0000}"/>
    <cellStyle name="Note 4 3 3 3 2 2 3 3 2 9" xfId="34651" xr:uid="{00000000-0005-0000-0000-0000275D0000}"/>
    <cellStyle name="Note 4 3 3 3 2 2 3 3 3" xfId="5329" xr:uid="{00000000-0005-0000-0000-0000285D0000}"/>
    <cellStyle name="Note 4 3 3 3 2 2 3 3 4" xfId="9687" xr:uid="{00000000-0005-0000-0000-0000295D0000}"/>
    <cellStyle name="Note 4 3 3 3 2 2 3 3 5" xfId="13533" xr:uid="{00000000-0005-0000-0000-00002A5D0000}"/>
    <cellStyle name="Note 4 3 3 3 2 2 3 3 6" xfId="17362" xr:uid="{00000000-0005-0000-0000-00002B5D0000}"/>
    <cellStyle name="Note 4 3 3 3 2 2 3 3 7" xfId="21301" xr:uid="{00000000-0005-0000-0000-00002C5D0000}"/>
    <cellStyle name="Note 4 3 3 3 2 2 3 3 8" xfId="25114" xr:uid="{00000000-0005-0000-0000-00002D5D0000}"/>
    <cellStyle name="Note 4 3 3 3 2 2 3 3 9" xfId="29001" xr:uid="{00000000-0005-0000-0000-00002E5D0000}"/>
    <cellStyle name="Note 4 3 3 3 2 2 3 4" xfId="2643" xr:uid="{00000000-0005-0000-0000-00002F5D0000}"/>
    <cellStyle name="Note 4 3 3 3 2 2 3 4 10" xfId="37695" xr:uid="{00000000-0005-0000-0000-0000305D0000}"/>
    <cellStyle name="Note 4 3 3 3 2 2 3 4 11" xfId="41709" xr:uid="{00000000-0005-0000-0000-0000315D0000}"/>
    <cellStyle name="Note 4 3 3 3 2 2 3 4 12" xfId="45496" xr:uid="{00000000-0005-0000-0000-0000325D0000}"/>
    <cellStyle name="Note 4 3 3 3 2 2 3 4 2" xfId="6533" xr:uid="{00000000-0005-0000-0000-0000335D0000}"/>
    <cellStyle name="Note 4 3 3 3 2 2 3 4 3" xfId="10957" xr:uid="{00000000-0005-0000-0000-0000345D0000}"/>
    <cellStyle name="Note 4 3 3 3 2 2 3 4 4" xfId="14801" xr:uid="{00000000-0005-0000-0000-0000355D0000}"/>
    <cellStyle name="Note 4 3 3 3 2 2 3 4 5" xfId="18637" xr:uid="{00000000-0005-0000-0000-0000365D0000}"/>
    <cellStyle name="Note 4 3 3 3 2 2 3 4 6" xfId="22570" xr:uid="{00000000-0005-0000-0000-0000375D0000}"/>
    <cellStyle name="Note 4 3 3 3 2 2 3 4 7" xfId="26388" xr:uid="{00000000-0005-0000-0000-0000385D0000}"/>
    <cellStyle name="Note 4 3 3 3 2 2 3 4 8" xfId="30267" xr:uid="{00000000-0005-0000-0000-0000395D0000}"/>
    <cellStyle name="Note 4 3 3 3 2 2 3 4 9" xfId="33934" xr:uid="{00000000-0005-0000-0000-00003A5D0000}"/>
    <cellStyle name="Note 4 3 3 3 2 2 3 5" xfId="4609" xr:uid="{00000000-0005-0000-0000-00003B5D0000}"/>
    <cellStyle name="Note 4 3 3 3 2 2 3 6" xfId="8949" xr:uid="{00000000-0005-0000-0000-00003C5D0000}"/>
    <cellStyle name="Note 4 3 3 3 2 2 3 7" xfId="10375" xr:uid="{00000000-0005-0000-0000-00003D5D0000}"/>
    <cellStyle name="Note 4 3 3 3 2 2 3 8" xfId="14241" xr:uid="{00000000-0005-0000-0000-00003E5D0000}"/>
    <cellStyle name="Note 4 3 3 3 2 2 3 9" xfId="20553" xr:uid="{00000000-0005-0000-0000-00003F5D0000}"/>
    <cellStyle name="Note 4 3 3 3 2 2 30" xfId="47378" xr:uid="{00000000-0005-0000-0000-0000405D0000}"/>
    <cellStyle name="Note 4 3 3 3 2 2 31" xfId="47464" xr:uid="{00000000-0005-0000-0000-0000415D0000}"/>
    <cellStyle name="Note 4 3 3 3 2 2 32" xfId="47513" xr:uid="{00000000-0005-0000-0000-0000425D0000}"/>
    <cellStyle name="Note 4 3 3 3 2 2 4" xfId="809" xr:uid="{00000000-0005-0000-0000-0000435D0000}"/>
    <cellStyle name="Note 4 3 3 3 2 2 4 10" xfId="24533" xr:uid="{00000000-0005-0000-0000-0000445D0000}"/>
    <cellStyle name="Note 4 3 3 3 2 2 4 11" xfId="28424" xr:uid="{00000000-0005-0000-0000-0000455D0000}"/>
    <cellStyle name="Note 4 3 3 3 2 2 4 12" xfId="32110" xr:uid="{00000000-0005-0000-0000-0000465D0000}"/>
    <cellStyle name="Note 4 3 3 3 2 2 4 13" xfId="35867" xr:uid="{00000000-0005-0000-0000-0000475D0000}"/>
    <cellStyle name="Note 4 3 3 3 2 2 4 14" xfId="39878" xr:uid="{00000000-0005-0000-0000-0000485D0000}"/>
    <cellStyle name="Note 4 3 3 3 2 2 4 15" xfId="43693" xr:uid="{00000000-0005-0000-0000-0000495D0000}"/>
    <cellStyle name="Note 4 3 3 3 2 2 4 2" xfId="1171" xr:uid="{00000000-0005-0000-0000-00004A5D0000}"/>
    <cellStyle name="Note 4 3 3 3 2 2 4 2 10" xfId="28780" xr:uid="{00000000-0005-0000-0000-00004B5D0000}"/>
    <cellStyle name="Note 4 3 3 3 2 2 4 2 11" xfId="32463" xr:uid="{00000000-0005-0000-0000-00004C5D0000}"/>
    <cellStyle name="Note 4 3 3 3 2 2 4 2 12" xfId="36229" xr:uid="{00000000-0005-0000-0000-00004D5D0000}"/>
    <cellStyle name="Note 4 3 3 3 2 2 4 2 13" xfId="40224" xr:uid="{00000000-0005-0000-0000-00004E5D0000}"/>
    <cellStyle name="Note 4 3 3 3 2 2 4 2 14" xfId="44055" xr:uid="{00000000-0005-0000-0000-00004F5D0000}"/>
    <cellStyle name="Note 4 3 3 3 2 2 4 2 2" xfId="1893" xr:uid="{00000000-0005-0000-0000-0000505D0000}"/>
    <cellStyle name="Note 4 3 3 3 2 2 4 2 2 10" xfId="33180" xr:uid="{00000000-0005-0000-0000-0000515D0000}"/>
    <cellStyle name="Note 4 3 3 3 2 2 4 2 2 11" xfId="36950" xr:uid="{00000000-0005-0000-0000-0000525D0000}"/>
    <cellStyle name="Note 4 3 3 3 2 2 4 2 2 12" xfId="40941" xr:uid="{00000000-0005-0000-0000-0000535D0000}"/>
    <cellStyle name="Note 4 3 3 3 2 2 4 2 2 13" xfId="44772" xr:uid="{00000000-0005-0000-0000-0000545D0000}"/>
    <cellStyle name="Note 4 3 3 3 2 2 4 2 2 2" xfId="3883" xr:uid="{00000000-0005-0000-0000-0000555D0000}"/>
    <cellStyle name="Note 4 3 3 3 2 2 4 2 2 2 10" xfId="38934" xr:uid="{00000000-0005-0000-0000-0000565D0000}"/>
    <cellStyle name="Note 4 3 3 3 2 2 4 2 2 2 11" xfId="42945" xr:uid="{00000000-0005-0000-0000-0000575D0000}"/>
    <cellStyle name="Note 4 3 3 3 2 2 4 2 2 2 12" xfId="46710" xr:uid="{00000000-0005-0000-0000-0000585D0000}"/>
    <cellStyle name="Note 4 3 3 3 2 2 4 2 2 2 2" xfId="7750" xr:uid="{00000000-0005-0000-0000-0000595D0000}"/>
    <cellStyle name="Note 4 3 3 3 2 2 4 2 2 2 3" xfId="12185" xr:uid="{00000000-0005-0000-0000-00005A5D0000}"/>
    <cellStyle name="Note 4 3 3 3 2 2 4 2 2 2 4" xfId="16030" xr:uid="{00000000-0005-0000-0000-00005B5D0000}"/>
    <cellStyle name="Note 4 3 3 3 2 2 4 2 2 2 5" xfId="19877" xr:uid="{00000000-0005-0000-0000-00005C5D0000}"/>
    <cellStyle name="Note 4 3 3 3 2 2 4 2 2 2 6" xfId="23793" xr:uid="{00000000-0005-0000-0000-00005D5D0000}"/>
    <cellStyle name="Note 4 3 3 3 2 2 4 2 2 2 7" xfId="27627" xr:uid="{00000000-0005-0000-0000-00005E5D0000}"/>
    <cellStyle name="Note 4 3 3 3 2 2 4 2 2 2 8" xfId="31490" xr:uid="{00000000-0005-0000-0000-00005F5D0000}"/>
    <cellStyle name="Note 4 3 3 3 2 2 4 2 2 2 9" xfId="35148" xr:uid="{00000000-0005-0000-0000-0000605D0000}"/>
    <cellStyle name="Note 4 3 3 3 2 2 4 2 2 3" xfId="5826" xr:uid="{00000000-0005-0000-0000-0000615D0000}"/>
    <cellStyle name="Note 4 3 3 3 2 2 4 2 2 4" xfId="10184" xr:uid="{00000000-0005-0000-0000-0000625D0000}"/>
    <cellStyle name="Note 4 3 3 3 2 2 4 2 2 5" xfId="14030" xr:uid="{00000000-0005-0000-0000-0000635D0000}"/>
    <cellStyle name="Note 4 3 3 3 2 2 4 2 2 6" xfId="17859" xr:uid="{00000000-0005-0000-0000-0000645D0000}"/>
    <cellStyle name="Note 4 3 3 3 2 2 4 2 2 7" xfId="21798" xr:uid="{00000000-0005-0000-0000-0000655D0000}"/>
    <cellStyle name="Note 4 3 3 3 2 2 4 2 2 8" xfId="25611" xr:uid="{00000000-0005-0000-0000-0000665D0000}"/>
    <cellStyle name="Note 4 3 3 3 2 2 4 2 2 9" xfId="29498" xr:uid="{00000000-0005-0000-0000-0000675D0000}"/>
    <cellStyle name="Note 4 3 3 3 2 2 4 2 3" xfId="3161" xr:uid="{00000000-0005-0000-0000-0000685D0000}"/>
    <cellStyle name="Note 4 3 3 3 2 2 4 2 3 10" xfId="38213" xr:uid="{00000000-0005-0000-0000-0000695D0000}"/>
    <cellStyle name="Note 4 3 3 3 2 2 4 2 3 11" xfId="42224" xr:uid="{00000000-0005-0000-0000-00006A5D0000}"/>
    <cellStyle name="Note 4 3 3 3 2 2 4 2 3 12" xfId="45993" xr:uid="{00000000-0005-0000-0000-00006B5D0000}"/>
    <cellStyle name="Note 4 3 3 3 2 2 4 2 3 2" xfId="7033" xr:uid="{00000000-0005-0000-0000-00006C5D0000}"/>
    <cellStyle name="Note 4 3 3 3 2 2 4 2 3 3" xfId="11465" xr:uid="{00000000-0005-0000-0000-00006D5D0000}"/>
    <cellStyle name="Note 4 3 3 3 2 2 4 2 3 4" xfId="15309" xr:uid="{00000000-0005-0000-0000-00006E5D0000}"/>
    <cellStyle name="Note 4 3 3 3 2 2 4 2 3 5" xfId="19155" xr:uid="{00000000-0005-0000-0000-00006F5D0000}"/>
    <cellStyle name="Note 4 3 3 3 2 2 4 2 3 6" xfId="23074" xr:uid="{00000000-0005-0000-0000-0000705D0000}"/>
    <cellStyle name="Note 4 3 3 3 2 2 4 2 3 7" xfId="26906" xr:uid="{00000000-0005-0000-0000-0000715D0000}"/>
    <cellStyle name="Note 4 3 3 3 2 2 4 2 3 8" xfId="30778" xr:uid="{00000000-0005-0000-0000-0000725D0000}"/>
    <cellStyle name="Note 4 3 3 3 2 2 4 2 3 9" xfId="34431" xr:uid="{00000000-0005-0000-0000-0000735D0000}"/>
    <cellStyle name="Note 4 3 3 3 2 2 4 2 4" xfId="5109" xr:uid="{00000000-0005-0000-0000-0000745D0000}"/>
    <cellStyle name="Note 4 3 3 3 2 2 4 2 5" xfId="9465" xr:uid="{00000000-0005-0000-0000-0000755D0000}"/>
    <cellStyle name="Note 4 3 3 3 2 2 4 2 6" xfId="13309" xr:uid="{00000000-0005-0000-0000-0000765D0000}"/>
    <cellStyle name="Note 4 3 3 3 2 2 4 2 7" xfId="17137" xr:uid="{00000000-0005-0000-0000-0000775D0000}"/>
    <cellStyle name="Note 4 3 3 3 2 2 4 2 8" xfId="21079" xr:uid="{00000000-0005-0000-0000-0000785D0000}"/>
    <cellStyle name="Note 4 3 3 3 2 2 4 2 9" xfId="24890" xr:uid="{00000000-0005-0000-0000-0000795D0000}"/>
    <cellStyle name="Note 4 3 3 3 2 2 4 3" xfId="1540" xr:uid="{00000000-0005-0000-0000-00007A5D0000}"/>
    <cellStyle name="Note 4 3 3 3 2 2 4 3 10" xfId="32827" xr:uid="{00000000-0005-0000-0000-00007B5D0000}"/>
    <cellStyle name="Note 4 3 3 3 2 2 4 3 11" xfId="36597" xr:uid="{00000000-0005-0000-0000-00007C5D0000}"/>
    <cellStyle name="Note 4 3 3 3 2 2 4 3 12" xfId="40588" xr:uid="{00000000-0005-0000-0000-00007D5D0000}"/>
    <cellStyle name="Note 4 3 3 3 2 2 4 3 13" xfId="44419" xr:uid="{00000000-0005-0000-0000-00007E5D0000}"/>
    <cellStyle name="Note 4 3 3 3 2 2 4 3 2" xfId="3530" xr:uid="{00000000-0005-0000-0000-00007F5D0000}"/>
    <cellStyle name="Note 4 3 3 3 2 2 4 3 2 10" xfId="38581" xr:uid="{00000000-0005-0000-0000-0000805D0000}"/>
    <cellStyle name="Note 4 3 3 3 2 2 4 3 2 11" xfId="42592" xr:uid="{00000000-0005-0000-0000-0000815D0000}"/>
    <cellStyle name="Note 4 3 3 3 2 2 4 3 2 12" xfId="46357" xr:uid="{00000000-0005-0000-0000-0000825D0000}"/>
    <cellStyle name="Note 4 3 3 3 2 2 4 3 2 2" xfId="7397" xr:uid="{00000000-0005-0000-0000-0000835D0000}"/>
    <cellStyle name="Note 4 3 3 3 2 2 4 3 2 3" xfId="11832" xr:uid="{00000000-0005-0000-0000-0000845D0000}"/>
    <cellStyle name="Note 4 3 3 3 2 2 4 3 2 4" xfId="15677" xr:uid="{00000000-0005-0000-0000-0000855D0000}"/>
    <cellStyle name="Note 4 3 3 3 2 2 4 3 2 5" xfId="19524" xr:uid="{00000000-0005-0000-0000-0000865D0000}"/>
    <cellStyle name="Note 4 3 3 3 2 2 4 3 2 6" xfId="23440" xr:uid="{00000000-0005-0000-0000-0000875D0000}"/>
    <cellStyle name="Note 4 3 3 3 2 2 4 3 2 7" xfId="27274" xr:uid="{00000000-0005-0000-0000-0000885D0000}"/>
    <cellStyle name="Note 4 3 3 3 2 2 4 3 2 8" xfId="31141" xr:uid="{00000000-0005-0000-0000-0000895D0000}"/>
    <cellStyle name="Note 4 3 3 3 2 2 4 3 2 9" xfId="34795" xr:uid="{00000000-0005-0000-0000-00008A5D0000}"/>
    <cellStyle name="Note 4 3 3 3 2 2 4 3 3" xfId="5473" xr:uid="{00000000-0005-0000-0000-00008B5D0000}"/>
    <cellStyle name="Note 4 3 3 3 2 2 4 3 4" xfId="9831" xr:uid="{00000000-0005-0000-0000-00008C5D0000}"/>
    <cellStyle name="Note 4 3 3 3 2 2 4 3 5" xfId="13677" xr:uid="{00000000-0005-0000-0000-00008D5D0000}"/>
    <cellStyle name="Note 4 3 3 3 2 2 4 3 6" xfId="17506" xr:uid="{00000000-0005-0000-0000-00008E5D0000}"/>
    <cellStyle name="Note 4 3 3 3 2 2 4 3 7" xfId="21445" xr:uid="{00000000-0005-0000-0000-00008F5D0000}"/>
    <cellStyle name="Note 4 3 3 3 2 2 4 3 8" xfId="25258" xr:uid="{00000000-0005-0000-0000-0000905D0000}"/>
    <cellStyle name="Note 4 3 3 3 2 2 4 3 9" xfId="29145" xr:uid="{00000000-0005-0000-0000-0000915D0000}"/>
    <cellStyle name="Note 4 3 3 3 2 2 4 4" xfId="2799" xr:uid="{00000000-0005-0000-0000-0000925D0000}"/>
    <cellStyle name="Note 4 3 3 3 2 2 4 4 10" xfId="37851" xr:uid="{00000000-0005-0000-0000-0000935D0000}"/>
    <cellStyle name="Note 4 3 3 3 2 2 4 4 11" xfId="41863" xr:uid="{00000000-0005-0000-0000-0000945D0000}"/>
    <cellStyle name="Note 4 3 3 3 2 2 4 4 12" xfId="45640" xr:uid="{00000000-0005-0000-0000-0000955D0000}"/>
    <cellStyle name="Note 4 3 3 3 2 2 4 4 2" xfId="6679" xr:uid="{00000000-0005-0000-0000-0000965D0000}"/>
    <cellStyle name="Note 4 3 3 3 2 2 4 4 3" xfId="11106" xr:uid="{00000000-0005-0000-0000-0000975D0000}"/>
    <cellStyle name="Note 4 3 3 3 2 2 4 4 4" xfId="14951" xr:uid="{00000000-0005-0000-0000-0000985D0000}"/>
    <cellStyle name="Note 4 3 3 3 2 2 4 4 5" xfId="18793" xr:uid="{00000000-0005-0000-0000-0000995D0000}"/>
    <cellStyle name="Note 4 3 3 3 2 2 4 4 6" xfId="22719" xr:uid="{00000000-0005-0000-0000-00009A5D0000}"/>
    <cellStyle name="Note 4 3 3 3 2 2 4 4 7" xfId="26544" xr:uid="{00000000-0005-0000-0000-00009B5D0000}"/>
    <cellStyle name="Note 4 3 3 3 2 2 4 4 8" xfId="30422" xr:uid="{00000000-0005-0000-0000-00009C5D0000}"/>
    <cellStyle name="Note 4 3 3 3 2 2 4 4 9" xfId="34078" xr:uid="{00000000-0005-0000-0000-00009D5D0000}"/>
    <cellStyle name="Note 4 3 3 3 2 2 4 5" xfId="4755" xr:uid="{00000000-0005-0000-0000-00009E5D0000}"/>
    <cellStyle name="Note 4 3 3 3 2 2 4 6" xfId="9109" xr:uid="{00000000-0005-0000-0000-00009F5D0000}"/>
    <cellStyle name="Note 4 3 3 3 2 2 4 7" xfId="12950" xr:uid="{00000000-0005-0000-0000-0000A05D0000}"/>
    <cellStyle name="Note 4 3 3 3 2 2 4 8" xfId="16775" xr:uid="{00000000-0005-0000-0000-0000A15D0000}"/>
    <cellStyle name="Note 4 3 3 3 2 2 4 9" xfId="20717" xr:uid="{00000000-0005-0000-0000-0000A25D0000}"/>
    <cellStyle name="Note 4 3 3 3 2 2 5" xfId="901" xr:uid="{00000000-0005-0000-0000-0000A35D0000}"/>
    <cellStyle name="Note 4 3 3 3 2 2 5 10" xfId="24625" xr:uid="{00000000-0005-0000-0000-0000A45D0000}"/>
    <cellStyle name="Note 4 3 3 3 2 2 5 11" xfId="28515" xr:uid="{00000000-0005-0000-0000-0000A55D0000}"/>
    <cellStyle name="Note 4 3 3 3 2 2 5 12" xfId="32202" xr:uid="{00000000-0005-0000-0000-0000A65D0000}"/>
    <cellStyle name="Note 4 3 3 3 2 2 5 13" xfId="35959" xr:uid="{00000000-0005-0000-0000-0000A75D0000}"/>
    <cellStyle name="Note 4 3 3 3 2 2 5 14" xfId="39969" xr:uid="{00000000-0005-0000-0000-0000A85D0000}"/>
    <cellStyle name="Note 4 3 3 3 2 2 5 15" xfId="43785" xr:uid="{00000000-0005-0000-0000-0000A95D0000}"/>
    <cellStyle name="Note 4 3 3 3 2 2 5 2" xfId="1238" xr:uid="{00000000-0005-0000-0000-0000AA5D0000}"/>
    <cellStyle name="Note 4 3 3 3 2 2 5 2 10" xfId="28846" xr:uid="{00000000-0005-0000-0000-0000AB5D0000}"/>
    <cellStyle name="Note 4 3 3 3 2 2 5 2 11" xfId="32530" xr:uid="{00000000-0005-0000-0000-0000AC5D0000}"/>
    <cellStyle name="Note 4 3 3 3 2 2 5 2 12" xfId="36296" xr:uid="{00000000-0005-0000-0000-0000AD5D0000}"/>
    <cellStyle name="Note 4 3 3 3 2 2 5 2 13" xfId="40289" xr:uid="{00000000-0005-0000-0000-0000AE5D0000}"/>
    <cellStyle name="Note 4 3 3 3 2 2 5 2 14" xfId="44122" xr:uid="{00000000-0005-0000-0000-0000AF5D0000}"/>
    <cellStyle name="Note 4 3 3 3 2 2 5 2 2" xfId="1960" xr:uid="{00000000-0005-0000-0000-0000B05D0000}"/>
    <cellStyle name="Note 4 3 3 3 2 2 5 2 2 10" xfId="33247" xr:uid="{00000000-0005-0000-0000-0000B15D0000}"/>
    <cellStyle name="Note 4 3 3 3 2 2 5 2 2 11" xfId="37017" xr:uid="{00000000-0005-0000-0000-0000B25D0000}"/>
    <cellStyle name="Note 4 3 3 3 2 2 5 2 2 12" xfId="41008" xr:uid="{00000000-0005-0000-0000-0000B35D0000}"/>
    <cellStyle name="Note 4 3 3 3 2 2 5 2 2 13" xfId="44839" xr:uid="{00000000-0005-0000-0000-0000B45D0000}"/>
    <cellStyle name="Note 4 3 3 3 2 2 5 2 2 2" xfId="3950" xr:uid="{00000000-0005-0000-0000-0000B55D0000}"/>
    <cellStyle name="Note 4 3 3 3 2 2 5 2 2 2 10" xfId="39001" xr:uid="{00000000-0005-0000-0000-0000B65D0000}"/>
    <cellStyle name="Note 4 3 3 3 2 2 5 2 2 2 11" xfId="43012" xr:uid="{00000000-0005-0000-0000-0000B75D0000}"/>
    <cellStyle name="Note 4 3 3 3 2 2 5 2 2 2 12" xfId="46777" xr:uid="{00000000-0005-0000-0000-0000B85D0000}"/>
    <cellStyle name="Note 4 3 3 3 2 2 5 2 2 2 2" xfId="7817" xr:uid="{00000000-0005-0000-0000-0000B95D0000}"/>
    <cellStyle name="Note 4 3 3 3 2 2 5 2 2 2 3" xfId="12252" xr:uid="{00000000-0005-0000-0000-0000BA5D0000}"/>
    <cellStyle name="Note 4 3 3 3 2 2 5 2 2 2 4" xfId="16097" xr:uid="{00000000-0005-0000-0000-0000BB5D0000}"/>
    <cellStyle name="Note 4 3 3 3 2 2 5 2 2 2 5" xfId="19944" xr:uid="{00000000-0005-0000-0000-0000BC5D0000}"/>
    <cellStyle name="Note 4 3 3 3 2 2 5 2 2 2 6" xfId="23860" xr:uid="{00000000-0005-0000-0000-0000BD5D0000}"/>
    <cellStyle name="Note 4 3 3 3 2 2 5 2 2 2 7" xfId="27694" xr:uid="{00000000-0005-0000-0000-0000BE5D0000}"/>
    <cellStyle name="Note 4 3 3 3 2 2 5 2 2 2 8" xfId="31555" xr:uid="{00000000-0005-0000-0000-0000BF5D0000}"/>
    <cellStyle name="Note 4 3 3 3 2 2 5 2 2 2 9" xfId="35215" xr:uid="{00000000-0005-0000-0000-0000C05D0000}"/>
    <cellStyle name="Note 4 3 3 3 2 2 5 2 2 3" xfId="5893" xr:uid="{00000000-0005-0000-0000-0000C15D0000}"/>
    <cellStyle name="Note 4 3 3 3 2 2 5 2 2 4" xfId="10251" xr:uid="{00000000-0005-0000-0000-0000C25D0000}"/>
    <cellStyle name="Note 4 3 3 3 2 2 5 2 2 5" xfId="14097" xr:uid="{00000000-0005-0000-0000-0000C35D0000}"/>
    <cellStyle name="Note 4 3 3 3 2 2 5 2 2 6" xfId="17926" xr:uid="{00000000-0005-0000-0000-0000C45D0000}"/>
    <cellStyle name="Note 4 3 3 3 2 2 5 2 2 7" xfId="21865" xr:uid="{00000000-0005-0000-0000-0000C55D0000}"/>
    <cellStyle name="Note 4 3 3 3 2 2 5 2 2 8" xfId="25678" xr:uid="{00000000-0005-0000-0000-0000C65D0000}"/>
    <cellStyle name="Note 4 3 3 3 2 2 5 2 2 9" xfId="29565" xr:uid="{00000000-0005-0000-0000-0000C75D0000}"/>
    <cellStyle name="Note 4 3 3 3 2 2 5 2 3" xfId="3228" xr:uid="{00000000-0005-0000-0000-0000C85D0000}"/>
    <cellStyle name="Note 4 3 3 3 2 2 5 2 3 10" xfId="38280" xr:uid="{00000000-0005-0000-0000-0000C95D0000}"/>
    <cellStyle name="Note 4 3 3 3 2 2 5 2 3 11" xfId="42291" xr:uid="{00000000-0005-0000-0000-0000CA5D0000}"/>
    <cellStyle name="Note 4 3 3 3 2 2 5 2 3 12" xfId="46060" xr:uid="{00000000-0005-0000-0000-0000CB5D0000}"/>
    <cellStyle name="Note 4 3 3 3 2 2 5 2 3 2" xfId="7100" xr:uid="{00000000-0005-0000-0000-0000CC5D0000}"/>
    <cellStyle name="Note 4 3 3 3 2 2 5 2 3 3" xfId="11532" xr:uid="{00000000-0005-0000-0000-0000CD5D0000}"/>
    <cellStyle name="Note 4 3 3 3 2 2 5 2 3 4" xfId="15376" xr:uid="{00000000-0005-0000-0000-0000CE5D0000}"/>
    <cellStyle name="Note 4 3 3 3 2 2 5 2 3 5" xfId="19222" xr:uid="{00000000-0005-0000-0000-0000CF5D0000}"/>
    <cellStyle name="Note 4 3 3 3 2 2 5 2 3 6" xfId="23141" xr:uid="{00000000-0005-0000-0000-0000D05D0000}"/>
    <cellStyle name="Note 4 3 3 3 2 2 5 2 3 7" xfId="26973" xr:uid="{00000000-0005-0000-0000-0000D15D0000}"/>
    <cellStyle name="Note 4 3 3 3 2 2 5 2 3 8" xfId="30843" xr:uid="{00000000-0005-0000-0000-0000D25D0000}"/>
    <cellStyle name="Note 4 3 3 3 2 2 5 2 3 9" xfId="34498" xr:uid="{00000000-0005-0000-0000-0000D35D0000}"/>
    <cellStyle name="Note 4 3 3 3 2 2 5 2 4" xfId="5176" xr:uid="{00000000-0005-0000-0000-0000D45D0000}"/>
    <cellStyle name="Note 4 3 3 3 2 2 5 2 5" xfId="9532" xr:uid="{00000000-0005-0000-0000-0000D55D0000}"/>
    <cellStyle name="Note 4 3 3 3 2 2 5 2 6" xfId="13376" xr:uid="{00000000-0005-0000-0000-0000D65D0000}"/>
    <cellStyle name="Note 4 3 3 3 2 2 5 2 7" xfId="17204" xr:uid="{00000000-0005-0000-0000-0000D75D0000}"/>
    <cellStyle name="Note 4 3 3 3 2 2 5 2 8" xfId="21146" xr:uid="{00000000-0005-0000-0000-0000D85D0000}"/>
    <cellStyle name="Note 4 3 3 3 2 2 5 2 9" xfId="24957" xr:uid="{00000000-0005-0000-0000-0000D95D0000}"/>
    <cellStyle name="Note 4 3 3 3 2 2 5 3" xfId="1632" xr:uid="{00000000-0005-0000-0000-0000DA5D0000}"/>
    <cellStyle name="Note 4 3 3 3 2 2 5 3 10" xfId="32919" xr:uid="{00000000-0005-0000-0000-0000DB5D0000}"/>
    <cellStyle name="Note 4 3 3 3 2 2 5 3 11" xfId="36689" xr:uid="{00000000-0005-0000-0000-0000DC5D0000}"/>
    <cellStyle name="Note 4 3 3 3 2 2 5 3 12" xfId="40680" xr:uid="{00000000-0005-0000-0000-0000DD5D0000}"/>
    <cellStyle name="Note 4 3 3 3 2 2 5 3 13" xfId="44511" xr:uid="{00000000-0005-0000-0000-0000DE5D0000}"/>
    <cellStyle name="Note 4 3 3 3 2 2 5 3 2" xfId="3622" xr:uid="{00000000-0005-0000-0000-0000DF5D0000}"/>
    <cellStyle name="Note 4 3 3 3 2 2 5 3 2 10" xfId="38673" xr:uid="{00000000-0005-0000-0000-0000E05D0000}"/>
    <cellStyle name="Note 4 3 3 3 2 2 5 3 2 11" xfId="42684" xr:uid="{00000000-0005-0000-0000-0000E15D0000}"/>
    <cellStyle name="Note 4 3 3 3 2 2 5 3 2 12" xfId="46449" xr:uid="{00000000-0005-0000-0000-0000E25D0000}"/>
    <cellStyle name="Note 4 3 3 3 2 2 5 3 2 2" xfId="7489" xr:uid="{00000000-0005-0000-0000-0000E35D0000}"/>
    <cellStyle name="Note 4 3 3 3 2 2 5 3 2 3" xfId="11924" xr:uid="{00000000-0005-0000-0000-0000E45D0000}"/>
    <cellStyle name="Note 4 3 3 3 2 2 5 3 2 4" xfId="15769" xr:uid="{00000000-0005-0000-0000-0000E55D0000}"/>
    <cellStyle name="Note 4 3 3 3 2 2 5 3 2 5" xfId="19616" xr:uid="{00000000-0005-0000-0000-0000E65D0000}"/>
    <cellStyle name="Note 4 3 3 3 2 2 5 3 2 6" xfId="23532" xr:uid="{00000000-0005-0000-0000-0000E75D0000}"/>
    <cellStyle name="Note 4 3 3 3 2 2 5 3 2 7" xfId="27366" xr:uid="{00000000-0005-0000-0000-0000E85D0000}"/>
    <cellStyle name="Note 4 3 3 3 2 2 5 3 2 8" xfId="31231" xr:uid="{00000000-0005-0000-0000-0000E95D0000}"/>
    <cellStyle name="Note 4 3 3 3 2 2 5 3 2 9" xfId="34887" xr:uid="{00000000-0005-0000-0000-0000EA5D0000}"/>
    <cellStyle name="Note 4 3 3 3 2 2 5 3 3" xfId="5565" xr:uid="{00000000-0005-0000-0000-0000EB5D0000}"/>
    <cellStyle name="Note 4 3 3 3 2 2 5 3 4" xfId="9923" xr:uid="{00000000-0005-0000-0000-0000EC5D0000}"/>
    <cellStyle name="Note 4 3 3 3 2 2 5 3 5" xfId="13769" xr:uid="{00000000-0005-0000-0000-0000ED5D0000}"/>
    <cellStyle name="Note 4 3 3 3 2 2 5 3 6" xfId="17598" xr:uid="{00000000-0005-0000-0000-0000EE5D0000}"/>
    <cellStyle name="Note 4 3 3 3 2 2 5 3 7" xfId="21537" xr:uid="{00000000-0005-0000-0000-0000EF5D0000}"/>
    <cellStyle name="Note 4 3 3 3 2 2 5 3 8" xfId="25350" xr:uid="{00000000-0005-0000-0000-0000F05D0000}"/>
    <cellStyle name="Note 4 3 3 3 2 2 5 3 9" xfId="29237" xr:uid="{00000000-0005-0000-0000-0000F15D0000}"/>
    <cellStyle name="Note 4 3 3 3 2 2 5 4" xfId="2891" xr:uid="{00000000-0005-0000-0000-0000F25D0000}"/>
    <cellStyle name="Note 4 3 3 3 2 2 5 4 10" xfId="37943" xr:uid="{00000000-0005-0000-0000-0000F35D0000}"/>
    <cellStyle name="Note 4 3 3 3 2 2 5 4 11" xfId="41955" xr:uid="{00000000-0005-0000-0000-0000F45D0000}"/>
    <cellStyle name="Note 4 3 3 3 2 2 5 4 12" xfId="45732" xr:uid="{00000000-0005-0000-0000-0000F55D0000}"/>
    <cellStyle name="Note 4 3 3 3 2 2 5 4 2" xfId="6771" xr:uid="{00000000-0005-0000-0000-0000F65D0000}"/>
    <cellStyle name="Note 4 3 3 3 2 2 5 4 3" xfId="11198" xr:uid="{00000000-0005-0000-0000-0000F75D0000}"/>
    <cellStyle name="Note 4 3 3 3 2 2 5 4 4" xfId="15043" xr:uid="{00000000-0005-0000-0000-0000F85D0000}"/>
    <cellStyle name="Note 4 3 3 3 2 2 5 4 5" xfId="18885" xr:uid="{00000000-0005-0000-0000-0000F95D0000}"/>
    <cellStyle name="Note 4 3 3 3 2 2 5 4 6" xfId="22811" xr:uid="{00000000-0005-0000-0000-0000FA5D0000}"/>
    <cellStyle name="Note 4 3 3 3 2 2 5 4 7" xfId="26636" xr:uid="{00000000-0005-0000-0000-0000FB5D0000}"/>
    <cellStyle name="Note 4 3 3 3 2 2 5 4 8" xfId="30512" xr:uid="{00000000-0005-0000-0000-0000FC5D0000}"/>
    <cellStyle name="Note 4 3 3 3 2 2 5 4 9" xfId="34170" xr:uid="{00000000-0005-0000-0000-0000FD5D0000}"/>
    <cellStyle name="Note 4 3 3 3 2 2 5 5" xfId="4847" xr:uid="{00000000-0005-0000-0000-0000FE5D0000}"/>
    <cellStyle name="Note 4 3 3 3 2 2 5 6" xfId="9201" xr:uid="{00000000-0005-0000-0000-0000FF5D0000}"/>
    <cellStyle name="Note 4 3 3 3 2 2 5 7" xfId="13042" xr:uid="{00000000-0005-0000-0000-0000005E0000}"/>
    <cellStyle name="Note 4 3 3 3 2 2 5 8" xfId="16867" xr:uid="{00000000-0005-0000-0000-0000015E0000}"/>
    <cellStyle name="Note 4 3 3 3 2 2 5 9" xfId="20809" xr:uid="{00000000-0005-0000-0000-0000025E0000}"/>
    <cellStyle name="Note 4 3 3 3 2 2 6" xfId="947" xr:uid="{00000000-0005-0000-0000-0000035E0000}"/>
    <cellStyle name="Note 4 3 3 3 2 2 6 10" xfId="28559" xr:uid="{00000000-0005-0000-0000-0000045E0000}"/>
    <cellStyle name="Note 4 3 3 3 2 2 6 11" xfId="32248" xr:uid="{00000000-0005-0000-0000-0000055E0000}"/>
    <cellStyle name="Note 4 3 3 3 2 2 6 12" xfId="36005" xr:uid="{00000000-0005-0000-0000-0000065E0000}"/>
    <cellStyle name="Note 4 3 3 3 2 2 6 13" xfId="40013" xr:uid="{00000000-0005-0000-0000-0000075E0000}"/>
    <cellStyle name="Note 4 3 3 3 2 2 6 14" xfId="43831" xr:uid="{00000000-0005-0000-0000-0000085E0000}"/>
    <cellStyle name="Note 4 3 3 3 2 2 6 2" xfId="1678" xr:uid="{00000000-0005-0000-0000-0000095E0000}"/>
    <cellStyle name="Note 4 3 3 3 2 2 6 2 10" xfId="32965" xr:uid="{00000000-0005-0000-0000-00000A5E0000}"/>
    <cellStyle name="Note 4 3 3 3 2 2 6 2 11" xfId="36735" xr:uid="{00000000-0005-0000-0000-00000B5E0000}"/>
    <cellStyle name="Note 4 3 3 3 2 2 6 2 12" xfId="40726" xr:uid="{00000000-0005-0000-0000-00000C5E0000}"/>
    <cellStyle name="Note 4 3 3 3 2 2 6 2 13" xfId="44557" xr:uid="{00000000-0005-0000-0000-00000D5E0000}"/>
    <cellStyle name="Note 4 3 3 3 2 2 6 2 2" xfId="3668" xr:uid="{00000000-0005-0000-0000-00000E5E0000}"/>
    <cellStyle name="Note 4 3 3 3 2 2 6 2 2 10" xfId="38719" xr:uid="{00000000-0005-0000-0000-00000F5E0000}"/>
    <cellStyle name="Note 4 3 3 3 2 2 6 2 2 11" xfId="42730" xr:uid="{00000000-0005-0000-0000-0000105E0000}"/>
    <cellStyle name="Note 4 3 3 3 2 2 6 2 2 12" xfId="46495" xr:uid="{00000000-0005-0000-0000-0000115E0000}"/>
    <cellStyle name="Note 4 3 3 3 2 2 6 2 2 2" xfId="7535" xr:uid="{00000000-0005-0000-0000-0000125E0000}"/>
    <cellStyle name="Note 4 3 3 3 2 2 6 2 2 3" xfId="11970" xr:uid="{00000000-0005-0000-0000-0000135E0000}"/>
    <cellStyle name="Note 4 3 3 3 2 2 6 2 2 4" xfId="15815" xr:uid="{00000000-0005-0000-0000-0000145E0000}"/>
    <cellStyle name="Note 4 3 3 3 2 2 6 2 2 5" xfId="19662" xr:uid="{00000000-0005-0000-0000-0000155E0000}"/>
    <cellStyle name="Note 4 3 3 3 2 2 6 2 2 6" xfId="23578" xr:uid="{00000000-0005-0000-0000-0000165E0000}"/>
    <cellStyle name="Note 4 3 3 3 2 2 6 2 2 7" xfId="27412" xr:uid="{00000000-0005-0000-0000-0000175E0000}"/>
    <cellStyle name="Note 4 3 3 3 2 2 6 2 2 8" xfId="31276" xr:uid="{00000000-0005-0000-0000-0000185E0000}"/>
    <cellStyle name="Note 4 3 3 3 2 2 6 2 2 9" xfId="34933" xr:uid="{00000000-0005-0000-0000-0000195E0000}"/>
    <cellStyle name="Note 4 3 3 3 2 2 6 2 3" xfId="5611" xr:uid="{00000000-0005-0000-0000-00001A5E0000}"/>
    <cellStyle name="Note 4 3 3 3 2 2 6 2 4" xfId="9969" xr:uid="{00000000-0005-0000-0000-00001B5E0000}"/>
    <cellStyle name="Note 4 3 3 3 2 2 6 2 5" xfId="13815" xr:uid="{00000000-0005-0000-0000-00001C5E0000}"/>
    <cellStyle name="Note 4 3 3 3 2 2 6 2 6" xfId="17644" xr:uid="{00000000-0005-0000-0000-00001D5E0000}"/>
    <cellStyle name="Note 4 3 3 3 2 2 6 2 7" xfId="21583" xr:uid="{00000000-0005-0000-0000-00001E5E0000}"/>
    <cellStyle name="Note 4 3 3 3 2 2 6 2 8" xfId="25396" xr:uid="{00000000-0005-0000-0000-00001F5E0000}"/>
    <cellStyle name="Note 4 3 3 3 2 2 6 2 9" xfId="29283" xr:uid="{00000000-0005-0000-0000-0000205E0000}"/>
    <cellStyle name="Note 4 3 3 3 2 2 6 3" xfId="2937" xr:uid="{00000000-0005-0000-0000-0000215E0000}"/>
    <cellStyle name="Note 4 3 3 3 2 2 6 3 10" xfId="37989" xr:uid="{00000000-0005-0000-0000-0000225E0000}"/>
    <cellStyle name="Note 4 3 3 3 2 2 6 3 11" xfId="42001" xr:uid="{00000000-0005-0000-0000-0000235E0000}"/>
    <cellStyle name="Note 4 3 3 3 2 2 6 3 12" xfId="45778" xr:uid="{00000000-0005-0000-0000-0000245E0000}"/>
    <cellStyle name="Note 4 3 3 3 2 2 6 3 2" xfId="6817" xr:uid="{00000000-0005-0000-0000-0000255E0000}"/>
    <cellStyle name="Note 4 3 3 3 2 2 6 3 3" xfId="11244" xr:uid="{00000000-0005-0000-0000-0000265E0000}"/>
    <cellStyle name="Note 4 3 3 3 2 2 6 3 4" xfId="15089" xr:uid="{00000000-0005-0000-0000-0000275E0000}"/>
    <cellStyle name="Note 4 3 3 3 2 2 6 3 5" xfId="18931" xr:uid="{00000000-0005-0000-0000-0000285E0000}"/>
    <cellStyle name="Note 4 3 3 3 2 2 6 3 6" xfId="22857" xr:uid="{00000000-0005-0000-0000-0000295E0000}"/>
    <cellStyle name="Note 4 3 3 3 2 2 6 3 7" xfId="26682" xr:uid="{00000000-0005-0000-0000-00002A5E0000}"/>
    <cellStyle name="Note 4 3 3 3 2 2 6 3 8" xfId="30557" xr:uid="{00000000-0005-0000-0000-00002B5E0000}"/>
    <cellStyle name="Note 4 3 3 3 2 2 6 3 9" xfId="34216" xr:uid="{00000000-0005-0000-0000-00002C5E0000}"/>
    <cellStyle name="Note 4 3 3 3 2 2 6 4" xfId="4893" xr:uid="{00000000-0005-0000-0000-00002D5E0000}"/>
    <cellStyle name="Note 4 3 3 3 2 2 6 5" xfId="9247" xr:uid="{00000000-0005-0000-0000-00002E5E0000}"/>
    <cellStyle name="Note 4 3 3 3 2 2 6 6" xfId="13088" xr:uid="{00000000-0005-0000-0000-00002F5E0000}"/>
    <cellStyle name="Note 4 3 3 3 2 2 6 7" xfId="16913" xr:uid="{00000000-0005-0000-0000-0000305E0000}"/>
    <cellStyle name="Note 4 3 3 3 2 2 6 8" xfId="20855" xr:uid="{00000000-0005-0000-0000-0000315E0000}"/>
    <cellStyle name="Note 4 3 3 3 2 2 6 9" xfId="24671" xr:uid="{00000000-0005-0000-0000-0000325E0000}"/>
    <cellStyle name="Note 4 3 3 3 2 2 7" xfId="1325" xr:uid="{00000000-0005-0000-0000-0000335E0000}"/>
    <cellStyle name="Note 4 3 3 3 2 2 7 10" xfId="32612" xr:uid="{00000000-0005-0000-0000-0000345E0000}"/>
    <cellStyle name="Note 4 3 3 3 2 2 7 11" xfId="36382" xr:uid="{00000000-0005-0000-0000-0000355E0000}"/>
    <cellStyle name="Note 4 3 3 3 2 2 7 12" xfId="40373" xr:uid="{00000000-0005-0000-0000-0000365E0000}"/>
    <cellStyle name="Note 4 3 3 3 2 2 7 13" xfId="44204" xr:uid="{00000000-0005-0000-0000-0000375E0000}"/>
    <cellStyle name="Note 4 3 3 3 2 2 7 2" xfId="3315" xr:uid="{00000000-0005-0000-0000-0000385E0000}"/>
    <cellStyle name="Note 4 3 3 3 2 2 7 2 10" xfId="38366" xr:uid="{00000000-0005-0000-0000-0000395E0000}"/>
    <cellStyle name="Note 4 3 3 3 2 2 7 2 11" xfId="42377" xr:uid="{00000000-0005-0000-0000-00003A5E0000}"/>
    <cellStyle name="Note 4 3 3 3 2 2 7 2 12" xfId="46142" xr:uid="{00000000-0005-0000-0000-00003B5E0000}"/>
    <cellStyle name="Note 4 3 3 3 2 2 7 2 2" xfId="7182" xr:uid="{00000000-0005-0000-0000-00003C5E0000}"/>
    <cellStyle name="Note 4 3 3 3 2 2 7 2 3" xfId="11617" xr:uid="{00000000-0005-0000-0000-00003D5E0000}"/>
    <cellStyle name="Note 4 3 3 3 2 2 7 2 4" xfId="15462" xr:uid="{00000000-0005-0000-0000-00003E5E0000}"/>
    <cellStyle name="Note 4 3 3 3 2 2 7 2 5" xfId="19309" xr:uid="{00000000-0005-0000-0000-00003F5E0000}"/>
    <cellStyle name="Note 4 3 3 3 2 2 7 2 6" xfId="23225" xr:uid="{00000000-0005-0000-0000-0000405E0000}"/>
    <cellStyle name="Note 4 3 3 3 2 2 7 2 7" xfId="27059" xr:uid="{00000000-0005-0000-0000-0000415E0000}"/>
    <cellStyle name="Note 4 3 3 3 2 2 7 2 8" xfId="30928" xr:uid="{00000000-0005-0000-0000-0000425E0000}"/>
    <cellStyle name="Note 4 3 3 3 2 2 7 2 9" xfId="34580" xr:uid="{00000000-0005-0000-0000-0000435E0000}"/>
    <cellStyle name="Note 4 3 3 3 2 2 7 3" xfId="5258" xr:uid="{00000000-0005-0000-0000-0000445E0000}"/>
    <cellStyle name="Note 4 3 3 3 2 2 7 4" xfId="9616" xr:uid="{00000000-0005-0000-0000-0000455E0000}"/>
    <cellStyle name="Note 4 3 3 3 2 2 7 5" xfId="13462" xr:uid="{00000000-0005-0000-0000-0000465E0000}"/>
    <cellStyle name="Note 4 3 3 3 2 2 7 6" xfId="17291" xr:uid="{00000000-0005-0000-0000-0000475E0000}"/>
    <cellStyle name="Note 4 3 3 3 2 2 7 7" xfId="21230" xr:uid="{00000000-0005-0000-0000-0000485E0000}"/>
    <cellStyle name="Note 4 3 3 3 2 2 7 8" xfId="25043" xr:uid="{00000000-0005-0000-0000-0000495E0000}"/>
    <cellStyle name="Note 4 3 3 3 2 2 7 9" xfId="28930" xr:uid="{00000000-0005-0000-0000-00004A5E0000}"/>
    <cellStyle name="Note 4 3 3 3 2 2 8" xfId="2022" xr:uid="{00000000-0005-0000-0000-00004B5E0000}"/>
    <cellStyle name="Note 4 3 3 3 2 2 8 10" xfId="33307" xr:uid="{00000000-0005-0000-0000-00004C5E0000}"/>
    <cellStyle name="Note 4 3 3 3 2 2 8 11" xfId="37078" xr:uid="{00000000-0005-0000-0000-00004D5E0000}"/>
    <cellStyle name="Note 4 3 3 3 2 2 8 12" xfId="41070" xr:uid="{00000000-0005-0000-0000-00004E5E0000}"/>
    <cellStyle name="Note 4 3 3 3 2 2 8 13" xfId="44898" xr:uid="{00000000-0005-0000-0000-00004F5E0000}"/>
    <cellStyle name="Note 4 3 3 3 2 2 8 2" xfId="4011" xr:uid="{00000000-0005-0000-0000-0000505E0000}"/>
    <cellStyle name="Note 4 3 3 3 2 2 8 2 10" xfId="39062" xr:uid="{00000000-0005-0000-0000-0000515E0000}"/>
    <cellStyle name="Note 4 3 3 3 2 2 8 2 11" xfId="43073" xr:uid="{00000000-0005-0000-0000-0000525E0000}"/>
    <cellStyle name="Note 4 3 3 3 2 2 8 2 12" xfId="46836" xr:uid="{00000000-0005-0000-0000-0000535E0000}"/>
    <cellStyle name="Note 4 3 3 3 2 2 8 2 2" xfId="7876" xr:uid="{00000000-0005-0000-0000-0000545E0000}"/>
    <cellStyle name="Note 4 3 3 3 2 2 8 2 3" xfId="12312" xr:uid="{00000000-0005-0000-0000-0000555E0000}"/>
    <cellStyle name="Note 4 3 3 3 2 2 8 2 4" xfId="16157" xr:uid="{00000000-0005-0000-0000-0000565E0000}"/>
    <cellStyle name="Note 4 3 3 3 2 2 8 2 5" xfId="20005" xr:uid="{00000000-0005-0000-0000-0000575E0000}"/>
    <cellStyle name="Note 4 3 3 3 2 2 8 2 6" xfId="23920" xr:uid="{00000000-0005-0000-0000-0000585E0000}"/>
    <cellStyle name="Note 4 3 3 3 2 2 8 2 7" xfId="27755" xr:uid="{00000000-0005-0000-0000-0000595E0000}"/>
    <cellStyle name="Note 4 3 3 3 2 2 8 2 8" xfId="31615" xr:uid="{00000000-0005-0000-0000-00005A5E0000}"/>
    <cellStyle name="Note 4 3 3 3 2 2 8 2 9" xfId="35274" xr:uid="{00000000-0005-0000-0000-00005B5E0000}"/>
    <cellStyle name="Note 4 3 3 3 2 2 8 3" xfId="5952" xr:uid="{00000000-0005-0000-0000-00005C5E0000}"/>
    <cellStyle name="Note 4 3 3 3 2 2 8 4" xfId="10311" xr:uid="{00000000-0005-0000-0000-00005D5E0000}"/>
    <cellStyle name="Note 4 3 3 3 2 2 8 5" xfId="14158" xr:uid="{00000000-0005-0000-0000-00005E5E0000}"/>
    <cellStyle name="Note 4 3 3 3 2 2 8 6" xfId="17988" xr:uid="{00000000-0005-0000-0000-00005F5E0000}"/>
    <cellStyle name="Note 4 3 3 3 2 2 8 7" xfId="21926" xr:uid="{00000000-0005-0000-0000-0000605E0000}"/>
    <cellStyle name="Note 4 3 3 3 2 2 8 8" xfId="25740" xr:uid="{00000000-0005-0000-0000-0000615E0000}"/>
    <cellStyle name="Note 4 3 3 3 2 2 8 9" xfId="29627" xr:uid="{00000000-0005-0000-0000-0000625E0000}"/>
    <cellStyle name="Note 4 3 3 3 2 2 9" xfId="2069" xr:uid="{00000000-0005-0000-0000-0000635E0000}"/>
    <cellStyle name="Note 4 3 3 3 2 2 9 10" xfId="33351" xr:uid="{00000000-0005-0000-0000-0000645E0000}"/>
    <cellStyle name="Note 4 3 3 3 2 2 9 11" xfId="37125" xr:uid="{00000000-0005-0000-0000-0000655E0000}"/>
    <cellStyle name="Note 4 3 3 3 2 2 9 12" xfId="41115" xr:uid="{00000000-0005-0000-0000-0000665E0000}"/>
    <cellStyle name="Note 4 3 3 3 2 2 9 13" xfId="44942" xr:uid="{00000000-0005-0000-0000-0000675E0000}"/>
    <cellStyle name="Note 4 3 3 3 2 2 9 2" xfId="4058" xr:uid="{00000000-0005-0000-0000-0000685E0000}"/>
    <cellStyle name="Note 4 3 3 3 2 2 9 2 10" xfId="39109" xr:uid="{00000000-0005-0000-0000-0000695E0000}"/>
    <cellStyle name="Note 4 3 3 3 2 2 9 2 11" xfId="43119" xr:uid="{00000000-0005-0000-0000-00006A5E0000}"/>
    <cellStyle name="Note 4 3 3 3 2 2 9 2 12" xfId="46880" xr:uid="{00000000-0005-0000-0000-00006B5E0000}"/>
    <cellStyle name="Note 4 3 3 3 2 2 9 2 2" xfId="7921" xr:uid="{00000000-0005-0000-0000-00006C5E0000}"/>
    <cellStyle name="Note 4 3 3 3 2 2 9 2 3" xfId="12358" xr:uid="{00000000-0005-0000-0000-00006D5E0000}"/>
    <cellStyle name="Note 4 3 3 3 2 2 9 2 4" xfId="16203" xr:uid="{00000000-0005-0000-0000-00006E5E0000}"/>
    <cellStyle name="Note 4 3 3 3 2 2 9 2 5" xfId="20052" xr:uid="{00000000-0005-0000-0000-00006F5E0000}"/>
    <cellStyle name="Note 4 3 3 3 2 2 9 2 6" xfId="23966" xr:uid="{00000000-0005-0000-0000-0000705E0000}"/>
    <cellStyle name="Note 4 3 3 3 2 2 9 2 7" xfId="27802" xr:uid="{00000000-0005-0000-0000-0000715E0000}"/>
    <cellStyle name="Note 4 3 3 3 2 2 9 2 8" xfId="31661" xr:uid="{00000000-0005-0000-0000-0000725E0000}"/>
    <cellStyle name="Note 4 3 3 3 2 2 9 2 9" xfId="35318" xr:uid="{00000000-0005-0000-0000-0000735E0000}"/>
    <cellStyle name="Note 4 3 3 3 2 2 9 3" xfId="5997" xr:uid="{00000000-0005-0000-0000-0000745E0000}"/>
    <cellStyle name="Note 4 3 3 3 2 2 9 4" xfId="10357" xr:uid="{00000000-0005-0000-0000-0000755E0000}"/>
    <cellStyle name="Note 4 3 3 3 2 2 9 5" xfId="14204" xr:uid="{00000000-0005-0000-0000-0000765E0000}"/>
    <cellStyle name="Note 4 3 3 3 2 2 9 6" xfId="18035" xr:uid="{00000000-0005-0000-0000-0000775E0000}"/>
    <cellStyle name="Note 4 3 3 3 2 2 9 7" xfId="21972" xr:uid="{00000000-0005-0000-0000-0000785E0000}"/>
    <cellStyle name="Note 4 3 3 3 2 2 9 8" xfId="25787" xr:uid="{00000000-0005-0000-0000-0000795E0000}"/>
    <cellStyle name="Note 4 3 3 3 2 2 9 9" xfId="29673" xr:uid="{00000000-0005-0000-0000-00007A5E0000}"/>
    <cellStyle name="Note 4 3 3 3 2 20" xfId="8801" xr:uid="{00000000-0005-0000-0000-00007B5E0000}"/>
    <cellStyle name="Note 4 3 3 3 2 21" xfId="8657" xr:uid="{00000000-0005-0000-0000-00007C5E0000}"/>
    <cellStyle name="Note 4 3 3 3 2 22" xfId="8640" xr:uid="{00000000-0005-0000-0000-00007D5E0000}"/>
    <cellStyle name="Note 4 3 3 3 2 23" xfId="8440" xr:uid="{00000000-0005-0000-0000-00007E5E0000}"/>
    <cellStyle name="Note 4 3 3 3 2 24" xfId="25825" xr:uid="{00000000-0005-0000-0000-00007F5E0000}"/>
    <cellStyle name="Note 4 3 3 3 2 25" xfId="11447" xr:uid="{00000000-0005-0000-0000-0000805E0000}"/>
    <cellStyle name="Note 4 3 3 3 2 26" xfId="18044" xr:uid="{00000000-0005-0000-0000-0000815E0000}"/>
    <cellStyle name="Note 4 3 3 3 2 27" xfId="39623" xr:uid="{00000000-0005-0000-0000-0000825E0000}"/>
    <cellStyle name="Note 4 3 3 3 2 28" xfId="39609" xr:uid="{00000000-0005-0000-0000-0000835E0000}"/>
    <cellStyle name="Note 4 3 3 3 2 29" xfId="47337" xr:uid="{00000000-0005-0000-0000-0000845E0000}"/>
    <cellStyle name="Note 4 3 3 3 2 3" xfId="538" xr:uid="{00000000-0005-0000-0000-0000855E0000}"/>
    <cellStyle name="Note 4 3 3 3 2 3 10" xfId="2190" xr:uid="{00000000-0005-0000-0000-0000865E0000}"/>
    <cellStyle name="Note 4 3 3 3 2 3 10 10" xfId="33491" xr:uid="{00000000-0005-0000-0000-0000875E0000}"/>
    <cellStyle name="Note 4 3 3 3 2 3 10 11" xfId="37242" xr:uid="{00000000-0005-0000-0000-0000885E0000}"/>
    <cellStyle name="Note 4 3 3 3 2 3 10 12" xfId="41258" xr:uid="{00000000-0005-0000-0000-0000895E0000}"/>
    <cellStyle name="Note 4 3 3 3 2 3 10 13" xfId="45053" xr:uid="{00000000-0005-0000-0000-00008A5E0000}"/>
    <cellStyle name="Note 4 3 3 3 2 3 10 2" xfId="4173" xr:uid="{00000000-0005-0000-0000-00008B5E0000}"/>
    <cellStyle name="Note 4 3 3 3 2 3 10 2 10" xfId="39224" xr:uid="{00000000-0005-0000-0000-00008C5E0000}"/>
    <cellStyle name="Note 4 3 3 3 2 3 10 2 11" xfId="43234" xr:uid="{00000000-0005-0000-0000-00008D5E0000}"/>
    <cellStyle name="Note 4 3 3 3 2 3 10 2 12" xfId="46991" xr:uid="{00000000-0005-0000-0000-00008E5E0000}"/>
    <cellStyle name="Note 4 3 3 3 2 3 10 2 2" xfId="8032" xr:uid="{00000000-0005-0000-0000-00008F5E0000}"/>
    <cellStyle name="Note 4 3 3 3 2 3 10 2 3" xfId="12472" xr:uid="{00000000-0005-0000-0000-0000905E0000}"/>
    <cellStyle name="Note 4 3 3 3 2 3 10 2 4" xfId="16317" xr:uid="{00000000-0005-0000-0000-0000915E0000}"/>
    <cellStyle name="Note 4 3 3 3 2 3 10 2 5" xfId="20167" xr:uid="{00000000-0005-0000-0000-0000925E0000}"/>
    <cellStyle name="Note 4 3 3 3 2 3 10 2 6" xfId="24079" xr:uid="{00000000-0005-0000-0000-0000935E0000}"/>
    <cellStyle name="Note 4 3 3 3 2 3 10 2 7" xfId="27917" xr:uid="{00000000-0005-0000-0000-0000945E0000}"/>
    <cellStyle name="Note 4 3 3 3 2 3 10 2 8" xfId="31776" xr:uid="{00000000-0005-0000-0000-0000955E0000}"/>
    <cellStyle name="Note 4 3 3 3 2 3 10 2 9" xfId="35429" xr:uid="{00000000-0005-0000-0000-0000965E0000}"/>
    <cellStyle name="Note 4 3 3 3 2 3 10 3" xfId="6104" xr:uid="{00000000-0005-0000-0000-0000975E0000}"/>
    <cellStyle name="Note 4 3 3 3 2 3 10 4" xfId="10507" xr:uid="{00000000-0005-0000-0000-0000985E0000}"/>
    <cellStyle name="Note 4 3 3 3 2 3 10 5" xfId="14353" xr:uid="{00000000-0005-0000-0000-0000995E0000}"/>
    <cellStyle name="Note 4 3 3 3 2 3 10 6" xfId="18184" xr:uid="{00000000-0005-0000-0000-00009A5E0000}"/>
    <cellStyle name="Note 4 3 3 3 2 3 10 7" xfId="22123" xr:uid="{00000000-0005-0000-0000-00009B5E0000}"/>
    <cellStyle name="Note 4 3 3 3 2 3 10 8" xfId="25935" xr:uid="{00000000-0005-0000-0000-00009C5E0000}"/>
    <cellStyle name="Note 4 3 3 3 2 3 10 9" xfId="29815" xr:uid="{00000000-0005-0000-0000-00009D5E0000}"/>
    <cellStyle name="Note 4 3 3 3 2 3 11" xfId="2248" xr:uid="{00000000-0005-0000-0000-00009E5E0000}"/>
    <cellStyle name="Note 4 3 3 3 2 3 11 10" xfId="33549" xr:uid="{00000000-0005-0000-0000-00009F5E0000}"/>
    <cellStyle name="Note 4 3 3 3 2 3 11 11" xfId="37300" xr:uid="{00000000-0005-0000-0000-0000A05E0000}"/>
    <cellStyle name="Note 4 3 3 3 2 3 11 12" xfId="41316" xr:uid="{00000000-0005-0000-0000-0000A15E0000}"/>
    <cellStyle name="Note 4 3 3 3 2 3 11 13" xfId="45111" xr:uid="{00000000-0005-0000-0000-0000A25E0000}"/>
    <cellStyle name="Note 4 3 3 3 2 3 11 2" xfId="4231" xr:uid="{00000000-0005-0000-0000-0000A35E0000}"/>
    <cellStyle name="Note 4 3 3 3 2 3 11 2 10" xfId="39282" xr:uid="{00000000-0005-0000-0000-0000A45E0000}"/>
    <cellStyle name="Note 4 3 3 3 2 3 11 2 11" xfId="43292" xr:uid="{00000000-0005-0000-0000-0000A55E0000}"/>
    <cellStyle name="Note 4 3 3 3 2 3 11 2 12" xfId="47049" xr:uid="{00000000-0005-0000-0000-0000A65E0000}"/>
    <cellStyle name="Note 4 3 3 3 2 3 11 2 2" xfId="8090" xr:uid="{00000000-0005-0000-0000-0000A75E0000}"/>
    <cellStyle name="Note 4 3 3 3 2 3 11 2 3" xfId="12530" xr:uid="{00000000-0005-0000-0000-0000A85E0000}"/>
    <cellStyle name="Note 4 3 3 3 2 3 11 2 4" xfId="16375" xr:uid="{00000000-0005-0000-0000-0000A95E0000}"/>
    <cellStyle name="Note 4 3 3 3 2 3 11 2 5" xfId="20225" xr:uid="{00000000-0005-0000-0000-0000AA5E0000}"/>
    <cellStyle name="Note 4 3 3 3 2 3 11 2 6" xfId="24137" xr:uid="{00000000-0005-0000-0000-0000AB5E0000}"/>
    <cellStyle name="Note 4 3 3 3 2 3 11 2 7" xfId="27975" xr:uid="{00000000-0005-0000-0000-0000AC5E0000}"/>
    <cellStyle name="Note 4 3 3 3 2 3 11 2 8" xfId="31834" xr:uid="{00000000-0005-0000-0000-0000AD5E0000}"/>
    <cellStyle name="Note 4 3 3 3 2 3 11 2 9" xfId="35487" xr:uid="{00000000-0005-0000-0000-0000AE5E0000}"/>
    <cellStyle name="Note 4 3 3 3 2 3 11 3" xfId="6162" xr:uid="{00000000-0005-0000-0000-0000AF5E0000}"/>
    <cellStyle name="Note 4 3 3 3 2 3 11 4" xfId="10565" xr:uid="{00000000-0005-0000-0000-0000B05E0000}"/>
    <cellStyle name="Note 4 3 3 3 2 3 11 5" xfId="14411" xr:uid="{00000000-0005-0000-0000-0000B15E0000}"/>
    <cellStyle name="Note 4 3 3 3 2 3 11 6" xfId="18242" xr:uid="{00000000-0005-0000-0000-0000B25E0000}"/>
    <cellStyle name="Note 4 3 3 3 2 3 11 7" xfId="22181" xr:uid="{00000000-0005-0000-0000-0000B35E0000}"/>
    <cellStyle name="Note 4 3 3 3 2 3 11 8" xfId="25993" xr:uid="{00000000-0005-0000-0000-0000B45E0000}"/>
    <cellStyle name="Note 4 3 3 3 2 3 11 9" xfId="29873" xr:uid="{00000000-0005-0000-0000-0000B55E0000}"/>
    <cellStyle name="Note 4 3 3 3 2 3 12" xfId="2303" xr:uid="{00000000-0005-0000-0000-0000B65E0000}"/>
    <cellStyle name="Note 4 3 3 3 2 3 12 10" xfId="33604" xr:uid="{00000000-0005-0000-0000-0000B75E0000}"/>
    <cellStyle name="Note 4 3 3 3 2 3 12 11" xfId="37355" xr:uid="{00000000-0005-0000-0000-0000B85E0000}"/>
    <cellStyle name="Note 4 3 3 3 2 3 12 12" xfId="41371" xr:uid="{00000000-0005-0000-0000-0000B95E0000}"/>
    <cellStyle name="Note 4 3 3 3 2 3 12 13" xfId="45166" xr:uid="{00000000-0005-0000-0000-0000BA5E0000}"/>
    <cellStyle name="Note 4 3 3 3 2 3 12 2" xfId="4286" xr:uid="{00000000-0005-0000-0000-0000BB5E0000}"/>
    <cellStyle name="Note 4 3 3 3 2 3 12 2 10" xfId="39337" xr:uid="{00000000-0005-0000-0000-0000BC5E0000}"/>
    <cellStyle name="Note 4 3 3 3 2 3 12 2 11" xfId="43347" xr:uid="{00000000-0005-0000-0000-0000BD5E0000}"/>
    <cellStyle name="Note 4 3 3 3 2 3 12 2 12" xfId="47104" xr:uid="{00000000-0005-0000-0000-0000BE5E0000}"/>
    <cellStyle name="Note 4 3 3 3 2 3 12 2 2" xfId="8145" xr:uid="{00000000-0005-0000-0000-0000BF5E0000}"/>
    <cellStyle name="Note 4 3 3 3 2 3 12 2 3" xfId="12585" xr:uid="{00000000-0005-0000-0000-0000C05E0000}"/>
    <cellStyle name="Note 4 3 3 3 2 3 12 2 4" xfId="16430" xr:uid="{00000000-0005-0000-0000-0000C15E0000}"/>
    <cellStyle name="Note 4 3 3 3 2 3 12 2 5" xfId="20280" xr:uid="{00000000-0005-0000-0000-0000C25E0000}"/>
    <cellStyle name="Note 4 3 3 3 2 3 12 2 6" xfId="24192" xr:uid="{00000000-0005-0000-0000-0000C35E0000}"/>
    <cellStyle name="Note 4 3 3 3 2 3 12 2 7" xfId="28030" xr:uid="{00000000-0005-0000-0000-0000C45E0000}"/>
    <cellStyle name="Note 4 3 3 3 2 3 12 2 8" xfId="31889" xr:uid="{00000000-0005-0000-0000-0000C55E0000}"/>
    <cellStyle name="Note 4 3 3 3 2 3 12 2 9" xfId="35542" xr:uid="{00000000-0005-0000-0000-0000C65E0000}"/>
    <cellStyle name="Note 4 3 3 3 2 3 12 3" xfId="6217" xr:uid="{00000000-0005-0000-0000-0000C75E0000}"/>
    <cellStyle name="Note 4 3 3 3 2 3 12 4" xfId="10620" xr:uid="{00000000-0005-0000-0000-0000C85E0000}"/>
    <cellStyle name="Note 4 3 3 3 2 3 12 5" xfId="14466" xr:uid="{00000000-0005-0000-0000-0000C95E0000}"/>
    <cellStyle name="Note 4 3 3 3 2 3 12 6" xfId="18297" xr:uid="{00000000-0005-0000-0000-0000CA5E0000}"/>
    <cellStyle name="Note 4 3 3 3 2 3 12 7" xfId="22236" xr:uid="{00000000-0005-0000-0000-0000CB5E0000}"/>
    <cellStyle name="Note 4 3 3 3 2 3 12 8" xfId="26048" xr:uid="{00000000-0005-0000-0000-0000CC5E0000}"/>
    <cellStyle name="Note 4 3 3 3 2 3 12 9" xfId="29928" xr:uid="{00000000-0005-0000-0000-0000CD5E0000}"/>
    <cellStyle name="Note 4 3 3 3 2 3 13" xfId="2370" xr:uid="{00000000-0005-0000-0000-0000CE5E0000}"/>
    <cellStyle name="Note 4 3 3 3 2 3 13 10" xfId="33668" xr:uid="{00000000-0005-0000-0000-0000CF5E0000}"/>
    <cellStyle name="Note 4 3 3 3 2 3 13 11" xfId="37422" xr:uid="{00000000-0005-0000-0000-0000D05E0000}"/>
    <cellStyle name="Note 4 3 3 3 2 3 13 12" xfId="41437" xr:uid="{00000000-0005-0000-0000-0000D15E0000}"/>
    <cellStyle name="Note 4 3 3 3 2 3 13 13" xfId="45230" xr:uid="{00000000-0005-0000-0000-0000D25E0000}"/>
    <cellStyle name="Note 4 3 3 3 2 3 13 2" xfId="4353" xr:uid="{00000000-0005-0000-0000-0000D35E0000}"/>
    <cellStyle name="Note 4 3 3 3 2 3 13 2 10" xfId="39404" xr:uid="{00000000-0005-0000-0000-0000D45E0000}"/>
    <cellStyle name="Note 4 3 3 3 2 3 13 2 11" xfId="43413" xr:uid="{00000000-0005-0000-0000-0000D55E0000}"/>
    <cellStyle name="Note 4 3 3 3 2 3 13 2 12" xfId="47168" xr:uid="{00000000-0005-0000-0000-0000D65E0000}"/>
    <cellStyle name="Note 4 3 3 3 2 3 13 2 2" xfId="8210" xr:uid="{00000000-0005-0000-0000-0000D75E0000}"/>
    <cellStyle name="Note 4 3 3 3 2 3 13 2 3" xfId="12651" xr:uid="{00000000-0005-0000-0000-0000D85E0000}"/>
    <cellStyle name="Note 4 3 3 3 2 3 13 2 4" xfId="16496" xr:uid="{00000000-0005-0000-0000-0000D95E0000}"/>
    <cellStyle name="Note 4 3 3 3 2 3 13 2 5" xfId="20347" xr:uid="{00000000-0005-0000-0000-0000DA5E0000}"/>
    <cellStyle name="Note 4 3 3 3 2 3 13 2 6" xfId="24258" xr:uid="{00000000-0005-0000-0000-0000DB5E0000}"/>
    <cellStyle name="Note 4 3 3 3 2 3 13 2 7" xfId="28097" xr:uid="{00000000-0005-0000-0000-0000DC5E0000}"/>
    <cellStyle name="Note 4 3 3 3 2 3 13 2 8" xfId="31955" xr:uid="{00000000-0005-0000-0000-0000DD5E0000}"/>
    <cellStyle name="Note 4 3 3 3 2 3 13 2 9" xfId="35606" xr:uid="{00000000-0005-0000-0000-0000DE5E0000}"/>
    <cellStyle name="Note 4 3 3 3 2 3 13 3" xfId="6266" xr:uid="{00000000-0005-0000-0000-0000DF5E0000}"/>
    <cellStyle name="Note 4 3 3 3 2 3 13 4" xfId="10686" xr:uid="{00000000-0005-0000-0000-0000E05E0000}"/>
    <cellStyle name="Note 4 3 3 3 2 3 13 5" xfId="14532" xr:uid="{00000000-0005-0000-0000-0000E15E0000}"/>
    <cellStyle name="Note 4 3 3 3 2 3 13 6" xfId="18364" xr:uid="{00000000-0005-0000-0000-0000E25E0000}"/>
    <cellStyle name="Note 4 3 3 3 2 3 13 7" xfId="22302" xr:uid="{00000000-0005-0000-0000-0000E35E0000}"/>
    <cellStyle name="Note 4 3 3 3 2 3 13 8" xfId="26115" xr:uid="{00000000-0005-0000-0000-0000E45E0000}"/>
    <cellStyle name="Note 4 3 3 3 2 3 13 9" xfId="29995" xr:uid="{00000000-0005-0000-0000-0000E55E0000}"/>
    <cellStyle name="Note 4 3 3 3 2 3 14" xfId="2420" xr:uid="{00000000-0005-0000-0000-0000E65E0000}"/>
    <cellStyle name="Note 4 3 3 3 2 3 14 10" xfId="33718" xr:uid="{00000000-0005-0000-0000-0000E75E0000}"/>
    <cellStyle name="Note 4 3 3 3 2 3 14 11" xfId="37472" xr:uid="{00000000-0005-0000-0000-0000E85E0000}"/>
    <cellStyle name="Note 4 3 3 3 2 3 14 12" xfId="41487" xr:uid="{00000000-0005-0000-0000-0000E95E0000}"/>
    <cellStyle name="Note 4 3 3 3 2 3 14 13" xfId="45280" xr:uid="{00000000-0005-0000-0000-0000EA5E0000}"/>
    <cellStyle name="Note 4 3 3 3 2 3 14 2" xfId="4403" xr:uid="{00000000-0005-0000-0000-0000EB5E0000}"/>
    <cellStyle name="Note 4 3 3 3 2 3 14 2 10" xfId="39454" xr:uid="{00000000-0005-0000-0000-0000EC5E0000}"/>
    <cellStyle name="Note 4 3 3 3 2 3 14 2 11" xfId="43463" xr:uid="{00000000-0005-0000-0000-0000ED5E0000}"/>
    <cellStyle name="Note 4 3 3 3 2 3 14 2 12" xfId="47218" xr:uid="{00000000-0005-0000-0000-0000EE5E0000}"/>
    <cellStyle name="Note 4 3 3 3 2 3 14 2 2" xfId="8260" xr:uid="{00000000-0005-0000-0000-0000EF5E0000}"/>
    <cellStyle name="Note 4 3 3 3 2 3 14 2 3" xfId="12701" xr:uid="{00000000-0005-0000-0000-0000F05E0000}"/>
    <cellStyle name="Note 4 3 3 3 2 3 14 2 4" xfId="16546" xr:uid="{00000000-0005-0000-0000-0000F15E0000}"/>
    <cellStyle name="Note 4 3 3 3 2 3 14 2 5" xfId="20397" xr:uid="{00000000-0005-0000-0000-0000F25E0000}"/>
    <cellStyle name="Note 4 3 3 3 2 3 14 2 6" xfId="24308" xr:uid="{00000000-0005-0000-0000-0000F35E0000}"/>
    <cellStyle name="Note 4 3 3 3 2 3 14 2 7" xfId="28147" xr:uid="{00000000-0005-0000-0000-0000F45E0000}"/>
    <cellStyle name="Note 4 3 3 3 2 3 14 2 8" xfId="32005" xr:uid="{00000000-0005-0000-0000-0000F55E0000}"/>
    <cellStyle name="Note 4 3 3 3 2 3 14 2 9" xfId="35656" xr:uid="{00000000-0005-0000-0000-0000F65E0000}"/>
    <cellStyle name="Note 4 3 3 3 2 3 14 3" xfId="6316" xr:uid="{00000000-0005-0000-0000-0000F75E0000}"/>
    <cellStyle name="Note 4 3 3 3 2 3 14 4" xfId="10736" xr:uid="{00000000-0005-0000-0000-0000F85E0000}"/>
    <cellStyle name="Note 4 3 3 3 2 3 14 5" xfId="14582" xr:uid="{00000000-0005-0000-0000-0000F95E0000}"/>
    <cellStyle name="Note 4 3 3 3 2 3 14 6" xfId="18414" xr:uid="{00000000-0005-0000-0000-0000FA5E0000}"/>
    <cellStyle name="Note 4 3 3 3 2 3 14 7" xfId="22352" xr:uid="{00000000-0005-0000-0000-0000FB5E0000}"/>
    <cellStyle name="Note 4 3 3 3 2 3 14 8" xfId="26165" xr:uid="{00000000-0005-0000-0000-0000FC5E0000}"/>
    <cellStyle name="Note 4 3 3 3 2 3 14 9" xfId="30044" xr:uid="{00000000-0005-0000-0000-0000FD5E0000}"/>
    <cellStyle name="Note 4 3 3 3 2 3 15" xfId="2474" xr:uid="{00000000-0005-0000-0000-0000FE5E0000}"/>
    <cellStyle name="Note 4 3 3 3 2 3 15 10" xfId="33769" xr:uid="{00000000-0005-0000-0000-0000FF5E0000}"/>
    <cellStyle name="Note 4 3 3 3 2 3 15 11" xfId="37526" xr:uid="{00000000-0005-0000-0000-0000005F0000}"/>
    <cellStyle name="Note 4 3 3 3 2 3 15 12" xfId="41540" xr:uid="{00000000-0005-0000-0000-0000015F0000}"/>
    <cellStyle name="Note 4 3 3 3 2 3 15 13" xfId="45331" xr:uid="{00000000-0005-0000-0000-0000025F0000}"/>
    <cellStyle name="Note 4 3 3 3 2 3 15 2" xfId="4456" xr:uid="{00000000-0005-0000-0000-0000035F0000}"/>
    <cellStyle name="Note 4 3 3 3 2 3 15 2 10" xfId="39507" xr:uid="{00000000-0005-0000-0000-0000045F0000}"/>
    <cellStyle name="Note 4 3 3 3 2 3 15 2 11" xfId="43516" xr:uid="{00000000-0005-0000-0000-0000055F0000}"/>
    <cellStyle name="Note 4 3 3 3 2 3 15 2 12" xfId="47269" xr:uid="{00000000-0005-0000-0000-0000065F0000}"/>
    <cellStyle name="Note 4 3 3 3 2 3 15 2 2" xfId="8311" xr:uid="{00000000-0005-0000-0000-0000075F0000}"/>
    <cellStyle name="Note 4 3 3 3 2 3 15 2 3" xfId="12754" xr:uid="{00000000-0005-0000-0000-0000085F0000}"/>
    <cellStyle name="Note 4 3 3 3 2 3 15 2 4" xfId="16597" xr:uid="{00000000-0005-0000-0000-0000095F0000}"/>
    <cellStyle name="Note 4 3 3 3 2 3 15 2 5" xfId="20450" xr:uid="{00000000-0005-0000-0000-00000A5F0000}"/>
    <cellStyle name="Note 4 3 3 3 2 3 15 2 6" xfId="24360" xr:uid="{00000000-0005-0000-0000-00000B5F0000}"/>
    <cellStyle name="Note 4 3 3 3 2 3 15 2 7" xfId="28200" xr:uid="{00000000-0005-0000-0000-00000C5F0000}"/>
    <cellStyle name="Note 4 3 3 3 2 3 15 2 8" xfId="32058" xr:uid="{00000000-0005-0000-0000-00000D5F0000}"/>
    <cellStyle name="Note 4 3 3 3 2 3 15 2 9" xfId="35707" xr:uid="{00000000-0005-0000-0000-00000E5F0000}"/>
    <cellStyle name="Note 4 3 3 3 2 3 15 3" xfId="6368" xr:uid="{00000000-0005-0000-0000-00000F5F0000}"/>
    <cellStyle name="Note 4 3 3 3 2 3 15 4" xfId="10789" xr:uid="{00000000-0005-0000-0000-0000105F0000}"/>
    <cellStyle name="Note 4 3 3 3 2 3 15 5" xfId="14635" xr:uid="{00000000-0005-0000-0000-0000115F0000}"/>
    <cellStyle name="Note 4 3 3 3 2 3 15 6" xfId="18468" xr:uid="{00000000-0005-0000-0000-0000125F0000}"/>
    <cellStyle name="Note 4 3 3 3 2 3 15 7" xfId="22405" xr:uid="{00000000-0005-0000-0000-0000135F0000}"/>
    <cellStyle name="Note 4 3 3 3 2 3 15 8" xfId="26219" xr:uid="{00000000-0005-0000-0000-0000145F0000}"/>
    <cellStyle name="Note 4 3 3 3 2 3 15 9" xfId="30098" xr:uid="{00000000-0005-0000-0000-0000155F0000}"/>
    <cellStyle name="Note 4 3 3 3 2 3 16" xfId="2545" xr:uid="{00000000-0005-0000-0000-0000165F0000}"/>
    <cellStyle name="Note 4 3 3 3 2 3 16 10" xfId="37597" xr:uid="{00000000-0005-0000-0000-0000175F0000}"/>
    <cellStyle name="Note 4 3 3 3 2 3 16 11" xfId="41611" xr:uid="{00000000-0005-0000-0000-0000185F0000}"/>
    <cellStyle name="Note 4 3 3 3 2 3 16 12" xfId="45400" xr:uid="{00000000-0005-0000-0000-0000195F0000}"/>
    <cellStyle name="Note 4 3 3 3 2 3 16 2" xfId="6437" xr:uid="{00000000-0005-0000-0000-00001A5F0000}"/>
    <cellStyle name="Note 4 3 3 3 2 3 16 3" xfId="10860" xr:uid="{00000000-0005-0000-0000-00001B5F0000}"/>
    <cellStyle name="Note 4 3 3 3 2 3 16 4" xfId="14704" xr:uid="{00000000-0005-0000-0000-00001C5F0000}"/>
    <cellStyle name="Note 4 3 3 3 2 3 16 5" xfId="18539" xr:uid="{00000000-0005-0000-0000-00001D5F0000}"/>
    <cellStyle name="Note 4 3 3 3 2 3 16 6" xfId="22474" xr:uid="{00000000-0005-0000-0000-00001E5F0000}"/>
    <cellStyle name="Note 4 3 3 3 2 3 16 7" xfId="26290" xr:uid="{00000000-0005-0000-0000-00001F5F0000}"/>
    <cellStyle name="Note 4 3 3 3 2 3 16 8" xfId="30169" xr:uid="{00000000-0005-0000-0000-0000205F0000}"/>
    <cellStyle name="Note 4 3 3 3 2 3 16 9" xfId="33838" xr:uid="{00000000-0005-0000-0000-0000215F0000}"/>
    <cellStyle name="Note 4 3 3 3 2 3 17" xfId="4513" xr:uid="{00000000-0005-0000-0000-0000225F0000}"/>
    <cellStyle name="Note 4 3 3 3 2 3 18" xfId="4495" xr:uid="{00000000-0005-0000-0000-0000235F0000}"/>
    <cellStyle name="Note 4 3 3 3 2 3 19" xfId="8728" xr:uid="{00000000-0005-0000-0000-0000245F0000}"/>
    <cellStyle name="Note 4 3 3 3 2 3 2" xfId="674" xr:uid="{00000000-0005-0000-0000-0000255F0000}"/>
    <cellStyle name="Note 4 3 3 3 2 3 2 10" xfId="24408" xr:uid="{00000000-0005-0000-0000-0000265F0000}"/>
    <cellStyle name="Note 4 3 3 3 2 3 2 11" xfId="28301" xr:uid="{00000000-0005-0000-0000-0000275F0000}"/>
    <cellStyle name="Note 4 3 3 3 2 3 2 12" xfId="31564" xr:uid="{00000000-0005-0000-0000-0000285F0000}"/>
    <cellStyle name="Note 4 3 3 3 2 3 2 13" xfId="35745" xr:uid="{00000000-0005-0000-0000-0000295F0000}"/>
    <cellStyle name="Note 4 3 3 3 2 3 2 14" xfId="39768" xr:uid="{00000000-0005-0000-0000-00002A5F0000}"/>
    <cellStyle name="Note 4 3 3 3 2 3 2 15" xfId="43571" xr:uid="{00000000-0005-0000-0000-00002B5F0000}"/>
    <cellStyle name="Note 4 3 3 3 2 3 2 2" xfId="1054" xr:uid="{00000000-0005-0000-0000-00002C5F0000}"/>
    <cellStyle name="Note 4 3 3 3 2 3 2 2 10" xfId="28665" xr:uid="{00000000-0005-0000-0000-00002D5F0000}"/>
    <cellStyle name="Note 4 3 3 3 2 3 2 2 11" xfId="32351" xr:uid="{00000000-0005-0000-0000-00002E5F0000}"/>
    <cellStyle name="Note 4 3 3 3 2 3 2 2 12" xfId="36112" xr:uid="{00000000-0005-0000-0000-00002F5F0000}"/>
    <cellStyle name="Note 4 3 3 3 2 3 2 2 13" xfId="40115" xr:uid="{00000000-0005-0000-0000-0000305F0000}"/>
    <cellStyle name="Note 4 3 3 3 2 3 2 2 14" xfId="43938" xr:uid="{00000000-0005-0000-0000-0000315F0000}"/>
    <cellStyle name="Note 4 3 3 3 2 3 2 2 2" xfId="1781" xr:uid="{00000000-0005-0000-0000-0000325F0000}"/>
    <cellStyle name="Note 4 3 3 3 2 3 2 2 2 10" xfId="33068" xr:uid="{00000000-0005-0000-0000-0000335F0000}"/>
    <cellStyle name="Note 4 3 3 3 2 3 2 2 2 11" xfId="36838" xr:uid="{00000000-0005-0000-0000-0000345F0000}"/>
    <cellStyle name="Note 4 3 3 3 2 3 2 2 2 12" xfId="40829" xr:uid="{00000000-0005-0000-0000-0000355F0000}"/>
    <cellStyle name="Note 4 3 3 3 2 3 2 2 2 13" xfId="44660" xr:uid="{00000000-0005-0000-0000-0000365F0000}"/>
    <cellStyle name="Note 4 3 3 3 2 3 2 2 2 2" xfId="3771" xr:uid="{00000000-0005-0000-0000-0000375F0000}"/>
    <cellStyle name="Note 4 3 3 3 2 3 2 2 2 2 10" xfId="38822" xr:uid="{00000000-0005-0000-0000-0000385F0000}"/>
    <cellStyle name="Note 4 3 3 3 2 3 2 2 2 2 11" xfId="42833" xr:uid="{00000000-0005-0000-0000-0000395F0000}"/>
    <cellStyle name="Note 4 3 3 3 2 3 2 2 2 2 12" xfId="46598" xr:uid="{00000000-0005-0000-0000-00003A5F0000}"/>
    <cellStyle name="Note 4 3 3 3 2 3 2 2 2 2 2" xfId="7638" xr:uid="{00000000-0005-0000-0000-00003B5F0000}"/>
    <cellStyle name="Note 4 3 3 3 2 3 2 2 2 2 3" xfId="12073" xr:uid="{00000000-0005-0000-0000-00003C5F0000}"/>
    <cellStyle name="Note 4 3 3 3 2 3 2 2 2 2 4" xfId="15918" xr:uid="{00000000-0005-0000-0000-00003D5F0000}"/>
    <cellStyle name="Note 4 3 3 3 2 3 2 2 2 2 5" xfId="19765" xr:uid="{00000000-0005-0000-0000-00003E5F0000}"/>
    <cellStyle name="Note 4 3 3 3 2 3 2 2 2 2 6" xfId="23681" xr:uid="{00000000-0005-0000-0000-00003F5F0000}"/>
    <cellStyle name="Note 4 3 3 3 2 3 2 2 2 2 7" xfId="27515" xr:uid="{00000000-0005-0000-0000-0000405F0000}"/>
    <cellStyle name="Note 4 3 3 3 2 3 2 2 2 2 8" xfId="31379" xr:uid="{00000000-0005-0000-0000-0000415F0000}"/>
    <cellStyle name="Note 4 3 3 3 2 3 2 2 2 2 9" xfId="35036" xr:uid="{00000000-0005-0000-0000-0000425F0000}"/>
    <cellStyle name="Note 4 3 3 3 2 3 2 2 2 3" xfId="5714" xr:uid="{00000000-0005-0000-0000-0000435F0000}"/>
    <cellStyle name="Note 4 3 3 3 2 3 2 2 2 4" xfId="10072" xr:uid="{00000000-0005-0000-0000-0000445F0000}"/>
    <cellStyle name="Note 4 3 3 3 2 3 2 2 2 5" xfId="13918" xr:uid="{00000000-0005-0000-0000-0000455F0000}"/>
    <cellStyle name="Note 4 3 3 3 2 3 2 2 2 6" xfId="17747" xr:uid="{00000000-0005-0000-0000-0000465F0000}"/>
    <cellStyle name="Note 4 3 3 3 2 3 2 2 2 7" xfId="21686" xr:uid="{00000000-0005-0000-0000-0000475F0000}"/>
    <cellStyle name="Note 4 3 3 3 2 3 2 2 2 8" xfId="25499" xr:uid="{00000000-0005-0000-0000-0000485F0000}"/>
    <cellStyle name="Note 4 3 3 3 2 3 2 2 2 9" xfId="29386" xr:uid="{00000000-0005-0000-0000-0000495F0000}"/>
    <cellStyle name="Note 4 3 3 3 2 3 2 2 3" xfId="3044" xr:uid="{00000000-0005-0000-0000-00004A5F0000}"/>
    <cellStyle name="Note 4 3 3 3 2 3 2 2 3 10" xfId="38096" xr:uid="{00000000-0005-0000-0000-00004B5F0000}"/>
    <cellStyle name="Note 4 3 3 3 2 3 2 2 3 11" xfId="42108" xr:uid="{00000000-0005-0000-0000-00004C5F0000}"/>
    <cellStyle name="Note 4 3 3 3 2 3 2 2 3 12" xfId="45881" xr:uid="{00000000-0005-0000-0000-00004D5F0000}"/>
    <cellStyle name="Note 4 3 3 3 2 3 2 2 3 2" xfId="6920" xr:uid="{00000000-0005-0000-0000-00004E5F0000}"/>
    <cellStyle name="Note 4 3 3 3 2 3 2 2 3 3" xfId="11349" xr:uid="{00000000-0005-0000-0000-00004F5F0000}"/>
    <cellStyle name="Note 4 3 3 3 2 3 2 2 3 4" xfId="15193" xr:uid="{00000000-0005-0000-0000-0000505F0000}"/>
    <cellStyle name="Note 4 3 3 3 2 3 2 2 3 5" xfId="19038" xr:uid="{00000000-0005-0000-0000-0000515F0000}"/>
    <cellStyle name="Note 4 3 3 3 2 3 2 2 3 6" xfId="22960" xr:uid="{00000000-0005-0000-0000-0000525F0000}"/>
    <cellStyle name="Note 4 3 3 3 2 3 2 2 3 7" xfId="26789" xr:uid="{00000000-0005-0000-0000-0000535F0000}"/>
    <cellStyle name="Note 4 3 3 3 2 3 2 2 3 8" xfId="30663" xr:uid="{00000000-0005-0000-0000-0000545F0000}"/>
    <cellStyle name="Note 4 3 3 3 2 3 2 2 3 9" xfId="34319" xr:uid="{00000000-0005-0000-0000-0000555F0000}"/>
    <cellStyle name="Note 4 3 3 3 2 3 2 2 4" xfId="4996" xr:uid="{00000000-0005-0000-0000-0000565F0000}"/>
    <cellStyle name="Note 4 3 3 3 2 3 2 2 5" xfId="9352" xr:uid="{00000000-0005-0000-0000-0000575F0000}"/>
    <cellStyle name="Note 4 3 3 3 2 3 2 2 6" xfId="13192" xr:uid="{00000000-0005-0000-0000-0000585F0000}"/>
    <cellStyle name="Note 4 3 3 3 2 3 2 2 7" xfId="17020" xr:uid="{00000000-0005-0000-0000-0000595F0000}"/>
    <cellStyle name="Note 4 3 3 3 2 3 2 2 8" xfId="20962" xr:uid="{00000000-0005-0000-0000-00005A5F0000}"/>
    <cellStyle name="Note 4 3 3 3 2 3 2 2 9" xfId="24776" xr:uid="{00000000-0005-0000-0000-00005B5F0000}"/>
    <cellStyle name="Note 4 3 3 3 2 3 2 3" xfId="1428" xr:uid="{00000000-0005-0000-0000-00005C5F0000}"/>
    <cellStyle name="Note 4 3 3 3 2 3 2 3 10" xfId="32715" xr:uid="{00000000-0005-0000-0000-00005D5F0000}"/>
    <cellStyle name="Note 4 3 3 3 2 3 2 3 11" xfId="36485" xr:uid="{00000000-0005-0000-0000-00005E5F0000}"/>
    <cellStyle name="Note 4 3 3 3 2 3 2 3 12" xfId="40476" xr:uid="{00000000-0005-0000-0000-00005F5F0000}"/>
    <cellStyle name="Note 4 3 3 3 2 3 2 3 13" xfId="44307" xr:uid="{00000000-0005-0000-0000-0000605F0000}"/>
    <cellStyle name="Note 4 3 3 3 2 3 2 3 2" xfId="3418" xr:uid="{00000000-0005-0000-0000-0000615F0000}"/>
    <cellStyle name="Note 4 3 3 3 2 3 2 3 2 10" xfId="38469" xr:uid="{00000000-0005-0000-0000-0000625F0000}"/>
    <cellStyle name="Note 4 3 3 3 2 3 2 3 2 11" xfId="42480" xr:uid="{00000000-0005-0000-0000-0000635F0000}"/>
    <cellStyle name="Note 4 3 3 3 2 3 2 3 2 12" xfId="46245" xr:uid="{00000000-0005-0000-0000-0000645F0000}"/>
    <cellStyle name="Note 4 3 3 3 2 3 2 3 2 2" xfId="7285" xr:uid="{00000000-0005-0000-0000-0000655F0000}"/>
    <cellStyle name="Note 4 3 3 3 2 3 2 3 2 3" xfId="11720" xr:uid="{00000000-0005-0000-0000-0000665F0000}"/>
    <cellStyle name="Note 4 3 3 3 2 3 2 3 2 4" xfId="15565" xr:uid="{00000000-0005-0000-0000-0000675F0000}"/>
    <cellStyle name="Note 4 3 3 3 2 3 2 3 2 5" xfId="19412" xr:uid="{00000000-0005-0000-0000-0000685F0000}"/>
    <cellStyle name="Note 4 3 3 3 2 3 2 3 2 6" xfId="23328" xr:uid="{00000000-0005-0000-0000-0000695F0000}"/>
    <cellStyle name="Note 4 3 3 3 2 3 2 3 2 7" xfId="27162" xr:uid="{00000000-0005-0000-0000-00006A5F0000}"/>
    <cellStyle name="Note 4 3 3 3 2 3 2 3 2 8" xfId="31030" xr:uid="{00000000-0005-0000-0000-00006B5F0000}"/>
    <cellStyle name="Note 4 3 3 3 2 3 2 3 2 9" xfId="34683" xr:uid="{00000000-0005-0000-0000-00006C5F0000}"/>
    <cellStyle name="Note 4 3 3 3 2 3 2 3 3" xfId="5361" xr:uid="{00000000-0005-0000-0000-00006D5F0000}"/>
    <cellStyle name="Note 4 3 3 3 2 3 2 3 4" xfId="9719" xr:uid="{00000000-0005-0000-0000-00006E5F0000}"/>
    <cellStyle name="Note 4 3 3 3 2 3 2 3 5" xfId="13565" xr:uid="{00000000-0005-0000-0000-00006F5F0000}"/>
    <cellStyle name="Note 4 3 3 3 2 3 2 3 6" xfId="17394" xr:uid="{00000000-0005-0000-0000-0000705F0000}"/>
    <cellStyle name="Note 4 3 3 3 2 3 2 3 7" xfId="21333" xr:uid="{00000000-0005-0000-0000-0000715F0000}"/>
    <cellStyle name="Note 4 3 3 3 2 3 2 3 8" xfId="25146" xr:uid="{00000000-0005-0000-0000-0000725F0000}"/>
    <cellStyle name="Note 4 3 3 3 2 3 2 3 9" xfId="29033" xr:uid="{00000000-0005-0000-0000-0000735F0000}"/>
    <cellStyle name="Note 4 3 3 3 2 3 2 4" xfId="2677" xr:uid="{00000000-0005-0000-0000-0000745F0000}"/>
    <cellStyle name="Note 4 3 3 3 2 3 2 4 10" xfId="37729" xr:uid="{00000000-0005-0000-0000-0000755F0000}"/>
    <cellStyle name="Note 4 3 3 3 2 3 2 4 11" xfId="41743" xr:uid="{00000000-0005-0000-0000-0000765F0000}"/>
    <cellStyle name="Note 4 3 3 3 2 3 2 4 12" xfId="45528" xr:uid="{00000000-0005-0000-0000-0000775F0000}"/>
    <cellStyle name="Note 4 3 3 3 2 3 2 4 2" xfId="6565" xr:uid="{00000000-0005-0000-0000-0000785F0000}"/>
    <cellStyle name="Note 4 3 3 3 2 3 2 4 3" xfId="10989" xr:uid="{00000000-0005-0000-0000-0000795F0000}"/>
    <cellStyle name="Note 4 3 3 3 2 3 2 4 4" xfId="14833" xr:uid="{00000000-0005-0000-0000-00007A5F0000}"/>
    <cellStyle name="Note 4 3 3 3 2 3 2 4 5" xfId="18671" xr:uid="{00000000-0005-0000-0000-00007B5F0000}"/>
    <cellStyle name="Note 4 3 3 3 2 3 2 4 6" xfId="22602" xr:uid="{00000000-0005-0000-0000-00007C5F0000}"/>
    <cellStyle name="Note 4 3 3 3 2 3 2 4 7" xfId="26422" xr:uid="{00000000-0005-0000-0000-00007D5F0000}"/>
    <cellStyle name="Note 4 3 3 3 2 3 2 4 8" xfId="30301" xr:uid="{00000000-0005-0000-0000-00007E5F0000}"/>
    <cellStyle name="Note 4 3 3 3 2 3 2 4 9" xfId="33966" xr:uid="{00000000-0005-0000-0000-00007F5F0000}"/>
    <cellStyle name="Note 4 3 3 3 2 3 2 5" xfId="4641" xr:uid="{00000000-0005-0000-0000-0000805F0000}"/>
    <cellStyle name="Note 4 3 3 3 2 3 2 6" xfId="8983" xr:uid="{00000000-0005-0000-0000-0000815F0000}"/>
    <cellStyle name="Note 4 3 3 3 2 3 2 7" xfId="12820" xr:uid="{00000000-0005-0000-0000-0000825F0000}"/>
    <cellStyle name="Note 4 3 3 3 2 3 2 8" xfId="16650" xr:uid="{00000000-0005-0000-0000-0000835F0000}"/>
    <cellStyle name="Note 4 3 3 3 2 3 2 9" xfId="20587" xr:uid="{00000000-0005-0000-0000-0000845F0000}"/>
    <cellStyle name="Note 4 3 3 3 2 3 20" xfId="8849" xr:uid="{00000000-0005-0000-0000-0000855F0000}"/>
    <cellStyle name="Note 4 3 3 3 2 3 21" xfId="8589" xr:uid="{00000000-0005-0000-0000-0000865F0000}"/>
    <cellStyle name="Note 4 3 3 3 2 3 22" xfId="8634" xr:uid="{00000000-0005-0000-0000-0000875F0000}"/>
    <cellStyle name="Note 4 3 3 3 2 3 23" xfId="18071" xr:uid="{00000000-0005-0000-0000-0000885F0000}"/>
    <cellStyle name="Note 4 3 3 3 2 3 24" xfId="8651" xr:uid="{00000000-0005-0000-0000-0000895F0000}"/>
    <cellStyle name="Note 4 3 3 3 2 3 25" xfId="25819" xr:uid="{00000000-0005-0000-0000-00008A5F0000}"/>
    <cellStyle name="Note 4 3 3 3 2 3 26" xfId="31476" xr:uid="{00000000-0005-0000-0000-00008B5F0000}"/>
    <cellStyle name="Note 4 3 3 3 2 3 27" xfId="8420" xr:uid="{00000000-0005-0000-0000-00008C5F0000}"/>
    <cellStyle name="Note 4 3 3 3 2 3 28" xfId="39637" xr:uid="{00000000-0005-0000-0000-00008D5F0000}"/>
    <cellStyle name="Note 4 3 3 3 2 3 29" xfId="40021" xr:uid="{00000000-0005-0000-0000-00008E5F0000}"/>
    <cellStyle name="Note 4 3 3 3 2 3 3" xfId="613" xr:uid="{00000000-0005-0000-0000-00008F5F0000}"/>
    <cellStyle name="Note 4 3 3 3 2 3 3 10" xfId="10301" xr:uid="{00000000-0005-0000-0000-0000905F0000}"/>
    <cellStyle name="Note 4 3 3 3 2 3 3 11" xfId="28240" xr:uid="{00000000-0005-0000-0000-0000915F0000}"/>
    <cellStyle name="Note 4 3 3 3 2 3 3 12" xfId="31089" xr:uid="{00000000-0005-0000-0000-0000925F0000}"/>
    <cellStyle name="Note 4 3 3 3 2 3 3 13" xfId="33367" xr:uid="{00000000-0005-0000-0000-0000935F0000}"/>
    <cellStyle name="Note 4 3 3 3 2 3 3 14" xfId="39708" xr:uid="{00000000-0005-0000-0000-0000945F0000}"/>
    <cellStyle name="Note 4 3 3 3 2 3 3 15" xfId="39569" xr:uid="{00000000-0005-0000-0000-0000955F0000}"/>
    <cellStyle name="Note 4 3 3 3 2 3 3 2" xfId="993" xr:uid="{00000000-0005-0000-0000-0000965F0000}"/>
    <cellStyle name="Note 4 3 3 3 2 3 3 2 10" xfId="28604" xr:uid="{00000000-0005-0000-0000-0000975F0000}"/>
    <cellStyle name="Note 4 3 3 3 2 3 3 2 11" xfId="32292" xr:uid="{00000000-0005-0000-0000-0000985F0000}"/>
    <cellStyle name="Note 4 3 3 3 2 3 3 2 12" xfId="36051" xr:uid="{00000000-0005-0000-0000-0000995F0000}"/>
    <cellStyle name="Note 4 3 3 3 2 3 3 2 13" xfId="40056" xr:uid="{00000000-0005-0000-0000-00009A5F0000}"/>
    <cellStyle name="Note 4 3 3 3 2 3 3 2 14" xfId="43877" xr:uid="{00000000-0005-0000-0000-00009B5F0000}"/>
    <cellStyle name="Note 4 3 3 3 2 3 3 2 2" xfId="1722" xr:uid="{00000000-0005-0000-0000-00009C5F0000}"/>
    <cellStyle name="Note 4 3 3 3 2 3 3 2 2 10" xfId="33009" xr:uid="{00000000-0005-0000-0000-00009D5F0000}"/>
    <cellStyle name="Note 4 3 3 3 2 3 3 2 2 11" xfId="36779" xr:uid="{00000000-0005-0000-0000-00009E5F0000}"/>
    <cellStyle name="Note 4 3 3 3 2 3 3 2 2 12" xfId="40770" xr:uid="{00000000-0005-0000-0000-00009F5F0000}"/>
    <cellStyle name="Note 4 3 3 3 2 3 3 2 2 13" xfId="44601" xr:uid="{00000000-0005-0000-0000-0000A05F0000}"/>
    <cellStyle name="Note 4 3 3 3 2 3 3 2 2 2" xfId="3712" xr:uid="{00000000-0005-0000-0000-0000A15F0000}"/>
    <cellStyle name="Note 4 3 3 3 2 3 3 2 2 2 10" xfId="38763" xr:uid="{00000000-0005-0000-0000-0000A25F0000}"/>
    <cellStyle name="Note 4 3 3 3 2 3 3 2 2 2 11" xfId="42774" xr:uid="{00000000-0005-0000-0000-0000A35F0000}"/>
    <cellStyle name="Note 4 3 3 3 2 3 3 2 2 2 12" xfId="46539" xr:uid="{00000000-0005-0000-0000-0000A45F0000}"/>
    <cellStyle name="Note 4 3 3 3 2 3 3 2 2 2 2" xfId="7579" xr:uid="{00000000-0005-0000-0000-0000A55F0000}"/>
    <cellStyle name="Note 4 3 3 3 2 3 3 2 2 2 3" xfId="12014" xr:uid="{00000000-0005-0000-0000-0000A65F0000}"/>
    <cellStyle name="Note 4 3 3 3 2 3 3 2 2 2 4" xfId="15859" xr:uid="{00000000-0005-0000-0000-0000A75F0000}"/>
    <cellStyle name="Note 4 3 3 3 2 3 3 2 2 2 5" xfId="19706" xr:uid="{00000000-0005-0000-0000-0000A85F0000}"/>
    <cellStyle name="Note 4 3 3 3 2 3 3 2 2 2 6" xfId="23622" xr:uid="{00000000-0005-0000-0000-0000A95F0000}"/>
    <cellStyle name="Note 4 3 3 3 2 3 3 2 2 2 7" xfId="27456" xr:uid="{00000000-0005-0000-0000-0000AA5F0000}"/>
    <cellStyle name="Note 4 3 3 3 2 3 3 2 2 2 8" xfId="31320" xr:uid="{00000000-0005-0000-0000-0000AB5F0000}"/>
    <cellStyle name="Note 4 3 3 3 2 3 3 2 2 2 9" xfId="34977" xr:uid="{00000000-0005-0000-0000-0000AC5F0000}"/>
    <cellStyle name="Note 4 3 3 3 2 3 3 2 2 3" xfId="5655" xr:uid="{00000000-0005-0000-0000-0000AD5F0000}"/>
    <cellStyle name="Note 4 3 3 3 2 3 3 2 2 4" xfId="10013" xr:uid="{00000000-0005-0000-0000-0000AE5F0000}"/>
    <cellStyle name="Note 4 3 3 3 2 3 3 2 2 5" xfId="13859" xr:uid="{00000000-0005-0000-0000-0000AF5F0000}"/>
    <cellStyle name="Note 4 3 3 3 2 3 3 2 2 6" xfId="17688" xr:uid="{00000000-0005-0000-0000-0000B05F0000}"/>
    <cellStyle name="Note 4 3 3 3 2 3 3 2 2 7" xfId="21627" xr:uid="{00000000-0005-0000-0000-0000B15F0000}"/>
    <cellStyle name="Note 4 3 3 3 2 3 3 2 2 8" xfId="25440" xr:uid="{00000000-0005-0000-0000-0000B25F0000}"/>
    <cellStyle name="Note 4 3 3 3 2 3 3 2 2 9" xfId="29327" xr:uid="{00000000-0005-0000-0000-0000B35F0000}"/>
    <cellStyle name="Note 4 3 3 3 2 3 3 2 3" xfId="2983" xr:uid="{00000000-0005-0000-0000-0000B45F0000}"/>
    <cellStyle name="Note 4 3 3 3 2 3 3 2 3 10" xfId="38035" xr:uid="{00000000-0005-0000-0000-0000B55F0000}"/>
    <cellStyle name="Note 4 3 3 3 2 3 3 2 3 11" xfId="42047" xr:uid="{00000000-0005-0000-0000-0000B65F0000}"/>
    <cellStyle name="Note 4 3 3 3 2 3 3 2 3 12" xfId="45822" xr:uid="{00000000-0005-0000-0000-0000B75F0000}"/>
    <cellStyle name="Note 4 3 3 3 2 3 3 2 3 2" xfId="6861" xr:uid="{00000000-0005-0000-0000-0000B85F0000}"/>
    <cellStyle name="Note 4 3 3 3 2 3 3 2 3 3" xfId="11289" xr:uid="{00000000-0005-0000-0000-0000B95F0000}"/>
    <cellStyle name="Note 4 3 3 3 2 3 3 2 3 4" xfId="15134" xr:uid="{00000000-0005-0000-0000-0000BA5F0000}"/>
    <cellStyle name="Note 4 3 3 3 2 3 3 2 3 5" xfId="18977" xr:uid="{00000000-0005-0000-0000-0000BB5F0000}"/>
    <cellStyle name="Note 4 3 3 3 2 3 3 2 3 6" xfId="22901" xr:uid="{00000000-0005-0000-0000-0000BC5F0000}"/>
    <cellStyle name="Note 4 3 3 3 2 3 3 2 3 7" xfId="26728" xr:uid="{00000000-0005-0000-0000-0000BD5F0000}"/>
    <cellStyle name="Note 4 3 3 3 2 3 3 2 3 8" xfId="30602" xr:uid="{00000000-0005-0000-0000-0000BE5F0000}"/>
    <cellStyle name="Note 4 3 3 3 2 3 3 2 3 9" xfId="34260" xr:uid="{00000000-0005-0000-0000-0000BF5F0000}"/>
    <cellStyle name="Note 4 3 3 3 2 3 3 2 4" xfId="4937" xr:uid="{00000000-0005-0000-0000-0000C05F0000}"/>
    <cellStyle name="Note 4 3 3 3 2 3 3 2 5" xfId="9292" xr:uid="{00000000-0005-0000-0000-0000C15F0000}"/>
    <cellStyle name="Note 4 3 3 3 2 3 3 2 6" xfId="13133" xr:uid="{00000000-0005-0000-0000-0000C25F0000}"/>
    <cellStyle name="Note 4 3 3 3 2 3 3 2 7" xfId="16959" xr:uid="{00000000-0005-0000-0000-0000C35F0000}"/>
    <cellStyle name="Note 4 3 3 3 2 3 3 2 8" xfId="20901" xr:uid="{00000000-0005-0000-0000-0000C45F0000}"/>
    <cellStyle name="Note 4 3 3 3 2 3 3 2 9" xfId="24716" xr:uid="{00000000-0005-0000-0000-0000C55F0000}"/>
    <cellStyle name="Note 4 3 3 3 2 3 3 3" xfId="1369" xr:uid="{00000000-0005-0000-0000-0000C65F0000}"/>
    <cellStyle name="Note 4 3 3 3 2 3 3 3 10" xfId="32656" xr:uid="{00000000-0005-0000-0000-0000C75F0000}"/>
    <cellStyle name="Note 4 3 3 3 2 3 3 3 11" xfId="36426" xr:uid="{00000000-0005-0000-0000-0000C85F0000}"/>
    <cellStyle name="Note 4 3 3 3 2 3 3 3 12" xfId="40417" xr:uid="{00000000-0005-0000-0000-0000C95F0000}"/>
    <cellStyle name="Note 4 3 3 3 2 3 3 3 13" xfId="44248" xr:uid="{00000000-0005-0000-0000-0000CA5F0000}"/>
    <cellStyle name="Note 4 3 3 3 2 3 3 3 2" xfId="3359" xr:uid="{00000000-0005-0000-0000-0000CB5F0000}"/>
    <cellStyle name="Note 4 3 3 3 2 3 3 3 2 10" xfId="38410" xr:uid="{00000000-0005-0000-0000-0000CC5F0000}"/>
    <cellStyle name="Note 4 3 3 3 2 3 3 3 2 11" xfId="42421" xr:uid="{00000000-0005-0000-0000-0000CD5F0000}"/>
    <cellStyle name="Note 4 3 3 3 2 3 3 3 2 12" xfId="46186" xr:uid="{00000000-0005-0000-0000-0000CE5F0000}"/>
    <cellStyle name="Note 4 3 3 3 2 3 3 3 2 2" xfId="7226" xr:uid="{00000000-0005-0000-0000-0000CF5F0000}"/>
    <cellStyle name="Note 4 3 3 3 2 3 3 3 2 3" xfId="11661" xr:uid="{00000000-0005-0000-0000-0000D05F0000}"/>
    <cellStyle name="Note 4 3 3 3 2 3 3 3 2 4" xfId="15506" xr:uid="{00000000-0005-0000-0000-0000D15F0000}"/>
    <cellStyle name="Note 4 3 3 3 2 3 3 3 2 5" xfId="19353" xr:uid="{00000000-0005-0000-0000-0000D25F0000}"/>
    <cellStyle name="Note 4 3 3 3 2 3 3 3 2 6" xfId="23269" xr:uid="{00000000-0005-0000-0000-0000D35F0000}"/>
    <cellStyle name="Note 4 3 3 3 2 3 3 3 2 7" xfId="27103" xr:uid="{00000000-0005-0000-0000-0000D45F0000}"/>
    <cellStyle name="Note 4 3 3 3 2 3 3 3 2 8" xfId="30971" xr:uid="{00000000-0005-0000-0000-0000D55F0000}"/>
    <cellStyle name="Note 4 3 3 3 2 3 3 3 2 9" xfId="34624" xr:uid="{00000000-0005-0000-0000-0000D65F0000}"/>
    <cellStyle name="Note 4 3 3 3 2 3 3 3 3" xfId="5302" xr:uid="{00000000-0005-0000-0000-0000D75F0000}"/>
    <cellStyle name="Note 4 3 3 3 2 3 3 3 4" xfId="9660" xr:uid="{00000000-0005-0000-0000-0000D85F0000}"/>
    <cellStyle name="Note 4 3 3 3 2 3 3 3 5" xfId="13506" xr:uid="{00000000-0005-0000-0000-0000D95F0000}"/>
    <cellStyle name="Note 4 3 3 3 2 3 3 3 6" xfId="17335" xr:uid="{00000000-0005-0000-0000-0000DA5F0000}"/>
    <cellStyle name="Note 4 3 3 3 2 3 3 3 7" xfId="21274" xr:uid="{00000000-0005-0000-0000-0000DB5F0000}"/>
    <cellStyle name="Note 4 3 3 3 2 3 3 3 8" xfId="25087" xr:uid="{00000000-0005-0000-0000-0000DC5F0000}"/>
    <cellStyle name="Note 4 3 3 3 2 3 3 3 9" xfId="28974" xr:uid="{00000000-0005-0000-0000-0000DD5F0000}"/>
    <cellStyle name="Note 4 3 3 3 2 3 3 4" xfId="2616" xr:uid="{00000000-0005-0000-0000-0000DE5F0000}"/>
    <cellStyle name="Note 4 3 3 3 2 3 3 4 10" xfId="37668" xr:uid="{00000000-0005-0000-0000-0000DF5F0000}"/>
    <cellStyle name="Note 4 3 3 3 2 3 3 4 11" xfId="41682" xr:uid="{00000000-0005-0000-0000-0000E05F0000}"/>
    <cellStyle name="Note 4 3 3 3 2 3 3 4 12" xfId="45469" xr:uid="{00000000-0005-0000-0000-0000E15F0000}"/>
    <cellStyle name="Note 4 3 3 3 2 3 3 4 2" xfId="6506" xr:uid="{00000000-0005-0000-0000-0000E25F0000}"/>
    <cellStyle name="Note 4 3 3 3 2 3 3 4 3" xfId="10930" xr:uid="{00000000-0005-0000-0000-0000E35F0000}"/>
    <cellStyle name="Note 4 3 3 3 2 3 3 4 4" xfId="14774" xr:uid="{00000000-0005-0000-0000-0000E45F0000}"/>
    <cellStyle name="Note 4 3 3 3 2 3 3 4 5" xfId="18610" xr:uid="{00000000-0005-0000-0000-0000E55F0000}"/>
    <cellStyle name="Note 4 3 3 3 2 3 3 4 6" xfId="22543" xr:uid="{00000000-0005-0000-0000-0000E65F0000}"/>
    <cellStyle name="Note 4 3 3 3 2 3 3 4 7" xfId="26361" xr:uid="{00000000-0005-0000-0000-0000E75F0000}"/>
    <cellStyle name="Note 4 3 3 3 2 3 3 4 8" xfId="30240" xr:uid="{00000000-0005-0000-0000-0000E85F0000}"/>
    <cellStyle name="Note 4 3 3 3 2 3 3 4 9" xfId="33907" xr:uid="{00000000-0005-0000-0000-0000E95F0000}"/>
    <cellStyle name="Note 4 3 3 3 2 3 3 5" xfId="4582" xr:uid="{00000000-0005-0000-0000-0000EA5F0000}"/>
    <cellStyle name="Note 4 3 3 3 2 3 3 6" xfId="8922" xr:uid="{00000000-0005-0000-0000-0000EB5F0000}"/>
    <cellStyle name="Note 4 3 3 3 2 3 3 7" xfId="10388" xr:uid="{00000000-0005-0000-0000-0000EC5F0000}"/>
    <cellStyle name="Note 4 3 3 3 2 3 3 8" xfId="14232" xr:uid="{00000000-0005-0000-0000-0000ED5F0000}"/>
    <cellStyle name="Note 4 3 3 3 2 3 3 9" xfId="20526" xr:uid="{00000000-0005-0000-0000-0000EE5F0000}"/>
    <cellStyle name="Note 4 3 3 3 2 3 30" xfId="47349" xr:uid="{00000000-0005-0000-0000-0000EF5F0000}"/>
    <cellStyle name="Note 4 3 3 3 2 3 31" xfId="47437" xr:uid="{00000000-0005-0000-0000-0000F05F0000}"/>
    <cellStyle name="Note 4 3 3 3 2 3 32" xfId="47484" xr:uid="{00000000-0005-0000-0000-0000F15F0000}"/>
    <cellStyle name="Note 4 3 3 3 2 3 4" xfId="729" xr:uid="{00000000-0005-0000-0000-0000F25F0000}"/>
    <cellStyle name="Note 4 3 3 3 2 3 4 10" xfId="24462" xr:uid="{00000000-0005-0000-0000-0000F35F0000}"/>
    <cellStyle name="Note 4 3 3 3 2 3 4 11" xfId="28355" xr:uid="{00000000-0005-0000-0000-0000F45F0000}"/>
    <cellStyle name="Note 4 3 3 3 2 3 4 12" xfId="29690" xr:uid="{00000000-0005-0000-0000-0000F55F0000}"/>
    <cellStyle name="Note 4 3 3 3 2 3 4 13" xfId="35800" xr:uid="{00000000-0005-0000-0000-0000F65F0000}"/>
    <cellStyle name="Note 4 3 3 3 2 3 4 14" xfId="39821" xr:uid="{00000000-0005-0000-0000-0000F75F0000}"/>
    <cellStyle name="Note 4 3 3 3 2 3 4 15" xfId="43626" xr:uid="{00000000-0005-0000-0000-0000F85F0000}"/>
    <cellStyle name="Note 4 3 3 3 2 3 4 2" xfId="1108" xr:uid="{00000000-0005-0000-0000-0000F95F0000}"/>
    <cellStyle name="Note 4 3 3 3 2 3 4 2 10" xfId="28718" xr:uid="{00000000-0005-0000-0000-0000FA5F0000}"/>
    <cellStyle name="Note 4 3 3 3 2 3 4 2 11" xfId="32405" xr:uid="{00000000-0005-0000-0000-0000FB5F0000}"/>
    <cellStyle name="Note 4 3 3 3 2 3 4 2 12" xfId="36166" xr:uid="{00000000-0005-0000-0000-0000FC5F0000}"/>
    <cellStyle name="Note 4 3 3 3 2 3 4 2 13" xfId="40168" xr:uid="{00000000-0005-0000-0000-0000FD5F0000}"/>
    <cellStyle name="Note 4 3 3 3 2 3 4 2 14" xfId="43992" xr:uid="{00000000-0005-0000-0000-0000FE5F0000}"/>
    <cellStyle name="Note 4 3 3 3 2 3 4 2 2" xfId="1835" xr:uid="{00000000-0005-0000-0000-0000FF5F0000}"/>
    <cellStyle name="Note 4 3 3 3 2 3 4 2 2 10" xfId="33122" xr:uid="{00000000-0005-0000-0000-000000600000}"/>
    <cellStyle name="Note 4 3 3 3 2 3 4 2 2 11" xfId="36892" xr:uid="{00000000-0005-0000-0000-000001600000}"/>
    <cellStyle name="Note 4 3 3 3 2 3 4 2 2 12" xfId="40883" xr:uid="{00000000-0005-0000-0000-000002600000}"/>
    <cellStyle name="Note 4 3 3 3 2 3 4 2 2 13" xfId="44714" xr:uid="{00000000-0005-0000-0000-000003600000}"/>
    <cellStyle name="Note 4 3 3 3 2 3 4 2 2 2" xfId="3825" xr:uid="{00000000-0005-0000-0000-000004600000}"/>
    <cellStyle name="Note 4 3 3 3 2 3 4 2 2 2 10" xfId="38876" xr:uid="{00000000-0005-0000-0000-000005600000}"/>
    <cellStyle name="Note 4 3 3 3 2 3 4 2 2 2 11" xfId="42887" xr:uid="{00000000-0005-0000-0000-000006600000}"/>
    <cellStyle name="Note 4 3 3 3 2 3 4 2 2 2 12" xfId="46652" xr:uid="{00000000-0005-0000-0000-000007600000}"/>
    <cellStyle name="Note 4 3 3 3 2 3 4 2 2 2 2" xfId="7692" xr:uid="{00000000-0005-0000-0000-000008600000}"/>
    <cellStyle name="Note 4 3 3 3 2 3 4 2 2 2 3" xfId="12127" xr:uid="{00000000-0005-0000-0000-000009600000}"/>
    <cellStyle name="Note 4 3 3 3 2 3 4 2 2 2 4" xfId="15972" xr:uid="{00000000-0005-0000-0000-00000A600000}"/>
    <cellStyle name="Note 4 3 3 3 2 3 4 2 2 2 5" xfId="19819" xr:uid="{00000000-0005-0000-0000-00000B600000}"/>
    <cellStyle name="Note 4 3 3 3 2 3 4 2 2 2 6" xfId="23735" xr:uid="{00000000-0005-0000-0000-00000C600000}"/>
    <cellStyle name="Note 4 3 3 3 2 3 4 2 2 2 7" xfId="27569" xr:uid="{00000000-0005-0000-0000-00000D600000}"/>
    <cellStyle name="Note 4 3 3 3 2 3 4 2 2 2 8" xfId="31433" xr:uid="{00000000-0005-0000-0000-00000E600000}"/>
    <cellStyle name="Note 4 3 3 3 2 3 4 2 2 2 9" xfId="35090" xr:uid="{00000000-0005-0000-0000-00000F600000}"/>
    <cellStyle name="Note 4 3 3 3 2 3 4 2 2 3" xfId="5768" xr:uid="{00000000-0005-0000-0000-000010600000}"/>
    <cellStyle name="Note 4 3 3 3 2 3 4 2 2 4" xfId="10126" xr:uid="{00000000-0005-0000-0000-000011600000}"/>
    <cellStyle name="Note 4 3 3 3 2 3 4 2 2 5" xfId="13972" xr:uid="{00000000-0005-0000-0000-000012600000}"/>
    <cellStyle name="Note 4 3 3 3 2 3 4 2 2 6" xfId="17801" xr:uid="{00000000-0005-0000-0000-000013600000}"/>
    <cellStyle name="Note 4 3 3 3 2 3 4 2 2 7" xfId="21740" xr:uid="{00000000-0005-0000-0000-000014600000}"/>
    <cellStyle name="Note 4 3 3 3 2 3 4 2 2 8" xfId="25553" xr:uid="{00000000-0005-0000-0000-000015600000}"/>
    <cellStyle name="Note 4 3 3 3 2 3 4 2 2 9" xfId="29440" xr:uid="{00000000-0005-0000-0000-000016600000}"/>
    <cellStyle name="Note 4 3 3 3 2 3 4 2 3" xfId="3098" xr:uid="{00000000-0005-0000-0000-000017600000}"/>
    <cellStyle name="Note 4 3 3 3 2 3 4 2 3 10" xfId="38150" xr:uid="{00000000-0005-0000-0000-000018600000}"/>
    <cellStyle name="Note 4 3 3 3 2 3 4 2 3 11" xfId="42162" xr:uid="{00000000-0005-0000-0000-000019600000}"/>
    <cellStyle name="Note 4 3 3 3 2 3 4 2 3 12" xfId="45935" xr:uid="{00000000-0005-0000-0000-00001A600000}"/>
    <cellStyle name="Note 4 3 3 3 2 3 4 2 3 2" xfId="6974" xr:uid="{00000000-0005-0000-0000-00001B600000}"/>
    <cellStyle name="Note 4 3 3 3 2 3 4 2 3 3" xfId="11403" xr:uid="{00000000-0005-0000-0000-00001C600000}"/>
    <cellStyle name="Note 4 3 3 3 2 3 4 2 3 4" xfId="15247" xr:uid="{00000000-0005-0000-0000-00001D600000}"/>
    <cellStyle name="Note 4 3 3 3 2 3 4 2 3 5" xfId="19092" xr:uid="{00000000-0005-0000-0000-00001E600000}"/>
    <cellStyle name="Note 4 3 3 3 2 3 4 2 3 6" xfId="23014" xr:uid="{00000000-0005-0000-0000-00001F600000}"/>
    <cellStyle name="Note 4 3 3 3 2 3 4 2 3 7" xfId="26843" xr:uid="{00000000-0005-0000-0000-000020600000}"/>
    <cellStyle name="Note 4 3 3 3 2 3 4 2 3 8" xfId="30716" xr:uid="{00000000-0005-0000-0000-000021600000}"/>
    <cellStyle name="Note 4 3 3 3 2 3 4 2 3 9" xfId="34373" xr:uid="{00000000-0005-0000-0000-000022600000}"/>
    <cellStyle name="Note 4 3 3 3 2 3 4 2 4" xfId="5050" xr:uid="{00000000-0005-0000-0000-000023600000}"/>
    <cellStyle name="Note 4 3 3 3 2 3 4 2 5" xfId="9406" xr:uid="{00000000-0005-0000-0000-000024600000}"/>
    <cellStyle name="Note 4 3 3 3 2 3 4 2 6" xfId="13246" xr:uid="{00000000-0005-0000-0000-000025600000}"/>
    <cellStyle name="Note 4 3 3 3 2 3 4 2 7" xfId="17074" xr:uid="{00000000-0005-0000-0000-000026600000}"/>
    <cellStyle name="Note 4 3 3 3 2 3 4 2 8" xfId="21016" xr:uid="{00000000-0005-0000-0000-000027600000}"/>
    <cellStyle name="Note 4 3 3 3 2 3 4 2 9" xfId="24830" xr:uid="{00000000-0005-0000-0000-000028600000}"/>
    <cellStyle name="Note 4 3 3 3 2 3 4 3" xfId="1482" xr:uid="{00000000-0005-0000-0000-000029600000}"/>
    <cellStyle name="Note 4 3 3 3 2 3 4 3 10" xfId="32769" xr:uid="{00000000-0005-0000-0000-00002A600000}"/>
    <cellStyle name="Note 4 3 3 3 2 3 4 3 11" xfId="36539" xr:uid="{00000000-0005-0000-0000-00002B600000}"/>
    <cellStyle name="Note 4 3 3 3 2 3 4 3 12" xfId="40530" xr:uid="{00000000-0005-0000-0000-00002C600000}"/>
    <cellStyle name="Note 4 3 3 3 2 3 4 3 13" xfId="44361" xr:uid="{00000000-0005-0000-0000-00002D600000}"/>
    <cellStyle name="Note 4 3 3 3 2 3 4 3 2" xfId="3472" xr:uid="{00000000-0005-0000-0000-00002E600000}"/>
    <cellStyle name="Note 4 3 3 3 2 3 4 3 2 10" xfId="38523" xr:uid="{00000000-0005-0000-0000-00002F600000}"/>
    <cellStyle name="Note 4 3 3 3 2 3 4 3 2 11" xfId="42534" xr:uid="{00000000-0005-0000-0000-000030600000}"/>
    <cellStyle name="Note 4 3 3 3 2 3 4 3 2 12" xfId="46299" xr:uid="{00000000-0005-0000-0000-000031600000}"/>
    <cellStyle name="Note 4 3 3 3 2 3 4 3 2 2" xfId="7339" xr:uid="{00000000-0005-0000-0000-000032600000}"/>
    <cellStyle name="Note 4 3 3 3 2 3 4 3 2 3" xfId="11774" xr:uid="{00000000-0005-0000-0000-000033600000}"/>
    <cellStyle name="Note 4 3 3 3 2 3 4 3 2 4" xfId="15619" xr:uid="{00000000-0005-0000-0000-000034600000}"/>
    <cellStyle name="Note 4 3 3 3 2 3 4 3 2 5" xfId="19466" xr:uid="{00000000-0005-0000-0000-000035600000}"/>
    <cellStyle name="Note 4 3 3 3 2 3 4 3 2 6" xfId="23382" xr:uid="{00000000-0005-0000-0000-000036600000}"/>
    <cellStyle name="Note 4 3 3 3 2 3 4 3 2 7" xfId="27216" xr:uid="{00000000-0005-0000-0000-000037600000}"/>
    <cellStyle name="Note 4 3 3 3 2 3 4 3 2 8" xfId="31083" xr:uid="{00000000-0005-0000-0000-000038600000}"/>
    <cellStyle name="Note 4 3 3 3 2 3 4 3 2 9" xfId="34737" xr:uid="{00000000-0005-0000-0000-000039600000}"/>
    <cellStyle name="Note 4 3 3 3 2 3 4 3 3" xfId="5415" xr:uid="{00000000-0005-0000-0000-00003A600000}"/>
    <cellStyle name="Note 4 3 3 3 2 3 4 3 4" xfId="9773" xr:uid="{00000000-0005-0000-0000-00003B600000}"/>
    <cellStyle name="Note 4 3 3 3 2 3 4 3 5" xfId="13619" xr:uid="{00000000-0005-0000-0000-00003C600000}"/>
    <cellStyle name="Note 4 3 3 3 2 3 4 3 6" xfId="17448" xr:uid="{00000000-0005-0000-0000-00003D600000}"/>
    <cellStyle name="Note 4 3 3 3 2 3 4 3 7" xfId="21387" xr:uid="{00000000-0005-0000-0000-00003E600000}"/>
    <cellStyle name="Note 4 3 3 3 2 3 4 3 8" xfId="25200" xr:uid="{00000000-0005-0000-0000-00003F600000}"/>
    <cellStyle name="Note 4 3 3 3 2 3 4 3 9" xfId="29087" xr:uid="{00000000-0005-0000-0000-000040600000}"/>
    <cellStyle name="Note 4 3 3 3 2 3 4 4" xfId="2732" xr:uid="{00000000-0005-0000-0000-000041600000}"/>
    <cellStyle name="Note 4 3 3 3 2 3 4 4 10" xfId="37784" xr:uid="{00000000-0005-0000-0000-000042600000}"/>
    <cellStyle name="Note 4 3 3 3 2 3 4 4 11" xfId="41798" xr:uid="{00000000-0005-0000-0000-000043600000}"/>
    <cellStyle name="Note 4 3 3 3 2 3 4 4 12" xfId="45582" xr:uid="{00000000-0005-0000-0000-000044600000}"/>
    <cellStyle name="Note 4 3 3 3 2 3 4 4 2" xfId="6619" xr:uid="{00000000-0005-0000-0000-000045600000}"/>
    <cellStyle name="Note 4 3 3 3 2 3 4 4 3" xfId="11043" xr:uid="{00000000-0005-0000-0000-000046600000}"/>
    <cellStyle name="Note 4 3 3 3 2 3 4 4 4" xfId="14888" xr:uid="{00000000-0005-0000-0000-000047600000}"/>
    <cellStyle name="Note 4 3 3 3 2 3 4 4 5" xfId="18726" xr:uid="{00000000-0005-0000-0000-000048600000}"/>
    <cellStyle name="Note 4 3 3 3 2 3 4 4 6" xfId="22657" xr:uid="{00000000-0005-0000-0000-000049600000}"/>
    <cellStyle name="Note 4 3 3 3 2 3 4 4 7" xfId="26477" xr:uid="{00000000-0005-0000-0000-00004A600000}"/>
    <cellStyle name="Note 4 3 3 3 2 3 4 4 8" xfId="30356" xr:uid="{00000000-0005-0000-0000-00004B600000}"/>
    <cellStyle name="Note 4 3 3 3 2 3 4 4 9" xfId="34020" xr:uid="{00000000-0005-0000-0000-00004C600000}"/>
    <cellStyle name="Note 4 3 3 3 2 3 4 5" xfId="4695" xr:uid="{00000000-0005-0000-0000-00004D600000}"/>
    <cellStyle name="Note 4 3 3 3 2 3 4 6" xfId="9037" xr:uid="{00000000-0005-0000-0000-00004E600000}"/>
    <cellStyle name="Note 4 3 3 3 2 3 4 7" xfId="12875" xr:uid="{00000000-0005-0000-0000-00004F600000}"/>
    <cellStyle name="Note 4 3 3 3 2 3 4 8" xfId="16705" xr:uid="{00000000-0005-0000-0000-000050600000}"/>
    <cellStyle name="Note 4 3 3 3 2 3 4 9" xfId="20642" xr:uid="{00000000-0005-0000-0000-000051600000}"/>
    <cellStyle name="Note 4 3 3 3 2 3 5" xfId="874" xr:uid="{00000000-0005-0000-0000-000052600000}"/>
    <cellStyle name="Note 4 3 3 3 2 3 5 10" xfId="24598" xr:uid="{00000000-0005-0000-0000-000053600000}"/>
    <cellStyle name="Note 4 3 3 3 2 3 5 11" xfId="28488" xr:uid="{00000000-0005-0000-0000-000054600000}"/>
    <cellStyle name="Note 4 3 3 3 2 3 5 12" xfId="32175" xr:uid="{00000000-0005-0000-0000-000055600000}"/>
    <cellStyle name="Note 4 3 3 3 2 3 5 13" xfId="35932" xr:uid="{00000000-0005-0000-0000-000056600000}"/>
    <cellStyle name="Note 4 3 3 3 2 3 5 14" xfId="39942" xr:uid="{00000000-0005-0000-0000-000057600000}"/>
    <cellStyle name="Note 4 3 3 3 2 3 5 15" xfId="43758" xr:uid="{00000000-0005-0000-0000-000058600000}"/>
    <cellStyle name="Note 4 3 3 3 2 3 5 2" xfId="1211" xr:uid="{00000000-0005-0000-0000-000059600000}"/>
    <cellStyle name="Note 4 3 3 3 2 3 5 2 10" xfId="28819" xr:uid="{00000000-0005-0000-0000-00005A600000}"/>
    <cellStyle name="Note 4 3 3 3 2 3 5 2 11" xfId="32503" xr:uid="{00000000-0005-0000-0000-00005B600000}"/>
    <cellStyle name="Note 4 3 3 3 2 3 5 2 12" xfId="36269" xr:uid="{00000000-0005-0000-0000-00005C600000}"/>
    <cellStyle name="Note 4 3 3 3 2 3 5 2 13" xfId="40262" xr:uid="{00000000-0005-0000-0000-00005D600000}"/>
    <cellStyle name="Note 4 3 3 3 2 3 5 2 14" xfId="44095" xr:uid="{00000000-0005-0000-0000-00005E600000}"/>
    <cellStyle name="Note 4 3 3 3 2 3 5 2 2" xfId="1933" xr:uid="{00000000-0005-0000-0000-00005F600000}"/>
    <cellStyle name="Note 4 3 3 3 2 3 5 2 2 10" xfId="33220" xr:uid="{00000000-0005-0000-0000-000060600000}"/>
    <cellStyle name="Note 4 3 3 3 2 3 5 2 2 11" xfId="36990" xr:uid="{00000000-0005-0000-0000-000061600000}"/>
    <cellStyle name="Note 4 3 3 3 2 3 5 2 2 12" xfId="40981" xr:uid="{00000000-0005-0000-0000-000062600000}"/>
    <cellStyle name="Note 4 3 3 3 2 3 5 2 2 13" xfId="44812" xr:uid="{00000000-0005-0000-0000-000063600000}"/>
    <cellStyle name="Note 4 3 3 3 2 3 5 2 2 2" xfId="3923" xr:uid="{00000000-0005-0000-0000-000064600000}"/>
    <cellStyle name="Note 4 3 3 3 2 3 5 2 2 2 10" xfId="38974" xr:uid="{00000000-0005-0000-0000-000065600000}"/>
    <cellStyle name="Note 4 3 3 3 2 3 5 2 2 2 11" xfId="42985" xr:uid="{00000000-0005-0000-0000-000066600000}"/>
    <cellStyle name="Note 4 3 3 3 2 3 5 2 2 2 12" xfId="46750" xr:uid="{00000000-0005-0000-0000-000067600000}"/>
    <cellStyle name="Note 4 3 3 3 2 3 5 2 2 2 2" xfId="7790" xr:uid="{00000000-0005-0000-0000-000068600000}"/>
    <cellStyle name="Note 4 3 3 3 2 3 5 2 2 2 3" xfId="12225" xr:uid="{00000000-0005-0000-0000-000069600000}"/>
    <cellStyle name="Note 4 3 3 3 2 3 5 2 2 2 4" xfId="16070" xr:uid="{00000000-0005-0000-0000-00006A600000}"/>
    <cellStyle name="Note 4 3 3 3 2 3 5 2 2 2 5" xfId="19917" xr:uid="{00000000-0005-0000-0000-00006B600000}"/>
    <cellStyle name="Note 4 3 3 3 2 3 5 2 2 2 6" xfId="23833" xr:uid="{00000000-0005-0000-0000-00006C600000}"/>
    <cellStyle name="Note 4 3 3 3 2 3 5 2 2 2 7" xfId="27667" xr:uid="{00000000-0005-0000-0000-00006D600000}"/>
    <cellStyle name="Note 4 3 3 3 2 3 5 2 2 2 8" xfId="31528" xr:uid="{00000000-0005-0000-0000-00006E600000}"/>
    <cellStyle name="Note 4 3 3 3 2 3 5 2 2 2 9" xfId="35188" xr:uid="{00000000-0005-0000-0000-00006F600000}"/>
    <cellStyle name="Note 4 3 3 3 2 3 5 2 2 3" xfId="5866" xr:uid="{00000000-0005-0000-0000-000070600000}"/>
    <cellStyle name="Note 4 3 3 3 2 3 5 2 2 4" xfId="10224" xr:uid="{00000000-0005-0000-0000-000071600000}"/>
    <cellStyle name="Note 4 3 3 3 2 3 5 2 2 5" xfId="14070" xr:uid="{00000000-0005-0000-0000-000072600000}"/>
    <cellStyle name="Note 4 3 3 3 2 3 5 2 2 6" xfId="17899" xr:uid="{00000000-0005-0000-0000-000073600000}"/>
    <cellStyle name="Note 4 3 3 3 2 3 5 2 2 7" xfId="21838" xr:uid="{00000000-0005-0000-0000-000074600000}"/>
    <cellStyle name="Note 4 3 3 3 2 3 5 2 2 8" xfId="25651" xr:uid="{00000000-0005-0000-0000-000075600000}"/>
    <cellStyle name="Note 4 3 3 3 2 3 5 2 2 9" xfId="29538" xr:uid="{00000000-0005-0000-0000-000076600000}"/>
    <cellStyle name="Note 4 3 3 3 2 3 5 2 3" xfId="3201" xr:uid="{00000000-0005-0000-0000-000077600000}"/>
    <cellStyle name="Note 4 3 3 3 2 3 5 2 3 10" xfId="38253" xr:uid="{00000000-0005-0000-0000-000078600000}"/>
    <cellStyle name="Note 4 3 3 3 2 3 5 2 3 11" xfId="42264" xr:uid="{00000000-0005-0000-0000-000079600000}"/>
    <cellStyle name="Note 4 3 3 3 2 3 5 2 3 12" xfId="46033" xr:uid="{00000000-0005-0000-0000-00007A600000}"/>
    <cellStyle name="Note 4 3 3 3 2 3 5 2 3 2" xfId="7073" xr:uid="{00000000-0005-0000-0000-00007B600000}"/>
    <cellStyle name="Note 4 3 3 3 2 3 5 2 3 3" xfId="11505" xr:uid="{00000000-0005-0000-0000-00007C600000}"/>
    <cellStyle name="Note 4 3 3 3 2 3 5 2 3 4" xfId="15349" xr:uid="{00000000-0005-0000-0000-00007D600000}"/>
    <cellStyle name="Note 4 3 3 3 2 3 5 2 3 5" xfId="19195" xr:uid="{00000000-0005-0000-0000-00007E600000}"/>
    <cellStyle name="Note 4 3 3 3 2 3 5 2 3 6" xfId="23114" xr:uid="{00000000-0005-0000-0000-00007F600000}"/>
    <cellStyle name="Note 4 3 3 3 2 3 5 2 3 7" xfId="26946" xr:uid="{00000000-0005-0000-0000-000080600000}"/>
    <cellStyle name="Note 4 3 3 3 2 3 5 2 3 8" xfId="30816" xr:uid="{00000000-0005-0000-0000-000081600000}"/>
    <cellStyle name="Note 4 3 3 3 2 3 5 2 3 9" xfId="34471" xr:uid="{00000000-0005-0000-0000-000082600000}"/>
    <cellStyle name="Note 4 3 3 3 2 3 5 2 4" xfId="5149" xr:uid="{00000000-0005-0000-0000-000083600000}"/>
    <cellStyle name="Note 4 3 3 3 2 3 5 2 5" xfId="9505" xr:uid="{00000000-0005-0000-0000-000084600000}"/>
    <cellStyle name="Note 4 3 3 3 2 3 5 2 6" xfId="13349" xr:uid="{00000000-0005-0000-0000-000085600000}"/>
    <cellStyle name="Note 4 3 3 3 2 3 5 2 7" xfId="17177" xr:uid="{00000000-0005-0000-0000-000086600000}"/>
    <cellStyle name="Note 4 3 3 3 2 3 5 2 8" xfId="21119" xr:uid="{00000000-0005-0000-0000-000087600000}"/>
    <cellStyle name="Note 4 3 3 3 2 3 5 2 9" xfId="24930" xr:uid="{00000000-0005-0000-0000-000088600000}"/>
    <cellStyle name="Note 4 3 3 3 2 3 5 3" xfId="1605" xr:uid="{00000000-0005-0000-0000-000089600000}"/>
    <cellStyle name="Note 4 3 3 3 2 3 5 3 10" xfId="32892" xr:uid="{00000000-0005-0000-0000-00008A600000}"/>
    <cellStyle name="Note 4 3 3 3 2 3 5 3 11" xfId="36662" xr:uid="{00000000-0005-0000-0000-00008B600000}"/>
    <cellStyle name="Note 4 3 3 3 2 3 5 3 12" xfId="40653" xr:uid="{00000000-0005-0000-0000-00008C600000}"/>
    <cellStyle name="Note 4 3 3 3 2 3 5 3 13" xfId="44484" xr:uid="{00000000-0005-0000-0000-00008D600000}"/>
    <cellStyle name="Note 4 3 3 3 2 3 5 3 2" xfId="3595" xr:uid="{00000000-0005-0000-0000-00008E600000}"/>
    <cellStyle name="Note 4 3 3 3 2 3 5 3 2 10" xfId="38646" xr:uid="{00000000-0005-0000-0000-00008F600000}"/>
    <cellStyle name="Note 4 3 3 3 2 3 5 3 2 11" xfId="42657" xr:uid="{00000000-0005-0000-0000-000090600000}"/>
    <cellStyle name="Note 4 3 3 3 2 3 5 3 2 12" xfId="46422" xr:uid="{00000000-0005-0000-0000-000091600000}"/>
    <cellStyle name="Note 4 3 3 3 2 3 5 3 2 2" xfId="7462" xr:uid="{00000000-0005-0000-0000-000092600000}"/>
    <cellStyle name="Note 4 3 3 3 2 3 5 3 2 3" xfId="11897" xr:uid="{00000000-0005-0000-0000-000093600000}"/>
    <cellStyle name="Note 4 3 3 3 2 3 5 3 2 4" xfId="15742" xr:uid="{00000000-0005-0000-0000-000094600000}"/>
    <cellStyle name="Note 4 3 3 3 2 3 5 3 2 5" xfId="19589" xr:uid="{00000000-0005-0000-0000-000095600000}"/>
    <cellStyle name="Note 4 3 3 3 2 3 5 3 2 6" xfId="23505" xr:uid="{00000000-0005-0000-0000-000096600000}"/>
    <cellStyle name="Note 4 3 3 3 2 3 5 3 2 7" xfId="27339" xr:uid="{00000000-0005-0000-0000-000097600000}"/>
    <cellStyle name="Note 4 3 3 3 2 3 5 3 2 8" xfId="31204" xr:uid="{00000000-0005-0000-0000-000098600000}"/>
    <cellStyle name="Note 4 3 3 3 2 3 5 3 2 9" xfId="34860" xr:uid="{00000000-0005-0000-0000-000099600000}"/>
    <cellStyle name="Note 4 3 3 3 2 3 5 3 3" xfId="5538" xr:uid="{00000000-0005-0000-0000-00009A600000}"/>
    <cellStyle name="Note 4 3 3 3 2 3 5 3 4" xfId="9896" xr:uid="{00000000-0005-0000-0000-00009B600000}"/>
    <cellStyle name="Note 4 3 3 3 2 3 5 3 5" xfId="13742" xr:uid="{00000000-0005-0000-0000-00009C600000}"/>
    <cellStyle name="Note 4 3 3 3 2 3 5 3 6" xfId="17571" xr:uid="{00000000-0005-0000-0000-00009D600000}"/>
    <cellStyle name="Note 4 3 3 3 2 3 5 3 7" xfId="21510" xr:uid="{00000000-0005-0000-0000-00009E600000}"/>
    <cellStyle name="Note 4 3 3 3 2 3 5 3 8" xfId="25323" xr:uid="{00000000-0005-0000-0000-00009F600000}"/>
    <cellStyle name="Note 4 3 3 3 2 3 5 3 9" xfId="29210" xr:uid="{00000000-0005-0000-0000-0000A0600000}"/>
    <cellStyle name="Note 4 3 3 3 2 3 5 4" xfId="2864" xr:uid="{00000000-0005-0000-0000-0000A1600000}"/>
    <cellStyle name="Note 4 3 3 3 2 3 5 4 10" xfId="37916" xr:uid="{00000000-0005-0000-0000-0000A2600000}"/>
    <cellStyle name="Note 4 3 3 3 2 3 5 4 11" xfId="41928" xr:uid="{00000000-0005-0000-0000-0000A3600000}"/>
    <cellStyle name="Note 4 3 3 3 2 3 5 4 12" xfId="45705" xr:uid="{00000000-0005-0000-0000-0000A4600000}"/>
    <cellStyle name="Note 4 3 3 3 2 3 5 4 2" xfId="6744" xr:uid="{00000000-0005-0000-0000-0000A5600000}"/>
    <cellStyle name="Note 4 3 3 3 2 3 5 4 3" xfId="11171" xr:uid="{00000000-0005-0000-0000-0000A6600000}"/>
    <cellStyle name="Note 4 3 3 3 2 3 5 4 4" xfId="15016" xr:uid="{00000000-0005-0000-0000-0000A7600000}"/>
    <cellStyle name="Note 4 3 3 3 2 3 5 4 5" xfId="18858" xr:uid="{00000000-0005-0000-0000-0000A8600000}"/>
    <cellStyle name="Note 4 3 3 3 2 3 5 4 6" xfId="22784" xr:uid="{00000000-0005-0000-0000-0000A9600000}"/>
    <cellStyle name="Note 4 3 3 3 2 3 5 4 7" xfId="26609" xr:uid="{00000000-0005-0000-0000-0000AA600000}"/>
    <cellStyle name="Note 4 3 3 3 2 3 5 4 8" xfId="30485" xr:uid="{00000000-0005-0000-0000-0000AB600000}"/>
    <cellStyle name="Note 4 3 3 3 2 3 5 4 9" xfId="34143" xr:uid="{00000000-0005-0000-0000-0000AC600000}"/>
    <cellStyle name="Note 4 3 3 3 2 3 5 5" xfId="4820" xr:uid="{00000000-0005-0000-0000-0000AD600000}"/>
    <cellStyle name="Note 4 3 3 3 2 3 5 6" xfId="9174" xr:uid="{00000000-0005-0000-0000-0000AE600000}"/>
    <cellStyle name="Note 4 3 3 3 2 3 5 7" xfId="13015" xr:uid="{00000000-0005-0000-0000-0000AF600000}"/>
    <cellStyle name="Note 4 3 3 3 2 3 5 8" xfId="16840" xr:uid="{00000000-0005-0000-0000-0000B0600000}"/>
    <cellStyle name="Note 4 3 3 3 2 3 5 9" xfId="20782" xr:uid="{00000000-0005-0000-0000-0000B1600000}"/>
    <cellStyle name="Note 4 3 3 3 2 3 6" xfId="920" xr:uid="{00000000-0005-0000-0000-0000B2600000}"/>
    <cellStyle name="Note 4 3 3 3 2 3 6 10" xfId="28532" xr:uid="{00000000-0005-0000-0000-0000B3600000}"/>
    <cellStyle name="Note 4 3 3 3 2 3 6 11" xfId="32221" xr:uid="{00000000-0005-0000-0000-0000B4600000}"/>
    <cellStyle name="Note 4 3 3 3 2 3 6 12" xfId="35978" xr:uid="{00000000-0005-0000-0000-0000B5600000}"/>
    <cellStyle name="Note 4 3 3 3 2 3 6 13" xfId="39986" xr:uid="{00000000-0005-0000-0000-0000B6600000}"/>
    <cellStyle name="Note 4 3 3 3 2 3 6 14" xfId="43804" xr:uid="{00000000-0005-0000-0000-0000B7600000}"/>
    <cellStyle name="Note 4 3 3 3 2 3 6 2" xfId="1651" xr:uid="{00000000-0005-0000-0000-0000B8600000}"/>
    <cellStyle name="Note 4 3 3 3 2 3 6 2 10" xfId="32938" xr:uid="{00000000-0005-0000-0000-0000B9600000}"/>
    <cellStyle name="Note 4 3 3 3 2 3 6 2 11" xfId="36708" xr:uid="{00000000-0005-0000-0000-0000BA600000}"/>
    <cellStyle name="Note 4 3 3 3 2 3 6 2 12" xfId="40699" xr:uid="{00000000-0005-0000-0000-0000BB600000}"/>
    <cellStyle name="Note 4 3 3 3 2 3 6 2 13" xfId="44530" xr:uid="{00000000-0005-0000-0000-0000BC600000}"/>
    <cellStyle name="Note 4 3 3 3 2 3 6 2 2" xfId="3641" xr:uid="{00000000-0005-0000-0000-0000BD600000}"/>
    <cellStyle name="Note 4 3 3 3 2 3 6 2 2 10" xfId="38692" xr:uid="{00000000-0005-0000-0000-0000BE600000}"/>
    <cellStyle name="Note 4 3 3 3 2 3 6 2 2 11" xfId="42703" xr:uid="{00000000-0005-0000-0000-0000BF600000}"/>
    <cellStyle name="Note 4 3 3 3 2 3 6 2 2 12" xfId="46468" xr:uid="{00000000-0005-0000-0000-0000C0600000}"/>
    <cellStyle name="Note 4 3 3 3 2 3 6 2 2 2" xfId="7508" xr:uid="{00000000-0005-0000-0000-0000C1600000}"/>
    <cellStyle name="Note 4 3 3 3 2 3 6 2 2 3" xfId="11943" xr:uid="{00000000-0005-0000-0000-0000C2600000}"/>
    <cellStyle name="Note 4 3 3 3 2 3 6 2 2 4" xfId="15788" xr:uid="{00000000-0005-0000-0000-0000C3600000}"/>
    <cellStyle name="Note 4 3 3 3 2 3 6 2 2 5" xfId="19635" xr:uid="{00000000-0005-0000-0000-0000C4600000}"/>
    <cellStyle name="Note 4 3 3 3 2 3 6 2 2 6" xfId="23551" xr:uid="{00000000-0005-0000-0000-0000C5600000}"/>
    <cellStyle name="Note 4 3 3 3 2 3 6 2 2 7" xfId="27385" xr:uid="{00000000-0005-0000-0000-0000C6600000}"/>
    <cellStyle name="Note 4 3 3 3 2 3 6 2 2 8" xfId="31249" xr:uid="{00000000-0005-0000-0000-0000C7600000}"/>
    <cellStyle name="Note 4 3 3 3 2 3 6 2 2 9" xfId="34906" xr:uid="{00000000-0005-0000-0000-0000C8600000}"/>
    <cellStyle name="Note 4 3 3 3 2 3 6 2 3" xfId="5584" xr:uid="{00000000-0005-0000-0000-0000C9600000}"/>
    <cellStyle name="Note 4 3 3 3 2 3 6 2 4" xfId="9942" xr:uid="{00000000-0005-0000-0000-0000CA600000}"/>
    <cellStyle name="Note 4 3 3 3 2 3 6 2 5" xfId="13788" xr:uid="{00000000-0005-0000-0000-0000CB600000}"/>
    <cellStyle name="Note 4 3 3 3 2 3 6 2 6" xfId="17617" xr:uid="{00000000-0005-0000-0000-0000CC600000}"/>
    <cellStyle name="Note 4 3 3 3 2 3 6 2 7" xfId="21556" xr:uid="{00000000-0005-0000-0000-0000CD600000}"/>
    <cellStyle name="Note 4 3 3 3 2 3 6 2 8" xfId="25369" xr:uid="{00000000-0005-0000-0000-0000CE600000}"/>
    <cellStyle name="Note 4 3 3 3 2 3 6 2 9" xfId="29256" xr:uid="{00000000-0005-0000-0000-0000CF600000}"/>
    <cellStyle name="Note 4 3 3 3 2 3 6 3" xfId="2910" xr:uid="{00000000-0005-0000-0000-0000D0600000}"/>
    <cellStyle name="Note 4 3 3 3 2 3 6 3 10" xfId="37962" xr:uid="{00000000-0005-0000-0000-0000D1600000}"/>
    <cellStyle name="Note 4 3 3 3 2 3 6 3 11" xfId="41974" xr:uid="{00000000-0005-0000-0000-0000D2600000}"/>
    <cellStyle name="Note 4 3 3 3 2 3 6 3 12" xfId="45751" xr:uid="{00000000-0005-0000-0000-0000D3600000}"/>
    <cellStyle name="Note 4 3 3 3 2 3 6 3 2" xfId="6790" xr:uid="{00000000-0005-0000-0000-0000D4600000}"/>
    <cellStyle name="Note 4 3 3 3 2 3 6 3 3" xfId="11217" xr:uid="{00000000-0005-0000-0000-0000D5600000}"/>
    <cellStyle name="Note 4 3 3 3 2 3 6 3 4" xfId="15062" xr:uid="{00000000-0005-0000-0000-0000D6600000}"/>
    <cellStyle name="Note 4 3 3 3 2 3 6 3 5" xfId="18904" xr:uid="{00000000-0005-0000-0000-0000D7600000}"/>
    <cellStyle name="Note 4 3 3 3 2 3 6 3 6" xfId="22830" xr:uid="{00000000-0005-0000-0000-0000D8600000}"/>
    <cellStyle name="Note 4 3 3 3 2 3 6 3 7" xfId="26655" xr:uid="{00000000-0005-0000-0000-0000D9600000}"/>
    <cellStyle name="Note 4 3 3 3 2 3 6 3 8" xfId="30530" xr:uid="{00000000-0005-0000-0000-0000DA600000}"/>
    <cellStyle name="Note 4 3 3 3 2 3 6 3 9" xfId="34189" xr:uid="{00000000-0005-0000-0000-0000DB600000}"/>
    <cellStyle name="Note 4 3 3 3 2 3 6 4" xfId="4866" xr:uid="{00000000-0005-0000-0000-0000DC600000}"/>
    <cellStyle name="Note 4 3 3 3 2 3 6 5" xfId="9220" xr:uid="{00000000-0005-0000-0000-0000DD600000}"/>
    <cellStyle name="Note 4 3 3 3 2 3 6 6" xfId="13061" xr:uid="{00000000-0005-0000-0000-0000DE600000}"/>
    <cellStyle name="Note 4 3 3 3 2 3 6 7" xfId="16886" xr:uid="{00000000-0005-0000-0000-0000DF600000}"/>
    <cellStyle name="Note 4 3 3 3 2 3 6 8" xfId="20828" xr:uid="{00000000-0005-0000-0000-0000E0600000}"/>
    <cellStyle name="Note 4 3 3 3 2 3 6 9" xfId="24644" xr:uid="{00000000-0005-0000-0000-0000E1600000}"/>
    <cellStyle name="Note 4 3 3 3 2 3 7" xfId="1298" xr:uid="{00000000-0005-0000-0000-0000E2600000}"/>
    <cellStyle name="Note 4 3 3 3 2 3 7 10" xfId="32585" xr:uid="{00000000-0005-0000-0000-0000E3600000}"/>
    <cellStyle name="Note 4 3 3 3 2 3 7 11" xfId="36355" xr:uid="{00000000-0005-0000-0000-0000E4600000}"/>
    <cellStyle name="Note 4 3 3 3 2 3 7 12" xfId="40346" xr:uid="{00000000-0005-0000-0000-0000E5600000}"/>
    <cellStyle name="Note 4 3 3 3 2 3 7 13" xfId="44177" xr:uid="{00000000-0005-0000-0000-0000E6600000}"/>
    <cellStyle name="Note 4 3 3 3 2 3 7 2" xfId="3288" xr:uid="{00000000-0005-0000-0000-0000E7600000}"/>
    <cellStyle name="Note 4 3 3 3 2 3 7 2 10" xfId="38339" xr:uid="{00000000-0005-0000-0000-0000E8600000}"/>
    <cellStyle name="Note 4 3 3 3 2 3 7 2 11" xfId="42350" xr:uid="{00000000-0005-0000-0000-0000E9600000}"/>
    <cellStyle name="Note 4 3 3 3 2 3 7 2 12" xfId="46115" xr:uid="{00000000-0005-0000-0000-0000EA600000}"/>
    <cellStyle name="Note 4 3 3 3 2 3 7 2 2" xfId="7155" xr:uid="{00000000-0005-0000-0000-0000EB600000}"/>
    <cellStyle name="Note 4 3 3 3 2 3 7 2 3" xfId="11590" xr:uid="{00000000-0005-0000-0000-0000EC600000}"/>
    <cellStyle name="Note 4 3 3 3 2 3 7 2 4" xfId="15435" xr:uid="{00000000-0005-0000-0000-0000ED600000}"/>
    <cellStyle name="Note 4 3 3 3 2 3 7 2 5" xfId="19282" xr:uid="{00000000-0005-0000-0000-0000EE600000}"/>
    <cellStyle name="Note 4 3 3 3 2 3 7 2 6" xfId="23198" xr:uid="{00000000-0005-0000-0000-0000EF600000}"/>
    <cellStyle name="Note 4 3 3 3 2 3 7 2 7" xfId="27032" xr:uid="{00000000-0005-0000-0000-0000F0600000}"/>
    <cellStyle name="Note 4 3 3 3 2 3 7 2 8" xfId="30901" xr:uid="{00000000-0005-0000-0000-0000F1600000}"/>
    <cellStyle name="Note 4 3 3 3 2 3 7 2 9" xfId="34553" xr:uid="{00000000-0005-0000-0000-0000F2600000}"/>
    <cellStyle name="Note 4 3 3 3 2 3 7 3" xfId="5231" xr:uid="{00000000-0005-0000-0000-0000F3600000}"/>
    <cellStyle name="Note 4 3 3 3 2 3 7 4" xfId="9589" xr:uid="{00000000-0005-0000-0000-0000F4600000}"/>
    <cellStyle name="Note 4 3 3 3 2 3 7 5" xfId="13435" xr:uid="{00000000-0005-0000-0000-0000F5600000}"/>
    <cellStyle name="Note 4 3 3 3 2 3 7 6" xfId="17264" xr:uid="{00000000-0005-0000-0000-0000F6600000}"/>
    <cellStyle name="Note 4 3 3 3 2 3 7 7" xfId="21203" xr:uid="{00000000-0005-0000-0000-0000F7600000}"/>
    <cellStyle name="Note 4 3 3 3 2 3 7 8" xfId="25016" xr:uid="{00000000-0005-0000-0000-0000F8600000}"/>
    <cellStyle name="Note 4 3 3 3 2 3 7 9" xfId="28903" xr:uid="{00000000-0005-0000-0000-0000F9600000}"/>
    <cellStyle name="Note 4 3 3 3 2 3 8" xfId="1993" xr:uid="{00000000-0005-0000-0000-0000FA600000}"/>
    <cellStyle name="Note 4 3 3 3 2 3 8 10" xfId="33280" xr:uid="{00000000-0005-0000-0000-0000FB600000}"/>
    <cellStyle name="Note 4 3 3 3 2 3 8 11" xfId="37049" xr:uid="{00000000-0005-0000-0000-0000FC600000}"/>
    <cellStyle name="Note 4 3 3 3 2 3 8 12" xfId="41041" xr:uid="{00000000-0005-0000-0000-0000FD600000}"/>
    <cellStyle name="Note 4 3 3 3 2 3 8 13" xfId="44871" xr:uid="{00000000-0005-0000-0000-0000FE600000}"/>
    <cellStyle name="Note 4 3 3 3 2 3 8 2" xfId="3982" xr:uid="{00000000-0005-0000-0000-0000FF600000}"/>
    <cellStyle name="Note 4 3 3 3 2 3 8 2 10" xfId="39033" xr:uid="{00000000-0005-0000-0000-000000610000}"/>
    <cellStyle name="Note 4 3 3 3 2 3 8 2 11" xfId="43044" xr:uid="{00000000-0005-0000-0000-000001610000}"/>
    <cellStyle name="Note 4 3 3 3 2 3 8 2 12" xfId="46809" xr:uid="{00000000-0005-0000-0000-000002610000}"/>
    <cellStyle name="Note 4 3 3 3 2 3 8 2 2" xfId="7849" xr:uid="{00000000-0005-0000-0000-000003610000}"/>
    <cellStyle name="Note 4 3 3 3 2 3 8 2 3" xfId="12284" xr:uid="{00000000-0005-0000-0000-000004610000}"/>
    <cellStyle name="Note 4 3 3 3 2 3 8 2 4" xfId="16129" xr:uid="{00000000-0005-0000-0000-000005610000}"/>
    <cellStyle name="Note 4 3 3 3 2 3 8 2 5" xfId="19976" xr:uid="{00000000-0005-0000-0000-000006610000}"/>
    <cellStyle name="Note 4 3 3 3 2 3 8 2 6" xfId="23892" xr:uid="{00000000-0005-0000-0000-000007610000}"/>
    <cellStyle name="Note 4 3 3 3 2 3 8 2 7" xfId="27726" xr:uid="{00000000-0005-0000-0000-000008610000}"/>
    <cellStyle name="Note 4 3 3 3 2 3 8 2 8" xfId="31586" xr:uid="{00000000-0005-0000-0000-000009610000}"/>
    <cellStyle name="Note 4 3 3 3 2 3 8 2 9" xfId="35247" xr:uid="{00000000-0005-0000-0000-00000A610000}"/>
    <cellStyle name="Note 4 3 3 3 2 3 8 3" xfId="5925" xr:uid="{00000000-0005-0000-0000-00000B610000}"/>
    <cellStyle name="Note 4 3 3 3 2 3 8 4" xfId="10283" xr:uid="{00000000-0005-0000-0000-00000C610000}"/>
    <cellStyle name="Note 4 3 3 3 2 3 8 5" xfId="14130" xr:uid="{00000000-0005-0000-0000-00000D610000}"/>
    <cellStyle name="Note 4 3 3 3 2 3 8 6" xfId="17959" xr:uid="{00000000-0005-0000-0000-00000E610000}"/>
    <cellStyle name="Note 4 3 3 3 2 3 8 7" xfId="21898" xr:uid="{00000000-0005-0000-0000-00000F610000}"/>
    <cellStyle name="Note 4 3 3 3 2 3 8 8" xfId="25711" xr:uid="{00000000-0005-0000-0000-000010610000}"/>
    <cellStyle name="Note 4 3 3 3 2 3 8 9" xfId="29598" xr:uid="{00000000-0005-0000-0000-000011610000}"/>
    <cellStyle name="Note 4 3 3 3 2 3 9" xfId="2040" xr:uid="{00000000-0005-0000-0000-000012610000}"/>
    <cellStyle name="Note 4 3 3 3 2 3 9 10" xfId="33324" xr:uid="{00000000-0005-0000-0000-000013610000}"/>
    <cellStyle name="Note 4 3 3 3 2 3 9 11" xfId="37096" xr:uid="{00000000-0005-0000-0000-000014610000}"/>
    <cellStyle name="Note 4 3 3 3 2 3 9 12" xfId="41086" xr:uid="{00000000-0005-0000-0000-000015610000}"/>
    <cellStyle name="Note 4 3 3 3 2 3 9 13" xfId="44915" xr:uid="{00000000-0005-0000-0000-000016610000}"/>
    <cellStyle name="Note 4 3 3 3 2 3 9 2" xfId="4029" xr:uid="{00000000-0005-0000-0000-000017610000}"/>
    <cellStyle name="Note 4 3 3 3 2 3 9 2 10" xfId="39080" xr:uid="{00000000-0005-0000-0000-000018610000}"/>
    <cellStyle name="Note 4 3 3 3 2 3 9 2 11" xfId="43090" xr:uid="{00000000-0005-0000-0000-000019610000}"/>
    <cellStyle name="Note 4 3 3 3 2 3 9 2 12" xfId="46853" xr:uid="{00000000-0005-0000-0000-00001A610000}"/>
    <cellStyle name="Note 4 3 3 3 2 3 9 2 2" xfId="7894" xr:uid="{00000000-0005-0000-0000-00001B610000}"/>
    <cellStyle name="Note 4 3 3 3 2 3 9 2 3" xfId="12329" xr:uid="{00000000-0005-0000-0000-00001C610000}"/>
    <cellStyle name="Note 4 3 3 3 2 3 9 2 4" xfId="16175" xr:uid="{00000000-0005-0000-0000-00001D610000}"/>
    <cellStyle name="Note 4 3 3 3 2 3 9 2 5" xfId="20023" xr:uid="{00000000-0005-0000-0000-00001E610000}"/>
    <cellStyle name="Note 4 3 3 3 2 3 9 2 6" xfId="23938" xr:uid="{00000000-0005-0000-0000-00001F610000}"/>
    <cellStyle name="Note 4 3 3 3 2 3 9 2 7" xfId="27773" xr:uid="{00000000-0005-0000-0000-000020610000}"/>
    <cellStyle name="Note 4 3 3 3 2 3 9 2 8" xfId="31632" xr:uid="{00000000-0005-0000-0000-000021610000}"/>
    <cellStyle name="Note 4 3 3 3 2 3 9 2 9" xfId="35291" xr:uid="{00000000-0005-0000-0000-000022610000}"/>
    <cellStyle name="Note 4 3 3 3 2 3 9 3" xfId="5970" xr:uid="{00000000-0005-0000-0000-000023610000}"/>
    <cellStyle name="Note 4 3 3 3 2 3 9 4" xfId="10328" xr:uid="{00000000-0005-0000-0000-000024610000}"/>
    <cellStyle name="Note 4 3 3 3 2 3 9 5" xfId="14176" xr:uid="{00000000-0005-0000-0000-000025610000}"/>
    <cellStyle name="Note 4 3 3 3 2 3 9 6" xfId="18006" xr:uid="{00000000-0005-0000-0000-000026610000}"/>
    <cellStyle name="Note 4 3 3 3 2 3 9 7" xfId="21944" xr:uid="{00000000-0005-0000-0000-000027610000}"/>
    <cellStyle name="Note 4 3 3 3 2 3 9 8" xfId="25758" xr:uid="{00000000-0005-0000-0000-000028610000}"/>
    <cellStyle name="Note 4 3 3 3 2 3 9 9" xfId="29644" xr:uid="{00000000-0005-0000-0000-000029610000}"/>
    <cellStyle name="Note 4 3 3 3 2 30" xfId="47426" xr:uid="{00000000-0005-0000-0000-00002A610000}"/>
    <cellStyle name="Note 4 3 3 3 2 31" xfId="47395" xr:uid="{00000000-0005-0000-0000-00002B610000}"/>
    <cellStyle name="Note 4 3 3 3 2 4" xfId="663" xr:uid="{00000000-0005-0000-0000-00002C610000}"/>
    <cellStyle name="Note 4 3 3 3 2 4 10" xfId="24397" xr:uid="{00000000-0005-0000-0000-00002D610000}"/>
    <cellStyle name="Note 4 3 3 3 2 4 11" xfId="28290" xr:uid="{00000000-0005-0000-0000-00002E610000}"/>
    <cellStyle name="Note 4 3 3 3 2 4 12" xfId="29853" xr:uid="{00000000-0005-0000-0000-00002F610000}"/>
    <cellStyle name="Note 4 3 3 3 2 4 13" xfId="29681" xr:uid="{00000000-0005-0000-0000-000030610000}"/>
    <cellStyle name="Note 4 3 3 3 2 4 14" xfId="39757" xr:uid="{00000000-0005-0000-0000-000031610000}"/>
    <cellStyle name="Note 4 3 3 3 2 4 15" xfId="43560" xr:uid="{00000000-0005-0000-0000-000032610000}"/>
    <cellStyle name="Note 4 3 3 3 2 4 2" xfId="1043" xr:uid="{00000000-0005-0000-0000-000033610000}"/>
    <cellStyle name="Note 4 3 3 3 2 4 2 10" xfId="28654" xr:uid="{00000000-0005-0000-0000-000034610000}"/>
    <cellStyle name="Note 4 3 3 3 2 4 2 11" xfId="32340" xr:uid="{00000000-0005-0000-0000-000035610000}"/>
    <cellStyle name="Note 4 3 3 3 2 4 2 12" xfId="36101" xr:uid="{00000000-0005-0000-0000-000036610000}"/>
    <cellStyle name="Note 4 3 3 3 2 4 2 13" xfId="40104" xr:uid="{00000000-0005-0000-0000-000037610000}"/>
    <cellStyle name="Note 4 3 3 3 2 4 2 14" xfId="43927" xr:uid="{00000000-0005-0000-0000-000038610000}"/>
    <cellStyle name="Note 4 3 3 3 2 4 2 2" xfId="1770" xr:uid="{00000000-0005-0000-0000-000039610000}"/>
    <cellStyle name="Note 4 3 3 3 2 4 2 2 10" xfId="33057" xr:uid="{00000000-0005-0000-0000-00003A610000}"/>
    <cellStyle name="Note 4 3 3 3 2 4 2 2 11" xfId="36827" xr:uid="{00000000-0005-0000-0000-00003B610000}"/>
    <cellStyle name="Note 4 3 3 3 2 4 2 2 12" xfId="40818" xr:uid="{00000000-0005-0000-0000-00003C610000}"/>
    <cellStyle name="Note 4 3 3 3 2 4 2 2 13" xfId="44649" xr:uid="{00000000-0005-0000-0000-00003D610000}"/>
    <cellStyle name="Note 4 3 3 3 2 4 2 2 2" xfId="3760" xr:uid="{00000000-0005-0000-0000-00003E610000}"/>
    <cellStyle name="Note 4 3 3 3 2 4 2 2 2 10" xfId="38811" xr:uid="{00000000-0005-0000-0000-00003F610000}"/>
    <cellStyle name="Note 4 3 3 3 2 4 2 2 2 11" xfId="42822" xr:uid="{00000000-0005-0000-0000-000040610000}"/>
    <cellStyle name="Note 4 3 3 3 2 4 2 2 2 12" xfId="46587" xr:uid="{00000000-0005-0000-0000-000041610000}"/>
    <cellStyle name="Note 4 3 3 3 2 4 2 2 2 2" xfId="7627" xr:uid="{00000000-0005-0000-0000-000042610000}"/>
    <cellStyle name="Note 4 3 3 3 2 4 2 2 2 3" xfId="12062" xr:uid="{00000000-0005-0000-0000-000043610000}"/>
    <cellStyle name="Note 4 3 3 3 2 4 2 2 2 4" xfId="15907" xr:uid="{00000000-0005-0000-0000-000044610000}"/>
    <cellStyle name="Note 4 3 3 3 2 4 2 2 2 5" xfId="19754" xr:uid="{00000000-0005-0000-0000-000045610000}"/>
    <cellStyle name="Note 4 3 3 3 2 4 2 2 2 6" xfId="23670" xr:uid="{00000000-0005-0000-0000-000046610000}"/>
    <cellStyle name="Note 4 3 3 3 2 4 2 2 2 7" xfId="27504" xr:uid="{00000000-0005-0000-0000-000047610000}"/>
    <cellStyle name="Note 4 3 3 3 2 4 2 2 2 8" xfId="31368" xr:uid="{00000000-0005-0000-0000-000048610000}"/>
    <cellStyle name="Note 4 3 3 3 2 4 2 2 2 9" xfId="35025" xr:uid="{00000000-0005-0000-0000-000049610000}"/>
    <cellStyle name="Note 4 3 3 3 2 4 2 2 3" xfId="5703" xr:uid="{00000000-0005-0000-0000-00004A610000}"/>
    <cellStyle name="Note 4 3 3 3 2 4 2 2 4" xfId="10061" xr:uid="{00000000-0005-0000-0000-00004B610000}"/>
    <cellStyle name="Note 4 3 3 3 2 4 2 2 5" xfId="13907" xr:uid="{00000000-0005-0000-0000-00004C610000}"/>
    <cellStyle name="Note 4 3 3 3 2 4 2 2 6" xfId="17736" xr:uid="{00000000-0005-0000-0000-00004D610000}"/>
    <cellStyle name="Note 4 3 3 3 2 4 2 2 7" xfId="21675" xr:uid="{00000000-0005-0000-0000-00004E610000}"/>
    <cellStyle name="Note 4 3 3 3 2 4 2 2 8" xfId="25488" xr:uid="{00000000-0005-0000-0000-00004F610000}"/>
    <cellStyle name="Note 4 3 3 3 2 4 2 2 9" xfId="29375" xr:uid="{00000000-0005-0000-0000-000050610000}"/>
    <cellStyle name="Note 4 3 3 3 2 4 2 3" xfId="3033" xr:uid="{00000000-0005-0000-0000-000051610000}"/>
    <cellStyle name="Note 4 3 3 3 2 4 2 3 10" xfId="38085" xr:uid="{00000000-0005-0000-0000-000052610000}"/>
    <cellStyle name="Note 4 3 3 3 2 4 2 3 11" xfId="42097" xr:uid="{00000000-0005-0000-0000-000053610000}"/>
    <cellStyle name="Note 4 3 3 3 2 4 2 3 12" xfId="45870" xr:uid="{00000000-0005-0000-0000-000054610000}"/>
    <cellStyle name="Note 4 3 3 3 2 4 2 3 2" xfId="6909" xr:uid="{00000000-0005-0000-0000-000055610000}"/>
    <cellStyle name="Note 4 3 3 3 2 4 2 3 3" xfId="11338" xr:uid="{00000000-0005-0000-0000-000056610000}"/>
    <cellStyle name="Note 4 3 3 3 2 4 2 3 4" xfId="15182" xr:uid="{00000000-0005-0000-0000-000057610000}"/>
    <cellStyle name="Note 4 3 3 3 2 4 2 3 5" xfId="19027" xr:uid="{00000000-0005-0000-0000-000058610000}"/>
    <cellStyle name="Note 4 3 3 3 2 4 2 3 6" xfId="22949" xr:uid="{00000000-0005-0000-0000-000059610000}"/>
    <cellStyle name="Note 4 3 3 3 2 4 2 3 7" xfId="26778" xr:uid="{00000000-0005-0000-0000-00005A610000}"/>
    <cellStyle name="Note 4 3 3 3 2 4 2 3 8" xfId="30652" xr:uid="{00000000-0005-0000-0000-00005B610000}"/>
    <cellStyle name="Note 4 3 3 3 2 4 2 3 9" xfId="34308" xr:uid="{00000000-0005-0000-0000-00005C610000}"/>
    <cellStyle name="Note 4 3 3 3 2 4 2 4" xfId="4985" xr:uid="{00000000-0005-0000-0000-00005D610000}"/>
    <cellStyle name="Note 4 3 3 3 2 4 2 5" xfId="9341" xr:uid="{00000000-0005-0000-0000-00005E610000}"/>
    <cellStyle name="Note 4 3 3 3 2 4 2 6" xfId="13181" xr:uid="{00000000-0005-0000-0000-00005F610000}"/>
    <cellStyle name="Note 4 3 3 3 2 4 2 7" xfId="17009" xr:uid="{00000000-0005-0000-0000-000060610000}"/>
    <cellStyle name="Note 4 3 3 3 2 4 2 8" xfId="20951" xr:uid="{00000000-0005-0000-0000-000061610000}"/>
    <cellStyle name="Note 4 3 3 3 2 4 2 9" xfId="24765" xr:uid="{00000000-0005-0000-0000-000062610000}"/>
    <cellStyle name="Note 4 3 3 3 2 4 3" xfId="1417" xr:uid="{00000000-0005-0000-0000-000063610000}"/>
    <cellStyle name="Note 4 3 3 3 2 4 3 10" xfId="32704" xr:uid="{00000000-0005-0000-0000-000064610000}"/>
    <cellStyle name="Note 4 3 3 3 2 4 3 11" xfId="36474" xr:uid="{00000000-0005-0000-0000-000065610000}"/>
    <cellStyle name="Note 4 3 3 3 2 4 3 12" xfId="40465" xr:uid="{00000000-0005-0000-0000-000066610000}"/>
    <cellStyle name="Note 4 3 3 3 2 4 3 13" xfId="44296" xr:uid="{00000000-0005-0000-0000-000067610000}"/>
    <cellStyle name="Note 4 3 3 3 2 4 3 2" xfId="3407" xr:uid="{00000000-0005-0000-0000-000068610000}"/>
    <cellStyle name="Note 4 3 3 3 2 4 3 2 10" xfId="38458" xr:uid="{00000000-0005-0000-0000-000069610000}"/>
    <cellStyle name="Note 4 3 3 3 2 4 3 2 11" xfId="42469" xr:uid="{00000000-0005-0000-0000-00006A610000}"/>
    <cellStyle name="Note 4 3 3 3 2 4 3 2 12" xfId="46234" xr:uid="{00000000-0005-0000-0000-00006B610000}"/>
    <cellStyle name="Note 4 3 3 3 2 4 3 2 2" xfId="7274" xr:uid="{00000000-0005-0000-0000-00006C610000}"/>
    <cellStyle name="Note 4 3 3 3 2 4 3 2 3" xfId="11709" xr:uid="{00000000-0005-0000-0000-00006D610000}"/>
    <cellStyle name="Note 4 3 3 3 2 4 3 2 4" xfId="15554" xr:uid="{00000000-0005-0000-0000-00006E610000}"/>
    <cellStyle name="Note 4 3 3 3 2 4 3 2 5" xfId="19401" xr:uid="{00000000-0005-0000-0000-00006F610000}"/>
    <cellStyle name="Note 4 3 3 3 2 4 3 2 6" xfId="23317" xr:uid="{00000000-0005-0000-0000-000070610000}"/>
    <cellStyle name="Note 4 3 3 3 2 4 3 2 7" xfId="27151" xr:uid="{00000000-0005-0000-0000-000071610000}"/>
    <cellStyle name="Note 4 3 3 3 2 4 3 2 8" xfId="31019" xr:uid="{00000000-0005-0000-0000-000072610000}"/>
    <cellStyle name="Note 4 3 3 3 2 4 3 2 9" xfId="34672" xr:uid="{00000000-0005-0000-0000-000073610000}"/>
    <cellStyle name="Note 4 3 3 3 2 4 3 3" xfId="5350" xr:uid="{00000000-0005-0000-0000-000074610000}"/>
    <cellStyle name="Note 4 3 3 3 2 4 3 4" xfId="9708" xr:uid="{00000000-0005-0000-0000-000075610000}"/>
    <cellStyle name="Note 4 3 3 3 2 4 3 5" xfId="13554" xr:uid="{00000000-0005-0000-0000-000076610000}"/>
    <cellStyle name="Note 4 3 3 3 2 4 3 6" xfId="17383" xr:uid="{00000000-0005-0000-0000-000077610000}"/>
    <cellStyle name="Note 4 3 3 3 2 4 3 7" xfId="21322" xr:uid="{00000000-0005-0000-0000-000078610000}"/>
    <cellStyle name="Note 4 3 3 3 2 4 3 8" xfId="25135" xr:uid="{00000000-0005-0000-0000-000079610000}"/>
    <cellStyle name="Note 4 3 3 3 2 4 3 9" xfId="29022" xr:uid="{00000000-0005-0000-0000-00007A610000}"/>
    <cellStyle name="Note 4 3 3 3 2 4 4" xfId="2666" xr:uid="{00000000-0005-0000-0000-00007B610000}"/>
    <cellStyle name="Note 4 3 3 3 2 4 4 10" xfId="37718" xr:uid="{00000000-0005-0000-0000-00007C610000}"/>
    <cellStyle name="Note 4 3 3 3 2 4 4 11" xfId="41732" xr:uid="{00000000-0005-0000-0000-00007D610000}"/>
    <cellStyle name="Note 4 3 3 3 2 4 4 12" xfId="45517" xr:uid="{00000000-0005-0000-0000-00007E610000}"/>
    <cellStyle name="Note 4 3 3 3 2 4 4 2" xfId="6554" xr:uid="{00000000-0005-0000-0000-00007F610000}"/>
    <cellStyle name="Note 4 3 3 3 2 4 4 3" xfId="10978" xr:uid="{00000000-0005-0000-0000-000080610000}"/>
    <cellStyle name="Note 4 3 3 3 2 4 4 4" xfId="14822" xr:uid="{00000000-0005-0000-0000-000081610000}"/>
    <cellStyle name="Note 4 3 3 3 2 4 4 5" xfId="18660" xr:uid="{00000000-0005-0000-0000-000082610000}"/>
    <cellStyle name="Note 4 3 3 3 2 4 4 6" xfId="22591" xr:uid="{00000000-0005-0000-0000-000083610000}"/>
    <cellStyle name="Note 4 3 3 3 2 4 4 7" xfId="26411" xr:uid="{00000000-0005-0000-0000-000084610000}"/>
    <cellStyle name="Note 4 3 3 3 2 4 4 8" xfId="30290" xr:uid="{00000000-0005-0000-0000-000085610000}"/>
    <cellStyle name="Note 4 3 3 3 2 4 4 9" xfId="33955" xr:uid="{00000000-0005-0000-0000-000086610000}"/>
    <cellStyle name="Note 4 3 3 3 2 4 5" xfId="4630" xr:uid="{00000000-0005-0000-0000-000087610000}"/>
    <cellStyle name="Note 4 3 3 3 2 4 6" xfId="8972" xr:uid="{00000000-0005-0000-0000-000088610000}"/>
    <cellStyle name="Note 4 3 3 3 2 4 7" xfId="12809" xr:uid="{00000000-0005-0000-0000-000089610000}"/>
    <cellStyle name="Note 4 3 3 3 2 4 8" xfId="16639" xr:uid="{00000000-0005-0000-0000-00008A610000}"/>
    <cellStyle name="Note 4 3 3 3 2 4 9" xfId="20576" xr:uid="{00000000-0005-0000-0000-00008B610000}"/>
    <cellStyle name="Note 4 3 3 3 2 5" xfId="600" xr:uid="{00000000-0005-0000-0000-00008C610000}"/>
    <cellStyle name="Note 4 3 3 3 2 5 10" xfId="21999" xr:uid="{00000000-0005-0000-0000-00008D610000}"/>
    <cellStyle name="Note 4 3 3 3 2 5 11" xfId="21980" xr:uid="{00000000-0005-0000-0000-00008E610000}"/>
    <cellStyle name="Note 4 3 3 3 2 5 12" xfId="8422" xr:uid="{00000000-0005-0000-0000-00008F610000}"/>
    <cellStyle name="Note 4 3 3 3 2 5 13" xfId="23154" xr:uid="{00000000-0005-0000-0000-000090610000}"/>
    <cellStyle name="Note 4 3 3 3 2 5 14" xfId="39695" xr:uid="{00000000-0005-0000-0000-000091610000}"/>
    <cellStyle name="Note 4 3 3 3 2 5 15" xfId="41124" xr:uid="{00000000-0005-0000-0000-000092610000}"/>
    <cellStyle name="Note 4 3 3 3 2 5 2" xfId="980" xr:uid="{00000000-0005-0000-0000-000093610000}"/>
    <cellStyle name="Note 4 3 3 3 2 5 2 10" xfId="28591" xr:uid="{00000000-0005-0000-0000-000094610000}"/>
    <cellStyle name="Note 4 3 3 3 2 5 2 11" xfId="32279" xr:uid="{00000000-0005-0000-0000-000095610000}"/>
    <cellStyle name="Note 4 3 3 3 2 5 2 12" xfId="36038" xr:uid="{00000000-0005-0000-0000-000096610000}"/>
    <cellStyle name="Note 4 3 3 3 2 5 2 13" xfId="40043" xr:uid="{00000000-0005-0000-0000-000097610000}"/>
    <cellStyle name="Note 4 3 3 3 2 5 2 14" xfId="43864" xr:uid="{00000000-0005-0000-0000-000098610000}"/>
    <cellStyle name="Note 4 3 3 3 2 5 2 2" xfId="1709" xr:uid="{00000000-0005-0000-0000-000099610000}"/>
    <cellStyle name="Note 4 3 3 3 2 5 2 2 10" xfId="32996" xr:uid="{00000000-0005-0000-0000-00009A610000}"/>
    <cellStyle name="Note 4 3 3 3 2 5 2 2 11" xfId="36766" xr:uid="{00000000-0005-0000-0000-00009B610000}"/>
    <cellStyle name="Note 4 3 3 3 2 5 2 2 12" xfId="40757" xr:uid="{00000000-0005-0000-0000-00009C610000}"/>
    <cellStyle name="Note 4 3 3 3 2 5 2 2 13" xfId="44588" xr:uid="{00000000-0005-0000-0000-00009D610000}"/>
    <cellStyle name="Note 4 3 3 3 2 5 2 2 2" xfId="3699" xr:uid="{00000000-0005-0000-0000-00009E610000}"/>
    <cellStyle name="Note 4 3 3 3 2 5 2 2 2 10" xfId="38750" xr:uid="{00000000-0005-0000-0000-00009F610000}"/>
    <cellStyle name="Note 4 3 3 3 2 5 2 2 2 11" xfId="42761" xr:uid="{00000000-0005-0000-0000-0000A0610000}"/>
    <cellStyle name="Note 4 3 3 3 2 5 2 2 2 12" xfId="46526" xr:uid="{00000000-0005-0000-0000-0000A1610000}"/>
    <cellStyle name="Note 4 3 3 3 2 5 2 2 2 2" xfId="7566" xr:uid="{00000000-0005-0000-0000-0000A2610000}"/>
    <cellStyle name="Note 4 3 3 3 2 5 2 2 2 3" xfId="12001" xr:uid="{00000000-0005-0000-0000-0000A3610000}"/>
    <cellStyle name="Note 4 3 3 3 2 5 2 2 2 4" xfId="15846" xr:uid="{00000000-0005-0000-0000-0000A4610000}"/>
    <cellStyle name="Note 4 3 3 3 2 5 2 2 2 5" xfId="19693" xr:uid="{00000000-0005-0000-0000-0000A5610000}"/>
    <cellStyle name="Note 4 3 3 3 2 5 2 2 2 6" xfId="23609" xr:uid="{00000000-0005-0000-0000-0000A6610000}"/>
    <cellStyle name="Note 4 3 3 3 2 5 2 2 2 7" xfId="27443" xr:uid="{00000000-0005-0000-0000-0000A7610000}"/>
    <cellStyle name="Note 4 3 3 3 2 5 2 2 2 8" xfId="31307" xr:uid="{00000000-0005-0000-0000-0000A8610000}"/>
    <cellStyle name="Note 4 3 3 3 2 5 2 2 2 9" xfId="34964" xr:uid="{00000000-0005-0000-0000-0000A9610000}"/>
    <cellStyle name="Note 4 3 3 3 2 5 2 2 3" xfId="5642" xr:uid="{00000000-0005-0000-0000-0000AA610000}"/>
    <cellStyle name="Note 4 3 3 3 2 5 2 2 4" xfId="10000" xr:uid="{00000000-0005-0000-0000-0000AB610000}"/>
    <cellStyle name="Note 4 3 3 3 2 5 2 2 5" xfId="13846" xr:uid="{00000000-0005-0000-0000-0000AC610000}"/>
    <cellStyle name="Note 4 3 3 3 2 5 2 2 6" xfId="17675" xr:uid="{00000000-0005-0000-0000-0000AD610000}"/>
    <cellStyle name="Note 4 3 3 3 2 5 2 2 7" xfId="21614" xr:uid="{00000000-0005-0000-0000-0000AE610000}"/>
    <cellStyle name="Note 4 3 3 3 2 5 2 2 8" xfId="25427" xr:uid="{00000000-0005-0000-0000-0000AF610000}"/>
    <cellStyle name="Note 4 3 3 3 2 5 2 2 9" xfId="29314" xr:uid="{00000000-0005-0000-0000-0000B0610000}"/>
    <cellStyle name="Note 4 3 3 3 2 5 2 3" xfId="2970" xr:uid="{00000000-0005-0000-0000-0000B1610000}"/>
    <cellStyle name="Note 4 3 3 3 2 5 2 3 10" xfId="38022" xr:uid="{00000000-0005-0000-0000-0000B2610000}"/>
    <cellStyle name="Note 4 3 3 3 2 5 2 3 11" xfId="42034" xr:uid="{00000000-0005-0000-0000-0000B3610000}"/>
    <cellStyle name="Note 4 3 3 3 2 5 2 3 12" xfId="45809" xr:uid="{00000000-0005-0000-0000-0000B4610000}"/>
    <cellStyle name="Note 4 3 3 3 2 5 2 3 2" xfId="6848" xr:uid="{00000000-0005-0000-0000-0000B5610000}"/>
    <cellStyle name="Note 4 3 3 3 2 5 2 3 3" xfId="11276" xr:uid="{00000000-0005-0000-0000-0000B6610000}"/>
    <cellStyle name="Note 4 3 3 3 2 5 2 3 4" xfId="15121" xr:uid="{00000000-0005-0000-0000-0000B7610000}"/>
    <cellStyle name="Note 4 3 3 3 2 5 2 3 5" xfId="18964" xr:uid="{00000000-0005-0000-0000-0000B8610000}"/>
    <cellStyle name="Note 4 3 3 3 2 5 2 3 6" xfId="22888" xr:uid="{00000000-0005-0000-0000-0000B9610000}"/>
    <cellStyle name="Note 4 3 3 3 2 5 2 3 7" xfId="26715" xr:uid="{00000000-0005-0000-0000-0000BA610000}"/>
    <cellStyle name="Note 4 3 3 3 2 5 2 3 8" xfId="30589" xr:uid="{00000000-0005-0000-0000-0000BB610000}"/>
    <cellStyle name="Note 4 3 3 3 2 5 2 3 9" xfId="34247" xr:uid="{00000000-0005-0000-0000-0000BC610000}"/>
    <cellStyle name="Note 4 3 3 3 2 5 2 4" xfId="4924" xr:uid="{00000000-0005-0000-0000-0000BD610000}"/>
    <cellStyle name="Note 4 3 3 3 2 5 2 5" xfId="9279" xr:uid="{00000000-0005-0000-0000-0000BE610000}"/>
    <cellStyle name="Note 4 3 3 3 2 5 2 6" xfId="13120" xr:uid="{00000000-0005-0000-0000-0000BF610000}"/>
    <cellStyle name="Note 4 3 3 3 2 5 2 7" xfId="16946" xr:uid="{00000000-0005-0000-0000-0000C0610000}"/>
    <cellStyle name="Note 4 3 3 3 2 5 2 8" xfId="20888" xr:uid="{00000000-0005-0000-0000-0000C1610000}"/>
    <cellStyle name="Note 4 3 3 3 2 5 2 9" xfId="24703" xr:uid="{00000000-0005-0000-0000-0000C2610000}"/>
    <cellStyle name="Note 4 3 3 3 2 5 3" xfId="1356" xr:uid="{00000000-0005-0000-0000-0000C3610000}"/>
    <cellStyle name="Note 4 3 3 3 2 5 3 10" xfId="32643" xr:uid="{00000000-0005-0000-0000-0000C4610000}"/>
    <cellStyle name="Note 4 3 3 3 2 5 3 11" xfId="36413" xr:uid="{00000000-0005-0000-0000-0000C5610000}"/>
    <cellStyle name="Note 4 3 3 3 2 5 3 12" xfId="40404" xr:uid="{00000000-0005-0000-0000-0000C6610000}"/>
    <cellStyle name="Note 4 3 3 3 2 5 3 13" xfId="44235" xr:uid="{00000000-0005-0000-0000-0000C7610000}"/>
    <cellStyle name="Note 4 3 3 3 2 5 3 2" xfId="3346" xr:uid="{00000000-0005-0000-0000-0000C8610000}"/>
    <cellStyle name="Note 4 3 3 3 2 5 3 2 10" xfId="38397" xr:uid="{00000000-0005-0000-0000-0000C9610000}"/>
    <cellStyle name="Note 4 3 3 3 2 5 3 2 11" xfId="42408" xr:uid="{00000000-0005-0000-0000-0000CA610000}"/>
    <cellStyle name="Note 4 3 3 3 2 5 3 2 12" xfId="46173" xr:uid="{00000000-0005-0000-0000-0000CB610000}"/>
    <cellStyle name="Note 4 3 3 3 2 5 3 2 2" xfId="7213" xr:uid="{00000000-0005-0000-0000-0000CC610000}"/>
    <cellStyle name="Note 4 3 3 3 2 5 3 2 3" xfId="11648" xr:uid="{00000000-0005-0000-0000-0000CD610000}"/>
    <cellStyle name="Note 4 3 3 3 2 5 3 2 4" xfId="15493" xr:uid="{00000000-0005-0000-0000-0000CE610000}"/>
    <cellStyle name="Note 4 3 3 3 2 5 3 2 5" xfId="19340" xr:uid="{00000000-0005-0000-0000-0000CF610000}"/>
    <cellStyle name="Note 4 3 3 3 2 5 3 2 6" xfId="23256" xr:uid="{00000000-0005-0000-0000-0000D0610000}"/>
    <cellStyle name="Note 4 3 3 3 2 5 3 2 7" xfId="27090" xr:uid="{00000000-0005-0000-0000-0000D1610000}"/>
    <cellStyle name="Note 4 3 3 3 2 5 3 2 8" xfId="30958" xr:uid="{00000000-0005-0000-0000-0000D2610000}"/>
    <cellStyle name="Note 4 3 3 3 2 5 3 2 9" xfId="34611" xr:uid="{00000000-0005-0000-0000-0000D3610000}"/>
    <cellStyle name="Note 4 3 3 3 2 5 3 3" xfId="5289" xr:uid="{00000000-0005-0000-0000-0000D4610000}"/>
    <cellStyle name="Note 4 3 3 3 2 5 3 4" xfId="9647" xr:uid="{00000000-0005-0000-0000-0000D5610000}"/>
    <cellStyle name="Note 4 3 3 3 2 5 3 5" xfId="13493" xr:uid="{00000000-0005-0000-0000-0000D6610000}"/>
    <cellStyle name="Note 4 3 3 3 2 5 3 6" xfId="17322" xr:uid="{00000000-0005-0000-0000-0000D7610000}"/>
    <cellStyle name="Note 4 3 3 3 2 5 3 7" xfId="21261" xr:uid="{00000000-0005-0000-0000-0000D8610000}"/>
    <cellStyle name="Note 4 3 3 3 2 5 3 8" xfId="25074" xr:uid="{00000000-0005-0000-0000-0000D9610000}"/>
    <cellStyle name="Note 4 3 3 3 2 5 3 9" xfId="28961" xr:uid="{00000000-0005-0000-0000-0000DA610000}"/>
    <cellStyle name="Note 4 3 3 3 2 5 4" xfId="2603" xr:uid="{00000000-0005-0000-0000-0000DB610000}"/>
    <cellStyle name="Note 4 3 3 3 2 5 4 10" xfId="37655" xr:uid="{00000000-0005-0000-0000-0000DC610000}"/>
    <cellStyle name="Note 4 3 3 3 2 5 4 11" xfId="41669" xr:uid="{00000000-0005-0000-0000-0000DD610000}"/>
    <cellStyle name="Note 4 3 3 3 2 5 4 12" xfId="45456" xr:uid="{00000000-0005-0000-0000-0000DE610000}"/>
    <cellStyle name="Note 4 3 3 3 2 5 4 2" xfId="6493" xr:uid="{00000000-0005-0000-0000-0000DF610000}"/>
    <cellStyle name="Note 4 3 3 3 2 5 4 3" xfId="10917" xr:uid="{00000000-0005-0000-0000-0000E0610000}"/>
    <cellStyle name="Note 4 3 3 3 2 5 4 4" xfId="14761" xr:uid="{00000000-0005-0000-0000-0000E1610000}"/>
    <cellStyle name="Note 4 3 3 3 2 5 4 5" xfId="18597" xr:uid="{00000000-0005-0000-0000-0000E2610000}"/>
    <cellStyle name="Note 4 3 3 3 2 5 4 6" xfId="22530" xr:uid="{00000000-0005-0000-0000-0000E3610000}"/>
    <cellStyle name="Note 4 3 3 3 2 5 4 7" xfId="26348" xr:uid="{00000000-0005-0000-0000-0000E4610000}"/>
    <cellStyle name="Note 4 3 3 3 2 5 4 8" xfId="30227" xr:uid="{00000000-0005-0000-0000-0000E5610000}"/>
    <cellStyle name="Note 4 3 3 3 2 5 4 9" xfId="33894" xr:uid="{00000000-0005-0000-0000-0000E6610000}"/>
    <cellStyle name="Note 4 3 3 3 2 5 5" xfId="4569" xr:uid="{00000000-0005-0000-0000-0000E7610000}"/>
    <cellStyle name="Note 4 3 3 3 2 5 6" xfId="8909" xr:uid="{00000000-0005-0000-0000-0000E8610000}"/>
    <cellStyle name="Note 4 3 3 3 2 5 7" xfId="8686" xr:uid="{00000000-0005-0000-0000-0000E9610000}"/>
    <cellStyle name="Note 4 3 3 3 2 5 8" xfId="8824" xr:uid="{00000000-0005-0000-0000-0000EA610000}"/>
    <cellStyle name="Note 4 3 3 3 2 5 9" xfId="20513" xr:uid="{00000000-0005-0000-0000-0000EB610000}"/>
    <cellStyle name="Note 4 3 3 3 2 6" xfId="762" xr:uid="{00000000-0005-0000-0000-0000EC610000}"/>
    <cellStyle name="Note 4 3 3 3 2 6 10" xfId="24491" xr:uid="{00000000-0005-0000-0000-0000ED610000}"/>
    <cellStyle name="Note 4 3 3 3 2 6 11" xfId="28381" xr:uid="{00000000-0005-0000-0000-0000EE610000}"/>
    <cellStyle name="Note 4 3 3 3 2 6 12" xfId="29694" xr:uid="{00000000-0005-0000-0000-0000EF610000}"/>
    <cellStyle name="Note 4 3 3 3 2 6 13" xfId="35826" xr:uid="{00000000-0005-0000-0000-0000F0610000}"/>
    <cellStyle name="Note 4 3 3 3 2 6 14" xfId="39845" xr:uid="{00000000-0005-0000-0000-0000F1610000}"/>
    <cellStyle name="Note 4 3 3 3 2 6 15" xfId="43652" xr:uid="{00000000-0005-0000-0000-0000F2610000}"/>
    <cellStyle name="Note 4 3 3 3 2 6 2" xfId="1132" xr:uid="{00000000-0005-0000-0000-0000F3610000}"/>
    <cellStyle name="Note 4 3 3 3 2 6 2 10" xfId="28741" xr:uid="{00000000-0005-0000-0000-0000F4610000}"/>
    <cellStyle name="Note 4 3 3 3 2 6 2 11" xfId="32429" xr:uid="{00000000-0005-0000-0000-0000F5610000}"/>
    <cellStyle name="Note 4 3 3 3 2 6 2 12" xfId="36190" xr:uid="{00000000-0005-0000-0000-0000F6610000}"/>
    <cellStyle name="Note 4 3 3 3 2 6 2 13" xfId="40191" xr:uid="{00000000-0005-0000-0000-0000F7610000}"/>
    <cellStyle name="Note 4 3 3 3 2 6 2 14" xfId="44016" xr:uid="{00000000-0005-0000-0000-0000F8610000}"/>
    <cellStyle name="Note 4 3 3 3 2 6 2 2" xfId="1859" xr:uid="{00000000-0005-0000-0000-0000F9610000}"/>
    <cellStyle name="Note 4 3 3 3 2 6 2 2 10" xfId="33146" xr:uid="{00000000-0005-0000-0000-0000FA610000}"/>
    <cellStyle name="Note 4 3 3 3 2 6 2 2 11" xfId="36916" xr:uid="{00000000-0005-0000-0000-0000FB610000}"/>
    <cellStyle name="Note 4 3 3 3 2 6 2 2 12" xfId="40907" xr:uid="{00000000-0005-0000-0000-0000FC610000}"/>
    <cellStyle name="Note 4 3 3 3 2 6 2 2 13" xfId="44738" xr:uid="{00000000-0005-0000-0000-0000FD610000}"/>
    <cellStyle name="Note 4 3 3 3 2 6 2 2 2" xfId="3849" xr:uid="{00000000-0005-0000-0000-0000FE610000}"/>
    <cellStyle name="Note 4 3 3 3 2 6 2 2 2 10" xfId="38900" xr:uid="{00000000-0005-0000-0000-0000FF610000}"/>
    <cellStyle name="Note 4 3 3 3 2 6 2 2 2 11" xfId="42911" xr:uid="{00000000-0005-0000-0000-000000620000}"/>
    <cellStyle name="Note 4 3 3 3 2 6 2 2 2 12" xfId="46676" xr:uid="{00000000-0005-0000-0000-000001620000}"/>
    <cellStyle name="Note 4 3 3 3 2 6 2 2 2 2" xfId="7716" xr:uid="{00000000-0005-0000-0000-000002620000}"/>
    <cellStyle name="Note 4 3 3 3 2 6 2 2 2 3" xfId="12151" xr:uid="{00000000-0005-0000-0000-000003620000}"/>
    <cellStyle name="Note 4 3 3 3 2 6 2 2 2 4" xfId="15996" xr:uid="{00000000-0005-0000-0000-000004620000}"/>
    <cellStyle name="Note 4 3 3 3 2 6 2 2 2 5" xfId="19843" xr:uid="{00000000-0005-0000-0000-000005620000}"/>
    <cellStyle name="Note 4 3 3 3 2 6 2 2 2 6" xfId="23759" xr:uid="{00000000-0005-0000-0000-000006620000}"/>
    <cellStyle name="Note 4 3 3 3 2 6 2 2 2 7" xfId="27593" xr:uid="{00000000-0005-0000-0000-000007620000}"/>
    <cellStyle name="Note 4 3 3 3 2 6 2 2 2 8" xfId="31456" xr:uid="{00000000-0005-0000-0000-000008620000}"/>
    <cellStyle name="Note 4 3 3 3 2 6 2 2 2 9" xfId="35114" xr:uid="{00000000-0005-0000-0000-000009620000}"/>
    <cellStyle name="Note 4 3 3 3 2 6 2 2 3" xfId="5792" xr:uid="{00000000-0005-0000-0000-00000A620000}"/>
    <cellStyle name="Note 4 3 3 3 2 6 2 2 4" xfId="10150" xr:uid="{00000000-0005-0000-0000-00000B620000}"/>
    <cellStyle name="Note 4 3 3 3 2 6 2 2 5" xfId="13996" xr:uid="{00000000-0005-0000-0000-00000C620000}"/>
    <cellStyle name="Note 4 3 3 3 2 6 2 2 6" xfId="17825" xr:uid="{00000000-0005-0000-0000-00000D620000}"/>
    <cellStyle name="Note 4 3 3 3 2 6 2 2 7" xfId="21764" xr:uid="{00000000-0005-0000-0000-00000E620000}"/>
    <cellStyle name="Note 4 3 3 3 2 6 2 2 8" xfId="25577" xr:uid="{00000000-0005-0000-0000-00000F620000}"/>
    <cellStyle name="Note 4 3 3 3 2 6 2 2 9" xfId="29464" xr:uid="{00000000-0005-0000-0000-000010620000}"/>
    <cellStyle name="Note 4 3 3 3 2 6 2 3" xfId="3122" xr:uid="{00000000-0005-0000-0000-000011620000}"/>
    <cellStyle name="Note 4 3 3 3 2 6 2 3 10" xfId="38174" xr:uid="{00000000-0005-0000-0000-000012620000}"/>
    <cellStyle name="Note 4 3 3 3 2 6 2 3 11" xfId="42186" xr:uid="{00000000-0005-0000-0000-000013620000}"/>
    <cellStyle name="Note 4 3 3 3 2 6 2 3 12" xfId="45959" xr:uid="{00000000-0005-0000-0000-000014620000}"/>
    <cellStyle name="Note 4 3 3 3 2 6 2 3 2" xfId="6998" xr:uid="{00000000-0005-0000-0000-000015620000}"/>
    <cellStyle name="Note 4 3 3 3 2 6 2 3 3" xfId="11427" xr:uid="{00000000-0005-0000-0000-000016620000}"/>
    <cellStyle name="Note 4 3 3 3 2 6 2 3 4" xfId="15271" xr:uid="{00000000-0005-0000-0000-000017620000}"/>
    <cellStyle name="Note 4 3 3 3 2 6 2 3 5" xfId="19116" xr:uid="{00000000-0005-0000-0000-000018620000}"/>
    <cellStyle name="Note 4 3 3 3 2 6 2 3 6" xfId="23038" xr:uid="{00000000-0005-0000-0000-000019620000}"/>
    <cellStyle name="Note 4 3 3 3 2 6 2 3 7" xfId="26867" xr:uid="{00000000-0005-0000-0000-00001A620000}"/>
    <cellStyle name="Note 4 3 3 3 2 6 2 3 8" xfId="30739" xr:uid="{00000000-0005-0000-0000-00001B620000}"/>
    <cellStyle name="Note 4 3 3 3 2 6 2 3 9" xfId="34397" xr:uid="{00000000-0005-0000-0000-00001C620000}"/>
    <cellStyle name="Note 4 3 3 3 2 6 2 4" xfId="5074" xr:uid="{00000000-0005-0000-0000-00001D620000}"/>
    <cellStyle name="Note 4 3 3 3 2 6 2 5" xfId="9430" xr:uid="{00000000-0005-0000-0000-00001E620000}"/>
    <cellStyle name="Note 4 3 3 3 2 6 2 6" xfId="13270" xr:uid="{00000000-0005-0000-0000-00001F620000}"/>
    <cellStyle name="Note 4 3 3 3 2 6 2 7" xfId="17098" xr:uid="{00000000-0005-0000-0000-000020620000}"/>
    <cellStyle name="Note 4 3 3 3 2 6 2 8" xfId="21040" xr:uid="{00000000-0005-0000-0000-000021620000}"/>
    <cellStyle name="Note 4 3 3 3 2 6 2 9" xfId="24854" xr:uid="{00000000-0005-0000-0000-000022620000}"/>
    <cellStyle name="Note 4 3 3 3 2 6 3" xfId="1506" xr:uid="{00000000-0005-0000-0000-000023620000}"/>
    <cellStyle name="Note 4 3 3 3 2 6 3 10" xfId="32793" xr:uid="{00000000-0005-0000-0000-000024620000}"/>
    <cellStyle name="Note 4 3 3 3 2 6 3 11" xfId="36563" xr:uid="{00000000-0005-0000-0000-000025620000}"/>
    <cellStyle name="Note 4 3 3 3 2 6 3 12" xfId="40554" xr:uid="{00000000-0005-0000-0000-000026620000}"/>
    <cellStyle name="Note 4 3 3 3 2 6 3 13" xfId="44385" xr:uid="{00000000-0005-0000-0000-000027620000}"/>
    <cellStyle name="Note 4 3 3 3 2 6 3 2" xfId="3496" xr:uid="{00000000-0005-0000-0000-000028620000}"/>
    <cellStyle name="Note 4 3 3 3 2 6 3 2 10" xfId="38547" xr:uid="{00000000-0005-0000-0000-000029620000}"/>
    <cellStyle name="Note 4 3 3 3 2 6 3 2 11" xfId="42558" xr:uid="{00000000-0005-0000-0000-00002A620000}"/>
    <cellStyle name="Note 4 3 3 3 2 6 3 2 12" xfId="46323" xr:uid="{00000000-0005-0000-0000-00002B620000}"/>
    <cellStyle name="Note 4 3 3 3 2 6 3 2 2" xfId="7363" xr:uid="{00000000-0005-0000-0000-00002C620000}"/>
    <cellStyle name="Note 4 3 3 3 2 6 3 2 3" xfId="11798" xr:uid="{00000000-0005-0000-0000-00002D620000}"/>
    <cellStyle name="Note 4 3 3 3 2 6 3 2 4" xfId="15643" xr:uid="{00000000-0005-0000-0000-00002E620000}"/>
    <cellStyle name="Note 4 3 3 3 2 6 3 2 5" xfId="19490" xr:uid="{00000000-0005-0000-0000-00002F620000}"/>
    <cellStyle name="Note 4 3 3 3 2 6 3 2 6" xfId="23406" xr:uid="{00000000-0005-0000-0000-000030620000}"/>
    <cellStyle name="Note 4 3 3 3 2 6 3 2 7" xfId="27240" xr:uid="{00000000-0005-0000-0000-000031620000}"/>
    <cellStyle name="Note 4 3 3 3 2 6 3 2 8" xfId="31107" xr:uid="{00000000-0005-0000-0000-000032620000}"/>
    <cellStyle name="Note 4 3 3 3 2 6 3 2 9" xfId="34761" xr:uid="{00000000-0005-0000-0000-000033620000}"/>
    <cellStyle name="Note 4 3 3 3 2 6 3 3" xfId="5439" xr:uid="{00000000-0005-0000-0000-000034620000}"/>
    <cellStyle name="Note 4 3 3 3 2 6 3 4" xfId="9797" xr:uid="{00000000-0005-0000-0000-000035620000}"/>
    <cellStyle name="Note 4 3 3 3 2 6 3 5" xfId="13643" xr:uid="{00000000-0005-0000-0000-000036620000}"/>
    <cellStyle name="Note 4 3 3 3 2 6 3 6" xfId="17472" xr:uid="{00000000-0005-0000-0000-000037620000}"/>
    <cellStyle name="Note 4 3 3 3 2 6 3 7" xfId="21411" xr:uid="{00000000-0005-0000-0000-000038620000}"/>
    <cellStyle name="Note 4 3 3 3 2 6 3 8" xfId="25224" xr:uid="{00000000-0005-0000-0000-000039620000}"/>
    <cellStyle name="Note 4 3 3 3 2 6 3 9" xfId="29111" xr:uid="{00000000-0005-0000-0000-00003A620000}"/>
    <cellStyle name="Note 4 3 3 3 2 6 4" xfId="2758" xr:uid="{00000000-0005-0000-0000-00003B620000}"/>
    <cellStyle name="Note 4 3 3 3 2 6 4 10" xfId="37810" xr:uid="{00000000-0005-0000-0000-00003C620000}"/>
    <cellStyle name="Note 4 3 3 3 2 6 4 11" xfId="41823" xr:uid="{00000000-0005-0000-0000-00003D620000}"/>
    <cellStyle name="Note 4 3 3 3 2 6 4 12" xfId="45606" xr:uid="{00000000-0005-0000-0000-00003E620000}"/>
    <cellStyle name="Note 4 3 3 3 2 6 4 2" xfId="6644" xr:uid="{00000000-0005-0000-0000-00003F620000}"/>
    <cellStyle name="Note 4 3 3 3 2 6 4 3" xfId="11068" xr:uid="{00000000-0005-0000-0000-000040620000}"/>
    <cellStyle name="Note 4 3 3 3 2 6 4 4" xfId="14913" xr:uid="{00000000-0005-0000-0000-000041620000}"/>
    <cellStyle name="Note 4 3 3 3 2 6 4 5" xfId="18752" xr:uid="{00000000-0005-0000-0000-000042620000}"/>
    <cellStyle name="Note 4 3 3 3 2 6 4 6" xfId="22682" xr:uid="{00000000-0005-0000-0000-000043620000}"/>
    <cellStyle name="Note 4 3 3 3 2 6 4 7" xfId="26503" xr:uid="{00000000-0005-0000-0000-000044620000}"/>
    <cellStyle name="Note 4 3 3 3 2 6 4 8" xfId="30381" xr:uid="{00000000-0005-0000-0000-000045620000}"/>
    <cellStyle name="Note 4 3 3 3 2 6 4 9" xfId="34044" xr:uid="{00000000-0005-0000-0000-000046620000}"/>
    <cellStyle name="Note 4 3 3 3 2 6 5" xfId="4720" xr:uid="{00000000-0005-0000-0000-000047620000}"/>
    <cellStyle name="Note 4 3 3 3 2 6 6" xfId="9067" xr:uid="{00000000-0005-0000-0000-000048620000}"/>
    <cellStyle name="Note 4 3 3 3 2 6 7" xfId="12906" xr:uid="{00000000-0005-0000-0000-000049620000}"/>
    <cellStyle name="Note 4 3 3 3 2 6 8" xfId="16732" xr:uid="{00000000-0005-0000-0000-00004A620000}"/>
    <cellStyle name="Note 4 3 3 3 2 6 9" xfId="20671" xr:uid="{00000000-0005-0000-0000-00004B620000}"/>
    <cellStyle name="Note 4 3 3 3 2 7" xfId="859" xr:uid="{00000000-0005-0000-0000-00004C620000}"/>
    <cellStyle name="Note 4 3 3 3 2 7 10" xfId="24583" xr:uid="{00000000-0005-0000-0000-00004D620000}"/>
    <cellStyle name="Note 4 3 3 3 2 7 11" xfId="28474" xr:uid="{00000000-0005-0000-0000-00004E620000}"/>
    <cellStyle name="Note 4 3 3 3 2 7 12" xfId="32160" xr:uid="{00000000-0005-0000-0000-00004F620000}"/>
    <cellStyle name="Note 4 3 3 3 2 7 13" xfId="35917" xr:uid="{00000000-0005-0000-0000-000050620000}"/>
    <cellStyle name="Note 4 3 3 3 2 7 14" xfId="39928" xr:uid="{00000000-0005-0000-0000-000051620000}"/>
    <cellStyle name="Note 4 3 3 3 2 7 15" xfId="43743" xr:uid="{00000000-0005-0000-0000-000052620000}"/>
    <cellStyle name="Note 4 3 3 3 2 7 2" xfId="1198" xr:uid="{00000000-0005-0000-0000-000053620000}"/>
    <cellStyle name="Note 4 3 3 3 2 7 2 10" xfId="28807" xr:uid="{00000000-0005-0000-0000-000054620000}"/>
    <cellStyle name="Note 4 3 3 3 2 7 2 11" xfId="32490" xr:uid="{00000000-0005-0000-0000-000055620000}"/>
    <cellStyle name="Note 4 3 3 3 2 7 2 12" xfId="36256" xr:uid="{00000000-0005-0000-0000-000056620000}"/>
    <cellStyle name="Note 4 3 3 3 2 7 2 13" xfId="40250" xr:uid="{00000000-0005-0000-0000-000057620000}"/>
    <cellStyle name="Note 4 3 3 3 2 7 2 14" xfId="44082" xr:uid="{00000000-0005-0000-0000-000058620000}"/>
    <cellStyle name="Note 4 3 3 3 2 7 2 2" xfId="1920" xr:uid="{00000000-0005-0000-0000-000059620000}"/>
    <cellStyle name="Note 4 3 3 3 2 7 2 2 10" xfId="33207" xr:uid="{00000000-0005-0000-0000-00005A620000}"/>
    <cellStyle name="Note 4 3 3 3 2 7 2 2 11" xfId="36977" xr:uid="{00000000-0005-0000-0000-00005B620000}"/>
    <cellStyle name="Note 4 3 3 3 2 7 2 2 12" xfId="40968" xr:uid="{00000000-0005-0000-0000-00005C620000}"/>
    <cellStyle name="Note 4 3 3 3 2 7 2 2 13" xfId="44799" xr:uid="{00000000-0005-0000-0000-00005D620000}"/>
    <cellStyle name="Note 4 3 3 3 2 7 2 2 2" xfId="3910" xr:uid="{00000000-0005-0000-0000-00005E620000}"/>
    <cellStyle name="Note 4 3 3 3 2 7 2 2 2 10" xfId="38961" xr:uid="{00000000-0005-0000-0000-00005F620000}"/>
    <cellStyle name="Note 4 3 3 3 2 7 2 2 2 11" xfId="42972" xr:uid="{00000000-0005-0000-0000-000060620000}"/>
    <cellStyle name="Note 4 3 3 3 2 7 2 2 2 12" xfId="46737" xr:uid="{00000000-0005-0000-0000-000061620000}"/>
    <cellStyle name="Note 4 3 3 3 2 7 2 2 2 2" xfId="7777" xr:uid="{00000000-0005-0000-0000-000062620000}"/>
    <cellStyle name="Note 4 3 3 3 2 7 2 2 2 3" xfId="12212" xr:uid="{00000000-0005-0000-0000-000063620000}"/>
    <cellStyle name="Note 4 3 3 3 2 7 2 2 2 4" xfId="16057" xr:uid="{00000000-0005-0000-0000-000064620000}"/>
    <cellStyle name="Note 4 3 3 3 2 7 2 2 2 5" xfId="19904" xr:uid="{00000000-0005-0000-0000-000065620000}"/>
    <cellStyle name="Note 4 3 3 3 2 7 2 2 2 6" xfId="23820" xr:uid="{00000000-0005-0000-0000-000066620000}"/>
    <cellStyle name="Note 4 3 3 3 2 7 2 2 2 7" xfId="27654" xr:uid="{00000000-0005-0000-0000-000067620000}"/>
    <cellStyle name="Note 4 3 3 3 2 7 2 2 2 8" xfId="31516" xr:uid="{00000000-0005-0000-0000-000068620000}"/>
    <cellStyle name="Note 4 3 3 3 2 7 2 2 2 9" xfId="35175" xr:uid="{00000000-0005-0000-0000-000069620000}"/>
    <cellStyle name="Note 4 3 3 3 2 7 2 2 3" xfId="5853" xr:uid="{00000000-0005-0000-0000-00006A620000}"/>
    <cellStyle name="Note 4 3 3 3 2 7 2 2 4" xfId="10211" xr:uid="{00000000-0005-0000-0000-00006B620000}"/>
    <cellStyle name="Note 4 3 3 3 2 7 2 2 5" xfId="14057" xr:uid="{00000000-0005-0000-0000-00006C620000}"/>
    <cellStyle name="Note 4 3 3 3 2 7 2 2 6" xfId="17886" xr:uid="{00000000-0005-0000-0000-00006D620000}"/>
    <cellStyle name="Note 4 3 3 3 2 7 2 2 7" xfId="21825" xr:uid="{00000000-0005-0000-0000-00006E620000}"/>
    <cellStyle name="Note 4 3 3 3 2 7 2 2 8" xfId="25638" xr:uid="{00000000-0005-0000-0000-00006F620000}"/>
    <cellStyle name="Note 4 3 3 3 2 7 2 2 9" xfId="29525" xr:uid="{00000000-0005-0000-0000-000070620000}"/>
    <cellStyle name="Note 4 3 3 3 2 7 2 3" xfId="3188" xr:uid="{00000000-0005-0000-0000-000071620000}"/>
    <cellStyle name="Note 4 3 3 3 2 7 2 3 10" xfId="38240" xr:uid="{00000000-0005-0000-0000-000072620000}"/>
    <cellStyle name="Note 4 3 3 3 2 7 2 3 11" xfId="42251" xr:uid="{00000000-0005-0000-0000-000073620000}"/>
    <cellStyle name="Note 4 3 3 3 2 7 2 3 12" xfId="46020" xr:uid="{00000000-0005-0000-0000-000074620000}"/>
    <cellStyle name="Note 4 3 3 3 2 7 2 3 2" xfId="7060" xr:uid="{00000000-0005-0000-0000-000075620000}"/>
    <cellStyle name="Note 4 3 3 3 2 7 2 3 3" xfId="11492" xr:uid="{00000000-0005-0000-0000-000076620000}"/>
    <cellStyle name="Note 4 3 3 3 2 7 2 3 4" xfId="15336" xr:uid="{00000000-0005-0000-0000-000077620000}"/>
    <cellStyle name="Note 4 3 3 3 2 7 2 3 5" xfId="19182" xr:uid="{00000000-0005-0000-0000-000078620000}"/>
    <cellStyle name="Note 4 3 3 3 2 7 2 3 6" xfId="23101" xr:uid="{00000000-0005-0000-0000-000079620000}"/>
    <cellStyle name="Note 4 3 3 3 2 7 2 3 7" xfId="26933" xr:uid="{00000000-0005-0000-0000-00007A620000}"/>
    <cellStyle name="Note 4 3 3 3 2 7 2 3 8" xfId="30804" xr:uid="{00000000-0005-0000-0000-00007B620000}"/>
    <cellStyle name="Note 4 3 3 3 2 7 2 3 9" xfId="34458" xr:uid="{00000000-0005-0000-0000-00007C620000}"/>
    <cellStyle name="Note 4 3 3 3 2 7 2 4" xfId="5136" xr:uid="{00000000-0005-0000-0000-00007D620000}"/>
    <cellStyle name="Note 4 3 3 3 2 7 2 5" xfId="9492" xr:uid="{00000000-0005-0000-0000-00007E620000}"/>
    <cellStyle name="Note 4 3 3 3 2 7 2 6" xfId="13336" xr:uid="{00000000-0005-0000-0000-00007F620000}"/>
    <cellStyle name="Note 4 3 3 3 2 7 2 7" xfId="17164" xr:uid="{00000000-0005-0000-0000-000080620000}"/>
    <cellStyle name="Note 4 3 3 3 2 7 2 8" xfId="21106" xr:uid="{00000000-0005-0000-0000-000081620000}"/>
    <cellStyle name="Note 4 3 3 3 2 7 2 9" xfId="24917" xr:uid="{00000000-0005-0000-0000-000082620000}"/>
    <cellStyle name="Note 4 3 3 3 2 7 3" xfId="1590" xr:uid="{00000000-0005-0000-0000-000083620000}"/>
    <cellStyle name="Note 4 3 3 3 2 7 3 10" xfId="32877" xr:uid="{00000000-0005-0000-0000-000084620000}"/>
    <cellStyle name="Note 4 3 3 3 2 7 3 11" xfId="36647" xr:uid="{00000000-0005-0000-0000-000085620000}"/>
    <cellStyle name="Note 4 3 3 3 2 7 3 12" xfId="40638" xr:uid="{00000000-0005-0000-0000-000086620000}"/>
    <cellStyle name="Note 4 3 3 3 2 7 3 13" xfId="44469" xr:uid="{00000000-0005-0000-0000-000087620000}"/>
    <cellStyle name="Note 4 3 3 3 2 7 3 2" xfId="3580" xr:uid="{00000000-0005-0000-0000-000088620000}"/>
    <cellStyle name="Note 4 3 3 3 2 7 3 2 10" xfId="38631" xr:uid="{00000000-0005-0000-0000-000089620000}"/>
    <cellStyle name="Note 4 3 3 3 2 7 3 2 11" xfId="42642" xr:uid="{00000000-0005-0000-0000-00008A620000}"/>
    <cellStyle name="Note 4 3 3 3 2 7 3 2 12" xfId="46407" xr:uid="{00000000-0005-0000-0000-00008B620000}"/>
    <cellStyle name="Note 4 3 3 3 2 7 3 2 2" xfId="7447" xr:uid="{00000000-0005-0000-0000-00008C620000}"/>
    <cellStyle name="Note 4 3 3 3 2 7 3 2 3" xfId="11882" xr:uid="{00000000-0005-0000-0000-00008D620000}"/>
    <cellStyle name="Note 4 3 3 3 2 7 3 2 4" xfId="15727" xr:uid="{00000000-0005-0000-0000-00008E620000}"/>
    <cellStyle name="Note 4 3 3 3 2 7 3 2 5" xfId="19574" xr:uid="{00000000-0005-0000-0000-00008F620000}"/>
    <cellStyle name="Note 4 3 3 3 2 7 3 2 6" xfId="23490" xr:uid="{00000000-0005-0000-0000-000090620000}"/>
    <cellStyle name="Note 4 3 3 3 2 7 3 2 7" xfId="27324" xr:uid="{00000000-0005-0000-0000-000091620000}"/>
    <cellStyle name="Note 4 3 3 3 2 7 3 2 8" xfId="31190" xr:uid="{00000000-0005-0000-0000-000092620000}"/>
    <cellStyle name="Note 4 3 3 3 2 7 3 2 9" xfId="34845" xr:uid="{00000000-0005-0000-0000-000093620000}"/>
    <cellStyle name="Note 4 3 3 3 2 7 3 3" xfId="5523" xr:uid="{00000000-0005-0000-0000-000094620000}"/>
    <cellStyle name="Note 4 3 3 3 2 7 3 4" xfId="9881" xr:uid="{00000000-0005-0000-0000-000095620000}"/>
    <cellStyle name="Note 4 3 3 3 2 7 3 5" xfId="13727" xr:uid="{00000000-0005-0000-0000-000096620000}"/>
    <cellStyle name="Note 4 3 3 3 2 7 3 6" xfId="17556" xr:uid="{00000000-0005-0000-0000-000097620000}"/>
    <cellStyle name="Note 4 3 3 3 2 7 3 7" xfId="21495" xr:uid="{00000000-0005-0000-0000-000098620000}"/>
    <cellStyle name="Note 4 3 3 3 2 7 3 8" xfId="25308" xr:uid="{00000000-0005-0000-0000-000099620000}"/>
    <cellStyle name="Note 4 3 3 3 2 7 3 9" xfId="29195" xr:uid="{00000000-0005-0000-0000-00009A620000}"/>
    <cellStyle name="Note 4 3 3 3 2 7 4" xfId="2849" xr:uid="{00000000-0005-0000-0000-00009B620000}"/>
    <cellStyle name="Note 4 3 3 3 2 7 4 10" xfId="37901" xr:uid="{00000000-0005-0000-0000-00009C620000}"/>
    <cellStyle name="Note 4 3 3 3 2 7 4 11" xfId="41913" xr:uid="{00000000-0005-0000-0000-00009D620000}"/>
    <cellStyle name="Note 4 3 3 3 2 7 4 12" xfId="45690" xr:uid="{00000000-0005-0000-0000-00009E620000}"/>
    <cellStyle name="Note 4 3 3 3 2 7 4 2" xfId="6729" xr:uid="{00000000-0005-0000-0000-00009F620000}"/>
    <cellStyle name="Note 4 3 3 3 2 7 4 3" xfId="11156" xr:uid="{00000000-0005-0000-0000-0000A0620000}"/>
    <cellStyle name="Note 4 3 3 3 2 7 4 4" xfId="15001" xr:uid="{00000000-0005-0000-0000-0000A1620000}"/>
    <cellStyle name="Note 4 3 3 3 2 7 4 5" xfId="18843" xr:uid="{00000000-0005-0000-0000-0000A2620000}"/>
    <cellStyle name="Note 4 3 3 3 2 7 4 6" xfId="22769" xr:uid="{00000000-0005-0000-0000-0000A3620000}"/>
    <cellStyle name="Note 4 3 3 3 2 7 4 7" xfId="26594" xr:uid="{00000000-0005-0000-0000-0000A4620000}"/>
    <cellStyle name="Note 4 3 3 3 2 7 4 8" xfId="30471" xr:uid="{00000000-0005-0000-0000-0000A5620000}"/>
    <cellStyle name="Note 4 3 3 3 2 7 4 9" xfId="34128" xr:uid="{00000000-0005-0000-0000-0000A6620000}"/>
    <cellStyle name="Note 4 3 3 3 2 7 5" xfId="4805" xr:uid="{00000000-0005-0000-0000-0000A7620000}"/>
    <cellStyle name="Note 4 3 3 3 2 7 6" xfId="9159" xr:uid="{00000000-0005-0000-0000-0000A8620000}"/>
    <cellStyle name="Note 4 3 3 3 2 7 7" xfId="13000" xr:uid="{00000000-0005-0000-0000-0000A9620000}"/>
    <cellStyle name="Note 4 3 3 3 2 7 8" xfId="16825" xr:uid="{00000000-0005-0000-0000-0000AA620000}"/>
    <cellStyle name="Note 4 3 3 3 2 7 9" xfId="20767" xr:uid="{00000000-0005-0000-0000-0000AB620000}"/>
    <cellStyle name="Note 4 3 3 3 2 8" xfId="826" xr:uid="{00000000-0005-0000-0000-0000AC620000}"/>
    <cellStyle name="Note 4 3 3 3 2 8 10" xfId="28441" xr:uid="{00000000-0005-0000-0000-0000AD620000}"/>
    <cellStyle name="Note 4 3 3 3 2 8 11" xfId="32127" xr:uid="{00000000-0005-0000-0000-0000AE620000}"/>
    <cellStyle name="Note 4 3 3 3 2 8 12" xfId="35884" xr:uid="{00000000-0005-0000-0000-0000AF620000}"/>
    <cellStyle name="Note 4 3 3 3 2 8 13" xfId="39895" xr:uid="{00000000-0005-0000-0000-0000B0620000}"/>
    <cellStyle name="Note 4 3 3 3 2 8 14" xfId="43710" xr:uid="{00000000-0005-0000-0000-0000B1620000}"/>
    <cellStyle name="Note 4 3 3 3 2 8 2" xfId="1557" xr:uid="{00000000-0005-0000-0000-0000B2620000}"/>
    <cellStyle name="Note 4 3 3 3 2 8 2 10" xfId="32844" xr:uid="{00000000-0005-0000-0000-0000B3620000}"/>
    <cellStyle name="Note 4 3 3 3 2 8 2 11" xfId="36614" xr:uid="{00000000-0005-0000-0000-0000B4620000}"/>
    <cellStyle name="Note 4 3 3 3 2 8 2 12" xfId="40605" xr:uid="{00000000-0005-0000-0000-0000B5620000}"/>
    <cellStyle name="Note 4 3 3 3 2 8 2 13" xfId="44436" xr:uid="{00000000-0005-0000-0000-0000B6620000}"/>
    <cellStyle name="Note 4 3 3 3 2 8 2 2" xfId="3547" xr:uid="{00000000-0005-0000-0000-0000B7620000}"/>
    <cellStyle name="Note 4 3 3 3 2 8 2 2 10" xfId="38598" xr:uid="{00000000-0005-0000-0000-0000B8620000}"/>
    <cellStyle name="Note 4 3 3 3 2 8 2 2 11" xfId="42609" xr:uid="{00000000-0005-0000-0000-0000B9620000}"/>
    <cellStyle name="Note 4 3 3 3 2 8 2 2 12" xfId="46374" xr:uid="{00000000-0005-0000-0000-0000BA620000}"/>
    <cellStyle name="Note 4 3 3 3 2 8 2 2 2" xfId="7414" xr:uid="{00000000-0005-0000-0000-0000BB620000}"/>
    <cellStyle name="Note 4 3 3 3 2 8 2 2 3" xfId="11849" xr:uid="{00000000-0005-0000-0000-0000BC620000}"/>
    <cellStyle name="Note 4 3 3 3 2 8 2 2 4" xfId="15694" xr:uid="{00000000-0005-0000-0000-0000BD620000}"/>
    <cellStyle name="Note 4 3 3 3 2 8 2 2 5" xfId="19541" xr:uid="{00000000-0005-0000-0000-0000BE620000}"/>
    <cellStyle name="Note 4 3 3 3 2 8 2 2 6" xfId="23457" xr:uid="{00000000-0005-0000-0000-0000BF620000}"/>
    <cellStyle name="Note 4 3 3 3 2 8 2 2 7" xfId="27291" xr:uid="{00000000-0005-0000-0000-0000C0620000}"/>
    <cellStyle name="Note 4 3 3 3 2 8 2 2 8" xfId="31157" xr:uid="{00000000-0005-0000-0000-0000C1620000}"/>
    <cellStyle name="Note 4 3 3 3 2 8 2 2 9" xfId="34812" xr:uid="{00000000-0005-0000-0000-0000C2620000}"/>
    <cellStyle name="Note 4 3 3 3 2 8 2 3" xfId="5490" xr:uid="{00000000-0005-0000-0000-0000C3620000}"/>
    <cellStyle name="Note 4 3 3 3 2 8 2 4" xfId="9848" xr:uid="{00000000-0005-0000-0000-0000C4620000}"/>
    <cellStyle name="Note 4 3 3 3 2 8 2 5" xfId="13694" xr:uid="{00000000-0005-0000-0000-0000C5620000}"/>
    <cellStyle name="Note 4 3 3 3 2 8 2 6" xfId="17523" xr:uid="{00000000-0005-0000-0000-0000C6620000}"/>
    <cellStyle name="Note 4 3 3 3 2 8 2 7" xfId="21462" xr:uid="{00000000-0005-0000-0000-0000C7620000}"/>
    <cellStyle name="Note 4 3 3 3 2 8 2 8" xfId="25275" xr:uid="{00000000-0005-0000-0000-0000C8620000}"/>
    <cellStyle name="Note 4 3 3 3 2 8 2 9" xfId="29162" xr:uid="{00000000-0005-0000-0000-0000C9620000}"/>
    <cellStyle name="Note 4 3 3 3 2 8 3" xfId="2816" xr:uid="{00000000-0005-0000-0000-0000CA620000}"/>
    <cellStyle name="Note 4 3 3 3 2 8 3 10" xfId="37868" xr:uid="{00000000-0005-0000-0000-0000CB620000}"/>
    <cellStyle name="Note 4 3 3 3 2 8 3 11" xfId="41880" xr:uid="{00000000-0005-0000-0000-0000CC620000}"/>
    <cellStyle name="Note 4 3 3 3 2 8 3 12" xfId="45657" xr:uid="{00000000-0005-0000-0000-0000CD620000}"/>
    <cellStyle name="Note 4 3 3 3 2 8 3 2" xfId="6696" xr:uid="{00000000-0005-0000-0000-0000CE620000}"/>
    <cellStyle name="Note 4 3 3 3 2 8 3 3" xfId="11123" xr:uid="{00000000-0005-0000-0000-0000CF620000}"/>
    <cellStyle name="Note 4 3 3 3 2 8 3 4" xfId="14968" xr:uid="{00000000-0005-0000-0000-0000D0620000}"/>
    <cellStyle name="Note 4 3 3 3 2 8 3 5" xfId="18810" xr:uid="{00000000-0005-0000-0000-0000D1620000}"/>
    <cellStyle name="Note 4 3 3 3 2 8 3 6" xfId="22736" xr:uid="{00000000-0005-0000-0000-0000D2620000}"/>
    <cellStyle name="Note 4 3 3 3 2 8 3 7" xfId="26561" xr:uid="{00000000-0005-0000-0000-0000D3620000}"/>
    <cellStyle name="Note 4 3 3 3 2 8 3 8" xfId="30438" xr:uid="{00000000-0005-0000-0000-0000D4620000}"/>
    <cellStyle name="Note 4 3 3 3 2 8 3 9" xfId="34095" xr:uid="{00000000-0005-0000-0000-0000D5620000}"/>
    <cellStyle name="Note 4 3 3 3 2 8 4" xfId="4772" xr:uid="{00000000-0005-0000-0000-0000D6620000}"/>
    <cellStyle name="Note 4 3 3 3 2 8 5" xfId="9126" xr:uid="{00000000-0005-0000-0000-0000D7620000}"/>
    <cellStyle name="Note 4 3 3 3 2 8 6" xfId="12967" xr:uid="{00000000-0005-0000-0000-0000D8620000}"/>
    <cellStyle name="Note 4 3 3 3 2 8 7" xfId="16792" xr:uid="{00000000-0005-0000-0000-0000D9620000}"/>
    <cellStyle name="Note 4 3 3 3 2 8 8" xfId="20734" xr:uid="{00000000-0005-0000-0000-0000DA620000}"/>
    <cellStyle name="Note 4 3 3 3 2 8 9" xfId="24550" xr:uid="{00000000-0005-0000-0000-0000DB620000}"/>
    <cellStyle name="Note 4 3 3 3 2 9" xfId="1285" xr:uid="{00000000-0005-0000-0000-0000DC620000}"/>
    <cellStyle name="Note 4 3 3 3 2 9 10" xfId="32572" xr:uid="{00000000-0005-0000-0000-0000DD620000}"/>
    <cellStyle name="Note 4 3 3 3 2 9 11" xfId="36342" xr:uid="{00000000-0005-0000-0000-0000DE620000}"/>
    <cellStyle name="Note 4 3 3 3 2 9 12" xfId="40334" xr:uid="{00000000-0005-0000-0000-0000DF620000}"/>
    <cellStyle name="Note 4 3 3 3 2 9 13" xfId="44164" xr:uid="{00000000-0005-0000-0000-0000E0620000}"/>
    <cellStyle name="Note 4 3 3 3 2 9 2" xfId="3275" xr:uid="{00000000-0005-0000-0000-0000E1620000}"/>
    <cellStyle name="Note 4 3 3 3 2 9 2 10" xfId="38326" xr:uid="{00000000-0005-0000-0000-0000E2620000}"/>
    <cellStyle name="Note 4 3 3 3 2 9 2 11" xfId="42337" xr:uid="{00000000-0005-0000-0000-0000E3620000}"/>
    <cellStyle name="Note 4 3 3 3 2 9 2 12" xfId="46102" xr:uid="{00000000-0005-0000-0000-0000E4620000}"/>
    <cellStyle name="Note 4 3 3 3 2 9 2 2" xfId="7142" xr:uid="{00000000-0005-0000-0000-0000E5620000}"/>
    <cellStyle name="Note 4 3 3 3 2 9 2 3" xfId="11577" xr:uid="{00000000-0005-0000-0000-0000E6620000}"/>
    <cellStyle name="Note 4 3 3 3 2 9 2 4" xfId="15422" xr:uid="{00000000-0005-0000-0000-0000E7620000}"/>
    <cellStyle name="Note 4 3 3 3 2 9 2 5" xfId="19269" xr:uid="{00000000-0005-0000-0000-0000E8620000}"/>
    <cellStyle name="Note 4 3 3 3 2 9 2 6" xfId="23185" xr:uid="{00000000-0005-0000-0000-0000E9620000}"/>
    <cellStyle name="Note 4 3 3 3 2 9 2 7" xfId="27019" xr:uid="{00000000-0005-0000-0000-0000EA620000}"/>
    <cellStyle name="Note 4 3 3 3 2 9 2 8" xfId="30889" xr:uid="{00000000-0005-0000-0000-0000EB620000}"/>
    <cellStyle name="Note 4 3 3 3 2 9 2 9" xfId="34540" xr:uid="{00000000-0005-0000-0000-0000EC620000}"/>
    <cellStyle name="Note 4 3 3 3 2 9 3" xfId="5218" xr:uid="{00000000-0005-0000-0000-0000ED620000}"/>
    <cellStyle name="Note 4 3 3 3 2 9 4" xfId="9576" xr:uid="{00000000-0005-0000-0000-0000EE620000}"/>
    <cellStyle name="Note 4 3 3 3 2 9 5" xfId="13422" xr:uid="{00000000-0005-0000-0000-0000EF620000}"/>
    <cellStyle name="Note 4 3 3 3 2 9 6" xfId="17251" xr:uid="{00000000-0005-0000-0000-0000F0620000}"/>
    <cellStyle name="Note 4 3 3 3 2 9 7" xfId="21190" xr:uid="{00000000-0005-0000-0000-0000F1620000}"/>
    <cellStyle name="Note 4 3 3 3 2 9 8" xfId="25003" xr:uid="{00000000-0005-0000-0000-0000F2620000}"/>
    <cellStyle name="Note 4 3 3 3 2 9 9" xfId="28891" xr:uid="{00000000-0005-0000-0000-0000F3620000}"/>
    <cellStyle name="Note 4 3 3 3 20" xfId="8708" xr:uid="{00000000-0005-0000-0000-0000F4620000}"/>
    <cellStyle name="Note 4 3 3 3 21" xfId="8800" xr:uid="{00000000-0005-0000-0000-0000F5620000}"/>
    <cellStyle name="Note 4 3 3 3 22" xfId="8523" xr:uid="{00000000-0005-0000-0000-0000F6620000}"/>
    <cellStyle name="Note 4 3 3 3 23" xfId="8641" xr:uid="{00000000-0005-0000-0000-0000F7620000}"/>
    <cellStyle name="Note 4 3 3 3 24" xfId="8450" xr:uid="{00000000-0005-0000-0000-0000F8620000}"/>
    <cellStyle name="Note 4 3 3 3 25" xfId="9053" xr:uid="{00000000-0005-0000-0000-0000F9620000}"/>
    <cellStyle name="Note 4 3 3 3 26" xfId="8610" xr:uid="{00000000-0005-0000-0000-0000FA620000}"/>
    <cellStyle name="Note 4 3 3 3 27" xfId="10907" xr:uid="{00000000-0005-0000-0000-0000FB620000}"/>
    <cellStyle name="Note 4 3 3 3 28" xfId="39622" xr:uid="{00000000-0005-0000-0000-0000FC620000}"/>
    <cellStyle name="Note 4 3 3 3 29" xfId="39610" xr:uid="{00000000-0005-0000-0000-0000FD620000}"/>
    <cellStyle name="Note 4 3 3 3 3" xfId="566" xr:uid="{00000000-0005-0000-0000-0000FE620000}"/>
    <cellStyle name="Note 4 3 3 3 3 10" xfId="2216" xr:uid="{00000000-0005-0000-0000-0000FF620000}"/>
    <cellStyle name="Note 4 3 3 3 3 10 10" xfId="33517" xr:uid="{00000000-0005-0000-0000-000000630000}"/>
    <cellStyle name="Note 4 3 3 3 3 10 11" xfId="37268" xr:uid="{00000000-0005-0000-0000-000001630000}"/>
    <cellStyle name="Note 4 3 3 3 3 10 12" xfId="41284" xr:uid="{00000000-0005-0000-0000-000002630000}"/>
    <cellStyle name="Note 4 3 3 3 3 10 13" xfId="45079" xr:uid="{00000000-0005-0000-0000-000003630000}"/>
    <cellStyle name="Note 4 3 3 3 3 10 2" xfId="4199" xr:uid="{00000000-0005-0000-0000-000004630000}"/>
    <cellStyle name="Note 4 3 3 3 3 10 2 10" xfId="39250" xr:uid="{00000000-0005-0000-0000-000005630000}"/>
    <cellStyle name="Note 4 3 3 3 3 10 2 11" xfId="43260" xr:uid="{00000000-0005-0000-0000-000006630000}"/>
    <cellStyle name="Note 4 3 3 3 3 10 2 12" xfId="47017" xr:uid="{00000000-0005-0000-0000-000007630000}"/>
    <cellStyle name="Note 4 3 3 3 3 10 2 2" xfId="8058" xr:uid="{00000000-0005-0000-0000-000008630000}"/>
    <cellStyle name="Note 4 3 3 3 3 10 2 3" xfId="12498" xr:uid="{00000000-0005-0000-0000-000009630000}"/>
    <cellStyle name="Note 4 3 3 3 3 10 2 4" xfId="16343" xr:uid="{00000000-0005-0000-0000-00000A630000}"/>
    <cellStyle name="Note 4 3 3 3 3 10 2 5" xfId="20193" xr:uid="{00000000-0005-0000-0000-00000B630000}"/>
    <cellStyle name="Note 4 3 3 3 3 10 2 6" xfId="24105" xr:uid="{00000000-0005-0000-0000-00000C630000}"/>
    <cellStyle name="Note 4 3 3 3 3 10 2 7" xfId="27943" xr:uid="{00000000-0005-0000-0000-00000D630000}"/>
    <cellStyle name="Note 4 3 3 3 3 10 2 8" xfId="31802" xr:uid="{00000000-0005-0000-0000-00000E630000}"/>
    <cellStyle name="Note 4 3 3 3 3 10 2 9" xfId="35455" xr:uid="{00000000-0005-0000-0000-00000F630000}"/>
    <cellStyle name="Note 4 3 3 3 3 10 3" xfId="6130" xr:uid="{00000000-0005-0000-0000-000010630000}"/>
    <cellStyle name="Note 4 3 3 3 3 10 4" xfId="10533" xr:uid="{00000000-0005-0000-0000-000011630000}"/>
    <cellStyle name="Note 4 3 3 3 3 10 5" xfId="14379" xr:uid="{00000000-0005-0000-0000-000012630000}"/>
    <cellStyle name="Note 4 3 3 3 3 10 6" xfId="18210" xr:uid="{00000000-0005-0000-0000-000013630000}"/>
    <cellStyle name="Note 4 3 3 3 3 10 7" xfId="22149" xr:uid="{00000000-0005-0000-0000-000014630000}"/>
    <cellStyle name="Note 4 3 3 3 3 10 8" xfId="25961" xr:uid="{00000000-0005-0000-0000-000015630000}"/>
    <cellStyle name="Note 4 3 3 3 3 10 9" xfId="29841" xr:uid="{00000000-0005-0000-0000-000016630000}"/>
    <cellStyle name="Note 4 3 3 3 3 11" xfId="2274" xr:uid="{00000000-0005-0000-0000-000017630000}"/>
    <cellStyle name="Note 4 3 3 3 3 11 10" xfId="33575" xr:uid="{00000000-0005-0000-0000-000018630000}"/>
    <cellStyle name="Note 4 3 3 3 3 11 11" xfId="37326" xr:uid="{00000000-0005-0000-0000-000019630000}"/>
    <cellStyle name="Note 4 3 3 3 3 11 12" xfId="41342" xr:uid="{00000000-0005-0000-0000-00001A630000}"/>
    <cellStyle name="Note 4 3 3 3 3 11 13" xfId="45137" xr:uid="{00000000-0005-0000-0000-00001B630000}"/>
    <cellStyle name="Note 4 3 3 3 3 11 2" xfId="4257" xr:uid="{00000000-0005-0000-0000-00001C630000}"/>
    <cellStyle name="Note 4 3 3 3 3 11 2 10" xfId="39308" xr:uid="{00000000-0005-0000-0000-00001D630000}"/>
    <cellStyle name="Note 4 3 3 3 3 11 2 11" xfId="43318" xr:uid="{00000000-0005-0000-0000-00001E630000}"/>
    <cellStyle name="Note 4 3 3 3 3 11 2 12" xfId="47075" xr:uid="{00000000-0005-0000-0000-00001F630000}"/>
    <cellStyle name="Note 4 3 3 3 3 11 2 2" xfId="8116" xr:uid="{00000000-0005-0000-0000-000020630000}"/>
    <cellStyle name="Note 4 3 3 3 3 11 2 3" xfId="12556" xr:uid="{00000000-0005-0000-0000-000021630000}"/>
    <cellStyle name="Note 4 3 3 3 3 11 2 4" xfId="16401" xr:uid="{00000000-0005-0000-0000-000022630000}"/>
    <cellStyle name="Note 4 3 3 3 3 11 2 5" xfId="20251" xr:uid="{00000000-0005-0000-0000-000023630000}"/>
    <cellStyle name="Note 4 3 3 3 3 11 2 6" xfId="24163" xr:uid="{00000000-0005-0000-0000-000024630000}"/>
    <cellStyle name="Note 4 3 3 3 3 11 2 7" xfId="28001" xr:uid="{00000000-0005-0000-0000-000025630000}"/>
    <cellStyle name="Note 4 3 3 3 3 11 2 8" xfId="31860" xr:uid="{00000000-0005-0000-0000-000026630000}"/>
    <cellStyle name="Note 4 3 3 3 3 11 2 9" xfId="35513" xr:uid="{00000000-0005-0000-0000-000027630000}"/>
    <cellStyle name="Note 4 3 3 3 3 11 3" xfId="6188" xr:uid="{00000000-0005-0000-0000-000028630000}"/>
    <cellStyle name="Note 4 3 3 3 3 11 4" xfId="10591" xr:uid="{00000000-0005-0000-0000-000029630000}"/>
    <cellStyle name="Note 4 3 3 3 3 11 5" xfId="14437" xr:uid="{00000000-0005-0000-0000-00002A630000}"/>
    <cellStyle name="Note 4 3 3 3 3 11 6" xfId="18268" xr:uid="{00000000-0005-0000-0000-00002B630000}"/>
    <cellStyle name="Note 4 3 3 3 3 11 7" xfId="22207" xr:uid="{00000000-0005-0000-0000-00002C630000}"/>
    <cellStyle name="Note 4 3 3 3 3 11 8" xfId="26019" xr:uid="{00000000-0005-0000-0000-00002D630000}"/>
    <cellStyle name="Note 4 3 3 3 3 11 9" xfId="29899" xr:uid="{00000000-0005-0000-0000-00002E630000}"/>
    <cellStyle name="Note 4 3 3 3 3 12" xfId="2331" xr:uid="{00000000-0005-0000-0000-00002F630000}"/>
    <cellStyle name="Note 4 3 3 3 3 12 10" xfId="33630" xr:uid="{00000000-0005-0000-0000-000030630000}"/>
    <cellStyle name="Note 4 3 3 3 3 12 11" xfId="37383" xr:uid="{00000000-0005-0000-0000-000031630000}"/>
    <cellStyle name="Note 4 3 3 3 3 12 12" xfId="41399" xr:uid="{00000000-0005-0000-0000-000032630000}"/>
    <cellStyle name="Note 4 3 3 3 3 12 13" xfId="45192" xr:uid="{00000000-0005-0000-0000-000033630000}"/>
    <cellStyle name="Note 4 3 3 3 3 12 2" xfId="4314" xr:uid="{00000000-0005-0000-0000-000034630000}"/>
    <cellStyle name="Note 4 3 3 3 3 12 2 10" xfId="39365" xr:uid="{00000000-0005-0000-0000-000035630000}"/>
    <cellStyle name="Note 4 3 3 3 3 12 2 11" xfId="43375" xr:uid="{00000000-0005-0000-0000-000036630000}"/>
    <cellStyle name="Note 4 3 3 3 3 12 2 12" xfId="47130" xr:uid="{00000000-0005-0000-0000-000037630000}"/>
    <cellStyle name="Note 4 3 3 3 3 12 2 2" xfId="8171" xr:uid="{00000000-0005-0000-0000-000038630000}"/>
    <cellStyle name="Note 4 3 3 3 3 12 2 3" xfId="12613" xr:uid="{00000000-0005-0000-0000-000039630000}"/>
    <cellStyle name="Note 4 3 3 3 3 12 2 4" xfId="16457" xr:uid="{00000000-0005-0000-0000-00003A630000}"/>
    <cellStyle name="Note 4 3 3 3 3 12 2 5" xfId="20308" xr:uid="{00000000-0005-0000-0000-00003B630000}"/>
    <cellStyle name="Note 4 3 3 3 3 12 2 6" xfId="24219" xr:uid="{00000000-0005-0000-0000-00003C630000}"/>
    <cellStyle name="Note 4 3 3 3 3 12 2 7" xfId="28058" xr:uid="{00000000-0005-0000-0000-00003D630000}"/>
    <cellStyle name="Note 4 3 3 3 3 12 2 8" xfId="31917" xr:uid="{00000000-0005-0000-0000-00003E630000}"/>
    <cellStyle name="Note 4 3 3 3 3 12 2 9" xfId="35568" xr:uid="{00000000-0005-0000-0000-00003F630000}"/>
    <cellStyle name="Note 4 3 3 3 3 12 3" xfId="6243" xr:uid="{00000000-0005-0000-0000-000040630000}"/>
    <cellStyle name="Note 4 3 3 3 3 12 4" xfId="10648" xr:uid="{00000000-0005-0000-0000-000041630000}"/>
    <cellStyle name="Note 4 3 3 3 3 12 5" xfId="14493" xr:uid="{00000000-0005-0000-0000-000042630000}"/>
    <cellStyle name="Note 4 3 3 3 3 12 6" xfId="18325" xr:uid="{00000000-0005-0000-0000-000043630000}"/>
    <cellStyle name="Note 4 3 3 3 3 12 7" xfId="22263" xr:uid="{00000000-0005-0000-0000-000044630000}"/>
    <cellStyle name="Note 4 3 3 3 3 12 8" xfId="26076" xr:uid="{00000000-0005-0000-0000-000045630000}"/>
    <cellStyle name="Note 4 3 3 3 3 12 9" xfId="29956" xr:uid="{00000000-0005-0000-0000-000046630000}"/>
    <cellStyle name="Note 4 3 3 3 3 13" xfId="2396" xr:uid="{00000000-0005-0000-0000-000047630000}"/>
    <cellStyle name="Note 4 3 3 3 3 13 10" xfId="33694" xr:uid="{00000000-0005-0000-0000-000048630000}"/>
    <cellStyle name="Note 4 3 3 3 3 13 11" xfId="37448" xr:uid="{00000000-0005-0000-0000-000049630000}"/>
    <cellStyle name="Note 4 3 3 3 3 13 12" xfId="41463" xr:uid="{00000000-0005-0000-0000-00004A630000}"/>
    <cellStyle name="Note 4 3 3 3 3 13 13" xfId="45256" xr:uid="{00000000-0005-0000-0000-00004B630000}"/>
    <cellStyle name="Note 4 3 3 3 3 13 2" xfId="4379" xr:uid="{00000000-0005-0000-0000-00004C630000}"/>
    <cellStyle name="Note 4 3 3 3 3 13 2 10" xfId="39430" xr:uid="{00000000-0005-0000-0000-00004D630000}"/>
    <cellStyle name="Note 4 3 3 3 3 13 2 11" xfId="43439" xr:uid="{00000000-0005-0000-0000-00004E630000}"/>
    <cellStyle name="Note 4 3 3 3 3 13 2 12" xfId="47194" xr:uid="{00000000-0005-0000-0000-00004F630000}"/>
    <cellStyle name="Note 4 3 3 3 3 13 2 2" xfId="8236" xr:uid="{00000000-0005-0000-0000-000050630000}"/>
    <cellStyle name="Note 4 3 3 3 3 13 2 3" xfId="12677" xr:uid="{00000000-0005-0000-0000-000051630000}"/>
    <cellStyle name="Note 4 3 3 3 3 13 2 4" xfId="16522" xr:uid="{00000000-0005-0000-0000-000052630000}"/>
    <cellStyle name="Note 4 3 3 3 3 13 2 5" xfId="20373" xr:uid="{00000000-0005-0000-0000-000053630000}"/>
    <cellStyle name="Note 4 3 3 3 3 13 2 6" xfId="24284" xr:uid="{00000000-0005-0000-0000-000054630000}"/>
    <cellStyle name="Note 4 3 3 3 3 13 2 7" xfId="28123" xr:uid="{00000000-0005-0000-0000-000055630000}"/>
    <cellStyle name="Note 4 3 3 3 3 13 2 8" xfId="31981" xr:uid="{00000000-0005-0000-0000-000056630000}"/>
    <cellStyle name="Note 4 3 3 3 3 13 2 9" xfId="35632" xr:uid="{00000000-0005-0000-0000-000057630000}"/>
    <cellStyle name="Note 4 3 3 3 3 13 3" xfId="6292" xr:uid="{00000000-0005-0000-0000-000058630000}"/>
    <cellStyle name="Note 4 3 3 3 3 13 4" xfId="10712" xr:uid="{00000000-0005-0000-0000-000059630000}"/>
    <cellStyle name="Note 4 3 3 3 3 13 5" xfId="14558" xr:uid="{00000000-0005-0000-0000-00005A630000}"/>
    <cellStyle name="Note 4 3 3 3 3 13 6" xfId="18390" xr:uid="{00000000-0005-0000-0000-00005B630000}"/>
    <cellStyle name="Note 4 3 3 3 3 13 7" xfId="22328" xr:uid="{00000000-0005-0000-0000-00005C630000}"/>
    <cellStyle name="Note 4 3 3 3 3 13 8" xfId="26141" xr:uid="{00000000-0005-0000-0000-00005D630000}"/>
    <cellStyle name="Note 4 3 3 3 3 13 9" xfId="30021" xr:uid="{00000000-0005-0000-0000-00005E630000}"/>
    <cellStyle name="Note 4 3 3 3 3 14" xfId="2448" xr:uid="{00000000-0005-0000-0000-00005F630000}"/>
    <cellStyle name="Note 4 3 3 3 3 14 10" xfId="33744" xr:uid="{00000000-0005-0000-0000-000060630000}"/>
    <cellStyle name="Note 4 3 3 3 3 14 11" xfId="37500" xr:uid="{00000000-0005-0000-0000-000061630000}"/>
    <cellStyle name="Note 4 3 3 3 3 14 12" xfId="41515" xr:uid="{00000000-0005-0000-0000-000062630000}"/>
    <cellStyle name="Note 4 3 3 3 3 14 13" xfId="45306" xr:uid="{00000000-0005-0000-0000-000063630000}"/>
    <cellStyle name="Note 4 3 3 3 3 14 2" xfId="4431" xr:uid="{00000000-0005-0000-0000-000064630000}"/>
    <cellStyle name="Note 4 3 3 3 3 14 2 10" xfId="39482" xr:uid="{00000000-0005-0000-0000-000065630000}"/>
    <cellStyle name="Note 4 3 3 3 3 14 2 11" xfId="43491" xr:uid="{00000000-0005-0000-0000-000066630000}"/>
    <cellStyle name="Note 4 3 3 3 3 14 2 12" xfId="47244" xr:uid="{00000000-0005-0000-0000-000067630000}"/>
    <cellStyle name="Note 4 3 3 3 3 14 2 2" xfId="8286" xr:uid="{00000000-0005-0000-0000-000068630000}"/>
    <cellStyle name="Note 4 3 3 3 3 14 2 3" xfId="12729" xr:uid="{00000000-0005-0000-0000-000069630000}"/>
    <cellStyle name="Note 4 3 3 3 3 14 2 4" xfId="16572" xr:uid="{00000000-0005-0000-0000-00006A630000}"/>
    <cellStyle name="Note 4 3 3 3 3 14 2 5" xfId="20425" xr:uid="{00000000-0005-0000-0000-00006B630000}"/>
    <cellStyle name="Note 4 3 3 3 3 14 2 6" xfId="24335" xr:uid="{00000000-0005-0000-0000-00006C630000}"/>
    <cellStyle name="Note 4 3 3 3 3 14 2 7" xfId="28175" xr:uid="{00000000-0005-0000-0000-00006D630000}"/>
    <cellStyle name="Note 4 3 3 3 3 14 2 8" xfId="32033" xr:uid="{00000000-0005-0000-0000-00006E630000}"/>
    <cellStyle name="Note 4 3 3 3 3 14 2 9" xfId="35682" xr:uid="{00000000-0005-0000-0000-00006F630000}"/>
    <cellStyle name="Note 4 3 3 3 3 14 3" xfId="6342" xr:uid="{00000000-0005-0000-0000-000070630000}"/>
    <cellStyle name="Note 4 3 3 3 3 14 4" xfId="10764" xr:uid="{00000000-0005-0000-0000-000071630000}"/>
    <cellStyle name="Note 4 3 3 3 3 14 5" xfId="14609" xr:uid="{00000000-0005-0000-0000-000072630000}"/>
    <cellStyle name="Note 4 3 3 3 3 14 6" xfId="18442" xr:uid="{00000000-0005-0000-0000-000073630000}"/>
    <cellStyle name="Note 4 3 3 3 3 14 7" xfId="22379" xr:uid="{00000000-0005-0000-0000-000074630000}"/>
    <cellStyle name="Note 4 3 3 3 3 14 8" xfId="26193" xr:uid="{00000000-0005-0000-0000-000075630000}"/>
    <cellStyle name="Note 4 3 3 3 3 14 9" xfId="30072" xr:uid="{00000000-0005-0000-0000-000076630000}"/>
    <cellStyle name="Note 4 3 3 3 3 15" xfId="2502" xr:uid="{00000000-0005-0000-0000-000077630000}"/>
    <cellStyle name="Note 4 3 3 3 3 15 10" xfId="33795" xr:uid="{00000000-0005-0000-0000-000078630000}"/>
    <cellStyle name="Note 4 3 3 3 3 15 11" xfId="37554" xr:uid="{00000000-0005-0000-0000-000079630000}"/>
    <cellStyle name="Note 4 3 3 3 3 15 12" xfId="41568" xr:uid="{00000000-0005-0000-0000-00007A630000}"/>
    <cellStyle name="Note 4 3 3 3 3 15 13" xfId="45357" xr:uid="{00000000-0005-0000-0000-00007B630000}"/>
    <cellStyle name="Note 4 3 3 3 3 15 2" xfId="4482" xr:uid="{00000000-0005-0000-0000-00007C630000}"/>
    <cellStyle name="Note 4 3 3 3 3 15 2 10" xfId="39533" xr:uid="{00000000-0005-0000-0000-00007D630000}"/>
    <cellStyle name="Note 4 3 3 3 3 15 2 11" xfId="43542" xr:uid="{00000000-0005-0000-0000-00007E630000}"/>
    <cellStyle name="Note 4 3 3 3 3 15 2 12" xfId="47295" xr:uid="{00000000-0005-0000-0000-00007F630000}"/>
    <cellStyle name="Note 4 3 3 3 3 15 2 2" xfId="8337" xr:uid="{00000000-0005-0000-0000-000080630000}"/>
    <cellStyle name="Note 4 3 3 3 3 15 2 3" xfId="12780" xr:uid="{00000000-0005-0000-0000-000081630000}"/>
    <cellStyle name="Note 4 3 3 3 3 15 2 4" xfId="16623" xr:uid="{00000000-0005-0000-0000-000082630000}"/>
    <cellStyle name="Note 4 3 3 3 3 15 2 5" xfId="20476" xr:uid="{00000000-0005-0000-0000-000083630000}"/>
    <cellStyle name="Note 4 3 3 3 3 15 2 6" xfId="24386" xr:uid="{00000000-0005-0000-0000-000084630000}"/>
    <cellStyle name="Note 4 3 3 3 3 15 2 7" xfId="28226" xr:uid="{00000000-0005-0000-0000-000085630000}"/>
    <cellStyle name="Note 4 3 3 3 3 15 2 8" xfId="32084" xr:uid="{00000000-0005-0000-0000-000086630000}"/>
    <cellStyle name="Note 4 3 3 3 3 15 2 9" xfId="35733" xr:uid="{00000000-0005-0000-0000-000087630000}"/>
    <cellStyle name="Note 4 3 3 3 3 15 3" xfId="6394" xr:uid="{00000000-0005-0000-0000-000088630000}"/>
    <cellStyle name="Note 4 3 3 3 3 15 4" xfId="10817" xr:uid="{00000000-0005-0000-0000-000089630000}"/>
    <cellStyle name="Note 4 3 3 3 3 15 5" xfId="14661" xr:uid="{00000000-0005-0000-0000-00008A630000}"/>
    <cellStyle name="Note 4 3 3 3 3 15 6" xfId="18496" xr:uid="{00000000-0005-0000-0000-00008B630000}"/>
    <cellStyle name="Note 4 3 3 3 3 15 7" xfId="22431" xr:uid="{00000000-0005-0000-0000-00008C630000}"/>
    <cellStyle name="Note 4 3 3 3 3 15 8" xfId="26247" xr:uid="{00000000-0005-0000-0000-00008D630000}"/>
    <cellStyle name="Note 4 3 3 3 3 15 9" xfId="30126" xr:uid="{00000000-0005-0000-0000-00008E630000}"/>
    <cellStyle name="Note 4 3 3 3 3 16" xfId="2571" xr:uid="{00000000-0005-0000-0000-00008F630000}"/>
    <cellStyle name="Note 4 3 3 3 3 16 10" xfId="37623" xr:uid="{00000000-0005-0000-0000-000090630000}"/>
    <cellStyle name="Note 4 3 3 3 3 16 11" xfId="41637" xr:uid="{00000000-0005-0000-0000-000091630000}"/>
    <cellStyle name="Note 4 3 3 3 3 16 12" xfId="45426" xr:uid="{00000000-0005-0000-0000-000092630000}"/>
    <cellStyle name="Note 4 3 3 3 3 16 2" xfId="6463" xr:uid="{00000000-0005-0000-0000-000093630000}"/>
    <cellStyle name="Note 4 3 3 3 3 16 3" xfId="10886" xr:uid="{00000000-0005-0000-0000-000094630000}"/>
    <cellStyle name="Note 4 3 3 3 3 16 4" xfId="14730" xr:uid="{00000000-0005-0000-0000-000095630000}"/>
    <cellStyle name="Note 4 3 3 3 3 16 5" xfId="18565" xr:uid="{00000000-0005-0000-0000-000096630000}"/>
    <cellStyle name="Note 4 3 3 3 3 16 6" xfId="22500" xr:uid="{00000000-0005-0000-0000-000097630000}"/>
    <cellStyle name="Note 4 3 3 3 3 16 7" xfId="26316" xr:uid="{00000000-0005-0000-0000-000098630000}"/>
    <cellStyle name="Note 4 3 3 3 3 16 8" xfId="30195" xr:uid="{00000000-0005-0000-0000-000099630000}"/>
    <cellStyle name="Note 4 3 3 3 3 16 9" xfId="33864" xr:uid="{00000000-0005-0000-0000-00009A630000}"/>
    <cellStyle name="Note 4 3 3 3 3 17" xfId="4539" xr:uid="{00000000-0005-0000-0000-00009B630000}"/>
    <cellStyle name="Note 4 3 3 3 3 18" xfId="8383" xr:uid="{00000000-0005-0000-0000-00009C630000}"/>
    <cellStyle name="Note 4 3 3 3 3 19" xfId="8756" xr:uid="{00000000-0005-0000-0000-00009D630000}"/>
    <cellStyle name="Note 4 3 3 3 3 2" xfId="700" xr:uid="{00000000-0005-0000-0000-00009E630000}"/>
    <cellStyle name="Note 4 3 3 3 3 2 10" xfId="24434" xr:uid="{00000000-0005-0000-0000-00009F630000}"/>
    <cellStyle name="Note 4 3 3 3 3 2 11" xfId="28327" xr:uid="{00000000-0005-0000-0000-0000A0630000}"/>
    <cellStyle name="Note 4 3 3 3 3 2 12" xfId="29909" xr:uid="{00000000-0005-0000-0000-0000A1630000}"/>
    <cellStyle name="Note 4 3 3 3 3 2 13" xfId="35771" xr:uid="{00000000-0005-0000-0000-0000A2630000}"/>
    <cellStyle name="Note 4 3 3 3 3 2 14" xfId="39794" xr:uid="{00000000-0005-0000-0000-0000A3630000}"/>
    <cellStyle name="Note 4 3 3 3 3 2 15" xfId="43597" xr:uid="{00000000-0005-0000-0000-0000A4630000}"/>
    <cellStyle name="Note 4 3 3 3 3 2 2" xfId="1080" xr:uid="{00000000-0005-0000-0000-0000A5630000}"/>
    <cellStyle name="Note 4 3 3 3 3 2 2 10" xfId="28691" xr:uid="{00000000-0005-0000-0000-0000A6630000}"/>
    <cellStyle name="Note 4 3 3 3 3 2 2 11" xfId="32377" xr:uid="{00000000-0005-0000-0000-0000A7630000}"/>
    <cellStyle name="Note 4 3 3 3 3 2 2 12" xfId="36138" xr:uid="{00000000-0005-0000-0000-0000A8630000}"/>
    <cellStyle name="Note 4 3 3 3 3 2 2 13" xfId="40141" xr:uid="{00000000-0005-0000-0000-0000A9630000}"/>
    <cellStyle name="Note 4 3 3 3 3 2 2 14" xfId="43964" xr:uid="{00000000-0005-0000-0000-0000AA630000}"/>
    <cellStyle name="Note 4 3 3 3 3 2 2 2" xfId="1807" xr:uid="{00000000-0005-0000-0000-0000AB630000}"/>
    <cellStyle name="Note 4 3 3 3 3 2 2 2 10" xfId="33094" xr:uid="{00000000-0005-0000-0000-0000AC630000}"/>
    <cellStyle name="Note 4 3 3 3 3 2 2 2 11" xfId="36864" xr:uid="{00000000-0005-0000-0000-0000AD630000}"/>
    <cellStyle name="Note 4 3 3 3 3 2 2 2 12" xfId="40855" xr:uid="{00000000-0005-0000-0000-0000AE630000}"/>
    <cellStyle name="Note 4 3 3 3 3 2 2 2 13" xfId="44686" xr:uid="{00000000-0005-0000-0000-0000AF630000}"/>
    <cellStyle name="Note 4 3 3 3 3 2 2 2 2" xfId="3797" xr:uid="{00000000-0005-0000-0000-0000B0630000}"/>
    <cellStyle name="Note 4 3 3 3 3 2 2 2 2 10" xfId="38848" xr:uid="{00000000-0005-0000-0000-0000B1630000}"/>
    <cellStyle name="Note 4 3 3 3 3 2 2 2 2 11" xfId="42859" xr:uid="{00000000-0005-0000-0000-0000B2630000}"/>
    <cellStyle name="Note 4 3 3 3 3 2 2 2 2 12" xfId="46624" xr:uid="{00000000-0005-0000-0000-0000B3630000}"/>
    <cellStyle name="Note 4 3 3 3 3 2 2 2 2 2" xfId="7664" xr:uid="{00000000-0005-0000-0000-0000B4630000}"/>
    <cellStyle name="Note 4 3 3 3 3 2 2 2 2 3" xfId="12099" xr:uid="{00000000-0005-0000-0000-0000B5630000}"/>
    <cellStyle name="Note 4 3 3 3 3 2 2 2 2 4" xfId="15944" xr:uid="{00000000-0005-0000-0000-0000B6630000}"/>
    <cellStyle name="Note 4 3 3 3 3 2 2 2 2 5" xfId="19791" xr:uid="{00000000-0005-0000-0000-0000B7630000}"/>
    <cellStyle name="Note 4 3 3 3 3 2 2 2 2 6" xfId="23707" xr:uid="{00000000-0005-0000-0000-0000B8630000}"/>
    <cellStyle name="Note 4 3 3 3 3 2 2 2 2 7" xfId="27541" xr:uid="{00000000-0005-0000-0000-0000B9630000}"/>
    <cellStyle name="Note 4 3 3 3 3 2 2 2 2 8" xfId="31405" xr:uid="{00000000-0005-0000-0000-0000BA630000}"/>
    <cellStyle name="Note 4 3 3 3 3 2 2 2 2 9" xfId="35062" xr:uid="{00000000-0005-0000-0000-0000BB630000}"/>
    <cellStyle name="Note 4 3 3 3 3 2 2 2 3" xfId="5740" xr:uid="{00000000-0005-0000-0000-0000BC630000}"/>
    <cellStyle name="Note 4 3 3 3 3 2 2 2 4" xfId="10098" xr:uid="{00000000-0005-0000-0000-0000BD630000}"/>
    <cellStyle name="Note 4 3 3 3 3 2 2 2 5" xfId="13944" xr:uid="{00000000-0005-0000-0000-0000BE630000}"/>
    <cellStyle name="Note 4 3 3 3 3 2 2 2 6" xfId="17773" xr:uid="{00000000-0005-0000-0000-0000BF630000}"/>
    <cellStyle name="Note 4 3 3 3 3 2 2 2 7" xfId="21712" xr:uid="{00000000-0005-0000-0000-0000C0630000}"/>
    <cellStyle name="Note 4 3 3 3 3 2 2 2 8" xfId="25525" xr:uid="{00000000-0005-0000-0000-0000C1630000}"/>
    <cellStyle name="Note 4 3 3 3 3 2 2 2 9" xfId="29412" xr:uid="{00000000-0005-0000-0000-0000C2630000}"/>
    <cellStyle name="Note 4 3 3 3 3 2 2 3" xfId="3070" xr:uid="{00000000-0005-0000-0000-0000C3630000}"/>
    <cellStyle name="Note 4 3 3 3 3 2 2 3 10" xfId="38122" xr:uid="{00000000-0005-0000-0000-0000C4630000}"/>
    <cellStyle name="Note 4 3 3 3 3 2 2 3 11" xfId="42134" xr:uid="{00000000-0005-0000-0000-0000C5630000}"/>
    <cellStyle name="Note 4 3 3 3 3 2 2 3 12" xfId="45907" xr:uid="{00000000-0005-0000-0000-0000C6630000}"/>
    <cellStyle name="Note 4 3 3 3 3 2 2 3 2" xfId="6946" xr:uid="{00000000-0005-0000-0000-0000C7630000}"/>
    <cellStyle name="Note 4 3 3 3 3 2 2 3 3" xfId="11375" xr:uid="{00000000-0005-0000-0000-0000C8630000}"/>
    <cellStyle name="Note 4 3 3 3 3 2 2 3 4" xfId="15219" xr:uid="{00000000-0005-0000-0000-0000C9630000}"/>
    <cellStyle name="Note 4 3 3 3 3 2 2 3 5" xfId="19064" xr:uid="{00000000-0005-0000-0000-0000CA630000}"/>
    <cellStyle name="Note 4 3 3 3 3 2 2 3 6" xfId="22986" xr:uid="{00000000-0005-0000-0000-0000CB630000}"/>
    <cellStyle name="Note 4 3 3 3 3 2 2 3 7" xfId="26815" xr:uid="{00000000-0005-0000-0000-0000CC630000}"/>
    <cellStyle name="Note 4 3 3 3 3 2 2 3 8" xfId="30689" xr:uid="{00000000-0005-0000-0000-0000CD630000}"/>
    <cellStyle name="Note 4 3 3 3 3 2 2 3 9" xfId="34345" xr:uid="{00000000-0005-0000-0000-0000CE630000}"/>
    <cellStyle name="Note 4 3 3 3 3 2 2 4" xfId="5022" xr:uid="{00000000-0005-0000-0000-0000CF630000}"/>
    <cellStyle name="Note 4 3 3 3 3 2 2 5" xfId="9378" xr:uid="{00000000-0005-0000-0000-0000D0630000}"/>
    <cellStyle name="Note 4 3 3 3 3 2 2 6" xfId="13218" xr:uid="{00000000-0005-0000-0000-0000D1630000}"/>
    <cellStyle name="Note 4 3 3 3 3 2 2 7" xfId="17046" xr:uid="{00000000-0005-0000-0000-0000D2630000}"/>
    <cellStyle name="Note 4 3 3 3 3 2 2 8" xfId="20988" xr:uid="{00000000-0005-0000-0000-0000D3630000}"/>
    <cellStyle name="Note 4 3 3 3 3 2 2 9" xfId="24802" xr:uid="{00000000-0005-0000-0000-0000D4630000}"/>
    <cellStyle name="Note 4 3 3 3 3 2 3" xfId="1454" xr:uid="{00000000-0005-0000-0000-0000D5630000}"/>
    <cellStyle name="Note 4 3 3 3 3 2 3 10" xfId="32741" xr:uid="{00000000-0005-0000-0000-0000D6630000}"/>
    <cellStyle name="Note 4 3 3 3 3 2 3 11" xfId="36511" xr:uid="{00000000-0005-0000-0000-0000D7630000}"/>
    <cellStyle name="Note 4 3 3 3 3 2 3 12" xfId="40502" xr:uid="{00000000-0005-0000-0000-0000D8630000}"/>
    <cellStyle name="Note 4 3 3 3 3 2 3 13" xfId="44333" xr:uid="{00000000-0005-0000-0000-0000D9630000}"/>
    <cellStyle name="Note 4 3 3 3 3 2 3 2" xfId="3444" xr:uid="{00000000-0005-0000-0000-0000DA630000}"/>
    <cellStyle name="Note 4 3 3 3 3 2 3 2 10" xfId="38495" xr:uid="{00000000-0005-0000-0000-0000DB630000}"/>
    <cellStyle name="Note 4 3 3 3 3 2 3 2 11" xfId="42506" xr:uid="{00000000-0005-0000-0000-0000DC630000}"/>
    <cellStyle name="Note 4 3 3 3 3 2 3 2 12" xfId="46271" xr:uid="{00000000-0005-0000-0000-0000DD630000}"/>
    <cellStyle name="Note 4 3 3 3 3 2 3 2 2" xfId="7311" xr:uid="{00000000-0005-0000-0000-0000DE630000}"/>
    <cellStyle name="Note 4 3 3 3 3 2 3 2 3" xfId="11746" xr:uid="{00000000-0005-0000-0000-0000DF630000}"/>
    <cellStyle name="Note 4 3 3 3 3 2 3 2 4" xfId="15591" xr:uid="{00000000-0005-0000-0000-0000E0630000}"/>
    <cellStyle name="Note 4 3 3 3 3 2 3 2 5" xfId="19438" xr:uid="{00000000-0005-0000-0000-0000E1630000}"/>
    <cellStyle name="Note 4 3 3 3 3 2 3 2 6" xfId="23354" xr:uid="{00000000-0005-0000-0000-0000E2630000}"/>
    <cellStyle name="Note 4 3 3 3 3 2 3 2 7" xfId="27188" xr:uid="{00000000-0005-0000-0000-0000E3630000}"/>
    <cellStyle name="Note 4 3 3 3 3 2 3 2 8" xfId="31056" xr:uid="{00000000-0005-0000-0000-0000E4630000}"/>
    <cellStyle name="Note 4 3 3 3 3 2 3 2 9" xfId="34709" xr:uid="{00000000-0005-0000-0000-0000E5630000}"/>
    <cellStyle name="Note 4 3 3 3 3 2 3 3" xfId="5387" xr:uid="{00000000-0005-0000-0000-0000E6630000}"/>
    <cellStyle name="Note 4 3 3 3 3 2 3 4" xfId="9745" xr:uid="{00000000-0005-0000-0000-0000E7630000}"/>
    <cellStyle name="Note 4 3 3 3 3 2 3 5" xfId="13591" xr:uid="{00000000-0005-0000-0000-0000E8630000}"/>
    <cellStyle name="Note 4 3 3 3 3 2 3 6" xfId="17420" xr:uid="{00000000-0005-0000-0000-0000E9630000}"/>
    <cellStyle name="Note 4 3 3 3 3 2 3 7" xfId="21359" xr:uid="{00000000-0005-0000-0000-0000EA630000}"/>
    <cellStyle name="Note 4 3 3 3 3 2 3 8" xfId="25172" xr:uid="{00000000-0005-0000-0000-0000EB630000}"/>
    <cellStyle name="Note 4 3 3 3 3 2 3 9" xfId="29059" xr:uid="{00000000-0005-0000-0000-0000EC630000}"/>
    <cellStyle name="Note 4 3 3 3 3 2 4" xfId="2703" xr:uid="{00000000-0005-0000-0000-0000ED630000}"/>
    <cellStyle name="Note 4 3 3 3 3 2 4 10" xfId="37755" xr:uid="{00000000-0005-0000-0000-0000EE630000}"/>
    <cellStyle name="Note 4 3 3 3 3 2 4 11" xfId="41769" xr:uid="{00000000-0005-0000-0000-0000EF630000}"/>
    <cellStyle name="Note 4 3 3 3 3 2 4 12" xfId="45554" xr:uid="{00000000-0005-0000-0000-0000F0630000}"/>
    <cellStyle name="Note 4 3 3 3 3 2 4 2" xfId="6591" xr:uid="{00000000-0005-0000-0000-0000F1630000}"/>
    <cellStyle name="Note 4 3 3 3 3 2 4 3" xfId="11015" xr:uid="{00000000-0005-0000-0000-0000F2630000}"/>
    <cellStyle name="Note 4 3 3 3 3 2 4 4" xfId="14859" xr:uid="{00000000-0005-0000-0000-0000F3630000}"/>
    <cellStyle name="Note 4 3 3 3 3 2 4 5" xfId="18697" xr:uid="{00000000-0005-0000-0000-0000F4630000}"/>
    <cellStyle name="Note 4 3 3 3 3 2 4 6" xfId="22628" xr:uid="{00000000-0005-0000-0000-0000F5630000}"/>
    <cellStyle name="Note 4 3 3 3 3 2 4 7" xfId="26448" xr:uid="{00000000-0005-0000-0000-0000F6630000}"/>
    <cellStyle name="Note 4 3 3 3 3 2 4 8" xfId="30327" xr:uid="{00000000-0005-0000-0000-0000F7630000}"/>
    <cellStyle name="Note 4 3 3 3 3 2 4 9" xfId="33992" xr:uid="{00000000-0005-0000-0000-0000F8630000}"/>
    <cellStyle name="Note 4 3 3 3 3 2 5" xfId="4667" xr:uid="{00000000-0005-0000-0000-0000F9630000}"/>
    <cellStyle name="Note 4 3 3 3 3 2 6" xfId="9009" xr:uid="{00000000-0005-0000-0000-0000FA630000}"/>
    <cellStyle name="Note 4 3 3 3 3 2 7" xfId="12846" xr:uid="{00000000-0005-0000-0000-0000FB630000}"/>
    <cellStyle name="Note 4 3 3 3 3 2 8" xfId="16676" xr:uid="{00000000-0005-0000-0000-0000FC630000}"/>
    <cellStyle name="Note 4 3 3 3 3 2 9" xfId="20613" xr:uid="{00000000-0005-0000-0000-0000FD630000}"/>
    <cellStyle name="Note 4 3 3 3 3 20" xfId="8876" xr:uid="{00000000-0005-0000-0000-0000FE630000}"/>
    <cellStyle name="Note 4 3 3 3 3 21" xfId="8673" xr:uid="{00000000-0005-0000-0000-0000FF630000}"/>
    <cellStyle name="Note 4 3 3 3 3 22" xfId="8617" xr:uid="{00000000-0005-0000-0000-000000640000}"/>
    <cellStyle name="Note 4 3 3 3 3 23" xfId="8584" xr:uid="{00000000-0005-0000-0000-000001640000}"/>
    <cellStyle name="Note 4 3 3 3 3 24" xfId="8772" xr:uid="{00000000-0005-0000-0000-000002640000}"/>
    <cellStyle name="Note 4 3 3 3 3 25" xfId="10366" xr:uid="{00000000-0005-0000-0000-000003640000}"/>
    <cellStyle name="Note 4 3 3 3 3 26" xfId="30936" xr:uid="{00000000-0005-0000-0000-000004640000}"/>
    <cellStyle name="Note 4 3 3 3 3 27" xfId="21982" xr:uid="{00000000-0005-0000-0000-000005640000}"/>
    <cellStyle name="Note 4 3 3 3 3 28" xfId="39663" xr:uid="{00000000-0005-0000-0000-000006640000}"/>
    <cellStyle name="Note 4 3 3 3 3 29" xfId="39675" xr:uid="{00000000-0005-0000-0000-000007640000}"/>
    <cellStyle name="Note 4 3 3 3 3 3" xfId="639" xr:uid="{00000000-0005-0000-0000-000008640000}"/>
    <cellStyle name="Note 4 3 3 3 3 3 10" xfId="21997" xr:uid="{00000000-0005-0000-0000-000009640000}"/>
    <cellStyle name="Note 4 3 3 3 3 3 11" xfId="28266" xr:uid="{00000000-0005-0000-0000-00000A640000}"/>
    <cellStyle name="Note 4 3 3 3 3 3 12" xfId="31477" xr:uid="{00000000-0005-0000-0000-00000B640000}"/>
    <cellStyle name="Note 4 3 3 3 3 3 13" xfId="22254" xr:uid="{00000000-0005-0000-0000-00000C640000}"/>
    <cellStyle name="Note 4 3 3 3 3 3 14" xfId="39734" xr:uid="{00000000-0005-0000-0000-00000D640000}"/>
    <cellStyle name="Note 4 3 3 3 3 3 15" xfId="41145" xr:uid="{00000000-0005-0000-0000-00000E640000}"/>
    <cellStyle name="Note 4 3 3 3 3 3 2" xfId="1019" xr:uid="{00000000-0005-0000-0000-00000F640000}"/>
    <cellStyle name="Note 4 3 3 3 3 3 2 10" xfId="28630" xr:uid="{00000000-0005-0000-0000-000010640000}"/>
    <cellStyle name="Note 4 3 3 3 3 3 2 11" xfId="32318" xr:uid="{00000000-0005-0000-0000-000011640000}"/>
    <cellStyle name="Note 4 3 3 3 3 3 2 12" xfId="36077" xr:uid="{00000000-0005-0000-0000-000012640000}"/>
    <cellStyle name="Note 4 3 3 3 3 3 2 13" xfId="40082" xr:uid="{00000000-0005-0000-0000-000013640000}"/>
    <cellStyle name="Note 4 3 3 3 3 3 2 14" xfId="43903" xr:uid="{00000000-0005-0000-0000-000014640000}"/>
    <cellStyle name="Note 4 3 3 3 3 3 2 2" xfId="1748" xr:uid="{00000000-0005-0000-0000-000015640000}"/>
    <cellStyle name="Note 4 3 3 3 3 3 2 2 10" xfId="33035" xr:uid="{00000000-0005-0000-0000-000016640000}"/>
    <cellStyle name="Note 4 3 3 3 3 3 2 2 11" xfId="36805" xr:uid="{00000000-0005-0000-0000-000017640000}"/>
    <cellStyle name="Note 4 3 3 3 3 3 2 2 12" xfId="40796" xr:uid="{00000000-0005-0000-0000-000018640000}"/>
    <cellStyle name="Note 4 3 3 3 3 3 2 2 13" xfId="44627" xr:uid="{00000000-0005-0000-0000-000019640000}"/>
    <cellStyle name="Note 4 3 3 3 3 3 2 2 2" xfId="3738" xr:uid="{00000000-0005-0000-0000-00001A640000}"/>
    <cellStyle name="Note 4 3 3 3 3 3 2 2 2 10" xfId="38789" xr:uid="{00000000-0005-0000-0000-00001B640000}"/>
    <cellStyle name="Note 4 3 3 3 3 3 2 2 2 11" xfId="42800" xr:uid="{00000000-0005-0000-0000-00001C640000}"/>
    <cellStyle name="Note 4 3 3 3 3 3 2 2 2 12" xfId="46565" xr:uid="{00000000-0005-0000-0000-00001D640000}"/>
    <cellStyle name="Note 4 3 3 3 3 3 2 2 2 2" xfId="7605" xr:uid="{00000000-0005-0000-0000-00001E640000}"/>
    <cellStyle name="Note 4 3 3 3 3 3 2 2 2 3" xfId="12040" xr:uid="{00000000-0005-0000-0000-00001F640000}"/>
    <cellStyle name="Note 4 3 3 3 3 3 2 2 2 4" xfId="15885" xr:uid="{00000000-0005-0000-0000-000020640000}"/>
    <cellStyle name="Note 4 3 3 3 3 3 2 2 2 5" xfId="19732" xr:uid="{00000000-0005-0000-0000-000021640000}"/>
    <cellStyle name="Note 4 3 3 3 3 3 2 2 2 6" xfId="23648" xr:uid="{00000000-0005-0000-0000-000022640000}"/>
    <cellStyle name="Note 4 3 3 3 3 3 2 2 2 7" xfId="27482" xr:uid="{00000000-0005-0000-0000-000023640000}"/>
    <cellStyle name="Note 4 3 3 3 3 3 2 2 2 8" xfId="31346" xr:uid="{00000000-0005-0000-0000-000024640000}"/>
    <cellStyle name="Note 4 3 3 3 3 3 2 2 2 9" xfId="35003" xr:uid="{00000000-0005-0000-0000-000025640000}"/>
    <cellStyle name="Note 4 3 3 3 3 3 2 2 3" xfId="5681" xr:uid="{00000000-0005-0000-0000-000026640000}"/>
    <cellStyle name="Note 4 3 3 3 3 3 2 2 4" xfId="10039" xr:uid="{00000000-0005-0000-0000-000027640000}"/>
    <cellStyle name="Note 4 3 3 3 3 3 2 2 5" xfId="13885" xr:uid="{00000000-0005-0000-0000-000028640000}"/>
    <cellStyle name="Note 4 3 3 3 3 3 2 2 6" xfId="17714" xr:uid="{00000000-0005-0000-0000-000029640000}"/>
    <cellStyle name="Note 4 3 3 3 3 3 2 2 7" xfId="21653" xr:uid="{00000000-0005-0000-0000-00002A640000}"/>
    <cellStyle name="Note 4 3 3 3 3 3 2 2 8" xfId="25466" xr:uid="{00000000-0005-0000-0000-00002B640000}"/>
    <cellStyle name="Note 4 3 3 3 3 3 2 2 9" xfId="29353" xr:uid="{00000000-0005-0000-0000-00002C640000}"/>
    <cellStyle name="Note 4 3 3 3 3 3 2 3" xfId="3009" xr:uid="{00000000-0005-0000-0000-00002D640000}"/>
    <cellStyle name="Note 4 3 3 3 3 3 2 3 10" xfId="38061" xr:uid="{00000000-0005-0000-0000-00002E640000}"/>
    <cellStyle name="Note 4 3 3 3 3 3 2 3 11" xfId="42073" xr:uid="{00000000-0005-0000-0000-00002F640000}"/>
    <cellStyle name="Note 4 3 3 3 3 3 2 3 12" xfId="45848" xr:uid="{00000000-0005-0000-0000-000030640000}"/>
    <cellStyle name="Note 4 3 3 3 3 3 2 3 2" xfId="6887" xr:uid="{00000000-0005-0000-0000-000031640000}"/>
    <cellStyle name="Note 4 3 3 3 3 3 2 3 3" xfId="11315" xr:uid="{00000000-0005-0000-0000-000032640000}"/>
    <cellStyle name="Note 4 3 3 3 3 3 2 3 4" xfId="15160" xr:uid="{00000000-0005-0000-0000-000033640000}"/>
    <cellStyle name="Note 4 3 3 3 3 3 2 3 5" xfId="19003" xr:uid="{00000000-0005-0000-0000-000034640000}"/>
    <cellStyle name="Note 4 3 3 3 3 3 2 3 6" xfId="22927" xr:uid="{00000000-0005-0000-0000-000035640000}"/>
    <cellStyle name="Note 4 3 3 3 3 3 2 3 7" xfId="26754" xr:uid="{00000000-0005-0000-0000-000036640000}"/>
    <cellStyle name="Note 4 3 3 3 3 3 2 3 8" xfId="30628" xr:uid="{00000000-0005-0000-0000-000037640000}"/>
    <cellStyle name="Note 4 3 3 3 3 3 2 3 9" xfId="34286" xr:uid="{00000000-0005-0000-0000-000038640000}"/>
    <cellStyle name="Note 4 3 3 3 3 3 2 4" xfId="4963" xr:uid="{00000000-0005-0000-0000-000039640000}"/>
    <cellStyle name="Note 4 3 3 3 3 3 2 5" xfId="9318" xr:uid="{00000000-0005-0000-0000-00003A640000}"/>
    <cellStyle name="Note 4 3 3 3 3 3 2 6" xfId="13159" xr:uid="{00000000-0005-0000-0000-00003B640000}"/>
    <cellStyle name="Note 4 3 3 3 3 3 2 7" xfId="16985" xr:uid="{00000000-0005-0000-0000-00003C640000}"/>
    <cellStyle name="Note 4 3 3 3 3 3 2 8" xfId="20927" xr:uid="{00000000-0005-0000-0000-00003D640000}"/>
    <cellStyle name="Note 4 3 3 3 3 3 2 9" xfId="24742" xr:uid="{00000000-0005-0000-0000-00003E640000}"/>
    <cellStyle name="Note 4 3 3 3 3 3 3" xfId="1395" xr:uid="{00000000-0005-0000-0000-00003F640000}"/>
    <cellStyle name="Note 4 3 3 3 3 3 3 10" xfId="32682" xr:uid="{00000000-0005-0000-0000-000040640000}"/>
    <cellStyle name="Note 4 3 3 3 3 3 3 11" xfId="36452" xr:uid="{00000000-0005-0000-0000-000041640000}"/>
    <cellStyle name="Note 4 3 3 3 3 3 3 12" xfId="40443" xr:uid="{00000000-0005-0000-0000-000042640000}"/>
    <cellStyle name="Note 4 3 3 3 3 3 3 13" xfId="44274" xr:uid="{00000000-0005-0000-0000-000043640000}"/>
    <cellStyle name="Note 4 3 3 3 3 3 3 2" xfId="3385" xr:uid="{00000000-0005-0000-0000-000044640000}"/>
    <cellStyle name="Note 4 3 3 3 3 3 3 2 10" xfId="38436" xr:uid="{00000000-0005-0000-0000-000045640000}"/>
    <cellStyle name="Note 4 3 3 3 3 3 3 2 11" xfId="42447" xr:uid="{00000000-0005-0000-0000-000046640000}"/>
    <cellStyle name="Note 4 3 3 3 3 3 3 2 12" xfId="46212" xr:uid="{00000000-0005-0000-0000-000047640000}"/>
    <cellStyle name="Note 4 3 3 3 3 3 3 2 2" xfId="7252" xr:uid="{00000000-0005-0000-0000-000048640000}"/>
    <cellStyle name="Note 4 3 3 3 3 3 3 2 3" xfId="11687" xr:uid="{00000000-0005-0000-0000-000049640000}"/>
    <cellStyle name="Note 4 3 3 3 3 3 3 2 4" xfId="15532" xr:uid="{00000000-0005-0000-0000-00004A640000}"/>
    <cellStyle name="Note 4 3 3 3 3 3 3 2 5" xfId="19379" xr:uid="{00000000-0005-0000-0000-00004B640000}"/>
    <cellStyle name="Note 4 3 3 3 3 3 3 2 6" xfId="23295" xr:uid="{00000000-0005-0000-0000-00004C640000}"/>
    <cellStyle name="Note 4 3 3 3 3 3 3 2 7" xfId="27129" xr:uid="{00000000-0005-0000-0000-00004D640000}"/>
    <cellStyle name="Note 4 3 3 3 3 3 3 2 8" xfId="30997" xr:uid="{00000000-0005-0000-0000-00004E640000}"/>
    <cellStyle name="Note 4 3 3 3 3 3 3 2 9" xfId="34650" xr:uid="{00000000-0005-0000-0000-00004F640000}"/>
    <cellStyle name="Note 4 3 3 3 3 3 3 3" xfId="5328" xr:uid="{00000000-0005-0000-0000-000050640000}"/>
    <cellStyle name="Note 4 3 3 3 3 3 3 4" xfId="9686" xr:uid="{00000000-0005-0000-0000-000051640000}"/>
    <cellStyle name="Note 4 3 3 3 3 3 3 5" xfId="13532" xr:uid="{00000000-0005-0000-0000-000052640000}"/>
    <cellStyle name="Note 4 3 3 3 3 3 3 6" xfId="17361" xr:uid="{00000000-0005-0000-0000-000053640000}"/>
    <cellStyle name="Note 4 3 3 3 3 3 3 7" xfId="21300" xr:uid="{00000000-0005-0000-0000-000054640000}"/>
    <cellStyle name="Note 4 3 3 3 3 3 3 8" xfId="25113" xr:uid="{00000000-0005-0000-0000-000055640000}"/>
    <cellStyle name="Note 4 3 3 3 3 3 3 9" xfId="29000" xr:uid="{00000000-0005-0000-0000-000056640000}"/>
    <cellStyle name="Note 4 3 3 3 3 3 4" xfId="2642" xr:uid="{00000000-0005-0000-0000-000057640000}"/>
    <cellStyle name="Note 4 3 3 3 3 3 4 10" xfId="37694" xr:uid="{00000000-0005-0000-0000-000058640000}"/>
    <cellStyle name="Note 4 3 3 3 3 3 4 11" xfId="41708" xr:uid="{00000000-0005-0000-0000-000059640000}"/>
    <cellStyle name="Note 4 3 3 3 3 3 4 12" xfId="45495" xr:uid="{00000000-0005-0000-0000-00005A640000}"/>
    <cellStyle name="Note 4 3 3 3 3 3 4 2" xfId="6532" xr:uid="{00000000-0005-0000-0000-00005B640000}"/>
    <cellStyle name="Note 4 3 3 3 3 3 4 3" xfId="10956" xr:uid="{00000000-0005-0000-0000-00005C640000}"/>
    <cellStyle name="Note 4 3 3 3 3 3 4 4" xfId="14800" xr:uid="{00000000-0005-0000-0000-00005D640000}"/>
    <cellStyle name="Note 4 3 3 3 3 3 4 5" xfId="18636" xr:uid="{00000000-0005-0000-0000-00005E640000}"/>
    <cellStyle name="Note 4 3 3 3 3 3 4 6" xfId="22569" xr:uid="{00000000-0005-0000-0000-00005F640000}"/>
    <cellStyle name="Note 4 3 3 3 3 3 4 7" xfId="26387" xr:uid="{00000000-0005-0000-0000-000060640000}"/>
    <cellStyle name="Note 4 3 3 3 3 3 4 8" xfId="30266" xr:uid="{00000000-0005-0000-0000-000061640000}"/>
    <cellStyle name="Note 4 3 3 3 3 3 4 9" xfId="33933" xr:uid="{00000000-0005-0000-0000-000062640000}"/>
    <cellStyle name="Note 4 3 3 3 3 3 5" xfId="4608" xr:uid="{00000000-0005-0000-0000-000063640000}"/>
    <cellStyle name="Note 4 3 3 3 3 3 6" xfId="8948" xr:uid="{00000000-0005-0000-0000-000064640000}"/>
    <cellStyle name="Note 4 3 3 3 3 3 7" xfId="8715" xr:uid="{00000000-0005-0000-0000-000065640000}"/>
    <cellStyle name="Note 4 3 3 3 3 3 8" xfId="9084" xr:uid="{00000000-0005-0000-0000-000066640000}"/>
    <cellStyle name="Note 4 3 3 3 3 3 9" xfId="20552" xr:uid="{00000000-0005-0000-0000-000067640000}"/>
    <cellStyle name="Note 4 3 3 3 3 30" xfId="47377" xr:uid="{00000000-0005-0000-0000-000068640000}"/>
    <cellStyle name="Note 4 3 3 3 3 31" xfId="47463" xr:uid="{00000000-0005-0000-0000-000069640000}"/>
    <cellStyle name="Note 4 3 3 3 3 32" xfId="47512" xr:uid="{00000000-0005-0000-0000-00006A640000}"/>
    <cellStyle name="Note 4 3 3 3 3 4" xfId="808" xr:uid="{00000000-0005-0000-0000-00006B640000}"/>
    <cellStyle name="Note 4 3 3 3 3 4 10" xfId="24532" xr:uid="{00000000-0005-0000-0000-00006C640000}"/>
    <cellStyle name="Note 4 3 3 3 3 4 11" xfId="28423" xr:uid="{00000000-0005-0000-0000-00006D640000}"/>
    <cellStyle name="Note 4 3 3 3 3 4 12" xfId="32109" xr:uid="{00000000-0005-0000-0000-00006E640000}"/>
    <cellStyle name="Note 4 3 3 3 3 4 13" xfId="35866" xr:uid="{00000000-0005-0000-0000-00006F640000}"/>
    <cellStyle name="Note 4 3 3 3 3 4 14" xfId="39877" xr:uid="{00000000-0005-0000-0000-000070640000}"/>
    <cellStyle name="Note 4 3 3 3 3 4 15" xfId="43692" xr:uid="{00000000-0005-0000-0000-000071640000}"/>
    <cellStyle name="Note 4 3 3 3 3 4 2" xfId="1170" xr:uid="{00000000-0005-0000-0000-000072640000}"/>
    <cellStyle name="Note 4 3 3 3 3 4 2 10" xfId="28779" xr:uid="{00000000-0005-0000-0000-000073640000}"/>
    <cellStyle name="Note 4 3 3 3 3 4 2 11" xfId="32462" xr:uid="{00000000-0005-0000-0000-000074640000}"/>
    <cellStyle name="Note 4 3 3 3 3 4 2 12" xfId="36228" xr:uid="{00000000-0005-0000-0000-000075640000}"/>
    <cellStyle name="Note 4 3 3 3 3 4 2 13" xfId="40223" xr:uid="{00000000-0005-0000-0000-000076640000}"/>
    <cellStyle name="Note 4 3 3 3 3 4 2 14" xfId="44054" xr:uid="{00000000-0005-0000-0000-000077640000}"/>
    <cellStyle name="Note 4 3 3 3 3 4 2 2" xfId="1892" xr:uid="{00000000-0005-0000-0000-000078640000}"/>
    <cellStyle name="Note 4 3 3 3 3 4 2 2 10" xfId="33179" xr:uid="{00000000-0005-0000-0000-000079640000}"/>
    <cellStyle name="Note 4 3 3 3 3 4 2 2 11" xfId="36949" xr:uid="{00000000-0005-0000-0000-00007A640000}"/>
    <cellStyle name="Note 4 3 3 3 3 4 2 2 12" xfId="40940" xr:uid="{00000000-0005-0000-0000-00007B640000}"/>
    <cellStyle name="Note 4 3 3 3 3 4 2 2 13" xfId="44771" xr:uid="{00000000-0005-0000-0000-00007C640000}"/>
    <cellStyle name="Note 4 3 3 3 3 4 2 2 2" xfId="3882" xr:uid="{00000000-0005-0000-0000-00007D640000}"/>
    <cellStyle name="Note 4 3 3 3 3 4 2 2 2 10" xfId="38933" xr:uid="{00000000-0005-0000-0000-00007E640000}"/>
    <cellStyle name="Note 4 3 3 3 3 4 2 2 2 11" xfId="42944" xr:uid="{00000000-0005-0000-0000-00007F640000}"/>
    <cellStyle name="Note 4 3 3 3 3 4 2 2 2 12" xfId="46709" xr:uid="{00000000-0005-0000-0000-000080640000}"/>
    <cellStyle name="Note 4 3 3 3 3 4 2 2 2 2" xfId="7749" xr:uid="{00000000-0005-0000-0000-000081640000}"/>
    <cellStyle name="Note 4 3 3 3 3 4 2 2 2 3" xfId="12184" xr:uid="{00000000-0005-0000-0000-000082640000}"/>
    <cellStyle name="Note 4 3 3 3 3 4 2 2 2 4" xfId="16029" xr:uid="{00000000-0005-0000-0000-000083640000}"/>
    <cellStyle name="Note 4 3 3 3 3 4 2 2 2 5" xfId="19876" xr:uid="{00000000-0005-0000-0000-000084640000}"/>
    <cellStyle name="Note 4 3 3 3 3 4 2 2 2 6" xfId="23792" xr:uid="{00000000-0005-0000-0000-000085640000}"/>
    <cellStyle name="Note 4 3 3 3 3 4 2 2 2 7" xfId="27626" xr:uid="{00000000-0005-0000-0000-000086640000}"/>
    <cellStyle name="Note 4 3 3 3 3 4 2 2 2 8" xfId="31489" xr:uid="{00000000-0005-0000-0000-000087640000}"/>
    <cellStyle name="Note 4 3 3 3 3 4 2 2 2 9" xfId="35147" xr:uid="{00000000-0005-0000-0000-000088640000}"/>
    <cellStyle name="Note 4 3 3 3 3 4 2 2 3" xfId="5825" xr:uid="{00000000-0005-0000-0000-000089640000}"/>
    <cellStyle name="Note 4 3 3 3 3 4 2 2 4" xfId="10183" xr:uid="{00000000-0005-0000-0000-00008A640000}"/>
    <cellStyle name="Note 4 3 3 3 3 4 2 2 5" xfId="14029" xr:uid="{00000000-0005-0000-0000-00008B640000}"/>
    <cellStyle name="Note 4 3 3 3 3 4 2 2 6" xfId="17858" xr:uid="{00000000-0005-0000-0000-00008C640000}"/>
    <cellStyle name="Note 4 3 3 3 3 4 2 2 7" xfId="21797" xr:uid="{00000000-0005-0000-0000-00008D640000}"/>
    <cellStyle name="Note 4 3 3 3 3 4 2 2 8" xfId="25610" xr:uid="{00000000-0005-0000-0000-00008E640000}"/>
    <cellStyle name="Note 4 3 3 3 3 4 2 2 9" xfId="29497" xr:uid="{00000000-0005-0000-0000-00008F640000}"/>
    <cellStyle name="Note 4 3 3 3 3 4 2 3" xfId="3160" xr:uid="{00000000-0005-0000-0000-000090640000}"/>
    <cellStyle name="Note 4 3 3 3 3 4 2 3 10" xfId="38212" xr:uid="{00000000-0005-0000-0000-000091640000}"/>
    <cellStyle name="Note 4 3 3 3 3 4 2 3 11" xfId="42223" xr:uid="{00000000-0005-0000-0000-000092640000}"/>
    <cellStyle name="Note 4 3 3 3 3 4 2 3 12" xfId="45992" xr:uid="{00000000-0005-0000-0000-000093640000}"/>
    <cellStyle name="Note 4 3 3 3 3 4 2 3 2" xfId="7032" xr:uid="{00000000-0005-0000-0000-000094640000}"/>
    <cellStyle name="Note 4 3 3 3 3 4 2 3 3" xfId="11464" xr:uid="{00000000-0005-0000-0000-000095640000}"/>
    <cellStyle name="Note 4 3 3 3 3 4 2 3 4" xfId="15308" xr:uid="{00000000-0005-0000-0000-000096640000}"/>
    <cellStyle name="Note 4 3 3 3 3 4 2 3 5" xfId="19154" xr:uid="{00000000-0005-0000-0000-000097640000}"/>
    <cellStyle name="Note 4 3 3 3 3 4 2 3 6" xfId="23073" xr:uid="{00000000-0005-0000-0000-000098640000}"/>
    <cellStyle name="Note 4 3 3 3 3 4 2 3 7" xfId="26905" xr:uid="{00000000-0005-0000-0000-000099640000}"/>
    <cellStyle name="Note 4 3 3 3 3 4 2 3 8" xfId="30777" xr:uid="{00000000-0005-0000-0000-00009A640000}"/>
    <cellStyle name="Note 4 3 3 3 3 4 2 3 9" xfId="34430" xr:uid="{00000000-0005-0000-0000-00009B640000}"/>
    <cellStyle name="Note 4 3 3 3 3 4 2 4" xfId="5108" xr:uid="{00000000-0005-0000-0000-00009C640000}"/>
    <cellStyle name="Note 4 3 3 3 3 4 2 5" xfId="9464" xr:uid="{00000000-0005-0000-0000-00009D640000}"/>
    <cellStyle name="Note 4 3 3 3 3 4 2 6" xfId="13308" xr:uid="{00000000-0005-0000-0000-00009E640000}"/>
    <cellStyle name="Note 4 3 3 3 3 4 2 7" xfId="17136" xr:uid="{00000000-0005-0000-0000-00009F640000}"/>
    <cellStyle name="Note 4 3 3 3 3 4 2 8" xfId="21078" xr:uid="{00000000-0005-0000-0000-0000A0640000}"/>
    <cellStyle name="Note 4 3 3 3 3 4 2 9" xfId="24889" xr:uid="{00000000-0005-0000-0000-0000A1640000}"/>
    <cellStyle name="Note 4 3 3 3 3 4 3" xfId="1539" xr:uid="{00000000-0005-0000-0000-0000A2640000}"/>
    <cellStyle name="Note 4 3 3 3 3 4 3 10" xfId="32826" xr:uid="{00000000-0005-0000-0000-0000A3640000}"/>
    <cellStyle name="Note 4 3 3 3 3 4 3 11" xfId="36596" xr:uid="{00000000-0005-0000-0000-0000A4640000}"/>
    <cellStyle name="Note 4 3 3 3 3 4 3 12" xfId="40587" xr:uid="{00000000-0005-0000-0000-0000A5640000}"/>
    <cellStyle name="Note 4 3 3 3 3 4 3 13" xfId="44418" xr:uid="{00000000-0005-0000-0000-0000A6640000}"/>
    <cellStyle name="Note 4 3 3 3 3 4 3 2" xfId="3529" xr:uid="{00000000-0005-0000-0000-0000A7640000}"/>
    <cellStyle name="Note 4 3 3 3 3 4 3 2 10" xfId="38580" xr:uid="{00000000-0005-0000-0000-0000A8640000}"/>
    <cellStyle name="Note 4 3 3 3 3 4 3 2 11" xfId="42591" xr:uid="{00000000-0005-0000-0000-0000A9640000}"/>
    <cellStyle name="Note 4 3 3 3 3 4 3 2 12" xfId="46356" xr:uid="{00000000-0005-0000-0000-0000AA640000}"/>
    <cellStyle name="Note 4 3 3 3 3 4 3 2 2" xfId="7396" xr:uid="{00000000-0005-0000-0000-0000AB640000}"/>
    <cellStyle name="Note 4 3 3 3 3 4 3 2 3" xfId="11831" xr:uid="{00000000-0005-0000-0000-0000AC640000}"/>
    <cellStyle name="Note 4 3 3 3 3 4 3 2 4" xfId="15676" xr:uid="{00000000-0005-0000-0000-0000AD640000}"/>
    <cellStyle name="Note 4 3 3 3 3 4 3 2 5" xfId="19523" xr:uid="{00000000-0005-0000-0000-0000AE640000}"/>
    <cellStyle name="Note 4 3 3 3 3 4 3 2 6" xfId="23439" xr:uid="{00000000-0005-0000-0000-0000AF640000}"/>
    <cellStyle name="Note 4 3 3 3 3 4 3 2 7" xfId="27273" xr:uid="{00000000-0005-0000-0000-0000B0640000}"/>
    <cellStyle name="Note 4 3 3 3 3 4 3 2 8" xfId="31140" xr:uid="{00000000-0005-0000-0000-0000B1640000}"/>
    <cellStyle name="Note 4 3 3 3 3 4 3 2 9" xfId="34794" xr:uid="{00000000-0005-0000-0000-0000B2640000}"/>
    <cellStyle name="Note 4 3 3 3 3 4 3 3" xfId="5472" xr:uid="{00000000-0005-0000-0000-0000B3640000}"/>
    <cellStyle name="Note 4 3 3 3 3 4 3 4" xfId="9830" xr:uid="{00000000-0005-0000-0000-0000B4640000}"/>
    <cellStyle name="Note 4 3 3 3 3 4 3 5" xfId="13676" xr:uid="{00000000-0005-0000-0000-0000B5640000}"/>
    <cellStyle name="Note 4 3 3 3 3 4 3 6" xfId="17505" xr:uid="{00000000-0005-0000-0000-0000B6640000}"/>
    <cellStyle name="Note 4 3 3 3 3 4 3 7" xfId="21444" xr:uid="{00000000-0005-0000-0000-0000B7640000}"/>
    <cellStyle name="Note 4 3 3 3 3 4 3 8" xfId="25257" xr:uid="{00000000-0005-0000-0000-0000B8640000}"/>
    <cellStyle name="Note 4 3 3 3 3 4 3 9" xfId="29144" xr:uid="{00000000-0005-0000-0000-0000B9640000}"/>
    <cellStyle name="Note 4 3 3 3 3 4 4" xfId="2798" xr:uid="{00000000-0005-0000-0000-0000BA640000}"/>
    <cellStyle name="Note 4 3 3 3 3 4 4 10" xfId="37850" xr:uid="{00000000-0005-0000-0000-0000BB640000}"/>
    <cellStyle name="Note 4 3 3 3 3 4 4 11" xfId="41862" xr:uid="{00000000-0005-0000-0000-0000BC640000}"/>
    <cellStyle name="Note 4 3 3 3 3 4 4 12" xfId="45639" xr:uid="{00000000-0005-0000-0000-0000BD640000}"/>
    <cellStyle name="Note 4 3 3 3 3 4 4 2" xfId="6678" xr:uid="{00000000-0005-0000-0000-0000BE640000}"/>
    <cellStyle name="Note 4 3 3 3 3 4 4 3" xfId="11105" xr:uid="{00000000-0005-0000-0000-0000BF640000}"/>
    <cellStyle name="Note 4 3 3 3 3 4 4 4" xfId="14950" xr:uid="{00000000-0005-0000-0000-0000C0640000}"/>
    <cellStyle name="Note 4 3 3 3 3 4 4 5" xfId="18792" xr:uid="{00000000-0005-0000-0000-0000C1640000}"/>
    <cellStyle name="Note 4 3 3 3 3 4 4 6" xfId="22718" xr:uid="{00000000-0005-0000-0000-0000C2640000}"/>
    <cellStyle name="Note 4 3 3 3 3 4 4 7" xfId="26543" xr:uid="{00000000-0005-0000-0000-0000C3640000}"/>
    <cellStyle name="Note 4 3 3 3 3 4 4 8" xfId="30421" xr:uid="{00000000-0005-0000-0000-0000C4640000}"/>
    <cellStyle name="Note 4 3 3 3 3 4 4 9" xfId="34077" xr:uid="{00000000-0005-0000-0000-0000C5640000}"/>
    <cellStyle name="Note 4 3 3 3 3 4 5" xfId="4754" xr:uid="{00000000-0005-0000-0000-0000C6640000}"/>
    <cellStyle name="Note 4 3 3 3 3 4 6" xfId="9108" xr:uid="{00000000-0005-0000-0000-0000C7640000}"/>
    <cellStyle name="Note 4 3 3 3 3 4 7" xfId="12949" xr:uid="{00000000-0005-0000-0000-0000C8640000}"/>
    <cellStyle name="Note 4 3 3 3 3 4 8" xfId="16774" xr:uid="{00000000-0005-0000-0000-0000C9640000}"/>
    <cellStyle name="Note 4 3 3 3 3 4 9" xfId="20716" xr:uid="{00000000-0005-0000-0000-0000CA640000}"/>
    <cellStyle name="Note 4 3 3 3 3 5" xfId="900" xr:uid="{00000000-0005-0000-0000-0000CB640000}"/>
    <cellStyle name="Note 4 3 3 3 3 5 10" xfId="24624" xr:uid="{00000000-0005-0000-0000-0000CC640000}"/>
    <cellStyle name="Note 4 3 3 3 3 5 11" xfId="28514" xr:uid="{00000000-0005-0000-0000-0000CD640000}"/>
    <cellStyle name="Note 4 3 3 3 3 5 12" xfId="32201" xr:uid="{00000000-0005-0000-0000-0000CE640000}"/>
    <cellStyle name="Note 4 3 3 3 3 5 13" xfId="35958" xr:uid="{00000000-0005-0000-0000-0000CF640000}"/>
    <cellStyle name="Note 4 3 3 3 3 5 14" xfId="39968" xr:uid="{00000000-0005-0000-0000-0000D0640000}"/>
    <cellStyle name="Note 4 3 3 3 3 5 15" xfId="43784" xr:uid="{00000000-0005-0000-0000-0000D1640000}"/>
    <cellStyle name="Note 4 3 3 3 3 5 2" xfId="1237" xr:uid="{00000000-0005-0000-0000-0000D2640000}"/>
    <cellStyle name="Note 4 3 3 3 3 5 2 10" xfId="28845" xr:uid="{00000000-0005-0000-0000-0000D3640000}"/>
    <cellStyle name="Note 4 3 3 3 3 5 2 11" xfId="32529" xr:uid="{00000000-0005-0000-0000-0000D4640000}"/>
    <cellStyle name="Note 4 3 3 3 3 5 2 12" xfId="36295" xr:uid="{00000000-0005-0000-0000-0000D5640000}"/>
    <cellStyle name="Note 4 3 3 3 3 5 2 13" xfId="40288" xr:uid="{00000000-0005-0000-0000-0000D6640000}"/>
    <cellStyle name="Note 4 3 3 3 3 5 2 14" xfId="44121" xr:uid="{00000000-0005-0000-0000-0000D7640000}"/>
    <cellStyle name="Note 4 3 3 3 3 5 2 2" xfId="1959" xr:uid="{00000000-0005-0000-0000-0000D8640000}"/>
    <cellStyle name="Note 4 3 3 3 3 5 2 2 10" xfId="33246" xr:uid="{00000000-0005-0000-0000-0000D9640000}"/>
    <cellStyle name="Note 4 3 3 3 3 5 2 2 11" xfId="37016" xr:uid="{00000000-0005-0000-0000-0000DA640000}"/>
    <cellStyle name="Note 4 3 3 3 3 5 2 2 12" xfId="41007" xr:uid="{00000000-0005-0000-0000-0000DB640000}"/>
    <cellStyle name="Note 4 3 3 3 3 5 2 2 13" xfId="44838" xr:uid="{00000000-0005-0000-0000-0000DC640000}"/>
    <cellStyle name="Note 4 3 3 3 3 5 2 2 2" xfId="3949" xr:uid="{00000000-0005-0000-0000-0000DD640000}"/>
    <cellStyle name="Note 4 3 3 3 3 5 2 2 2 10" xfId="39000" xr:uid="{00000000-0005-0000-0000-0000DE640000}"/>
    <cellStyle name="Note 4 3 3 3 3 5 2 2 2 11" xfId="43011" xr:uid="{00000000-0005-0000-0000-0000DF640000}"/>
    <cellStyle name="Note 4 3 3 3 3 5 2 2 2 12" xfId="46776" xr:uid="{00000000-0005-0000-0000-0000E0640000}"/>
    <cellStyle name="Note 4 3 3 3 3 5 2 2 2 2" xfId="7816" xr:uid="{00000000-0005-0000-0000-0000E1640000}"/>
    <cellStyle name="Note 4 3 3 3 3 5 2 2 2 3" xfId="12251" xr:uid="{00000000-0005-0000-0000-0000E2640000}"/>
    <cellStyle name="Note 4 3 3 3 3 5 2 2 2 4" xfId="16096" xr:uid="{00000000-0005-0000-0000-0000E3640000}"/>
    <cellStyle name="Note 4 3 3 3 3 5 2 2 2 5" xfId="19943" xr:uid="{00000000-0005-0000-0000-0000E4640000}"/>
    <cellStyle name="Note 4 3 3 3 3 5 2 2 2 6" xfId="23859" xr:uid="{00000000-0005-0000-0000-0000E5640000}"/>
    <cellStyle name="Note 4 3 3 3 3 5 2 2 2 7" xfId="27693" xr:uid="{00000000-0005-0000-0000-0000E6640000}"/>
    <cellStyle name="Note 4 3 3 3 3 5 2 2 2 8" xfId="31554" xr:uid="{00000000-0005-0000-0000-0000E7640000}"/>
    <cellStyle name="Note 4 3 3 3 3 5 2 2 2 9" xfId="35214" xr:uid="{00000000-0005-0000-0000-0000E8640000}"/>
    <cellStyle name="Note 4 3 3 3 3 5 2 2 3" xfId="5892" xr:uid="{00000000-0005-0000-0000-0000E9640000}"/>
    <cellStyle name="Note 4 3 3 3 3 5 2 2 4" xfId="10250" xr:uid="{00000000-0005-0000-0000-0000EA640000}"/>
    <cellStyle name="Note 4 3 3 3 3 5 2 2 5" xfId="14096" xr:uid="{00000000-0005-0000-0000-0000EB640000}"/>
    <cellStyle name="Note 4 3 3 3 3 5 2 2 6" xfId="17925" xr:uid="{00000000-0005-0000-0000-0000EC640000}"/>
    <cellStyle name="Note 4 3 3 3 3 5 2 2 7" xfId="21864" xr:uid="{00000000-0005-0000-0000-0000ED640000}"/>
    <cellStyle name="Note 4 3 3 3 3 5 2 2 8" xfId="25677" xr:uid="{00000000-0005-0000-0000-0000EE640000}"/>
    <cellStyle name="Note 4 3 3 3 3 5 2 2 9" xfId="29564" xr:uid="{00000000-0005-0000-0000-0000EF640000}"/>
    <cellStyle name="Note 4 3 3 3 3 5 2 3" xfId="3227" xr:uid="{00000000-0005-0000-0000-0000F0640000}"/>
    <cellStyle name="Note 4 3 3 3 3 5 2 3 10" xfId="38279" xr:uid="{00000000-0005-0000-0000-0000F1640000}"/>
    <cellStyle name="Note 4 3 3 3 3 5 2 3 11" xfId="42290" xr:uid="{00000000-0005-0000-0000-0000F2640000}"/>
    <cellStyle name="Note 4 3 3 3 3 5 2 3 12" xfId="46059" xr:uid="{00000000-0005-0000-0000-0000F3640000}"/>
    <cellStyle name="Note 4 3 3 3 3 5 2 3 2" xfId="7099" xr:uid="{00000000-0005-0000-0000-0000F4640000}"/>
    <cellStyle name="Note 4 3 3 3 3 5 2 3 3" xfId="11531" xr:uid="{00000000-0005-0000-0000-0000F5640000}"/>
    <cellStyle name="Note 4 3 3 3 3 5 2 3 4" xfId="15375" xr:uid="{00000000-0005-0000-0000-0000F6640000}"/>
    <cellStyle name="Note 4 3 3 3 3 5 2 3 5" xfId="19221" xr:uid="{00000000-0005-0000-0000-0000F7640000}"/>
    <cellStyle name="Note 4 3 3 3 3 5 2 3 6" xfId="23140" xr:uid="{00000000-0005-0000-0000-0000F8640000}"/>
    <cellStyle name="Note 4 3 3 3 3 5 2 3 7" xfId="26972" xr:uid="{00000000-0005-0000-0000-0000F9640000}"/>
    <cellStyle name="Note 4 3 3 3 3 5 2 3 8" xfId="30842" xr:uid="{00000000-0005-0000-0000-0000FA640000}"/>
    <cellStyle name="Note 4 3 3 3 3 5 2 3 9" xfId="34497" xr:uid="{00000000-0005-0000-0000-0000FB640000}"/>
    <cellStyle name="Note 4 3 3 3 3 5 2 4" xfId="5175" xr:uid="{00000000-0005-0000-0000-0000FC640000}"/>
    <cellStyle name="Note 4 3 3 3 3 5 2 5" xfId="9531" xr:uid="{00000000-0005-0000-0000-0000FD640000}"/>
    <cellStyle name="Note 4 3 3 3 3 5 2 6" xfId="13375" xr:uid="{00000000-0005-0000-0000-0000FE640000}"/>
    <cellStyle name="Note 4 3 3 3 3 5 2 7" xfId="17203" xr:uid="{00000000-0005-0000-0000-0000FF640000}"/>
    <cellStyle name="Note 4 3 3 3 3 5 2 8" xfId="21145" xr:uid="{00000000-0005-0000-0000-000000650000}"/>
    <cellStyle name="Note 4 3 3 3 3 5 2 9" xfId="24956" xr:uid="{00000000-0005-0000-0000-000001650000}"/>
    <cellStyle name="Note 4 3 3 3 3 5 3" xfId="1631" xr:uid="{00000000-0005-0000-0000-000002650000}"/>
    <cellStyle name="Note 4 3 3 3 3 5 3 10" xfId="32918" xr:uid="{00000000-0005-0000-0000-000003650000}"/>
    <cellStyle name="Note 4 3 3 3 3 5 3 11" xfId="36688" xr:uid="{00000000-0005-0000-0000-000004650000}"/>
    <cellStyle name="Note 4 3 3 3 3 5 3 12" xfId="40679" xr:uid="{00000000-0005-0000-0000-000005650000}"/>
    <cellStyle name="Note 4 3 3 3 3 5 3 13" xfId="44510" xr:uid="{00000000-0005-0000-0000-000006650000}"/>
    <cellStyle name="Note 4 3 3 3 3 5 3 2" xfId="3621" xr:uid="{00000000-0005-0000-0000-000007650000}"/>
    <cellStyle name="Note 4 3 3 3 3 5 3 2 10" xfId="38672" xr:uid="{00000000-0005-0000-0000-000008650000}"/>
    <cellStyle name="Note 4 3 3 3 3 5 3 2 11" xfId="42683" xr:uid="{00000000-0005-0000-0000-000009650000}"/>
    <cellStyle name="Note 4 3 3 3 3 5 3 2 12" xfId="46448" xr:uid="{00000000-0005-0000-0000-00000A650000}"/>
    <cellStyle name="Note 4 3 3 3 3 5 3 2 2" xfId="7488" xr:uid="{00000000-0005-0000-0000-00000B650000}"/>
    <cellStyle name="Note 4 3 3 3 3 5 3 2 3" xfId="11923" xr:uid="{00000000-0005-0000-0000-00000C650000}"/>
    <cellStyle name="Note 4 3 3 3 3 5 3 2 4" xfId="15768" xr:uid="{00000000-0005-0000-0000-00000D650000}"/>
    <cellStyle name="Note 4 3 3 3 3 5 3 2 5" xfId="19615" xr:uid="{00000000-0005-0000-0000-00000E650000}"/>
    <cellStyle name="Note 4 3 3 3 3 5 3 2 6" xfId="23531" xr:uid="{00000000-0005-0000-0000-00000F650000}"/>
    <cellStyle name="Note 4 3 3 3 3 5 3 2 7" xfId="27365" xr:uid="{00000000-0005-0000-0000-000010650000}"/>
    <cellStyle name="Note 4 3 3 3 3 5 3 2 8" xfId="31230" xr:uid="{00000000-0005-0000-0000-000011650000}"/>
    <cellStyle name="Note 4 3 3 3 3 5 3 2 9" xfId="34886" xr:uid="{00000000-0005-0000-0000-000012650000}"/>
    <cellStyle name="Note 4 3 3 3 3 5 3 3" xfId="5564" xr:uid="{00000000-0005-0000-0000-000013650000}"/>
    <cellStyle name="Note 4 3 3 3 3 5 3 4" xfId="9922" xr:uid="{00000000-0005-0000-0000-000014650000}"/>
    <cellStyle name="Note 4 3 3 3 3 5 3 5" xfId="13768" xr:uid="{00000000-0005-0000-0000-000015650000}"/>
    <cellStyle name="Note 4 3 3 3 3 5 3 6" xfId="17597" xr:uid="{00000000-0005-0000-0000-000016650000}"/>
    <cellStyle name="Note 4 3 3 3 3 5 3 7" xfId="21536" xr:uid="{00000000-0005-0000-0000-000017650000}"/>
    <cellStyle name="Note 4 3 3 3 3 5 3 8" xfId="25349" xr:uid="{00000000-0005-0000-0000-000018650000}"/>
    <cellStyle name="Note 4 3 3 3 3 5 3 9" xfId="29236" xr:uid="{00000000-0005-0000-0000-000019650000}"/>
    <cellStyle name="Note 4 3 3 3 3 5 4" xfId="2890" xr:uid="{00000000-0005-0000-0000-00001A650000}"/>
    <cellStyle name="Note 4 3 3 3 3 5 4 10" xfId="37942" xr:uid="{00000000-0005-0000-0000-00001B650000}"/>
    <cellStyle name="Note 4 3 3 3 3 5 4 11" xfId="41954" xr:uid="{00000000-0005-0000-0000-00001C650000}"/>
    <cellStyle name="Note 4 3 3 3 3 5 4 12" xfId="45731" xr:uid="{00000000-0005-0000-0000-00001D650000}"/>
    <cellStyle name="Note 4 3 3 3 3 5 4 2" xfId="6770" xr:uid="{00000000-0005-0000-0000-00001E650000}"/>
    <cellStyle name="Note 4 3 3 3 3 5 4 3" xfId="11197" xr:uid="{00000000-0005-0000-0000-00001F650000}"/>
    <cellStyle name="Note 4 3 3 3 3 5 4 4" xfId="15042" xr:uid="{00000000-0005-0000-0000-000020650000}"/>
    <cellStyle name="Note 4 3 3 3 3 5 4 5" xfId="18884" xr:uid="{00000000-0005-0000-0000-000021650000}"/>
    <cellStyle name="Note 4 3 3 3 3 5 4 6" xfId="22810" xr:uid="{00000000-0005-0000-0000-000022650000}"/>
    <cellStyle name="Note 4 3 3 3 3 5 4 7" xfId="26635" xr:uid="{00000000-0005-0000-0000-000023650000}"/>
    <cellStyle name="Note 4 3 3 3 3 5 4 8" xfId="30511" xr:uid="{00000000-0005-0000-0000-000024650000}"/>
    <cellStyle name="Note 4 3 3 3 3 5 4 9" xfId="34169" xr:uid="{00000000-0005-0000-0000-000025650000}"/>
    <cellStyle name="Note 4 3 3 3 3 5 5" xfId="4846" xr:uid="{00000000-0005-0000-0000-000026650000}"/>
    <cellStyle name="Note 4 3 3 3 3 5 6" xfId="9200" xr:uid="{00000000-0005-0000-0000-000027650000}"/>
    <cellStyle name="Note 4 3 3 3 3 5 7" xfId="13041" xr:uid="{00000000-0005-0000-0000-000028650000}"/>
    <cellStyle name="Note 4 3 3 3 3 5 8" xfId="16866" xr:uid="{00000000-0005-0000-0000-000029650000}"/>
    <cellStyle name="Note 4 3 3 3 3 5 9" xfId="20808" xr:uid="{00000000-0005-0000-0000-00002A650000}"/>
    <cellStyle name="Note 4 3 3 3 3 6" xfId="946" xr:uid="{00000000-0005-0000-0000-00002B650000}"/>
    <cellStyle name="Note 4 3 3 3 3 6 10" xfId="28558" xr:uid="{00000000-0005-0000-0000-00002C650000}"/>
    <cellStyle name="Note 4 3 3 3 3 6 11" xfId="32247" xr:uid="{00000000-0005-0000-0000-00002D650000}"/>
    <cellStyle name="Note 4 3 3 3 3 6 12" xfId="36004" xr:uid="{00000000-0005-0000-0000-00002E650000}"/>
    <cellStyle name="Note 4 3 3 3 3 6 13" xfId="40012" xr:uid="{00000000-0005-0000-0000-00002F650000}"/>
    <cellStyle name="Note 4 3 3 3 3 6 14" xfId="43830" xr:uid="{00000000-0005-0000-0000-000030650000}"/>
    <cellStyle name="Note 4 3 3 3 3 6 2" xfId="1677" xr:uid="{00000000-0005-0000-0000-000031650000}"/>
    <cellStyle name="Note 4 3 3 3 3 6 2 10" xfId="32964" xr:uid="{00000000-0005-0000-0000-000032650000}"/>
    <cellStyle name="Note 4 3 3 3 3 6 2 11" xfId="36734" xr:uid="{00000000-0005-0000-0000-000033650000}"/>
    <cellStyle name="Note 4 3 3 3 3 6 2 12" xfId="40725" xr:uid="{00000000-0005-0000-0000-000034650000}"/>
    <cellStyle name="Note 4 3 3 3 3 6 2 13" xfId="44556" xr:uid="{00000000-0005-0000-0000-000035650000}"/>
    <cellStyle name="Note 4 3 3 3 3 6 2 2" xfId="3667" xr:uid="{00000000-0005-0000-0000-000036650000}"/>
    <cellStyle name="Note 4 3 3 3 3 6 2 2 10" xfId="38718" xr:uid="{00000000-0005-0000-0000-000037650000}"/>
    <cellStyle name="Note 4 3 3 3 3 6 2 2 11" xfId="42729" xr:uid="{00000000-0005-0000-0000-000038650000}"/>
    <cellStyle name="Note 4 3 3 3 3 6 2 2 12" xfId="46494" xr:uid="{00000000-0005-0000-0000-000039650000}"/>
    <cellStyle name="Note 4 3 3 3 3 6 2 2 2" xfId="7534" xr:uid="{00000000-0005-0000-0000-00003A650000}"/>
    <cellStyle name="Note 4 3 3 3 3 6 2 2 3" xfId="11969" xr:uid="{00000000-0005-0000-0000-00003B650000}"/>
    <cellStyle name="Note 4 3 3 3 3 6 2 2 4" xfId="15814" xr:uid="{00000000-0005-0000-0000-00003C650000}"/>
    <cellStyle name="Note 4 3 3 3 3 6 2 2 5" xfId="19661" xr:uid="{00000000-0005-0000-0000-00003D650000}"/>
    <cellStyle name="Note 4 3 3 3 3 6 2 2 6" xfId="23577" xr:uid="{00000000-0005-0000-0000-00003E650000}"/>
    <cellStyle name="Note 4 3 3 3 3 6 2 2 7" xfId="27411" xr:uid="{00000000-0005-0000-0000-00003F650000}"/>
    <cellStyle name="Note 4 3 3 3 3 6 2 2 8" xfId="31275" xr:uid="{00000000-0005-0000-0000-000040650000}"/>
    <cellStyle name="Note 4 3 3 3 3 6 2 2 9" xfId="34932" xr:uid="{00000000-0005-0000-0000-000041650000}"/>
    <cellStyle name="Note 4 3 3 3 3 6 2 3" xfId="5610" xr:uid="{00000000-0005-0000-0000-000042650000}"/>
    <cellStyle name="Note 4 3 3 3 3 6 2 4" xfId="9968" xr:uid="{00000000-0005-0000-0000-000043650000}"/>
    <cellStyle name="Note 4 3 3 3 3 6 2 5" xfId="13814" xr:uid="{00000000-0005-0000-0000-000044650000}"/>
    <cellStyle name="Note 4 3 3 3 3 6 2 6" xfId="17643" xr:uid="{00000000-0005-0000-0000-000045650000}"/>
    <cellStyle name="Note 4 3 3 3 3 6 2 7" xfId="21582" xr:uid="{00000000-0005-0000-0000-000046650000}"/>
    <cellStyle name="Note 4 3 3 3 3 6 2 8" xfId="25395" xr:uid="{00000000-0005-0000-0000-000047650000}"/>
    <cellStyle name="Note 4 3 3 3 3 6 2 9" xfId="29282" xr:uid="{00000000-0005-0000-0000-000048650000}"/>
    <cellStyle name="Note 4 3 3 3 3 6 3" xfId="2936" xr:uid="{00000000-0005-0000-0000-000049650000}"/>
    <cellStyle name="Note 4 3 3 3 3 6 3 10" xfId="37988" xr:uid="{00000000-0005-0000-0000-00004A650000}"/>
    <cellStyle name="Note 4 3 3 3 3 6 3 11" xfId="42000" xr:uid="{00000000-0005-0000-0000-00004B650000}"/>
    <cellStyle name="Note 4 3 3 3 3 6 3 12" xfId="45777" xr:uid="{00000000-0005-0000-0000-00004C650000}"/>
    <cellStyle name="Note 4 3 3 3 3 6 3 2" xfId="6816" xr:uid="{00000000-0005-0000-0000-00004D650000}"/>
    <cellStyle name="Note 4 3 3 3 3 6 3 3" xfId="11243" xr:uid="{00000000-0005-0000-0000-00004E650000}"/>
    <cellStyle name="Note 4 3 3 3 3 6 3 4" xfId="15088" xr:uid="{00000000-0005-0000-0000-00004F650000}"/>
    <cellStyle name="Note 4 3 3 3 3 6 3 5" xfId="18930" xr:uid="{00000000-0005-0000-0000-000050650000}"/>
    <cellStyle name="Note 4 3 3 3 3 6 3 6" xfId="22856" xr:uid="{00000000-0005-0000-0000-000051650000}"/>
    <cellStyle name="Note 4 3 3 3 3 6 3 7" xfId="26681" xr:uid="{00000000-0005-0000-0000-000052650000}"/>
    <cellStyle name="Note 4 3 3 3 3 6 3 8" xfId="30556" xr:uid="{00000000-0005-0000-0000-000053650000}"/>
    <cellStyle name="Note 4 3 3 3 3 6 3 9" xfId="34215" xr:uid="{00000000-0005-0000-0000-000054650000}"/>
    <cellStyle name="Note 4 3 3 3 3 6 4" xfId="4892" xr:uid="{00000000-0005-0000-0000-000055650000}"/>
    <cellStyle name="Note 4 3 3 3 3 6 5" xfId="9246" xr:uid="{00000000-0005-0000-0000-000056650000}"/>
    <cellStyle name="Note 4 3 3 3 3 6 6" xfId="13087" xr:uid="{00000000-0005-0000-0000-000057650000}"/>
    <cellStyle name="Note 4 3 3 3 3 6 7" xfId="16912" xr:uid="{00000000-0005-0000-0000-000058650000}"/>
    <cellStyle name="Note 4 3 3 3 3 6 8" xfId="20854" xr:uid="{00000000-0005-0000-0000-000059650000}"/>
    <cellStyle name="Note 4 3 3 3 3 6 9" xfId="24670" xr:uid="{00000000-0005-0000-0000-00005A650000}"/>
    <cellStyle name="Note 4 3 3 3 3 7" xfId="1324" xr:uid="{00000000-0005-0000-0000-00005B650000}"/>
    <cellStyle name="Note 4 3 3 3 3 7 10" xfId="32611" xr:uid="{00000000-0005-0000-0000-00005C650000}"/>
    <cellStyle name="Note 4 3 3 3 3 7 11" xfId="36381" xr:uid="{00000000-0005-0000-0000-00005D650000}"/>
    <cellStyle name="Note 4 3 3 3 3 7 12" xfId="40372" xr:uid="{00000000-0005-0000-0000-00005E650000}"/>
    <cellStyle name="Note 4 3 3 3 3 7 13" xfId="44203" xr:uid="{00000000-0005-0000-0000-00005F650000}"/>
    <cellStyle name="Note 4 3 3 3 3 7 2" xfId="3314" xr:uid="{00000000-0005-0000-0000-000060650000}"/>
    <cellStyle name="Note 4 3 3 3 3 7 2 10" xfId="38365" xr:uid="{00000000-0005-0000-0000-000061650000}"/>
    <cellStyle name="Note 4 3 3 3 3 7 2 11" xfId="42376" xr:uid="{00000000-0005-0000-0000-000062650000}"/>
    <cellStyle name="Note 4 3 3 3 3 7 2 12" xfId="46141" xr:uid="{00000000-0005-0000-0000-000063650000}"/>
    <cellStyle name="Note 4 3 3 3 3 7 2 2" xfId="7181" xr:uid="{00000000-0005-0000-0000-000064650000}"/>
    <cellStyle name="Note 4 3 3 3 3 7 2 3" xfId="11616" xr:uid="{00000000-0005-0000-0000-000065650000}"/>
    <cellStyle name="Note 4 3 3 3 3 7 2 4" xfId="15461" xr:uid="{00000000-0005-0000-0000-000066650000}"/>
    <cellStyle name="Note 4 3 3 3 3 7 2 5" xfId="19308" xr:uid="{00000000-0005-0000-0000-000067650000}"/>
    <cellStyle name="Note 4 3 3 3 3 7 2 6" xfId="23224" xr:uid="{00000000-0005-0000-0000-000068650000}"/>
    <cellStyle name="Note 4 3 3 3 3 7 2 7" xfId="27058" xr:uid="{00000000-0005-0000-0000-000069650000}"/>
    <cellStyle name="Note 4 3 3 3 3 7 2 8" xfId="30927" xr:uid="{00000000-0005-0000-0000-00006A650000}"/>
    <cellStyle name="Note 4 3 3 3 3 7 2 9" xfId="34579" xr:uid="{00000000-0005-0000-0000-00006B650000}"/>
    <cellStyle name="Note 4 3 3 3 3 7 3" xfId="5257" xr:uid="{00000000-0005-0000-0000-00006C650000}"/>
    <cellStyle name="Note 4 3 3 3 3 7 4" xfId="9615" xr:uid="{00000000-0005-0000-0000-00006D650000}"/>
    <cellStyle name="Note 4 3 3 3 3 7 5" xfId="13461" xr:uid="{00000000-0005-0000-0000-00006E650000}"/>
    <cellStyle name="Note 4 3 3 3 3 7 6" xfId="17290" xr:uid="{00000000-0005-0000-0000-00006F650000}"/>
    <cellStyle name="Note 4 3 3 3 3 7 7" xfId="21229" xr:uid="{00000000-0005-0000-0000-000070650000}"/>
    <cellStyle name="Note 4 3 3 3 3 7 8" xfId="25042" xr:uid="{00000000-0005-0000-0000-000071650000}"/>
    <cellStyle name="Note 4 3 3 3 3 7 9" xfId="28929" xr:uid="{00000000-0005-0000-0000-000072650000}"/>
    <cellStyle name="Note 4 3 3 3 3 8" xfId="2021" xr:uid="{00000000-0005-0000-0000-000073650000}"/>
    <cellStyle name="Note 4 3 3 3 3 8 10" xfId="33306" xr:uid="{00000000-0005-0000-0000-000074650000}"/>
    <cellStyle name="Note 4 3 3 3 3 8 11" xfId="37077" xr:uid="{00000000-0005-0000-0000-000075650000}"/>
    <cellStyle name="Note 4 3 3 3 3 8 12" xfId="41069" xr:uid="{00000000-0005-0000-0000-000076650000}"/>
    <cellStyle name="Note 4 3 3 3 3 8 13" xfId="44897" xr:uid="{00000000-0005-0000-0000-000077650000}"/>
    <cellStyle name="Note 4 3 3 3 3 8 2" xfId="4010" xr:uid="{00000000-0005-0000-0000-000078650000}"/>
    <cellStyle name="Note 4 3 3 3 3 8 2 10" xfId="39061" xr:uid="{00000000-0005-0000-0000-000079650000}"/>
    <cellStyle name="Note 4 3 3 3 3 8 2 11" xfId="43072" xr:uid="{00000000-0005-0000-0000-00007A650000}"/>
    <cellStyle name="Note 4 3 3 3 3 8 2 12" xfId="46835" xr:uid="{00000000-0005-0000-0000-00007B650000}"/>
    <cellStyle name="Note 4 3 3 3 3 8 2 2" xfId="7875" xr:uid="{00000000-0005-0000-0000-00007C650000}"/>
    <cellStyle name="Note 4 3 3 3 3 8 2 3" xfId="12311" xr:uid="{00000000-0005-0000-0000-00007D650000}"/>
    <cellStyle name="Note 4 3 3 3 3 8 2 4" xfId="16156" xr:uid="{00000000-0005-0000-0000-00007E650000}"/>
    <cellStyle name="Note 4 3 3 3 3 8 2 5" xfId="20004" xr:uid="{00000000-0005-0000-0000-00007F650000}"/>
    <cellStyle name="Note 4 3 3 3 3 8 2 6" xfId="23919" xr:uid="{00000000-0005-0000-0000-000080650000}"/>
    <cellStyle name="Note 4 3 3 3 3 8 2 7" xfId="27754" xr:uid="{00000000-0005-0000-0000-000081650000}"/>
    <cellStyle name="Note 4 3 3 3 3 8 2 8" xfId="31614" xr:uid="{00000000-0005-0000-0000-000082650000}"/>
    <cellStyle name="Note 4 3 3 3 3 8 2 9" xfId="35273" xr:uid="{00000000-0005-0000-0000-000083650000}"/>
    <cellStyle name="Note 4 3 3 3 3 8 3" xfId="5951" xr:uid="{00000000-0005-0000-0000-000084650000}"/>
    <cellStyle name="Note 4 3 3 3 3 8 4" xfId="10310" xr:uid="{00000000-0005-0000-0000-000085650000}"/>
    <cellStyle name="Note 4 3 3 3 3 8 5" xfId="14157" xr:uid="{00000000-0005-0000-0000-000086650000}"/>
    <cellStyle name="Note 4 3 3 3 3 8 6" xfId="17987" xr:uid="{00000000-0005-0000-0000-000087650000}"/>
    <cellStyle name="Note 4 3 3 3 3 8 7" xfId="21925" xr:uid="{00000000-0005-0000-0000-000088650000}"/>
    <cellStyle name="Note 4 3 3 3 3 8 8" xfId="25739" xr:uid="{00000000-0005-0000-0000-000089650000}"/>
    <cellStyle name="Note 4 3 3 3 3 8 9" xfId="29626" xr:uid="{00000000-0005-0000-0000-00008A650000}"/>
    <cellStyle name="Note 4 3 3 3 3 9" xfId="2068" xr:uid="{00000000-0005-0000-0000-00008B650000}"/>
    <cellStyle name="Note 4 3 3 3 3 9 10" xfId="33350" xr:uid="{00000000-0005-0000-0000-00008C650000}"/>
    <cellStyle name="Note 4 3 3 3 3 9 11" xfId="37124" xr:uid="{00000000-0005-0000-0000-00008D650000}"/>
    <cellStyle name="Note 4 3 3 3 3 9 12" xfId="41114" xr:uid="{00000000-0005-0000-0000-00008E650000}"/>
    <cellStyle name="Note 4 3 3 3 3 9 13" xfId="44941" xr:uid="{00000000-0005-0000-0000-00008F650000}"/>
    <cellStyle name="Note 4 3 3 3 3 9 2" xfId="4057" xr:uid="{00000000-0005-0000-0000-000090650000}"/>
    <cellStyle name="Note 4 3 3 3 3 9 2 10" xfId="39108" xr:uid="{00000000-0005-0000-0000-000091650000}"/>
    <cellStyle name="Note 4 3 3 3 3 9 2 11" xfId="43118" xr:uid="{00000000-0005-0000-0000-000092650000}"/>
    <cellStyle name="Note 4 3 3 3 3 9 2 12" xfId="46879" xr:uid="{00000000-0005-0000-0000-000093650000}"/>
    <cellStyle name="Note 4 3 3 3 3 9 2 2" xfId="7920" xr:uid="{00000000-0005-0000-0000-000094650000}"/>
    <cellStyle name="Note 4 3 3 3 3 9 2 3" xfId="12357" xr:uid="{00000000-0005-0000-0000-000095650000}"/>
    <cellStyle name="Note 4 3 3 3 3 9 2 4" xfId="16202" xr:uid="{00000000-0005-0000-0000-000096650000}"/>
    <cellStyle name="Note 4 3 3 3 3 9 2 5" xfId="20051" xr:uid="{00000000-0005-0000-0000-000097650000}"/>
    <cellStyle name="Note 4 3 3 3 3 9 2 6" xfId="23965" xr:uid="{00000000-0005-0000-0000-000098650000}"/>
    <cellStyle name="Note 4 3 3 3 3 9 2 7" xfId="27801" xr:uid="{00000000-0005-0000-0000-000099650000}"/>
    <cellStyle name="Note 4 3 3 3 3 9 2 8" xfId="31660" xr:uid="{00000000-0005-0000-0000-00009A650000}"/>
    <cellStyle name="Note 4 3 3 3 3 9 2 9" xfId="35317" xr:uid="{00000000-0005-0000-0000-00009B650000}"/>
    <cellStyle name="Note 4 3 3 3 3 9 3" xfId="5996" xr:uid="{00000000-0005-0000-0000-00009C650000}"/>
    <cellStyle name="Note 4 3 3 3 3 9 4" xfId="10356" xr:uid="{00000000-0005-0000-0000-00009D650000}"/>
    <cellStyle name="Note 4 3 3 3 3 9 5" xfId="14203" xr:uid="{00000000-0005-0000-0000-00009E650000}"/>
    <cellStyle name="Note 4 3 3 3 3 9 6" xfId="18034" xr:uid="{00000000-0005-0000-0000-00009F650000}"/>
    <cellStyle name="Note 4 3 3 3 3 9 7" xfId="21971" xr:uid="{00000000-0005-0000-0000-0000A0650000}"/>
    <cellStyle name="Note 4 3 3 3 3 9 8" xfId="25786" xr:uid="{00000000-0005-0000-0000-0000A1650000}"/>
    <cellStyle name="Note 4 3 3 3 3 9 9" xfId="29672" xr:uid="{00000000-0005-0000-0000-0000A2650000}"/>
    <cellStyle name="Note 4 3 3 3 30" xfId="47336" xr:uid="{00000000-0005-0000-0000-0000A3650000}"/>
    <cellStyle name="Note 4 3 3 3 31" xfId="47425" xr:uid="{00000000-0005-0000-0000-0000A4650000}"/>
    <cellStyle name="Note 4 3 3 3 32" xfId="47396" xr:uid="{00000000-0005-0000-0000-0000A5650000}"/>
    <cellStyle name="Note 4 3 3 3 4" xfId="539" xr:uid="{00000000-0005-0000-0000-0000A6650000}"/>
    <cellStyle name="Note 4 3 3 3 4 10" xfId="2191" xr:uid="{00000000-0005-0000-0000-0000A7650000}"/>
    <cellStyle name="Note 4 3 3 3 4 10 10" xfId="33492" xr:uid="{00000000-0005-0000-0000-0000A8650000}"/>
    <cellStyle name="Note 4 3 3 3 4 10 11" xfId="37243" xr:uid="{00000000-0005-0000-0000-0000A9650000}"/>
    <cellStyle name="Note 4 3 3 3 4 10 12" xfId="41259" xr:uid="{00000000-0005-0000-0000-0000AA650000}"/>
    <cellStyle name="Note 4 3 3 3 4 10 13" xfId="45054" xr:uid="{00000000-0005-0000-0000-0000AB650000}"/>
    <cellStyle name="Note 4 3 3 3 4 10 2" xfId="4174" xr:uid="{00000000-0005-0000-0000-0000AC650000}"/>
    <cellStyle name="Note 4 3 3 3 4 10 2 10" xfId="39225" xr:uid="{00000000-0005-0000-0000-0000AD650000}"/>
    <cellStyle name="Note 4 3 3 3 4 10 2 11" xfId="43235" xr:uid="{00000000-0005-0000-0000-0000AE650000}"/>
    <cellStyle name="Note 4 3 3 3 4 10 2 12" xfId="46992" xr:uid="{00000000-0005-0000-0000-0000AF650000}"/>
    <cellStyle name="Note 4 3 3 3 4 10 2 2" xfId="8033" xr:uid="{00000000-0005-0000-0000-0000B0650000}"/>
    <cellStyle name="Note 4 3 3 3 4 10 2 3" xfId="12473" xr:uid="{00000000-0005-0000-0000-0000B1650000}"/>
    <cellStyle name="Note 4 3 3 3 4 10 2 4" xfId="16318" xr:uid="{00000000-0005-0000-0000-0000B2650000}"/>
    <cellStyle name="Note 4 3 3 3 4 10 2 5" xfId="20168" xr:uid="{00000000-0005-0000-0000-0000B3650000}"/>
    <cellStyle name="Note 4 3 3 3 4 10 2 6" xfId="24080" xr:uid="{00000000-0005-0000-0000-0000B4650000}"/>
    <cellStyle name="Note 4 3 3 3 4 10 2 7" xfId="27918" xr:uid="{00000000-0005-0000-0000-0000B5650000}"/>
    <cellStyle name="Note 4 3 3 3 4 10 2 8" xfId="31777" xr:uid="{00000000-0005-0000-0000-0000B6650000}"/>
    <cellStyle name="Note 4 3 3 3 4 10 2 9" xfId="35430" xr:uid="{00000000-0005-0000-0000-0000B7650000}"/>
    <cellStyle name="Note 4 3 3 3 4 10 3" xfId="6105" xr:uid="{00000000-0005-0000-0000-0000B8650000}"/>
    <cellStyle name="Note 4 3 3 3 4 10 4" xfId="10508" xr:uid="{00000000-0005-0000-0000-0000B9650000}"/>
    <cellStyle name="Note 4 3 3 3 4 10 5" xfId="14354" xr:uid="{00000000-0005-0000-0000-0000BA650000}"/>
    <cellStyle name="Note 4 3 3 3 4 10 6" xfId="18185" xr:uid="{00000000-0005-0000-0000-0000BB650000}"/>
    <cellStyle name="Note 4 3 3 3 4 10 7" xfId="22124" xr:uid="{00000000-0005-0000-0000-0000BC650000}"/>
    <cellStyle name="Note 4 3 3 3 4 10 8" xfId="25936" xr:uid="{00000000-0005-0000-0000-0000BD650000}"/>
    <cellStyle name="Note 4 3 3 3 4 10 9" xfId="29816" xr:uid="{00000000-0005-0000-0000-0000BE650000}"/>
    <cellStyle name="Note 4 3 3 3 4 11" xfId="2249" xr:uid="{00000000-0005-0000-0000-0000BF650000}"/>
    <cellStyle name="Note 4 3 3 3 4 11 10" xfId="33550" xr:uid="{00000000-0005-0000-0000-0000C0650000}"/>
    <cellStyle name="Note 4 3 3 3 4 11 11" xfId="37301" xr:uid="{00000000-0005-0000-0000-0000C1650000}"/>
    <cellStyle name="Note 4 3 3 3 4 11 12" xfId="41317" xr:uid="{00000000-0005-0000-0000-0000C2650000}"/>
    <cellStyle name="Note 4 3 3 3 4 11 13" xfId="45112" xr:uid="{00000000-0005-0000-0000-0000C3650000}"/>
    <cellStyle name="Note 4 3 3 3 4 11 2" xfId="4232" xr:uid="{00000000-0005-0000-0000-0000C4650000}"/>
    <cellStyle name="Note 4 3 3 3 4 11 2 10" xfId="39283" xr:uid="{00000000-0005-0000-0000-0000C5650000}"/>
    <cellStyle name="Note 4 3 3 3 4 11 2 11" xfId="43293" xr:uid="{00000000-0005-0000-0000-0000C6650000}"/>
    <cellStyle name="Note 4 3 3 3 4 11 2 12" xfId="47050" xr:uid="{00000000-0005-0000-0000-0000C7650000}"/>
    <cellStyle name="Note 4 3 3 3 4 11 2 2" xfId="8091" xr:uid="{00000000-0005-0000-0000-0000C8650000}"/>
    <cellStyle name="Note 4 3 3 3 4 11 2 3" xfId="12531" xr:uid="{00000000-0005-0000-0000-0000C9650000}"/>
    <cellStyle name="Note 4 3 3 3 4 11 2 4" xfId="16376" xr:uid="{00000000-0005-0000-0000-0000CA650000}"/>
    <cellStyle name="Note 4 3 3 3 4 11 2 5" xfId="20226" xr:uid="{00000000-0005-0000-0000-0000CB650000}"/>
    <cellStyle name="Note 4 3 3 3 4 11 2 6" xfId="24138" xr:uid="{00000000-0005-0000-0000-0000CC650000}"/>
    <cellStyle name="Note 4 3 3 3 4 11 2 7" xfId="27976" xr:uid="{00000000-0005-0000-0000-0000CD650000}"/>
    <cellStyle name="Note 4 3 3 3 4 11 2 8" xfId="31835" xr:uid="{00000000-0005-0000-0000-0000CE650000}"/>
    <cellStyle name="Note 4 3 3 3 4 11 2 9" xfId="35488" xr:uid="{00000000-0005-0000-0000-0000CF650000}"/>
    <cellStyle name="Note 4 3 3 3 4 11 3" xfId="6163" xr:uid="{00000000-0005-0000-0000-0000D0650000}"/>
    <cellStyle name="Note 4 3 3 3 4 11 4" xfId="10566" xr:uid="{00000000-0005-0000-0000-0000D1650000}"/>
    <cellStyle name="Note 4 3 3 3 4 11 5" xfId="14412" xr:uid="{00000000-0005-0000-0000-0000D2650000}"/>
    <cellStyle name="Note 4 3 3 3 4 11 6" xfId="18243" xr:uid="{00000000-0005-0000-0000-0000D3650000}"/>
    <cellStyle name="Note 4 3 3 3 4 11 7" xfId="22182" xr:uid="{00000000-0005-0000-0000-0000D4650000}"/>
    <cellStyle name="Note 4 3 3 3 4 11 8" xfId="25994" xr:uid="{00000000-0005-0000-0000-0000D5650000}"/>
    <cellStyle name="Note 4 3 3 3 4 11 9" xfId="29874" xr:uid="{00000000-0005-0000-0000-0000D6650000}"/>
    <cellStyle name="Note 4 3 3 3 4 12" xfId="2304" xr:uid="{00000000-0005-0000-0000-0000D7650000}"/>
    <cellStyle name="Note 4 3 3 3 4 12 10" xfId="33605" xr:uid="{00000000-0005-0000-0000-0000D8650000}"/>
    <cellStyle name="Note 4 3 3 3 4 12 11" xfId="37356" xr:uid="{00000000-0005-0000-0000-0000D9650000}"/>
    <cellStyle name="Note 4 3 3 3 4 12 12" xfId="41372" xr:uid="{00000000-0005-0000-0000-0000DA650000}"/>
    <cellStyle name="Note 4 3 3 3 4 12 13" xfId="45167" xr:uid="{00000000-0005-0000-0000-0000DB650000}"/>
    <cellStyle name="Note 4 3 3 3 4 12 2" xfId="4287" xr:uid="{00000000-0005-0000-0000-0000DC650000}"/>
    <cellStyle name="Note 4 3 3 3 4 12 2 10" xfId="39338" xr:uid="{00000000-0005-0000-0000-0000DD650000}"/>
    <cellStyle name="Note 4 3 3 3 4 12 2 11" xfId="43348" xr:uid="{00000000-0005-0000-0000-0000DE650000}"/>
    <cellStyle name="Note 4 3 3 3 4 12 2 12" xfId="47105" xr:uid="{00000000-0005-0000-0000-0000DF650000}"/>
    <cellStyle name="Note 4 3 3 3 4 12 2 2" xfId="8146" xr:uid="{00000000-0005-0000-0000-0000E0650000}"/>
    <cellStyle name="Note 4 3 3 3 4 12 2 3" xfId="12586" xr:uid="{00000000-0005-0000-0000-0000E1650000}"/>
    <cellStyle name="Note 4 3 3 3 4 12 2 4" xfId="16431" xr:uid="{00000000-0005-0000-0000-0000E2650000}"/>
    <cellStyle name="Note 4 3 3 3 4 12 2 5" xfId="20281" xr:uid="{00000000-0005-0000-0000-0000E3650000}"/>
    <cellStyle name="Note 4 3 3 3 4 12 2 6" xfId="24193" xr:uid="{00000000-0005-0000-0000-0000E4650000}"/>
    <cellStyle name="Note 4 3 3 3 4 12 2 7" xfId="28031" xr:uid="{00000000-0005-0000-0000-0000E5650000}"/>
    <cellStyle name="Note 4 3 3 3 4 12 2 8" xfId="31890" xr:uid="{00000000-0005-0000-0000-0000E6650000}"/>
    <cellStyle name="Note 4 3 3 3 4 12 2 9" xfId="35543" xr:uid="{00000000-0005-0000-0000-0000E7650000}"/>
    <cellStyle name="Note 4 3 3 3 4 12 3" xfId="6218" xr:uid="{00000000-0005-0000-0000-0000E8650000}"/>
    <cellStyle name="Note 4 3 3 3 4 12 4" xfId="10621" xr:uid="{00000000-0005-0000-0000-0000E9650000}"/>
    <cellStyle name="Note 4 3 3 3 4 12 5" xfId="14467" xr:uid="{00000000-0005-0000-0000-0000EA650000}"/>
    <cellStyle name="Note 4 3 3 3 4 12 6" xfId="18298" xr:uid="{00000000-0005-0000-0000-0000EB650000}"/>
    <cellStyle name="Note 4 3 3 3 4 12 7" xfId="22237" xr:uid="{00000000-0005-0000-0000-0000EC650000}"/>
    <cellStyle name="Note 4 3 3 3 4 12 8" xfId="26049" xr:uid="{00000000-0005-0000-0000-0000ED650000}"/>
    <cellStyle name="Note 4 3 3 3 4 12 9" xfId="29929" xr:uid="{00000000-0005-0000-0000-0000EE650000}"/>
    <cellStyle name="Note 4 3 3 3 4 13" xfId="2371" xr:uid="{00000000-0005-0000-0000-0000EF650000}"/>
    <cellStyle name="Note 4 3 3 3 4 13 10" xfId="33669" xr:uid="{00000000-0005-0000-0000-0000F0650000}"/>
    <cellStyle name="Note 4 3 3 3 4 13 11" xfId="37423" xr:uid="{00000000-0005-0000-0000-0000F1650000}"/>
    <cellStyle name="Note 4 3 3 3 4 13 12" xfId="41438" xr:uid="{00000000-0005-0000-0000-0000F2650000}"/>
    <cellStyle name="Note 4 3 3 3 4 13 13" xfId="45231" xr:uid="{00000000-0005-0000-0000-0000F3650000}"/>
    <cellStyle name="Note 4 3 3 3 4 13 2" xfId="4354" xr:uid="{00000000-0005-0000-0000-0000F4650000}"/>
    <cellStyle name="Note 4 3 3 3 4 13 2 10" xfId="39405" xr:uid="{00000000-0005-0000-0000-0000F5650000}"/>
    <cellStyle name="Note 4 3 3 3 4 13 2 11" xfId="43414" xr:uid="{00000000-0005-0000-0000-0000F6650000}"/>
    <cellStyle name="Note 4 3 3 3 4 13 2 12" xfId="47169" xr:uid="{00000000-0005-0000-0000-0000F7650000}"/>
    <cellStyle name="Note 4 3 3 3 4 13 2 2" xfId="8211" xr:uid="{00000000-0005-0000-0000-0000F8650000}"/>
    <cellStyle name="Note 4 3 3 3 4 13 2 3" xfId="12652" xr:uid="{00000000-0005-0000-0000-0000F9650000}"/>
    <cellStyle name="Note 4 3 3 3 4 13 2 4" xfId="16497" xr:uid="{00000000-0005-0000-0000-0000FA650000}"/>
    <cellStyle name="Note 4 3 3 3 4 13 2 5" xfId="20348" xr:uid="{00000000-0005-0000-0000-0000FB650000}"/>
    <cellStyle name="Note 4 3 3 3 4 13 2 6" xfId="24259" xr:uid="{00000000-0005-0000-0000-0000FC650000}"/>
    <cellStyle name="Note 4 3 3 3 4 13 2 7" xfId="28098" xr:uid="{00000000-0005-0000-0000-0000FD650000}"/>
    <cellStyle name="Note 4 3 3 3 4 13 2 8" xfId="31956" xr:uid="{00000000-0005-0000-0000-0000FE650000}"/>
    <cellStyle name="Note 4 3 3 3 4 13 2 9" xfId="35607" xr:uid="{00000000-0005-0000-0000-0000FF650000}"/>
    <cellStyle name="Note 4 3 3 3 4 13 3" xfId="6267" xr:uid="{00000000-0005-0000-0000-000000660000}"/>
    <cellStyle name="Note 4 3 3 3 4 13 4" xfId="10687" xr:uid="{00000000-0005-0000-0000-000001660000}"/>
    <cellStyle name="Note 4 3 3 3 4 13 5" xfId="14533" xr:uid="{00000000-0005-0000-0000-000002660000}"/>
    <cellStyle name="Note 4 3 3 3 4 13 6" xfId="18365" xr:uid="{00000000-0005-0000-0000-000003660000}"/>
    <cellStyle name="Note 4 3 3 3 4 13 7" xfId="22303" xr:uid="{00000000-0005-0000-0000-000004660000}"/>
    <cellStyle name="Note 4 3 3 3 4 13 8" xfId="26116" xr:uid="{00000000-0005-0000-0000-000005660000}"/>
    <cellStyle name="Note 4 3 3 3 4 13 9" xfId="29996" xr:uid="{00000000-0005-0000-0000-000006660000}"/>
    <cellStyle name="Note 4 3 3 3 4 14" xfId="2421" xr:uid="{00000000-0005-0000-0000-000007660000}"/>
    <cellStyle name="Note 4 3 3 3 4 14 10" xfId="33719" xr:uid="{00000000-0005-0000-0000-000008660000}"/>
    <cellStyle name="Note 4 3 3 3 4 14 11" xfId="37473" xr:uid="{00000000-0005-0000-0000-000009660000}"/>
    <cellStyle name="Note 4 3 3 3 4 14 12" xfId="41488" xr:uid="{00000000-0005-0000-0000-00000A660000}"/>
    <cellStyle name="Note 4 3 3 3 4 14 13" xfId="45281" xr:uid="{00000000-0005-0000-0000-00000B660000}"/>
    <cellStyle name="Note 4 3 3 3 4 14 2" xfId="4404" xr:uid="{00000000-0005-0000-0000-00000C660000}"/>
    <cellStyle name="Note 4 3 3 3 4 14 2 10" xfId="39455" xr:uid="{00000000-0005-0000-0000-00000D660000}"/>
    <cellStyle name="Note 4 3 3 3 4 14 2 11" xfId="43464" xr:uid="{00000000-0005-0000-0000-00000E660000}"/>
    <cellStyle name="Note 4 3 3 3 4 14 2 12" xfId="47219" xr:uid="{00000000-0005-0000-0000-00000F660000}"/>
    <cellStyle name="Note 4 3 3 3 4 14 2 2" xfId="8261" xr:uid="{00000000-0005-0000-0000-000010660000}"/>
    <cellStyle name="Note 4 3 3 3 4 14 2 3" xfId="12702" xr:uid="{00000000-0005-0000-0000-000011660000}"/>
    <cellStyle name="Note 4 3 3 3 4 14 2 4" xfId="16547" xr:uid="{00000000-0005-0000-0000-000012660000}"/>
    <cellStyle name="Note 4 3 3 3 4 14 2 5" xfId="20398" xr:uid="{00000000-0005-0000-0000-000013660000}"/>
    <cellStyle name="Note 4 3 3 3 4 14 2 6" xfId="24309" xr:uid="{00000000-0005-0000-0000-000014660000}"/>
    <cellStyle name="Note 4 3 3 3 4 14 2 7" xfId="28148" xr:uid="{00000000-0005-0000-0000-000015660000}"/>
    <cellStyle name="Note 4 3 3 3 4 14 2 8" xfId="32006" xr:uid="{00000000-0005-0000-0000-000016660000}"/>
    <cellStyle name="Note 4 3 3 3 4 14 2 9" xfId="35657" xr:uid="{00000000-0005-0000-0000-000017660000}"/>
    <cellStyle name="Note 4 3 3 3 4 14 3" xfId="6317" xr:uid="{00000000-0005-0000-0000-000018660000}"/>
    <cellStyle name="Note 4 3 3 3 4 14 4" xfId="10737" xr:uid="{00000000-0005-0000-0000-000019660000}"/>
    <cellStyle name="Note 4 3 3 3 4 14 5" xfId="14583" xr:uid="{00000000-0005-0000-0000-00001A660000}"/>
    <cellStyle name="Note 4 3 3 3 4 14 6" xfId="18415" xr:uid="{00000000-0005-0000-0000-00001B660000}"/>
    <cellStyle name="Note 4 3 3 3 4 14 7" xfId="22353" xr:uid="{00000000-0005-0000-0000-00001C660000}"/>
    <cellStyle name="Note 4 3 3 3 4 14 8" xfId="26166" xr:uid="{00000000-0005-0000-0000-00001D660000}"/>
    <cellStyle name="Note 4 3 3 3 4 14 9" xfId="30045" xr:uid="{00000000-0005-0000-0000-00001E660000}"/>
    <cellStyle name="Note 4 3 3 3 4 15" xfId="2475" xr:uid="{00000000-0005-0000-0000-00001F660000}"/>
    <cellStyle name="Note 4 3 3 3 4 15 10" xfId="33770" xr:uid="{00000000-0005-0000-0000-000020660000}"/>
    <cellStyle name="Note 4 3 3 3 4 15 11" xfId="37527" xr:uid="{00000000-0005-0000-0000-000021660000}"/>
    <cellStyle name="Note 4 3 3 3 4 15 12" xfId="41541" xr:uid="{00000000-0005-0000-0000-000022660000}"/>
    <cellStyle name="Note 4 3 3 3 4 15 13" xfId="45332" xr:uid="{00000000-0005-0000-0000-000023660000}"/>
    <cellStyle name="Note 4 3 3 3 4 15 2" xfId="4457" xr:uid="{00000000-0005-0000-0000-000024660000}"/>
    <cellStyle name="Note 4 3 3 3 4 15 2 10" xfId="39508" xr:uid="{00000000-0005-0000-0000-000025660000}"/>
    <cellStyle name="Note 4 3 3 3 4 15 2 11" xfId="43517" xr:uid="{00000000-0005-0000-0000-000026660000}"/>
    <cellStyle name="Note 4 3 3 3 4 15 2 12" xfId="47270" xr:uid="{00000000-0005-0000-0000-000027660000}"/>
    <cellStyle name="Note 4 3 3 3 4 15 2 2" xfId="8312" xr:uid="{00000000-0005-0000-0000-000028660000}"/>
    <cellStyle name="Note 4 3 3 3 4 15 2 3" xfId="12755" xr:uid="{00000000-0005-0000-0000-000029660000}"/>
    <cellStyle name="Note 4 3 3 3 4 15 2 4" xfId="16598" xr:uid="{00000000-0005-0000-0000-00002A660000}"/>
    <cellStyle name="Note 4 3 3 3 4 15 2 5" xfId="20451" xr:uid="{00000000-0005-0000-0000-00002B660000}"/>
    <cellStyle name="Note 4 3 3 3 4 15 2 6" xfId="24361" xr:uid="{00000000-0005-0000-0000-00002C660000}"/>
    <cellStyle name="Note 4 3 3 3 4 15 2 7" xfId="28201" xr:uid="{00000000-0005-0000-0000-00002D660000}"/>
    <cellStyle name="Note 4 3 3 3 4 15 2 8" xfId="32059" xr:uid="{00000000-0005-0000-0000-00002E660000}"/>
    <cellStyle name="Note 4 3 3 3 4 15 2 9" xfId="35708" xr:uid="{00000000-0005-0000-0000-00002F660000}"/>
    <cellStyle name="Note 4 3 3 3 4 15 3" xfId="6369" xr:uid="{00000000-0005-0000-0000-000030660000}"/>
    <cellStyle name="Note 4 3 3 3 4 15 4" xfId="10790" xr:uid="{00000000-0005-0000-0000-000031660000}"/>
    <cellStyle name="Note 4 3 3 3 4 15 5" xfId="14636" xr:uid="{00000000-0005-0000-0000-000032660000}"/>
    <cellStyle name="Note 4 3 3 3 4 15 6" xfId="18469" xr:uid="{00000000-0005-0000-0000-000033660000}"/>
    <cellStyle name="Note 4 3 3 3 4 15 7" xfId="22406" xr:uid="{00000000-0005-0000-0000-000034660000}"/>
    <cellStyle name="Note 4 3 3 3 4 15 8" xfId="26220" xr:uid="{00000000-0005-0000-0000-000035660000}"/>
    <cellStyle name="Note 4 3 3 3 4 15 9" xfId="30099" xr:uid="{00000000-0005-0000-0000-000036660000}"/>
    <cellStyle name="Note 4 3 3 3 4 16" xfId="2546" xr:uid="{00000000-0005-0000-0000-000037660000}"/>
    <cellStyle name="Note 4 3 3 3 4 16 10" xfId="37598" xr:uid="{00000000-0005-0000-0000-000038660000}"/>
    <cellStyle name="Note 4 3 3 3 4 16 11" xfId="41612" xr:uid="{00000000-0005-0000-0000-000039660000}"/>
    <cellStyle name="Note 4 3 3 3 4 16 12" xfId="45401" xr:uid="{00000000-0005-0000-0000-00003A660000}"/>
    <cellStyle name="Note 4 3 3 3 4 16 2" xfId="6438" xr:uid="{00000000-0005-0000-0000-00003B660000}"/>
    <cellStyle name="Note 4 3 3 3 4 16 3" xfId="10861" xr:uid="{00000000-0005-0000-0000-00003C660000}"/>
    <cellStyle name="Note 4 3 3 3 4 16 4" xfId="14705" xr:uid="{00000000-0005-0000-0000-00003D660000}"/>
    <cellStyle name="Note 4 3 3 3 4 16 5" xfId="18540" xr:uid="{00000000-0005-0000-0000-00003E660000}"/>
    <cellStyle name="Note 4 3 3 3 4 16 6" xfId="22475" xr:uid="{00000000-0005-0000-0000-00003F660000}"/>
    <cellStyle name="Note 4 3 3 3 4 16 7" xfId="26291" xr:uid="{00000000-0005-0000-0000-000040660000}"/>
    <cellStyle name="Note 4 3 3 3 4 16 8" xfId="30170" xr:uid="{00000000-0005-0000-0000-000041660000}"/>
    <cellStyle name="Note 4 3 3 3 4 16 9" xfId="33839" xr:uid="{00000000-0005-0000-0000-000042660000}"/>
    <cellStyle name="Note 4 3 3 3 4 17" xfId="4514" xr:uid="{00000000-0005-0000-0000-000043660000}"/>
    <cellStyle name="Note 4 3 3 3 4 18" xfId="8372" xr:uid="{00000000-0005-0000-0000-000044660000}"/>
    <cellStyle name="Note 4 3 3 3 4 19" xfId="8729" xr:uid="{00000000-0005-0000-0000-000045660000}"/>
    <cellStyle name="Note 4 3 3 3 4 2" xfId="675" xr:uid="{00000000-0005-0000-0000-000046660000}"/>
    <cellStyle name="Note 4 3 3 3 4 2 10" xfId="24409" xr:uid="{00000000-0005-0000-0000-000047660000}"/>
    <cellStyle name="Note 4 3 3 3 4 2 11" xfId="28302" xr:uid="{00000000-0005-0000-0000-000048660000}"/>
    <cellStyle name="Note 4 3 3 3 4 2 12" xfId="28855" xr:uid="{00000000-0005-0000-0000-000049660000}"/>
    <cellStyle name="Note 4 3 3 3 4 2 13" xfId="35746" xr:uid="{00000000-0005-0000-0000-00004A660000}"/>
    <cellStyle name="Note 4 3 3 3 4 2 14" xfId="39769" xr:uid="{00000000-0005-0000-0000-00004B660000}"/>
    <cellStyle name="Note 4 3 3 3 4 2 15" xfId="43572" xr:uid="{00000000-0005-0000-0000-00004C660000}"/>
    <cellStyle name="Note 4 3 3 3 4 2 2" xfId="1055" xr:uid="{00000000-0005-0000-0000-00004D660000}"/>
    <cellStyle name="Note 4 3 3 3 4 2 2 10" xfId="28666" xr:uid="{00000000-0005-0000-0000-00004E660000}"/>
    <cellStyle name="Note 4 3 3 3 4 2 2 11" xfId="32352" xr:uid="{00000000-0005-0000-0000-00004F660000}"/>
    <cellStyle name="Note 4 3 3 3 4 2 2 12" xfId="36113" xr:uid="{00000000-0005-0000-0000-000050660000}"/>
    <cellStyle name="Note 4 3 3 3 4 2 2 13" xfId="40116" xr:uid="{00000000-0005-0000-0000-000051660000}"/>
    <cellStyle name="Note 4 3 3 3 4 2 2 14" xfId="43939" xr:uid="{00000000-0005-0000-0000-000052660000}"/>
    <cellStyle name="Note 4 3 3 3 4 2 2 2" xfId="1782" xr:uid="{00000000-0005-0000-0000-000053660000}"/>
    <cellStyle name="Note 4 3 3 3 4 2 2 2 10" xfId="33069" xr:uid="{00000000-0005-0000-0000-000054660000}"/>
    <cellStyle name="Note 4 3 3 3 4 2 2 2 11" xfId="36839" xr:uid="{00000000-0005-0000-0000-000055660000}"/>
    <cellStyle name="Note 4 3 3 3 4 2 2 2 12" xfId="40830" xr:uid="{00000000-0005-0000-0000-000056660000}"/>
    <cellStyle name="Note 4 3 3 3 4 2 2 2 13" xfId="44661" xr:uid="{00000000-0005-0000-0000-000057660000}"/>
    <cellStyle name="Note 4 3 3 3 4 2 2 2 2" xfId="3772" xr:uid="{00000000-0005-0000-0000-000058660000}"/>
    <cellStyle name="Note 4 3 3 3 4 2 2 2 2 10" xfId="38823" xr:uid="{00000000-0005-0000-0000-000059660000}"/>
    <cellStyle name="Note 4 3 3 3 4 2 2 2 2 11" xfId="42834" xr:uid="{00000000-0005-0000-0000-00005A660000}"/>
    <cellStyle name="Note 4 3 3 3 4 2 2 2 2 12" xfId="46599" xr:uid="{00000000-0005-0000-0000-00005B660000}"/>
    <cellStyle name="Note 4 3 3 3 4 2 2 2 2 2" xfId="7639" xr:uid="{00000000-0005-0000-0000-00005C660000}"/>
    <cellStyle name="Note 4 3 3 3 4 2 2 2 2 3" xfId="12074" xr:uid="{00000000-0005-0000-0000-00005D660000}"/>
    <cellStyle name="Note 4 3 3 3 4 2 2 2 2 4" xfId="15919" xr:uid="{00000000-0005-0000-0000-00005E660000}"/>
    <cellStyle name="Note 4 3 3 3 4 2 2 2 2 5" xfId="19766" xr:uid="{00000000-0005-0000-0000-00005F660000}"/>
    <cellStyle name="Note 4 3 3 3 4 2 2 2 2 6" xfId="23682" xr:uid="{00000000-0005-0000-0000-000060660000}"/>
    <cellStyle name="Note 4 3 3 3 4 2 2 2 2 7" xfId="27516" xr:uid="{00000000-0005-0000-0000-000061660000}"/>
    <cellStyle name="Note 4 3 3 3 4 2 2 2 2 8" xfId="31380" xr:uid="{00000000-0005-0000-0000-000062660000}"/>
    <cellStyle name="Note 4 3 3 3 4 2 2 2 2 9" xfId="35037" xr:uid="{00000000-0005-0000-0000-000063660000}"/>
    <cellStyle name="Note 4 3 3 3 4 2 2 2 3" xfId="5715" xr:uid="{00000000-0005-0000-0000-000064660000}"/>
    <cellStyle name="Note 4 3 3 3 4 2 2 2 4" xfId="10073" xr:uid="{00000000-0005-0000-0000-000065660000}"/>
    <cellStyle name="Note 4 3 3 3 4 2 2 2 5" xfId="13919" xr:uid="{00000000-0005-0000-0000-000066660000}"/>
    <cellStyle name="Note 4 3 3 3 4 2 2 2 6" xfId="17748" xr:uid="{00000000-0005-0000-0000-000067660000}"/>
    <cellStyle name="Note 4 3 3 3 4 2 2 2 7" xfId="21687" xr:uid="{00000000-0005-0000-0000-000068660000}"/>
    <cellStyle name="Note 4 3 3 3 4 2 2 2 8" xfId="25500" xr:uid="{00000000-0005-0000-0000-000069660000}"/>
    <cellStyle name="Note 4 3 3 3 4 2 2 2 9" xfId="29387" xr:uid="{00000000-0005-0000-0000-00006A660000}"/>
    <cellStyle name="Note 4 3 3 3 4 2 2 3" xfId="3045" xr:uid="{00000000-0005-0000-0000-00006B660000}"/>
    <cellStyle name="Note 4 3 3 3 4 2 2 3 10" xfId="38097" xr:uid="{00000000-0005-0000-0000-00006C660000}"/>
    <cellStyle name="Note 4 3 3 3 4 2 2 3 11" xfId="42109" xr:uid="{00000000-0005-0000-0000-00006D660000}"/>
    <cellStyle name="Note 4 3 3 3 4 2 2 3 12" xfId="45882" xr:uid="{00000000-0005-0000-0000-00006E660000}"/>
    <cellStyle name="Note 4 3 3 3 4 2 2 3 2" xfId="6921" xr:uid="{00000000-0005-0000-0000-00006F660000}"/>
    <cellStyle name="Note 4 3 3 3 4 2 2 3 3" xfId="11350" xr:uid="{00000000-0005-0000-0000-000070660000}"/>
    <cellStyle name="Note 4 3 3 3 4 2 2 3 4" xfId="15194" xr:uid="{00000000-0005-0000-0000-000071660000}"/>
    <cellStyle name="Note 4 3 3 3 4 2 2 3 5" xfId="19039" xr:uid="{00000000-0005-0000-0000-000072660000}"/>
    <cellStyle name="Note 4 3 3 3 4 2 2 3 6" xfId="22961" xr:uid="{00000000-0005-0000-0000-000073660000}"/>
    <cellStyle name="Note 4 3 3 3 4 2 2 3 7" xfId="26790" xr:uid="{00000000-0005-0000-0000-000074660000}"/>
    <cellStyle name="Note 4 3 3 3 4 2 2 3 8" xfId="30664" xr:uid="{00000000-0005-0000-0000-000075660000}"/>
    <cellStyle name="Note 4 3 3 3 4 2 2 3 9" xfId="34320" xr:uid="{00000000-0005-0000-0000-000076660000}"/>
    <cellStyle name="Note 4 3 3 3 4 2 2 4" xfId="4997" xr:uid="{00000000-0005-0000-0000-000077660000}"/>
    <cellStyle name="Note 4 3 3 3 4 2 2 5" xfId="9353" xr:uid="{00000000-0005-0000-0000-000078660000}"/>
    <cellStyle name="Note 4 3 3 3 4 2 2 6" xfId="13193" xr:uid="{00000000-0005-0000-0000-000079660000}"/>
    <cellStyle name="Note 4 3 3 3 4 2 2 7" xfId="17021" xr:uid="{00000000-0005-0000-0000-00007A660000}"/>
    <cellStyle name="Note 4 3 3 3 4 2 2 8" xfId="20963" xr:uid="{00000000-0005-0000-0000-00007B660000}"/>
    <cellStyle name="Note 4 3 3 3 4 2 2 9" xfId="24777" xr:uid="{00000000-0005-0000-0000-00007C660000}"/>
    <cellStyle name="Note 4 3 3 3 4 2 3" xfId="1429" xr:uid="{00000000-0005-0000-0000-00007D660000}"/>
    <cellStyle name="Note 4 3 3 3 4 2 3 10" xfId="32716" xr:uid="{00000000-0005-0000-0000-00007E660000}"/>
    <cellStyle name="Note 4 3 3 3 4 2 3 11" xfId="36486" xr:uid="{00000000-0005-0000-0000-00007F660000}"/>
    <cellStyle name="Note 4 3 3 3 4 2 3 12" xfId="40477" xr:uid="{00000000-0005-0000-0000-000080660000}"/>
    <cellStyle name="Note 4 3 3 3 4 2 3 13" xfId="44308" xr:uid="{00000000-0005-0000-0000-000081660000}"/>
    <cellStyle name="Note 4 3 3 3 4 2 3 2" xfId="3419" xr:uid="{00000000-0005-0000-0000-000082660000}"/>
    <cellStyle name="Note 4 3 3 3 4 2 3 2 10" xfId="38470" xr:uid="{00000000-0005-0000-0000-000083660000}"/>
    <cellStyle name="Note 4 3 3 3 4 2 3 2 11" xfId="42481" xr:uid="{00000000-0005-0000-0000-000084660000}"/>
    <cellStyle name="Note 4 3 3 3 4 2 3 2 12" xfId="46246" xr:uid="{00000000-0005-0000-0000-000085660000}"/>
    <cellStyle name="Note 4 3 3 3 4 2 3 2 2" xfId="7286" xr:uid="{00000000-0005-0000-0000-000086660000}"/>
    <cellStyle name="Note 4 3 3 3 4 2 3 2 3" xfId="11721" xr:uid="{00000000-0005-0000-0000-000087660000}"/>
    <cellStyle name="Note 4 3 3 3 4 2 3 2 4" xfId="15566" xr:uid="{00000000-0005-0000-0000-000088660000}"/>
    <cellStyle name="Note 4 3 3 3 4 2 3 2 5" xfId="19413" xr:uid="{00000000-0005-0000-0000-000089660000}"/>
    <cellStyle name="Note 4 3 3 3 4 2 3 2 6" xfId="23329" xr:uid="{00000000-0005-0000-0000-00008A660000}"/>
    <cellStyle name="Note 4 3 3 3 4 2 3 2 7" xfId="27163" xr:uid="{00000000-0005-0000-0000-00008B660000}"/>
    <cellStyle name="Note 4 3 3 3 4 2 3 2 8" xfId="31031" xr:uid="{00000000-0005-0000-0000-00008C660000}"/>
    <cellStyle name="Note 4 3 3 3 4 2 3 2 9" xfId="34684" xr:uid="{00000000-0005-0000-0000-00008D660000}"/>
    <cellStyle name="Note 4 3 3 3 4 2 3 3" xfId="5362" xr:uid="{00000000-0005-0000-0000-00008E660000}"/>
    <cellStyle name="Note 4 3 3 3 4 2 3 4" xfId="9720" xr:uid="{00000000-0005-0000-0000-00008F660000}"/>
    <cellStyle name="Note 4 3 3 3 4 2 3 5" xfId="13566" xr:uid="{00000000-0005-0000-0000-000090660000}"/>
    <cellStyle name="Note 4 3 3 3 4 2 3 6" xfId="17395" xr:uid="{00000000-0005-0000-0000-000091660000}"/>
    <cellStyle name="Note 4 3 3 3 4 2 3 7" xfId="21334" xr:uid="{00000000-0005-0000-0000-000092660000}"/>
    <cellStyle name="Note 4 3 3 3 4 2 3 8" xfId="25147" xr:uid="{00000000-0005-0000-0000-000093660000}"/>
    <cellStyle name="Note 4 3 3 3 4 2 3 9" xfId="29034" xr:uid="{00000000-0005-0000-0000-000094660000}"/>
    <cellStyle name="Note 4 3 3 3 4 2 4" xfId="2678" xr:uid="{00000000-0005-0000-0000-000095660000}"/>
    <cellStyle name="Note 4 3 3 3 4 2 4 10" xfId="37730" xr:uid="{00000000-0005-0000-0000-000096660000}"/>
    <cellStyle name="Note 4 3 3 3 4 2 4 11" xfId="41744" xr:uid="{00000000-0005-0000-0000-000097660000}"/>
    <cellStyle name="Note 4 3 3 3 4 2 4 12" xfId="45529" xr:uid="{00000000-0005-0000-0000-000098660000}"/>
    <cellStyle name="Note 4 3 3 3 4 2 4 2" xfId="6566" xr:uid="{00000000-0005-0000-0000-000099660000}"/>
    <cellStyle name="Note 4 3 3 3 4 2 4 3" xfId="10990" xr:uid="{00000000-0005-0000-0000-00009A660000}"/>
    <cellStyle name="Note 4 3 3 3 4 2 4 4" xfId="14834" xr:uid="{00000000-0005-0000-0000-00009B660000}"/>
    <cellStyle name="Note 4 3 3 3 4 2 4 5" xfId="18672" xr:uid="{00000000-0005-0000-0000-00009C660000}"/>
    <cellStyle name="Note 4 3 3 3 4 2 4 6" xfId="22603" xr:uid="{00000000-0005-0000-0000-00009D660000}"/>
    <cellStyle name="Note 4 3 3 3 4 2 4 7" xfId="26423" xr:uid="{00000000-0005-0000-0000-00009E660000}"/>
    <cellStyle name="Note 4 3 3 3 4 2 4 8" xfId="30302" xr:uid="{00000000-0005-0000-0000-00009F660000}"/>
    <cellStyle name="Note 4 3 3 3 4 2 4 9" xfId="33967" xr:uid="{00000000-0005-0000-0000-0000A0660000}"/>
    <cellStyle name="Note 4 3 3 3 4 2 5" xfId="4642" xr:uid="{00000000-0005-0000-0000-0000A1660000}"/>
    <cellStyle name="Note 4 3 3 3 4 2 6" xfId="8984" xr:uid="{00000000-0005-0000-0000-0000A2660000}"/>
    <cellStyle name="Note 4 3 3 3 4 2 7" xfId="12821" xr:uid="{00000000-0005-0000-0000-0000A3660000}"/>
    <cellStyle name="Note 4 3 3 3 4 2 8" xfId="16651" xr:uid="{00000000-0005-0000-0000-0000A4660000}"/>
    <cellStyle name="Note 4 3 3 3 4 2 9" xfId="20588" xr:uid="{00000000-0005-0000-0000-0000A5660000}"/>
    <cellStyle name="Note 4 3 3 3 4 20" xfId="8850" xr:uid="{00000000-0005-0000-0000-0000A6660000}"/>
    <cellStyle name="Note 4 3 3 3 4 21" xfId="8590" xr:uid="{00000000-0005-0000-0000-0000A7660000}"/>
    <cellStyle name="Note 4 3 3 3 4 22" xfId="12917" xr:uid="{00000000-0005-0000-0000-0000A8660000}"/>
    <cellStyle name="Note 4 3 3 3 4 23" xfId="8581" xr:uid="{00000000-0005-0000-0000-0000A9660000}"/>
    <cellStyle name="Note 4 3 3 3 4 24" xfId="8722" xr:uid="{00000000-0005-0000-0000-0000AA660000}"/>
    <cellStyle name="Note 4 3 3 3 4 25" xfId="13388" xr:uid="{00000000-0005-0000-0000-0000AB660000}"/>
    <cellStyle name="Note 4 3 3 3 4 26" xfId="28766" xr:uid="{00000000-0005-0000-0000-0000AC660000}"/>
    <cellStyle name="Note 4 3 3 3 4 27" xfId="24509" xr:uid="{00000000-0005-0000-0000-0000AD660000}"/>
    <cellStyle name="Note 4 3 3 3 4 28" xfId="39638" xr:uid="{00000000-0005-0000-0000-0000AE660000}"/>
    <cellStyle name="Note 4 3 3 3 4 29" xfId="40297" xr:uid="{00000000-0005-0000-0000-0000AF660000}"/>
    <cellStyle name="Note 4 3 3 3 4 3" xfId="614" xr:uid="{00000000-0005-0000-0000-0000B0660000}"/>
    <cellStyle name="Note 4 3 3 3 4 3 10" xfId="11446" xr:uid="{00000000-0005-0000-0000-0000B1660000}"/>
    <cellStyle name="Note 4 3 3 3 4 3 11" xfId="28241" xr:uid="{00000000-0005-0000-0000-0000B2660000}"/>
    <cellStyle name="Note 4 3 3 3 4 3 12" xfId="30722" xr:uid="{00000000-0005-0000-0000-0000B3660000}"/>
    <cellStyle name="Note 4 3 3 3 4 3 13" xfId="24001" xr:uid="{00000000-0005-0000-0000-0000B4660000}"/>
    <cellStyle name="Note 4 3 3 3 4 3 14" xfId="39709" xr:uid="{00000000-0005-0000-0000-0000B5660000}"/>
    <cellStyle name="Note 4 3 3 3 4 3 15" xfId="39568" xr:uid="{00000000-0005-0000-0000-0000B6660000}"/>
    <cellStyle name="Note 4 3 3 3 4 3 2" xfId="994" xr:uid="{00000000-0005-0000-0000-0000B7660000}"/>
    <cellStyle name="Note 4 3 3 3 4 3 2 10" xfId="28605" xr:uid="{00000000-0005-0000-0000-0000B8660000}"/>
    <cellStyle name="Note 4 3 3 3 4 3 2 11" xfId="32293" xr:uid="{00000000-0005-0000-0000-0000B9660000}"/>
    <cellStyle name="Note 4 3 3 3 4 3 2 12" xfId="36052" xr:uid="{00000000-0005-0000-0000-0000BA660000}"/>
    <cellStyle name="Note 4 3 3 3 4 3 2 13" xfId="40057" xr:uid="{00000000-0005-0000-0000-0000BB660000}"/>
    <cellStyle name="Note 4 3 3 3 4 3 2 14" xfId="43878" xr:uid="{00000000-0005-0000-0000-0000BC660000}"/>
    <cellStyle name="Note 4 3 3 3 4 3 2 2" xfId="1723" xr:uid="{00000000-0005-0000-0000-0000BD660000}"/>
    <cellStyle name="Note 4 3 3 3 4 3 2 2 10" xfId="33010" xr:uid="{00000000-0005-0000-0000-0000BE660000}"/>
    <cellStyle name="Note 4 3 3 3 4 3 2 2 11" xfId="36780" xr:uid="{00000000-0005-0000-0000-0000BF660000}"/>
    <cellStyle name="Note 4 3 3 3 4 3 2 2 12" xfId="40771" xr:uid="{00000000-0005-0000-0000-0000C0660000}"/>
    <cellStyle name="Note 4 3 3 3 4 3 2 2 13" xfId="44602" xr:uid="{00000000-0005-0000-0000-0000C1660000}"/>
    <cellStyle name="Note 4 3 3 3 4 3 2 2 2" xfId="3713" xr:uid="{00000000-0005-0000-0000-0000C2660000}"/>
    <cellStyle name="Note 4 3 3 3 4 3 2 2 2 10" xfId="38764" xr:uid="{00000000-0005-0000-0000-0000C3660000}"/>
    <cellStyle name="Note 4 3 3 3 4 3 2 2 2 11" xfId="42775" xr:uid="{00000000-0005-0000-0000-0000C4660000}"/>
    <cellStyle name="Note 4 3 3 3 4 3 2 2 2 12" xfId="46540" xr:uid="{00000000-0005-0000-0000-0000C5660000}"/>
    <cellStyle name="Note 4 3 3 3 4 3 2 2 2 2" xfId="7580" xr:uid="{00000000-0005-0000-0000-0000C6660000}"/>
    <cellStyle name="Note 4 3 3 3 4 3 2 2 2 3" xfId="12015" xr:uid="{00000000-0005-0000-0000-0000C7660000}"/>
    <cellStyle name="Note 4 3 3 3 4 3 2 2 2 4" xfId="15860" xr:uid="{00000000-0005-0000-0000-0000C8660000}"/>
    <cellStyle name="Note 4 3 3 3 4 3 2 2 2 5" xfId="19707" xr:uid="{00000000-0005-0000-0000-0000C9660000}"/>
    <cellStyle name="Note 4 3 3 3 4 3 2 2 2 6" xfId="23623" xr:uid="{00000000-0005-0000-0000-0000CA660000}"/>
    <cellStyle name="Note 4 3 3 3 4 3 2 2 2 7" xfId="27457" xr:uid="{00000000-0005-0000-0000-0000CB660000}"/>
    <cellStyle name="Note 4 3 3 3 4 3 2 2 2 8" xfId="31321" xr:uid="{00000000-0005-0000-0000-0000CC660000}"/>
    <cellStyle name="Note 4 3 3 3 4 3 2 2 2 9" xfId="34978" xr:uid="{00000000-0005-0000-0000-0000CD660000}"/>
    <cellStyle name="Note 4 3 3 3 4 3 2 2 3" xfId="5656" xr:uid="{00000000-0005-0000-0000-0000CE660000}"/>
    <cellStyle name="Note 4 3 3 3 4 3 2 2 4" xfId="10014" xr:uid="{00000000-0005-0000-0000-0000CF660000}"/>
    <cellStyle name="Note 4 3 3 3 4 3 2 2 5" xfId="13860" xr:uid="{00000000-0005-0000-0000-0000D0660000}"/>
    <cellStyle name="Note 4 3 3 3 4 3 2 2 6" xfId="17689" xr:uid="{00000000-0005-0000-0000-0000D1660000}"/>
    <cellStyle name="Note 4 3 3 3 4 3 2 2 7" xfId="21628" xr:uid="{00000000-0005-0000-0000-0000D2660000}"/>
    <cellStyle name="Note 4 3 3 3 4 3 2 2 8" xfId="25441" xr:uid="{00000000-0005-0000-0000-0000D3660000}"/>
    <cellStyle name="Note 4 3 3 3 4 3 2 2 9" xfId="29328" xr:uid="{00000000-0005-0000-0000-0000D4660000}"/>
    <cellStyle name="Note 4 3 3 3 4 3 2 3" xfId="2984" xr:uid="{00000000-0005-0000-0000-0000D5660000}"/>
    <cellStyle name="Note 4 3 3 3 4 3 2 3 10" xfId="38036" xr:uid="{00000000-0005-0000-0000-0000D6660000}"/>
    <cellStyle name="Note 4 3 3 3 4 3 2 3 11" xfId="42048" xr:uid="{00000000-0005-0000-0000-0000D7660000}"/>
    <cellStyle name="Note 4 3 3 3 4 3 2 3 12" xfId="45823" xr:uid="{00000000-0005-0000-0000-0000D8660000}"/>
    <cellStyle name="Note 4 3 3 3 4 3 2 3 2" xfId="6862" xr:uid="{00000000-0005-0000-0000-0000D9660000}"/>
    <cellStyle name="Note 4 3 3 3 4 3 2 3 3" xfId="11290" xr:uid="{00000000-0005-0000-0000-0000DA660000}"/>
    <cellStyle name="Note 4 3 3 3 4 3 2 3 4" xfId="15135" xr:uid="{00000000-0005-0000-0000-0000DB660000}"/>
    <cellStyle name="Note 4 3 3 3 4 3 2 3 5" xfId="18978" xr:uid="{00000000-0005-0000-0000-0000DC660000}"/>
    <cellStyle name="Note 4 3 3 3 4 3 2 3 6" xfId="22902" xr:uid="{00000000-0005-0000-0000-0000DD660000}"/>
    <cellStyle name="Note 4 3 3 3 4 3 2 3 7" xfId="26729" xr:uid="{00000000-0005-0000-0000-0000DE660000}"/>
    <cellStyle name="Note 4 3 3 3 4 3 2 3 8" xfId="30603" xr:uid="{00000000-0005-0000-0000-0000DF660000}"/>
    <cellStyle name="Note 4 3 3 3 4 3 2 3 9" xfId="34261" xr:uid="{00000000-0005-0000-0000-0000E0660000}"/>
    <cellStyle name="Note 4 3 3 3 4 3 2 4" xfId="4938" xr:uid="{00000000-0005-0000-0000-0000E1660000}"/>
    <cellStyle name="Note 4 3 3 3 4 3 2 5" xfId="9293" xr:uid="{00000000-0005-0000-0000-0000E2660000}"/>
    <cellStyle name="Note 4 3 3 3 4 3 2 6" xfId="13134" xr:uid="{00000000-0005-0000-0000-0000E3660000}"/>
    <cellStyle name="Note 4 3 3 3 4 3 2 7" xfId="16960" xr:uid="{00000000-0005-0000-0000-0000E4660000}"/>
    <cellStyle name="Note 4 3 3 3 4 3 2 8" xfId="20902" xr:uid="{00000000-0005-0000-0000-0000E5660000}"/>
    <cellStyle name="Note 4 3 3 3 4 3 2 9" xfId="24717" xr:uid="{00000000-0005-0000-0000-0000E6660000}"/>
    <cellStyle name="Note 4 3 3 3 4 3 3" xfId="1370" xr:uid="{00000000-0005-0000-0000-0000E7660000}"/>
    <cellStyle name="Note 4 3 3 3 4 3 3 10" xfId="32657" xr:uid="{00000000-0005-0000-0000-0000E8660000}"/>
    <cellStyle name="Note 4 3 3 3 4 3 3 11" xfId="36427" xr:uid="{00000000-0005-0000-0000-0000E9660000}"/>
    <cellStyle name="Note 4 3 3 3 4 3 3 12" xfId="40418" xr:uid="{00000000-0005-0000-0000-0000EA660000}"/>
    <cellStyle name="Note 4 3 3 3 4 3 3 13" xfId="44249" xr:uid="{00000000-0005-0000-0000-0000EB660000}"/>
    <cellStyle name="Note 4 3 3 3 4 3 3 2" xfId="3360" xr:uid="{00000000-0005-0000-0000-0000EC660000}"/>
    <cellStyle name="Note 4 3 3 3 4 3 3 2 10" xfId="38411" xr:uid="{00000000-0005-0000-0000-0000ED660000}"/>
    <cellStyle name="Note 4 3 3 3 4 3 3 2 11" xfId="42422" xr:uid="{00000000-0005-0000-0000-0000EE660000}"/>
    <cellStyle name="Note 4 3 3 3 4 3 3 2 12" xfId="46187" xr:uid="{00000000-0005-0000-0000-0000EF660000}"/>
    <cellStyle name="Note 4 3 3 3 4 3 3 2 2" xfId="7227" xr:uid="{00000000-0005-0000-0000-0000F0660000}"/>
    <cellStyle name="Note 4 3 3 3 4 3 3 2 3" xfId="11662" xr:uid="{00000000-0005-0000-0000-0000F1660000}"/>
    <cellStyle name="Note 4 3 3 3 4 3 3 2 4" xfId="15507" xr:uid="{00000000-0005-0000-0000-0000F2660000}"/>
    <cellStyle name="Note 4 3 3 3 4 3 3 2 5" xfId="19354" xr:uid="{00000000-0005-0000-0000-0000F3660000}"/>
    <cellStyle name="Note 4 3 3 3 4 3 3 2 6" xfId="23270" xr:uid="{00000000-0005-0000-0000-0000F4660000}"/>
    <cellStyle name="Note 4 3 3 3 4 3 3 2 7" xfId="27104" xr:uid="{00000000-0005-0000-0000-0000F5660000}"/>
    <cellStyle name="Note 4 3 3 3 4 3 3 2 8" xfId="30972" xr:uid="{00000000-0005-0000-0000-0000F6660000}"/>
    <cellStyle name="Note 4 3 3 3 4 3 3 2 9" xfId="34625" xr:uid="{00000000-0005-0000-0000-0000F7660000}"/>
    <cellStyle name="Note 4 3 3 3 4 3 3 3" xfId="5303" xr:uid="{00000000-0005-0000-0000-0000F8660000}"/>
    <cellStyle name="Note 4 3 3 3 4 3 3 4" xfId="9661" xr:uid="{00000000-0005-0000-0000-0000F9660000}"/>
    <cellStyle name="Note 4 3 3 3 4 3 3 5" xfId="13507" xr:uid="{00000000-0005-0000-0000-0000FA660000}"/>
    <cellStyle name="Note 4 3 3 3 4 3 3 6" xfId="17336" xr:uid="{00000000-0005-0000-0000-0000FB660000}"/>
    <cellStyle name="Note 4 3 3 3 4 3 3 7" xfId="21275" xr:uid="{00000000-0005-0000-0000-0000FC660000}"/>
    <cellStyle name="Note 4 3 3 3 4 3 3 8" xfId="25088" xr:uid="{00000000-0005-0000-0000-0000FD660000}"/>
    <cellStyle name="Note 4 3 3 3 4 3 3 9" xfId="28975" xr:uid="{00000000-0005-0000-0000-0000FE660000}"/>
    <cellStyle name="Note 4 3 3 3 4 3 4" xfId="2617" xr:uid="{00000000-0005-0000-0000-0000FF660000}"/>
    <cellStyle name="Note 4 3 3 3 4 3 4 10" xfId="37669" xr:uid="{00000000-0005-0000-0000-000000670000}"/>
    <cellStyle name="Note 4 3 3 3 4 3 4 11" xfId="41683" xr:uid="{00000000-0005-0000-0000-000001670000}"/>
    <cellStyle name="Note 4 3 3 3 4 3 4 12" xfId="45470" xr:uid="{00000000-0005-0000-0000-000002670000}"/>
    <cellStyle name="Note 4 3 3 3 4 3 4 2" xfId="6507" xr:uid="{00000000-0005-0000-0000-000003670000}"/>
    <cellStyle name="Note 4 3 3 3 4 3 4 3" xfId="10931" xr:uid="{00000000-0005-0000-0000-000004670000}"/>
    <cellStyle name="Note 4 3 3 3 4 3 4 4" xfId="14775" xr:uid="{00000000-0005-0000-0000-000005670000}"/>
    <cellStyle name="Note 4 3 3 3 4 3 4 5" xfId="18611" xr:uid="{00000000-0005-0000-0000-000006670000}"/>
    <cellStyle name="Note 4 3 3 3 4 3 4 6" xfId="22544" xr:uid="{00000000-0005-0000-0000-000007670000}"/>
    <cellStyle name="Note 4 3 3 3 4 3 4 7" xfId="26362" xr:uid="{00000000-0005-0000-0000-000008670000}"/>
    <cellStyle name="Note 4 3 3 3 4 3 4 8" xfId="30241" xr:uid="{00000000-0005-0000-0000-000009670000}"/>
    <cellStyle name="Note 4 3 3 3 4 3 4 9" xfId="33908" xr:uid="{00000000-0005-0000-0000-00000A670000}"/>
    <cellStyle name="Note 4 3 3 3 4 3 5" xfId="4583" xr:uid="{00000000-0005-0000-0000-00000B670000}"/>
    <cellStyle name="Note 4 3 3 3 4 3 6" xfId="8923" xr:uid="{00000000-0005-0000-0000-00000C670000}"/>
    <cellStyle name="Note 4 3 3 3 4 3 7" xfId="8693" xr:uid="{00000000-0005-0000-0000-00000D670000}"/>
    <cellStyle name="Note 4 3 3 3 4 3 8" xfId="8829" xr:uid="{00000000-0005-0000-0000-00000E670000}"/>
    <cellStyle name="Note 4 3 3 3 4 3 9" xfId="20527" xr:uid="{00000000-0005-0000-0000-00000F670000}"/>
    <cellStyle name="Note 4 3 3 3 4 30" xfId="47350" xr:uid="{00000000-0005-0000-0000-000010670000}"/>
    <cellStyle name="Note 4 3 3 3 4 31" xfId="47438" xr:uid="{00000000-0005-0000-0000-000011670000}"/>
    <cellStyle name="Note 4 3 3 3 4 32" xfId="47485" xr:uid="{00000000-0005-0000-0000-000012670000}"/>
    <cellStyle name="Note 4 3 3 3 4 4" xfId="728" xr:uid="{00000000-0005-0000-0000-000013670000}"/>
    <cellStyle name="Note 4 3 3 3 4 4 10" xfId="24461" xr:uid="{00000000-0005-0000-0000-000014670000}"/>
    <cellStyle name="Note 4 3 3 3 4 4 11" xfId="28354" xr:uid="{00000000-0005-0000-0000-000015670000}"/>
    <cellStyle name="Note 4 3 3 3 4 4 12" xfId="8461" xr:uid="{00000000-0005-0000-0000-000016670000}"/>
    <cellStyle name="Note 4 3 3 3 4 4 13" xfId="35799" xr:uid="{00000000-0005-0000-0000-000017670000}"/>
    <cellStyle name="Note 4 3 3 3 4 4 14" xfId="39820" xr:uid="{00000000-0005-0000-0000-000018670000}"/>
    <cellStyle name="Note 4 3 3 3 4 4 15" xfId="43625" xr:uid="{00000000-0005-0000-0000-000019670000}"/>
    <cellStyle name="Note 4 3 3 3 4 4 2" xfId="1107" xr:uid="{00000000-0005-0000-0000-00001A670000}"/>
    <cellStyle name="Note 4 3 3 3 4 4 2 10" xfId="28717" xr:uid="{00000000-0005-0000-0000-00001B670000}"/>
    <cellStyle name="Note 4 3 3 3 4 4 2 11" xfId="32404" xr:uid="{00000000-0005-0000-0000-00001C670000}"/>
    <cellStyle name="Note 4 3 3 3 4 4 2 12" xfId="36165" xr:uid="{00000000-0005-0000-0000-00001D670000}"/>
    <cellStyle name="Note 4 3 3 3 4 4 2 13" xfId="40167" xr:uid="{00000000-0005-0000-0000-00001E670000}"/>
    <cellStyle name="Note 4 3 3 3 4 4 2 14" xfId="43991" xr:uid="{00000000-0005-0000-0000-00001F670000}"/>
    <cellStyle name="Note 4 3 3 3 4 4 2 2" xfId="1834" xr:uid="{00000000-0005-0000-0000-000020670000}"/>
    <cellStyle name="Note 4 3 3 3 4 4 2 2 10" xfId="33121" xr:uid="{00000000-0005-0000-0000-000021670000}"/>
    <cellStyle name="Note 4 3 3 3 4 4 2 2 11" xfId="36891" xr:uid="{00000000-0005-0000-0000-000022670000}"/>
    <cellStyle name="Note 4 3 3 3 4 4 2 2 12" xfId="40882" xr:uid="{00000000-0005-0000-0000-000023670000}"/>
    <cellStyle name="Note 4 3 3 3 4 4 2 2 13" xfId="44713" xr:uid="{00000000-0005-0000-0000-000024670000}"/>
    <cellStyle name="Note 4 3 3 3 4 4 2 2 2" xfId="3824" xr:uid="{00000000-0005-0000-0000-000025670000}"/>
    <cellStyle name="Note 4 3 3 3 4 4 2 2 2 10" xfId="38875" xr:uid="{00000000-0005-0000-0000-000026670000}"/>
    <cellStyle name="Note 4 3 3 3 4 4 2 2 2 11" xfId="42886" xr:uid="{00000000-0005-0000-0000-000027670000}"/>
    <cellStyle name="Note 4 3 3 3 4 4 2 2 2 12" xfId="46651" xr:uid="{00000000-0005-0000-0000-000028670000}"/>
    <cellStyle name="Note 4 3 3 3 4 4 2 2 2 2" xfId="7691" xr:uid="{00000000-0005-0000-0000-000029670000}"/>
    <cellStyle name="Note 4 3 3 3 4 4 2 2 2 3" xfId="12126" xr:uid="{00000000-0005-0000-0000-00002A670000}"/>
    <cellStyle name="Note 4 3 3 3 4 4 2 2 2 4" xfId="15971" xr:uid="{00000000-0005-0000-0000-00002B670000}"/>
    <cellStyle name="Note 4 3 3 3 4 4 2 2 2 5" xfId="19818" xr:uid="{00000000-0005-0000-0000-00002C670000}"/>
    <cellStyle name="Note 4 3 3 3 4 4 2 2 2 6" xfId="23734" xr:uid="{00000000-0005-0000-0000-00002D670000}"/>
    <cellStyle name="Note 4 3 3 3 4 4 2 2 2 7" xfId="27568" xr:uid="{00000000-0005-0000-0000-00002E670000}"/>
    <cellStyle name="Note 4 3 3 3 4 4 2 2 2 8" xfId="31432" xr:uid="{00000000-0005-0000-0000-00002F670000}"/>
    <cellStyle name="Note 4 3 3 3 4 4 2 2 2 9" xfId="35089" xr:uid="{00000000-0005-0000-0000-000030670000}"/>
    <cellStyle name="Note 4 3 3 3 4 4 2 2 3" xfId="5767" xr:uid="{00000000-0005-0000-0000-000031670000}"/>
    <cellStyle name="Note 4 3 3 3 4 4 2 2 4" xfId="10125" xr:uid="{00000000-0005-0000-0000-000032670000}"/>
    <cellStyle name="Note 4 3 3 3 4 4 2 2 5" xfId="13971" xr:uid="{00000000-0005-0000-0000-000033670000}"/>
    <cellStyle name="Note 4 3 3 3 4 4 2 2 6" xfId="17800" xr:uid="{00000000-0005-0000-0000-000034670000}"/>
    <cellStyle name="Note 4 3 3 3 4 4 2 2 7" xfId="21739" xr:uid="{00000000-0005-0000-0000-000035670000}"/>
    <cellStyle name="Note 4 3 3 3 4 4 2 2 8" xfId="25552" xr:uid="{00000000-0005-0000-0000-000036670000}"/>
    <cellStyle name="Note 4 3 3 3 4 4 2 2 9" xfId="29439" xr:uid="{00000000-0005-0000-0000-000037670000}"/>
    <cellStyle name="Note 4 3 3 3 4 4 2 3" xfId="3097" xr:uid="{00000000-0005-0000-0000-000038670000}"/>
    <cellStyle name="Note 4 3 3 3 4 4 2 3 10" xfId="38149" xr:uid="{00000000-0005-0000-0000-000039670000}"/>
    <cellStyle name="Note 4 3 3 3 4 4 2 3 11" xfId="42161" xr:uid="{00000000-0005-0000-0000-00003A670000}"/>
    <cellStyle name="Note 4 3 3 3 4 4 2 3 12" xfId="45934" xr:uid="{00000000-0005-0000-0000-00003B670000}"/>
    <cellStyle name="Note 4 3 3 3 4 4 2 3 2" xfId="6973" xr:uid="{00000000-0005-0000-0000-00003C670000}"/>
    <cellStyle name="Note 4 3 3 3 4 4 2 3 3" xfId="11402" xr:uid="{00000000-0005-0000-0000-00003D670000}"/>
    <cellStyle name="Note 4 3 3 3 4 4 2 3 4" xfId="15246" xr:uid="{00000000-0005-0000-0000-00003E670000}"/>
    <cellStyle name="Note 4 3 3 3 4 4 2 3 5" xfId="19091" xr:uid="{00000000-0005-0000-0000-00003F670000}"/>
    <cellStyle name="Note 4 3 3 3 4 4 2 3 6" xfId="23013" xr:uid="{00000000-0005-0000-0000-000040670000}"/>
    <cellStyle name="Note 4 3 3 3 4 4 2 3 7" xfId="26842" xr:uid="{00000000-0005-0000-0000-000041670000}"/>
    <cellStyle name="Note 4 3 3 3 4 4 2 3 8" xfId="30715" xr:uid="{00000000-0005-0000-0000-000042670000}"/>
    <cellStyle name="Note 4 3 3 3 4 4 2 3 9" xfId="34372" xr:uid="{00000000-0005-0000-0000-000043670000}"/>
    <cellStyle name="Note 4 3 3 3 4 4 2 4" xfId="5049" xr:uid="{00000000-0005-0000-0000-000044670000}"/>
    <cellStyle name="Note 4 3 3 3 4 4 2 5" xfId="9405" xr:uid="{00000000-0005-0000-0000-000045670000}"/>
    <cellStyle name="Note 4 3 3 3 4 4 2 6" xfId="13245" xr:uid="{00000000-0005-0000-0000-000046670000}"/>
    <cellStyle name="Note 4 3 3 3 4 4 2 7" xfId="17073" xr:uid="{00000000-0005-0000-0000-000047670000}"/>
    <cellStyle name="Note 4 3 3 3 4 4 2 8" xfId="21015" xr:uid="{00000000-0005-0000-0000-000048670000}"/>
    <cellStyle name="Note 4 3 3 3 4 4 2 9" xfId="24829" xr:uid="{00000000-0005-0000-0000-000049670000}"/>
    <cellStyle name="Note 4 3 3 3 4 4 3" xfId="1481" xr:uid="{00000000-0005-0000-0000-00004A670000}"/>
    <cellStyle name="Note 4 3 3 3 4 4 3 10" xfId="32768" xr:uid="{00000000-0005-0000-0000-00004B670000}"/>
    <cellStyle name="Note 4 3 3 3 4 4 3 11" xfId="36538" xr:uid="{00000000-0005-0000-0000-00004C670000}"/>
    <cellStyle name="Note 4 3 3 3 4 4 3 12" xfId="40529" xr:uid="{00000000-0005-0000-0000-00004D670000}"/>
    <cellStyle name="Note 4 3 3 3 4 4 3 13" xfId="44360" xr:uid="{00000000-0005-0000-0000-00004E670000}"/>
    <cellStyle name="Note 4 3 3 3 4 4 3 2" xfId="3471" xr:uid="{00000000-0005-0000-0000-00004F670000}"/>
    <cellStyle name="Note 4 3 3 3 4 4 3 2 10" xfId="38522" xr:uid="{00000000-0005-0000-0000-000050670000}"/>
    <cellStyle name="Note 4 3 3 3 4 4 3 2 11" xfId="42533" xr:uid="{00000000-0005-0000-0000-000051670000}"/>
    <cellStyle name="Note 4 3 3 3 4 4 3 2 12" xfId="46298" xr:uid="{00000000-0005-0000-0000-000052670000}"/>
    <cellStyle name="Note 4 3 3 3 4 4 3 2 2" xfId="7338" xr:uid="{00000000-0005-0000-0000-000053670000}"/>
    <cellStyle name="Note 4 3 3 3 4 4 3 2 3" xfId="11773" xr:uid="{00000000-0005-0000-0000-000054670000}"/>
    <cellStyle name="Note 4 3 3 3 4 4 3 2 4" xfId="15618" xr:uid="{00000000-0005-0000-0000-000055670000}"/>
    <cellStyle name="Note 4 3 3 3 4 4 3 2 5" xfId="19465" xr:uid="{00000000-0005-0000-0000-000056670000}"/>
    <cellStyle name="Note 4 3 3 3 4 4 3 2 6" xfId="23381" xr:uid="{00000000-0005-0000-0000-000057670000}"/>
    <cellStyle name="Note 4 3 3 3 4 4 3 2 7" xfId="27215" xr:uid="{00000000-0005-0000-0000-000058670000}"/>
    <cellStyle name="Note 4 3 3 3 4 4 3 2 8" xfId="31082" xr:uid="{00000000-0005-0000-0000-000059670000}"/>
    <cellStyle name="Note 4 3 3 3 4 4 3 2 9" xfId="34736" xr:uid="{00000000-0005-0000-0000-00005A670000}"/>
    <cellStyle name="Note 4 3 3 3 4 4 3 3" xfId="5414" xr:uid="{00000000-0005-0000-0000-00005B670000}"/>
    <cellStyle name="Note 4 3 3 3 4 4 3 4" xfId="9772" xr:uid="{00000000-0005-0000-0000-00005C670000}"/>
    <cellStyle name="Note 4 3 3 3 4 4 3 5" xfId="13618" xr:uid="{00000000-0005-0000-0000-00005D670000}"/>
    <cellStyle name="Note 4 3 3 3 4 4 3 6" xfId="17447" xr:uid="{00000000-0005-0000-0000-00005E670000}"/>
    <cellStyle name="Note 4 3 3 3 4 4 3 7" xfId="21386" xr:uid="{00000000-0005-0000-0000-00005F670000}"/>
    <cellStyle name="Note 4 3 3 3 4 4 3 8" xfId="25199" xr:uid="{00000000-0005-0000-0000-000060670000}"/>
    <cellStyle name="Note 4 3 3 3 4 4 3 9" xfId="29086" xr:uid="{00000000-0005-0000-0000-000061670000}"/>
    <cellStyle name="Note 4 3 3 3 4 4 4" xfId="2731" xr:uid="{00000000-0005-0000-0000-000062670000}"/>
    <cellStyle name="Note 4 3 3 3 4 4 4 10" xfId="37783" xr:uid="{00000000-0005-0000-0000-000063670000}"/>
    <cellStyle name="Note 4 3 3 3 4 4 4 11" xfId="41797" xr:uid="{00000000-0005-0000-0000-000064670000}"/>
    <cellStyle name="Note 4 3 3 3 4 4 4 12" xfId="45581" xr:uid="{00000000-0005-0000-0000-000065670000}"/>
    <cellStyle name="Note 4 3 3 3 4 4 4 2" xfId="6618" xr:uid="{00000000-0005-0000-0000-000066670000}"/>
    <cellStyle name="Note 4 3 3 3 4 4 4 3" xfId="11042" xr:uid="{00000000-0005-0000-0000-000067670000}"/>
    <cellStyle name="Note 4 3 3 3 4 4 4 4" xfId="14887" xr:uid="{00000000-0005-0000-0000-000068670000}"/>
    <cellStyle name="Note 4 3 3 3 4 4 4 5" xfId="18725" xr:uid="{00000000-0005-0000-0000-000069670000}"/>
    <cellStyle name="Note 4 3 3 3 4 4 4 6" xfId="22656" xr:uid="{00000000-0005-0000-0000-00006A670000}"/>
    <cellStyle name="Note 4 3 3 3 4 4 4 7" xfId="26476" xr:uid="{00000000-0005-0000-0000-00006B670000}"/>
    <cellStyle name="Note 4 3 3 3 4 4 4 8" xfId="30355" xr:uid="{00000000-0005-0000-0000-00006C670000}"/>
    <cellStyle name="Note 4 3 3 3 4 4 4 9" xfId="34019" xr:uid="{00000000-0005-0000-0000-00006D670000}"/>
    <cellStyle name="Note 4 3 3 3 4 4 5" xfId="4694" xr:uid="{00000000-0005-0000-0000-00006E670000}"/>
    <cellStyle name="Note 4 3 3 3 4 4 6" xfId="9036" xr:uid="{00000000-0005-0000-0000-00006F670000}"/>
    <cellStyle name="Note 4 3 3 3 4 4 7" xfId="12874" xr:uid="{00000000-0005-0000-0000-000070670000}"/>
    <cellStyle name="Note 4 3 3 3 4 4 8" xfId="16704" xr:uid="{00000000-0005-0000-0000-000071670000}"/>
    <cellStyle name="Note 4 3 3 3 4 4 9" xfId="20641" xr:uid="{00000000-0005-0000-0000-000072670000}"/>
    <cellStyle name="Note 4 3 3 3 4 5" xfId="875" xr:uid="{00000000-0005-0000-0000-000073670000}"/>
    <cellStyle name="Note 4 3 3 3 4 5 10" xfId="24599" xr:uid="{00000000-0005-0000-0000-000074670000}"/>
    <cellStyle name="Note 4 3 3 3 4 5 11" xfId="28489" xr:uid="{00000000-0005-0000-0000-000075670000}"/>
    <cellStyle name="Note 4 3 3 3 4 5 12" xfId="32176" xr:uid="{00000000-0005-0000-0000-000076670000}"/>
    <cellStyle name="Note 4 3 3 3 4 5 13" xfId="35933" xr:uid="{00000000-0005-0000-0000-000077670000}"/>
    <cellStyle name="Note 4 3 3 3 4 5 14" xfId="39943" xr:uid="{00000000-0005-0000-0000-000078670000}"/>
    <cellStyle name="Note 4 3 3 3 4 5 15" xfId="43759" xr:uid="{00000000-0005-0000-0000-000079670000}"/>
    <cellStyle name="Note 4 3 3 3 4 5 2" xfId="1212" xr:uid="{00000000-0005-0000-0000-00007A670000}"/>
    <cellStyle name="Note 4 3 3 3 4 5 2 10" xfId="28820" xr:uid="{00000000-0005-0000-0000-00007B670000}"/>
    <cellStyle name="Note 4 3 3 3 4 5 2 11" xfId="32504" xr:uid="{00000000-0005-0000-0000-00007C670000}"/>
    <cellStyle name="Note 4 3 3 3 4 5 2 12" xfId="36270" xr:uid="{00000000-0005-0000-0000-00007D670000}"/>
    <cellStyle name="Note 4 3 3 3 4 5 2 13" xfId="40263" xr:uid="{00000000-0005-0000-0000-00007E670000}"/>
    <cellStyle name="Note 4 3 3 3 4 5 2 14" xfId="44096" xr:uid="{00000000-0005-0000-0000-00007F670000}"/>
    <cellStyle name="Note 4 3 3 3 4 5 2 2" xfId="1934" xr:uid="{00000000-0005-0000-0000-000080670000}"/>
    <cellStyle name="Note 4 3 3 3 4 5 2 2 10" xfId="33221" xr:uid="{00000000-0005-0000-0000-000081670000}"/>
    <cellStyle name="Note 4 3 3 3 4 5 2 2 11" xfId="36991" xr:uid="{00000000-0005-0000-0000-000082670000}"/>
    <cellStyle name="Note 4 3 3 3 4 5 2 2 12" xfId="40982" xr:uid="{00000000-0005-0000-0000-000083670000}"/>
    <cellStyle name="Note 4 3 3 3 4 5 2 2 13" xfId="44813" xr:uid="{00000000-0005-0000-0000-000084670000}"/>
    <cellStyle name="Note 4 3 3 3 4 5 2 2 2" xfId="3924" xr:uid="{00000000-0005-0000-0000-000085670000}"/>
    <cellStyle name="Note 4 3 3 3 4 5 2 2 2 10" xfId="38975" xr:uid="{00000000-0005-0000-0000-000086670000}"/>
    <cellStyle name="Note 4 3 3 3 4 5 2 2 2 11" xfId="42986" xr:uid="{00000000-0005-0000-0000-000087670000}"/>
    <cellStyle name="Note 4 3 3 3 4 5 2 2 2 12" xfId="46751" xr:uid="{00000000-0005-0000-0000-000088670000}"/>
    <cellStyle name="Note 4 3 3 3 4 5 2 2 2 2" xfId="7791" xr:uid="{00000000-0005-0000-0000-000089670000}"/>
    <cellStyle name="Note 4 3 3 3 4 5 2 2 2 3" xfId="12226" xr:uid="{00000000-0005-0000-0000-00008A670000}"/>
    <cellStyle name="Note 4 3 3 3 4 5 2 2 2 4" xfId="16071" xr:uid="{00000000-0005-0000-0000-00008B670000}"/>
    <cellStyle name="Note 4 3 3 3 4 5 2 2 2 5" xfId="19918" xr:uid="{00000000-0005-0000-0000-00008C670000}"/>
    <cellStyle name="Note 4 3 3 3 4 5 2 2 2 6" xfId="23834" xr:uid="{00000000-0005-0000-0000-00008D670000}"/>
    <cellStyle name="Note 4 3 3 3 4 5 2 2 2 7" xfId="27668" xr:uid="{00000000-0005-0000-0000-00008E670000}"/>
    <cellStyle name="Note 4 3 3 3 4 5 2 2 2 8" xfId="31529" xr:uid="{00000000-0005-0000-0000-00008F670000}"/>
    <cellStyle name="Note 4 3 3 3 4 5 2 2 2 9" xfId="35189" xr:uid="{00000000-0005-0000-0000-000090670000}"/>
    <cellStyle name="Note 4 3 3 3 4 5 2 2 3" xfId="5867" xr:uid="{00000000-0005-0000-0000-000091670000}"/>
    <cellStyle name="Note 4 3 3 3 4 5 2 2 4" xfId="10225" xr:uid="{00000000-0005-0000-0000-000092670000}"/>
    <cellStyle name="Note 4 3 3 3 4 5 2 2 5" xfId="14071" xr:uid="{00000000-0005-0000-0000-000093670000}"/>
    <cellStyle name="Note 4 3 3 3 4 5 2 2 6" xfId="17900" xr:uid="{00000000-0005-0000-0000-000094670000}"/>
    <cellStyle name="Note 4 3 3 3 4 5 2 2 7" xfId="21839" xr:uid="{00000000-0005-0000-0000-000095670000}"/>
    <cellStyle name="Note 4 3 3 3 4 5 2 2 8" xfId="25652" xr:uid="{00000000-0005-0000-0000-000096670000}"/>
    <cellStyle name="Note 4 3 3 3 4 5 2 2 9" xfId="29539" xr:uid="{00000000-0005-0000-0000-000097670000}"/>
    <cellStyle name="Note 4 3 3 3 4 5 2 3" xfId="3202" xr:uid="{00000000-0005-0000-0000-000098670000}"/>
    <cellStyle name="Note 4 3 3 3 4 5 2 3 10" xfId="38254" xr:uid="{00000000-0005-0000-0000-000099670000}"/>
    <cellStyle name="Note 4 3 3 3 4 5 2 3 11" xfId="42265" xr:uid="{00000000-0005-0000-0000-00009A670000}"/>
    <cellStyle name="Note 4 3 3 3 4 5 2 3 12" xfId="46034" xr:uid="{00000000-0005-0000-0000-00009B670000}"/>
    <cellStyle name="Note 4 3 3 3 4 5 2 3 2" xfId="7074" xr:uid="{00000000-0005-0000-0000-00009C670000}"/>
    <cellStyle name="Note 4 3 3 3 4 5 2 3 3" xfId="11506" xr:uid="{00000000-0005-0000-0000-00009D670000}"/>
    <cellStyle name="Note 4 3 3 3 4 5 2 3 4" xfId="15350" xr:uid="{00000000-0005-0000-0000-00009E670000}"/>
    <cellStyle name="Note 4 3 3 3 4 5 2 3 5" xfId="19196" xr:uid="{00000000-0005-0000-0000-00009F670000}"/>
    <cellStyle name="Note 4 3 3 3 4 5 2 3 6" xfId="23115" xr:uid="{00000000-0005-0000-0000-0000A0670000}"/>
    <cellStyle name="Note 4 3 3 3 4 5 2 3 7" xfId="26947" xr:uid="{00000000-0005-0000-0000-0000A1670000}"/>
    <cellStyle name="Note 4 3 3 3 4 5 2 3 8" xfId="30817" xr:uid="{00000000-0005-0000-0000-0000A2670000}"/>
    <cellStyle name="Note 4 3 3 3 4 5 2 3 9" xfId="34472" xr:uid="{00000000-0005-0000-0000-0000A3670000}"/>
    <cellStyle name="Note 4 3 3 3 4 5 2 4" xfId="5150" xr:uid="{00000000-0005-0000-0000-0000A4670000}"/>
    <cellStyle name="Note 4 3 3 3 4 5 2 5" xfId="9506" xr:uid="{00000000-0005-0000-0000-0000A5670000}"/>
    <cellStyle name="Note 4 3 3 3 4 5 2 6" xfId="13350" xr:uid="{00000000-0005-0000-0000-0000A6670000}"/>
    <cellStyle name="Note 4 3 3 3 4 5 2 7" xfId="17178" xr:uid="{00000000-0005-0000-0000-0000A7670000}"/>
    <cellStyle name="Note 4 3 3 3 4 5 2 8" xfId="21120" xr:uid="{00000000-0005-0000-0000-0000A8670000}"/>
    <cellStyle name="Note 4 3 3 3 4 5 2 9" xfId="24931" xr:uid="{00000000-0005-0000-0000-0000A9670000}"/>
    <cellStyle name="Note 4 3 3 3 4 5 3" xfId="1606" xr:uid="{00000000-0005-0000-0000-0000AA670000}"/>
    <cellStyle name="Note 4 3 3 3 4 5 3 10" xfId="32893" xr:uid="{00000000-0005-0000-0000-0000AB670000}"/>
    <cellStyle name="Note 4 3 3 3 4 5 3 11" xfId="36663" xr:uid="{00000000-0005-0000-0000-0000AC670000}"/>
    <cellStyle name="Note 4 3 3 3 4 5 3 12" xfId="40654" xr:uid="{00000000-0005-0000-0000-0000AD670000}"/>
    <cellStyle name="Note 4 3 3 3 4 5 3 13" xfId="44485" xr:uid="{00000000-0005-0000-0000-0000AE670000}"/>
    <cellStyle name="Note 4 3 3 3 4 5 3 2" xfId="3596" xr:uid="{00000000-0005-0000-0000-0000AF670000}"/>
    <cellStyle name="Note 4 3 3 3 4 5 3 2 10" xfId="38647" xr:uid="{00000000-0005-0000-0000-0000B0670000}"/>
    <cellStyle name="Note 4 3 3 3 4 5 3 2 11" xfId="42658" xr:uid="{00000000-0005-0000-0000-0000B1670000}"/>
    <cellStyle name="Note 4 3 3 3 4 5 3 2 12" xfId="46423" xr:uid="{00000000-0005-0000-0000-0000B2670000}"/>
    <cellStyle name="Note 4 3 3 3 4 5 3 2 2" xfId="7463" xr:uid="{00000000-0005-0000-0000-0000B3670000}"/>
    <cellStyle name="Note 4 3 3 3 4 5 3 2 3" xfId="11898" xr:uid="{00000000-0005-0000-0000-0000B4670000}"/>
    <cellStyle name="Note 4 3 3 3 4 5 3 2 4" xfId="15743" xr:uid="{00000000-0005-0000-0000-0000B5670000}"/>
    <cellStyle name="Note 4 3 3 3 4 5 3 2 5" xfId="19590" xr:uid="{00000000-0005-0000-0000-0000B6670000}"/>
    <cellStyle name="Note 4 3 3 3 4 5 3 2 6" xfId="23506" xr:uid="{00000000-0005-0000-0000-0000B7670000}"/>
    <cellStyle name="Note 4 3 3 3 4 5 3 2 7" xfId="27340" xr:uid="{00000000-0005-0000-0000-0000B8670000}"/>
    <cellStyle name="Note 4 3 3 3 4 5 3 2 8" xfId="31205" xr:uid="{00000000-0005-0000-0000-0000B9670000}"/>
    <cellStyle name="Note 4 3 3 3 4 5 3 2 9" xfId="34861" xr:uid="{00000000-0005-0000-0000-0000BA670000}"/>
    <cellStyle name="Note 4 3 3 3 4 5 3 3" xfId="5539" xr:uid="{00000000-0005-0000-0000-0000BB670000}"/>
    <cellStyle name="Note 4 3 3 3 4 5 3 4" xfId="9897" xr:uid="{00000000-0005-0000-0000-0000BC670000}"/>
    <cellStyle name="Note 4 3 3 3 4 5 3 5" xfId="13743" xr:uid="{00000000-0005-0000-0000-0000BD670000}"/>
    <cellStyle name="Note 4 3 3 3 4 5 3 6" xfId="17572" xr:uid="{00000000-0005-0000-0000-0000BE670000}"/>
    <cellStyle name="Note 4 3 3 3 4 5 3 7" xfId="21511" xr:uid="{00000000-0005-0000-0000-0000BF670000}"/>
    <cellStyle name="Note 4 3 3 3 4 5 3 8" xfId="25324" xr:uid="{00000000-0005-0000-0000-0000C0670000}"/>
    <cellStyle name="Note 4 3 3 3 4 5 3 9" xfId="29211" xr:uid="{00000000-0005-0000-0000-0000C1670000}"/>
    <cellStyle name="Note 4 3 3 3 4 5 4" xfId="2865" xr:uid="{00000000-0005-0000-0000-0000C2670000}"/>
    <cellStyle name="Note 4 3 3 3 4 5 4 10" xfId="37917" xr:uid="{00000000-0005-0000-0000-0000C3670000}"/>
    <cellStyle name="Note 4 3 3 3 4 5 4 11" xfId="41929" xr:uid="{00000000-0005-0000-0000-0000C4670000}"/>
    <cellStyle name="Note 4 3 3 3 4 5 4 12" xfId="45706" xr:uid="{00000000-0005-0000-0000-0000C5670000}"/>
    <cellStyle name="Note 4 3 3 3 4 5 4 2" xfId="6745" xr:uid="{00000000-0005-0000-0000-0000C6670000}"/>
    <cellStyle name="Note 4 3 3 3 4 5 4 3" xfId="11172" xr:uid="{00000000-0005-0000-0000-0000C7670000}"/>
    <cellStyle name="Note 4 3 3 3 4 5 4 4" xfId="15017" xr:uid="{00000000-0005-0000-0000-0000C8670000}"/>
    <cellStyle name="Note 4 3 3 3 4 5 4 5" xfId="18859" xr:uid="{00000000-0005-0000-0000-0000C9670000}"/>
    <cellStyle name="Note 4 3 3 3 4 5 4 6" xfId="22785" xr:uid="{00000000-0005-0000-0000-0000CA670000}"/>
    <cellStyle name="Note 4 3 3 3 4 5 4 7" xfId="26610" xr:uid="{00000000-0005-0000-0000-0000CB670000}"/>
    <cellStyle name="Note 4 3 3 3 4 5 4 8" xfId="30486" xr:uid="{00000000-0005-0000-0000-0000CC670000}"/>
    <cellStyle name="Note 4 3 3 3 4 5 4 9" xfId="34144" xr:uid="{00000000-0005-0000-0000-0000CD670000}"/>
    <cellStyle name="Note 4 3 3 3 4 5 5" xfId="4821" xr:uid="{00000000-0005-0000-0000-0000CE670000}"/>
    <cellStyle name="Note 4 3 3 3 4 5 6" xfId="9175" xr:uid="{00000000-0005-0000-0000-0000CF670000}"/>
    <cellStyle name="Note 4 3 3 3 4 5 7" xfId="13016" xr:uid="{00000000-0005-0000-0000-0000D0670000}"/>
    <cellStyle name="Note 4 3 3 3 4 5 8" xfId="16841" xr:uid="{00000000-0005-0000-0000-0000D1670000}"/>
    <cellStyle name="Note 4 3 3 3 4 5 9" xfId="20783" xr:uid="{00000000-0005-0000-0000-0000D2670000}"/>
    <cellStyle name="Note 4 3 3 3 4 6" xfId="921" xr:uid="{00000000-0005-0000-0000-0000D3670000}"/>
    <cellStyle name="Note 4 3 3 3 4 6 10" xfId="28533" xr:uid="{00000000-0005-0000-0000-0000D4670000}"/>
    <cellStyle name="Note 4 3 3 3 4 6 11" xfId="32222" xr:uid="{00000000-0005-0000-0000-0000D5670000}"/>
    <cellStyle name="Note 4 3 3 3 4 6 12" xfId="35979" xr:uid="{00000000-0005-0000-0000-0000D6670000}"/>
    <cellStyle name="Note 4 3 3 3 4 6 13" xfId="39987" xr:uid="{00000000-0005-0000-0000-0000D7670000}"/>
    <cellStyle name="Note 4 3 3 3 4 6 14" xfId="43805" xr:uid="{00000000-0005-0000-0000-0000D8670000}"/>
    <cellStyle name="Note 4 3 3 3 4 6 2" xfId="1652" xr:uid="{00000000-0005-0000-0000-0000D9670000}"/>
    <cellStyle name="Note 4 3 3 3 4 6 2 10" xfId="32939" xr:uid="{00000000-0005-0000-0000-0000DA670000}"/>
    <cellStyle name="Note 4 3 3 3 4 6 2 11" xfId="36709" xr:uid="{00000000-0005-0000-0000-0000DB670000}"/>
    <cellStyle name="Note 4 3 3 3 4 6 2 12" xfId="40700" xr:uid="{00000000-0005-0000-0000-0000DC670000}"/>
    <cellStyle name="Note 4 3 3 3 4 6 2 13" xfId="44531" xr:uid="{00000000-0005-0000-0000-0000DD670000}"/>
    <cellStyle name="Note 4 3 3 3 4 6 2 2" xfId="3642" xr:uid="{00000000-0005-0000-0000-0000DE670000}"/>
    <cellStyle name="Note 4 3 3 3 4 6 2 2 10" xfId="38693" xr:uid="{00000000-0005-0000-0000-0000DF670000}"/>
    <cellStyle name="Note 4 3 3 3 4 6 2 2 11" xfId="42704" xr:uid="{00000000-0005-0000-0000-0000E0670000}"/>
    <cellStyle name="Note 4 3 3 3 4 6 2 2 12" xfId="46469" xr:uid="{00000000-0005-0000-0000-0000E1670000}"/>
    <cellStyle name="Note 4 3 3 3 4 6 2 2 2" xfId="7509" xr:uid="{00000000-0005-0000-0000-0000E2670000}"/>
    <cellStyle name="Note 4 3 3 3 4 6 2 2 3" xfId="11944" xr:uid="{00000000-0005-0000-0000-0000E3670000}"/>
    <cellStyle name="Note 4 3 3 3 4 6 2 2 4" xfId="15789" xr:uid="{00000000-0005-0000-0000-0000E4670000}"/>
    <cellStyle name="Note 4 3 3 3 4 6 2 2 5" xfId="19636" xr:uid="{00000000-0005-0000-0000-0000E5670000}"/>
    <cellStyle name="Note 4 3 3 3 4 6 2 2 6" xfId="23552" xr:uid="{00000000-0005-0000-0000-0000E6670000}"/>
    <cellStyle name="Note 4 3 3 3 4 6 2 2 7" xfId="27386" xr:uid="{00000000-0005-0000-0000-0000E7670000}"/>
    <cellStyle name="Note 4 3 3 3 4 6 2 2 8" xfId="31250" xr:uid="{00000000-0005-0000-0000-0000E8670000}"/>
    <cellStyle name="Note 4 3 3 3 4 6 2 2 9" xfId="34907" xr:uid="{00000000-0005-0000-0000-0000E9670000}"/>
    <cellStyle name="Note 4 3 3 3 4 6 2 3" xfId="5585" xr:uid="{00000000-0005-0000-0000-0000EA670000}"/>
    <cellStyle name="Note 4 3 3 3 4 6 2 4" xfId="9943" xr:uid="{00000000-0005-0000-0000-0000EB670000}"/>
    <cellStyle name="Note 4 3 3 3 4 6 2 5" xfId="13789" xr:uid="{00000000-0005-0000-0000-0000EC670000}"/>
    <cellStyle name="Note 4 3 3 3 4 6 2 6" xfId="17618" xr:uid="{00000000-0005-0000-0000-0000ED670000}"/>
    <cellStyle name="Note 4 3 3 3 4 6 2 7" xfId="21557" xr:uid="{00000000-0005-0000-0000-0000EE670000}"/>
    <cellStyle name="Note 4 3 3 3 4 6 2 8" xfId="25370" xr:uid="{00000000-0005-0000-0000-0000EF670000}"/>
    <cellStyle name="Note 4 3 3 3 4 6 2 9" xfId="29257" xr:uid="{00000000-0005-0000-0000-0000F0670000}"/>
    <cellStyle name="Note 4 3 3 3 4 6 3" xfId="2911" xr:uid="{00000000-0005-0000-0000-0000F1670000}"/>
    <cellStyle name="Note 4 3 3 3 4 6 3 10" xfId="37963" xr:uid="{00000000-0005-0000-0000-0000F2670000}"/>
    <cellStyle name="Note 4 3 3 3 4 6 3 11" xfId="41975" xr:uid="{00000000-0005-0000-0000-0000F3670000}"/>
    <cellStyle name="Note 4 3 3 3 4 6 3 12" xfId="45752" xr:uid="{00000000-0005-0000-0000-0000F4670000}"/>
    <cellStyle name="Note 4 3 3 3 4 6 3 2" xfId="6791" xr:uid="{00000000-0005-0000-0000-0000F5670000}"/>
    <cellStyle name="Note 4 3 3 3 4 6 3 3" xfId="11218" xr:uid="{00000000-0005-0000-0000-0000F6670000}"/>
    <cellStyle name="Note 4 3 3 3 4 6 3 4" xfId="15063" xr:uid="{00000000-0005-0000-0000-0000F7670000}"/>
    <cellStyle name="Note 4 3 3 3 4 6 3 5" xfId="18905" xr:uid="{00000000-0005-0000-0000-0000F8670000}"/>
    <cellStyle name="Note 4 3 3 3 4 6 3 6" xfId="22831" xr:uid="{00000000-0005-0000-0000-0000F9670000}"/>
    <cellStyle name="Note 4 3 3 3 4 6 3 7" xfId="26656" xr:uid="{00000000-0005-0000-0000-0000FA670000}"/>
    <cellStyle name="Note 4 3 3 3 4 6 3 8" xfId="30531" xr:uid="{00000000-0005-0000-0000-0000FB670000}"/>
    <cellStyle name="Note 4 3 3 3 4 6 3 9" xfId="34190" xr:uid="{00000000-0005-0000-0000-0000FC670000}"/>
    <cellStyle name="Note 4 3 3 3 4 6 4" xfId="4867" xr:uid="{00000000-0005-0000-0000-0000FD670000}"/>
    <cellStyle name="Note 4 3 3 3 4 6 5" xfId="9221" xr:uid="{00000000-0005-0000-0000-0000FE670000}"/>
    <cellStyle name="Note 4 3 3 3 4 6 6" xfId="13062" xr:uid="{00000000-0005-0000-0000-0000FF670000}"/>
    <cellStyle name="Note 4 3 3 3 4 6 7" xfId="16887" xr:uid="{00000000-0005-0000-0000-000000680000}"/>
    <cellStyle name="Note 4 3 3 3 4 6 8" xfId="20829" xr:uid="{00000000-0005-0000-0000-000001680000}"/>
    <cellStyle name="Note 4 3 3 3 4 6 9" xfId="24645" xr:uid="{00000000-0005-0000-0000-000002680000}"/>
    <cellStyle name="Note 4 3 3 3 4 7" xfId="1299" xr:uid="{00000000-0005-0000-0000-000003680000}"/>
    <cellStyle name="Note 4 3 3 3 4 7 10" xfId="32586" xr:uid="{00000000-0005-0000-0000-000004680000}"/>
    <cellStyle name="Note 4 3 3 3 4 7 11" xfId="36356" xr:uid="{00000000-0005-0000-0000-000005680000}"/>
    <cellStyle name="Note 4 3 3 3 4 7 12" xfId="40347" xr:uid="{00000000-0005-0000-0000-000006680000}"/>
    <cellStyle name="Note 4 3 3 3 4 7 13" xfId="44178" xr:uid="{00000000-0005-0000-0000-000007680000}"/>
    <cellStyle name="Note 4 3 3 3 4 7 2" xfId="3289" xr:uid="{00000000-0005-0000-0000-000008680000}"/>
    <cellStyle name="Note 4 3 3 3 4 7 2 10" xfId="38340" xr:uid="{00000000-0005-0000-0000-000009680000}"/>
    <cellStyle name="Note 4 3 3 3 4 7 2 11" xfId="42351" xr:uid="{00000000-0005-0000-0000-00000A680000}"/>
    <cellStyle name="Note 4 3 3 3 4 7 2 12" xfId="46116" xr:uid="{00000000-0005-0000-0000-00000B680000}"/>
    <cellStyle name="Note 4 3 3 3 4 7 2 2" xfId="7156" xr:uid="{00000000-0005-0000-0000-00000C680000}"/>
    <cellStyle name="Note 4 3 3 3 4 7 2 3" xfId="11591" xr:uid="{00000000-0005-0000-0000-00000D680000}"/>
    <cellStyle name="Note 4 3 3 3 4 7 2 4" xfId="15436" xr:uid="{00000000-0005-0000-0000-00000E680000}"/>
    <cellStyle name="Note 4 3 3 3 4 7 2 5" xfId="19283" xr:uid="{00000000-0005-0000-0000-00000F680000}"/>
    <cellStyle name="Note 4 3 3 3 4 7 2 6" xfId="23199" xr:uid="{00000000-0005-0000-0000-000010680000}"/>
    <cellStyle name="Note 4 3 3 3 4 7 2 7" xfId="27033" xr:uid="{00000000-0005-0000-0000-000011680000}"/>
    <cellStyle name="Note 4 3 3 3 4 7 2 8" xfId="30902" xr:uid="{00000000-0005-0000-0000-000012680000}"/>
    <cellStyle name="Note 4 3 3 3 4 7 2 9" xfId="34554" xr:uid="{00000000-0005-0000-0000-000013680000}"/>
    <cellStyle name="Note 4 3 3 3 4 7 3" xfId="5232" xr:uid="{00000000-0005-0000-0000-000014680000}"/>
    <cellStyle name="Note 4 3 3 3 4 7 4" xfId="9590" xr:uid="{00000000-0005-0000-0000-000015680000}"/>
    <cellStyle name="Note 4 3 3 3 4 7 5" xfId="13436" xr:uid="{00000000-0005-0000-0000-000016680000}"/>
    <cellStyle name="Note 4 3 3 3 4 7 6" xfId="17265" xr:uid="{00000000-0005-0000-0000-000017680000}"/>
    <cellStyle name="Note 4 3 3 3 4 7 7" xfId="21204" xr:uid="{00000000-0005-0000-0000-000018680000}"/>
    <cellStyle name="Note 4 3 3 3 4 7 8" xfId="25017" xr:uid="{00000000-0005-0000-0000-000019680000}"/>
    <cellStyle name="Note 4 3 3 3 4 7 9" xfId="28904" xr:uid="{00000000-0005-0000-0000-00001A680000}"/>
    <cellStyle name="Note 4 3 3 3 4 8" xfId="1994" xr:uid="{00000000-0005-0000-0000-00001B680000}"/>
    <cellStyle name="Note 4 3 3 3 4 8 10" xfId="33281" xr:uid="{00000000-0005-0000-0000-00001C680000}"/>
    <cellStyle name="Note 4 3 3 3 4 8 11" xfId="37050" xr:uid="{00000000-0005-0000-0000-00001D680000}"/>
    <cellStyle name="Note 4 3 3 3 4 8 12" xfId="41042" xr:uid="{00000000-0005-0000-0000-00001E680000}"/>
    <cellStyle name="Note 4 3 3 3 4 8 13" xfId="44872" xr:uid="{00000000-0005-0000-0000-00001F680000}"/>
    <cellStyle name="Note 4 3 3 3 4 8 2" xfId="3983" xr:uid="{00000000-0005-0000-0000-000020680000}"/>
    <cellStyle name="Note 4 3 3 3 4 8 2 10" xfId="39034" xr:uid="{00000000-0005-0000-0000-000021680000}"/>
    <cellStyle name="Note 4 3 3 3 4 8 2 11" xfId="43045" xr:uid="{00000000-0005-0000-0000-000022680000}"/>
    <cellStyle name="Note 4 3 3 3 4 8 2 12" xfId="46810" xr:uid="{00000000-0005-0000-0000-000023680000}"/>
    <cellStyle name="Note 4 3 3 3 4 8 2 2" xfId="7850" xr:uid="{00000000-0005-0000-0000-000024680000}"/>
    <cellStyle name="Note 4 3 3 3 4 8 2 3" xfId="12285" xr:uid="{00000000-0005-0000-0000-000025680000}"/>
    <cellStyle name="Note 4 3 3 3 4 8 2 4" xfId="16130" xr:uid="{00000000-0005-0000-0000-000026680000}"/>
    <cellStyle name="Note 4 3 3 3 4 8 2 5" xfId="19977" xr:uid="{00000000-0005-0000-0000-000027680000}"/>
    <cellStyle name="Note 4 3 3 3 4 8 2 6" xfId="23893" xr:uid="{00000000-0005-0000-0000-000028680000}"/>
    <cellStyle name="Note 4 3 3 3 4 8 2 7" xfId="27727" xr:uid="{00000000-0005-0000-0000-000029680000}"/>
    <cellStyle name="Note 4 3 3 3 4 8 2 8" xfId="31587" xr:uid="{00000000-0005-0000-0000-00002A680000}"/>
    <cellStyle name="Note 4 3 3 3 4 8 2 9" xfId="35248" xr:uid="{00000000-0005-0000-0000-00002B680000}"/>
    <cellStyle name="Note 4 3 3 3 4 8 3" xfId="5926" xr:uid="{00000000-0005-0000-0000-00002C680000}"/>
    <cellStyle name="Note 4 3 3 3 4 8 4" xfId="10284" xr:uid="{00000000-0005-0000-0000-00002D680000}"/>
    <cellStyle name="Note 4 3 3 3 4 8 5" xfId="14131" xr:uid="{00000000-0005-0000-0000-00002E680000}"/>
    <cellStyle name="Note 4 3 3 3 4 8 6" xfId="17960" xr:uid="{00000000-0005-0000-0000-00002F680000}"/>
    <cellStyle name="Note 4 3 3 3 4 8 7" xfId="21899" xr:uid="{00000000-0005-0000-0000-000030680000}"/>
    <cellStyle name="Note 4 3 3 3 4 8 8" xfId="25712" xr:uid="{00000000-0005-0000-0000-000031680000}"/>
    <cellStyle name="Note 4 3 3 3 4 8 9" xfId="29599" xr:uid="{00000000-0005-0000-0000-000032680000}"/>
    <cellStyle name="Note 4 3 3 3 4 9" xfId="2041" xr:uid="{00000000-0005-0000-0000-000033680000}"/>
    <cellStyle name="Note 4 3 3 3 4 9 10" xfId="33325" xr:uid="{00000000-0005-0000-0000-000034680000}"/>
    <cellStyle name="Note 4 3 3 3 4 9 11" xfId="37097" xr:uid="{00000000-0005-0000-0000-000035680000}"/>
    <cellStyle name="Note 4 3 3 3 4 9 12" xfId="41087" xr:uid="{00000000-0005-0000-0000-000036680000}"/>
    <cellStyle name="Note 4 3 3 3 4 9 13" xfId="44916" xr:uid="{00000000-0005-0000-0000-000037680000}"/>
    <cellStyle name="Note 4 3 3 3 4 9 2" xfId="4030" xr:uid="{00000000-0005-0000-0000-000038680000}"/>
    <cellStyle name="Note 4 3 3 3 4 9 2 10" xfId="39081" xr:uid="{00000000-0005-0000-0000-000039680000}"/>
    <cellStyle name="Note 4 3 3 3 4 9 2 11" xfId="43091" xr:uid="{00000000-0005-0000-0000-00003A680000}"/>
    <cellStyle name="Note 4 3 3 3 4 9 2 12" xfId="46854" xr:uid="{00000000-0005-0000-0000-00003B680000}"/>
    <cellStyle name="Note 4 3 3 3 4 9 2 2" xfId="7895" xr:uid="{00000000-0005-0000-0000-00003C680000}"/>
    <cellStyle name="Note 4 3 3 3 4 9 2 3" xfId="12330" xr:uid="{00000000-0005-0000-0000-00003D680000}"/>
    <cellStyle name="Note 4 3 3 3 4 9 2 4" xfId="16176" xr:uid="{00000000-0005-0000-0000-00003E680000}"/>
    <cellStyle name="Note 4 3 3 3 4 9 2 5" xfId="20024" xr:uid="{00000000-0005-0000-0000-00003F680000}"/>
    <cellStyle name="Note 4 3 3 3 4 9 2 6" xfId="23939" xr:uid="{00000000-0005-0000-0000-000040680000}"/>
    <cellStyle name="Note 4 3 3 3 4 9 2 7" xfId="27774" xr:uid="{00000000-0005-0000-0000-000041680000}"/>
    <cellStyle name="Note 4 3 3 3 4 9 2 8" xfId="31633" xr:uid="{00000000-0005-0000-0000-000042680000}"/>
    <cellStyle name="Note 4 3 3 3 4 9 2 9" xfId="35292" xr:uid="{00000000-0005-0000-0000-000043680000}"/>
    <cellStyle name="Note 4 3 3 3 4 9 3" xfId="5971" xr:uid="{00000000-0005-0000-0000-000044680000}"/>
    <cellStyle name="Note 4 3 3 3 4 9 4" xfId="10329" xr:uid="{00000000-0005-0000-0000-000045680000}"/>
    <cellStyle name="Note 4 3 3 3 4 9 5" xfId="14177" xr:uid="{00000000-0005-0000-0000-000046680000}"/>
    <cellStyle name="Note 4 3 3 3 4 9 6" xfId="18007" xr:uid="{00000000-0005-0000-0000-000047680000}"/>
    <cellStyle name="Note 4 3 3 3 4 9 7" xfId="21945" xr:uid="{00000000-0005-0000-0000-000048680000}"/>
    <cellStyle name="Note 4 3 3 3 4 9 8" xfId="25759" xr:uid="{00000000-0005-0000-0000-000049680000}"/>
    <cellStyle name="Note 4 3 3 3 4 9 9" xfId="29645" xr:uid="{00000000-0005-0000-0000-00004A680000}"/>
    <cellStyle name="Note 4 3 3 3 5" xfId="662" xr:uid="{00000000-0005-0000-0000-00004B680000}"/>
    <cellStyle name="Note 4 3 3 3 5 10" xfId="24396" xr:uid="{00000000-0005-0000-0000-00004C680000}"/>
    <cellStyle name="Note 4 3 3 3 5 11" xfId="28289" xr:uid="{00000000-0005-0000-0000-00004D680000}"/>
    <cellStyle name="Note 4 3 3 3 5 12" xfId="31814" xr:uid="{00000000-0005-0000-0000-00004E680000}"/>
    <cellStyle name="Note 4 3 3 3 5 13" xfId="20684" xr:uid="{00000000-0005-0000-0000-00004F680000}"/>
    <cellStyle name="Note 4 3 3 3 5 14" xfId="39756" xr:uid="{00000000-0005-0000-0000-000050680000}"/>
    <cellStyle name="Note 4 3 3 3 5 15" xfId="43559" xr:uid="{00000000-0005-0000-0000-000051680000}"/>
    <cellStyle name="Note 4 3 3 3 5 2" xfId="1042" xr:uid="{00000000-0005-0000-0000-000052680000}"/>
    <cellStyle name="Note 4 3 3 3 5 2 10" xfId="28653" xr:uid="{00000000-0005-0000-0000-000053680000}"/>
    <cellStyle name="Note 4 3 3 3 5 2 11" xfId="32339" xr:uid="{00000000-0005-0000-0000-000054680000}"/>
    <cellStyle name="Note 4 3 3 3 5 2 12" xfId="36100" xr:uid="{00000000-0005-0000-0000-000055680000}"/>
    <cellStyle name="Note 4 3 3 3 5 2 13" xfId="40103" xr:uid="{00000000-0005-0000-0000-000056680000}"/>
    <cellStyle name="Note 4 3 3 3 5 2 14" xfId="43926" xr:uid="{00000000-0005-0000-0000-000057680000}"/>
    <cellStyle name="Note 4 3 3 3 5 2 2" xfId="1769" xr:uid="{00000000-0005-0000-0000-000058680000}"/>
    <cellStyle name="Note 4 3 3 3 5 2 2 10" xfId="33056" xr:uid="{00000000-0005-0000-0000-000059680000}"/>
    <cellStyle name="Note 4 3 3 3 5 2 2 11" xfId="36826" xr:uid="{00000000-0005-0000-0000-00005A680000}"/>
    <cellStyle name="Note 4 3 3 3 5 2 2 12" xfId="40817" xr:uid="{00000000-0005-0000-0000-00005B680000}"/>
    <cellStyle name="Note 4 3 3 3 5 2 2 13" xfId="44648" xr:uid="{00000000-0005-0000-0000-00005C680000}"/>
    <cellStyle name="Note 4 3 3 3 5 2 2 2" xfId="3759" xr:uid="{00000000-0005-0000-0000-00005D680000}"/>
    <cellStyle name="Note 4 3 3 3 5 2 2 2 10" xfId="38810" xr:uid="{00000000-0005-0000-0000-00005E680000}"/>
    <cellStyle name="Note 4 3 3 3 5 2 2 2 11" xfId="42821" xr:uid="{00000000-0005-0000-0000-00005F680000}"/>
    <cellStyle name="Note 4 3 3 3 5 2 2 2 12" xfId="46586" xr:uid="{00000000-0005-0000-0000-000060680000}"/>
    <cellStyle name="Note 4 3 3 3 5 2 2 2 2" xfId="7626" xr:uid="{00000000-0005-0000-0000-000061680000}"/>
    <cellStyle name="Note 4 3 3 3 5 2 2 2 3" xfId="12061" xr:uid="{00000000-0005-0000-0000-000062680000}"/>
    <cellStyle name="Note 4 3 3 3 5 2 2 2 4" xfId="15906" xr:uid="{00000000-0005-0000-0000-000063680000}"/>
    <cellStyle name="Note 4 3 3 3 5 2 2 2 5" xfId="19753" xr:uid="{00000000-0005-0000-0000-000064680000}"/>
    <cellStyle name="Note 4 3 3 3 5 2 2 2 6" xfId="23669" xr:uid="{00000000-0005-0000-0000-000065680000}"/>
    <cellStyle name="Note 4 3 3 3 5 2 2 2 7" xfId="27503" xr:uid="{00000000-0005-0000-0000-000066680000}"/>
    <cellStyle name="Note 4 3 3 3 5 2 2 2 8" xfId="31367" xr:uid="{00000000-0005-0000-0000-000067680000}"/>
    <cellStyle name="Note 4 3 3 3 5 2 2 2 9" xfId="35024" xr:uid="{00000000-0005-0000-0000-000068680000}"/>
    <cellStyle name="Note 4 3 3 3 5 2 2 3" xfId="5702" xr:uid="{00000000-0005-0000-0000-000069680000}"/>
    <cellStyle name="Note 4 3 3 3 5 2 2 4" xfId="10060" xr:uid="{00000000-0005-0000-0000-00006A680000}"/>
    <cellStyle name="Note 4 3 3 3 5 2 2 5" xfId="13906" xr:uid="{00000000-0005-0000-0000-00006B680000}"/>
    <cellStyle name="Note 4 3 3 3 5 2 2 6" xfId="17735" xr:uid="{00000000-0005-0000-0000-00006C680000}"/>
    <cellStyle name="Note 4 3 3 3 5 2 2 7" xfId="21674" xr:uid="{00000000-0005-0000-0000-00006D680000}"/>
    <cellStyle name="Note 4 3 3 3 5 2 2 8" xfId="25487" xr:uid="{00000000-0005-0000-0000-00006E680000}"/>
    <cellStyle name="Note 4 3 3 3 5 2 2 9" xfId="29374" xr:uid="{00000000-0005-0000-0000-00006F680000}"/>
    <cellStyle name="Note 4 3 3 3 5 2 3" xfId="3032" xr:uid="{00000000-0005-0000-0000-000070680000}"/>
    <cellStyle name="Note 4 3 3 3 5 2 3 10" xfId="38084" xr:uid="{00000000-0005-0000-0000-000071680000}"/>
    <cellStyle name="Note 4 3 3 3 5 2 3 11" xfId="42096" xr:uid="{00000000-0005-0000-0000-000072680000}"/>
    <cellStyle name="Note 4 3 3 3 5 2 3 12" xfId="45869" xr:uid="{00000000-0005-0000-0000-000073680000}"/>
    <cellStyle name="Note 4 3 3 3 5 2 3 2" xfId="6908" xr:uid="{00000000-0005-0000-0000-000074680000}"/>
    <cellStyle name="Note 4 3 3 3 5 2 3 3" xfId="11337" xr:uid="{00000000-0005-0000-0000-000075680000}"/>
    <cellStyle name="Note 4 3 3 3 5 2 3 4" xfId="15181" xr:uid="{00000000-0005-0000-0000-000076680000}"/>
    <cellStyle name="Note 4 3 3 3 5 2 3 5" xfId="19026" xr:uid="{00000000-0005-0000-0000-000077680000}"/>
    <cellStyle name="Note 4 3 3 3 5 2 3 6" xfId="22948" xr:uid="{00000000-0005-0000-0000-000078680000}"/>
    <cellStyle name="Note 4 3 3 3 5 2 3 7" xfId="26777" xr:uid="{00000000-0005-0000-0000-000079680000}"/>
    <cellStyle name="Note 4 3 3 3 5 2 3 8" xfId="30651" xr:uid="{00000000-0005-0000-0000-00007A680000}"/>
    <cellStyle name="Note 4 3 3 3 5 2 3 9" xfId="34307" xr:uid="{00000000-0005-0000-0000-00007B680000}"/>
    <cellStyle name="Note 4 3 3 3 5 2 4" xfId="4984" xr:uid="{00000000-0005-0000-0000-00007C680000}"/>
    <cellStyle name="Note 4 3 3 3 5 2 5" xfId="9340" xr:uid="{00000000-0005-0000-0000-00007D680000}"/>
    <cellStyle name="Note 4 3 3 3 5 2 6" xfId="13180" xr:uid="{00000000-0005-0000-0000-00007E680000}"/>
    <cellStyle name="Note 4 3 3 3 5 2 7" xfId="17008" xr:uid="{00000000-0005-0000-0000-00007F680000}"/>
    <cellStyle name="Note 4 3 3 3 5 2 8" xfId="20950" xr:uid="{00000000-0005-0000-0000-000080680000}"/>
    <cellStyle name="Note 4 3 3 3 5 2 9" xfId="24764" xr:uid="{00000000-0005-0000-0000-000081680000}"/>
    <cellStyle name="Note 4 3 3 3 5 3" xfId="1416" xr:uid="{00000000-0005-0000-0000-000082680000}"/>
    <cellStyle name="Note 4 3 3 3 5 3 10" xfId="32703" xr:uid="{00000000-0005-0000-0000-000083680000}"/>
    <cellStyle name="Note 4 3 3 3 5 3 11" xfId="36473" xr:uid="{00000000-0005-0000-0000-000084680000}"/>
    <cellStyle name="Note 4 3 3 3 5 3 12" xfId="40464" xr:uid="{00000000-0005-0000-0000-000085680000}"/>
    <cellStyle name="Note 4 3 3 3 5 3 13" xfId="44295" xr:uid="{00000000-0005-0000-0000-000086680000}"/>
    <cellStyle name="Note 4 3 3 3 5 3 2" xfId="3406" xr:uid="{00000000-0005-0000-0000-000087680000}"/>
    <cellStyle name="Note 4 3 3 3 5 3 2 10" xfId="38457" xr:uid="{00000000-0005-0000-0000-000088680000}"/>
    <cellStyle name="Note 4 3 3 3 5 3 2 11" xfId="42468" xr:uid="{00000000-0005-0000-0000-000089680000}"/>
    <cellStyle name="Note 4 3 3 3 5 3 2 12" xfId="46233" xr:uid="{00000000-0005-0000-0000-00008A680000}"/>
    <cellStyle name="Note 4 3 3 3 5 3 2 2" xfId="7273" xr:uid="{00000000-0005-0000-0000-00008B680000}"/>
    <cellStyle name="Note 4 3 3 3 5 3 2 3" xfId="11708" xr:uid="{00000000-0005-0000-0000-00008C680000}"/>
    <cellStyle name="Note 4 3 3 3 5 3 2 4" xfId="15553" xr:uid="{00000000-0005-0000-0000-00008D680000}"/>
    <cellStyle name="Note 4 3 3 3 5 3 2 5" xfId="19400" xr:uid="{00000000-0005-0000-0000-00008E680000}"/>
    <cellStyle name="Note 4 3 3 3 5 3 2 6" xfId="23316" xr:uid="{00000000-0005-0000-0000-00008F680000}"/>
    <cellStyle name="Note 4 3 3 3 5 3 2 7" xfId="27150" xr:uid="{00000000-0005-0000-0000-000090680000}"/>
    <cellStyle name="Note 4 3 3 3 5 3 2 8" xfId="31018" xr:uid="{00000000-0005-0000-0000-000091680000}"/>
    <cellStyle name="Note 4 3 3 3 5 3 2 9" xfId="34671" xr:uid="{00000000-0005-0000-0000-000092680000}"/>
    <cellStyle name="Note 4 3 3 3 5 3 3" xfId="5349" xr:uid="{00000000-0005-0000-0000-000093680000}"/>
    <cellStyle name="Note 4 3 3 3 5 3 4" xfId="9707" xr:uid="{00000000-0005-0000-0000-000094680000}"/>
    <cellStyle name="Note 4 3 3 3 5 3 5" xfId="13553" xr:uid="{00000000-0005-0000-0000-000095680000}"/>
    <cellStyle name="Note 4 3 3 3 5 3 6" xfId="17382" xr:uid="{00000000-0005-0000-0000-000096680000}"/>
    <cellStyle name="Note 4 3 3 3 5 3 7" xfId="21321" xr:uid="{00000000-0005-0000-0000-000097680000}"/>
    <cellStyle name="Note 4 3 3 3 5 3 8" xfId="25134" xr:uid="{00000000-0005-0000-0000-000098680000}"/>
    <cellStyle name="Note 4 3 3 3 5 3 9" xfId="29021" xr:uid="{00000000-0005-0000-0000-000099680000}"/>
    <cellStyle name="Note 4 3 3 3 5 4" xfId="2665" xr:uid="{00000000-0005-0000-0000-00009A680000}"/>
    <cellStyle name="Note 4 3 3 3 5 4 10" xfId="37717" xr:uid="{00000000-0005-0000-0000-00009B680000}"/>
    <cellStyle name="Note 4 3 3 3 5 4 11" xfId="41731" xr:uid="{00000000-0005-0000-0000-00009C680000}"/>
    <cellStyle name="Note 4 3 3 3 5 4 12" xfId="45516" xr:uid="{00000000-0005-0000-0000-00009D680000}"/>
    <cellStyle name="Note 4 3 3 3 5 4 2" xfId="6553" xr:uid="{00000000-0005-0000-0000-00009E680000}"/>
    <cellStyle name="Note 4 3 3 3 5 4 3" xfId="10977" xr:uid="{00000000-0005-0000-0000-00009F680000}"/>
    <cellStyle name="Note 4 3 3 3 5 4 4" xfId="14821" xr:uid="{00000000-0005-0000-0000-0000A0680000}"/>
    <cellStyle name="Note 4 3 3 3 5 4 5" xfId="18659" xr:uid="{00000000-0005-0000-0000-0000A1680000}"/>
    <cellStyle name="Note 4 3 3 3 5 4 6" xfId="22590" xr:uid="{00000000-0005-0000-0000-0000A2680000}"/>
    <cellStyle name="Note 4 3 3 3 5 4 7" xfId="26410" xr:uid="{00000000-0005-0000-0000-0000A3680000}"/>
    <cellStyle name="Note 4 3 3 3 5 4 8" xfId="30289" xr:uid="{00000000-0005-0000-0000-0000A4680000}"/>
    <cellStyle name="Note 4 3 3 3 5 4 9" xfId="33954" xr:uid="{00000000-0005-0000-0000-0000A5680000}"/>
    <cellStyle name="Note 4 3 3 3 5 5" xfId="4629" xr:uid="{00000000-0005-0000-0000-0000A6680000}"/>
    <cellStyle name="Note 4 3 3 3 5 6" xfId="8971" xr:uid="{00000000-0005-0000-0000-0000A7680000}"/>
    <cellStyle name="Note 4 3 3 3 5 7" xfId="12808" xr:uid="{00000000-0005-0000-0000-0000A8680000}"/>
    <cellStyle name="Note 4 3 3 3 5 8" xfId="16638" xr:uid="{00000000-0005-0000-0000-0000A9680000}"/>
    <cellStyle name="Note 4 3 3 3 5 9" xfId="20575" xr:uid="{00000000-0005-0000-0000-0000AA680000}"/>
    <cellStyle name="Note 4 3 3 3 6" xfId="599" xr:uid="{00000000-0005-0000-0000-0000AB680000}"/>
    <cellStyle name="Note 4 3 3 3 6 10" xfId="8782" xr:uid="{00000000-0005-0000-0000-0000AC680000}"/>
    <cellStyle name="Note 4 3 3 3 6 11" xfId="18057" xr:uid="{00000000-0005-0000-0000-0000AD680000}"/>
    <cellStyle name="Note 4 3 3 3 6 12" xfId="29908" xr:uid="{00000000-0005-0000-0000-0000AE680000}"/>
    <cellStyle name="Note 4 3 3 3 6 13" xfId="8401" xr:uid="{00000000-0005-0000-0000-0000AF680000}"/>
    <cellStyle name="Note 4 3 3 3 6 14" xfId="39694" xr:uid="{00000000-0005-0000-0000-0000B0680000}"/>
    <cellStyle name="Note 4 3 3 3 6 15" xfId="39578" xr:uid="{00000000-0005-0000-0000-0000B1680000}"/>
    <cellStyle name="Note 4 3 3 3 6 2" xfId="979" xr:uid="{00000000-0005-0000-0000-0000B2680000}"/>
    <cellStyle name="Note 4 3 3 3 6 2 10" xfId="28590" xr:uid="{00000000-0005-0000-0000-0000B3680000}"/>
    <cellStyle name="Note 4 3 3 3 6 2 11" xfId="32278" xr:uid="{00000000-0005-0000-0000-0000B4680000}"/>
    <cellStyle name="Note 4 3 3 3 6 2 12" xfId="36037" xr:uid="{00000000-0005-0000-0000-0000B5680000}"/>
    <cellStyle name="Note 4 3 3 3 6 2 13" xfId="40042" xr:uid="{00000000-0005-0000-0000-0000B6680000}"/>
    <cellStyle name="Note 4 3 3 3 6 2 14" xfId="43863" xr:uid="{00000000-0005-0000-0000-0000B7680000}"/>
    <cellStyle name="Note 4 3 3 3 6 2 2" xfId="1708" xr:uid="{00000000-0005-0000-0000-0000B8680000}"/>
    <cellStyle name="Note 4 3 3 3 6 2 2 10" xfId="32995" xr:uid="{00000000-0005-0000-0000-0000B9680000}"/>
    <cellStyle name="Note 4 3 3 3 6 2 2 11" xfId="36765" xr:uid="{00000000-0005-0000-0000-0000BA680000}"/>
    <cellStyle name="Note 4 3 3 3 6 2 2 12" xfId="40756" xr:uid="{00000000-0005-0000-0000-0000BB680000}"/>
    <cellStyle name="Note 4 3 3 3 6 2 2 13" xfId="44587" xr:uid="{00000000-0005-0000-0000-0000BC680000}"/>
    <cellStyle name="Note 4 3 3 3 6 2 2 2" xfId="3698" xr:uid="{00000000-0005-0000-0000-0000BD680000}"/>
    <cellStyle name="Note 4 3 3 3 6 2 2 2 10" xfId="38749" xr:uid="{00000000-0005-0000-0000-0000BE680000}"/>
    <cellStyle name="Note 4 3 3 3 6 2 2 2 11" xfId="42760" xr:uid="{00000000-0005-0000-0000-0000BF680000}"/>
    <cellStyle name="Note 4 3 3 3 6 2 2 2 12" xfId="46525" xr:uid="{00000000-0005-0000-0000-0000C0680000}"/>
    <cellStyle name="Note 4 3 3 3 6 2 2 2 2" xfId="7565" xr:uid="{00000000-0005-0000-0000-0000C1680000}"/>
    <cellStyle name="Note 4 3 3 3 6 2 2 2 3" xfId="12000" xr:uid="{00000000-0005-0000-0000-0000C2680000}"/>
    <cellStyle name="Note 4 3 3 3 6 2 2 2 4" xfId="15845" xr:uid="{00000000-0005-0000-0000-0000C3680000}"/>
    <cellStyle name="Note 4 3 3 3 6 2 2 2 5" xfId="19692" xr:uid="{00000000-0005-0000-0000-0000C4680000}"/>
    <cellStyle name="Note 4 3 3 3 6 2 2 2 6" xfId="23608" xr:uid="{00000000-0005-0000-0000-0000C5680000}"/>
    <cellStyle name="Note 4 3 3 3 6 2 2 2 7" xfId="27442" xr:uid="{00000000-0005-0000-0000-0000C6680000}"/>
    <cellStyle name="Note 4 3 3 3 6 2 2 2 8" xfId="31306" xr:uid="{00000000-0005-0000-0000-0000C7680000}"/>
    <cellStyle name="Note 4 3 3 3 6 2 2 2 9" xfId="34963" xr:uid="{00000000-0005-0000-0000-0000C8680000}"/>
    <cellStyle name="Note 4 3 3 3 6 2 2 3" xfId="5641" xr:uid="{00000000-0005-0000-0000-0000C9680000}"/>
    <cellStyle name="Note 4 3 3 3 6 2 2 4" xfId="9999" xr:uid="{00000000-0005-0000-0000-0000CA680000}"/>
    <cellStyle name="Note 4 3 3 3 6 2 2 5" xfId="13845" xr:uid="{00000000-0005-0000-0000-0000CB680000}"/>
    <cellStyle name="Note 4 3 3 3 6 2 2 6" xfId="17674" xr:uid="{00000000-0005-0000-0000-0000CC680000}"/>
    <cellStyle name="Note 4 3 3 3 6 2 2 7" xfId="21613" xr:uid="{00000000-0005-0000-0000-0000CD680000}"/>
    <cellStyle name="Note 4 3 3 3 6 2 2 8" xfId="25426" xr:uid="{00000000-0005-0000-0000-0000CE680000}"/>
    <cellStyle name="Note 4 3 3 3 6 2 2 9" xfId="29313" xr:uid="{00000000-0005-0000-0000-0000CF680000}"/>
    <cellStyle name="Note 4 3 3 3 6 2 3" xfId="2969" xr:uid="{00000000-0005-0000-0000-0000D0680000}"/>
    <cellStyle name="Note 4 3 3 3 6 2 3 10" xfId="38021" xr:uid="{00000000-0005-0000-0000-0000D1680000}"/>
    <cellStyle name="Note 4 3 3 3 6 2 3 11" xfId="42033" xr:uid="{00000000-0005-0000-0000-0000D2680000}"/>
    <cellStyle name="Note 4 3 3 3 6 2 3 12" xfId="45808" xr:uid="{00000000-0005-0000-0000-0000D3680000}"/>
    <cellStyle name="Note 4 3 3 3 6 2 3 2" xfId="6847" xr:uid="{00000000-0005-0000-0000-0000D4680000}"/>
    <cellStyle name="Note 4 3 3 3 6 2 3 3" xfId="11275" xr:uid="{00000000-0005-0000-0000-0000D5680000}"/>
    <cellStyle name="Note 4 3 3 3 6 2 3 4" xfId="15120" xr:uid="{00000000-0005-0000-0000-0000D6680000}"/>
    <cellStyle name="Note 4 3 3 3 6 2 3 5" xfId="18963" xr:uid="{00000000-0005-0000-0000-0000D7680000}"/>
    <cellStyle name="Note 4 3 3 3 6 2 3 6" xfId="22887" xr:uid="{00000000-0005-0000-0000-0000D8680000}"/>
    <cellStyle name="Note 4 3 3 3 6 2 3 7" xfId="26714" xr:uid="{00000000-0005-0000-0000-0000D9680000}"/>
    <cellStyle name="Note 4 3 3 3 6 2 3 8" xfId="30588" xr:uid="{00000000-0005-0000-0000-0000DA680000}"/>
    <cellStyle name="Note 4 3 3 3 6 2 3 9" xfId="34246" xr:uid="{00000000-0005-0000-0000-0000DB680000}"/>
    <cellStyle name="Note 4 3 3 3 6 2 4" xfId="4923" xr:uid="{00000000-0005-0000-0000-0000DC680000}"/>
    <cellStyle name="Note 4 3 3 3 6 2 5" xfId="9278" xr:uid="{00000000-0005-0000-0000-0000DD680000}"/>
    <cellStyle name="Note 4 3 3 3 6 2 6" xfId="13119" xr:uid="{00000000-0005-0000-0000-0000DE680000}"/>
    <cellStyle name="Note 4 3 3 3 6 2 7" xfId="16945" xr:uid="{00000000-0005-0000-0000-0000DF680000}"/>
    <cellStyle name="Note 4 3 3 3 6 2 8" xfId="20887" xr:uid="{00000000-0005-0000-0000-0000E0680000}"/>
    <cellStyle name="Note 4 3 3 3 6 2 9" xfId="24702" xr:uid="{00000000-0005-0000-0000-0000E1680000}"/>
    <cellStyle name="Note 4 3 3 3 6 3" xfId="1355" xr:uid="{00000000-0005-0000-0000-0000E2680000}"/>
    <cellStyle name="Note 4 3 3 3 6 3 10" xfId="32642" xr:uid="{00000000-0005-0000-0000-0000E3680000}"/>
    <cellStyle name="Note 4 3 3 3 6 3 11" xfId="36412" xr:uid="{00000000-0005-0000-0000-0000E4680000}"/>
    <cellStyle name="Note 4 3 3 3 6 3 12" xfId="40403" xr:uid="{00000000-0005-0000-0000-0000E5680000}"/>
    <cellStyle name="Note 4 3 3 3 6 3 13" xfId="44234" xr:uid="{00000000-0005-0000-0000-0000E6680000}"/>
    <cellStyle name="Note 4 3 3 3 6 3 2" xfId="3345" xr:uid="{00000000-0005-0000-0000-0000E7680000}"/>
    <cellStyle name="Note 4 3 3 3 6 3 2 10" xfId="38396" xr:uid="{00000000-0005-0000-0000-0000E8680000}"/>
    <cellStyle name="Note 4 3 3 3 6 3 2 11" xfId="42407" xr:uid="{00000000-0005-0000-0000-0000E9680000}"/>
    <cellStyle name="Note 4 3 3 3 6 3 2 12" xfId="46172" xr:uid="{00000000-0005-0000-0000-0000EA680000}"/>
    <cellStyle name="Note 4 3 3 3 6 3 2 2" xfId="7212" xr:uid="{00000000-0005-0000-0000-0000EB680000}"/>
    <cellStyle name="Note 4 3 3 3 6 3 2 3" xfId="11647" xr:uid="{00000000-0005-0000-0000-0000EC680000}"/>
    <cellStyle name="Note 4 3 3 3 6 3 2 4" xfId="15492" xr:uid="{00000000-0005-0000-0000-0000ED680000}"/>
    <cellStyle name="Note 4 3 3 3 6 3 2 5" xfId="19339" xr:uid="{00000000-0005-0000-0000-0000EE680000}"/>
    <cellStyle name="Note 4 3 3 3 6 3 2 6" xfId="23255" xr:uid="{00000000-0005-0000-0000-0000EF680000}"/>
    <cellStyle name="Note 4 3 3 3 6 3 2 7" xfId="27089" xr:uid="{00000000-0005-0000-0000-0000F0680000}"/>
    <cellStyle name="Note 4 3 3 3 6 3 2 8" xfId="30957" xr:uid="{00000000-0005-0000-0000-0000F1680000}"/>
    <cellStyle name="Note 4 3 3 3 6 3 2 9" xfId="34610" xr:uid="{00000000-0005-0000-0000-0000F2680000}"/>
    <cellStyle name="Note 4 3 3 3 6 3 3" xfId="5288" xr:uid="{00000000-0005-0000-0000-0000F3680000}"/>
    <cellStyle name="Note 4 3 3 3 6 3 4" xfId="9646" xr:uid="{00000000-0005-0000-0000-0000F4680000}"/>
    <cellStyle name="Note 4 3 3 3 6 3 5" xfId="13492" xr:uid="{00000000-0005-0000-0000-0000F5680000}"/>
    <cellStyle name="Note 4 3 3 3 6 3 6" xfId="17321" xr:uid="{00000000-0005-0000-0000-0000F6680000}"/>
    <cellStyle name="Note 4 3 3 3 6 3 7" xfId="21260" xr:uid="{00000000-0005-0000-0000-0000F7680000}"/>
    <cellStyle name="Note 4 3 3 3 6 3 8" xfId="25073" xr:uid="{00000000-0005-0000-0000-0000F8680000}"/>
    <cellStyle name="Note 4 3 3 3 6 3 9" xfId="28960" xr:uid="{00000000-0005-0000-0000-0000F9680000}"/>
    <cellStyle name="Note 4 3 3 3 6 4" xfId="2602" xr:uid="{00000000-0005-0000-0000-0000FA680000}"/>
    <cellStyle name="Note 4 3 3 3 6 4 10" xfId="37654" xr:uid="{00000000-0005-0000-0000-0000FB680000}"/>
    <cellStyle name="Note 4 3 3 3 6 4 11" xfId="41668" xr:uid="{00000000-0005-0000-0000-0000FC680000}"/>
    <cellStyle name="Note 4 3 3 3 6 4 12" xfId="45455" xr:uid="{00000000-0005-0000-0000-0000FD680000}"/>
    <cellStyle name="Note 4 3 3 3 6 4 2" xfId="6492" xr:uid="{00000000-0005-0000-0000-0000FE680000}"/>
    <cellStyle name="Note 4 3 3 3 6 4 3" xfId="10916" xr:uid="{00000000-0005-0000-0000-0000FF680000}"/>
    <cellStyle name="Note 4 3 3 3 6 4 4" xfId="14760" xr:uid="{00000000-0005-0000-0000-000000690000}"/>
    <cellStyle name="Note 4 3 3 3 6 4 5" xfId="18596" xr:uid="{00000000-0005-0000-0000-000001690000}"/>
    <cellStyle name="Note 4 3 3 3 6 4 6" xfId="22529" xr:uid="{00000000-0005-0000-0000-000002690000}"/>
    <cellStyle name="Note 4 3 3 3 6 4 7" xfId="26347" xr:uid="{00000000-0005-0000-0000-000003690000}"/>
    <cellStyle name="Note 4 3 3 3 6 4 8" xfId="30226" xr:uid="{00000000-0005-0000-0000-000004690000}"/>
    <cellStyle name="Note 4 3 3 3 6 4 9" xfId="33893" xr:uid="{00000000-0005-0000-0000-000005690000}"/>
    <cellStyle name="Note 4 3 3 3 6 5" xfId="4568" xr:uid="{00000000-0005-0000-0000-000006690000}"/>
    <cellStyle name="Note 4 3 3 3 6 6" xfId="8908" xr:uid="{00000000-0005-0000-0000-000007690000}"/>
    <cellStyle name="Note 4 3 3 3 6 7" xfId="8685" xr:uid="{00000000-0005-0000-0000-000008690000}"/>
    <cellStyle name="Note 4 3 3 3 6 8" xfId="8823" xr:uid="{00000000-0005-0000-0000-000009690000}"/>
    <cellStyle name="Note 4 3 3 3 6 9" xfId="20512" xr:uid="{00000000-0005-0000-0000-00000A690000}"/>
    <cellStyle name="Note 4 3 3 3 7" xfId="763" xr:uid="{00000000-0005-0000-0000-00000B690000}"/>
    <cellStyle name="Note 4 3 3 3 7 10" xfId="24492" xr:uid="{00000000-0005-0000-0000-00000C690000}"/>
    <cellStyle name="Note 4 3 3 3 7 11" xfId="28382" xr:uid="{00000000-0005-0000-0000-00000D690000}"/>
    <cellStyle name="Note 4 3 3 3 7 12" xfId="26887" xr:uid="{00000000-0005-0000-0000-00000E690000}"/>
    <cellStyle name="Note 4 3 3 3 7 13" xfId="35827" xr:uid="{00000000-0005-0000-0000-00000F690000}"/>
    <cellStyle name="Note 4 3 3 3 7 14" xfId="39846" xr:uid="{00000000-0005-0000-0000-000010690000}"/>
    <cellStyle name="Note 4 3 3 3 7 15" xfId="43653" xr:uid="{00000000-0005-0000-0000-000011690000}"/>
    <cellStyle name="Note 4 3 3 3 7 2" xfId="1133" xr:uid="{00000000-0005-0000-0000-000012690000}"/>
    <cellStyle name="Note 4 3 3 3 7 2 10" xfId="28742" xr:uid="{00000000-0005-0000-0000-000013690000}"/>
    <cellStyle name="Note 4 3 3 3 7 2 11" xfId="32430" xr:uid="{00000000-0005-0000-0000-000014690000}"/>
    <cellStyle name="Note 4 3 3 3 7 2 12" xfId="36191" xr:uid="{00000000-0005-0000-0000-000015690000}"/>
    <cellStyle name="Note 4 3 3 3 7 2 13" xfId="40192" xr:uid="{00000000-0005-0000-0000-000016690000}"/>
    <cellStyle name="Note 4 3 3 3 7 2 14" xfId="44017" xr:uid="{00000000-0005-0000-0000-000017690000}"/>
    <cellStyle name="Note 4 3 3 3 7 2 2" xfId="1860" xr:uid="{00000000-0005-0000-0000-000018690000}"/>
    <cellStyle name="Note 4 3 3 3 7 2 2 10" xfId="33147" xr:uid="{00000000-0005-0000-0000-000019690000}"/>
    <cellStyle name="Note 4 3 3 3 7 2 2 11" xfId="36917" xr:uid="{00000000-0005-0000-0000-00001A690000}"/>
    <cellStyle name="Note 4 3 3 3 7 2 2 12" xfId="40908" xr:uid="{00000000-0005-0000-0000-00001B690000}"/>
    <cellStyle name="Note 4 3 3 3 7 2 2 13" xfId="44739" xr:uid="{00000000-0005-0000-0000-00001C690000}"/>
    <cellStyle name="Note 4 3 3 3 7 2 2 2" xfId="3850" xr:uid="{00000000-0005-0000-0000-00001D690000}"/>
    <cellStyle name="Note 4 3 3 3 7 2 2 2 10" xfId="38901" xr:uid="{00000000-0005-0000-0000-00001E690000}"/>
    <cellStyle name="Note 4 3 3 3 7 2 2 2 11" xfId="42912" xr:uid="{00000000-0005-0000-0000-00001F690000}"/>
    <cellStyle name="Note 4 3 3 3 7 2 2 2 12" xfId="46677" xr:uid="{00000000-0005-0000-0000-000020690000}"/>
    <cellStyle name="Note 4 3 3 3 7 2 2 2 2" xfId="7717" xr:uid="{00000000-0005-0000-0000-000021690000}"/>
    <cellStyle name="Note 4 3 3 3 7 2 2 2 3" xfId="12152" xr:uid="{00000000-0005-0000-0000-000022690000}"/>
    <cellStyle name="Note 4 3 3 3 7 2 2 2 4" xfId="15997" xr:uid="{00000000-0005-0000-0000-000023690000}"/>
    <cellStyle name="Note 4 3 3 3 7 2 2 2 5" xfId="19844" xr:uid="{00000000-0005-0000-0000-000024690000}"/>
    <cellStyle name="Note 4 3 3 3 7 2 2 2 6" xfId="23760" xr:uid="{00000000-0005-0000-0000-000025690000}"/>
    <cellStyle name="Note 4 3 3 3 7 2 2 2 7" xfId="27594" xr:uid="{00000000-0005-0000-0000-000026690000}"/>
    <cellStyle name="Note 4 3 3 3 7 2 2 2 8" xfId="31457" xr:uid="{00000000-0005-0000-0000-000027690000}"/>
    <cellStyle name="Note 4 3 3 3 7 2 2 2 9" xfId="35115" xr:uid="{00000000-0005-0000-0000-000028690000}"/>
    <cellStyle name="Note 4 3 3 3 7 2 2 3" xfId="5793" xr:uid="{00000000-0005-0000-0000-000029690000}"/>
    <cellStyle name="Note 4 3 3 3 7 2 2 4" xfId="10151" xr:uid="{00000000-0005-0000-0000-00002A690000}"/>
    <cellStyle name="Note 4 3 3 3 7 2 2 5" xfId="13997" xr:uid="{00000000-0005-0000-0000-00002B690000}"/>
    <cellStyle name="Note 4 3 3 3 7 2 2 6" xfId="17826" xr:uid="{00000000-0005-0000-0000-00002C690000}"/>
    <cellStyle name="Note 4 3 3 3 7 2 2 7" xfId="21765" xr:uid="{00000000-0005-0000-0000-00002D690000}"/>
    <cellStyle name="Note 4 3 3 3 7 2 2 8" xfId="25578" xr:uid="{00000000-0005-0000-0000-00002E690000}"/>
    <cellStyle name="Note 4 3 3 3 7 2 2 9" xfId="29465" xr:uid="{00000000-0005-0000-0000-00002F690000}"/>
    <cellStyle name="Note 4 3 3 3 7 2 3" xfId="3123" xr:uid="{00000000-0005-0000-0000-000030690000}"/>
    <cellStyle name="Note 4 3 3 3 7 2 3 10" xfId="38175" xr:uid="{00000000-0005-0000-0000-000031690000}"/>
    <cellStyle name="Note 4 3 3 3 7 2 3 11" xfId="42187" xr:uid="{00000000-0005-0000-0000-000032690000}"/>
    <cellStyle name="Note 4 3 3 3 7 2 3 12" xfId="45960" xr:uid="{00000000-0005-0000-0000-000033690000}"/>
    <cellStyle name="Note 4 3 3 3 7 2 3 2" xfId="6999" xr:uid="{00000000-0005-0000-0000-000034690000}"/>
    <cellStyle name="Note 4 3 3 3 7 2 3 3" xfId="11428" xr:uid="{00000000-0005-0000-0000-000035690000}"/>
    <cellStyle name="Note 4 3 3 3 7 2 3 4" xfId="15272" xr:uid="{00000000-0005-0000-0000-000036690000}"/>
    <cellStyle name="Note 4 3 3 3 7 2 3 5" xfId="19117" xr:uid="{00000000-0005-0000-0000-000037690000}"/>
    <cellStyle name="Note 4 3 3 3 7 2 3 6" xfId="23039" xr:uid="{00000000-0005-0000-0000-000038690000}"/>
    <cellStyle name="Note 4 3 3 3 7 2 3 7" xfId="26868" xr:uid="{00000000-0005-0000-0000-000039690000}"/>
    <cellStyle name="Note 4 3 3 3 7 2 3 8" xfId="30740" xr:uid="{00000000-0005-0000-0000-00003A690000}"/>
    <cellStyle name="Note 4 3 3 3 7 2 3 9" xfId="34398" xr:uid="{00000000-0005-0000-0000-00003B690000}"/>
    <cellStyle name="Note 4 3 3 3 7 2 4" xfId="5075" xr:uid="{00000000-0005-0000-0000-00003C690000}"/>
    <cellStyle name="Note 4 3 3 3 7 2 5" xfId="9431" xr:uid="{00000000-0005-0000-0000-00003D690000}"/>
    <cellStyle name="Note 4 3 3 3 7 2 6" xfId="13271" xr:uid="{00000000-0005-0000-0000-00003E690000}"/>
    <cellStyle name="Note 4 3 3 3 7 2 7" xfId="17099" xr:uid="{00000000-0005-0000-0000-00003F690000}"/>
    <cellStyle name="Note 4 3 3 3 7 2 8" xfId="21041" xr:uid="{00000000-0005-0000-0000-000040690000}"/>
    <cellStyle name="Note 4 3 3 3 7 2 9" xfId="24855" xr:uid="{00000000-0005-0000-0000-000041690000}"/>
    <cellStyle name="Note 4 3 3 3 7 3" xfId="1507" xr:uid="{00000000-0005-0000-0000-000042690000}"/>
    <cellStyle name="Note 4 3 3 3 7 3 10" xfId="32794" xr:uid="{00000000-0005-0000-0000-000043690000}"/>
    <cellStyle name="Note 4 3 3 3 7 3 11" xfId="36564" xr:uid="{00000000-0005-0000-0000-000044690000}"/>
    <cellStyle name="Note 4 3 3 3 7 3 12" xfId="40555" xr:uid="{00000000-0005-0000-0000-000045690000}"/>
    <cellStyle name="Note 4 3 3 3 7 3 13" xfId="44386" xr:uid="{00000000-0005-0000-0000-000046690000}"/>
    <cellStyle name="Note 4 3 3 3 7 3 2" xfId="3497" xr:uid="{00000000-0005-0000-0000-000047690000}"/>
    <cellStyle name="Note 4 3 3 3 7 3 2 10" xfId="38548" xr:uid="{00000000-0005-0000-0000-000048690000}"/>
    <cellStyle name="Note 4 3 3 3 7 3 2 11" xfId="42559" xr:uid="{00000000-0005-0000-0000-000049690000}"/>
    <cellStyle name="Note 4 3 3 3 7 3 2 12" xfId="46324" xr:uid="{00000000-0005-0000-0000-00004A690000}"/>
    <cellStyle name="Note 4 3 3 3 7 3 2 2" xfId="7364" xr:uid="{00000000-0005-0000-0000-00004B690000}"/>
    <cellStyle name="Note 4 3 3 3 7 3 2 3" xfId="11799" xr:uid="{00000000-0005-0000-0000-00004C690000}"/>
    <cellStyle name="Note 4 3 3 3 7 3 2 4" xfId="15644" xr:uid="{00000000-0005-0000-0000-00004D690000}"/>
    <cellStyle name="Note 4 3 3 3 7 3 2 5" xfId="19491" xr:uid="{00000000-0005-0000-0000-00004E690000}"/>
    <cellStyle name="Note 4 3 3 3 7 3 2 6" xfId="23407" xr:uid="{00000000-0005-0000-0000-00004F690000}"/>
    <cellStyle name="Note 4 3 3 3 7 3 2 7" xfId="27241" xr:uid="{00000000-0005-0000-0000-000050690000}"/>
    <cellStyle name="Note 4 3 3 3 7 3 2 8" xfId="31108" xr:uid="{00000000-0005-0000-0000-000051690000}"/>
    <cellStyle name="Note 4 3 3 3 7 3 2 9" xfId="34762" xr:uid="{00000000-0005-0000-0000-000052690000}"/>
    <cellStyle name="Note 4 3 3 3 7 3 3" xfId="5440" xr:uid="{00000000-0005-0000-0000-000053690000}"/>
    <cellStyle name="Note 4 3 3 3 7 3 4" xfId="9798" xr:uid="{00000000-0005-0000-0000-000054690000}"/>
    <cellStyle name="Note 4 3 3 3 7 3 5" xfId="13644" xr:uid="{00000000-0005-0000-0000-000055690000}"/>
    <cellStyle name="Note 4 3 3 3 7 3 6" xfId="17473" xr:uid="{00000000-0005-0000-0000-000056690000}"/>
    <cellStyle name="Note 4 3 3 3 7 3 7" xfId="21412" xr:uid="{00000000-0005-0000-0000-000057690000}"/>
    <cellStyle name="Note 4 3 3 3 7 3 8" xfId="25225" xr:uid="{00000000-0005-0000-0000-000058690000}"/>
    <cellStyle name="Note 4 3 3 3 7 3 9" xfId="29112" xr:uid="{00000000-0005-0000-0000-000059690000}"/>
    <cellStyle name="Note 4 3 3 3 7 4" xfId="2759" xr:uid="{00000000-0005-0000-0000-00005A690000}"/>
    <cellStyle name="Note 4 3 3 3 7 4 10" xfId="37811" xr:uid="{00000000-0005-0000-0000-00005B690000}"/>
    <cellStyle name="Note 4 3 3 3 7 4 11" xfId="41824" xr:uid="{00000000-0005-0000-0000-00005C690000}"/>
    <cellStyle name="Note 4 3 3 3 7 4 12" xfId="45607" xr:uid="{00000000-0005-0000-0000-00005D690000}"/>
    <cellStyle name="Note 4 3 3 3 7 4 2" xfId="6645" xr:uid="{00000000-0005-0000-0000-00005E690000}"/>
    <cellStyle name="Note 4 3 3 3 7 4 3" xfId="11069" xr:uid="{00000000-0005-0000-0000-00005F690000}"/>
    <cellStyle name="Note 4 3 3 3 7 4 4" xfId="14914" xr:uid="{00000000-0005-0000-0000-000060690000}"/>
    <cellStyle name="Note 4 3 3 3 7 4 5" xfId="18753" xr:uid="{00000000-0005-0000-0000-000061690000}"/>
    <cellStyle name="Note 4 3 3 3 7 4 6" xfId="22683" xr:uid="{00000000-0005-0000-0000-000062690000}"/>
    <cellStyle name="Note 4 3 3 3 7 4 7" xfId="26504" xr:uid="{00000000-0005-0000-0000-000063690000}"/>
    <cellStyle name="Note 4 3 3 3 7 4 8" xfId="30382" xr:uid="{00000000-0005-0000-0000-000064690000}"/>
    <cellStyle name="Note 4 3 3 3 7 4 9" xfId="34045" xr:uid="{00000000-0005-0000-0000-000065690000}"/>
    <cellStyle name="Note 4 3 3 3 7 5" xfId="4721" xr:uid="{00000000-0005-0000-0000-000066690000}"/>
    <cellStyle name="Note 4 3 3 3 7 6" xfId="9068" xr:uid="{00000000-0005-0000-0000-000067690000}"/>
    <cellStyle name="Note 4 3 3 3 7 7" xfId="12907" xr:uid="{00000000-0005-0000-0000-000068690000}"/>
    <cellStyle name="Note 4 3 3 3 7 8" xfId="16733" xr:uid="{00000000-0005-0000-0000-000069690000}"/>
    <cellStyle name="Note 4 3 3 3 7 9" xfId="20672" xr:uid="{00000000-0005-0000-0000-00006A690000}"/>
    <cellStyle name="Note 4 3 3 3 8" xfId="858" xr:uid="{00000000-0005-0000-0000-00006B690000}"/>
    <cellStyle name="Note 4 3 3 3 8 10" xfId="24582" xr:uid="{00000000-0005-0000-0000-00006C690000}"/>
    <cellStyle name="Note 4 3 3 3 8 11" xfId="28473" xr:uid="{00000000-0005-0000-0000-00006D690000}"/>
    <cellStyle name="Note 4 3 3 3 8 12" xfId="32159" xr:uid="{00000000-0005-0000-0000-00006E690000}"/>
    <cellStyle name="Note 4 3 3 3 8 13" xfId="35916" xr:uid="{00000000-0005-0000-0000-00006F690000}"/>
    <cellStyle name="Note 4 3 3 3 8 14" xfId="39927" xr:uid="{00000000-0005-0000-0000-000070690000}"/>
    <cellStyle name="Note 4 3 3 3 8 15" xfId="43742" xr:uid="{00000000-0005-0000-0000-000071690000}"/>
    <cellStyle name="Note 4 3 3 3 8 2" xfId="1197" xr:uid="{00000000-0005-0000-0000-000072690000}"/>
    <cellStyle name="Note 4 3 3 3 8 2 10" xfId="28806" xr:uid="{00000000-0005-0000-0000-000073690000}"/>
    <cellStyle name="Note 4 3 3 3 8 2 11" xfId="32489" xr:uid="{00000000-0005-0000-0000-000074690000}"/>
    <cellStyle name="Note 4 3 3 3 8 2 12" xfId="36255" xr:uid="{00000000-0005-0000-0000-000075690000}"/>
    <cellStyle name="Note 4 3 3 3 8 2 13" xfId="40249" xr:uid="{00000000-0005-0000-0000-000076690000}"/>
    <cellStyle name="Note 4 3 3 3 8 2 14" xfId="44081" xr:uid="{00000000-0005-0000-0000-000077690000}"/>
    <cellStyle name="Note 4 3 3 3 8 2 2" xfId="1919" xr:uid="{00000000-0005-0000-0000-000078690000}"/>
    <cellStyle name="Note 4 3 3 3 8 2 2 10" xfId="33206" xr:uid="{00000000-0005-0000-0000-000079690000}"/>
    <cellStyle name="Note 4 3 3 3 8 2 2 11" xfId="36976" xr:uid="{00000000-0005-0000-0000-00007A690000}"/>
    <cellStyle name="Note 4 3 3 3 8 2 2 12" xfId="40967" xr:uid="{00000000-0005-0000-0000-00007B690000}"/>
    <cellStyle name="Note 4 3 3 3 8 2 2 13" xfId="44798" xr:uid="{00000000-0005-0000-0000-00007C690000}"/>
    <cellStyle name="Note 4 3 3 3 8 2 2 2" xfId="3909" xr:uid="{00000000-0005-0000-0000-00007D690000}"/>
    <cellStyle name="Note 4 3 3 3 8 2 2 2 10" xfId="38960" xr:uid="{00000000-0005-0000-0000-00007E690000}"/>
    <cellStyle name="Note 4 3 3 3 8 2 2 2 11" xfId="42971" xr:uid="{00000000-0005-0000-0000-00007F690000}"/>
    <cellStyle name="Note 4 3 3 3 8 2 2 2 12" xfId="46736" xr:uid="{00000000-0005-0000-0000-000080690000}"/>
    <cellStyle name="Note 4 3 3 3 8 2 2 2 2" xfId="7776" xr:uid="{00000000-0005-0000-0000-000081690000}"/>
    <cellStyle name="Note 4 3 3 3 8 2 2 2 3" xfId="12211" xr:uid="{00000000-0005-0000-0000-000082690000}"/>
    <cellStyle name="Note 4 3 3 3 8 2 2 2 4" xfId="16056" xr:uid="{00000000-0005-0000-0000-000083690000}"/>
    <cellStyle name="Note 4 3 3 3 8 2 2 2 5" xfId="19903" xr:uid="{00000000-0005-0000-0000-000084690000}"/>
    <cellStyle name="Note 4 3 3 3 8 2 2 2 6" xfId="23819" xr:uid="{00000000-0005-0000-0000-000085690000}"/>
    <cellStyle name="Note 4 3 3 3 8 2 2 2 7" xfId="27653" xr:uid="{00000000-0005-0000-0000-000086690000}"/>
    <cellStyle name="Note 4 3 3 3 8 2 2 2 8" xfId="31515" xr:uid="{00000000-0005-0000-0000-000087690000}"/>
    <cellStyle name="Note 4 3 3 3 8 2 2 2 9" xfId="35174" xr:uid="{00000000-0005-0000-0000-000088690000}"/>
    <cellStyle name="Note 4 3 3 3 8 2 2 3" xfId="5852" xr:uid="{00000000-0005-0000-0000-000089690000}"/>
    <cellStyle name="Note 4 3 3 3 8 2 2 4" xfId="10210" xr:uid="{00000000-0005-0000-0000-00008A690000}"/>
    <cellStyle name="Note 4 3 3 3 8 2 2 5" xfId="14056" xr:uid="{00000000-0005-0000-0000-00008B690000}"/>
    <cellStyle name="Note 4 3 3 3 8 2 2 6" xfId="17885" xr:uid="{00000000-0005-0000-0000-00008C690000}"/>
    <cellStyle name="Note 4 3 3 3 8 2 2 7" xfId="21824" xr:uid="{00000000-0005-0000-0000-00008D690000}"/>
    <cellStyle name="Note 4 3 3 3 8 2 2 8" xfId="25637" xr:uid="{00000000-0005-0000-0000-00008E690000}"/>
    <cellStyle name="Note 4 3 3 3 8 2 2 9" xfId="29524" xr:uid="{00000000-0005-0000-0000-00008F690000}"/>
    <cellStyle name="Note 4 3 3 3 8 2 3" xfId="3187" xr:uid="{00000000-0005-0000-0000-000090690000}"/>
    <cellStyle name="Note 4 3 3 3 8 2 3 10" xfId="38239" xr:uid="{00000000-0005-0000-0000-000091690000}"/>
    <cellStyle name="Note 4 3 3 3 8 2 3 11" xfId="42250" xr:uid="{00000000-0005-0000-0000-000092690000}"/>
    <cellStyle name="Note 4 3 3 3 8 2 3 12" xfId="46019" xr:uid="{00000000-0005-0000-0000-000093690000}"/>
    <cellStyle name="Note 4 3 3 3 8 2 3 2" xfId="7059" xr:uid="{00000000-0005-0000-0000-000094690000}"/>
    <cellStyle name="Note 4 3 3 3 8 2 3 3" xfId="11491" xr:uid="{00000000-0005-0000-0000-000095690000}"/>
    <cellStyle name="Note 4 3 3 3 8 2 3 4" xfId="15335" xr:uid="{00000000-0005-0000-0000-000096690000}"/>
    <cellStyle name="Note 4 3 3 3 8 2 3 5" xfId="19181" xr:uid="{00000000-0005-0000-0000-000097690000}"/>
    <cellStyle name="Note 4 3 3 3 8 2 3 6" xfId="23100" xr:uid="{00000000-0005-0000-0000-000098690000}"/>
    <cellStyle name="Note 4 3 3 3 8 2 3 7" xfId="26932" xr:uid="{00000000-0005-0000-0000-000099690000}"/>
    <cellStyle name="Note 4 3 3 3 8 2 3 8" xfId="30803" xr:uid="{00000000-0005-0000-0000-00009A690000}"/>
    <cellStyle name="Note 4 3 3 3 8 2 3 9" xfId="34457" xr:uid="{00000000-0005-0000-0000-00009B690000}"/>
    <cellStyle name="Note 4 3 3 3 8 2 4" xfId="5135" xr:uid="{00000000-0005-0000-0000-00009C690000}"/>
    <cellStyle name="Note 4 3 3 3 8 2 5" xfId="9491" xr:uid="{00000000-0005-0000-0000-00009D690000}"/>
    <cellStyle name="Note 4 3 3 3 8 2 6" xfId="13335" xr:uid="{00000000-0005-0000-0000-00009E690000}"/>
    <cellStyle name="Note 4 3 3 3 8 2 7" xfId="17163" xr:uid="{00000000-0005-0000-0000-00009F690000}"/>
    <cellStyle name="Note 4 3 3 3 8 2 8" xfId="21105" xr:uid="{00000000-0005-0000-0000-0000A0690000}"/>
    <cellStyle name="Note 4 3 3 3 8 2 9" xfId="24916" xr:uid="{00000000-0005-0000-0000-0000A1690000}"/>
    <cellStyle name="Note 4 3 3 3 8 3" xfId="1589" xr:uid="{00000000-0005-0000-0000-0000A2690000}"/>
    <cellStyle name="Note 4 3 3 3 8 3 10" xfId="32876" xr:uid="{00000000-0005-0000-0000-0000A3690000}"/>
    <cellStyle name="Note 4 3 3 3 8 3 11" xfId="36646" xr:uid="{00000000-0005-0000-0000-0000A4690000}"/>
    <cellStyle name="Note 4 3 3 3 8 3 12" xfId="40637" xr:uid="{00000000-0005-0000-0000-0000A5690000}"/>
    <cellStyle name="Note 4 3 3 3 8 3 13" xfId="44468" xr:uid="{00000000-0005-0000-0000-0000A6690000}"/>
    <cellStyle name="Note 4 3 3 3 8 3 2" xfId="3579" xr:uid="{00000000-0005-0000-0000-0000A7690000}"/>
    <cellStyle name="Note 4 3 3 3 8 3 2 10" xfId="38630" xr:uid="{00000000-0005-0000-0000-0000A8690000}"/>
    <cellStyle name="Note 4 3 3 3 8 3 2 11" xfId="42641" xr:uid="{00000000-0005-0000-0000-0000A9690000}"/>
    <cellStyle name="Note 4 3 3 3 8 3 2 12" xfId="46406" xr:uid="{00000000-0005-0000-0000-0000AA690000}"/>
    <cellStyle name="Note 4 3 3 3 8 3 2 2" xfId="7446" xr:uid="{00000000-0005-0000-0000-0000AB690000}"/>
    <cellStyle name="Note 4 3 3 3 8 3 2 3" xfId="11881" xr:uid="{00000000-0005-0000-0000-0000AC690000}"/>
    <cellStyle name="Note 4 3 3 3 8 3 2 4" xfId="15726" xr:uid="{00000000-0005-0000-0000-0000AD690000}"/>
    <cellStyle name="Note 4 3 3 3 8 3 2 5" xfId="19573" xr:uid="{00000000-0005-0000-0000-0000AE690000}"/>
    <cellStyle name="Note 4 3 3 3 8 3 2 6" xfId="23489" xr:uid="{00000000-0005-0000-0000-0000AF690000}"/>
    <cellStyle name="Note 4 3 3 3 8 3 2 7" xfId="27323" xr:uid="{00000000-0005-0000-0000-0000B0690000}"/>
    <cellStyle name="Note 4 3 3 3 8 3 2 8" xfId="31189" xr:uid="{00000000-0005-0000-0000-0000B1690000}"/>
    <cellStyle name="Note 4 3 3 3 8 3 2 9" xfId="34844" xr:uid="{00000000-0005-0000-0000-0000B2690000}"/>
    <cellStyle name="Note 4 3 3 3 8 3 3" xfId="5522" xr:uid="{00000000-0005-0000-0000-0000B3690000}"/>
    <cellStyle name="Note 4 3 3 3 8 3 4" xfId="9880" xr:uid="{00000000-0005-0000-0000-0000B4690000}"/>
    <cellStyle name="Note 4 3 3 3 8 3 5" xfId="13726" xr:uid="{00000000-0005-0000-0000-0000B5690000}"/>
    <cellStyle name="Note 4 3 3 3 8 3 6" xfId="17555" xr:uid="{00000000-0005-0000-0000-0000B6690000}"/>
    <cellStyle name="Note 4 3 3 3 8 3 7" xfId="21494" xr:uid="{00000000-0005-0000-0000-0000B7690000}"/>
    <cellStyle name="Note 4 3 3 3 8 3 8" xfId="25307" xr:uid="{00000000-0005-0000-0000-0000B8690000}"/>
    <cellStyle name="Note 4 3 3 3 8 3 9" xfId="29194" xr:uid="{00000000-0005-0000-0000-0000B9690000}"/>
    <cellStyle name="Note 4 3 3 3 8 4" xfId="2848" xr:uid="{00000000-0005-0000-0000-0000BA690000}"/>
    <cellStyle name="Note 4 3 3 3 8 4 10" xfId="37900" xr:uid="{00000000-0005-0000-0000-0000BB690000}"/>
    <cellStyle name="Note 4 3 3 3 8 4 11" xfId="41912" xr:uid="{00000000-0005-0000-0000-0000BC690000}"/>
    <cellStyle name="Note 4 3 3 3 8 4 12" xfId="45689" xr:uid="{00000000-0005-0000-0000-0000BD690000}"/>
    <cellStyle name="Note 4 3 3 3 8 4 2" xfId="6728" xr:uid="{00000000-0005-0000-0000-0000BE690000}"/>
    <cellStyle name="Note 4 3 3 3 8 4 3" xfId="11155" xr:uid="{00000000-0005-0000-0000-0000BF690000}"/>
    <cellStyle name="Note 4 3 3 3 8 4 4" xfId="15000" xr:uid="{00000000-0005-0000-0000-0000C0690000}"/>
    <cellStyle name="Note 4 3 3 3 8 4 5" xfId="18842" xr:uid="{00000000-0005-0000-0000-0000C1690000}"/>
    <cellStyle name="Note 4 3 3 3 8 4 6" xfId="22768" xr:uid="{00000000-0005-0000-0000-0000C2690000}"/>
    <cellStyle name="Note 4 3 3 3 8 4 7" xfId="26593" xr:uid="{00000000-0005-0000-0000-0000C3690000}"/>
    <cellStyle name="Note 4 3 3 3 8 4 8" xfId="30470" xr:uid="{00000000-0005-0000-0000-0000C4690000}"/>
    <cellStyle name="Note 4 3 3 3 8 4 9" xfId="34127" xr:uid="{00000000-0005-0000-0000-0000C5690000}"/>
    <cellStyle name="Note 4 3 3 3 8 5" xfId="4804" xr:uid="{00000000-0005-0000-0000-0000C6690000}"/>
    <cellStyle name="Note 4 3 3 3 8 6" xfId="9158" xr:uid="{00000000-0005-0000-0000-0000C7690000}"/>
    <cellStyle name="Note 4 3 3 3 8 7" xfId="12999" xr:uid="{00000000-0005-0000-0000-0000C8690000}"/>
    <cellStyle name="Note 4 3 3 3 8 8" xfId="16824" xr:uid="{00000000-0005-0000-0000-0000C9690000}"/>
    <cellStyle name="Note 4 3 3 3 8 9" xfId="20766" xr:uid="{00000000-0005-0000-0000-0000CA690000}"/>
    <cellStyle name="Note 4 3 3 3 9" xfId="827" xr:uid="{00000000-0005-0000-0000-0000CB690000}"/>
    <cellStyle name="Note 4 3 3 3 9 10" xfId="28442" xr:uid="{00000000-0005-0000-0000-0000CC690000}"/>
    <cellStyle name="Note 4 3 3 3 9 11" xfId="32128" xr:uid="{00000000-0005-0000-0000-0000CD690000}"/>
    <cellStyle name="Note 4 3 3 3 9 12" xfId="35885" xr:uid="{00000000-0005-0000-0000-0000CE690000}"/>
    <cellStyle name="Note 4 3 3 3 9 13" xfId="39896" xr:uid="{00000000-0005-0000-0000-0000CF690000}"/>
    <cellStyle name="Note 4 3 3 3 9 14" xfId="43711" xr:uid="{00000000-0005-0000-0000-0000D0690000}"/>
    <cellStyle name="Note 4 3 3 3 9 2" xfId="1558" xr:uid="{00000000-0005-0000-0000-0000D1690000}"/>
    <cellStyle name="Note 4 3 3 3 9 2 10" xfId="32845" xr:uid="{00000000-0005-0000-0000-0000D2690000}"/>
    <cellStyle name="Note 4 3 3 3 9 2 11" xfId="36615" xr:uid="{00000000-0005-0000-0000-0000D3690000}"/>
    <cellStyle name="Note 4 3 3 3 9 2 12" xfId="40606" xr:uid="{00000000-0005-0000-0000-0000D4690000}"/>
    <cellStyle name="Note 4 3 3 3 9 2 13" xfId="44437" xr:uid="{00000000-0005-0000-0000-0000D5690000}"/>
    <cellStyle name="Note 4 3 3 3 9 2 2" xfId="3548" xr:uid="{00000000-0005-0000-0000-0000D6690000}"/>
    <cellStyle name="Note 4 3 3 3 9 2 2 10" xfId="38599" xr:uid="{00000000-0005-0000-0000-0000D7690000}"/>
    <cellStyle name="Note 4 3 3 3 9 2 2 11" xfId="42610" xr:uid="{00000000-0005-0000-0000-0000D8690000}"/>
    <cellStyle name="Note 4 3 3 3 9 2 2 12" xfId="46375" xr:uid="{00000000-0005-0000-0000-0000D9690000}"/>
    <cellStyle name="Note 4 3 3 3 9 2 2 2" xfId="7415" xr:uid="{00000000-0005-0000-0000-0000DA690000}"/>
    <cellStyle name="Note 4 3 3 3 9 2 2 3" xfId="11850" xr:uid="{00000000-0005-0000-0000-0000DB690000}"/>
    <cellStyle name="Note 4 3 3 3 9 2 2 4" xfId="15695" xr:uid="{00000000-0005-0000-0000-0000DC690000}"/>
    <cellStyle name="Note 4 3 3 3 9 2 2 5" xfId="19542" xr:uid="{00000000-0005-0000-0000-0000DD690000}"/>
    <cellStyle name="Note 4 3 3 3 9 2 2 6" xfId="23458" xr:uid="{00000000-0005-0000-0000-0000DE690000}"/>
    <cellStyle name="Note 4 3 3 3 9 2 2 7" xfId="27292" xr:uid="{00000000-0005-0000-0000-0000DF690000}"/>
    <cellStyle name="Note 4 3 3 3 9 2 2 8" xfId="31158" xr:uid="{00000000-0005-0000-0000-0000E0690000}"/>
    <cellStyle name="Note 4 3 3 3 9 2 2 9" xfId="34813" xr:uid="{00000000-0005-0000-0000-0000E1690000}"/>
    <cellStyle name="Note 4 3 3 3 9 2 3" xfId="5491" xr:uid="{00000000-0005-0000-0000-0000E2690000}"/>
    <cellStyle name="Note 4 3 3 3 9 2 4" xfId="9849" xr:uid="{00000000-0005-0000-0000-0000E3690000}"/>
    <cellStyle name="Note 4 3 3 3 9 2 5" xfId="13695" xr:uid="{00000000-0005-0000-0000-0000E4690000}"/>
    <cellStyle name="Note 4 3 3 3 9 2 6" xfId="17524" xr:uid="{00000000-0005-0000-0000-0000E5690000}"/>
    <cellStyle name="Note 4 3 3 3 9 2 7" xfId="21463" xr:uid="{00000000-0005-0000-0000-0000E6690000}"/>
    <cellStyle name="Note 4 3 3 3 9 2 8" xfId="25276" xr:uid="{00000000-0005-0000-0000-0000E7690000}"/>
    <cellStyle name="Note 4 3 3 3 9 2 9" xfId="29163" xr:uid="{00000000-0005-0000-0000-0000E8690000}"/>
    <cellStyle name="Note 4 3 3 3 9 3" xfId="2817" xr:uid="{00000000-0005-0000-0000-0000E9690000}"/>
    <cellStyle name="Note 4 3 3 3 9 3 10" xfId="37869" xr:uid="{00000000-0005-0000-0000-0000EA690000}"/>
    <cellStyle name="Note 4 3 3 3 9 3 11" xfId="41881" xr:uid="{00000000-0005-0000-0000-0000EB690000}"/>
    <cellStyle name="Note 4 3 3 3 9 3 12" xfId="45658" xr:uid="{00000000-0005-0000-0000-0000EC690000}"/>
    <cellStyle name="Note 4 3 3 3 9 3 2" xfId="6697" xr:uid="{00000000-0005-0000-0000-0000ED690000}"/>
    <cellStyle name="Note 4 3 3 3 9 3 3" xfId="11124" xr:uid="{00000000-0005-0000-0000-0000EE690000}"/>
    <cellStyle name="Note 4 3 3 3 9 3 4" xfId="14969" xr:uid="{00000000-0005-0000-0000-0000EF690000}"/>
    <cellStyle name="Note 4 3 3 3 9 3 5" xfId="18811" xr:uid="{00000000-0005-0000-0000-0000F0690000}"/>
    <cellStyle name="Note 4 3 3 3 9 3 6" xfId="22737" xr:uid="{00000000-0005-0000-0000-0000F1690000}"/>
    <cellStyle name="Note 4 3 3 3 9 3 7" xfId="26562" xr:uid="{00000000-0005-0000-0000-0000F2690000}"/>
    <cellStyle name="Note 4 3 3 3 9 3 8" xfId="30439" xr:uid="{00000000-0005-0000-0000-0000F3690000}"/>
    <cellStyle name="Note 4 3 3 3 9 3 9" xfId="34096" xr:uid="{00000000-0005-0000-0000-0000F4690000}"/>
    <cellStyle name="Note 4 3 3 3 9 4" xfId="4773" xr:uid="{00000000-0005-0000-0000-0000F5690000}"/>
    <cellStyle name="Note 4 3 3 3 9 5" xfId="9127" xr:uid="{00000000-0005-0000-0000-0000F6690000}"/>
    <cellStyle name="Note 4 3 3 3 9 6" xfId="12968" xr:uid="{00000000-0005-0000-0000-0000F7690000}"/>
    <cellStyle name="Note 4 3 3 3 9 7" xfId="16793" xr:uid="{00000000-0005-0000-0000-0000F8690000}"/>
    <cellStyle name="Note 4 3 3 3 9 8" xfId="20735" xr:uid="{00000000-0005-0000-0000-0000F9690000}"/>
    <cellStyle name="Note 4 3 3 3 9 9" xfId="24551" xr:uid="{00000000-0005-0000-0000-0000FA690000}"/>
    <cellStyle name="Note 4 3 3 30" xfId="39834" xr:uid="{00000000-0005-0000-0000-0000FB690000}"/>
    <cellStyle name="Note 4 3 3 31" xfId="47334" xr:uid="{00000000-0005-0000-0000-0000FC690000}"/>
    <cellStyle name="Note 4 3 3 32" xfId="47423" xr:uid="{00000000-0005-0000-0000-0000FD690000}"/>
    <cellStyle name="Note 4 3 3 33" xfId="47398" xr:uid="{00000000-0005-0000-0000-0000FE690000}"/>
    <cellStyle name="Note 4 3 3 4" xfId="564" xr:uid="{00000000-0005-0000-0000-0000FF690000}"/>
    <cellStyle name="Note 4 3 3 4 10" xfId="2214" xr:uid="{00000000-0005-0000-0000-0000006A0000}"/>
    <cellStyle name="Note 4 3 3 4 10 10" xfId="33515" xr:uid="{00000000-0005-0000-0000-0000016A0000}"/>
    <cellStyle name="Note 4 3 3 4 10 11" xfId="37266" xr:uid="{00000000-0005-0000-0000-0000026A0000}"/>
    <cellStyle name="Note 4 3 3 4 10 12" xfId="41282" xr:uid="{00000000-0005-0000-0000-0000036A0000}"/>
    <cellStyle name="Note 4 3 3 4 10 13" xfId="45077" xr:uid="{00000000-0005-0000-0000-0000046A0000}"/>
    <cellStyle name="Note 4 3 3 4 10 2" xfId="4197" xr:uid="{00000000-0005-0000-0000-0000056A0000}"/>
    <cellStyle name="Note 4 3 3 4 10 2 10" xfId="39248" xr:uid="{00000000-0005-0000-0000-0000066A0000}"/>
    <cellStyle name="Note 4 3 3 4 10 2 11" xfId="43258" xr:uid="{00000000-0005-0000-0000-0000076A0000}"/>
    <cellStyle name="Note 4 3 3 4 10 2 12" xfId="47015" xr:uid="{00000000-0005-0000-0000-0000086A0000}"/>
    <cellStyle name="Note 4 3 3 4 10 2 2" xfId="8056" xr:uid="{00000000-0005-0000-0000-0000096A0000}"/>
    <cellStyle name="Note 4 3 3 4 10 2 3" xfId="12496" xr:uid="{00000000-0005-0000-0000-00000A6A0000}"/>
    <cellStyle name="Note 4 3 3 4 10 2 4" xfId="16341" xr:uid="{00000000-0005-0000-0000-00000B6A0000}"/>
    <cellStyle name="Note 4 3 3 4 10 2 5" xfId="20191" xr:uid="{00000000-0005-0000-0000-00000C6A0000}"/>
    <cellStyle name="Note 4 3 3 4 10 2 6" xfId="24103" xr:uid="{00000000-0005-0000-0000-00000D6A0000}"/>
    <cellStyle name="Note 4 3 3 4 10 2 7" xfId="27941" xr:uid="{00000000-0005-0000-0000-00000E6A0000}"/>
    <cellStyle name="Note 4 3 3 4 10 2 8" xfId="31800" xr:uid="{00000000-0005-0000-0000-00000F6A0000}"/>
    <cellStyle name="Note 4 3 3 4 10 2 9" xfId="35453" xr:uid="{00000000-0005-0000-0000-0000106A0000}"/>
    <cellStyle name="Note 4 3 3 4 10 3" xfId="6128" xr:uid="{00000000-0005-0000-0000-0000116A0000}"/>
    <cellStyle name="Note 4 3 3 4 10 4" xfId="10531" xr:uid="{00000000-0005-0000-0000-0000126A0000}"/>
    <cellStyle name="Note 4 3 3 4 10 5" xfId="14377" xr:uid="{00000000-0005-0000-0000-0000136A0000}"/>
    <cellStyle name="Note 4 3 3 4 10 6" xfId="18208" xr:uid="{00000000-0005-0000-0000-0000146A0000}"/>
    <cellStyle name="Note 4 3 3 4 10 7" xfId="22147" xr:uid="{00000000-0005-0000-0000-0000156A0000}"/>
    <cellStyle name="Note 4 3 3 4 10 8" xfId="25959" xr:uid="{00000000-0005-0000-0000-0000166A0000}"/>
    <cellStyle name="Note 4 3 3 4 10 9" xfId="29839" xr:uid="{00000000-0005-0000-0000-0000176A0000}"/>
    <cellStyle name="Note 4 3 3 4 11" xfId="2272" xr:uid="{00000000-0005-0000-0000-0000186A0000}"/>
    <cellStyle name="Note 4 3 3 4 11 10" xfId="33573" xr:uid="{00000000-0005-0000-0000-0000196A0000}"/>
    <cellStyle name="Note 4 3 3 4 11 11" xfId="37324" xr:uid="{00000000-0005-0000-0000-00001A6A0000}"/>
    <cellStyle name="Note 4 3 3 4 11 12" xfId="41340" xr:uid="{00000000-0005-0000-0000-00001B6A0000}"/>
    <cellStyle name="Note 4 3 3 4 11 13" xfId="45135" xr:uid="{00000000-0005-0000-0000-00001C6A0000}"/>
    <cellStyle name="Note 4 3 3 4 11 2" xfId="4255" xr:uid="{00000000-0005-0000-0000-00001D6A0000}"/>
    <cellStyle name="Note 4 3 3 4 11 2 10" xfId="39306" xr:uid="{00000000-0005-0000-0000-00001E6A0000}"/>
    <cellStyle name="Note 4 3 3 4 11 2 11" xfId="43316" xr:uid="{00000000-0005-0000-0000-00001F6A0000}"/>
    <cellStyle name="Note 4 3 3 4 11 2 12" xfId="47073" xr:uid="{00000000-0005-0000-0000-0000206A0000}"/>
    <cellStyle name="Note 4 3 3 4 11 2 2" xfId="8114" xr:uid="{00000000-0005-0000-0000-0000216A0000}"/>
    <cellStyle name="Note 4 3 3 4 11 2 3" xfId="12554" xr:uid="{00000000-0005-0000-0000-0000226A0000}"/>
    <cellStyle name="Note 4 3 3 4 11 2 4" xfId="16399" xr:uid="{00000000-0005-0000-0000-0000236A0000}"/>
    <cellStyle name="Note 4 3 3 4 11 2 5" xfId="20249" xr:uid="{00000000-0005-0000-0000-0000246A0000}"/>
    <cellStyle name="Note 4 3 3 4 11 2 6" xfId="24161" xr:uid="{00000000-0005-0000-0000-0000256A0000}"/>
    <cellStyle name="Note 4 3 3 4 11 2 7" xfId="27999" xr:uid="{00000000-0005-0000-0000-0000266A0000}"/>
    <cellStyle name="Note 4 3 3 4 11 2 8" xfId="31858" xr:uid="{00000000-0005-0000-0000-0000276A0000}"/>
    <cellStyle name="Note 4 3 3 4 11 2 9" xfId="35511" xr:uid="{00000000-0005-0000-0000-0000286A0000}"/>
    <cellStyle name="Note 4 3 3 4 11 3" xfId="6186" xr:uid="{00000000-0005-0000-0000-0000296A0000}"/>
    <cellStyle name="Note 4 3 3 4 11 4" xfId="10589" xr:uid="{00000000-0005-0000-0000-00002A6A0000}"/>
    <cellStyle name="Note 4 3 3 4 11 5" xfId="14435" xr:uid="{00000000-0005-0000-0000-00002B6A0000}"/>
    <cellStyle name="Note 4 3 3 4 11 6" xfId="18266" xr:uid="{00000000-0005-0000-0000-00002C6A0000}"/>
    <cellStyle name="Note 4 3 3 4 11 7" xfId="22205" xr:uid="{00000000-0005-0000-0000-00002D6A0000}"/>
    <cellStyle name="Note 4 3 3 4 11 8" xfId="26017" xr:uid="{00000000-0005-0000-0000-00002E6A0000}"/>
    <cellStyle name="Note 4 3 3 4 11 9" xfId="29897" xr:uid="{00000000-0005-0000-0000-00002F6A0000}"/>
    <cellStyle name="Note 4 3 3 4 12" xfId="2329" xr:uid="{00000000-0005-0000-0000-0000306A0000}"/>
    <cellStyle name="Note 4 3 3 4 12 10" xfId="33628" xr:uid="{00000000-0005-0000-0000-0000316A0000}"/>
    <cellStyle name="Note 4 3 3 4 12 11" xfId="37381" xr:uid="{00000000-0005-0000-0000-0000326A0000}"/>
    <cellStyle name="Note 4 3 3 4 12 12" xfId="41397" xr:uid="{00000000-0005-0000-0000-0000336A0000}"/>
    <cellStyle name="Note 4 3 3 4 12 13" xfId="45190" xr:uid="{00000000-0005-0000-0000-0000346A0000}"/>
    <cellStyle name="Note 4 3 3 4 12 2" xfId="4312" xr:uid="{00000000-0005-0000-0000-0000356A0000}"/>
    <cellStyle name="Note 4 3 3 4 12 2 10" xfId="39363" xr:uid="{00000000-0005-0000-0000-0000366A0000}"/>
    <cellStyle name="Note 4 3 3 4 12 2 11" xfId="43373" xr:uid="{00000000-0005-0000-0000-0000376A0000}"/>
    <cellStyle name="Note 4 3 3 4 12 2 12" xfId="47128" xr:uid="{00000000-0005-0000-0000-0000386A0000}"/>
    <cellStyle name="Note 4 3 3 4 12 2 2" xfId="8169" xr:uid="{00000000-0005-0000-0000-0000396A0000}"/>
    <cellStyle name="Note 4 3 3 4 12 2 3" xfId="12611" xr:uid="{00000000-0005-0000-0000-00003A6A0000}"/>
    <cellStyle name="Note 4 3 3 4 12 2 4" xfId="16455" xr:uid="{00000000-0005-0000-0000-00003B6A0000}"/>
    <cellStyle name="Note 4 3 3 4 12 2 5" xfId="20306" xr:uid="{00000000-0005-0000-0000-00003C6A0000}"/>
    <cellStyle name="Note 4 3 3 4 12 2 6" xfId="24217" xr:uid="{00000000-0005-0000-0000-00003D6A0000}"/>
    <cellStyle name="Note 4 3 3 4 12 2 7" xfId="28056" xr:uid="{00000000-0005-0000-0000-00003E6A0000}"/>
    <cellStyle name="Note 4 3 3 4 12 2 8" xfId="31915" xr:uid="{00000000-0005-0000-0000-00003F6A0000}"/>
    <cellStyle name="Note 4 3 3 4 12 2 9" xfId="35566" xr:uid="{00000000-0005-0000-0000-0000406A0000}"/>
    <cellStyle name="Note 4 3 3 4 12 3" xfId="6241" xr:uid="{00000000-0005-0000-0000-0000416A0000}"/>
    <cellStyle name="Note 4 3 3 4 12 4" xfId="10646" xr:uid="{00000000-0005-0000-0000-0000426A0000}"/>
    <cellStyle name="Note 4 3 3 4 12 5" xfId="14491" xr:uid="{00000000-0005-0000-0000-0000436A0000}"/>
    <cellStyle name="Note 4 3 3 4 12 6" xfId="18323" xr:uid="{00000000-0005-0000-0000-0000446A0000}"/>
    <cellStyle name="Note 4 3 3 4 12 7" xfId="22261" xr:uid="{00000000-0005-0000-0000-0000456A0000}"/>
    <cellStyle name="Note 4 3 3 4 12 8" xfId="26074" xr:uid="{00000000-0005-0000-0000-0000466A0000}"/>
    <cellStyle name="Note 4 3 3 4 12 9" xfId="29954" xr:uid="{00000000-0005-0000-0000-0000476A0000}"/>
    <cellStyle name="Note 4 3 3 4 13" xfId="2394" xr:uid="{00000000-0005-0000-0000-0000486A0000}"/>
    <cellStyle name="Note 4 3 3 4 13 10" xfId="33692" xr:uid="{00000000-0005-0000-0000-0000496A0000}"/>
    <cellStyle name="Note 4 3 3 4 13 11" xfId="37446" xr:uid="{00000000-0005-0000-0000-00004A6A0000}"/>
    <cellStyle name="Note 4 3 3 4 13 12" xfId="41461" xr:uid="{00000000-0005-0000-0000-00004B6A0000}"/>
    <cellStyle name="Note 4 3 3 4 13 13" xfId="45254" xr:uid="{00000000-0005-0000-0000-00004C6A0000}"/>
    <cellStyle name="Note 4 3 3 4 13 2" xfId="4377" xr:uid="{00000000-0005-0000-0000-00004D6A0000}"/>
    <cellStyle name="Note 4 3 3 4 13 2 10" xfId="39428" xr:uid="{00000000-0005-0000-0000-00004E6A0000}"/>
    <cellStyle name="Note 4 3 3 4 13 2 11" xfId="43437" xr:uid="{00000000-0005-0000-0000-00004F6A0000}"/>
    <cellStyle name="Note 4 3 3 4 13 2 12" xfId="47192" xr:uid="{00000000-0005-0000-0000-0000506A0000}"/>
    <cellStyle name="Note 4 3 3 4 13 2 2" xfId="8234" xr:uid="{00000000-0005-0000-0000-0000516A0000}"/>
    <cellStyle name="Note 4 3 3 4 13 2 3" xfId="12675" xr:uid="{00000000-0005-0000-0000-0000526A0000}"/>
    <cellStyle name="Note 4 3 3 4 13 2 4" xfId="16520" xr:uid="{00000000-0005-0000-0000-0000536A0000}"/>
    <cellStyle name="Note 4 3 3 4 13 2 5" xfId="20371" xr:uid="{00000000-0005-0000-0000-0000546A0000}"/>
    <cellStyle name="Note 4 3 3 4 13 2 6" xfId="24282" xr:uid="{00000000-0005-0000-0000-0000556A0000}"/>
    <cellStyle name="Note 4 3 3 4 13 2 7" xfId="28121" xr:uid="{00000000-0005-0000-0000-0000566A0000}"/>
    <cellStyle name="Note 4 3 3 4 13 2 8" xfId="31979" xr:uid="{00000000-0005-0000-0000-0000576A0000}"/>
    <cellStyle name="Note 4 3 3 4 13 2 9" xfId="35630" xr:uid="{00000000-0005-0000-0000-0000586A0000}"/>
    <cellStyle name="Note 4 3 3 4 13 3" xfId="6290" xr:uid="{00000000-0005-0000-0000-0000596A0000}"/>
    <cellStyle name="Note 4 3 3 4 13 4" xfId="10710" xr:uid="{00000000-0005-0000-0000-00005A6A0000}"/>
    <cellStyle name="Note 4 3 3 4 13 5" xfId="14556" xr:uid="{00000000-0005-0000-0000-00005B6A0000}"/>
    <cellStyle name="Note 4 3 3 4 13 6" xfId="18388" xr:uid="{00000000-0005-0000-0000-00005C6A0000}"/>
    <cellStyle name="Note 4 3 3 4 13 7" xfId="22326" xr:uid="{00000000-0005-0000-0000-00005D6A0000}"/>
    <cellStyle name="Note 4 3 3 4 13 8" xfId="26139" xr:uid="{00000000-0005-0000-0000-00005E6A0000}"/>
    <cellStyle name="Note 4 3 3 4 13 9" xfId="30019" xr:uid="{00000000-0005-0000-0000-00005F6A0000}"/>
    <cellStyle name="Note 4 3 3 4 14" xfId="2446" xr:uid="{00000000-0005-0000-0000-0000606A0000}"/>
    <cellStyle name="Note 4 3 3 4 14 10" xfId="33742" xr:uid="{00000000-0005-0000-0000-0000616A0000}"/>
    <cellStyle name="Note 4 3 3 4 14 11" xfId="37498" xr:uid="{00000000-0005-0000-0000-0000626A0000}"/>
    <cellStyle name="Note 4 3 3 4 14 12" xfId="41513" xr:uid="{00000000-0005-0000-0000-0000636A0000}"/>
    <cellStyle name="Note 4 3 3 4 14 13" xfId="45304" xr:uid="{00000000-0005-0000-0000-0000646A0000}"/>
    <cellStyle name="Note 4 3 3 4 14 2" xfId="4429" xr:uid="{00000000-0005-0000-0000-0000656A0000}"/>
    <cellStyle name="Note 4 3 3 4 14 2 10" xfId="39480" xr:uid="{00000000-0005-0000-0000-0000666A0000}"/>
    <cellStyle name="Note 4 3 3 4 14 2 11" xfId="43489" xr:uid="{00000000-0005-0000-0000-0000676A0000}"/>
    <cellStyle name="Note 4 3 3 4 14 2 12" xfId="47242" xr:uid="{00000000-0005-0000-0000-0000686A0000}"/>
    <cellStyle name="Note 4 3 3 4 14 2 2" xfId="8284" xr:uid="{00000000-0005-0000-0000-0000696A0000}"/>
    <cellStyle name="Note 4 3 3 4 14 2 3" xfId="12727" xr:uid="{00000000-0005-0000-0000-00006A6A0000}"/>
    <cellStyle name="Note 4 3 3 4 14 2 4" xfId="16570" xr:uid="{00000000-0005-0000-0000-00006B6A0000}"/>
    <cellStyle name="Note 4 3 3 4 14 2 5" xfId="20423" xr:uid="{00000000-0005-0000-0000-00006C6A0000}"/>
    <cellStyle name="Note 4 3 3 4 14 2 6" xfId="24333" xr:uid="{00000000-0005-0000-0000-00006D6A0000}"/>
    <cellStyle name="Note 4 3 3 4 14 2 7" xfId="28173" xr:uid="{00000000-0005-0000-0000-00006E6A0000}"/>
    <cellStyle name="Note 4 3 3 4 14 2 8" xfId="32031" xr:uid="{00000000-0005-0000-0000-00006F6A0000}"/>
    <cellStyle name="Note 4 3 3 4 14 2 9" xfId="35680" xr:uid="{00000000-0005-0000-0000-0000706A0000}"/>
    <cellStyle name="Note 4 3 3 4 14 3" xfId="6340" xr:uid="{00000000-0005-0000-0000-0000716A0000}"/>
    <cellStyle name="Note 4 3 3 4 14 4" xfId="10762" xr:uid="{00000000-0005-0000-0000-0000726A0000}"/>
    <cellStyle name="Note 4 3 3 4 14 5" xfId="14607" xr:uid="{00000000-0005-0000-0000-0000736A0000}"/>
    <cellStyle name="Note 4 3 3 4 14 6" xfId="18440" xr:uid="{00000000-0005-0000-0000-0000746A0000}"/>
    <cellStyle name="Note 4 3 3 4 14 7" xfId="22377" xr:uid="{00000000-0005-0000-0000-0000756A0000}"/>
    <cellStyle name="Note 4 3 3 4 14 8" xfId="26191" xr:uid="{00000000-0005-0000-0000-0000766A0000}"/>
    <cellStyle name="Note 4 3 3 4 14 9" xfId="30070" xr:uid="{00000000-0005-0000-0000-0000776A0000}"/>
    <cellStyle name="Note 4 3 3 4 15" xfId="2500" xr:uid="{00000000-0005-0000-0000-0000786A0000}"/>
    <cellStyle name="Note 4 3 3 4 15 10" xfId="33793" xr:uid="{00000000-0005-0000-0000-0000796A0000}"/>
    <cellStyle name="Note 4 3 3 4 15 11" xfId="37552" xr:uid="{00000000-0005-0000-0000-00007A6A0000}"/>
    <cellStyle name="Note 4 3 3 4 15 12" xfId="41566" xr:uid="{00000000-0005-0000-0000-00007B6A0000}"/>
    <cellStyle name="Note 4 3 3 4 15 13" xfId="45355" xr:uid="{00000000-0005-0000-0000-00007C6A0000}"/>
    <cellStyle name="Note 4 3 3 4 15 2" xfId="4480" xr:uid="{00000000-0005-0000-0000-00007D6A0000}"/>
    <cellStyle name="Note 4 3 3 4 15 2 10" xfId="39531" xr:uid="{00000000-0005-0000-0000-00007E6A0000}"/>
    <cellStyle name="Note 4 3 3 4 15 2 11" xfId="43540" xr:uid="{00000000-0005-0000-0000-00007F6A0000}"/>
    <cellStyle name="Note 4 3 3 4 15 2 12" xfId="47293" xr:uid="{00000000-0005-0000-0000-0000806A0000}"/>
    <cellStyle name="Note 4 3 3 4 15 2 2" xfId="8335" xr:uid="{00000000-0005-0000-0000-0000816A0000}"/>
    <cellStyle name="Note 4 3 3 4 15 2 3" xfId="12778" xr:uid="{00000000-0005-0000-0000-0000826A0000}"/>
    <cellStyle name="Note 4 3 3 4 15 2 4" xfId="16621" xr:uid="{00000000-0005-0000-0000-0000836A0000}"/>
    <cellStyle name="Note 4 3 3 4 15 2 5" xfId="20474" xr:uid="{00000000-0005-0000-0000-0000846A0000}"/>
    <cellStyle name="Note 4 3 3 4 15 2 6" xfId="24384" xr:uid="{00000000-0005-0000-0000-0000856A0000}"/>
    <cellStyle name="Note 4 3 3 4 15 2 7" xfId="28224" xr:uid="{00000000-0005-0000-0000-0000866A0000}"/>
    <cellStyle name="Note 4 3 3 4 15 2 8" xfId="32082" xr:uid="{00000000-0005-0000-0000-0000876A0000}"/>
    <cellStyle name="Note 4 3 3 4 15 2 9" xfId="35731" xr:uid="{00000000-0005-0000-0000-0000886A0000}"/>
    <cellStyle name="Note 4 3 3 4 15 3" xfId="6392" xr:uid="{00000000-0005-0000-0000-0000896A0000}"/>
    <cellStyle name="Note 4 3 3 4 15 4" xfId="10815" xr:uid="{00000000-0005-0000-0000-00008A6A0000}"/>
    <cellStyle name="Note 4 3 3 4 15 5" xfId="14659" xr:uid="{00000000-0005-0000-0000-00008B6A0000}"/>
    <cellStyle name="Note 4 3 3 4 15 6" xfId="18494" xr:uid="{00000000-0005-0000-0000-00008C6A0000}"/>
    <cellStyle name="Note 4 3 3 4 15 7" xfId="22429" xr:uid="{00000000-0005-0000-0000-00008D6A0000}"/>
    <cellStyle name="Note 4 3 3 4 15 8" xfId="26245" xr:uid="{00000000-0005-0000-0000-00008E6A0000}"/>
    <cellStyle name="Note 4 3 3 4 15 9" xfId="30124" xr:uid="{00000000-0005-0000-0000-00008F6A0000}"/>
    <cellStyle name="Note 4 3 3 4 16" xfId="2569" xr:uid="{00000000-0005-0000-0000-0000906A0000}"/>
    <cellStyle name="Note 4 3 3 4 16 10" xfId="37621" xr:uid="{00000000-0005-0000-0000-0000916A0000}"/>
    <cellStyle name="Note 4 3 3 4 16 11" xfId="41635" xr:uid="{00000000-0005-0000-0000-0000926A0000}"/>
    <cellStyle name="Note 4 3 3 4 16 12" xfId="45424" xr:uid="{00000000-0005-0000-0000-0000936A0000}"/>
    <cellStyle name="Note 4 3 3 4 16 2" xfId="6461" xr:uid="{00000000-0005-0000-0000-0000946A0000}"/>
    <cellStyle name="Note 4 3 3 4 16 3" xfId="10884" xr:uid="{00000000-0005-0000-0000-0000956A0000}"/>
    <cellStyle name="Note 4 3 3 4 16 4" xfId="14728" xr:uid="{00000000-0005-0000-0000-0000966A0000}"/>
    <cellStyle name="Note 4 3 3 4 16 5" xfId="18563" xr:uid="{00000000-0005-0000-0000-0000976A0000}"/>
    <cellStyle name="Note 4 3 3 4 16 6" xfId="22498" xr:uid="{00000000-0005-0000-0000-0000986A0000}"/>
    <cellStyle name="Note 4 3 3 4 16 7" xfId="26314" xr:uid="{00000000-0005-0000-0000-0000996A0000}"/>
    <cellStyle name="Note 4 3 3 4 16 8" xfId="30193" xr:uid="{00000000-0005-0000-0000-00009A6A0000}"/>
    <cellStyle name="Note 4 3 3 4 16 9" xfId="33862" xr:uid="{00000000-0005-0000-0000-00009B6A0000}"/>
    <cellStyle name="Note 4 3 3 4 17" xfId="4537" xr:uid="{00000000-0005-0000-0000-00009C6A0000}"/>
    <cellStyle name="Note 4 3 3 4 18" xfId="8348" xr:uid="{00000000-0005-0000-0000-00009D6A0000}"/>
    <cellStyle name="Note 4 3 3 4 19" xfId="8754" xr:uid="{00000000-0005-0000-0000-00009E6A0000}"/>
    <cellStyle name="Note 4 3 3 4 2" xfId="698" xr:uid="{00000000-0005-0000-0000-00009F6A0000}"/>
    <cellStyle name="Note 4 3 3 4 2 10" xfId="24432" xr:uid="{00000000-0005-0000-0000-0000A06A0000}"/>
    <cellStyle name="Note 4 3 3 4 2 11" xfId="28325" xr:uid="{00000000-0005-0000-0000-0000A16A0000}"/>
    <cellStyle name="Note 4 3 3 4 2 12" xfId="29966" xr:uid="{00000000-0005-0000-0000-0000A26A0000}"/>
    <cellStyle name="Note 4 3 3 4 2 13" xfId="35769" xr:uid="{00000000-0005-0000-0000-0000A36A0000}"/>
    <cellStyle name="Note 4 3 3 4 2 14" xfId="39792" xr:uid="{00000000-0005-0000-0000-0000A46A0000}"/>
    <cellStyle name="Note 4 3 3 4 2 15" xfId="43595" xr:uid="{00000000-0005-0000-0000-0000A56A0000}"/>
    <cellStyle name="Note 4 3 3 4 2 2" xfId="1078" xr:uid="{00000000-0005-0000-0000-0000A66A0000}"/>
    <cellStyle name="Note 4 3 3 4 2 2 10" xfId="28689" xr:uid="{00000000-0005-0000-0000-0000A76A0000}"/>
    <cellStyle name="Note 4 3 3 4 2 2 11" xfId="32375" xr:uid="{00000000-0005-0000-0000-0000A86A0000}"/>
    <cellStyle name="Note 4 3 3 4 2 2 12" xfId="36136" xr:uid="{00000000-0005-0000-0000-0000A96A0000}"/>
    <cellStyle name="Note 4 3 3 4 2 2 13" xfId="40139" xr:uid="{00000000-0005-0000-0000-0000AA6A0000}"/>
    <cellStyle name="Note 4 3 3 4 2 2 14" xfId="43962" xr:uid="{00000000-0005-0000-0000-0000AB6A0000}"/>
    <cellStyle name="Note 4 3 3 4 2 2 2" xfId="1805" xr:uid="{00000000-0005-0000-0000-0000AC6A0000}"/>
    <cellStyle name="Note 4 3 3 4 2 2 2 10" xfId="33092" xr:uid="{00000000-0005-0000-0000-0000AD6A0000}"/>
    <cellStyle name="Note 4 3 3 4 2 2 2 11" xfId="36862" xr:uid="{00000000-0005-0000-0000-0000AE6A0000}"/>
    <cellStyle name="Note 4 3 3 4 2 2 2 12" xfId="40853" xr:uid="{00000000-0005-0000-0000-0000AF6A0000}"/>
    <cellStyle name="Note 4 3 3 4 2 2 2 13" xfId="44684" xr:uid="{00000000-0005-0000-0000-0000B06A0000}"/>
    <cellStyle name="Note 4 3 3 4 2 2 2 2" xfId="3795" xr:uid="{00000000-0005-0000-0000-0000B16A0000}"/>
    <cellStyle name="Note 4 3 3 4 2 2 2 2 10" xfId="38846" xr:uid="{00000000-0005-0000-0000-0000B26A0000}"/>
    <cellStyle name="Note 4 3 3 4 2 2 2 2 11" xfId="42857" xr:uid="{00000000-0005-0000-0000-0000B36A0000}"/>
    <cellStyle name="Note 4 3 3 4 2 2 2 2 12" xfId="46622" xr:uid="{00000000-0005-0000-0000-0000B46A0000}"/>
    <cellStyle name="Note 4 3 3 4 2 2 2 2 2" xfId="7662" xr:uid="{00000000-0005-0000-0000-0000B56A0000}"/>
    <cellStyle name="Note 4 3 3 4 2 2 2 2 3" xfId="12097" xr:uid="{00000000-0005-0000-0000-0000B66A0000}"/>
    <cellStyle name="Note 4 3 3 4 2 2 2 2 4" xfId="15942" xr:uid="{00000000-0005-0000-0000-0000B76A0000}"/>
    <cellStyle name="Note 4 3 3 4 2 2 2 2 5" xfId="19789" xr:uid="{00000000-0005-0000-0000-0000B86A0000}"/>
    <cellStyle name="Note 4 3 3 4 2 2 2 2 6" xfId="23705" xr:uid="{00000000-0005-0000-0000-0000B96A0000}"/>
    <cellStyle name="Note 4 3 3 4 2 2 2 2 7" xfId="27539" xr:uid="{00000000-0005-0000-0000-0000BA6A0000}"/>
    <cellStyle name="Note 4 3 3 4 2 2 2 2 8" xfId="31403" xr:uid="{00000000-0005-0000-0000-0000BB6A0000}"/>
    <cellStyle name="Note 4 3 3 4 2 2 2 2 9" xfId="35060" xr:uid="{00000000-0005-0000-0000-0000BC6A0000}"/>
    <cellStyle name="Note 4 3 3 4 2 2 2 3" xfId="5738" xr:uid="{00000000-0005-0000-0000-0000BD6A0000}"/>
    <cellStyle name="Note 4 3 3 4 2 2 2 4" xfId="10096" xr:uid="{00000000-0005-0000-0000-0000BE6A0000}"/>
    <cellStyle name="Note 4 3 3 4 2 2 2 5" xfId="13942" xr:uid="{00000000-0005-0000-0000-0000BF6A0000}"/>
    <cellStyle name="Note 4 3 3 4 2 2 2 6" xfId="17771" xr:uid="{00000000-0005-0000-0000-0000C06A0000}"/>
    <cellStyle name="Note 4 3 3 4 2 2 2 7" xfId="21710" xr:uid="{00000000-0005-0000-0000-0000C16A0000}"/>
    <cellStyle name="Note 4 3 3 4 2 2 2 8" xfId="25523" xr:uid="{00000000-0005-0000-0000-0000C26A0000}"/>
    <cellStyle name="Note 4 3 3 4 2 2 2 9" xfId="29410" xr:uid="{00000000-0005-0000-0000-0000C36A0000}"/>
    <cellStyle name="Note 4 3 3 4 2 2 3" xfId="3068" xr:uid="{00000000-0005-0000-0000-0000C46A0000}"/>
    <cellStyle name="Note 4 3 3 4 2 2 3 10" xfId="38120" xr:uid="{00000000-0005-0000-0000-0000C56A0000}"/>
    <cellStyle name="Note 4 3 3 4 2 2 3 11" xfId="42132" xr:uid="{00000000-0005-0000-0000-0000C66A0000}"/>
    <cellStyle name="Note 4 3 3 4 2 2 3 12" xfId="45905" xr:uid="{00000000-0005-0000-0000-0000C76A0000}"/>
    <cellStyle name="Note 4 3 3 4 2 2 3 2" xfId="6944" xr:uid="{00000000-0005-0000-0000-0000C86A0000}"/>
    <cellStyle name="Note 4 3 3 4 2 2 3 3" xfId="11373" xr:uid="{00000000-0005-0000-0000-0000C96A0000}"/>
    <cellStyle name="Note 4 3 3 4 2 2 3 4" xfId="15217" xr:uid="{00000000-0005-0000-0000-0000CA6A0000}"/>
    <cellStyle name="Note 4 3 3 4 2 2 3 5" xfId="19062" xr:uid="{00000000-0005-0000-0000-0000CB6A0000}"/>
    <cellStyle name="Note 4 3 3 4 2 2 3 6" xfId="22984" xr:uid="{00000000-0005-0000-0000-0000CC6A0000}"/>
    <cellStyle name="Note 4 3 3 4 2 2 3 7" xfId="26813" xr:uid="{00000000-0005-0000-0000-0000CD6A0000}"/>
    <cellStyle name="Note 4 3 3 4 2 2 3 8" xfId="30687" xr:uid="{00000000-0005-0000-0000-0000CE6A0000}"/>
    <cellStyle name="Note 4 3 3 4 2 2 3 9" xfId="34343" xr:uid="{00000000-0005-0000-0000-0000CF6A0000}"/>
    <cellStyle name="Note 4 3 3 4 2 2 4" xfId="5020" xr:uid="{00000000-0005-0000-0000-0000D06A0000}"/>
    <cellStyle name="Note 4 3 3 4 2 2 5" xfId="9376" xr:uid="{00000000-0005-0000-0000-0000D16A0000}"/>
    <cellStyle name="Note 4 3 3 4 2 2 6" xfId="13216" xr:uid="{00000000-0005-0000-0000-0000D26A0000}"/>
    <cellStyle name="Note 4 3 3 4 2 2 7" xfId="17044" xr:uid="{00000000-0005-0000-0000-0000D36A0000}"/>
    <cellStyle name="Note 4 3 3 4 2 2 8" xfId="20986" xr:uid="{00000000-0005-0000-0000-0000D46A0000}"/>
    <cellStyle name="Note 4 3 3 4 2 2 9" xfId="24800" xr:uid="{00000000-0005-0000-0000-0000D56A0000}"/>
    <cellStyle name="Note 4 3 3 4 2 3" xfId="1452" xr:uid="{00000000-0005-0000-0000-0000D66A0000}"/>
    <cellStyle name="Note 4 3 3 4 2 3 10" xfId="32739" xr:uid="{00000000-0005-0000-0000-0000D76A0000}"/>
    <cellStyle name="Note 4 3 3 4 2 3 11" xfId="36509" xr:uid="{00000000-0005-0000-0000-0000D86A0000}"/>
    <cellStyle name="Note 4 3 3 4 2 3 12" xfId="40500" xr:uid="{00000000-0005-0000-0000-0000D96A0000}"/>
    <cellStyle name="Note 4 3 3 4 2 3 13" xfId="44331" xr:uid="{00000000-0005-0000-0000-0000DA6A0000}"/>
    <cellStyle name="Note 4 3 3 4 2 3 2" xfId="3442" xr:uid="{00000000-0005-0000-0000-0000DB6A0000}"/>
    <cellStyle name="Note 4 3 3 4 2 3 2 10" xfId="38493" xr:uid="{00000000-0005-0000-0000-0000DC6A0000}"/>
    <cellStyle name="Note 4 3 3 4 2 3 2 11" xfId="42504" xr:uid="{00000000-0005-0000-0000-0000DD6A0000}"/>
    <cellStyle name="Note 4 3 3 4 2 3 2 12" xfId="46269" xr:uid="{00000000-0005-0000-0000-0000DE6A0000}"/>
    <cellStyle name="Note 4 3 3 4 2 3 2 2" xfId="7309" xr:uid="{00000000-0005-0000-0000-0000DF6A0000}"/>
    <cellStyle name="Note 4 3 3 4 2 3 2 3" xfId="11744" xr:uid="{00000000-0005-0000-0000-0000E06A0000}"/>
    <cellStyle name="Note 4 3 3 4 2 3 2 4" xfId="15589" xr:uid="{00000000-0005-0000-0000-0000E16A0000}"/>
    <cellStyle name="Note 4 3 3 4 2 3 2 5" xfId="19436" xr:uid="{00000000-0005-0000-0000-0000E26A0000}"/>
    <cellStyle name="Note 4 3 3 4 2 3 2 6" xfId="23352" xr:uid="{00000000-0005-0000-0000-0000E36A0000}"/>
    <cellStyle name="Note 4 3 3 4 2 3 2 7" xfId="27186" xr:uid="{00000000-0005-0000-0000-0000E46A0000}"/>
    <cellStyle name="Note 4 3 3 4 2 3 2 8" xfId="31054" xr:uid="{00000000-0005-0000-0000-0000E56A0000}"/>
    <cellStyle name="Note 4 3 3 4 2 3 2 9" xfId="34707" xr:uid="{00000000-0005-0000-0000-0000E66A0000}"/>
    <cellStyle name="Note 4 3 3 4 2 3 3" xfId="5385" xr:uid="{00000000-0005-0000-0000-0000E76A0000}"/>
    <cellStyle name="Note 4 3 3 4 2 3 4" xfId="9743" xr:uid="{00000000-0005-0000-0000-0000E86A0000}"/>
    <cellStyle name="Note 4 3 3 4 2 3 5" xfId="13589" xr:uid="{00000000-0005-0000-0000-0000E96A0000}"/>
    <cellStyle name="Note 4 3 3 4 2 3 6" xfId="17418" xr:uid="{00000000-0005-0000-0000-0000EA6A0000}"/>
    <cellStyle name="Note 4 3 3 4 2 3 7" xfId="21357" xr:uid="{00000000-0005-0000-0000-0000EB6A0000}"/>
    <cellStyle name="Note 4 3 3 4 2 3 8" xfId="25170" xr:uid="{00000000-0005-0000-0000-0000EC6A0000}"/>
    <cellStyle name="Note 4 3 3 4 2 3 9" xfId="29057" xr:uid="{00000000-0005-0000-0000-0000ED6A0000}"/>
    <cellStyle name="Note 4 3 3 4 2 4" xfId="2701" xr:uid="{00000000-0005-0000-0000-0000EE6A0000}"/>
    <cellStyle name="Note 4 3 3 4 2 4 10" xfId="37753" xr:uid="{00000000-0005-0000-0000-0000EF6A0000}"/>
    <cellStyle name="Note 4 3 3 4 2 4 11" xfId="41767" xr:uid="{00000000-0005-0000-0000-0000F06A0000}"/>
    <cellStyle name="Note 4 3 3 4 2 4 12" xfId="45552" xr:uid="{00000000-0005-0000-0000-0000F16A0000}"/>
    <cellStyle name="Note 4 3 3 4 2 4 2" xfId="6589" xr:uid="{00000000-0005-0000-0000-0000F26A0000}"/>
    <cellStyle name="Note 4 3 3 4 2 4 3" xfId="11013" xr:uid="{00000000-0005-0000-0000-0000F36A0000}"/>
    <cellStyle name="Note 4 3 3 4 2 4 4" xfId="14857" xr:uid="{00000000-0005-0000-0000-0000F46A0000}"/>
    <cellStyle name="Note 4 3 3 4 2 4 5" xfId="18695" xr:uid="{00000000-0005-0000-0000-0000F56A0000}"/>
    <cellStyle name="Note 4 3 3 4 2 4 6" xfId="22626" xr:uid="{00000000-0005-0000-0000-0000F66A0000}"/>
    <cellStyle name="Note 4 3 3 4 2 4 7" xfId="26446" xr:uid="{00000000-0005-0000-0000-0000F76A0000}"/>
    <cellStyle name="Note 4 3 3 4 2 4 8" xfId="30325" xr:uid="{00000000-0005-0000-0000-0000F86A0000}"/>
    <cellStyle name="Note 4 3 3 4 2 4 9" xfId="33990" xr:uid="{00000000-0005-0000-0000-0000F96A0000}"/>
    <cellStyle name="Note 4 3 3 4 2 5" xfId="4665" xr:uid="{00000000-0005-0000-0000-0000FA6A0000}"/>
    <cellStyle name="Note 4 3 3 4 2 6" xfId="9007" xr:uid="{00000000-0005-0000-0000-0000FB6A0000}"/>
    <cellStyle name="Note 4 3 3 4 2 7" xfId="12844" xr:uid="{00000000-0005-0000-0000-0000FC6A0000}"/>
    <cellStyle name="Note 4 3 3 4 2 8" xfId="16674" xr:uid="{00000000-0005-0000-0000-0000FD6A0000}"/>
    <cellStyle name="Note 4 3 3 4 2 9" xfId="20611" xr:uid="{00000000-0005-0000-0000-0000FE6A0000}"/>
    <cellStyle name="Note 4 3 3 4 20" xfId="8874" xr:uid="{00000000-0005-0000-0000-0000FF6A0000}"/>
    <cellStyle name="Note 4 3 3 4 21" xfId="8839" xr:uid="{00000000-0005-0000-0000-0000006B0000}"/>
    <cellStyle name="Note 4 3 3 4 22" xfId="8559" xr:uid="{00000000-0005-0000-0000-0000016B0000}"/>
    <cellStyle name="Note 4 3 3 4 23" xfId="8583" xr:uid="{00000000-0005-0000-0000-0000026B0000}"/>
    <cellStyle name="Note 4 3 3 4 24" xfId="8770" xr:uid="{00000000-0005-0000-0000-0000036B0000}"/>
    <cellStyle name="Note 4 3 3 4 25" xfId="16236" xr:uid="{00000000-0005-0000-0000-0000046B0000}"/>
    <cellStyle name="Note 4 3 3 4 26" xfId="31623" xr:uid="{00000000-0005-0000-0000-0000056B0000}"/>
    <cellStyle name="Note 4 3 3 4 27" xfId="24693" xr:uid="{00000000-0005-0000-0000-0000066B0000}"/>
    <cellStyle name="Note 4 3 3 4 28" xfId="39661" xr:uid="{00000000-0005-0000-0000-0000076B0000}"/>
    <cellStyle name="Note 4 3 3 4 29" xfId="40152" xr:uid="{00000000-0005-0000-0000-0000086B0000}"/>
    <cellStyle name="Note 4 3 3 4 3" xfId="637" xr:uid="{00000000-0005-0000-0000-0000096B0000}"/>
    <cellStyle name="Note 4 3 3 4 3 10" xfId="16750" xr:uid="{00000000-0005-0000-0000-00000A6B0000}"/>
    <cellStyle name="Note 4 3 3 4 3 11" xfId="28264" xr:uid="{00000000-0005-0000-0000-00000B6B0000}"/>
    <cellStyle name="Note 4 3 3 4 3 12" xfId="31128" xr:uid="{00000000-0005-0000-0000-00000C6B0000}"/>
    <cellStyle name="Note 4 3 3 4 3 13" xfId="33385" xr:uid="{00000000-0005-0000-0000-00000D6B0000}"/>
    <cellStyle name="Note 4 3 3 4 3 14" xfId="39732" xr:uid="{00000000-0005-0000-0000-00000E6B0000}"/>
    <cellStyle name="Note 4 3 3 4 3 15" xfId="39553" xr:uid="{00000000-0005-0000-0000-00000F6B0000}"/>
    <cellStyle name="Note 4 3 3 4 3 2" xfId="1017" xr:uid="{00000000-0005-0000-0000-0000106B0000}"/>
    <cellStyle name="Note 4 3 3 4 3 2 10" xfId="28628" xr:uid="{00000000-0005-0000-0000-0000116B0000}"/>
    <cellStyle name="Note 4 3 3 4 3 2 11" xfId="32316" xr:uid="{00000000-0005-0000-0000-0000126B0000}"/>
    <cellStyle name="Note 4 3 3 4 3 2 12" xfId="36075" xr:uid="{00000000-0005-0000-0000-0000136B0000}"/>
    <cellStyle name="Note 4 3 3 4 3 2 13" xfId="40080" xr:uid="{00000000-0005-0000-0000-0000146B0000}"/>
    <cellStyle name="Note 4 3 3 4 3 2 14" xfId="43901" xr:uid="{00000000-0005-0000-0000-0000156B0000}"/>
    <cellStyle name="Note 4 3 3 4 3 2 2" xfId="1746" xr:uid="{00000000-0005-0000-0000-0000166B0000}"/>
    <cellStyle name="Note 4 3 3 4 3 2 2 10" xfId="33033" xr:uid="{00000000-0005-0000-0000-0000176B0000}"/>
    <cellStyle name="Note 4 3 3 4 3 2 2 11" xfId="36803" xr:uid="{00000000-0005-0000-0000-0000186B0000}"/>
    <cellStyle name="Note 4 3 3 4 3 2 2 12" xfId="40794" xr:uid="{00000000-0005-0000-0000-0000196B0000}"/>
    <cellStyle name="Note 4 3 3 4 3 2 2 13" xfId="44625" xr:uid="{00000000-0005-0000-0000-00001A6B0000}"/>
    <cellStyle name="Note 4 3 3 4 3 2 2 2" xfId="3736" xr:uid="{00000000-0005-0000-0000-00001B6B0000}"/>
    <cellStyle name="Note 4 3 3 4 3 2 2 2 10" xfId="38787" xr:uid="{00000000-0005-0000-0000-00001C6B0000}"/>
    <cellStyle name="Note 4 3 3 4 3 2 2 2 11" xfId="42798" xr:uid="{00000000-0005-0000-0000-00001D6B0000}"/>
    <cellStyle name="Note 4 3 3 4 3 2 2 2 12" xfId="46563" xr:uid="{00000000-0005-0000-0000-00001E6B0000}"/>
    <cellStyle name="Note 4 3 3 4 3 2 2 2 2" xfId="7603" xr:uid="{00000000-0005-0000-0000-00001F6B0000}"/>
    <cellStyle name="Note 4 3 3 4 3 2 2 2 3" xfId="12038" xr:uid="{00000000-0005-0000-0000-0000206B0000}"/>
    <cellStyle name="Note 4 3 3 4 3 2 2 2 4" xfId="15883" xr:uid="{00000000-0005-0000-0000-0000216B0000}"/>
    <cellStyle name="Note 4 3 3 4 3 2 2 2 5" xfId="19730" xr:uid="{00000000-0005-0000-0000-0000226B0000}"/>
    <cellStyle name="Note 4 3 3 4 3 2 2 2 6" xfId="23646" xr:uid="{00000000-0005-0000-0000-0000236B0000}"/>
    <cellStyle name="Note 4 3 3 4 3 2 2 2 7" xfId="27480" xr:uid="{00000000-0005-0000-0000-0000246B0000}"/>
    <cellStyle name="Note 4 3 3 4 3 2 2 2 8" xfId="31344" xr:uid="{00000000-0005-0000-0000-0000256B0000}"/>
    <cellStyle name="Note 4 3 3 4 3 2 2 2 9" xfId="35001" xr:uid="{00000000-0005-0000-0000-0000266B0000}"/>
    <cellStyle name="Note 4 3 3 4 3 2 2 3" xfId="5679" xr:uid="{00000000-0005-0000-0000-0000276B0000}"/>
    <cellStyle name="Note 4 3 3 4 3 2 2 4" xfId="10037" xr:uid="{00000000-0005-0000-0000-0000286B0000}"/>
    <cellStyle name="Note 4 3 3 4 3 2 2 5" xfId="13883" xr:uid="{00000000-0005-0000-0000-0000296B0000}"/>
    <cellStyle name="Note 4 3 3 4 3 2 2 6" xfId="17712" xr:uid="{00000000-0005-0000-0000-00002A6B0000}"/>
    <cellStyle name="Note 4 3 3 4 3 2 2 7" xfId="21651" xr:uid="{00000000-0005-0000-0000-00002B6B0000}"/>
    <cellStyle name="Note 4 3 3 4 3 2 2 8" xfId="25464" xr:uid="{00000000-0005-0000-0000-00002C6B0000}"/>
    <cellStyle name="Note 4 3 3 4 3 2 2 9" xfId="29351" xr:uid="{00000000-0005-0000-0000-00002D6B0000}"/>
    <cellStyle name="Note 4 3 3 4 3 2 3" xfId="3007" xr:uid="{00000000-0005-0000-0000-00002E6B0000}"/>
    <cellStyle name="Note 4 3 3 4 3 2 3 10" xfId="38059" xr:uid="{00000000-0005-0000-0000-00002F6B0000}"/>
    <cellStyle name="Note 4 3 3 4 3 2 3 11" xfId="42071" xr:uid="{00000000-0005-0000-0000-0000306B0000}"/>
    <cellStyle name="Note 4 3 3 4 3 2 3 12" xfId="45846" xr:uid="{00000000-0005-0000-0000-0000316B0000}"/>
    <cellStyle name="Note 4 3 3 4 3 2 3 2" xfId="6885" xr:uid="{00000000-0005-0000-0000-0000326B0000}"/>
    <cellStyle name="Note 4 3 3 4 3 2 3 3" xfId="11313" xr:uid="{00000000-0005-0000-0000-0000336B0000}"/>
    <cellStyle name="Note 4 3 3 4 3 2 3 4" xfId="15158" xr:uid="{00000000-0005-0000-0000-0000346B0000}"/>
    <cellStyle name="Note 4 3 3 4 3 2 3 5" xfId="19001" xr:uid="{00000000-0005-0000-0000-0000356B0000}"/>
    <cellStyle name="Note 4 3 3 4 3 2 3 6" xfId="22925" xr:uid="{00000000-0005-0000-0000-0000366B0000}"/>
    <cellStyle name="Note 4 3 3 4 3 2 3 7" xfId="26752" xr:uid="{00000000-0005-0000-0000-0000376B0000}"/>
    <cellStyle name="Note 4 3 3 4 3 2 3 8" xfId="30626" xr:uid="{00000000-0005-0000-0000-0000386B0000}"/>
    <cellStyle name="Note 4 3 3 4 3 2 3 9" xfId="34284" xr:uid="{00000000-0005-0000-0000-0000396B0000}"/>
    <cellStyle name="Note 4 3 3 4 3 2 4" xfId="4961" xr:uid="{00000000-0005-0000-0000-00003A6B0000}"/>
    <cellStyle name="Note 4 3 3 4 3 2 5" xfId="9316" xr:uid="{00000000-0005-0000-0000-00003B6B0000}"/>
    <cellStyle name="Note 4 3 3 4 3 2 6" xfId="13157" xr:uid="{00000000-0005-0000-0000-00003C6B0000}"/>
    <cellStyle name="Note 4 3 3 4 3 2 7" xfId="16983" xr:uid="{00000000-0005-0000-0000-00003D6B0000}"/>
    <cellStyle name="Note 4 3 3 4 3 2 8" xfId="20925" xr:uid="{00000000-0005-0000-0000-00003E6B0000}"/>
    <cellStyle name="Note 4 3 3 4 3 2 9" xfId="24740" xr:uid="{00000000-0005-0000-0000-00003F6B0000}"/>
    <cellStyle name="Note 4 3 3 4 3 3" xfId="1393" xr:uid="{00000000-0005-0000-0000-0000406B0000}"/>
    <cellStyle name="Note 4 3 3 4 3 3 10" xfId="32680" xr:uid="{00000000-0005-0000-0000-0000416B0000}"/>
    <cellStyle name="Note 4 3 3 4 3 3 11" xfId="36450" xr:uid="{00000000-0005-0000-0000-0000426B0000}"/>
    <cellStyle name="Note 4 3 3 4 3 3 12" xfId="40441" xr:uid="{00000000-0005-0000-0000-0000436B0000}"/>
    <cellStyle name="Note 4 3 3 4 3 3 13" xfId="44272" xr:uid="{00000000-0005-0000-0000-0000446B0000}"/>
    <cellStyle name="Note 4 3 3 4 3 3 2" xfId="3383" xr:uid="{00000000-0005-0000-0000-0000456B0000}"/>
    <cellStyle name="Note 4 3 3 4 3 3 2 10" xfId="38434" xr:uid="{00000000-0005-0000-0000-0000466B0000}"/>
    <cellStyle name="Note 4 3 3 4 3 3 2 11" xfId="42445" xr:uid="{00000000-0005-0000-0000-0000476B0000}"/>
    <cellStyle name="Note 4 3 3 4 3 3 2 12" xfId="46210" xr:uid="{00000000-0005-0000-0000-0000486B0000}"/>
    <cellStyle name="Note 4 3 3 4 3 3 2 2" xfId="7250" xr:uid="{00000000-0005-0000-0000-0000496B0000}"/>
    <cellStyle name="Note 4 3 3 4 3 3 2 3" xfId="11685" xr:uid="{00000000-0005-0000-0000-00004A6B0000}"/>
    <cellStyle name="Note 4 3 3 4 3 3 2 4" xfId="15530" xr:uid="{00000000-0005-0000-0000-00004B6B0000}"/>
    <cellStyle name="Note 4 3 3 4 3 3 2 5" xfId="19377" xr:uid="{00000000-0005-0000-0000-00004C6B0000}"/>
    <cellStyle name="Note 4 3 3 4 3 3 2 6" xfId="23293" xr:uid="{00000000-0005-0000-0000-00004D6B0000}"/>
    <cellStyle name="Note 4 3 3 4 3 3 2 7" xfId="27127" xr:uid="{00000000-0005-0000-0000-00004E6B0000}"/>
    <cellStyle name="Note 4 3 3 4 3 3 2 8" xfId="30995" xr:uid="{00000000-0005-0000-0000-00004F6B0000}"/>
    <cellStyle name="Note 4 3 3 4 3 3 2 9" xfId="34648" xr:uid="{00000000-0005-0000-0000-0000506B0000}"/>
    <cellStyle name="Note 4 3 3 4 3 3 3" xfId="5326" xr:uid="{00000000-0005-0000-0000-0000516B0000}"/>
    <cellStyle name="Note 4 3 3 4 3 3 4" xfId="9684" xr:uid="{00000000-0005-0000-0000-0000526B0000}"/>
    <cellStyle name="Note 4 3 3 4 3 3 5" xfId="13530" xr:uid="{00000000-0005-0000-0000-0000536B0000}"/>
    <cellStyle name="Note 4 3 3 4 3 3 6" xfId="17359" xr:uid="{00000000-0005-0000-0000-0000546B0000}"/>
    <cellStyle name="Note 4 3 3 4 3 3 7" xfId="21298" xr:uid="{00000000-0005-0000-0000-0000556B0000}"/>
    <cellStyle name="Note 4 3 3 4 3 3 8" xfId="25111" xr:uid="{00000000-0005-0000-0000-0000566B0000}"/>
    <cellStyle name="Note 4 3 3 4 3 3 9" xfId="28998" xr:uid="{00000000-0005-0000-0000-0000576B0000}"/>
    <cellStyle name="Note 4 3 3 4 3 4" xfId="2640" xr:uid="{00000000-0005-0000-0000-0000586B0000}"/>
    <cellStyle name="Note 4 3 3 4 3 4 10" xfId="37692" xr:uid="{00000000-0005-0000-0000-0000596B0000}"/>
    <cellStyle name="Note 4 3 3 4 3 4 11" xfId="41706" xr:uid="{00000000-0005-0000-0000-00005A6B0000}"/>
    <cellStyle name="Note 4 3 3 4 3 4 12" xfId="45493" xr:uid="{00000000-0005-0000-0000-00005B6B0000}"/>
    <cellStyle name="Note 4 3 3 4 3 4 2" xfId="6530" xr:uid="{00000000-0005-0000-0000-00005C6B0000}"/>
    <cellStyle name="Note 4 3 3 4 3 4 3" xfId="10954" xr:uid="{00000000-0005-0000-0000-00005D6B0000}"/>
    <cellStyle name="Note 4 3 3 4 3 4 4" xfId="14798" xr:uid="{00000000-0005-0000-0000-00005E6B0000}"/>
    <cellStyle name="Note 4 3 3 4 3 4 5" xfId="18634" xr:uid="{00000000-0005-0000-0000-00005F6B0000}"/>
    <cellStyle name="Note 4 3 3 4 3 4 6" xfId="22567" xr:uid="{00000000-0005-0000-0000-0000606B0000}"/>
    <cellStyle name="Note 4 3 3 4 3 4 7" xfId="26385" xr:uid="{00000000-0005-0000-0000-0000616B0000}"/>
    <cellStyle name="Note 4 3 3 4 3 4 8" xfId="30264" xr:uid="{00000000-0005-0000-0000-0000626B0000}"/>
    <cellStyle name="Note 4 3 3 4 3 4 9" xfId="33931" xr:uid="{00000000-0005-0000-0000-0000636B0000}"/>
    <cellStyle name="Note 4 3 3 4 3 5" xfId="4606" xr:uid="{00000000-0005-0000-0000-0000646B0000}"/>
    <cellStyle name="Note 4 3 3 4 3 6" xfId="8946" xr:uid="{00000000-0005-0000-0000-0000656B0000}"/>
    <cellStyle name="Note 4 3 3 4 3 7" xfId="10379" xr:uid="{00000000-0005-0000-0000-0000666B0000}"/>
    <cellStyle name="Note 4 3 3 4 3 8" xfId="14223" xr:uid="{00000000-0005-0000-0000-0000676B0000}"/>
    <cellStyle name="Note 4 3 3 4 3 9" xfId="20550" xr:uid="{00000000-0005-0000-0000-0000686B0000}"/>
    <cellStyle name="Note 4 3 3 4 30" xfId="47375" xr:uid="{00000000-0005-0000-0000-0000696B0000}"/>
    <cellStyle name="Note 4 3 3 4 31" xfId="47461" xr:uid="{00000000-0005-0000-0000-00006A6B0000}"/>
    <cellStyle name="Note 4 3 3 4 32" xfId="47510" xr:uid="{00000000-0005-0000-0000-00006B6B0000}"/>
    <cellStyle name="Note 4 3 3 4 4" xfId="806" xr:uid="{00000000-0005-0000-0000-00006C6B0000}"/>
    <cellStyle name="Note 4 3 3 4 4 10" xfId="24530" xr:uid="{00000000-0005-0000-0000-00006D6B0000}"/>
    <cellStyle name="Note 4 3 3 4 4 11" xfId="28421" xr:uid="{00000000-0005-0000-0000-00006E6B0000}"/>
    <cellStyle name="Note 4 3 3 4 4 12" xfId="32107" xr:uid="{00000000-0005-0000-0000-00006F6B0000}"/>
    <cellStyle name="Note 4 3 3 4 4 13" xfId="35864" xr:uid="{00000000-0005-0000-0000-0000706B0000}"/>
    <cellStyle name="Note 4 3 3 4 4 14" xfId="39875" xr:uid="{00000000-0005-0000-0000-0000716B0000}"/>
    <cellStyle name="Note 4 3 3 4 4 15" xfId="43690" xr:uid="{00000000-0005-0000-0000-0000726B0000}"/>
    <cellStyle name="Note 4 3 3 4 4 2" xfId="1168" xr:uid="{00000000-0005-0000-0000-0000736B0000}"/>
    <cellStyle name="Note 4 3 3 4 4 2 10" xfId="28777" xr:uid="{00000000-0005-0000-0000-0000746B0000}"/>
    <cellStyle name="Note 4 3 3 4 4 2 11" xfId="32460" xr:uid="{00000000-0005-0000-0000-0000756B0000}"/>
    <cellStyle name="Note 4 3 3 4 4 2 12" xfId="36226" xr:uid="{00000000-0005-0000-0000-0000766B0000}"/>
    <cellStyle name="Note 4 3 3 4 4 2 13" xfId="40221" xr:uid="{00000000-0005-0000-0000-0000776B0000}"/>
    <cellStyle name="Note 4 3 3 4 4 2 14" xfId="44052" xr:uid="{00000000-0005-0000-0000-0000786B0000}"/>
    <cellStyle name="Note 4 3 3 4 4 2 2" xfId="1890" xr:uid="{00000000-0005-0000-0000-0000796B0000}"/>
    <cellStyle name="Note 4 3 3 4 4 2 2 10" xfId="33177" xr:uid="{00000000-0005-0000-0000-00007A6B0000}"/>
    <cellStyle name="Note 4 3 3 4 4 2 2 11" xfId="36947" xr:uid="{00000000-0005-0000-0000-00007B6B0000}"/>
    <cellStyle name="Note 4 3 3 4 4 2 2 12" xfId="40938" xr:uid="{00000000-0005-0000-0000-00007C6B0000}"/>
    <cellStyle name="Note 4 3 3 4 4 2 2 13" xfId="44769" xr:uid="{00000000-0005-0000-0000-00007D6B0000}"/>
    <cellStyle name="Note 4 3 3 4 4 2 2 2" xfId="3880" xr:uid="{00000000-0005-0000-0000-00007E6B0000}"/>
    <cellStyle name="Note 4 3 3 4 4 2 2 2 10" xfId="38931" xr:uid="{00000000-0005-0000-0000-00007F6B0000}"/>
    <cellStyle name="Note 4 3 3 4 4 2 2 2 11" xfId="42942" xr:uid="{00000000-0005-0000-0000-0000806B0000}"/>
    <cellStyle name="Note 4 3 3 4 4 2 2 2 12" xfId="46707" xr:uid="{00000000-0005-0000-0000-0000816B0000}"/>
    <cellStyle name="Note 4 3 3 4 4 2 2 2 2" xfId="7747" xr:uid="{00000000-0005-0000-0000-0000826B0000}"/>
    <cellStyle name="Note 4 3 3 4 4 2 2 2 3" xfId="12182" xr:uid="{00000000-0005-0000-0000-0000836B0000}"/>
    <cellStyle name="Note 4 3 3 4 4 2 2 2 4" xfId="16027" xr:uid="{00000000-0005-0000-0000-0000846B0000}"/>
    <cellStyle name="Note 4 3 3 4 4 2 2 2 5" xfId="19874" xr:uid="{00000000-0005-0000-0000-0000856B0000}"/>
    <cellStyle name="Note 4 3 3 4 4 2 2 2 6" xfId="23790" xr:uid="{00000000-0005-0000-0000-0000866B0000}"/>
    <cellStyle name="Note 4 3 3 4 4 2 2 2 7" xfId="27624" xr:uid="{00000000-0005-0000-0000-0000876B0000}"/>
    <cellStyle name="Note 4 3 3 4 4 2 2 2 8" xfId="31487" xr:uid="{00000000-0005-0000-0000-0000886B0000}"/>
    <cellStyle name="Note 4 3 3 4 4 2 2 2 9" xfId="35145" xr:uid="{00000000-0005-0000-0000-0000896B0000}"/>
    <cellStyle name="Note 4 3 3 4 4 2 2 3" xfId="5823" xr:uid="{00000000-0005-0000-0000-00008A6B0000}"/>
    <cellStyle name="Note 4 3 3 4 4 2 2 4" xfId="10181" xr:uid="{00000000-0005-0000-0000-00008B6B0000}"/>
    <cellStyle name="Note 4 3 3 4 4 2 2 5" xfId="14027" xr:uid="{00000000-0005-0000-0000-00008C6B0000}"/>
    <cellStyle name="Note 4 3 3 4 4 2 2 6" xfId="17856" xr:uid="{00000000-0005-0000-0000-00008D6B0000}"/>
    <cellStyle name="Note 4 3 3 4 4 2 2 7" xfId="21795" xr:uid="{00000000-0005-0000-0000-00008E6B0000}"/>
    <cellStyle name="Note 4 3 3 4 4 2 2 8" xfId="25608" xr:uid="{00000000-0005-0000-0000-00008F6B0000}"/>
    <cellStyle name="Note 4 3 3 4 4 2 2 9" xfId="29495" xr:uid="{00000000-0005-0000-0000-0000906B0000}"/>
    <cellStyle name="Note 4 3 3 4 4 2 3" xfId="3158" xr:uid="{00000000-0005-0000-0000-0000916B0000}"/>
    <cellStyle name="Note 4 3 3 4 4 2 3 10" xfId="38210" xr:uid="{00000000-0005-0000-0000-0000926B0000}"/>
    <cellStyle name="Note 4 3 3 4 4 2 3 11" xfId="42221" xr:uid="{00000000-0005-0000-0000-0000936B0000}"/>
    <cellStyle name="Note 4 3 3 4 4 2 3 12" xfId="45990" xr:uid="{00000000-0005-0000-0000-0000946B0000}"/>
    <cellStyle name="Note 4 3 3 4 4 2 3 2" xfId="7030" xr:uid="{00000000-0005-0000-0000-0000956B0000}"/>
    <cellStyle name="Note 4 3 3 4 4 2 3 3" xfId="11462" xr:uid="{00000000-0005-0000-0000-0000966B0000}"/>
    <cellStyle name="Note 4 3 3 4 4 2 3 4" xfId="15306" xr:uid="{00000000-0005-0000-0000-0000976B0000}"/>
    <cellStyle name="Note 4 3 3 4 4 2 3 5" xfId="19152" xr:uid="{00000000-0005-0000-0000-0000986B0000}"/>
    <cellStyle name="Note 4 3 3 4 4 2 3 6" xfId="23071" xr:uid="{00000000-0005-0000-0000-0000996B0000}"/>
    <cellStyle name="Note 4 3 3 4 4 2 3 7" xfId="26903" xr:uid="{00000000-0005-0000-0000-00009A6B0000}"/>
    <cellStyle name="Note 4 3 3 4 4 2 3 8" xfId="30775" xr:uid="{00000000-0005-0000-0000-00009B6B0000}"/>
    <cellStyle name="Note 4 3 3 4 4 2 3 9" xfId="34428" xr:uid="{00000000-0005-0000-0000-00009C6B0000}"/>
    <cellStyle name="Note 4 3 3 4 4 2 4" xfId="5106" xr:uid="{00000000-0005-0000-0000-00009D6B0000}"/>
    <cellStyle name="Note 4 3 3 4 4 2 5" xfId="9462" xr:uid="{00000000-0005-0000-0000-00009E6B0000}"/>
    <cellStyle name="Note 4 3 3 4 4 2 6" xfId="13306" xr:uid="{00000000-0005-0000-0000-00009F6B0000}"/>
    <cellStyle name="Note 4 3 3 4 4 2 7" xfId="17134" xr:uid="{00000000-0005-0000-0000-0000A06B0000}"/>
    <cellStyle name="Note 4 3 3 4 4 2 8" xfId="21076" xr:uid="{00000000-0005-0000-0000-0000A16B0000}"/>
    <cellStyle name="Note 4 3 3 4 4 2 9" xfId="24887" xr:uid="{00000000-0005-0000-0000-0000A26B0000}"/>
    <cellStyle name="Note 4 3 3 4 4 3" xfId="1537" xr:uid="{00000000-0005-0000-0000-0000A36B0000}"/>
    <cellStyle name="Note 4 3 3 4 4 3 10" xfId="32824" xr:uid="{00000000-0005-0000-0000-0000A46B0000}"/>
    <cellStyle name="Note 4 3 3 4 4 3 11" xfId="36594" xr:uid="{00000000-0005-0000-0000-0000A56B0000}"/>
    <cellStyle name="Note 4 3 3 4 4 3 12" xfId="40585" xr:uid="{00000000-0005-0000-0000-0000A66B0000}"/>
    <cellStyle name="Note 4 3 3 4 4 3 13" xfId="44416" xr:uid="{00000000-0005-0000-0000-0000A76B0000}"/>
    <cellStyle name="Note 4 3 3 4 4 3 2" xfId="3527" xr:uid="{00000000-0005-0000-0000-0000A86B0000}"/>
    <cellStyle name="Note 4 3 3 4 4 3 2 10" xfId="38578" xr:uid="{00000000-0005-0000-0000-0000A96B0000}"/>
    <cellStyle name="Note 4 3 3 4 4 3 2 11" xfId="42589" xr:uid="{00000000-0005-0000-0000-0000AA6B0000}"/>
    <cellStyle name="Note 4 3 3 4 4 3 2 12" xfId="46354" xr:uid="{00000000-0005-0000-0000-0000AB6B0000}"/>
    <cellStyle name="Note 4 3 3 4 4 3 2 2" xfId="7394" xr:uid="{00000000-0005-0000-0000-0000AC6B0000}"/>
    <cellStyle name="Note 4 3 3 4 4 3 2 3" xfId="11829" xr:uid="{00000000-0005-0000-0000-0000AD6B0000}"/>
    <cellStyle name="Note 4 3 3 4 4 3 2 4" xfId="15674" xr:uid="{00000000-0005-0000-0000-0000AE6B0000}"/>
    <cellStyle name="Note 4 3 3 4 4 3 2 5" xfId="19521" xr:uid="{00000000-0005-0000-0000-0000AF6B0000}"/>
    <cellStyle name="Note 4 3 3 4 4 3 2 6" xfId="23437" xr:uid="{00000000-0005-0000-0000-0000B06B0000}"/>
    <cellStyle name="Note 4 3 3 4 4 3 2 7" xfId="27271" xr:uid="{00000000-0005-0000-0000-0000B16B0000}"/>
    <cellStyle name="Note 4 3 3 4 4 3 2 8" xfId="31138" xr:uid="{00000000-0005-0000-0000-0000B26B0000}"/>
    <cellStyle name="Note 4 3 3 4 4 3 2 9" xfId="34792" xr:uid="{00000000-0005-0000-0000-0000B36B0000}"/>
    <cellStyle name="Note 4 3 3 4 4 3 3" xfId="5470" xr:uid="{00000000-0005-0000-0000-0000B46B0000}"/>
    <cellStyle name="Note 4 3 3 4 4 3 4" xfId="9828" xr:uid="{00000000-0005-0000-0000-0000B56B0000}"/>
    <cellStyle name="Note 4 3 3 4 4 3 5" xfId="13674" xr:uid="{00000000-0005-0000-0000-0000B66B0000}"/>
    <cellStyle name="Note 4 3 3 4 4 3 6" xfId="17503" xr:uid="{00000000-0005-0000-0000-0000B76B0000}"/>
    <cellStyle name="Note 4 3 3 4 4 3 7" xfId="21442" xr:uid="{00000000-0005-0000-0000-0000B86B0000}"/>
    <cellStyle name="Note 4 3 3 4 4 3 8" xfId="25255" xr:uid="{00000000-0005-0000-0000-0000B96B0000}"/>
    <cellStyle name="Note 4 3 3 4 4 3 9" xfId="29142" xr:uid="{00000000-0005-0000-0000-0000BA6B0000}"/>
    <cellStyle name="Note 4 3 3 4 4 4" xfId="2796" xr:uid="{00000000-0005-0000-0000-0000BB6B0000}"/>
    <cellStyle name="Note 4 3 3 4 4 4 10" xfId="37848" xr:uid="{00000000-0005-0000-0000-0000BC6B0000}"/>
    <cellStyle name="Note 4 3 3 4 4 4 11" xfId="41860" xr:uid="{00000000-0005-0000-0000-0000BD6B0000}"/>
    <cellStyle name="Note 4 3 3 4 4 4 12" xfId="45637" xr:uid="{00000000-0005-0000-0000-0000BE6B0000}"/>
    <cellStyle name="Note 4 3 3 4 4 4 2" xfId="6676" xr:uid="{00000000-0005-0000-0000-0000BF6B0000}"/>
    <cellStyle name="Note 4 3 3 4 4 4 3" xfId="11103" xr:uid="{00000000-0005-0000-0000-0000C06B0000}"/>
    <cellStyle name="Note 4 3 3 4 4 4 4" xfId="14948" xr:uid="{00000000-0005-0000-0000-0000C16B0000}"/>
    <cellStyle name="Note 4 3 3 4 4 4 5" xfId="18790" xr:uid="{00000000-0005-0000-0000-0000C26B0000}"/>
    <cellStyle name="Note 4 3 3 4 4 4 6" xfId="22716" xr:uid="{00000000-0005-0000-0000-0000C36B0000}"/>
    <cellStyle name="Note 4 3 3 4 4 4 7" xfId="26541" xr:uid="{00000000-0005-0000-0000-0000C46B0000}"/>
    <cellStyle name="Note 4 3 3 4 4 4 8" xfId="30419" xr:uid="{00000000-0005-0000-0000-0000C56B0000}"/>
    <cellStyle name="Note 4 3 3 4 4 4 9" xfId="34075" xr:uid="{00000000-0005-0000-0000-0000C66B0000}"/>
    <cellStyle name="Note 4 3 3 4 4 5" xfId="4752" xr:uid="{00000000-0005-0000-0000-0000C76B0000}"/>
    <cellStyle name="Note 4 3 3 4 4 6" xfId="9106" xr:uid="{00000000-0005-0000-0000-0000C86B0000}"/>
    <cellStyle name="Note 4 3 3 4 4 7" xfId="12947" xr:uid="{00000000-0005-0000-0000-0000C96B0000}"/>
    <cellStyle name="Note 4 3 3 4 4 8" xfId="16772" xr:uid="{00000000-0005-0000-0000-0000CA6B0000}"/>
    <cellStyle name="Note 4 3 3 4 4 9" xfId="20714" xr:uid="{00000000-0005-0000-0000-0000CB6B0000}"/>
    <cellStyle name="Note 4 3 3 4 5" xfId="898" xr:uid="{00000000-0005-0000-0000-0000CC6B0000}"/>
    <cellStyle name="Note 4 3 3 4 5 10" xfId="24622" xr:uid="{00000000-0005-0000-0000-0000CD6B0000}"/>
    <cellStyle name="Note 4 3 3 4 5 11" xfId="28512" xr:uid="{00000000-0005-0000-0000-0000CE6B0000}"/>
    <cellStyle name="Note 4 3 3 4 5 12" xfId="32199" xr:uid="{00000000-0005-0000-0000-0000CF6B0000}"/>
    <cellStyle name="Note 4 3 3 4 5 13" xfId="35956" xr:uid="{00000000-0005-0000-0000-0000D06B0000}"/>
    <cellStyle name="Note 4 3 3 4 5 14" xfId="39966" xr:uid="{00000000-0005-0000-0000-0000D16B0000}"/>
    <cellStyle name="Note 4 3 3 4 5 15" xfId="43782" xr:uid="{00000000-0005-0000-0000-0000D26B0000}"/>
    <cellStyle name="Note 4 3 3 4 5 2" xfId="1235" xr:uid="{00000000-0005-0000-0000-0000D36B0000}"/>
    <cellStyle name="Note 4 3 3 4 5 2 10" xfId="28843" xr:uid="{00000000-0005-0000-0000-0000D46B0000}"/>
    <cellStyle name="Note 4 3 3 4 5 2 11" xfId="32527" xr:uid="{00000000-0005-0000-0000-0000D56B0000}"/>
    <cellStyle name="Note 4 3 3 4 5 2 12" xfId="36293" xr:uid="{00000000-0005-0000-0000-0000D66B0000}"/>
    <cellStyle name="Note 4 3 3 4 5 2 13" xfId="40286" xr:uid="{00000000-0005-0000-0000-0000D76B0000}"/>
    <cellStyle name="Note 4 3 3 4 5 2 14" xfId="44119" xr:uid="{00000000-0005-0000-0000-0000D86B0000}"/>
    <cellStyle name="Note 4 3 3 4 5 2 2" xfId="1957" xr:uid="{00000000-0005-0000-0000-0000D96B0000}"/>
    <cellStyle name="Note 4 3 3 4 5 2 2 10" xfId="33244" xr:uid="{00000000-0005-0000-0000-0000DA6B0000}"/>
    <cellStyle name="Note 4 3 3 4 5 2 2 11" xfId="37014" xr:uid="{00000000-0005-0000-0000-0000DB6B0000}"/>
    <cellStyle name="Note 4 3 3 4 5 2 2 12" xfId="41005" xr:uid="{00000000-0005-0000-0000-0000DC6B0000}"/>
    <cellStyle name="Note 4 3 3 4 5 2 2 13" xfId="44836" xr:uid="{00000000-0005-0000-0000-0000DD6B0000}"/>
    <cellStyle name="Note 4 3 3 4 5 2 2 2" xfId="3947" xr:uid="{00000000-0005-0000-0000-0000DE6B0000}"/>
    <cellStyle name="Note 4 3 3 4 5 2 2 2 10" xfId="38998" xr:uid="{00000000-0005-0000-0000-0000DF6B0000}"/>
    <cellStyle name="Note 4 3 3 4 5 2 2 2 11" xfId="43009" xr:uid="{00000000-0005-0000-0000-0000E06B0000}"/>
    <cellStyle name="Note 4 3 3 4 5 2 2 2 12" xfId="46774" xr:uid="{00000000-0005-0000-0000-0000E16B0000}"/>
    <cellStyle name="Note 4 3 3 4 5 2 2 2 2" xfId="7814" xr:uid="{00000000-0005-0000-0000-0000E26B0000}"/>
    <cellStyle name="Note 4 3 3 4 5 2 2 2 3" xfId="12249" xr:uid="{00000000-0005-0000-0000-0000E36B0000}"/>
    <cellStyle name="Note 4 3 3 4 5 2 2 2 4" xfId="16094" xr:uid="{00000000-0005-0000-0000-0000E46B0000}"/>
    <cellStyle name="Note 4 3 3 4 5 2 2 2 5" xfId="19941" xr:uid="{00000000-0005-0000-0000-0000E56B0000}"/>
    <cellStyle name="Note 4 3 3 4 5 2 2 2 6" xfId="23857" xr:uid="{00000000-0005-0000-0000-0000E66B0000}"/>
    <cellStyle name="Note 4 3 3 4 5 2 2 2 7" xfId="27691" xr:uid="{00000000-0005-0000-0000-0000E76B0000}"/>
    <cellStyle name="Note 4 3 3 4 5 2 2 2 8" xfId="31552" xr:uid="{00000000-0005-0000-0000-0000E86B0000}"/>
    <cellStyle name="Note 4 3 3 4 5 2 2 2 9" xfId="35212" xr:uid="{00000000-0005-0000-0000-0000E96B0000}"/>
    <cellStyle name="Note 4 3 3 4 5 2 2 3" xfId="5890" xr:uid="{00000000-0005-0000-0000-0000EA6B0000}"/>
    <cellStyle name="Note 4 3 3 4 5 2 2 4" xfId="10248" xr:uid="{00000000-0005-0000-0000-0000EB6B0000}"/>
    <cellStyle name="Note 4 3 3 4 5 2 2 5" xfId="14094" xr:uid="{00000000-0005-0000-0000-0000EC6B0000}"/>
    <cellStyle name="Note 4 3 3 4 5 2 2 6" xfId="17923" xr:uid="{00000000-0005-0000-0000-0000ED6B0000}"/>
    <cellStyle name="Note 4 3 3 4 5 2 2 7" xfId="21862" xr:uid="{00000000-0005-0000-0000-0000EE6B0000}"/>
    <cellStyle name="Note 4 3 3 4 5 2 2 8" xfId="25675" xr:uid="{00000000-0005-0000-0000-0000EF6B0000}"/>
    <cellStyle name="Note 4 3 3 4 5 2 2 9" xfId="29562" xr:uid="{00000000-0005-0000-0000-0000F06B0000}"/>
    <cellStyle name="Note 4 3 3 4 5 2 3" xfId="3225" xr:uid="{00000000-0005-0000-0000-0000F16B0000}"/>
    <cellStyle name="Note 4 3 3 4 5 2 3 10" xfId="38277" xr:uid="{00000000-0005-0000-0000-0000F26B0000}"/>
    <cellStyle name="Note 4 3 3 4 5 2 3 11" xfId="42288" xr:uid="{00000000-0005-0000-0000-0000F36B0000}"/>
    <cellStyle name="Note 4 3 3 4 5 2 3 12" xfId="46057" xr:uid="{00000000-0005-0000-0000-0000F46B0000}"/>
    <cellStyle name="Note 4 3 3 4 5 2 3 2" xfId="7097" xr:uid="{00000000-0005-0000-0000-0000F56B0000}"/>
    <cellStyle name="Note 4 3 3 4 5 2 3 3" xfId="11529" xr:uid="{00000000-0005-0000-0000-0000F66B0000}"/>
    <cellStyle name="Note 4 3 3 4 5 2 3 4" xfId="15373" xr:uid="{00000000-0005-0000-0000-0000F76B0000}"/>
    <cellStyle name="Note 4 3 3 4 5 2 3 5" xfId="19219" xr:uid="{00000000-0005-0000-0000-0000F86B0000}"/>
    <cellStyle name="Note 4 3 3 4 5 2 3 6" xfId="23138" xr:uid="{00000000-0005-0000-0000-0000F96B0000}"/>
    <cellStyle name="Note 4 3 3 4 5 2 3 7" xfId="26970" xr:uid="{00000000-0005-0000-0000-0000FA6B0000}"/>
    <cellStyle name="Note 4 3 3 4 5 2 3 8" xfId="30840" xr:uid="{00000000-0005-0000-0000-0000FB6B0000}"/>
    <cellStyle name="Note 4 3 3 4 5 2 3 9" xfId="34495" xr:uid="{00000000-0005-0000-0000-0000FC6B0000}"/>
    <cellStyle name="Note 4 3 3 4 5 2 4" xfId="5173" xr:uid="{00000000-0005-0000-0000-0000FD6B0000}"/>
    <cellStyle name="Note 4 3 3 4 5 2 5" xfId="9529" xr:uid="{00000000-0005-0000-0000-0000FE6B0000}"/>
    <cellStyle name="Note 4 3 3 4 5 2 6" xfId="13373" xr:uid="{00000000-0005-0000-0000-0000FF6B0000}"/>
    <cellStyle name="Note 4 3 3 4 5 2 7" xfId="17201" xr:uid="{00000000-0005-0000-0000-0000006C0000}"/>
    <cellStyle name="Note 4 3 3 4 5 2 8" xfId="21143" xr:uid="{00000000-0005-0000-0000-0000016C0000}"/>
    <cellStyle name="Note 4 3 3 4 5 2 9" xfId="24954" xr:uid="{00000000-0005-0000-0000-0000026C0000}"/>
    <cellStyle name="Note 4 3 3 4 5 3" xfId="1629" xr:uid="{00000000-0005-0000-0000-0000036C0000}"/>
    <cellStyle name="Note 4 3 3 4 5 3 10" xfId="32916" xr:uid="{00000000-0005-0000-0000-0000046C0000}"/>
    <cellStyle name="Note 4 3 3 4 5 3 11" xfId="36686" xr:uid="{00000000-0005-0000-0000-0000056C0000}"/>
    <cellStyle name="Note 4 3 3 4 5 3 12" xfId="40677" xr:uid="{00000000-0005-0000-0000-0000066C0000}"/>
    <cellStyle name="Note 4 3 3 4 5 3 13" xfId="44508" xr:uid="{00000000-0005-0000-0000-0000076C0000}"/>
    <cellStyle name="Note 4 3 3 4 5 3 2" xfId="3619" xr:uid="{00000000-0005-0000-0000-0000086C0000}"/>
    <cellStyle name="Note 4 3 3 4 5 3 2 10" xfId="38670" xr:uid="{00000000-0005-0000-0000-0000096C0000}"/>
    <cellStyle name="Note 4 3 3 4 5 3 2 11" xfId="42681" xr:uid="{00000000-0005-0000-0000-00000A6C0000}"/>
    <cellStyle name="Note 4 3 3 4 5 3 2 12" xfId="46446" xr:uid="{00000000-0005-0000-0000-00000B6C0000}"/>
    <cellStyle name="Note 4 3 3 4 5 3 2 2" xfId="7486" xr:uid="{00000000-0005-0000-0000-00000C6C0000}"/>
    <cellStyle name="Note 4 3 3 4 5 3 2 3" xfId="11921" xr:uid="{00000000-0005-0000-0000-00000D6C0000}"/>
    <cellStyle name="Note 4 3 3 4 5 3 2 4" xfId="15766" xr:uid="{00000000-0005-0000-0000-00000E6C0000}"/>
    <cellStyle name="Note 4 3 3 4 5 3 2 5" xfId="19613" xr:uid="{00000000-0005-0000-0000-00000F6C0000}"/>
    <cellStyle name="Note 4 3 3 4 5 3 2 6" xfId="23529" xr:uid="{00000000-0005-0000-0000-0000106C0000}"/>
    <cellStyle name="Note 4 3 3 4 5 3 2 7" xfId="27363" xr:uid="{00000000-0005-0000-0000-0000116C0000}"/>
    <cellStyle name="Note 4 3 3 4 5 3 2 8" xfId="31228" xr:uid="{00000000-0005-0000-0000-0000126C0000}"/>
    <cellStyle name="Note 4 3 3 4 5 3 2 9" xfId="34884" xr:uid="{00000000-0005-0000-0000-0000136C0000}"/>
    <cellStyle name="Note 4 3 3 4 5 3 3" xfId="5562" xr:uid="{00000000-0005-0000-0000-0000146C0000}"/>
    <cellStyle name="Note 4 3 3 4 5 3 4" xfId="9920" xr:uid="{00000000-0005-0000-0000-0000156C0000}"/>
    <cellStyle name="Note 4 3 3 4 5 3 5" xfId="13766" xr:uid="{00000000-0005-0000-0000-0000166C0000}"/>
    <cellStyle name="Note 4 3 3 4 5 3 6" xfId="17595" xr:uid="{00000000-0005-0000-0000-0000176C0000}"/>
    <cellStyle name="Note 4 3 3 4 5 3 7" xfId="21534" xr:uid="{00000000-0005-0000-0000-0000186C0000}"/>
    <cellStyle name="Note 4 3 3 4 5 3 8" xfId="25347" xr:uid="{00000000-0005-0000-0000-0000196C0000}"/>
    <cellStyle name="Note 4 3 3 4 5 3 9" xfId="29234" xr:uid="{00000000-0005-0000-0000-00001A6C0000}"/>
    <cellStyle name="Note 4 3 3 4 5 4" xfId="2888" xr:uid="{00000000-0005-0000-0000-00001B6C0000}"/>
    <cellStyle name="Note 4 3 3 4 5 4 10" xfId="37940" xr:uid="{00000000-0005-0000-0000-00001C6C0000}"/>
    <cellStyle name="Note 4 3 3 4 5 4 11" xfId="41952" xr:uid="{00000000-0005-0000-0000-00001D6C0000}"/>
    <cellStyle name="Note 4 3 3 4 5 4 12" xfId="45729" xr:uid="{00000000-0005-0000-0000-00001E6C0000}"/>
    <cellStyle name="Note 4 3 3 4 5 4 2" xfId="6768" xr:uid="{00000000-0005-0000-0000-00001F6C0000}"/>
    <cellStyle name="Note 4 3 3 4 5 4 3" xfId="11195" xr:uid="{00000000-0005-0000-0000-0000206C0000}"/>
    <cellStyle name="Note 4 3 3 4 5 4 4" xfId="15040" xr:uid="{00000000-0005-0000-0000-0000216C0000}"/>
    <cellStyle name="Note 4 3 3 4 5 4 5" xfId="18882" xr:uid="{00000000-0005-0000-0000-0000226C0000}"/>
    <cellStyle name="Note 4 3 3 4 5 4 6" xfId="22808" xr:uid="{00000000-0005-0000-0000-0000236C0000}"/>
    <cellStyle name="Note 4 3 3 4 5 4 7" xfId="26633" xr:uid="{00000000-0005-0000-0000-0000246C0000}"/>
    <cellStyle name="Note 4 3 3 4 5 4 8" xfId="30509" xr:uid="{00000000-0005-0000-0000-0000256C0000}"/>
    <cellStyle name="Note 4 3 3 4 5 4 9" xfId="34167" xr:uid="{00000000-0005-0000-0000-0000266C0000}"/>
    <cellStyle name="Note 4 3 3 4 5 5" xfId="4844" xr:uid="{00000000-0005-0000-0000-0000276C0000}"/>
    <cellStyle name="Note 4 3 3 4 5 6" xfId="9198" xr:uid="{00000000-0005-0000-0000-0000286C0000}"/>
    <cellStyle name="Note 4 3 3 4 5 7" xfId="13039" xr:uid="{00000000-0005-0000-0000-0000296C0000}"/>
    <cellStyle name="Note 4 3 3 4 5 8" xfId="16864" xr:uid="{00000000-0005-0000-0000-00002A6C0000}"/>
    <cellStyle name="Note 4 3 3 4 5 9" xfId="20806" xr:uid="{00000000-0005-0000-0000-00002B6C0000}"/>
    <cellStyle name="Note 4 3 3 4 6" xfId="944" xr:uid="{00000000-0005-0000-0000-00002C6C0000}"/>
    <cellStyle name="Note 4 3 3 4 6 10" xfId="28556" xr:uid="{00000000-0005-0000-0000-00002D6C0000}"/>
    <cellStyle name="Note 4 3 3 4 6 11" xfId="32245" xr:uid="{00000000-0005-0000-0000-00002E6C0000}"/>
    <cellStyle name="Note 4 3 3 4 6 12" xfId="36002" xr:uid="{00000000-0005-0000-0000-00002F6C0000}"/>
    <cellStyle name="Note 4 3 3 4 6 13" xfId="40010" xr:uid="{00000000-0005-0000-0000-0000306C0000}"/>
    <cellStyle name="Note 4 3 3 4 6 14" xfId="43828" xr:uid="{00000000-0005-0000-0000-0000316C0000}"/>
    <cellStyle name="Note 4 3 3 4 6 2" xfId="1675" xr:uid="{00000000-0005-0000-0000-0000326C0000}"/>
    <cellStyle name="Note 4 3 3 4 6 2 10" xfId="32962" xr:uid="{00000000-0005-0000-0000-0000336C0000}"/>
    <cellStyle name="Note 4 3 3 4 6 2 11" xfId="36732" xr:uid="{00000000-0005-0000-0000-0000346C0000}"/>
    <cellStyle name="Note 4 3 3 4 6 2 12" xfId="40723" xr:uid="{00000000-0005-0000-0000-0000356C0000}"/>
    <cellStyle name="Note 4 3 3 4 6 2 13" xfId="44554" xr:uid="{00000000-0005-0000-0000-0000366C0000}"/>
    <cellStyle name="Note 4 3 3 4 6 2 2" xfId="3665" xr:uid="{00000000-0005-0000-0000-0000376C0000}"/>
    <cellStyle name="Note 4 3 3 4 6 2 2 10" xfId="38716" xr:uid="{00000000-0005-0000-0000-0000386C0000}"/>
    <cellStyle name="Note 4 3 3 4 6 2 2 11" xfId="42727" xr:uid="{00000000-0005-0000-0000-0000396C0000}"/>
    <cellStyle name="Note 4 3 3 4 6 2 2 12" xfId="46492" xr:uid="{00000000-0005-0000-0000-00003A6C0000}"/>
    <cellStyle name="Note 4 3 3 4 6 2 2 2" xfId="7532" xr:uid="{00000000-0005-0000-0000-00003B6C0000}"/>
    <cellStyle name="Note 4 3 3 4 6 2 2 3" xfId="11967" xr:uid="{00000000-0005-0000-0000-00003C6C0000}"/>
    <cellStyle name="Note 4 3 3 4 6 2 2 4" xfId="15812" xr:uid="{00000000-0005-0000-0000-00003D6C0000}"/>
    <cellStyle name="Note 4 3 3 4 6 2 2 5" xfId="19659" xr:uid="{00000000-0005-0000-0000-00003E6C0000}"/>
    <cellStyle name="Note 4 3 3 4 6 2 2 6" xfId="23575" xr:uid="{00000000-0005-0000-0000-00003F6C0000}"/>
    <cellStyle name="Note 4 3 3 4 6 2 2 7" xfId="27409" xr:uid="{00000000-0005-0000-0000-0000406C0000}"/>
    <cellStyle name="Note 4 3 3 4 6 2 2 8" xfId="31273" xr:uid="{00000000-0005-0000-0000-0000416C0000}"/>
    <cellStyle name="Note 4 3 3 4 6 2 2 9" xfId="34930" xr:uid="{00000000-0005-0000-0000-0000426C0000}"/>
    <cellStyle name="Note 4 3 3 4 6 2 3" xfId="5608" xr:uid="{00000000-0005-0000-0000-0000436C0000}"/>
    <cellStyle name="Note 4 3 3 4 6 2 4" xfId="9966" xr:uid="{00000000-0005-0000-0000-0000446C0000}"/>
    <cellStyle name="Note 4 3 3 4 6 2 5" xfId="13812" xr:uid="{00000000-0005-0000-0000-0000456C0000}"/>
    <cellStyle name="Note 4 3 3 4 6 2 6" xfId="17641" xr:uid="{00000000-0005-0000-0000-0000466C0000}"/>
    <cellStyle name="Note 4 3 3 4 6 2 7" xfId="21580" xr:uid="{00000000-0005-0000-0000-0000476C0000}"/>
    <cellStyle name="Note 4 3 3 4 6 2 8" xfId="25393" xr:uid="{00000000-0005-0000-0000-0000486C0000}"/>
    <cellStyle name="Note 4 3 3 4 6 2 9" xfId="29280" xr:uid="{00000000-0005-0000-0000-0000496C0000}"/>
    <cellStyle name="Note 4 3 3 4 6 3" xfId="2934" xr:uid="{00000000-0005-0000-0000-00004A6C0000}"/>
    <cellStyle name="Note 4 3 3 4 6 3 10" xfId="37986" xr:uid="{00000000-0005-0000-0000-00004B6C0000}"/>
    <cellStyle name="Note 4 3 3 4 6 3 11" xfId="41998" xr:uid="{00000000-0005-0000-0000-00004C6C0000}"/>
    <cellStyle name="Note 4 3 3 4 6 3 12" xfId="45775" xr:uid="{00000000-0005-0000-0000-00004D6C0000}"/>
    <cellStyle name="Note 4 3 3 4 6 3 2" xfId="6814" xr:uid="{00000000-0005-0000-0000-00004E6C0000}"/>
    <cellStyle name="Note 4 3 3 4 6 3 3" xfId="11241" xr:uid="{00000000-0005-0000-0000-00004F6C0000}"/>
    <cellStyle name="Note 4 3 3 4 6 3 4" xfId="15086" xr:uid="{00000000-0005-0000-0000-0000506C0000}"/>
    <cellStyle name="Note 4 3 3 4 6 3 5" xfId="18928" xr:uid="{00000000-0005-0000-0000-0000516C0000}"/>
    <cellStyle name="Note 4 3 3 4 6 3 6" xfId="22854" xr:uid="{00000000-0005-0000-0000-0000526C0000}"/>
    <cellStyle name="Note 4 3 3 4 6 3 7" xfId="26679" xr:uid="{00000000-0005-0000-0000-0000536C0000}"/>
    <cellStyle name="Note 4 3 3 4 6 3 8" xfId="30554" xr:uid="{00000000-0005-0000-0000-0000546C0000}"/>
    <cellStyle name="Note 4 3 3 4 6 3 9" xfId="34213" xr:uid="{00000000-0005-0000-0000-0000556C0000}"/>
    <cellStyle name="Note 4 3 3 4 6 4" xfId="4890" xr:uid="{00000000-0005-0000-0000-0000566C0000}"/>
    <cellStyle name="Note 4 3 3 4 6 5" xfId="9244" xr:uid="{00000000-0005-0000-0000-0000576C0000}"/>
    <cellStyle name="Note 4 3 3 4 6 6" xfId="13085" xr:uid="{00000000-0005-0000-0000-0000586C0000}"/>
    <cellStyle name="Note 4 3 3 4 6 7" xfId="16910" xr:uid="{00000000-0005-0000-0000-0000596C0000}"/>
    <cellStyle name="Note 4 3 3 4 6 8" xfId="20852" xr:uid="{00000000-0005-0000-0000-00005A6C0000}"/>
    <cellStyle name="Note 4 3 3 4 6 9" xfId="24668" xr:uid="{00000000-0005-0000-0000-00005B6C0000}"/>
    <cellStyle name="Note 4 3 3 4 7" xfId="1322" xr:uid="{00000000-0005-0000-0000-00005C6C0000}"/>
    <cellStyle name="Note 4 3 3 4 7 10" xfId="32609" xr:uid="{00000000-0005-0000-0000-00005D6C0000}"/>
    <cellStyle name="Note 4 3 3 4 7 11" xfId="36379" xr:uid="{00000000-0005-0000-0000-00005E6C0000}"/>
    <cellStyle name="Note 4 3 3 4 7 12" xfId="40370" xr:uid="{00000000-0005-0000-0000-00005F6C0000}"/>
    <cellStyle name="Note 4 3 3 4 7 13" xfId="44201" xr:uid="{00000000-0005-0000-0000-0000606C0000}"/>
    <cellStyle name="Note 4 3 3 4 7 2" xfId="3312" xr:uid="{00000000-0005-0000-0000-0000616C0000}"/>
    <cellStyle name="Note 4 3 3 4 7 2 10" xfId="38363" xr:uid="{00000000-0005-0000-0000-0000626C0000}"/>
    <cellStyle name="Note 4 3 3 4 7 2 11" xfId="42374" xr:uid="{00000000-0005-0000-0000-0000636C0000}"/>
    <cellStyle name="Note 4 3 3 4 7 2 12" xfId="46139" xr:uid="{00000000-0005-0000-0000-0000646C0000}"/>
    <cellStyle name="Note 4 3 3 4 7 2 2" xfId="7179" xr:uid="{00000000-0005-0000-0000-0000656C0000}"/>
    <cellStyle name="Note 4 3 3 4 7 2 3" xfId="11614" xr:uid="{00000000-0005-0000-0000-0000666C0000}"/>
    <cellStyle name="Note 4 3 3 4 7 2 4" xfId="15459" xr:uid="{00000000-0005-0000-0000-0000676C0000}"/>
    <cellStyle name="Note 4 3 3 4 7 2 5" xfId="19306" xr:uid="{00000000-0005-0000-0000-0000686C0000}"/>
    <cellStyle name="Note 4 3 3 4 7 2 6" xfId="23222" xr:uid="{00000000-0005-0000-0000-0000696C0000}"/>
    <cellStyle name="Note 4 3 3 4 7 2 7" xfId="27056" xr:uid="{00000000-0005-0000-0000-00006A6C0000}"/>
    <cellStyle name="Note 4 3 3 4 7 2 8" xfId="30925" xr:uid="{00000000-0005-0000-0000-00006B6C0000}"/>
    <cellStyle name="Note 4 3 3 4 7 2 9" xfId="34577" xr:uid="{00000000-0005-0000-0000-00006C6C0000}"/>
    <cellStyle name="Note 4 3 3 4 7 3" xfId="5255" xr:uid="{00000000-0005-0000-0000-00006D6C0000}"/>
    <cellStyle name="Note 4 3 3 4 7 4" xfId="9613" xr:uid="{00000000-0005-0000-0000-00006E6C0000}"/>
    <cellStyle name="Note 4 3 3 4 7 5" xfId="13459" xr:uid="{00000000-0005-0000-0000-00006F6C0000}"/>
    <cellStyle name="Note 4 3 3 4 7 6" xfId="17288" xr:uid="{00000000-0005-0000-0000-0000706C0000}"/>
    <cellStyle name="Note 4 3 3 4 7 7" xfId="21227" xr:uid="{00000000-0005-0000-0000-0000716C0000}"/>
    <cellStyle name="Note 4 3 3 4 7 8" xfId="25040" xr:uid="{00000000-0005-0000-0000-0000726C0000}"/>
    <cellStyle name="Note 4 3 3 4 7 9" xfId="28927" xr:uid="{00000000-0005-0000-0000-0000736C0000}"/>
    <cellStyle name="Note 4 3 3 4 8" xfId="2019" xr:uid="{00000000-0005-0000-0000-0000746C0000}"/>
    <cellStyle name="Note 4 3 3 4 8 10" xfId="33304" xr:uid="{00000000-0005-0000-0000-0000756C0000}"/>
    <cellStyle name="Note 4 3 3 4 8 11" xfId="37075" xr:uid="{00000000-0005-0000-0000-0000766C0000}"/>
    <cellStyle name="Note 4 3 3 4 8 12" xfId="41067" xr:uid="{00000000-0005-0000-0000-0000776C0000}"/>
    <cellStyle name="Note 4 3 3 4 8 13" xfId="44895" xr:uid="{00000000-0005-0000-0000-0000786C0000}"/>
    <cellStyle name="Note 4 3 3 4 8 2" xfId="4008" xr:uid="{00000000-0005-0000-0000-0000796C0000}"/>
    <cellStyle name="Note 4 3 3 4 8 2 10" xfId="39059" xr:uid="{00000000-0005-0000-0000-00007A6C0000}"/>
    <cellStyle name="Note 4 3 3 4 8 2 11" xfId="43070" xr:uid="{00000000-0005-0000-0000-00007B6C0000}"/>
    <cellStyle name="Note 4 3 3 4 8 2 12" xfId="46833" xr:uid="{00000000-0005-0000-0000-00007C6C0000}"/>
    <cellStyle name="Note 4 3 3 4 8 2 2" xfId="7873" xr:uid="{00000000-0005-0000-0000-00007D6C0000}"/>
    <cellStyle name="Note 4 3 3 4 8 2 3" xfId="12309" xr:uid="{00000000-0005-0000-0000-00007E6C0000}"/>
    <cellStyle name="Note 4 3 3 4 8 2 4" xfId="16154" xr:uid="{00000000-0005-0000-0000-00007F6C0000}"/>
    <cellStyle name="Note 4 3 3 4 8 2 5" xfId="20002" xr:uid="{00000000-0005-0000-0000-0000806C0000}"/>
    <cellStyle name="Note 4 3 3 4 8 2 6" xfId="23917" xr:uid="{00000000-0005-0000-0000-0000816C0000}"/>
    <cellStyle name="Note 4 3 3 4 8 2 7" xfId="27752" xr:uid="{00000000-0005-0000-0000-0000826C0000}"/>
    <cellStyle name="Note 4 3 3 4 8 2 8" xfId="31612" xr:uid="{00000000-0005-0000-0000-0000836C0000}"/>
    <cellStyle name="Note 4 3 3 4 8 2 9" xfId="35271" xr:uid="{00000000-0005-0000-0000-0000846C0000}"/>
    <cellStyle name="Note 4 3 3 4 8 3" xfId="5949" xr:uid="{00000000-0005-0000-0000-0000856C0000}"/>
    <cellStyle name="Note 4 3 3 4 8 4" xfId="10308" xr:uid="{00000000-0005-0000-0000-0000866C0000}"/>
    <cellStyle name="Note 4 3 3 4 8 5" xfId="14155" xr:uid="{00000000-0005-0000-0000-0000876C0000}"/>
    <cellStyle name="Note 4 3 3 4 8 6" xfId="17985" xr:uid="{00000000-0005-0000-0000-0000886C0000}"/>
    <cellStyle name="Note 4 3 3 4 8 7" xfId="21923" xr:uid="{00000000-0005-0000-0000-0000896C0000}"/>
    <cellStyle name="Note 4 3 3 4 8 8" xfId="25737" xr:uid="{00000000-0005-0000-0000-00008A6C0000}"/>
    <cellStyle name="Note 4 3 3 4 8 9" xfId="29624" xr:uid="{00000000-0005-0000-0000-00008B6C0000}"/>
    <cellStyle name="Note 4 3 3 4 9" xfId="2066" xr:uid="{00000000-0005-0000-0000-00008C6C0000}"/>
    <cellStyle name="Note 4 3 3 4 9 10" xfId="33348" xr:uid="{00000000-0005-0000-0000-00008D6C0000}"/>
    <cellStyle name="Note 4 3 3 4 9 11" xfId="37122" xr:uid="{00000000-0005-0000-0000-00008E6C0000}"/>
    <cellStyle name="Note 4 3 3 4 9 12" xfId="41112" xr:uid="{00000000-0005-0000-0000-00008F6C0000}"/>
    <cellStyle name="Note 4 3 3 4 9 13" xfId="44939" xr:uid="{00000000-0005-0000-0000-0000906C0000}"/>
    <cellStyle name="Note 4 3 3 4 9 2" xfId="4055" xr:uid="{00000000-0005-0000-0000-0000916C0000}"/>
    <cellStyle name="Note 4 3 3 4 9 2 10" xfId="39106" xr:uid="{00000000-0005-0000-0000-0000926C0000}"/>
    <cellStyle name="Note 4 3 3 4 9 2 11" xfId="43116" xr:uid="{00000000-0005-0000-0000-0000936C0000}"/>
    <cellStyle name="Note 4 3 3 4 9 2 12" xfId="46877" xr:uid="{00000000-0005-0000-0000-0000946C0000}"/>
    <cellStyle name="Note 4 3 3 4 9 2 2" xfId="7918" xr:uid="{00000000-0005-0000-0000-0000956C0000}"/>
    <cellStyle name="Note 4 3 3 4 9 2 3" xfId="12355" xr:uid="{00000000-0005-0000-0000-0000966C0000}"/>
    <cellStyle name="Note 4 3 3 4 9 2 4" xfId="16200" xr:uid="{00000000-0005-0000-0000-0000976C0000}"/>
    <cellStyle name="Note 4 3 3 4 9 2 5" xfId="20049" xr:uid="{00000000-0005-0000-0000-0000986C0000}"/>
    <cellStyle name="Note 4 3 3 4 9 2 6" xfId="23963" xr:uid="{00000000-0005-0000-0000-0000996C0000}"/>
    <cellStyle name="Note 4 3 3 4 9 2 7" xfId="27799" xr:uid="{00000000-0005-0000-0000-00009A6C0000}"/>
    <cellStyle name="Note 4 3 3 4 9 2 8" xfId="31658" xr:uid="{00000000-0005-0000-0000-00009B6C0000}"/>
    <cellStyle name="Note 4 3 3 4 9 2 9" xfId="35315" xr:uid="{00000000-0005-0000-0000-00009C6C0000}"/>
    <cellStyle name="Note 4 3 3 4 9 3" xfId="5994" xr:uid="{00000000-0005-0000-0000-00009D6C0000}"/>
    <cellStyle name="Note 4 3 3 4 9 4" xfId="10354" xr:uid="{00000000-0005-0000-0000-00009E6C0000}"/>
    <cellStyle name="Note 4 3 3 4 9 5" xfId="14201" xr:uid="{00000000-0005-0000-0000-00009F6C0000}"/>
    <cellStyle name="Note 4 3 3 4 9 6" xfId="18032" xr:uid="{00000000-0005-0000-0000-0000A06C0000}"/>
    <cellStyle name="Note 4 3 3 4 9 7" xfId="21969" xr:uid="{00000000-0005-0000-0000-0000A16C0000}"/>
    <cellStyle name="Note 4 3 3 4 9 8" xfId="25784" xr:uid="{00000000-0005-0000-0000-0000A26C0000}"/>
    <cellStyle name="Note 4 3 3 4 9 9" xfId="29670" xr:uid="{00000000-0005-0000-0000-0000A36C0000}"/>
    <cellStyle name="Note 4 3 3 5" xfId="541" xr:uid="{00000000-0005-0000-0000-0000A46C0000}"/>
    <cellStyle name="Note 4 3 3 5 10" xfId="2193" xr:uid="{00000000-0005-0000-0000-0000A56C0000}"/>
    <cellStyle name="Note 4 3 3 5 10 10" xfId="33494" xr:uid="{00000000-0005-0000-0000-0000A66C0000}"/>
    <cellStyle name="Note 4 3 3 5 10 11" xfId="37245" xr:uid="{00000000-0005-0000-0000-0000A76C0000}"/>
    <cellStyle name="Note 4 3 3 5 10 12" xfId="41261" xr:uid="{00000000-0005-0000-0000-0000A86C0000}"/>
    <cellStyle name="Note 4 3 3 5 10 13" xfId="45056" xr:uid="{00000000-0005-0000-0000-0000A96C0000}"/>
    <cellStyle name="Note 4 3 3 5 10 2" xfId="4176" xr:uid="{00000000-0005-0000-0000-0000AA6C0000}"/>
    <cellStyle name="Note 4 3 3 5 10 2 10" xfId="39227" xr:uid="{00000000-0005-0000-0000-0000AB6C0000}"/>
    <cellStyle name="Note 4 3 3 5 10 2 11" xfId="43237" xr:uid="{00000000-0005-0000-0000-0000AC6C0000}"/>
    <cellStyle name="Note 4 3 3 5 10 2 12" xfId="46994" xr:uid="{00000000-0005-0000-0000-0000AD6C0000}"/>
    <cellStyle name="Note 4 3 3 5 10 2 2" xfId="8035" xr:uid="{00000000-0005-0000-0000-0000AE6C0000}"/>
    <cellStyle name="Note 4 3 3 5 10 2 3" xfId="12475" xr:uid="{00000000-0005-0000-0000-0000AF6C0000}"/>
    <cellStyle name="Note 4 3 3 5 10 2 4" xfId="16320" xr:uid="{00000000-0005-0000-0000-0000B06C0000}"/>
    <cellStyle name="Note 4 3 3 5 10 2 5" xfId="20170" xr:uid="{00000000-0005-0000-0000-0000B16C0000}"/>
    <cellStyle name="Note 4 3 3 5 10 2 6" xfId="24082" xr:uid="{00000000-0005-0000-0000-0000B26C0000}"/>
    <cellStyle name="Note 4 3 3 5 10 2 7" xfId="27920" xr:uid="{00000000-0005-0000-0000-0000B36C0000}"/>
    <cellStyle name="Note 4 3 3 5 10 2 8" xfId="31779" xr:uid="{00000000-0005-0000-0000-0000B46C0000}"/>
    <cellStyle name="Note 4 3 3 5 10 2 9" xfId="35432" xr:uid="{00000000-0005-0000-0000-0000B56C0000}"/>
    <cellStyle name="Note 4 3 3 5 10 3" xfId="6107" xr:uid="{00000000-0005-0000-0000-0000B66C0000}"/>
    <cellStyle name="Note 4 3 3 5 10 4" xfId="10510" xr:uid="{00000000-0005-0000-0000-0000B76C0000}"/>
    <cellStyle name="Note 4 3 3 5 10 5" xfId="14356" xr:uid="{00000000-0005-0000-0000-0000B86C0000}"/>
    <cellStyle name="Note 4 3 3 5 10 6" xfId="18187" xr:uid="{00000000-0005-0000-0000-0000B96C0000}"/>
    <cellStyle name="Note 4 3 3 5 10 7" xfId="22126" xr:uid="{00000000-0005-0000-0000-0000BA6C0000}"/>
    <cellStyle name="Note 4 3 3 5 10 8" xfId="25938" xr:uid="{00000000-0005-0000-0000-0000BB6C0000}"/>
    <cellStyle name="Note 4 3 3 5 10 9" xfId="29818" xr:uid="{00000000-0005-0000-0000-0000BC6C0000}"/>
    <cellStyle name="Note 4 3 3 5 11" xfId="2251" xr:uid="{00000000-0005-0000-0000-0000BD6C0000}"/>
    <cellStyle name="Note 4 3 3 5 11 10" xfId="33552" xr:uid="{00000000-0005-0000-0000-0000BE6C0000}"/>
    <cellStyle name="Note 4 3 3 5 11 11" xfId="37303" xr:uid="{00000000-0005-0000-0000-0000BF6C0000}"/>
    <cellStyle name="Note 4 3 3 5 11 12" xfId="41319" xr:uid="{00000000-0005-0000-0000-0000C06C0000}"/>
    <cellStyle name="Note 4 3 3 5 11 13" xfId="45114" xr:uid="{00000000-0005-0000-0000-0000C16C0000}"/>
    <cellStyle name="Note 4 3 3 5 11 2" xfId="4234" xr:uid="{00000000-0005-0000-0000-0000C26C0000}"/>
    <cellStyle name="Note 4 3 3 5 11 2 10" xfId="39285" xr:uid="{00000000-0005-0000-0000-0000C36C0000}"/>
    <cellStyle name="Note 4 3 3 5 11 2 11" xfId="43295" xr:uid="{00000000-0005-0000-0000-0000C46C0000}"/>
    <cellStyle name="Note 4 3 3 5 11 2 12" xfId="47052" xr:uid="{00000000-0005-0000-0000-0000C56C0000}"/>
    <cellStyle name="Note 4 3 3 5 11 2 2" xfId="8093" xr:uid="{00000000-0005-0000-0000-0000C66C0000}"/>
    <cellStyle name="Note 4 3 3 5 11 2 3" xfId="12533" xr:uid="{00000000-0005-0000-0000-0000C76C0000}"/>
    <cellStyle name="Note 4 3 3 5 11 2 4" xfId="16378" xr:uid="{00000000-0005-0000-0000-0000C86C0000}"/>
    <cellStyle name="Note 4 3 3 5 11 2 5" xfId="20228" xr:uid="{00000000-0005-0000-0000-0000C96C0000}"/>
    <cellStyle name="Note 4 3 3 5 11 2 6" xfId="24140" xr:uid="{00000000-0005-0000-0000-0000CA6C0000}"/>
    <cellStyle name="Note 4 3 3 5 11 2 7" xfId="27978" xr:uid="{00000000-0005-0000-0000-0000CB6C0000}"/>
    <cellStyle name="Note 4 3 3 5 11 2 8" xfId="31837" xr:uid="{00000000-0005-0000-0000-0000CC6C0000}"/>
    <cellStyle name="Note 4 3 3 5 11 2 9" xfId="35490" xr:uid="{00000000-0005-0000-0000-0000CD6C0000}"/>
    <cellStyle name="Note 4 3 3 5 11 3" xfId="6165" xr:uid="{00000000-0005-0000-0000-0000CE6C0000}"/>
    <cellStyle name="Note 4 3 3 5 11 4" xfId="10568" xr:uid="{00000000-0005-0000-0000-0000CF6C0000}"/>
    <cellStyle name="Note 4 3 3 5 11 5" xfId="14414" xr:uid="{00000000-0005-0000-0000-0000D06C0000}"/>
    <cellStyle name="Note 4 3 3 5 11 6" xfId="18245" xr:uid="{00000000-0005-0000-0000-0000D16C0000}"/>
    <cellStyle name="Note 4 3 3 5 11 7" xfId="22184" xr:uid="{00000000-0005-0000-0000-0000D26C0000}"/>
    <cellStyle name="Note 4 3 3 5 11 8" xfId="25996" xr:uid="{00000000-0005-0000-0000-0000D36C0000}"/>
    <cellStyle name="Note 4 3 3 5 11 9" xfId="29876" xr:uid="{00000000-0005-0000-0000-0000D46C0000}"/>
    <cellStyle name="Note 4 3 3 5 12" xfId="2306" xr:uid="{00000000-0005-0000-0000-0000D56C0000}"/>
    <cellStyle name="Note 4 3 3 5 12 10" xfId="33607" xr:uid="{00000000-0005-0000-0000-0000D66C0000}"/>
    <cellStyle name="Note 4 3 3 5 12 11" xfId="37358" xr:uid="{00000000-0005-0000-0000-0000D76C0000}"/>
    <cellStyle name="Note 4 3 3 5 12 12" xfId="41374" xr:uid="{00000000-0005-0000-0000-0000D86C0000}"/>
    <cellStyle name="Note 4 3 3 5 12 13" xfId="45169" xr:uid="{00000000-0005-0000-0000-0000D96C0000}"/>
    <cellStyle name="Note 4 3 3 5 12 2" xfId="4289" xr:uid="{00000000-0005-0000-0000-0000DA6C0000}"/>
    <cellStyle name="Note 4 3 3 5 12 2 10" xfId="39340" xr:uid="{00000000-0005-0000-0000-0000DB6C0000}"/>
    <cellStyle name="Note 4 3 3 5 12 2 11" xfId="43350" xr:uid="{00000000-0005-0000-0000-0000DC6C0000}"/>
    <cellStyle name="Note 4 3 3 5 12 2 12" xfId="47107" xr:uid="{00000000-0005-0000-0000-0000DD6C0000}"/>
    <cellStyle name="Note 4 3 3 5 12 2 2" xfId="8148" xr:uid="{00000000-0005-0000-0000-0000DE6C0000}"/>
    <cellStyle name="Note 4 3 3 5 12 2 3" xfId="12588" xr:uid="{00000000-0005-0000-0000-0000DF6C0000}"/>
    <cellStyle name="Note 4 3 3 5 12 2 4" xfId="16433" xr:uid="{00000000-0005-0000-0000-0000E06C0000}"/>
    <cellStyle name="Note 4 3 3 5 12 2 5" xfId="20283" xr:uid="{00000000-0005-0000-0000-0000E16C0000}"/>
    <cellStyle name="Note 4 3 3 5 12 2 6" xfId="24195" xr:uid="{00000000-0005-0000-0000-0000E26C0000}"/>
    <cellStyle name="Note 4 3 3 5 12 2 7" xfId="28033" xr:uid="{00000000-0005-0000-0000-0000E36C0000}"/>
    <cellStyle name="Note 4 3 3 5 12 2 8" xfId="31892" xr:uid="{00000000-0005-0000-0000-0000E46C0000}"/>
    <cellStyle name="Note 4 3 3 5 12 2 9" xfId="35545" xr:uid="{00000000-0005-0000-0000-0000E56C0000}"/>
    <cellStyle name="Note 4 3 3 5 12 3" xfId="6220" xr:uid="{00000000-0005-0000-0000-0000E66C0000}"/>
    <cellStyle name="Note 4 3 3 5 12 4" xfId="10623" xr:uid="{00000000-0005-0000-0000-0000E76C0000}"/>
    <cellStyle name="Note 4 3 3 5 12 5" xfId="14469" xr:uid="{00000000-0005-0000-0000-0000E86C0000}"/>
    <cellStyle name="Note 4 3 3 5 12 6" xfId="18300" xr:uid="{00000000-0005-0000-0000-0000E96C0000}"/>
    <cellStyle name="Note 4 3 3 5 12 7" xfId="22239" xr:uid="{00000000-0005-0000-0000-0000EA6C0000}"/>
    <cellStyle name="Note 4 3 3 5 12 8" xfId="26051" xr:uid="{00000000-0005-0000-0000-0000EB6C0000}"/>
    <cellStyle name="Note 4 3 3 5 12 9" xfId="29931" xr:uid="{00000000-0005-0000-0000-0000EC6C0000}"/>
    <cellStyle name="Note 4 3 3 5 13" xfId="2373" xr:uid="{00000000-0005-0000-0000-0000ED6C0000}"/>
    <cellStyle name="Note 4 3 3 5 13 10" xfId="33671" xr:uid="{00000000-0005-0000-0000-0000EE6C0000}"/>
    <cellStyle name="Note 4 3 3 5 13 11" xfId="37425" xr:uid="{00000000-0005-0000-0000-0000EF6C0000}"/>
    <cellStyle name="Note 4 3 3 5 13 12" xfId="41440" xr:uid="{00000000-0005-0000-0000-0000F06C0000}"/>
    <cellStyle name="Note 4 3 3 5 13 13" xfId="45233" xr:uid="{00000000-0005-0000-0000-0000F16C0000}"/>
    <cellStyle name="Note 4 3 3 5 13 2" xfId="4356" xr:uid="{00000000-0005-0000-0000-0000F26C0000}"/>
    <cellStyle name="Note 4 3 3 5 13 2 10" xfId="39407" xr:uid="{00000000-0005-0000-0000-0000F36C0000}"/>
    <cellStyle name="Note 4 3 3 5 13 2 11" xfId="43416" xr:uid="{00000000-0005-0000-0000-0000F46C0000}"/>
    <cellStyle name="Note 4 3 3 5 13 2 12" xfId="47171" xr:uid="{00000000-0005-0000-0000-0000F56C0000}"/>
    <cellStyle name="Note 4 3 3 5 13 2 2" xfId="8213" xr:uid="{00000000-0005-0000-0000-0000F66C0000}"/>
    <cellStyle name="Note 4 3 3 5 13 2 3" xfId="12654" xr:uid="{00000000-0005-0000-0000-0000F76C0000}"/>
    <cellStyle name="Note 4 3 3 5 13 2 4" xfId="16499" xr:uid="{00000000-0005-0000-0000-0000F86C0000}"/>
    <cellStyle name="Note 4 3 3 5 13 2 5" xfId="20350" xr:uid="{00000000-0005-0000-0000-0000F96C0000}"/>
    <cellStyle name="Note 4 3 3 5 13 2 6" xfId="24261" xr:uid="{00000000-0005-0000-0000-0000FA6C0000}"/>
    <cellStyle name="Note 4 3 3 5 13 2 7" xfId="28100" xr:uid="{00000000-0005-0000-0000-0000FB6C0000}"/>
    <cellStyle name="Note 4 3 3 5 13 2 8" xfId="31958" xr:uid="{00000000-0005-0000-0000-0000FC6C0000}"/>
    <cellStyle name="Note 4 3 3 5 13 2 9" xfId="35609" xr:uid="{00000000-0005-0000-0000-0000FD6C0000}"/>
    <cellStyle name="Note 4 3 3 5 13 3" xfId="6269" xr:uid="{00000000-0005-0000-0000-0000FE6C0000}"/>
    <cellStyle name="Note 4 3 3 5 13 4" xfId="10689" xr:uid="{00000000-0005-0000-0000-0000FF6C0000}"/>
    <cellStyle name="Note 4 3 3 5 13 5" xfId="14535" xr:uid="{00000000-0005-0000-0000-0000006D0000}"/>
    <cellStyle name="Note 4 3 3 5 13 6" xfId="18367" xr:uid="{00000000-0005-0000-0000-0000016D0000}"/>
    <cellStyle name="Note 4 3 3 5 13 7" xfId="22305" xr:uid="{00000000-0005-0000-0000-0000026D0000}"/>
    <cellStyle name="Note 4 3 3 5 13 8" xfId="26118" xr:uid="{00000000-0005-0000-0000-0000036D0000}"/>
    <cellStyle name="Note 4 3 3 5 13 9" xfId="29998" xr:uid="{00000000-0005-0000-0000-0000046D0000}"/>
    <cellStyle name="Note 4 3 3 5 14" xfId="2423" xr:uid="{00000000-0005-0000-0000-0000056D0000}"/>
    <cellStyle name="Note 4 3 3 5 14 10" xfId="33721" xr:uid="{00000000-0005-0000-0000-0000066D0000}"/>
    <cellStyle name="Note 4 3 3 5 14 11" xfId="37475" xr:uid="{00000000-0005-0000-0000-0000076D0000}"/>
    <cellStyle name="Note 4 3 3 5 14 12" xfId="41490" xr:uid="{00000000-0005-0000-0000-0000086D0000}"/>
    <cellStyle name="Note 4 3 3 5 14 13" xfId="45283" xr:uid="{00000000-0005-0000-0000-0000096D0000}"/>
    <cellStyle name="Note 4 3 3 5 14 2" xfId="4406" xr:uid="{00000000-0005-0000-0000-00000A6D0000}"/>
    <cellStyle name="Note 4 3 3 5 14 2 10" xfId="39457" xr:uid="{00000000-0005-0000-0000-00000B6D0000}"/>
    <cellStyle name="Note 4 3 3 5 14 2 11" xfId="43466" xr:uid="{00000000-0005-0000-0000-00000C6D0000}"/>
    <cellStyle name="Note 4 3 3 5 14 2 12" xfId="47221" xr:uid="{00000000-0005-0000-0000-00000D6D0000}"/>
    <cellStyle name="Note 4 3 3 5 14 2 2" xfId="8263" xr:uid="{00000000-0005-0000-0000-00000E6D0000}"/>
    <cellStyle name="Note 4 3 3 5 14 2 3" xfId="12704" xr:uid="{00000000-0005-0000-0000-00000F6D0000}"/>
    <cellStyle name="Note 4 3 3 5 14 2 4" xfId="16549" xr:uid="{00000000-0005-0000-0000-0000106D0000}"/>
    <cellStyle name="Note 4 3 3 5 14 2 5" xfId="20400" xr:uid="{00000000-0005-0000-0000-0000116D0000}"/>
    <cellStyle name="Note 4 3 3 5 14 2 6" xfId="24311" xr:uid="{00000000-0005-0000-0000-0000126D0000}"/>
    <cellStyle name="Note 4 3 3 5 14 2 7" xfId="28150" xr:uid="{00000000-0005-0000-0000-0000136D0000}"/>
    <cellStyle name="Note 4 3 3 5 14 2 8" xfId="32008" xr:uid="{00000000-0005-0000-0000-0000146D0000}"/>
    <cellStyle name="Note 4 3 3 5 14 2 9" xfId="35659" xr:uid="{00000000-0005-0000-0000-0000156D0000}"/>
    <cellStyle name="Note 4 3 3 5 14 3" xfId="6319" xr:uid="{00000000-0005-0000-0000-0000166D0000}"/>
    <cellStyle name="Note 4 3 3 5 14 4" xfId="10739" xr:uid="{00000000-0005-0000-0000-0000176D0000}"/>
    <cellStyle name="Note 4 3 3 5 14 5" xfId="14585" xr:uid="{00000000-0005-0000-0000-0000186D0000}"/>
    <cellStyle name="Note 4 3 3 5 14 6" xfId="18417" xr:uid="{00000000-0005-0000-0000-0000196D0000}"/>
    <cellStyle name="Note 4 3 3 5 14 7" xfId="22355" xr:uid="{00000000-0005-0000-0000-00001A6D0000}"/>
    <cellStyle name="Note 4 3 3 5 14 8" xfId="26168" xr:uid="{00000000-0005-0000-0000-00001B6D0000}"/>
    <cellStyle name="Note 4 3 3 5 14 9" xfId="30047" xr:uid="{00000000-0005-0000-0000-00001C6D0000}"/>
    <cellStyle name="Note 4 3 3 5 15" xfId="2477" xr:uid="{00000000-0005-0000-0000-00001D6D0000}"/>
    <cellStyle name="Note 4 3 3 5 15 10" xfId="33772" xr:uid="{00000000-0005-0000-0000-00001E6D0000}"/>
    <cellStyle name="Note 4 3 3 5 15 11" xfId="37529" xr:uid="{00000000-0005-0000-0000-00001F6D0000}"/>
    <cellStyle name="Note 4 3 3 5 15 12" xfId="41543" xr:uid="{00000000-0005-0000-0000-0000206D0000}"/>
    <cellStyle name="Note 4 3 3 5 15 13" xfId="45334" xr:uid="{00000000-0005-0000-0000-0000216D0000}"/>
    <cellStyle name="Note 4 3 3 5 15 2" xfId="4459" xr:uid="{00000000-0005-0000-0000-0000226D0000}"/>
    <cellStyle name="Note 4 3 3 5 15 2 10" xfId="39510" xr:uid="{00000000-0005-0000-0000-0000236D0000}"/>
    <cellStyle name="Note 4 3 3 5 15 2 11" xfId="43519" xr:uid="{00000000-0005-0000-0000-0000246D0000}"/>
    <cellStyle name="Note 4 3 3 5 15 2 12" xfId="47272" xr:uid="{00000000-0005-0000-0000-0000256D0000}"/>
    <cellStyle name="Note 4 3 3 5 15 2 2" xfId="8314" xr:uid="{00000000-0005-0000-0000-0000266D0000}"/>
    <cellStyle name="Note 4 3 3 5 15 2 3" xfId="12757" xr:uid="{00000000-0005-0000-0000-0000276D0000}"/>
    <cellStyle name="Note 4 3 3 5 15 2 4" xfId="16600" xr:uid="{00000000-0005-0000-0000-0000286D0000}"/>
    <cellStyle name="Note 4 3 3 5 15 2 5" xfId="20453" xr:uid="{00000000-0005-0000-0000-0000296D0000}"/>
    <cellStyle name="Note 4 3 3 5 15 2 6" xfId="24363" xr:uid="{00000000-0005-0000-0000-00002A6D0000}"/>
    <cellStyle name="Note 4 3 3 5 15 2 7" xfId="28203" xr:uid="{00000000-0005-0000-0000-00002B6D0000}"/>
    <cellStyle name="Note 4 3 3 5 15 2 8" xfId="32061" xr:uid="{00000000-0005-0000-0000-00002C6D0000}"/>
    <cellStyle name="Note 4 3 3 5 15 2 9" xfId="35710" xr:uid="{00000000-0005-0000-0000-00002D6D0000}"/>
    <cellStyle name="Note 4 3 3 5 15 3" xfId="6371" xr:uid="{00000000-0005-0000-0000-00002E6D0000}"/>
    <cellStyle name="Note 4 3 3 5 15 4" xfId="10792" xr:uid="{00000000-0005-0000-0000-00002F6D0000}"/>
    <cellStyle name="Note 4 3 3 5 15 5" xfId="14638" xr:uid="{00000000-0005-0000-0000-0000306D0000}"/>
    <cellStyle name="Note 4 3 3 5 15 6" xfId="18471" xr:uid="{00000000-0005-0000-0000-0000316D0000}"/>
    <cellStyle name="Note 4 3 3 5 15 7" xfId="22408" xr:uid="{00000000-0005-0000-0000-0000326D0000}"/>
    <cellStyle name="Note 4 3 3 5 15 8" xfId="26222" xr:uid="{00000000-0005-0000-0000-0000336D0000}"/>
    <cellStyle name="Note 4 3 3 5 15 9" xfId="30101" xr:uid="{00000000-0005-0000-0000-0000346D0000}"/>
    <cellStyle name="Note 4 3 3 5 16" xfId="2548" xr:uid="{00000000-0005-0000-0000-0000356D0000}"/>
    <cellStyle name="Note 4 3 3 5 16 10" xfId="37600" xr:uid="{00000000-0005-0000-0000-0000366D0000}"/>
    <cellStyle name="Note 4 3 3 5 16 11" xfId="41614" xr:uid="{00000000-0005-0000-0000-0000376D0000}"/>
    <cellStyle name="Note 4 3 3 5 16 12" xfId="45403" xr:uid="{00000000-0005-0000-0000-0000386D0000}"/>
    <cellStyle name="Note 4 3 3 5 16 2" xfId="6440" xr:uid="{00000000-0005-0000-0000-0000396D0000}"/>
    <cellStyle name="Note 4 3 3 5 16 3" xfId="10863" xr:uid="{00000000-0005-0000-0000-00003A6D0000}"/>
    <cellStyle name="Note 4 3 3 5 16 4" xfId="14707" xr:uid="{00000000-0005-0000-0000-00003B6D0000}"/>
    <cellStyle name="Note 4 3 3 5 16 5" xfId="18542" xr:uid="{00000000-0005-0000-0000-00003C6D0000}"/>
    <cellStyle name="Note 4 3 3 5 16 6" xfId="22477" xr:uid="{00000000-0005-0000-0000-00003D6D0000}"/>
    <cellStyle name="Note 4 3 3 5 16 7" xfId="26293" xr:uid="{00000000-0005-0000-0000-00003E6D0000}"/>
    <cellStyle name="Note 4 3 3 5 16 8" xfId="30172" xr:uid="{00000000-0005-0000-0000-00003F6D0000}"/>
    <cellStyle name="Note 4 3 3 5 16 9" xfId="33841" xr:uid="{00000000-0005-0000-0000-0000406D0000}"/>
    <cellStyle name="Note 4 3 3 5 17" xfId="4516" xr:uid="{00000000-0005-0000-0000-0000416D0000}"/>
    <cellStyle name="Note 4 3 3 5 18" xfId="8357" xr:uid="{00000000-0005-0000-0000-0000426D0000}"/>
    <cellStyle name="Note 4 3 3 5 19" xfId="8731" xr:uid="{00000000-0005-0000-0000-0000436D0000}"/>
    <cellStyle name="Note 4 3 3 5 2" xfId="677" xr:uid="{00000000-0005-0000-0000-0000446D0000}"/>
    <cellStyle name="Note 4 3 3 5 2 10" xfId="24411" xr:uid="{00000000-0005-0000-0000-0000456D0000}"/>
    <cellStyle name="Note 4 3 3 5 2 11" xfId="28304" xr:uid="{00000000-0005-0000-0000-0000466D0000}"/>
    <cellStyle name="Note 4 3 3 5 2 12" xfId="30431" xr:uid="{00000000-0005-0000-0000-0000476D0000}"/>
    <cellStyle name="Note 4 3 3 5 2 13" xfId="35748" xr:uid="{00000000-0005-0000-0000-0000486D0000}"/>
    <cellStyle name="Note 4 3 3 5 2 14" xfId="39771" xr:uid="{00000000-0005-0000-0000-0000496D0000}"/>
    <cellStyle name="Note 4 3 3 5 2 15" xfId="43574" xr:uid="{00000000-0005-0000-0000-00004A6D0000}"/>
    <cellStyle name="Note 4 3 3 5 2 2" xfId="1057" xr:uid="{00000000-0005-0000-0000-00004B6D0000}"/>
    <cellStyle name="Note 4 3 3 5 2 2 10" xfId="28668" xr:uid="{00000000-0005-0000-0000-00004C6D0000}"/>
    <cellStyle name="Note 4 3 3 5 2 2 11" xfId="32354" xr:uid="{00000000-0005-0000-0000-00004D6D0000}"/>
    <cellStyle name="Note 4 3 3 5 2 2 12" xfId="36115" xr:uid="{00000000-0005-0000-0000-00004E6D0000}"/>
    <cellStyle name="Note 4 3 3 5 2 2 13" xfId="40118" xr:uid="{00000000-0005-0000-0000-00004F6D0000}"/>
    <cellStyle name="Note 4 3 3 5 2 2 14" xfId="43941" xr:uid="{00000000-0005-0000-0000-0000506D0000}"/>
    <cellStyle name="Note 4 3 3 5 2 2 2" xfId="1784" xr:uid="{00000000-0005-0000-0000-0000516D0000}"/>
    <cellStyle name="Note 4 3 3 5 2 2 2 10" xfId="33071" xr:uid="{00000000-0005-0000-0000-0000526D0000}"/>
    <cellStyle name="Note 4 3 3 5 2 2 2 11" xfId="36841" xr:uid="{00000000-0005-0000-0000-0000536D0000}"/>
    <cellStyle name="Note 4 3 3 5 2 2 2 12" xfId="40832" xr:uid="{00000000-0005-0000-0000-0000546D0000}"/>
    <cellStyle name="Note 4 3 3 5 2 2 2 13" xfId="44663" xr:uid="{00000000-0005-0000-0000-0000556D0000}"/>
    <cellStyle name="Note 4 3 3 5 2 2 2 2" xfId="3774" xr:uid="{00000000-0005-0000-0000-0000566D0000}"/>
    <cellStyle name="Note 4 3 3 5 2 2 2 2 10" xfId="38825" xr:uid="{00000000-0005-0000-0000-0000576D0000}"/>
    <cellStyle name="Note 4 3 3 5 2 2 2 2 11" xfId="42836" xr:uid="{00000000-0005-0000-0000-0000586D0000}"/>
    <cellStyle name="Note 4 3 3 5 2 2 2 2 12" xfId="46601" xr:uid="{00000000-0005-0000-0000-0000596D0000}"/>
    <cellStyle name="Note 4 3 3 5 2 2 2 2 2" xfId="7641" xr:uid="{00000000-0005-0000-0000-00005A6D0000}"/>
    <cellStyle name="Note 4 3 3 5 2 2 2 2 3" xfId="12076" xr:uid="{00000000-0005-0000-0000-00005B6D0000}"/>
    <cellStyle name="Note 4 3 3 5 2 2 2 2 4" xfId="15921" xr:uid="{00000000-0005-0000-0000-00005C6D0000}"/>
    <cellStyle name="Note 4 3 3 5 2 2 2 2 5" xfId="19768" xr:uid="{00000000-0005-0000-0000-00005D6D0000}"/>
    <cellStyle name="Note 4 3 3 5 2 2 2 2 6" xfId="23684" xr:uid="{00000000-0005-0000-0000-00005E6D0000}"/>
    <cellStyle name="Note 4 3 3 5 2 2 2 2 7" xfId="27518" xr:uid="{00000000-0005-0000-0000-00005F6D0000}"/>
    <cellStyle name="Note 4 3 3 5 2 2 2 2 8" xfId="31382" xr:uid="{00000000-0005-0000-0000-0000606D0000}"/>
    <cellStyle name="Note 4 3 3 5 2 2 2 2 9" xfId="35039" xr:uid="{00000000-0005-0000-0000-0000616D0000}"/>
    <cellStyle name="Note 4 3 3 5 2 2 2 3" xfId="5717" xr:uid="{00000000-0005-0000-0000-0000626D0000}"/>
    <cellStyle name="Note 4 3 3 5 2 2 2 4" xfId="10075" xr:uid="{00000000-0005-0000-0000-0000636D0000}"/>
    <cellStyle name="Note 4 3 3 5 2 2 2 5" xfId="13921" xr:uid="{00000000-0005-0000-0000-0000646D0000}"/>
    <cellStyle name="Note 4 3 3 5 2 2 2 6" xfId="17750" xr:uid="{00000000-0005-0000-0000-0000656D0000}"/>
    <cellStyle name="Note 4 3 3 5 2 2 2 7" xfId="21689" xr:uid="{00000000-0005-0000-0000-0000666D0000}"/>
    <cellStyle name="Note 4 3 3 5 2 2 2 8" xfId="25502" xr:uid="{00000000-0005-0000-0000-0000676D0000}"/>
    <cellStyle name="Note 4 3 3 5 2 2 2 9" xfId="29389" xr:uid="{00000000-0005-0000-0000-0000686D0000}"/>
    <cellStyle name="Note 4 3 3 5 2 2 3" xfId="3047" xr:uid="{00000000-0005-0000-0000-0000696D0000}"/>
    <cellStyle name="Note 4 3 3 5 2 2 3 10" xfId="38099" xr:uid="{00000000-0005-0000-0000-00006A6D0000}"/>
    <cellStyle name="Note 4 3 3 5 2 2 3 11" xfId="42111" xr:uid="{00000000-0005-0000-0000-00006B6D0000}"/>
    <cellStyle name="Note 4 3 3 5 2 2 3 12" xfId="45884" xr:uid="{00000000-0005-0000-0000-00006C6D0000}"/>
    <cellStyle name="Note 4 3 3 5 2 2 3 2" xfId="6923" xr:uid="{00000000-0005-0000-0000-00006D6D0000}"/>
    <cellStyle name="Note 4 3 3 5 2 2 3 3" xfId="11352" xr:uid="{00000000-0005-0000-0000-00006E6D0000}"/>
    <cellStyle name="Note 4 3 3 5 2 2 3 4" xfId="15196" xr:uid="{00000000-0005-0000-0000-00006F6D0000}"/>
    <cellStyle name="Note 4 3 3 5 2 2 3 5" xfId="19041" xr:uid="{00000000-0005-0000-0000-0000706D0000}"/>
    <cellStyle name="Note 4 3 3 5 2 2 3 6" xfId="22963" xr:uid="{00000000-0005-0000-0000-0000716D0000}"/>
    <cellStyle name="Note 4 3 3 5 2 2 3 7" xfId="26792" xr:uid="{00000000-0005-0000-0000-0000726D0000}"/>
    <cellStyle name="Note 4 3 3 5 2 2 3 8" xfId="30666" xr:uid="{00000000-0005-0000-0000-0000736D0000}"/>
    <cellStyle name="Note 4 3 3 5 2 2 3 9" xfId="34322" xr:uid="{00000000-0005-0000-0000-0000746D0000}"/>
    <cellStyle name="Note 4 3 3 5 2 2 4" xfId="4999" xr:uid="{00000000-0005-0000-0000-0000756D0000}"/>
    <cellStyle name="Note 4 3 3 5 2 2 5" xfId="9355" xr:uid="{00000000-0005-0000-0000-0000766D0000}"/>
    <cellStyle name="Note 4 3 3 5 2 2 6" xfId="13195" xr:uid="{00000000-0005-0000-0000-0000776D0000}"/>
    <cellStyle name="Note 4 3 3 5 2 2 7" xfId="17023" xr:uid="{00000000-0005-0000-0000-0000786D0000}"/>
    <cellStyle name="Note 4 3 3 5 2 2 8" xfId="20965" xr:uid="{00000000-0005-0000-0000-0000796D0000}"/>
    <cellStyle name="Note 4 3 3 5 2 2 9" xfId="24779" xr:uid="{00000000-0005-0000-0000-00007A6D0000}"/>
    <cellStyle name="Note 4 3 3 5 2 3" xfId="1431" xr:uid="{00000000-0005-0000-0000-00007B6D0000}"/>
    <cellStyle name="Note 4 3 3 5 2 3 10" xfId="32718" xr:uid="{00000000-0005-0000-0000-00007C6D0000}"/>
    <cellStyle name="Note 4 3 3 5 2 3 11" xfId="36488" xr:uid="{00000000-0005-0000-0000-00007D6D0000}"/>
    <cellStyle name="Note 4 3 3 5 2 3 12" xfId="40479" xr:uid="{00000000-0005-0000-0000-00007E6D0000}"/>
    <cellStyle name="Note 4 3 3 5 2 3 13" xfId="44310" xr:uid="{00000000-0005-0000-0000-00007F6D0000}"/>
    <cellStyle name="Note 4 3 3 5 2 3 2" xfId="3421" xr:uid="{00000000-0005-0000-0000-0000806D0000}"/>
    <cellStyle name="Note 4 3 3 5 2 3 2 10" xfId="38472" xr:uid="{00000000-0005-0000-0000-0000816D0000}"/>
    <cellStyle name="Note 4 3 3 5 2 3 2 11" xfId="42483" xr:uid="{00000000-0005-0000-0000-0000826D0000}"/>
    <cellStyle name="Note 4 3 3 5 2 3 2 12" xfId="46248" xr:uid="{00000000-0005-0000-0000-0000836D0000}"/>
    <cellStyle name="Note 4 3 3 5 2 3 2 2" xfId="7288" xr:uid="{00000000-0005-0000-0000-0000846D0000}"/>
    <cellStyle name="Note 4 3 3 5 2 3 2 3" xfId="11723" xr:uid="{00000000-0005-0000-0000-0000856D0000}"/>
    <cellStyle name="Note 4 3 3 5 2 3 2 4" xfId="15568" xr:uid="{00000000-0005-0000-0000-0000866D0000}"/>
    <cellStyle name="Note 4 3 3 5 2 3 2 5" xfId="19415" xr:uid="{00000000-0005-0000-0000-0000876D0000}"/>
    <cellStyle name="Note 4 3 3 5 2 3 2 6" xfId="23331" xr:uid="{00000000-0005-0000-0000-0000886D0000}"/>
    <cellStyle name="Note 4 3 3 5 2 3 2 7" xfId="27165" xr:uid="{00000000-0005-0000-0000-0000896D0000}"/>
    <cellStyle name="Note 4 3 3 5 2 3 2 8" xfId="31033" xr:uid="{00000000-0005-0000-0000-00008A6D0000}"/>
    <cellStyle name="Note 4 3 3 5 2 3 2 9" xfId="34686" xr:uid="{00000000-0005-0000-0000-00008B6D0000}"/>
    <cellStyle name="Note 4 3 3 5 2 3 3" xfId="5364" xr:uid="{00000000-0005-0000-0000-00008C6D0000}"/>
    <cellStyle name="Note 4 3 3 5 2 3 4" xfId="9722" xr:uid="{00000000-0005-0000-0000-00008D6D0000}"/>
    <cellStyle name="Note 4 3 3 5 2 3 5" xfId="13568" xr:uid="{00000000-0005-0000-0000-00008E6D0000}"/>
    <cellStyle name="Note 4 3 3 5 2 3 6" xfId="17397" xr:uid="{00000000-0005-0000-0000-00008F6D0000}"/>
    <cellStyle name="Note 4 3 3 5 2 3 7" xfId="21336" xr:uid="{00000000-0005-0000-0000-0000906D0000}"/>
    <cellStyle name="Note 4 3 3 5 2 3 8" xfId="25149" xr:uid="{00000000-0005-0000-0000-0000916D0000}"/>
    <cellStyle name="Note 4 3 3 5 2 3 9" xfId="29036" xr:uid="{00000000-0005-0000-0000-0000926D0000}"/>
    <cellStyle name="Note 4 3 3 5 2 4" xfId="2680" xr:uid="{00000000-0005-0000-0000-0000936D0000}"/>
    <cellStyle name="Note 4 3 3 5 2 4 10" xfId="37732" xr:uid="{00000000-0005-0000-0000-0000946D0000}"/>
    <cellStyle name="Note 4 3 3 5 2 4 11" xfId="41746" xr:uid="{00000000-0005-0000-0000-0000956D0000}"/>
    <cellStyle name="Note 4 3 3 5 2 4 12" xfId="45531" xr:uid="{00000000-0005-0000-0000-0000966D0000}"/>
    <cellStyle name="Note 4 3 3 5 2 4 2" xfId="6568" xr:uid="{00000000-0005-0000-0000-0000976D0000}"/>
    <cellStyle name="Note 4 3 3 5 2 4 3" xfId="10992" xr:uid="{00000000-0005-0000-0000-0000986D0000}"/>
    <cellStyle name="Note 4 3 3 5 2 4 4" xfId="14836" xr:uid="{00000000-0005-0000-0000-0000996D0000}"/>
    <cellStyle name="Note 4 3 3 5 2 4 5" xfId="18674" xr:uid="{00000000-0005-0000-0000-00009A6D0000}"/>
    <cellStyle name="Note 4 3 3 5 2 4 6" xfId="22605" xr:uid="{00000000-0005-0000-0000-00009B6D0000}"/>
    <cellStyle name="Note 4 3 3 5 2 4 7" xfId="26425" xr:uid="{00000000-0005-0000-0000-00009C6D0000}"/>
    <cellStyle name="Note 4 3 3 5 2 4 8" xfId="30304" xr:uid="{00000000-0005-0000-0000-00009D6D0000}"/>
    <cellStyle name="Note 4 3 3 5 2 4 9" xfId="33969" xr:uid="{00000000-0005-0000-0000-00009E6D0000}"/>
    <cellStyle name="Note 4 3 3 5 2 5" xfId="4644" xr:uid="{00000000-0005-0000-0000-00009F6D0000}"/>
    <cellStyle name="Note 4 3 3 5 2 6" xfId="8986" xr:uid="{00000000-0005-0000-0000-0000A06D0000}"/>
    <cellStyle name="Note 4 3 3 5 2 7" xfId="12823" xr:uid="{00000000-0005-0000-0000-0000A16D0000}"/>
    <cellStyle name="Note 4 3 3 5 2 8" xfId="16653" xr:uid="{00000000-0005-0000-0000-0000A26D0000}"/>
    <cellStyle name="Note 4 3 3 5 2 9" xfId="20590" xr:uid="{00000000-0005-0000-0000-0000A36D0000}"/>
    <cellStyle name="Note 4 3 3 5 20" xfId="8852" xr:uid="{00000000-0005-0000-0000-0000A46D0000}"/>
    <cellStyle name="Note 4 3 3 5 21" xfId="8592" xr:uid="{00000000-0005-0000-0000-0000A56D0000}"/>
    <cellStyle name="Note 4 3 3 5 22" xfId="8720" xr:uid="{00000000-0005-0000-0000-0000A66D0000}"/>
    <cellStyle name="Note 4 3 3 5 23" xfId="18068" xr:uid="{00000000-0005-0000-0000-0000A76D0000}"/>
    <cellStyle name="Note 4 3 3 5 24" xfId="20657" xr:uid="{00000000-0005-0000-0000-0000A86D0000}"/>
    <cellStyle name="Note 4 3 3 5 25" xfId="25815" xr:uid="{00000000-0005-0000-0000-0000A96D0000}"/>
    <cellStyle name="Note 4 3 3 5 26" xfId="30277" xr:uid="{00000000-0005-0000-0000-0000AA6D0000}"/>
    <cellStyle name="Note 4 3 3 5 27" xfId="21984" xr:uid="{00000000-0005-0000-0000-0000AB6D0000}"/>
    <cellStyle name="Note 4 3 3 5 28" xfId="39640" xr:uid="{00000000-0005-0000-0000-0000AC6D0000}"/>
    <cellStyle name="Note 4 3 3 5 29" xfId="40232" xr:uid="{00000000-0005-0000-0000-0000AD6D0000}"/>
    <cellStyle name="Note 4 3 3 5 3" xfId="616" xr:uid="{00000000-0005-0000-0000-0000AE6D0000}"/>
    <cellStyle name="Note 4 3 3 5 3 10" xfId="8787" xr:uid="{00000000-0005-0000-0000-0000AF6D0000}"/>
    <cellStyle name="Note 4 3 3 5 3 11" xfId="28243" xr:uid="{00000000-0005-0000-0000-0000B06D0000}"/>
    <cellStyle name="Note 4 3 3 5 3 12" xfId="28724" xr:uid="{00000000-0005-0000-0000-0000B16D0000}"/>
    <cellStyle name="Note 4 3 3 5 3 13" xfId="33363" xr:uid="{00000000-0005-0000-0000-0000B26D0000}"/>
    <cellStyle name="Note 4 3 3 5 3 14" xfId="39711" xr:uid="{00000000-0005-0000-0000-0000B36D0000}"/>
    <cellStyle name="Note 4 3 3 5 3 15" xfId="39567" xr:uid="{00000000-0005-0000-0000-0000B46D0000}"/>
    <cellStyle name="Note 4 3 3 5 3 2" xfId="996" xr:uid="{00000000-0005-0000-0000-0000B56D0000}"/>
    <cellStyle name="Note 4 3 3 5 3 2 10" xfId="28607" xr:uid="{00000000-0005-0000-0000-0000B66D0000}"/>
    <cellStyle name="Note 4 3 3 5 3 2 11" xfId="32295" xr:uid="{00000000-0005-0000-0000-0000B76D0000}"/>
    <cellStyle name="Note 4 3 3 5 3 2 12" xfId="36054" xr:uid="{00000000-0005-0000-0000-0000B86D0000}"/>
    <cellStyle name="Note 4 3 3 5 3 2 13" xfId="40059" xr:uid="{00000000-0005-0000-0000-0000B96D0000}"/>
    <cellStyle name="Note 4 3 3 5 3 2 14" xfId="43880" xr:uid="{00000000-0005-0000-0000-0000BA6D0000}"/>
    <cellStyle name="Note 4 3 3 5 3 2 2" xfId="1725" xr:uid="{00000000-0005-0000-0000-0000BB6D0000}"/>
    <cellStyle name="Note 4 3 3 5 3 2 2 10" xfId="33012" xr:uid="{00000000-0005-0000-0000-0000BC6D0000}"/>
    <cellStyle name="Note 4 3 3 5 3 2 2 11" xfId="36782" xr:uid="{00000000-0005-0000-0000-0000BD6D0000}"/>
    <cellStyle name="Note 4 3 3 5 3 2 2 12" xfId="40773" xr:uid="{00000000-0005-0000-0000-0000BE6D0000}"/>
    <cellStyle name="Note 4 3 3 5 3 2 2 13" xfId="44604" xr:uid="{00000000-0005-0000-0000-0000BF6D0000}"/>
    <cellStyle name="Note 4 3 3 5 3 2 2 2" xfId="3715" xr:uid="{00000000-0005-0000-0000-0000C06D0000}"/>
    <cellStyle name="Note 4 3 3 5 3 2 2 2 10" xfId="38766" xr:uid="{00000000-0005-0000-0000-0000C16D0000}"/>
    <cellStyle name="Note 4 3 3 5 3 2 2 2 11" xfId="42777" xr:uid="{00000000-0005-0000-0000-0000C26D0000}"/>
    <cellStyle name="Note 4 3 3 5 3 2 2 2 12" xfId="46542" xr:uid="{00000000-0005-0000-0000-0000C36D0000}"/>
    <cellStyle name="Note 4 3 3 5 3 2 2 2 2" xfId="7582" xr:uid="{00000000-0005-0000-0000-0000C46D0000}"/>
    <cellStyle name="Note 4 3 3 5 3 2 2 2 3" xfId="12017" xr:uid="{00000000-0005-0000-0000-0000C56D0000}"/>
    <cellStyle name="Note 4 3 3 5 3 2 2 2 4" xfId="15862" xr:uid="{00000000-0005-0000-0000-0000C66D0000}"/>
    <cellStyle name="Note 4 3 3 5 3 2 2 2 5" xfId="19709" xr:uid="{00000000-0005-0000-0000-0000C76D0000}"/>
    <cellStyle name="Note 4 3 3 5 3 2 2 2 6" xfId="23625" xr:uid="{00000000-0005-0000-0000-0000C86D0000}"/>
    <cellStyle name="Note 4 3 3 5 3 2 2 2 7" xfId="27459" xr:uid="{00000000-0005-0000-0000-0000C96D0000}"/>
    <cellStyle name="Note 4 3 3 5 3 2 2 2 8" xfId="31323" xr:uid="{00000000-0005-0000-0000-0000CA6D0000}"/>
    <cellStyle name="Note 4 3 3 5 3 2 2 2 9" xfId="34980" xr:uid="{00000000-0005-0000-0000-0000CB6D0000}"/>
    <cellStyle name="Note 4 3 3 5 3 2 2 3" xfId="5658" xr:uid="{00000000-0005-0000-0000-0000CC6D0000}"/>
    <cellStyle name="Note 4 3 3 5 3 2 2 4" xfId="10016" xr:uid="{00000000-0005-0000-0000-0000CD6D0000}"/>
    <cellStyle name="Note 4 3 3 5 3 2 2 5" xfId="13862" xr:uid="{00000000-0005-0000-0000-0000CE6D0000}"/>
    <cellStyle name="Note 4 3 3 5 3 2 2 6" xfId="17691" xr:uid="{00000000-0005-0000-0000-0000CF6D0000}"/>
    <cellStyle name="Note 4 3 3 5 3 2 2 7" xfId="21630" xr:uid="{00000000-0005-0000-0000-0000D06D0000}"/>
    <cellStyle name="Note 4 3 3 5 3 2 2 8" xfId="25443" xr:uid="{00000000-0005-0000-0000-0000D16D0000}"/>
    <cellStyle name="Note 4 3 3 5 3 2 2 9" xfId="29330" xr:uid="{00000000-0005-0000-0000-0000D26D0000}"/>
    <cellStyle name="Note 4 3 3 5 3 2 3" xfId="2986" xr:uid="{00000000-0005-0000-0000-0000D36D0000}"/>
    <cellStyle name="Note 4 3 3 5 3 2 3 10" xfId="38038" xr:uid="{00000000-0005-0000-0000-0000D46D0000}"/>
    <cellStyle name="Note 4 3 3 5 3 2 3 11" xfId="42050" xr:uid="{00000000-0005-0000-0000-0000D56D0000}"/>
    <cellStyle name="Note 4 3 3 5 3 2 3 12" xfId="45825" xr:uid="{00000000-0005-0000-0000-0000D66D0000}"/>
    <cellStyle name="Note 4 3 3 5 3 2 3 2" xfId="6864" xr:uid="{00000000-0005-0000-0000-0000D76D0000}"/>
    <cellStyle name="Note 4 3 3 5 3 2 3 3" xfId="11292" xr:uid="{00000000-0005-0000-0000-0000D86D0000}"/>
    <cellStyle name="Note 4 3 3 5 3 2 3 4" xfId="15137" xr:uid="{00000000-0005-0000-0000-0000D96D0000}"/>
    <cellStyle name="Note 4 3 3 5 3 2 3 5" xfId="18980" xr:uid="{00000000-0005-0000-0000-0000DA6D0000}"/>
    <cellStyle name="Note 4 3 3 5 3 2 3 6" xfId="22904" xr:uid="{00000000-0005-0000-0000-0000DB6D0000}"/>
    <cellStyle name="Note 4 3 3 5 3 2 3 7" xfId="26731" xr:uid="{00000000-0005-0000-0000-0000DC6D0000}"/>
    <cellStyle name="Note 4 3 3 5 3 2 3 8" xfId="30605" xr:uid="{00000000-0005-0000-0000-0000DD6D0000}"/>
    <cellStyle name="Note 4 3 3 5 3 2 3 9" xfId="34263" xr:uid="{00000000-0005-0000-0000-0000DE6D0000}"/>
    <cellStyle name="Note 4 3 3 5 3 2 4" xfId="4940" xr:uid="{00000000-0005-0000-0000-0000DF6D0000}"/>
    <cellStyle name="Note 4 3 3 5 3 2 5" xfId="9295" xr:uid="{00000000-0005-0000-0000-0000E06D0000}"/>
    <cellStyle name="Note 4 3 3 5 3 2 6" xfId="13136" xr:uid="{00000000-0005-0000-0000-0000E16D0000}"/>
    <cellStyle name="Note 4 3 3 5 3 2 7" xfId="16962" xr:uid="{00000000-0005-0000-0000-0000E26D0000}"/>
    <cellStyle name="Note 4 3 3 5 3 2 8" xfId="20904" xr:uid="{00000000-0005-0000-0000-0000E36D0000}"/>
    <cellStyle name="Note 4 3 3 5 3 2 9" xfId="24719" xr:uid="{00000000-0005-0000-0000-0000E46D0000}"/>
    <cellStyle name="Note 4 3 3 5 3 3" xfId="1372" xr:uid="{00000000-0005-0000-0000-0000E56D0000}"/>
    <cellStyle name="Note 4 3 3 5 3 3 10" xfId="32659" xr:uid="{00000000-0005-0000-0000-0000E66D0000}"/>
    <cellStyle name="Note 4 3 3 5 3 3 11" xfId="36429" xr:uid="{00000000-0005-0000-0000-0000E76D0000}"/>
    <cellStyle name="Note 4 3 3 5 3 3 12" xfId="40420" xr:uid="{00000000-0005-0000-0000-0000E86D0000}"/>
    <cellStyle name="Note 4 3 3 5 3 3 13" xfId="44251" xr:uid="{00000000-0005-0000-0000-0000E96D0000}"/>
    <cellStyle name="Note 4 3 3 5 3 3 2" xfId="3362" xr:uid="{00000000-0005-0000-0000-0000EA6D0000}"/>
    <cellStyle name="Note 4 3 3 5 3 3 2 10" xfId="38413" xr:uid="{00000000-0005-0000-0000-0000EB6D0000}"/>
    <cellStyle name="Note 4 3 3 5 3 3 2 11" xfId="42424" xr:uid="{00000000-0005-0000-0000-0000EC6D0000}"/>
    <cellStyle name="Note 4 3 3 5 3 3 2 12" xfId="46189" xr:uid="{00000000-0005-0000-0000-0000ED6D0000}"/>
    <cellStyle name="Note 4 3 3 5 3 3 2 2" xfId="7229" xr:uid="{00000000-0005-0000-0000-0000EE6D0000}"/>
    <cellStyle name="Note 4 3 3 5 3 3 2 3" xfId="11664" xr:uid="{00000000-0005-0000-0000-0000EF6D0000}"/>
    <cellStyle name="Note 4 3 3 5 3 3 2 4" xfId="15509" xr:uid="{00000000-0005-0000-0000-0000F06D0000}"/>
    <cellStyle name="Note 4 3 3 5 3 3 2 5" xfId="19356" xr:uid="{00000000-0005-0000-0000-0000F16D0000}"/>
    <cellStyle name="Note 4 3 3 5 3 3 2 6" xfId="23272" xr:uid="{00000000-0005-0000-0000-0000F26D0000}"/>
    <cellStyle name="Note 4 3 3 5 3 3 2 7" xfId="27106" xr:uid="{00000000-0005-0000-0000-0000F36D0000}"/>
    <cellStyle name="Note 4 3 3 5 3 3 2 8" xfId="30974" xr:uid="{00000000-0005-0000-0000-0000F46D0000}"/>
    <cellStyle name="Note 4 3 3 5 3 3 2 9" xfId="34627" xr:uid="{00000000-0005-0000-0000-0000F56D0000}"/>
    <cellStyle name="Note 4 3 3 5 3 3 3" xfId="5305" xr:uid="{00000000-0005-0000-0000-0000F66D0000}"/>
    <cellStyle name="Note 4 3 3 5 3 3 4" xfId="9663" xr:uid="{00000000-0005-0000-0000-0000F76D0000}"/>
    <cellStyle name="Note 4 3 3 5 3 3 5" xfId="13509" xr:uid="{00000000-0005-0000-0000-0000F86D0000}"/>
    <cellStyle name="Note 4 3 3 5 3 3 6" xfId="17338" xr:uid="{00000000-0005-0000-0000-0000F96D0000}"/>
    <cellStyle name="Note 4 3 3 5 3 3 7" xfId="21277" xr:uid="{00000000-0005-0000-0000-0000FA6D0000}"/>
    <cellStyle name="Note 4 3 3 5 3 3 8" xfId="25090" xr:uid="{00000000-0005-0000-0000-0000FB6D0000}"/>
    <cellStyle name="Note 4 3 3 5 3 3 9" xfId="28977" xr:uid="{00000000-0005-0000-0000-0000FC6D0000}"/>
    <cellStyle name="Note 4 3 3 5 3 4" xfId="2619" xr:uid="{00000000-0005-0000-0000-0000FD6D0000}"/>
    <cellStyle name="Note 4 3 3 5 3 4 10" xfId="37671" xr:uid="{00000000-0005-0000-0000-0000FE6D0000}"/>
    <cellStyle name="Note 4 3 3 5 3 4 11" xfId="41685" xr:uid="{00000000-0005-0000-0000-0000FF6D0000}"/>
    <cellStyle name="Note 4 3 3 5 3 4 12" xfId="45472" xr:uid="{00000000-0005-0000-0000-0000006E0000}"/>
    <cellStyle name="Note 4 3 3 5 3 4 2" xfId="6509" xr:uid="{00000000-0005-0000-0000-0000016E0000}"/>
    <cellStyle name="Note 4 3 3 5 3 4 3" xfId="10933" xr:uid="{00000000-0005-0000-0000-0000026E0000}"/>
    <cellStyle name="Note 4 3 3 5 3 4 4" xfId="14777" xr:uid="{00000000-0005-0000-0000-0000036E0000}"/>
    <cellStyle name="Note 4 3 3 5 3 4 5" xfId="18613" xr:uid="{00000000-0005-0000-0000-0000046E0000}"/>
    <cellStyle name="Note 4 3 3 5 3 4 6" xfId="22546" xr:uid="{00000000-0005-0000-0000-0000056E0000}"/>
    <cellStyle name="Note 4 3 3 5 3 4 7" xfId="26364" xr:uid="{00000000-0005-0000-0000-0000066E0000}"/>
    <cellStyle name="Note 4 3 3 5 3 4 8" xfId="30243" xr:uid="{00000000-0005-0000-0000-0000076E0000}"/>
    <cellStyle name="Note 4 3 3 5 3 4 9" xfId="33910" xr:uid="{00000000-0005-0000-0000-0000086E0000}"/>
    <cellStyle name="Note 4 3 3 5 3 5" xfId="4585" xr:uid="{00000000-0005-0000-0000-0000096E0000}"/>
    <cellStyle name="Note 4 3 3 5 3 6" xfId="8925" xr:uid="{00000000-0005-0000-0000-00000A6E0000}"/>
    <cellStyle name="Note 4 3 3 5 3 7" xfId="10384" xr:uid="{00000000-0005-0000-0000-00000B6E0000}"/>
    <cellStyle name="Note 4 3 3 5 3 8" xfId="14228" xr:uid="{00000000-0005-0000-0000-00000C6E0000}"/>
    <cellStyle name="Note 4 3 3 5 3 9" xfId="20529" xr:uid="{00000000-0005-0000-0000-00000D6E0000}"/>
    <cellStyle name="Note 4 3 3 5 30" xfId="47352" xr:uid="{00000000-0005-0000-0000-00000E6E0000}"/>
    <cellStyle name="Note 4 3 3 5 31" xfId="47440" xr:uid="{00000000-0005-0000-0000-00000F6E0000}"/>
    <cellStyle name="Note 4 3 3 5 32" xfId="47487" xr:uid="{00000000-0005-0000-0000-0000106E0000}"/>
    <cellStyle name="Note 4 3 3 5 4" xfId="726" xr:uid="{00000000-0005-0000-0000-0000116E0000}"/>
    <cellStyle name="Note 4 3 3 5 4 10" xfId="24459" xr:uid="{00000000-0005-0000-0000-0000126E0000}"/>
    <cellStyle name="Note 4 3 3 5 4 11" xfId="28352" xr:uid="{00000000-0005-0000-0000-0000136E0000}"/>
    <cellStyle name="Note 4 3 3 5 4 12" xfId="29693" xr:uid="{00000000-0005-0000-0000-0000146E0000}"/>
    <cellStyle name="Note 4 3 3 5 4 13" xfId="35797" xr:uid="{00000000-0005-0000-0000-0000156E0000}"/>
    <cellStyle name="Note 4 3 3 5 4 14" xfId="39818" xr:uid="{00000000-0005-0000-0000-0000166E0000}"/>
    <cellStyle name="Note 4 3 3 5 4 15" xfId="43623" xr:uid="{00000000-0005-0000-0000-0000176E0000}"/>
    <cellStyle name="Note 4 3 3 5 4 2" xfId="1105" xr:uid="{00000000-0005-0000-0000-0000186E0000}"/>
    <cellStyle name="Note 4 3 3 5 4 2 10" xfId="28715" xr:uid="{00000000-0005-0000-0000-0000196E0000}"/>
    <cellStyle name="Note 4 3 3 5 4 2 11" xfId="32402" xr:uid="{00000000-0005-0000-0000-00001A6E0000}"/>
    <cellStyle name="Note 4 3 3 5 4 2 12" xfId="36163" xr:uid="{00000000-0005-0000-0000-00001B6E0000}"/>
    <cellStyle name="Note 4 3 3 5 4 2 13" xfId="40165" xr:uid="{00000000-0005-0000-0000-00001C6E0000}"/>
    <cellStyle name="Note 4 3 3 5 4 2 14" xfId="43989" xr:uid="{00000000-0005-0000-0000-00001D6E0000}"/>
    <cellStyle name="Note 4 3 3 5 4 2 2" xfId="1832" xr:uid="{00000000-0005-0000-0000-00001E6E0000}"/>
    <cellStyle name="Note 4 3 3 5 4 2 2 10" xfId="33119" xr:uid="{00000000-0005-0000-0000-00001F6E0000}"/>
    <cellStyle name="Note 4 3 3 5 4 2 2 11" xfId="36889" xr:uid="{00000000-0005-0000-0000-0000206E0000}"/>
    <cellStyle name="Note 4 3 3 5 4 2 2 12" xfId="40880" xr:uid="{00000000-0005-0000-0000-0000216E0000}"/>
    <cellStyle name="Note 4 3 3 5 4 2 2 13" xfId="44711" xr:uid="{00000000-0005-0000-0000-0000226E0000}"/>
    <cellStyle name="Note 4 3 3 5 4 2 2 2" xfId="3822" xr:uid="{00000000-0005-0000-0000-0000236E0000}"/>
    <cellStyle name="Note 4 3 3 5 4 2 2 2 10" xfId="38873" xr:uid="{00000000-0005-0000-0000-0000246E0000}"/>
    <cellStyle name="Note 4 3 3 5 4 2 2 2 11" xfId="42884" xr:uid="{00000000-0005-0000-0000-0000256E0000}"/>
    <cellStyle name="Note 4 3 3 5 4 2 2 2 12" xfId="46649" xr:uid="{00000000-0005-0000-0000-0000266E0000}"/>
    <cellStyle name="Note 4 3 3 5 4 2 2 2 2" xfId="7689" xr:uid="{00000000-0005-0000-0000-0000276E0000}"/>
    <cellStyle name="Note 4 3 3 5 4 2 2 2 3" xfId="12124" xr:uid="{00000000-0005-0000-0000-0000286E0000}"/>
    <cellStyle name="Note 4 3 3 5 4 2 2 2 4" xfId="15969" xr:uid="{00000000-0005-0000-0000-0000296E0000}"/>
    <cellStyle name="Note 4 3 3 5 4 2 2 2 5" xfId="19816" xr:uid="{00000000-0005-0000-0000-00002A6E0000}"/>
    <cellStyle name="Note 4 3 3 5 4 2 2 2 6" xfId="23732" xr:uid="{00000000-0005-0000-0000-00002B6E0000}"/>
    <cellStyle name="Note 4 3 3 5 4 2 2 2 7" xfId="27566" xr:uid="{00000000-0005-0000-0000-00002C6E0000}"/>
    <cellStyle name="Note 4 3 3 5 4 2 2 2 8" xfId="31430" xr:uid="{00000000-0005-0000-0000-00002D6E0000}"/>
    <cellStyle name="Note 4 3 3 5 4 2 2 2 9" xfId="35087" xr:uid="{00000000-0005-0000-0000-00002E6E0000}"/>
    <cellStyle name="Note 4 3 3 5 4 2 2 3" xfId="5765" xr:uid="{00000000-0005-0000-0000-00002F6E0000}"/>
    <cellStyle name="Note 4 3 3 5 4 2 2 4" xfId="10123" xr:uid="{00000000-0005-0000-0000-0000306E0000}"/>
    <cellStyle name="Note 4 3 3 5 4 2 2 5" xfId="13969" xr:uid="{00000000-0005-0000-0000-0000316E0000}"/>
    <cellStyle name="Note 4 3 3 5 4 2 2 6" xfId="17798" xr:uid="{00000000-0005-0000-0000-0000326E0000}"/>
    <cellStyle name="Note 4 3 3 5 4 2 2 7" xfId="21737" xr:uid="{00000000-0005-0000-0000-0000336E0000}"/>
    <cellStyle name="Note 4 3 3 5 4 2 2 8" xfId="25550" xr:uid="{00000000-0005-0000-0000-0000346E0000}"/>
    <cellStyle name="Note 4 3 3 5 4 2 2 9" xfId="29437" xr:uid="{00000000-0005-0000-0000-0000356E0000}"/>
    <cellStyle name="Note 4 3 3 5 4 2 3" xfId="3095" xr:uid="{00000000-0005-0000-0000-0000366E0000}"/>
    <cellStyle name="Note 4 3 3 5 4 2 3 10" xfId="38147" xr:uid="{00000000-0005-0000-0000-0000376E0000}"/>
    <cellStyle name="Note 4 3 3 5 4 2 3 11" xfId="42159" xr:uid="{00000000-0005-0000-0000-0000386E0000}"/>
    <cellStyle name="Note 4 3 3 5 4 2 3 12" xfId="45932" xr:uid="{00000000-0005-0000-0000-0000396E0000}"/>
    <cellStyle name="Note 4 3 3 5 4 2 3 2" xfId="6971" xr:uid="{00000000-0005-0000-0000-00003A6E0000}"/>
    <cellStyle name="Note 4 3 3 5 4 2 3 3" xfId="11400" xr:uid="{00000000-0005-0000-0000-00003B6E0000}"/>
    <cellStyle name="Note 4 3 3 5 4 2 3 4" xfId="15244" xr:uid="{00000000-0005-0000-0000-00003C6E0000}"/>
    <cellStyle name="Note 4 3 3 5 4 2 3 5" xfId="19089" xr:uid="{00000000-0005-0000-0000-00003D6E0000}"/>
    <cellStyle name="Note 4 3 3 5 4 2 3 6" xfId="23011" xr:uid="{00000000-0005-0000-0000-00003E6E0000}"/>
    <cellStyle name="Note 4 3 3 5 4 2 3 7" xfId="26840" xr:uid="{00000000-0005-0000-0000-00003F6E0000}"/>
    <cellStyle name="Note 4 3 3 5 4 2 3 8" xfId="30713" xr:uid="{00000000-0005-0000-0000-0000406E0000}"/>
    <cellStyle name="Note 4 3 3 5 4 2 3 9" xfId="34370" xr:uid="{00000000-0005-0000-0000-0000416E0000}"/>
    <cellStyle name="Note 4 3 3 5 4 2 4" xfId="5047" xr:uid="{00000000-0005-0000-0000-0000426E0000}"/>
    <cellStyle name="Note 4 3 3 5 4 2 5" xfId="9403" xr:uid="{00000000-0005-0000-0000-0000436E0000}"/>
    <cellStyle name="Note 4 3 3 5 4 2 6" xfId="13243" xr:uid="{00000000-0005-0000-0000-0000446E0000}"/>
    <cellStyle name="Note 4 3 3 5 4 2 7" xfId="17071" xr:uid="{00000000-0005-0000-0000-0000456E0000}"/>
    <cellStyle name="Note 4 3 3 5 4 2 8" xfId="21013" xr:uid="{00000000-0005-0000-0000-0000466E0000}"/>
    <cellStyle name="Note 4 3 3 5 4 2 9" xfId="24827" xr:uid="{00000000-0005-0000-0000-0000476E0000}"/>
    <cellStyle name="Note 4 3 3 5 4 3" xfId="1479" xr:uid="{00000000-0005-0000-0000-0000486E0000}"/>
    <cellStyle name="Note 4 3 3 5 4 3 10" xfId="32766" xr:uid="{00000000-0005-0000-0000-0000496E0000}"/>
    <cellStyle name="Note 4 3 3 5 4 3 11" xfId="36536" xr:uid="{00000000-0005-0000-0000-00004A6E0000}"/>
    <cellStyle name="Note 4 3 3 5 4 3 12" xfId="40527" xr:uid="{00000000-0005-0000-0000-00004B6E0000}"/>
    <cellStyle name="Note 4 3 3 5 4 3 13" xfId="44358" xr:uid="{00000000-0005-0000-0000-00004C6E0000}"/>
    <cellStyle name="Note 4 3 3 5 4 3 2" xfId="3469" xr:uid="{00000000-0005-0000-0000-00004D6E0000}"/>
    <cellStyle name="Note 4 3 3 5 4 3 2 10" xfId="38520" xr:uid="{00000000-0005-0000-0000-00004E6E0000}"/>
    <cellStyle name="Note 4 3 3 5 4 3 2 11" xfId="42531" xr:uid="{00000000-0005-0000-0000-00004F6E0000}"/>
    <cellStyle name="Note 4 3 3 5 4 3 2 12" xfId="46296" xr:uid="{00000000-0005-0000-0000-0000506E0000}"/>
    <cellStyle name="Note 4 3 3 5 4 3 2 2" xfId="7336" xr:uid="{00000000-0005-0000-0000-0000516E0000}"/>
    <cellStyle name="Note 4 3 3 5 4 3 2 3" xfId="11771" xr:uid="{00000000-0005-0000-0000-0000526E0000}"/>
    <cellStyle name="Note 4 3 3 5 4 3 2 4" xfId="15616" xr:uid="{00000000-0005-0000-0000-0000536E0000}"/>
    <cellStyle name="Note 4 3 3 5 4 3 2 5" xfId="19463" xr:uid="{00000000-0005-0000-0000-0000546E0000}"/>
    <cellStyle name="Note 4 3 3 5 4 3 2 6" xfId="23379" xr:uid="{00000000-0005-0000-0000-0000556E0000}"/>
    <cellStyle name="Note 4 3 3 5 4 3 2 7" xfId="27213" xr:uid="{00000000-0005-0000-0000-0000566E0000}"/>
    <cellStyle name="Note 4 3 3 5 4 3 2 8" xfId="31080" xr:uid="{00000000-0005-0000-0000-0000576E0000}"/>
    <cellStyle name="Note 4 3 3 5 4 3 2 9" xfId="34734" xr:uid="{00000000-0005-0000-0000-0000586E0000}"/>
    <cellStyle name="Note 4 3 3 5 4 3 3" xfId="5412" xr:uid="{00000000-0005-0000-0000-0000596E0000}"/>
    <cellStyle name="Note 4 3 3 5 4 3 4" xfId="9770" xr:uid="{00000000-0005-0000-0000-00005A6E0000}"/>
    <cellStyle name="Note 4 3 3 5 4 3 5" xfId="13616" xr:uid="{00000000-0005-0000-0000-00005B6E0000}"/>
    <cellStyle name="Note 4 3 3 5 4 3 6" xfId="17445" xr:uid="{00000000-0005-0000-0000-00005C6E0000}"/>
    <cellStyle name="Note 4 3 3 5 4 3 7" xfId="21384" xr:uid="{00000000-0005-0000-0000-00005D6E0000}"/>
    <cellStyle name="Note 4 3 3 5 4 3 8" xfId="25197" xr:uid="{00000000-0005-0000-0000-00005E6E0000}"/>
    <cellStyle name="Note 4 3 3 5 4 3 9" xfId="29084" xr:uid="{00000000-0005-0000-0000-00005F6E0000}"/>
    <cellStyle name="Note 4 3 3 5 4 4" xfId="2729" xr:uid="{00000000-0005-0000-0000-0000606E0000}"/>
    <cellStyle name="Note 4 3 3 5 4 4 10" xfId="37781" xr:uid="{00000000-0005-0000-0000-0000616E0000}"/>
    <cellStyle name="Note 4 3 3 5 4 4 11" xfId="41795" xr:uid="{00000000-0005-0000-0000-0000626E0000}"/>
    <cellStyle name="Note 4 3 3 5 4 4 12" xfId="45579" xr:uid="{00000000-0005-0000-0000-0000636E0000}"/>
    <cellStyle name="Note 4 3 3 5 4 4 2" xfId="6616" xr:uid="{00000000-0005-0000-0000-0000646E0000}"/>
    <cellStyle name="Note 4 3 3 5 4 4 3" xfId="11040" xr:uid="{00000000-0005-0000-0000-0000656E0000}"/>
    <cellStyle name="Note 4 3 3 5 4 4 4" xfId="14885" xr:uid="{00000000-0005-0000-0000-0000666E0000}"/>
    <cellStyle name="Note 4 3 3 5 4 4 5" xfId="18723" xr:uid="{00000000-0005-0000-0000-0000676E0000}"/>
    <cellStyle name="Note 4 3 3 5 4 4 6" xfId="22654" xr:uid="{00000000-0005-0000-0000-0000686E0000}"/>
    <cellStyle name="Note 4 3 3 5 4 4 7" xfId="26474" xr:uid="{00000000-0005-0000-0000-0000696E0000}"/>
    <cellStyle name="Note 4 3 3 5 4 4 8" xfId="30353" xr:uid="{00000000-0005-0000-0000-00006A6E0000}"/>
    <cellStyle name="Note 4 3 3 5 4 4 9" xfId="34017" xr:uid="{00000000-0005-0000-0000-00006B6E0000}"/>
    <cellStyle name="Note 4 3 3 5 4 5" xfId="4692" xr:uid="{00000000-0005-0000-0000-00006C6E0000}"/>
    <cellStyle name="Note 4 3 3 5 4 6" xfId="9034" xr:uid="{00000000-0005-0000-0000-00006D6E0000}"/>
    <cellStyle name="Note 4 3 3 5 4 7" xfId="12872" xr:uid="{00000000-0005-0000-0000-00006E6E0000}"/>
    <cellStyle name="Note 4 3 3 5 4 8" xfId="16702" xr:uid="{00000000-0005-0000-0000-00006F6E0000}"/>
    <cellStyle name="Note 4 3 3 5 4 9" xfId="20639" xr:uid="{00000000-0005-0000-0000-0000706E0000}"/>
    <cellStyle name="Note 4 3 3 5 5" xfId="877" xr:uid="{00000000-0005-0000-0000-0000716E0000}"/>
    <cellStyle name="Note 4 3 3 5 5 10" xfId="24601" xr:uid="{00000000-0005-0000-0000-0000726E0000}"/>
    <cellStyle name="Note 4 3 3 5 5 11" xfId="28491" xr:uid="{00000000-0005-0000-0000-0000736E0000}"/>
    <cellStyle name="Note 4 3 3 5 5 12" xfId="32178" xr:uid="{00000000-0005-0000-0000-0000746E0000}"/>
    <cellStyle name="Note 4 3 3 5 5 13" xfId="35935" xr:uid="{00000000-0005-0000-0000-0000756E0000}"/>
    <cellStyle name="Note 4 3 3 5 5 14" xfId="39945" xr:uid="{00000000-0005-0000-0000-0000766E0000}"/>
    <cellStyle name="Note 4 3 3 5 5 15" xfId="43761" xr:uid="{00000000-0005-0000-0000-0000776E0000}"/>
    <cellStyle name="Note 4 3 3 5 5 2" xfId="1214" xr:uid="{00000000-0005-0000-0000-0000786E0000}"/>
    <cellStyle name="Note 4 3 3 5 5 2 10" xfId="28822" xr:uid="{00000000-0005-0000-0000-0000796E0000}"/>
    <cellStyle name="Note 4 3 3 5 5 2 11" xfId="32506" xr:uid="{00000000-0005-0000-0000-00007A6E0000}"/>
    <cellStyle name="Note 4 3 3 5 5 2 12" xfId="36272" xr:uid="{00000000-0005-0000-0000-00007B6E0000}"/>
    <cellStyle name="Note 4 3 3 5 5 2 13" xfId="40265" xr:uid="{00000000-0005-0000-0000-00007C6E0000}"/>
    <cellStyle name="Note 4 3 3 5 5 2 14" xfId="44098" xr:uid="{00000000-0005-0000-0000-00007D6E0000}"/>
    <cellStyle name="Note 4 3 3 5 5 2 2" xfId="1936" xr:uid="{00000000-0005-0000-0000-00007E6E0000}"/>
    <cellStyle name="Note 4 3 3 5 5 2 2 10" xfId="33223" xr:uid="{00000000-0005-0000-0000-00007F6E0000}"/>
    <cellStyle name="Note 4 3 3 5 5 2 2 11" xfId="36993" xr:uid="{00000000-0005-0000-0000-0000806E0000}"/>
    <cellStyle name="Note 4 3 3 5 5 2 2 12" xfId="40984" xr:uid="{00000000-0005-0000-0000-0000816E0000}"/>
    <cellStyle name="Note 4 3 3 5 5 2 2 13" xfId="44815" xr:uid="{00000000-0005-0000-0000-0000826E0000}"/>
    <cellStyle name="Note 4 3 3 5 5 2 2 2" xfId="3926" xr:uid="{00000000-0005-0000-0000-0000836E0000}"/>
    <cellStyle name="Note 4 3 3 5 5 2 2 2 10" xfId="38977" xr:uid="{00000000-0005-0000-0000-0000846E0000}"/>
    <cellStyle name="Note 4 3 3 5 5 2 2 2 11" xfId="42988" xr:uid="{00000000-0005-0000-0000-0000856E0000}"/>
    <cellStyle name="Note 4 3 3 5 5 2 2 2 12" xfId="46753" xr:uid="{00000000-0005-0000-0000-0000866E0000}"/>
    <cellStyle name="Note 4 3 3 5 5 2 2 2 2" xfId="7793" xr:uid="{00000000-0005-0000-0000-0000876E0000}"/>
    <cellStyle name="Note 4 3 3 5 5 2 2 2 3" xfId="12228" xr:uid="{00000000-0005-0000-0000-0000886E0000}"/>
    <cellStyle name="Note 4 3 3 5 5 2 2 2 4" xfId="16073" xr:uid="{00000000-0005-0000-0000-0000896E0000}"/>
    <cellStyle name="Note 4 3 3 5 5 2 2 2 5" xfId="19920" xr:uid="{00000000-0005-0000-0000-00008A6E0000}"/>
    <cellStyle name="Note 4 3 3 5 5 2 2 2 6" xfId="23836" xr:uid="{00000000-0005-0000-0000-00008B6E0000}"/>
    <cellStyle name="Note 4 3 3 5 5 2 2 2 7" xfId="27670" xr:uid="{00000000-0005-0000-0000-00008C6E0000}"/>
    <cellStyle name="Note 4 3 3 5 5 2 2 2 8" xfId="31531" xr:uid="{00000000-0005-0000-0000-00008D6E0000}"/>
    <cellStyle name="Note 4 3 3 5 5 2 2 2 9" xfId="35191" xr:uid="{00000000-0005-0000-0000-00008E6E0000}"/>
    <cellStyle name="Note 4 3 3 5 5 2 2 3" xfId="5869" xr:uid="{00000000-0005-0000-0000-00008F6E0000}"/>
    <cellStyle name="Note 4 3 3 5 5 2 2 4" xfId="10227" xr:uid="{00000000-0005-0000-0000-0000906E0000}"/>
    <cellStyle name="Note 4 3 3 5 5 2 2 5" xfId="14073" xr:uid="{00000000-0005-0000-0000-0000916E0000}"/>
    <cellStyle name="Note 4 3 3 5 5 2 2 6" xfId="17902" xr:uid="{00000000-0005-0000-0000-0000926E0000}"/>
    <cellStyle name="Note 4 3 3 5 5 2 2 7" xfId="21841" xr:uid="{00000000-0005-0000-0000-0000936E0000}"/>
    <cellStyle name="Note 4 3 3 5 5 2 2 8" xfId="25654" xr:uid="{00000000-0005-0000-0000-0000946E0000}"/>
    <cellStyle name="Note 4 3 3 5 5 2 2 9" xfId="29541" xr:uid="{00000000-0005-0000-0000-0000956E0000}"/>
    <cellStyle name="Note 4 3 3 5 5 2 3" xfId="3204" xr:uid="{00000000-0005-0000-0000-0000966E0000}"/>
    <cellStyle name="Note 4 3 3 5 5 2 3 10" xfId="38256" xr:uid="{00000000-0005-0000-0000-0000976E0000}"/>
    <cellStyle name="Note 4 3 3 5 5 2 3 11" xfId="42267" xr:uid="{00000000-0005-0000-0000-0000986E0000}"/>
    <cellStyle name="Note 4 3 3 5 5 2 3 12" xfId="46036" xr:uid="{00000000-0005-0000-0000-0000996E0000}"/>
    <cellStyle name="Note 4 3 3 5 5 2 3 2" xfId="7076" xr:uid="{00000000-0005-0000-0000-00009A6E0000}"/>
    <cellStyle name="Note 4 3 3 5 5 2 3 3" xfId="11508" xr:uid="{00000000-0005-0000-0000-00009B6E0000}"/>
    <cellStyle name="Note 4 3 3 5 5 2 3 4" xfId="15352" xr:uid="{00000000-0005-0000-0000-00009C6E0000}"/>
    <cellStyle name="Note 4 3 3 5 5 2 3 5" xfId="19198" xr:uid="{00000000-0005-0000-0000-00009D6E0000}"/>
    <cellStyle name="Note 4 3 3 5 5 2 3 6" xfId="23117" xr:uid="{00000000-0005-0000-0000-00009E6E0000}"/>
    <cellStyle name="Note 4 3 3 5 5 2 3 7" xfId="26949" xr:uid="{00000000-0005-0000-0000-00009F6E0000}"/>
    <cellStyle name="Note 4 3 3 5 5 2 3 8" xfId="30819" xr:uid="{00000000-0005-0000-0000-0000A06E0000}"/>
    <cellStyle name="Note 4 3 3 5 5 2 3 9" xfId="34474" xr:uid="{00000000-0005-0000-0000-0000A16E0000}"/>
    <cellStyle name="Note 4 3 3 5 5 2 4" xfId="5152" xr:uid="{00000000-0005-0000-0000-0000A26E0000}"/>
    <cellStyle name="Note 4 3 3 5 5 2 5" xfId="9508" xr:uid="{00000000-0005-0000-0000-0000A36E0000}"/>
    <cellStyle name="Note 4 3 3 5 5 2 6" xfId="13352" xr:uid="{00000000-0005-0000-0000-0000A46E0000}"/>
    <cellStyle name="Note 4 3 3 5 5 2 7" xfId="17180" xr:uid="{00000000-0005-0000-0000-0000A56E0000}"/>
    <cellStyle name="Note 4 3 3 5 5 2 8" xfId="21122" xr:uid="{00000000-0005-0000-0000-0000A66E0000}"/>
    <cellStyle name="Note 4 3 3 5 5 2 9" xfId="24933" xr:uid="{00000000-0005-0000-0000-0000A76E0000}"/>
    <cellStyle name="Note 4 3 3 5 5 3" xfId="1608" xr:uid="{00000000-0005-0000-0000-0000A86E0000}"/>
    <cellStyle name="Note 4 3 3 5 5 3 10" xfId="32895" xr:uid="{00000000-0005-0000-0000-0000A96E0000}"/>
    <cellStyle name="Note 4 3 3 5 5 3 11" xfId="36665" xr:uid="{00000000-0005-0000-0000-0000AA6E0000}"/>
    <cellStyle name="Note 4 3 3 5 5 3 12" xfId="40656" xr:uid="{00000000-0005-0000-0000-0000AB6E0000}"/>
    <cellStyle name="Note 4 3 3 5 5 3 13" xfId="44487" xr:uid="{00000000-0005-0000-0000-0000AC6E0000}"/>
    <cellStyle name="Note 4 3 3 5 5 3 2" xfId="3598" xr:uid="{00000000-0005-0000-0000-0000AD6E0000}"/>
    <cellStyle name="Note 4 3 3 5 5 3 2 10" xfId="38649" xr:uid="{00000000-0005-0000-0000-0000AE6E0000}"/>
    <cellStyle name="Note 4 3 3 5 5 3 2 11" xfId="42660" xr:uid="{00000000-0005-0000-0000-0000AF6E0000}"/>
    <cellStyle name="Note 4 3 3 5 5 3 2 12" xfId="46425" xr:uid="{00000000-0005-0000-0000-0000B06E0000}"/>
    <cellStyle name="Note 4 3 3 5 5 3 2 2" xfId="7465" xr:uid="{00000000-0005-0000-0000-0000B16E0000}"/>
    <cellStyle name="Note 4 3 3 5 5 3 2 3" xfId="11900" xr:uid="{00000000-0005-0000-0000-0000B26E0000}"/>
    <cellStyle name="Note 4 3 3 5 5 3 2 4" xfId="15745" xr:uid="{00000000-0005-0000-0000-0000B36E0000}"/>
    <cellStyle name="Note 4 3 3 5 5 3 2 5" xfId="19592" xr:uid="{00000000-0005-0000-0000-0000B46E0000}"/>
    <cellStyle name="Note 4 3 3 5 5 3 2 6" xfId="23508" xr:uid="{00000000-0005-0000-0000-0000B56E0000}"/>
    <cellStyle name="Note 4 3 3 5 5 3 2 7" xfId="27342" xr:uid="{00000000-0005-0000-0000-0000B66E0000}"/>
    <cellStyle name="Note 4 3 3 5 5 3 2 8" xfId="31207" xr:uid="{00000000-0005-0000-0000-0000B76E0000}"/>
    <cellStyle name="Note 4 3 3 5 5 3 2 9" xfId="34863" xr:uid="{00000000-0005-0000-0000-0000B86E0000}"/>
    <cellStyle name="Note 4 3 3 5 5 3 3" xfId="5541" xr:uid="{00000000-0005-0000-0000-0000B96E0000}"/>
    <cellStyle name="Note 4 3 3 5 5 3 4" xfId="9899" xr:uid="{00000000-0005-0000-0000-0000BA6E0000}"/>
    <cellStyle name="Note 4 3 3 5 5 3 5" xfId="13745" xr:uid="{00000000-0005-0000-0000-0000BB6E0000}"/>
    <cellStyle name="Note 4 3 3 5 5 3 6" xfId="17574" xr:uid="{00000000-0005-0000-0000-0000BC6E0000}"/>
    <cellStyle name="Note 4 3 3 5 5 3 7" xfId="21513" xr:uid="{00000000-0005-0000-0000-0000BD6E0000}"/>
    <cellStyle name="Note 4 3 3 5 5 3 8" xfId="25326" xr:uid="{00000000-0005-0000-0000-0000BE6E0000}"/>
    <cellStyle name="Note 4 3 3 5 5 3 9" xfId="29213" xr:uid="{00000000-0005-0000-0000-0000BF6E0000}"/>
    <cellStyle name="Note 4 3 3 5 5 4" xfId="2867" xr:uid="{00000000-0005-0000-0000-0000C06E0000}"/>
    <cellStyle name="Note 4 3 3 5 5 4 10" xfId="37919" xr:uid="{00000000-0005-0000-0000-0000C16E0000}"/>
    <cellStyle name="Note 4 3 3 5 5 4 11" xfId="41931" xr:uid="{00000000-0005-0000-0000-0000C26E0000}"/>
    <cellStyle name="Note 4 3 3 5 5 4 12" xfId="45708" xr:uid="{00000000-0005-0000-0000-0000C36E0000}"/>
    <cellStyle name="Note 4 3 3 5 5 4 2" xfId="6747" xr:uid="{00000000-0005-0000-0000-0000C46E0000}"/>
    <cellStyle name="Note 4 3 3 5 5 4 3" xfId="11174" xr:uid="{00000000-0005-0000-0000-0000C56E0000}"/>
    <cellStyle name="Note 4 3 3 5 5 4 4" xfId="15019" xr:uid="{00000000-0005-0000-0000-0000C66E0000}"/>
    <cellStyle name="Note 4 3 3 5 5 4 5" xfId="18861" xr:uid="{00000000-0005-0000-0000-0000C76E0000}"/>
    <cellStyle name="Note 4 3 3 5 5 4 6" xfId="22787" xr:uid="{00000000-0005-0000-0000-0000C86E0000}"/>
    <cellStyle name="Note 4 3 3 5 5 4 7" xfId="26612" xr:uid="{00000000-0005-0000-0000-0000C96E0000}"/>
    <cellStyle name="Note 4 3 3 5 5 4 8" xfId="30488" xr:uid="{00000000-0005-0000-0000-0000CA6E0000}"/>
    <cellStyle name="Note 4 3 3 5 5 4 9" xfId="34146" xr:uid="{00000000-0005-0000-0000-0000CB6E0000}"/>
    <cellStyle name="Note 4 3 3 5 5 5" xfId="4823" xr:uid="{00000000-0005-0000-0000-0000CC6E0000}"/>
    <cellStyle name="Note 4 3 3 5 5 6" xfId="9177" xr:uid="{00000000-0005-0000-0000-0000CD6E0000}"/>
    <cellStyle name="Note 4 3 3 5 5 7" xfId="13018" xr:uid="{00000000-0005-0000-0000-0000CE6E0000}"/>
    <cellStyle name="Note 4 3 3 5 5 8" xfId="16843" xr:uid="{00000000-0005-0000-0000-0000CF6E0000}"/>
    <cellStyle name="Note 4 3 3 5 5 9" xfId="20785" xr:uid="{00000000-0005-0000-0000-0000D06E0000}"/>
    <cellStyle name="Note 4 3 3 5 6" xfId="923" xr:uid="{00000000-0005-0000-0000-0000D16E0000}"/>
    <cellStyle name="Note 4 3 3 5 6 10" xfId="28535" xr:uid="{00000000-0005-0000-0000-0000D26E0000}"/>
    <cellStyle name="Note 4 3 3 5 6 11" xfId="32224" xr:uid="{00000000-0005-0000-0000-0000D36E0000}"/>
    <cellStyle name="Note 4 3 3 5 6 12" xfId="35981" xr:uid="{00000000-0005-0000-0000-0000D46E0000}"/>
    <cellStyle name="Note 4 3 3 5 6 13" xfId="39989" xr:uid="{00000000-0005-0000-0000-0000D56E0000}"/>
    <cellStyle name="Note 4 3 3 5 6 14" xfId="43807" xr:uid="{00000000-0005-0000-0000-0000D66E0000}"/>
    <cellStyle name="Note 4 3 3 5 6 2" xfId="1654" xr:uid="{00000000-0005-0000-0000-0000D76E0000}"/>
    <cellStyle name="Note 4 3 3 5 6 2 10" xfId="32941" xr:uid="{00000000-0005-0000-0000-0000D86E0000}"/>
    <cellStyle name="Note 4 3 3 5 6 2 11" xfId="36711" xr:uid="{00000000-0005-0000-0000-0000D96E0000}"/>
    <cellStyle name="Note 4 3 3 5 6 2 12" xfId="40702" xr:uid="{00000000-0005-0000-0000-0000DA6E0000}"/>
    <cellStyle name="Note 4 3 3 5 6 2 13" xfId="44533" xr:uid="{00000000-0005-0000-0000-0000DB6E0000}"/>
    <cellStyle name="Note 4 3 3 5 6 2 2" xfId="3644" xr:uid="{00000000-0005-0000-0000-0000DC6E0000}"/>
    <cellStyle name="Note 4 3 3 5 6 2 2 10" xfId="38695" xr:uid="{00000000-0005-0000-0000-0000DD6E0000}"/>
    <cellStyle name="Note 4 3 3 5 6 2 2 11" xfId="42706" xr:uid="{00000000-0005-0000-0000-0000DE6E0000}"/>
    <cellStyle name="Note 4 3 3 5 6 2 2 12" xfId="46471" xr:uid="{00000000-0005-0000-0000-0000DF6E0000}"/>
    <cellStyle name="Note 4 3 3 5 6 2 2 2" xfId="7511" xr:uid="{00000000-0005-0000-0000-0000E06E0000}"/>
    <cellStyle name="Note 4 3 3 5 6 2 2 3" xfId="11946" xr:uid="{00000000-0005-0000-0000-0000E16E0000}"/>
    <cellStyle name="Note 4 3 3 5 6 2 2 4" xfId="15791" xr:uid="{00000000-0005-0000-0000-0000E26E0000}"/>
    <cellStyle name="Note 4 3 3 5 6 2 2 5" xfId="19638" xr:uid="{00000000-0005-0000-0000-0000E36E0000}"/>
    <cellStyle name="Note 4 3 3 5 6 2 2 6" xfId="23554" xr:uid="{00000000-0005-0000-0000-0000E46E0000}"/>
    <cellStyle name="Note 4 3 3 5 6 2 2 7" xfId="27388" xr:uid="{00000000-0005-0000-0000-0000E56E0000}"/>
    <cellStyle name="Note 4 3 3 5 6 2 2 8" xfId="31252" xr:uid="{00000000-0005-0000-0000-0000E66E0000}"/>
    <cellStyle name="Note 4 3 3 5 6 2 2 9" xfId="34909" xr:uid="{00000000-0005-0000-0000-0000E76E0000}"/>
    <cellStyle name="Note 4 3 3 5 6 2 3" xfId="5587" xr:uid="{00000000-0005-0000-0000-0000E86E0000}"/>
    <cellStyle name="Note 4 3 3 5 6 2 4" xfId="9945" xr:uid="{00000000-0005-0000-0000-0000E96E0000}"/>
    <cellStyle name="Note 4 3 3 5 6 2 5" xfId="13791" xr:uid="{00000000-0005-0000-0000-0000EA6E0000}"/>
    <cellStyle name="Note 4 3 3 5 6 2 6" xfId="17620" xr:uid="{00000000-0005-0000-0000-0000EB6E0000}"/>
    <cellStyle name="Note 4 3 3 5 6 2 7" xfId="21559" xr:uid="{00000000-0005-0000-0000-0000EC6E0000}"/>
    <cellStyle name="Note 4 3 3 5 6 2 8" xfId="25372" xr:uid="{00000000-0005-0000-0000-0000ED6E0000}"/>
    <cellStyle name="Note 4 3 3 5 6 2 9" xfId="29259" xr:uid="{00000000-0005-0000-0000-0000EE6E0000}"/>
    <cellStyle name="Note 4 3 3 5 6 3" xfId="2913" xr:uid="{00000000-0005-0000-0000-0000EF6E0000}"/>
    <cellStyle name="Note 4 3 3 5 6 3 10" xfId="37965" xr:uid="{00000000-0005-0000-0000-0000F06E0000}"/>
    <cellStyle name="Note 4 3 3 5 6 3 11" xfId="41977" xr:uid="{00000000-0005-0000-0000-0000F16E0000}"/>
    <cellStyle name="Note 4 3 3 5 6 3 12" xfId="45754" xr:uid="{00000000-0005-0000-0000-0000F26E0000}"/>
    <cellStyle name="Note 4 3 3 5 6 3 2" xfId="6793" xr:uid="{00000000-0005-0000-0000-0000F36E0000}"/>
    <cellStyle name="Note 4 3 3 5 6 3 3" xfId="11220" xr:uid="{00000000-0005-0000-0000-0000F46E0000}"/>
    <cellStyle name="Note 4 3 3 5 6 3 4" xfId="15065" xr:uid="{00000000-0005-0000-0000-0000F56E0000}"/>
    <cellStyle name="Note 4 3 3 5 6 3 5" xfId="18907" xr:uid="{00000000-0005-0000-0000-0000F66E0000}"/>
    <cellStyle name="Note 4 3 3 5 6 3 6" xfId="22833" xr:uid="{00000000-0005-0000-0000-0000F76E0000}"/>
    <cellStyle name="Note 4 3 3 5 6 3 7" xfId="26658" xr:uid="{00000000-0005-0000-0000-0000F86E0000}"/>
    <cellStyle name="Note 4 3 3 5 6 3 8" xfId="30533" xr:uid="{00000000-0005-0000-0000-0000F96E0000}"/>
    <cellStyle name="Note 4 3 3 5 6 3 9" xfId="34192" xr:uid="{00000000-0005-0000-0000-0000FA6E0000}"/>
    <cellStyle name="Note 4 3 3 5 6 4" xfId="4869" xr:uid="{00000000-0005-0000-0000-0000FB6E0000}"/>
    <cellStyle name="Note 4 3 3 5 6 5" xfId="9223" xr:uid="{00000000-0005-0000-0000-0000FC6E0000}"/>
    <cellStyle name="Note 4 3 3 5 6 6" xfId="13064" xr:uid="{00000000-0005-0000-0000-0000FD6E0000}"/>
    <cellStyle name="Note 4 3 3 5 6 7" xfId="16889" xr:uid="{00000000-0005-0000-0000-0000FE6E0000}"/>
    <cellStyle name="Note 4 3 3 5 6 8" xfId="20831" xr:uid="{00000000-0005-0000-0000-0000FF6E0000}"/>
    <cellStyle name="Note 4 3 3 5 6 9" xfId="24647" xr:uid="{00000000-0005-0000-0000-0000006F0000}"/>
    <cellStyle name="Note 4 3 3 5 7" xfId="1301" xr:uid="{00000000-0005-0000-0000-0000016F0000}"/>
    <cellStyle name="Note 4 3 3 5 7 10" xfId="32588" xr:uid="{00000000-0005-0000-0000-0000026F0000}"/>
    <cellStyle name="Note 4 3 3 5 7 11" xfId="36358" xr:uid="{00000000-0005-0000-0000-0000036F0000}"/>
    <cellStyle name="Note 4 3 3 5 7 12" xfId="40349" xr:uid="{00000000-0005-0000-0000-0000046F0000}"/>
    <cellStyle name="Note 4 3 3 5 7 13" xfId="44180" xr:uid="{00000000-0005-0000-0000-0000056F0000}"/>
    <cellStyle name="Note 4 3 3 5 7 2" xfId="3291" xr:uid="{00000000-0005-0000-0000-0000066F0000}"/>
    <cellStyle name="Note 4 3 3 5 7 2 10" xfId="38342" xr:uid="{00000000-0005-0000-0000-0000076F0000}"/>
    <cellStyle name="Note 4 3 3 5 7 2 11" xfId="42353" xr:uid="{00000000-0005-0000-0000-0000086F0000}"/>
    <cellStyle name="Note 4 3 3 5 7 2 12" xfId="46118" xr:uid="{00000000-0005-0000-0000-0000096F0000}"/>
    <cellStyle name="Note 4 3 3 5 7 2 2" xfId="7158" xr:uid="{00000000-0005-0000-0000-00000A6F0000}"/>
    <cellStyle name="Note 4 3 3 5 7 2 3" xfId="11593" xr:uid="{00000000-0005-0000-0000-00000B6F0000}"/>
    <cellStyle name="Note 4 3 3 5 7 2 4" xfId="15438" xr:uid="{00000000-0005-0000-0000-00000C6F0000}"/>
    <cellStyle name="Note 4 3 3 5 7 2 5" xfId="19285" xr:uid="{00000000-0005-0000-0000-00000D6F0000}"/>
    <cellStyle name="Note 4 3 3 5 7 2 6" xfId="23201" xr:uid="{00000000-0005-0000-0000-00000E6F0000}"/>
    <cellStyle name="Note 4 3 3 5 7 2 7" xfId="27035" xr:uid="{00000000-0005-0000-0000-00000F6F0000}"/>
    <cellStyle name="Note 4 3 3 5 7 2 8" xfId="30904" xr:uid="{00000000-0005-0000-0000-0000106F0000}"/>
    <cellStyle name="Note 4 3 3 5 7 2 9" xfId="34556" xr:uid="{00000000-0005-0000-0000-0000116F0000}"/>
    <cellStyle name="Note 4 3 3 5 7 3" xfId="5234" xr:uid="{00000000-0005-0000-0000-0000126F0000}"/>
    <cellStyle name="Note 4 3 3 5 7 4" xfId="9592" xr:uid="{00000000-0005-0000-0000-0000136F0000}"/>
    <cellStyle name="Note 4 3 3 5 7 5" xfId="13438" xr:uid="{00000000-0005-0000-0000-0000146F0000}"/>
    <cellStyle name="Note 4 3 3 5 7 6" xfId="17267" xr:uid="{00000000-0005-0000-0000-0000156F0000}"/>
    <cellStyle name="Note 4 3 3 5 7 7" xfId="21206" xr:uid="{00000000-0005-0000-0000-0000166F0000}"/>
    <cellStyle name="Note 4 3 3 5 7 8" xfId="25019" xr:uid="{00000000-0005-0000-0000-0000176F0000}"/>
    <cellStyle name="Note 4 3 3 5 7 9" xfId="28906" xr:uid="{00000000-0005-0000-0000-0000186F0000}"/>
    <cellStyle name="Note 4 3 3 5 8" xfId="1996" xr:uid="{00000000-0005-0000-0000-0000196F0000}"/>
    <cellStyle name="Note 4 3 3 5 8 10" xfId="33283" xr:uid="{00000000-0005-0000-0000-00001A6F0000}"/>
    <cellStyle name="Note 4 3 3 5 8 11" xfId="37052" xr:uid="{00000000-0005-0000-0000-00001B6F0000}"/>
    <cellStyle name="Note 4 3 3 5 8 12" xfId="41044" xr:uid="{00000000-0005-0000-0000-00001C6F0000}"/>
    <cellStyle name="Note 4 3 3 5 8 13" xfId="44874" xr:uid="{00000000-0005-0000-0000-00001D6F0000}"/>
    <cellStyle name="Note 4 3 3 5 8 2" xfId="3985" xr:uid="{00000000-0005-0000-0000-00001E6F0000}"/>
    <cellStyle name="Note 4 3 3 5 8 2 10" xfId="39036" xr:uid="{00000000-0005-0000-0000-00001F6F0000}"/>
    <cellStyle name="Note 4 3 3 5 8 2 11" xfId="43047" xr:uid="{00000000-0005-0000-0000-0000206F0000}"/>
    <cellStyle name="Note 4 3 3 5 8 2 12" xfId="46812" xr:uid="{00000000-0005-0000-0000-0000216F0000}"/>
    <cellStyle name="Note 4 3 3 5 8 2 2" xfId="7852" xr:uid="{00000000-0005-0000-0000-0000226F0000}"/>
    <cellStyle name="Note 4 3 3 5 8 2 3" xfId="12287" xr:uid="{00000000-0005-0000-0000-0000236F0000}"/>
    <cellStyle name="Note 4 3 3 5 8 2 4" xfId="16132" xr:uid="{00000000-0005-0000-0000-0000246F0000}"/>
    <cellStyle name="Note 4 3 3 5 8 2 5" xfId="19979" xr:uid="{00000000-0005-0000-0000-0000256F0000}"/>
    <cellStyle name="Note 4 3 3 5 8 2 6" xfId="23895" xr:uid="{00000000-0005-0000-0000-0000266F0000}"/>
    <cellStyle name="Note 4 3 3 5 8 2 7" xfId="27729" xr:uid="{00000000-0005-0000-0000-0000276F0000}"/>
    <cellStyle name="Note 4 3 3 5 8 2 8" xfId="31589" xr:uid="{00000000-0005-0000-0000-0000286F0000}"/>
    <cellStyle name="Note 4 3 3 5 8 2 9" xfId="35250" xr:uid="{00000000-0005-0000-0000-0000296F0000}"/>
    <cellStyle name="Note 4 3 3 5 8 3" xfId="5928" xr:uid="{00000000-0005-0000-0000-00002A6F0000}"/>
    <cellStyle name="Note 4 3 3 5 8 4" xfId="10286" xr:uid="{00000000-0005-0000-0000-00002B6F0000}"/>
    <cellStyle name="Note 4 3 3 5 8 5" xfId="14133" xr:uid="{00000000-0005-0000-0000-00002C6F0000}"/>
    <cellStyle name="Note 4 3 3 5 8 6" xfId="17962" xr:uid="{00000000-0005-0000-0000-00002D6F0000}"/>
    <cellStyle name="Note 4 3 3 5 8 7" xfId="21901" xr:uid="{00000000-0005-0000-0000-00002E6F0000}"/>
    <cellStyle name="Note 4 3 3 5 8 8" xfId="25714" xr:uid="{00000000-0005-0000-0000-00002F6F0000}"/>
    <cellStyle name="Note 4 3 3 5 8 9" xfId="29601" xr:uid="{00000000-0005-0000-0000-0000306F0000}"/>
    <cellStyle name="Note 4 3 3 5 9" xfId="2043" xr:uid="{00000000-0005-0000-0000-0000316F0000}"/>
    <cellStyle name="Note 4 3 3 5 9 10" xfId="33327" xr:uid="{00000000-0005-0000-0000-0000326F0000}"/>
    <cellStyle name="Note 4 3 3 5 9 11" xfId="37099" xr:uid="{00000000-0005-0000-0000-0000336F0000}"/>
    <cellStyle name="Note 4 3 3 5 9 12" xfId="41089" xr:uid="{00000000-0005-0000-0000-0000346F0000}"/>
    <cellStyle name="Note 4 3 3 5 9 13" xfId="44918" xr:uid="{00000000-0005-0000-0000-0000356F0000}"/>
    <cellStyle name="Note 4 3 3 5 9 2" xfId="4032" xr:uid="{00000000-0005-0000-0000-0000366F0000}"/>
    <cellStyle name="Note 4 3 3 5 9 2 10" xfId="39083" xr:uid="{00000000-0005-0000-0000-0000376F0000}"/>
    <cellStyle name="Note 4 3 3 5 9 2 11" xfId="43093" xr:uid="{00000000-0005-0000-0000-0000386F0000}"/>
    <cellStyle name="Note 4 3 3 5 9 2 12" xfId="46856" xr:uid="{00000000-0005-0000-0000-0000396F0000}"/>
    <cellStyle name="Note 4 3 3 5 9 2 2" xfId="7897" xr:uid="{00000000-0005-0000-0000-00003A6F0000}"/>
    <cellStyle name="Note 4 3 3 5 9 2 3" xfId="12332" xr:uid="{00000000-0005-0000-0000-00003B6F0000}"/>
    <cellStyle name="Note 4 3 3 5 9 2 4" xfId="16178" xr:uid="{00000000-0005-0000-0000-00003C6F0000}"/>
    <cellStyle name="Note 4 3 3 5 9 2 5" xfId="20026" xr:uid="{00000000-0005-0000-0000-00003D6F0000}"/>
    <cellStyle name="Note 4 3 3 5 9 2 6" xfId="23941" xr:uid="{00000000-0005-0000-0000-00003E6F0000}"/>
    <cellStyle name="Note 4 3 3 5 9 2 7" xfId="27776" xr:uid="{00000000-0005-0000-0000-00003F6F0000}"/>
    <cellStyle name="Note 4 3 3 5 9 2 8" xfId="31635" xr:uid="{00000000-0005-0000-0000-0000406F0000}"/>
    <cellStyle name="Note 4 3 3 5 9 2 9" xfId="35294" xr:uid="{00000000-0005-0000-0000-0000416F0000}"/>
    <cellStyle name="Note 4 3 3 5 9 3" xfId="5973" xr:uid="{00000000-0005-0000-0000-0000426F0000}"/>
    <cellStyle name="Note 4 3 3 5 9 4" xfId="10331" xr:uid="{00000000-0005-0000-0000-0000436F0000}"/>
    <cellStyle name="Note 4 3 3 5 9 5" xfId="14179" xr:uid="{00000000-0005-0000-0000-0000446F0000}"/>
    <cellStyle name="Note 4 3 3 5 9 6" xfId="18009" xr:uid="{00000000-0005-0000-0000-0000456F0000}"/>
    <cellStyle name="Note 4 3 3 5 9 7" xfId="21947" xr:uid="{00000000-0005-0000-0000-0000466F0000}"/>
    <cellStyle name="Note 4 3 3 5 9 8" xfId="25761" xr:uid="{00000000-0005-0000-0000-0000476F0000}"/>
    <cellStyle name="Note 4 3 3 5 9 9" xfId="29647" xr:uid="{00000000-0005-0000-0000-0000486F0000}"/>
    <cellStyle name="Note 4 3 3 6" xfId="660" xr:uid="{00000000-0005-0000-0000-0000496F0000}"/>
    <cellStyle name="Note 4 3 3 6 10" xfId="21992" xr:uid="{00000000-0005-0000-0000-00004A6F0000}"/>
    <cellStyle name="Note 4 3 3 6 11" xfId="28287" xr:uid="{00000000-0005-0000-0000-00004B6F0000}"/>
    <cellStyle name="Note 4 3 3 6 12" xfId="31872" xr:uid="{00000000-0005-0000-0000-00004C6F0000}"/>
    <cellStyle name="Note 4 3 3 6 13" xfId="8654" xr:uid="{00000000-0005-0000-0000-00004D6F0000}"/>
    <cellStyle name="Note 4 3 3 6 14" xfId="39754" xr:uid="{00000000-0005-0000-0000-00004E6F0000}"/>
    <cellStyle name="Note 4 3 3 6 15" xfId="43557" xr:uid="{00000000-0005-0000-0000-00004F6F0000}"/>
    <cellStyle name="Note 4 3 3 6 2" xfId="1040" xr:uid="{00000000-0005-0000-0000-0000506F0000}"/>
    <cellStyle name="Note 4 3 3 6 2 10" xfId="28651" xr:uid="{00000000-0005-0000-0000-0000516F0000}"/>
    <cellStyle name="Note 4 3 3 6 2 11" xfId="32337" xr:uid="{00000000-0005-0000-0000-0000526F0000}"/>
    <cellStyle name="Note 4 3 3 6 2 12" xfId="36098" xr:uid="{00000000-0005-0000-0000-0000536F0000}"/>
    <cellStyle name="Note 4 3 3 6 2 13" xfId="40101" xr:uid="{00000000-0005-0000-0000-0000546F0000}"/>
    <cellStyle name="Note 4 3 3 6 2 14" xfId="43924" xr:uid="{00000000-0005-0000-0000-0000556F0000}"/>
    <cellStyle name="Note 4 3 3 6 2 2" xfId="1767" xr:uid="{00000000-0005-0000-0000-0000566F0000}"/>
    <cellStyle name="Note 4 3 3 6 2 2 10" xfId="33054" xr:uid="{00000000-0005-0000-0000-0000576F0000}"/>
    <cellStyle name="Note 4 3 3 6 2 2 11" xfId="36824" xr:uid="{00000000-0005-0000-0000-0000586F0000}"/>
    <cellStyle name="Note 4 3 3 6 2 2 12" xfId="40815" xr:uid="{00000000-0005-0000-0000-0000596F0000}"/>
    <cellStyle name="Note 4 3 3 6 2 2 13" xfId="44646" xr:uid="{00000000-0005-0000-0000-00005A6F0000}"/>
    <cellStyle name="Note 4 3 3 6 2 2 2" xfId="3757" xr:uid="{00000000-0005-0000-0000-00005B6F0000}"/>
    <cellStyle name="Note 4 3 3 6 2 2 2 10" xfId="38808" xr:uid="{00000000-0005-0000-0000-00005C6F0000}"/>
    <cellStyle name="Note 4 3 3 6 2 2 2 11" xfId="42819" xr:uid="{00000000-0005-0000-0000-00005D6F0000}"/>
    <cellStyle name="Note 4 3 3 6 2 2 2 12" xfId="46584" xr:uid="{00000000-0005-0000-0000-00005E6F0000}"/>
    <cellStyle name="Note 4 3 3 6 2 2 2 2" xfId="7624" xr:uid="{00000000-0005-0000-0000-00005F6F0000}"/>
    <cellStyle name="Note 4 3 3 6 2 2 2 3" xfId="12059" xr:uid="{00000000-0005-0000-0000-0000606F0000}"/>
    <cellStyle name="Note 4 3 3 6 2 2 2 4" xfId="15904" xr:uid="{00000000-0005-0000-0000-0000616F0000}"/>
    <cellStyle name="Note 4 3 3 6 2 2 2 5" xfId="19751" xr:uid="{00000000-0005-0000-0000-0000626F0000}"/>
    <cellStyle name="Note 4 3 3 6 2 2 2 6" xfId="23667" xr:uid="{00000000-0005-0000-0000-0000636F0000}"/>
    <cellStyle name="Note 4 3 3 6 2 2 2 7" xfId="27501" xr:uid="{00000000-0005-0000-0000-0000646F0000}"/>
    <cellStyle name="Note 4 3 3 6 2 2 2 8" xfId="31365" xr:uid="{00000000-0005-0000-0000-0000656F0000}"/>
    <cellStyle name="Note 4 3 3 6 2 2 2 9" xfId="35022" xr:uid="{00000000-0005-0000-0000-0000666F0000}"/>
    <cellStyle name="Note 4 3 3 6 2 2 3" xfId="5700" xr:uid="{00000000-0005-0000-0000-0000676F0000}"/>
    <cellStyle name="Note 4 3 3 6 2 2 4" xfId="10058" xr:uid="{00000000-0005-0000-0000-0000686F0000}"/>
    <cellStyle name="Note 4 3 3 6 2 2 5" xfId="13904" xr:uid="{00000000-0005-0000-0000-0000696F0000}"/>
    <cellStyle name="Note 4 3 3 6 2 2 6" xfId="17733" xr:uid="{00000000-0005-0000-0000-00006A6F0000}"/>
    <cellStyle name="Note 4 3 3 6 2 2 7" xfId="21672" xr:uid="{00000000-0005-0000-0000-00006B6F0000}"/>
    <cellStyle name="Note 4 3 3 6 2 2 8" xfId="25485" xr:uid="{00000000-0005-0000-0000-00006C6F0000}"/>
    <cellStyle name="Note 4 3 3 6 2 2 9" xfId="29372" xr:uid="{00000000-0005-0000-0000-00006D6F0000}"/>
    <cellStyle name="Note 4 3 3 6 2 3" xfId="3030" xr:uid="{00000000-0005-0000-0000-00006E6F0000}"/>
    <cellStyle name="Note 4 3 3 6 2 3 10" xfId="38082" xr:uid="{00000000-0005-0000-0000-00006F6F0000}"/>
    <cellStyle name="Note 4 3 3 6 2 3 11" xfId="42094" xr:uid="{00000000-0005-0000-0000-0000706F0000}"/>
    <cellStyle name="Note 4 3 3 6 2 3 12" xfId="45867" xr:uid="{00000000-0005-0000-0000-0000716F0000}"/>
    <cellStyle name="Note 4 3 3 6 2 3 2" xfId="6906" xr:uid="{00000000-0005-0000-0000-0000726F0000}"/>
    <cellStyle name="Note 4 3 3 6 2 3 3" xfId="11335" xr:uid="{00000000-0005-0000-0000-0000736F0000}"/>
    <cellStyle name="Note 4 3 3 6 2 3 4" xfId="15179" xr:uid="{00000000-0005-0000-0000-0000746F0000}"/>
    <cellStyle name="Note 4 3 3 6 2 3 5" xfId="19024" xr:uid="{00000000-0005-0000-0000-0000756F0000}"/>
    <cellStyle name="Note 4 3 3 6 2 3 6" xfId="22946" xr:uid="{00000000-0005-0000-0000-0000766F0000}"/>
    <cellStyle name="Note 4 3 3 6 2 3 7" xfId="26775" xr:uid="{00000000-0005-0000-0000-0000776F0000}"/>
    <cellStyle name="Note 4 3 3 6 2 3 8" xfId="30649" xr:uid="{00000000-0005-0000-0000-0000786F0000}"/>
    <cellStyle name="Note 4 3 3 6 2 3 9" xfId="34305" xr:uid="{00000000-0005-0000-0000-0000796F0000}"/>
    <cellStyle name="Note 4 3 3 6 2 4" xfId="4982" xr:uid="{00000000-0005-0000-0000-00007A6F0000}"/>
    <cellStyle name="Note 4 3 3 6 2 5" xfId="9338" xr:uid="{00000000-0005-0000-0000-00007B6F0000}"/>
    <cellStyle name="Note 4 3 3 6 2 6" xfId="13178" xr:uid="{00000000-0005-0000-0000-00007C6F0000}"/>
    <cellStyle name="Note 4 3 3 6 2 7" xfId="17006" xr:uid="{00000000-0005-0000-0000-00007D6F0000}"/>
    <cellStyle name="Note 4 3 3 6 2 8" xfId="20948" xr:uid="{00000000-0005-0000-0000-00007E6F0000}"/>
    <cellStyle name="Note 4 3 3 6 2 9" xfId="24762" xr:uid="{00000000-0005-0000-0000-00007F6F0000}"/>
    <cellStyle name="Note 4 3 3 6 3" xfId="1414" xr:uid="{00000000-0005-0000-0000-0000806F0000}"/>
    <cellStyle name="Note 4 3 3 6 3 10" xfId="32701" xr:uid="{00000000-0005-0000-0000-0000816F0000}"/>
    <cellStyle name="Note 4 3 3 6 3 11" xfId="36471" xr:uid="{00000000-0005-0000-0000-0000826F0000}"/>
    <cellStyle name="Note 4 3 3 6 3 12" xfId="40462" xr:uid="{00000000-0005-0000-0000-0000836F0000}"/>
    <cellStyle name="Note 4 3 3 6 3 13" xfId="44293" xr:uid="{00000000-0005-0000-0000-0000846F0000}"/>
    <cellStyle name="Note 4 3 3 6 3 2" xfId="3404" xr:uid="{00000000-0005-0000-0000-0000856F0000}"/>
    <cellStyle name="Note 4 3 3 6 3 2 10" xfId="38455" xr:uid="{00000000-0005-0000-0000-0000866F0000}"/>
    <cellStyle name="Note 4 3 3 6 3 2 11" xfId="42466" xr:uid="{00000000-0005-0000-0000-0000876F0000}"/>
    <cellStyle name="Note 4 3 3 6 3 2 12" xfId="46231" xr:uid="{00000000-0005-0000-0000-0000886F0000}"/>
    <cellStyle name="Note 4 3 3 6 3 2 2" xfId="7271" xr:uid="{00000000-0005-0000-0000-0000896F0000}"/>
    <cellStyle name="Note 4 3 3 6 3 2 3" xfId="11706" xr:uid="{00000000-0005-0000-0000-00008A6F0000}"/>
    <cellStyle name="Note 4 3 3 6 3 2 4" xfId="15551" xr:uid="{00000000-0005-0000-0000-00008B6F0000}"/>
    <cellStyle name="Note 4 3 3 6 3 2 5" xfId="19398" xr:uid="{00000000-0005-0000-0000-00008C6F0000}"/>
    <cellStyle name="Note 4 3 3 6 3 2 6" xfId="23314" xr:uid="{00000000-0005-0000-0000-00008D6F0000}"/>
    <cellStyle name="Note 4 3 3 6 3 2 7" xfId="27148" xr:uid="{00000000-0005-0000-0000-00008E6F0000}"/>
    <cellStyle name="Note 4 3 3 6 3 2 8" xfId="31016" xr:uid="{00000000-0005-0000-0000-00008F6F0000}"/>
    <cellStyle name="Note 4 3 3 6 3 2 9" xfId="34669" xr:uid="{00000000-0005-0000-0000-0000906F0000}"/>
    <cellStyle name="Note 4 3 3 6 3 3" xfId="5347" xr:uid="{00000000-0005-0000-0000-0000916F0000}"/>
    <cellStyle name="Note 4 3 3 6 3 4" xfId="9705" xr:uid="{00000000-0005-0000-0000-0000926F0000}"/>
    <cellStyle name="Note 4 3 3 6 3 5" xfId="13551" xr:uid="{00000000-0005-0000-0000-0000936F0000}"/>
    <cellStyle name="Note 4 3 3 6 3 6" xfId="17380" xr:uid="{00000000-0005-0000-0000-0000946F0000}"/>
    <cellStyle name="Note 4 3 3 6 3 7" xfId="21319" xr:uid="{00000000-0005-0000-0000-0000956F0000}"/>
    <cellStyle name="Note 4 3 3 6 3 8" xfId="25132" xr:uid="{00000000-0005-0000-0000-0000966F0000}"/>
    <cellStyle name="Note 4 3 3 6 3 9" xfId="29019" xr:uid="{00000000-0005-0000-0000-0000976F0000}"/>
    <cellStyle name="Note 4 3 3 6 4" xfId="2663" xr:uid="{00000000-0005-0000-0000-0000986F0000}"/>
    <cellStyle name="Note 4 3 3 6 4 10" xfId="37715" xr:uid="{00000000-0005-0000-0000-0000996F0000}"/>
    <cellStyle name="Note 4 3 3 6 4 11" xfId="41729" xr:uid="{00000000-0005-0000-0000-00009A6F0000}"/>
    <cellStyle name="Note 4 3 3 6 4 12" xfId="45514" xr:uid="{00000000-0005-0000-0000-00009B6F0000}"/>
    <cellStyle name="Note 4 3 3 6 4 2" xfId="6551" xr:uid="{00000000-0005-0000-0000-00009C6F0000}"/>
    <cellStyle name="Note 4 3 3 6 4 3" xfId="10975" xr:uid="{00000000-0005-0000-0000-00009D6F0000}"/>
    <cellStyle name="Note 4 3 3 6 4 4" xfId="14819" xr:uid="{00000000-0005-0000-0000-00009E6F0000}"/>
    <cellStyle name="Note 4 3 3 6 4 5" xfId="18657" xr:uid="{00000000-0005-0000-0000-00009F6F0000}"/>
    <cellStyle name="Note 4 3 3 6 4 6" xfId="22588" xr:uid="{00000000-0005-0000-0000-0000A06F0000}"/>
    <cellStyle name="Note 4 3 3 6 4 7" xfId="26408" xr:uid="{00000000-0005-0000-0000-0000A16F0000}"/>
    <cellStyle name="Note 4 3 3 6 4 8" xfId="30287" xr:uid="{00000000-0005-0000-0000-0000A26F0000}"/>
    <cellStyle name="Note 4 3 3 6 4 9" xfId="33952" xr:uid="{00000000-0005-0000-0000-0000A36F0000}"/>
    <cellStyle name="Note 4 3 3 6 5" xfId="4627" xr:uid="{00000000-0005-0000-0000-0000A46F0000}"/>
    <cellStyle name="Note 4 3 3 6 6" xfId="8969" xr:uid="{00000000-0005-0000-0000-0000A56F0000}"/>
    <cellStyle name="Note 4 3 3 6 7" xfId="12806" xr:uid="{00000000-0005-0000-0000-0000A66F0000}"/>
    <cellStyle name="Note 4 3 3 6 8" xfId="16636" xr:uid="{00000000-0005-0000-0000-0000A76F0000}"/>
    <cellStyle name="Note 4 3 3 6 9" xfId="20573" xr:uid="{00000000-0005-0000-0000-0000A86F0000}"/>
    <cellStyle name="Note 4 3 3 7" xfId="597" xr:uid="{00000000-0005-0000-0000-0000A96F0000}"/>
    <cellStyle name="Note 4 3 3 7 10" xfId="22003" xr:uid="{00000000-0005-0000-0000-0000AA6F0000}"/>
    <cellStyle name="Note 4 3 3 7 11" xfId="8513" xr:uid="{00000000-0005-0000-0000-0000AB6F0000}"/>
    <cellStyle name="Note 4 3 3 7 12" xfId="29965" xr:uid="{00000000-0005-0000-0000-0000AC6F0000}"/>
    <cellStyle name="Note 4 3 3 7 13" xfId="13283" xr:uid="{00000000-0005-0000-0000-0000AD6F0000}"/>
    <cellStyle name="Note 4 3 3 7 14" xfId="39692" xr:uid="{00000000-0005-0000-0000-0000AE6F0000}"/>
    <cellStyle name="Note 4 3 3 7 15" xfId="41128" xr:uid="{00000000-0005-0000-0000-0000AF6F0000}"/>
    <cellStyle name="Note 4 3 3 7 2" xfId="977" xr:uid="{00000000-0005-0000-0000-0000B06F0000}"/>
    <cellStyle name="Note 4 3 3 7 2 10" xfId="28588" xr:uid="{00000000-0005-0000-0000-0000B16F0000}"/>
    <cellStyle name="Note 4 3 3 7 2 11" xfId="32276" xr:uid="{00000000-0005-0000-0000-0000B26F0000}"/>
    <cellStyle name="Note 4 3 3 7 2 12" xfId="36035" xr:uid="{00000000-0005-0000-0000-0000B36F0000}"/>
    <cellStyle name="Note 4 3 3 7 2 13" xfId="40040" xr:uid="{00000000-0005-0000-0000-0000B46F0000}"/>
    <cellStyle name="Note 4 3 3 7 2 14" xfId="43861" xr:uid="{00000000-0005-0000-0000-0000B56F0000}"/>
    <cellStyle name="Note 4 3 3 7 2 2" xfId="1706" xr:uid="{00000000-0005-0000-0000-0000B66F0000}"/>
    <cellStyle name="Note 4 3 3 7 2 2 10" xfId="32993" xr:uid="{00000000-0005-0000-0000-0000B76F0000}"/>
    <cellStyle name="Note 4 3 3 7 2 2 11" xfId="36763" xr:uid="{00000000-0005-0000-0000-0000B86F0000}"/>
    <cellStyle name="Note 4 3 3 7 2 2 12" xfId="40754" xr:uid="{00000000-0005-0000-0000-0000B96F0000}"/>
    <cellStyle name="Note 4 3 3 7 2 2 13" xfId="44585" xr:uid="{00000000-0005-0000-0000-0000BA6F0000}"/>
    <cellStyle name="Note 4 3 3 7 2 2 2" xfId="3696" xr:uid="{00000000-0005-0000-0000-0000BB6F0000}"/>
    <cellStyle name="Note 4 3 3 7 2 2 2 10" xfId="38747" xr:uid="{00000000-0005-0000-0000-0000BC6F0000}"/>
    <cellStyle name="Note 4 3 3 7 2 2 2 11" xfId="42758" xr:uid="{00000000-0005-0000-0000-0000BD6F0000}"/>
    <cellStyle name="Note 4 3 3 7 2 2 2 12" xfId="46523" xr:uid="{00000000-0005-0000-0000-0000BE6F0000}"/>
    <cellStyle name="Note 4 3 3 7 2 2 2 2" xfId="7563" xr:uid="{00000000-0005-0000-0000-0000BF6F0000}"/>
    <cellStyle name="Note 4 3 3 7 2 2 2 3" xfId="11998" xr:uid="{00000000-0005-0000-0000-0000C06F0000}"/>
    <cellStyle name="Note 4 3 3 7 2 2 2 4" xfId="15843" xr:uid="{00000000-0005-0000-0000-0000C16F0000}"/>
    <cellStyle name="Note 4 3 3 7 2 2 2 5" xfId="19690" xr:uid="{00000000-0005-0000-0000-0000C26F0000}"/>
    <cellStyle name="Note 4 3 3 7 2 2 2 6" xfId="23606" xr:uid="{00000000-0005-0000-0000-0000C36F0000}"/>
    <cellStyle name="Note 4 3 3 7 2 2 2 7" xfId="27440" xr:uid="{00000000-0005-0000-0000-0000C46F0000}"/>
    <cellStyle name="Note 4 3 3 7 2 2 2 8" xfId="31304" xr:uid="{00000000-0005-0000-0000-0000C56F0000}"/>
    <cellStyle name="Note 4 3 3 7 2 2 2 9" xfId="34961" xr:uid="{00000000-0005-0000-0000-0000C66F0000}"/>
    <cellStyle name="Note 4 3 3 7 2 2 3" xfId="5639" xr:uid="{00000000-0005-0000-0000-0000C76F0000}"/>
    <cellStyle name="Note 4 3 3 7 2 2 4" xfId="9997" xr:uid="{00000000-0005-0000-0000-0000C86F0000}"/>
    <cellStyle name="Note 4 3 3 7 2 2 5" xfId="13843" xr:uid="{00000000-0005-0000-0000-0000C96F0000}"/>
    <cellStyle name="Note 4 3 3 7 2 2 6" xfId="17672" xr:uid="{00000000-0005-0000-0000-0000CA6F0000}"/>
    <cellStyle name="Note 4 3 3 7 2 2 7" xfId="21611" xr:uid="{00000000-0005-0000-0000-0000CB6F0000}"/>
    <cellStyle name="Note 4 3 3 7 2 2 8" xfId="25424" xr:uid="{00000000-0005-0000-0000-0000CC6F0000}"/>
    <cellStyle name="Note 4 3 3 7 2 2 9" xfId="29311" xr:uid="{00000000-0005-0000-0000-0000CD6F0000}"/>
    <cellStyle name="Note 4 3 3 7 2 3" xfId="2967" xr:uid="{00000000-0005-0000-0000-0000CE6F0000}"/>
    <cellStyle name="Note 4 3 3 7 2 3 10" xfId="38019" xr:uid="{00000000-0005-0000-0000-0000CF6F0000}"/>
    <cellStyle name="Note 4 3 3 7 2 3 11" xfId="42031" xr:uid="{00000000-0005-0000-0000-0000D06F0000}"/>
    <cellStyle name="Note 4 3 3 7 2 3 12" xfId="45806" xr:uid="{00000000-0005-0000-0000-0000D16F0000}"/>
    <cellStyle name="Note 4 3 3 7 2 3 2" xfId="6845" xr:uid="{00000000-0005-0000-0000-0000D26F0000}"/>
    <cellStyle name="Note 4 3 3 7 2 3 3" xfId="11273" xr:uid="{00000000-0005-0000-0000-0000D36F0000}"/>
    <cellStyle name="Note 4 3 3 7 2 3 4" xfId="15118" xr:uid="{00000000-0005-0000-0000-0000D46F0000}"/>
    <cellStyle name="Note 4 3 3 7 2 3 5" xfId="18961" xr:uid="{00000000-0005-0000-0000-0000D56F0000}"/>
    <cellStyle name="Note 4 3 3 7 2 3 6" xfId="22885" xr:uid="{00000000-0005-0000-0000-0000D66F0000}"/>
    <cellStyle name="Note 4 3 3 7 2 3 7" xfId="26712" xr:uid="{00000000-0005-0000-0000-0000D76F0000}"/>
    <cellStyle name="Note 4 3 3 7 2 3 8" xfId="30586" xr:uid="{00000000-0005-0000-0000-0000D86F0000}"/>
    <cellStyle name="Note 4 3 3 7 2 3 9" xfId="34244" xr:uid="{00000000-0005-0000-0000-0000D96F0000}"/>
    <cellStyle name="Note 4 3 3 7 2 4" xfId="4921" xr:uid="{00000000-0005-0000-0000-0000DA6F0000}"/>
    <cellStyle name="Note 4 3 3 7 2 5" xfId="9276" xr:uid="{00000000-0005-0000-0000-0000DB6F0000}"/>
    <cellStyle name="Note 4 3 3 7 2 6" xfId="13117" xr:uid="{00000000-0005-0000-0000-0000DC6F0000}"/>
    <cellStyle name="Note 4 3 3 7 2 7" xfId="16943" xr:uid="{00000000-0005-0000-0000-0000DD6F0000}"/>
    <cellStyle name="Note 4 3 3 7 2 8" xfId="20885" xr:uid="{00000000-0005-0000-0000-0000DE6F0000}"/>
    <cellStyle name="Note 4 3 3 7 2 9" xfId="24700" xr:uid="{00000000-0005-0000-0000-0000DF6F0000}"/>
    <cellStyle name="Note 4 3 3 7 3" xfId="1353" xr:uid="{00000000-0005-0000-0000-0000E06F0000}"/>
    <cellStyle name="Note 4 3 3 7 3 10" xfId="32640" xr:uid="{00000000-0005-0000-0000-0000E16F0000}"/>
    <cellStyle name="Note 4 3 3 7 3 11" xfId="36410" xr:uid="{00000000-0005-0000-0000-0000E26F0000}"/>
    <cellStyle name="Note 4 3 3 7 3 12" xfId="40401" xr:uid="{00000000-0005-0000-0000-0000E36F0000}"/>
    <cellStyle name="Note 4 3 3 7 3 13" xfId="44232" xr:uid="{00000000-0005-0000-0000-0000E46F0000}"/>
    <cellStyle name="Note 4 3 3 7 3 2" xfId="3343" xr:uid="{00000000-0005-0000-0000-0000E56F0000}"/>
    <cellStyle name="Note 4 3 3 7 3 2 10" xfId="38394" xr:uid="{00000000-0005-0000-0000-0000E66F0000}"/>
    <cellStyle name="Note 4 3 3 7 3 2 11" xfId="42405" xr:uid="{00000000-0005-0000-0000-0000E76F0000}"/>
    <cellStyle name="Note 4 3 3 7 3 2 12" xfId="46170" xr:uid="{00000000-0005-0000-0000-0000E86F0000}"/>
    <cellStyle name="Note 4 3 3 7 3 2 2" xfId="7210" xr:uid="{00000000-0005-0000-0000-0000E96F0000}"/>
    <cellStyle name="Note 4 3 3 7 3 2 3" xfId="11645" xr:uid="{00000000-0005-0000-0000-0000EA6F0000}"/>
    <cellStyle name="Note 4 3 3 7 3 2 4" xfId="15490" xr:uid="{00000000-0005-0000-0000-0000EB6F0000}"/>
    <cellStyle name="Note 4 3 3 7 3 2 5" xfId="19337" xr:uid="{00000000-0005-0000-0000-0000EC6F0000}"/>
    <cellStyle name="Note 4 3 3 7 3 2 6" xfId="23253" xr:uid="{00000000-0005-0000-0000-0000ED6F0000}"/>
    <cellStyle name="Note 4 3 3 7 3 2 7" xfId="27087" xr:uid="{00000000-0005-0000-0000-0000EE6F0000}"/>
    <cellStyle name="Note 4 3 3 7 3 2 8" xfId="30955" xr:uid="{00000000-0005-0000-0000-0000EF6F0000}"/>
    <cellStyle name="Note 4 3 3 7 3 2 9" xfId="34608" xr:uid="{00000000-0005-0000-0000-0000F06F0000}"/>
    <cellStyle name="Note 4 3 3 7 3 3" xfId="5286" xr:uid="{00000000-0005-0000-0000-0000F16F0000}"/>
    <cellStyle name="Note 4 3 3 7 3 4" xfId="9644" xr:uid="{00000000-0005-0000-0000-0000F26F0000}"/>
    <cellStyle name="Note 4 3 3 7 3 5" xfId="13490" xr:uid="{00000000-0005-0000-0000-0000F36F0000}"/>
    <cellStyle name="Note 4 3 3 7 3 6" xfId="17319" xr:uid="{00000000-0005-0000-0000-0000F46F0000}"/>
    <cellStyle name="Note 4 3 3 7 3 7" xfId="21258" xr:uid="{00000000-0005-0000-0000-0000F56F0000}"/>
    <cellStyle name="Note 4 3 3 7 3 8" xfId="25071" xr:uid="{00000000-0005-0000-0000-0000F66F0000}"/>
    <cellStyle name="Note 4 3 3 7 3 9" xfId="28958" xr:uid="{00000000-0005-0000-0000-0000F76F0000}"/>
    <cellStyle name="Note 4 3 3 7 4" xfId="2600" xr:uid="{00000000-0005-0000-0000-0000F86F0000}"/>
    <cellStyle name="Note 4 3 3 7 4 10" xfId="37652" xr:uid="{00000000-0005-0000-0000-0000F96F0000}"/>
    <cellStyle name="Note 4 3 3 7 4 11" xfId="41666" xr:uid="{00000000-0005-0000-0000-0000FA6F0000}"/>
    <cellStyle name="Note 4 3 3 7 4 12" xfId="45453" xr:uid="{00000000-0005-0000-0000-0000FB6F0000}"/>
    <cellStyle name="Note 4 3 3 7 4 2" xfId="6490" xr:uid="{00000000-0005-0000-0000-0000FC6F0000}"/>
    <cellStyle name="Note 4 3 3 7 4 3" xfId="10914" xr:uid="{00000000-0005-0000-0000-0000FD6F0000}"/>
    <cellStyle name="Note 4 3 3 7 4 4" xfId="14758" xr:uid="{00000000-0005-0000-0000-0000FE6F0000}"/>
    <cellStyle name="Note 4 3 3 7 4 5" xfId="18594" xr:uid="{00000000-0005-0000-0000-0000FF6F0000}"/>
    <cellStyle name="Note 4 3 3 7 4 6" xfId="22527" xr:uid="{00000000-0005-0000-0000-000000700000}"/>
    <cellStyle name="Note 4 3 3 7 4 7" xfId="26345" xr:uid="{00000000-0005-0000-0000-000001700000}"/>
    <cellStyle name="Note 4 3 3 7 4 8" xfId="30224" xr:uid="{00000000-0005-0000-0000-000002700000}"/>
    <cellStyle name="Note 4 3 3 7 4 9" xfId="33891" xr:uid="{00000000-0005-0000-0000-000003700000}"/>
    <cellStyle name="Note 4 3 3 7 5" xfId="4566" xr:uid="{00000000-0005-0000-0000-000004700000}"/>
    <cellStyle name="Note 4 3 3 7 6" xfId="8906" xr:uid="{00000000-0005-0000-0000-000005700000}"/>
    <cellStyle name="Note 4 3 3 7 7" xfId="8684" xr:uid="{00000000-0005-0000-0000-000006700000}"/>
    <cellStyle name="Note 4 3 3 7 8" xfId="8605" xr:uid="{00000000-0005-0000-0000-000007700000}"/>
    <cellStyle name="Note 4 3 3 7 9" xfId="20510" xr:uid="{00000000-0005-0000-0000-000008700000}"/>
    <cellStyle name="Note 4 3 3 8" xfId="765" xr:uid="{00000000-0005-0000-0000-000009700000}"/>
    <cellStyle name="Note 4 3 3 8 10" xfId="24494" xr:uid="{00000000-0005-0000-0000-00000A700000}"/>
    <cellStyle name="Note 4 3 3 8 11" xfId="28384" xr:uid="{00000000-0005-0000-0000-00000B700000}"/>
    <cellStyle name="Note 4 3 3 8 12" xfId="29692" xr:uid="{00000000-0005-0000-0000-00000C700000}"/>
    <cellStyle name="Note 4 3 3 8 13" xfId="35829" xr:uid="{00000000-0005-0000-0000-00000D700000}"/>
    <cellStyle name="Note 4 3 3 8 14" xfId="39848" xr:uid="{00000000-0005-0000-0000-00000E700000}"/>
    <cellStyle name="Note 4 3 3 8 15" xfId="43655" xr:uid="{00000000-0005-0000-0000-00000F700000}"/>
    <cellStyle name="Note 4 3 3 8 2" xfId="1135" xr:uid="{00000000-0005-0000-0000-000010700000}"/>
    <cellStyle name="Note 4 3 3 8 2 10" xfId="28744" xr:uid="{00000000-0005-0000-0000-000011700000}"/>
    <cellStyle name="Note 4 3 3 8 2 11" xfId="32432" xr:uid="{00000000-0005-0000-0000-000012700000}"/>
    <cellStyle name="Note 4 3 3 8 2 12" xfId="36193" xr:uid="{00000000-0005-0000-0000-000013700000}"/>
    <cellStyle name="Note 4 3 3 8 2 13" xfId="40194" xr:uid="{00000000-0005-0000-0000-000014700000}"/>
    <cellStyle name="Note 4 3 3 8 2 14" xfId="44019" xr:uid="{00000000-0005-0000-0000-000015700000}"/>
    <cellStyle name="Note 4 3 3 8 2 2" xfId="1862" xr:uid="{00000000-0005-0000-0000-000016700000}"/>
    <cellStyle name="Note 4 3 3 8 2 2 10" xfId="33149" xr:uid="{00000000-0005-0000-0000-000017700000}"/>
    <cellStyle name="Note 4 3 3 8 2 2 11" xfId="36919" xr:uid="{00000000-0005-0000-0000-000018700000}"/>
    <cellStyle name="Note 4 3 3 8 2 2 12" xfId="40910" xr:uid="{00000000-0005-0000-0000-000019700000}"/>
    <cellStyle name="Note 4 3 3 8 2 2 13" xfId="44741" xr:uid="{00000000-0005-0000-0000-00001A700000}"/>
    <cellStyle name="Note 4 3 3 8 2 2 2" xfId="3852" xr:uid="{00000000-0005-0000-0000-00001B700000}"/>
    <cellStyle name="Note 4 3 3 8 2 2 2 10" xfId="38903" xr:uid="{00000000-0005-0000-0000-00001C700000}"/>
    <cellStyle name="Note 4 3 3 8 2 2 2 11" xfId="42914" xr:uid="{00000000-0005-0000-0000-00001D700000}"/>
    <cellStyle name="Note 4 3 3 8 2 2 2 12" xfId="46679" xr:uid="{00000000-0005-0000-0000-00001E700000}"/>
    <cellStyle name="Note 4 3 3 8 2 2 2 2" xfId="7719" xr:uid="{00000000-0005-0000-0000-00001F700000}"/>
    <cellStyle name="Note 4 3 3 8 2 2 2 3" xfId="12154" xr:uid="{00000000-0005-0000-0000-000020700000}"/>
    <cellStyle name="Note 4 3 3 8 2 2 2 4" xfId="15999" xr:uid="{00000000-0005-0000-0000-000021700000}"/>
    <cellStyle name="Note 4 3 3 8 2 2 2 5" xfId="19846" xr:uid="{00000000-0005-0000-0000-000022700000}"/>
    <cellStyle name="Note 4 3 3 8 2 2 2 6" xfId="23762" xr:uid="{00000000-0005-0000-0000-000023700000}"/>
    <cellStyle name="Note 4 3 3 8 2 2 2 7" xfId="27596" xr:uid="{00000000-0005-0000-0000-000024700000}"/>
    <cellStyle name="Note 4 3 3 8 2 2 2 8" xfId="31459" xr:uid="{00000000-0005-0000-0000-000025700000}"/>
    <cellStyle name="Note 4 3 3 8 2 2 2 9" xfId="35117" xr:uid="{00000000-0005-0000-0000-000026700000}"/>
    <cellStyle name="Note 4 3 3 8 2 2 3" xfId="5795" xr:uid="{00000000-0005-0000-0000-000027700000}"/>
    <cellStyle name="Note 4 3 3 8 2 2 4" xfId="10153" xr:uid="{00000000-0005-0000-0000-000028700000}"/>
    <cellStyle name="Note 4 3 3 8 2 2 5" xfId="13999" xr:uid="{00000000-0005-0000-0000-000029700000}"/>
    <cellStyle name="Note 4 3 3 8 2 2 6" xfId="17828" xr:uid="{00000000-0005-0000-0000-00002A700000}"/>
    <cellStyle name="Note 4 3 3 8 2 2 7" xfId="21767" xr:uid="{00000000-0005-0000-0000-00002B700000}"/>
    <cellStyle name="Note 4 3 3 8 2 2 8" xfId="25580" xr:uid="{00000000-0005-0000-0000-00002C700000}"/>
    <cellStyle name="Note 4 3 3 8 2 2 9" xfId="29467" xr:uid="{00000000-0005-0000-0000-00002D700000}"/>
    <cellStyle name="Note 4 3 3 8 2 3" xfId="3125" xr:uid="{00000000-0005-0000-0000-00002E700000}"/>
    <cellStyle name="Note 4 3 3 8 2 3 10" xfId="38177" xr:uid="{00000000-0005-0000-0000-00002F700000}"/>
    <cellStyle name="Note 4 3 3 8 2 3 11" xfId="42189" xr:uid="{00000000-0005-0000-0000-000030700000}"/>
    <cellStyle name="Note 4 3 3 8 2 3 12" xfId="45962" xr:uid="{00000000-0005-0000-0000-000031700000}"/>
    <cellStyle name="Note 4 3 3 8 2 3 2" xfId="7001" xr:uid="{00000000-0005-0000-0000-000032700000}"/>
    <cellStyle name="Note 4 3 3 8 2 3 3" xfId="11430" xr:uid="{00000000-0005-0000-0000-000033700000}"/>
    <cellStyle name="Note 4 3 3 8 2 3 4" xfId="15274" xr:uid="{00000000-0005-0000-0000-000034700000}"/>
    <cellStyle name="Note 4 3 3 8 2 3 5" xfId="19119" xr:uid="{00000000-0005-0000-0000-000035700000}"/>
    <cellStyle name="Note 4 3 3 8 2 3 6" xfId="23041" xr:uid="{00000000-0005-0000-0000-000036700000}"/>
    <cellStyle name="Note 4 3 3 8 2 3 7" xfId="26870" xr:uid="{00000000-0005-0000-0000-000037700000}"/>
    <cellStyle name="Note 4 3 3 8 2 3 8" xfId="30742" xr:uid="{00000000-0005-0000-0000-000038700000}"/>
    <cellStyle name="Note 4 3 3 8 2 3 9" xfId="34400" xr:uid="{00000000-0005-0000-0000-000039700000}"/>
    <cellStyle name="Note 4 3 3 8 2 4" xfId="5077" xr:uid="{00000000-0005-0000-0000-00003A700000}"/>
    <cellStyle name="Note 4 3 3 8 2 5" xfId="9433" xr:uid="{00000000-0005-0000-0000-00003B700000}"/>
    <cellStyle name="Note 4 3 3 8 2 6" xfId="13273" xr:uid="{00000000-0005-0000-0000-00003C700000}"/>
    <cellStyle name="Note 4 3 3 8 2 7" xfId="17101" xr:uid="{00000000-0005-0000-0000-00003D700000}"/>
    <cellStyle name="Note 4 3 3 8 2 8" xfId="21043" xr:uid="{00000000-0005-0000-0000-00003E700000}"/>
    <cellStyle name="Note 4 3 3 8 2 9" xfId="24857" xr:uid="{00000000-0005-0000-0000-00003F700000}"/>
    <cellStyle name="Note 4 3 3 8 3" xfId="1509" xr:uid="{00000000-0005-0000-0000-000040700000}"/>
    <cellStyle name="Note 4 3 3 8 3 10" xfId="32796" xr:uid="{00000000-0005-0000-0000-000041700000}"/>
    <cellStyle name="Note 4 3 3 8 3 11" xfId="36566" xr:uid="{00000000-0005-0000-0000-000042700000}"/>
    <cellStyle name="Note 4 3 3 8 3 12" xfId="40557" xr:uid="{00000000-0005-0000-0000-000043700000}"/>
    <cellStyle name="Note 4 3 3 8 3 13" xfId="44388" xr:uid="{00000000-0005-0000-0000-000044700000}"/>
    <cellStyle name="Note 4 3 3 8 3 2" xfId="3499" xr:uid="{00000000-0005-0000-0000-000045700000}"/>
    <cellStyle name="Note 4 3 3 8 3 2 10" xfId="38550" xr:uid="{00000000-0005-0000-0000-000046700000}"/>
    <cellStyle name="Note 4 3 3 8 3 2 11" xfId="42561" xr:uid="{00000000-0005-0000-0000-000047700000}"/>
    <cellStyle name="Note 4 3 3 8 3 2 12" xfId="46326" xr:uid="{00000000-0005-0000-0000-000048700000}"/>
    <cellStyle name="Note 4 3 3 8 3 2 2" xfId="7366" xr:uid="{00000000-0005-0000-0000-000049700000}"/>
    <cellStyle name="Note 4 3 3 8 3 2 3" xfId="11801" xr:uid="{00000000-0005-0000-0000-00004A700000}"/>
    <cellStyle name="Note 4 3 3 8 3 2 4" xfId="15646" xr:uid="{00000000-0005-0000-0000-00004B700000}"/>
    <cellStyle name="Note 4 3 3 8 3 2 5" xfId="19493" xr:uid="{00000000-0005-0000-0000-00004C700000}"/>
    <cellStyle name="Note 4 3 3 8 3 2 6" xfId="23409" xr:uid="{00000000-0005-0000-0000-00004D700000}"/>
    <cellStyle name="Note 4 3 3 8 3 2 7" xfId="27243" xr:uid="{00000000-0005-0000-0000-00004E700000}"/>
    <cellStyle name="Note 4 3 3 8 3 2 8" xfId="31110" xr:uid="{00000000-0005-0000-0000-00004F700000}"/>
    <cellStyle name="Note 4 3 3 8 3 2 9" xfId="34764" xr:uid="{00000000-0005-0000-0000-000050700000}"/>
    <cellStyle name="Note 4 3 3 8 3 3" xfId="5442" xr:uid="{00000000-0005-0000-0000-000051700000}"/>
    <cellStyle name="Note 4 3 3 8 3 4" xfId="9800" xr:uid="{00000000-0005-0000-0000-000052700000}"/>
    <cellStyle name="Note 4 3 3 8 3 5" xfId="13646" xr:uid="{00000000-0005-0000-0000-000053700000}"/>
    <cellStyle name="Note 4 3 3 8 3 6" xfId="17475" xr:uid="{00000000-0005-0000-0000-000054700000}"/>
    <cellStyle name="Note 4 3 3 8 3 7" xfId="21414" xr:uid="{00000000-0005-0000-0000-000055700000}"/>
    <cellStyle name="Note 4 3 3 8 3 8" xfId="25227" xr:uid="{00000000-0005-0000-0000-000056700000}"/>
    <cellStyle name="Note 4 3 3 8 3 9" xfId="29114" xr:uid="{00000000-0005-0000-0000-000057700000}"/>
    <cellStyle name="Note 4 3 3 8 4" xfId="2761" xr:uid="{00000000-0005-0000-0000-000058700000}"/>
    <cellStyle name="Note 4 3 3 8 4 10" xfId="37813" xr:uid="{00000000-0005-0000-0000-000059700000}"/>
    <cellStyle name="Note 4 3 3 8 4 11" xfId="41826" xr:uid="{00000000-0005-0000-0000-00005A700000}"/>
    <cellStyle name="Note 4 3 3 8 4 12" xfId="45609" xr:uid="{00000000-0005-0000-0000-00005B700000}"/>
    <cellStyle name="Note 4 3 3 8 4 2" xfId="6647" xr:uid="{00000000-0005-0000-0000-00005C700000}"/>
    <cellStyle name="Note 4 3 3 8 4 3" xfId="11071" xr:uid="{00000000-0005-0000-0000-00005D700000}"/>
    <cellStyle name="Note 4 3 3 8 4 4" xfId="14916" xr:uid="{00000000-0005-0000-0000-00005E700000}"/>
    <cellStyle name="Note 4 3 3 8 4 5" xfId="18755" xr:uid="{00000000-0005-0000-0000-00005F700000}"/>
    <cellStyle name="Note 4 3 3 8 4 6" xfId="22685" xr:uid="{00000000-0005-0000-0000-000060700000}"/>
    <cellStyle name="Note 4 3 3 8 4 7" xfId="26506" xr:uid="{00000000-0005-0000-0000-000061700000}"/>
    <cellStyle name="Note 4 3 3 8 4 8" xfId="30384" xr:uid="{00000000-0005-0000-0000-000062700000}"/>
    <cellStyle name="Note 4 3 3 8 4 9" xfId="34047" xr:uid="{00000000-0005-0000-0000-000063700000}"/>
    <cellStyle name="Note 4 3 3 8 5" xfId="4723" xr:uid="{00000000-0005-0000-0000-000064700000}"/>
    <cellStyle name="Note 4 3 3 8 6" xfId="9070" xr:uid="{00000000-0005-0000-0000-000065700000}"/>
    <cellStyle name="Note 4 3 3 8 7" xfId="12909" xr:uid="{00000000-0005-0000-0000-000066700000}"/>
    <cellStyle name="Note 4 3 3 8 8" xfId="16735" xr:uid="{00000000-0005-0000-0000-000067700000}"/>
    <cellStyle name="Note 4 3 3 8 9" xfId="20674" xr:uid="{00000000-0005-0000-0000-000068700000}"/>
    <cellStyle name="Note 4 3 3 9" xfId="856" xr:uid="{00000000-0005-0000-0000-000069700000}"/>
    <cellStyle name="Note 4 3 3 9 10" xfId="24580" xr:uid="{00000000-0005-0000-0000-00006A700000}"/>
    <cellStyle name="Note 4 3 3 9 11" xfId="28471" xr:uid="{00000000-0005-0000-0000-00006B700000}"/>
    <cellStyle name="Note 4 3 3 9 12" xfId="32157" xr:uid="{00000000-0005-0000-0000-00006C700000}"/>
    <cellStyle name="Note 4 3 3 9 13" xfId="35914" xr:uid="{00000000-0005-0000-0000-00006D700000}"/>
    <cellStyle name="Note 4 3 3 9 14" xfId="39925" xr:uid="{00000000-0005-0000-0000-00006E700000}"/>
    <cellStyle name="Note 4 3 3 9 15" xfId="43740" xr:uid="{00000000-0005-0000-0000-00006F700000}"/>
    <cellStyle name="Note 4 3 3 9 2" xfId="1195" xr:uid="{00000000-0005-0000-0000-000070700000}"/>
    <cellStyle name="Note 4 3 3 9 2 10" xfId="28804" xr:uid="{00000000-0005-0000-0000-000071700000}"/>
    <cellStyle name="Note 4 3 3 9 2 11" xfId="32487" xr:uid="{00000000-0005-0000-0000-000072700000}"/>
    <cellStyle name="Note 4 3 3 9 2 12" xfId="36253" xr:uid="{00000000-0005-0000-0000-000073700000}"/>
    <cellStyle name="Note 4 3 3 9 2 13" xfId="40247" xr:uid="{00000000-0005-0000-0000-000074700000}"/>
    <cellStyle name="Note 4 3 3 9 2 14" xfId="44079" xr:uid="{00000000-0005-0000-0000-000075700000}"/>
    <cellStyle name="Note 4 3 3 9 2 2" xfId="1917" xr:uid="{00000000-0005-0000-0000-000076700000}"/>
    <cellStyle name="Note 4 3 3 9 2 2 10" xfId="33204" xr:uid="{00000000-0005-0000-0000-000077700000}"/>
    <cellStyle name="Note 4 3 3 9 2 2 11" xfId="36974" xr:uid="{00000000-0005-0000-0000-000078700000}"/>
    <cellStyle name="Note 4 3 3 9 2 2 12" xfId="40965" xr:uid="{00000000-0005-0000-0000-000079700000}"/>
    <cellStyle name="Note 4 3 3 9 2 2 13" xfId="44796" xr:uid="{00000000-0005-0000-0000-00007A700000}"/>
    <cellStyle name="Note 4 3 3 9 2 2 2" xfId="3907" xr:uid="{00000000-0005-0000-0000-00007B700000}"/>
    <cellStyle name="Note 4 3 3 9 2 2 2 10" xfId="38958" xr:uid="{00000000-0005-0000-0000-00007C700000}"/>
    <cellStyle name="Note 4 3 3 9 2 2 2 11" xfId="42969" xr:uid="{00000000-0005-0000-0000-00007D700000}"/>
    <cellStyle name="Note 4 3 3 9 2 2 2 12" xfId="46734" xr:uid="{00000000-0005-0000-0000-00007E700000}"/>
    <cellStyle name="Note 4 3 3 9 2 2 2 2" xfId="7774" xr:uid="{00000000-0005-0000-0000-00007F700000}"/>
    <cellStyle name="Note 4 3 3 9 2 2 2 3" xfId="12209" xr:uid="{00000000-0005-0000-0000-000080700000}"/>
    <cellStyle name="Note 4 3 3 9 2 2 2 4" xfId="16054" xr:uid="{00000000-0005-0000-0000-000081700000}"/>
    <cellStyle name="Note 4 3 3 9 2 2 2 5" xfId="19901" xr:uid="{00000000-0005-0000-0000-000082700000}"/>
    <cellStyle name="Note 4 3 3 9 2 2 2 6" xfId="23817" xr:uid="{00000000-0005-0000-0000-000083700000}"/>
    <cellStyle name="Note 4 3 3 9 2 2 2 7" xfId="27651" xr:uid="{00000000-0005-0000-0000-000084700000}"/>
    <cellStyle name="Note 4 3 3 9 2 2 2 8" xfId="31513" xr:uid="{00000000-0005-0000-0000-000085700000}"/>
    <cellStyle name="Note 4 3 3 9 2 2 2 9" xfId="35172" xr:uid="{00000000-0005-0000-0000-000086700000}"/>
    <cellStyle name="Note 4 3 3 9 2 2 3" xfId="5850" xr:uid="{00000000-0005-0000-0000-000087700000}"/>
    <cellStyle name="Note 4 3 3 9 2 2 4" xfId="10208" xr:uid="{00000000-0005-0000-0000-000088700000}"/>
    <cellStyle name="Note 4 3 3 9 2 2 5" xfId="14054" xr:uid="{00000000-0005-0000-0000-000089700000}"/>
    <cellStyle name="Note 4 3 3 9 2 2 6" xfId="17883" xr:uid="{00000000-0005-0000-0000-00008A700000}"/>
    <cellStyle name="Note 4 3 3 9 2 2 7" xfId="21822" xr:uid="{00000000-0005-0000-0000-00008B700000}"/>
    <cellStyle name="Note 4 3 3 9 2 2 8" xfId="25635" xr:uid="{00000000-0005-0000-0000-00008C700000}"/>
    <cellStyle name="Note 4 3 3 9 2 2 9" xfId="29522" xr:uid="{00000000-0005-0000-0000-00008D700000}"/>
    <cellStyle name="Note 4 3 3 9 2 3" xfId="3185" xr:uid="{00000000-0005-0000-0000-00008E700000}"/>
    <cellStyle name="Note 4 3 3 9 2 3 10" xfId="38237" xr:uid="{00000000-0005-0000-0000-00008F700000}"/>
    <cellStyle name="Note 4 3 3 9 2 3 11" xfId="42248" xr:uid="{00000000-0005-0000-0000-000090700000}"/>
    <cellStyle name="Note 4 3 3 9 2 3 12" xfId="46017" xr:uid="{00000000-0005-0000-0000-000091700000}"/>
    <cellStyle name="Note 4 3 3 9 2 3 2" xfId="7057" xr:uid="{00000000-0005-0000-0000-000092700000}"/>
    <cellStyle name="Note 4 3 3 9 2 3 3" xfId="11489" xr:uid="{00000000-0005-0000-0000-000093700000}"/>
    <cellStyle name="Note 4 3 3 9 2 3 4" xfId="15333" xr:uid="{00000000-0005-0000-0000-000094700000}"/>
    <cellStyle name="Note 4 3 3 9 2 3 5" xfId="19179" xr:uid="{00000000-0005-0000-0000-000095700000}"/>
    <cellStyle name="Note 4 3 3 9 2 3 6" xfId="23098" xr:uid="{00000000-0005-0000-0000-000096700000}"/>
    <cellStyle name="Note 4 3 3 9 2 3 7" xfId="26930" xr:uid="{00000000-0005-0000-0000-000097700000}"/>
    <cellStyle name="Note 4 3 3 9 2 3 8" xfId="30801" xr:uid="{00000000-0005-0000-0000-000098700000}"/>
    <cellStyle name="Note 4 3 3 9 2 3 9" xfId="34455" xr:uid="{00000000-0005-0000-0000-000099700000}"/>
    <cellStyle name="Note 4 3 3 9 2 4" xfId="5133" xr:uid="{00000000-0005-0000-0000-00009A700000}"/>
    <cellStyle name="Note 4 3 3 9 2 5" xfId="9489" xr:uid="{00000000-0005-0000-0000-00009B700000}"/>
    <cellStyle name="Note 4 3 3 9 2 6" xfId="13333" xr:uid="{00000000-0005-0000-0000-00009C700000}"/>
    <cellStyle name="Note 4 3 3 9 2 7" xfId="17161" xr:uid="{00000000-0005-0000-0000-00009D700000}"/>
    <cellStyle name="Note 4 3 3 9 2 8" xfId="21103" xr:uid="{00000000-0005-0000-0000-00009E700000}"/>
    <cellStyle name="Note 4 3 3 9 2 9" xfId="24914" xr:uid="{00000000-0005-0000-0000-00009F700000}"/>
    <cellStyle name="Note 4 3 3 9 3" xfId="1587" xr:uid="{00000000-0005-0000-0000-0000A0700000}"/>
    <cellStyle name="Note 4 3 3 9 3 10" xfId="32874" xr:uid="{00000000-0005-0000-0000-0000A1700000}"/>
    <cellStyle name="Note 4 3 3 9 3 11" xfId="36644" xr:uid="{00000000-0005-0000-0000-0000A2700000}"/>
    <cellStyle name="Note 4 3 3 9 3 12" xfId="40635" xr:uid="{00000000-0005-0000-0000-0000A3700000}"/>
    <cellStyle name="Note 4 3 3 9 3 13" xfId="44466" xr:uid="{00000000-0005-0000-0000-0000A4700000}"/>
    <cellStyle name="Note 4 3 3 9 3 2" xfId="3577" xr:uid="{00000000-0005-0000-0000-0000A5700000}"/>
    <cellStyle name="Note 4 3 3 9 3 2 10" xfId="38628" xr:uid="{00000000-0005-0000-0000-0000A6700000}"/>
    <cellStyle name="Note 4 3 3 9 3 2 11" xfId="42639" xr:uid="{00000000-0005-0000-0000-0000A7700000}"/>
    <cellStyle name="Note 4 3 3 9 3 2 12" xfId="46404" xr:uid="{00000000-0005-0000-0000-0000A8700000}"/>
    <cellStyle name="Note 4 3 3 9 3 2 2" xfId="7444" xr:uid="{00000000-0005-0000-0000-0000A9700000}"/>
    <cellStyle name="Note 4 3 3 9 3 2 3" xfId="11879" xr:uid="{00000000-0005-0000-0000-0000AA700000}"/>
    <cellStyle name="Note 4 3 3 9 3 2 4" xfId="15724" xr:uid="{00000000-0005-0000-0000-0000AB700000}"/>
    <cellStyle name="Note 4 3 3 9 3 2 5" xfId="19571" xr:uid="{00000000-0005-0000-0000-0000AC700000}"/>
    <cellStyle name="Note 4 3 3 9 3 2 6" xfId="23487" xr:uid="{00000000-0005-0000-0000-0000AD700000}"/>
    <cellStyle name="Note 4 3 3 9 3 2 7" xfId="27321" xr:uid="{00000000-0005-0000-0000-0000AE700000}"/>
    <cellStyle name="Note 4 3 3 9 3 2 8" xfId="31187" xr:uid="{00000000-0005-0000-0000-0000AF700000}"/>
    <cellStyle name="Note 4 3 3 9 3 2 9" xfId="34842" xr:uid="{00000000-0005-0000-0000-0000B0700000}"/>
    <cellStyle name="Note 4 3 3 9 3 3" xfId="5520" xr:uid="{00000000-0005-0000-0000-0000B1700000}"/>
    <cellStyle name="Note 4 3 3 9 3 4" xfId="9878" xr:uid="{00000000-0005-0000-0000-0000B2700000}"/>
    <cellStyle name="Note 4 3 3 9 3 5" xfId="13724" xr:uid="{00000000-0005-0000-0000-0000B3700000}"/>
    <cellStyle name="Note 4 3 3 9 3 6" xfId="17553" xr:uid="{00000000-0005-0000-0000-0000B4700000}"/>
    <cellStyle name="Note 4 3 3 9 3 7" xfId="21492" xr:uid="{00000000-0005-0000-0000-0000B5700000}"/>
    <cellStyle name="Note 4 3 3 9 3 8" xfId="25305" xr:uid="{00000000-0005-0000-0000-0000B6700000}"/>
    <cellStyle name="Note 4 3 3 9 3 9" xfId="29192" xr:uid="{00000000-0005-0000-0000-0000B7700000}"/>
    <cellStyle name="Note 4 3 3 9 4" xfId="2846" xr:uid="{00000000-0005-0000-0000-0000B8700000}"/>
    <cellStyle name="Note 4 3 3 9 4 10" xfId="37898" xr:uid="{00000000-0005-0000-0000-0000B9700000}"/>
    <cellStyle name="Note 4 3 3 9 4 11" xfId="41910" xr:uid="{00000000-0005-0000-0000-0000BA700000}"/>
    <cellStyle name="Note 4 3 3 9 4 12" xfId="45687" xr:uid="{00000000-0005-0000-0000-0000BB700000}"/>
    <cellStyle name="Note 4 3 3 9 4 2" xfId="6726" xr:uid="{00000000-0005-0000-0000-0000BC700000}"/>
    <cellStyle name="Note 4 3 3 9 4 3" xfId="11153" xr:uid="{00000000-0005-0000-0000-0000BD700000}"/>
    <cellStyle name="Note 4 3 3 9 4 4" xfId="14998" xr:uid="{00000000-0005-0000-0000-0000BE700000}"/>
    <cellStyle name="Note 4 3 3 9 4 5" xfId="18840" xr:uid="{00000000-0005-0000-0000-0000BF700000}"/>
    <cellStyle name="Note 4 3 3 9 4 6" xfId="22766" xr:uid="{00000000-0005-0000-0000-0000C0700000}"/>
    <cellStyle name="Note 4 3 3 9 4 7" xfId="26591" xr:uid="{00000000-0005-0000-0000-0000C1700000}"/>
    <cellStyle name="Note 4 3 3 9 4 8" xfId="30468" xr:uid="{00000000-0005-0000-0000-0000C2700000}"/>
    <cellStyle name="Note 4 3 3 9 4 9" xfId="34125" xr:uid="{00000000-0005-0000-0000-0000C3700000}"/>
    <cellStyle name="Note 4 3 3 9 5" xfId="4802" xr:uid="{00000000-0005-0000-0000-0000C4700000}"/>
    <cellStyle name="Note 4 3 3 9 6" xfId="9156" xr:uid="{00000000-0005-0000-0000-0000C5700000}"/>
    <cellStyle name="Note 4 3 3 9 7" xfId="12997" xr:uid="{00000000-0005-0000-0000-0000C6700000}"/>
    <cellStyle name="Note 4 3 3 9 8" xfId="16822" xr:uid="{00000000-0005-0000-0000-0000C7700000}"/>
    <cellStyle name="Note 4 3 3 9 9" xfId="20764" xr:uid="{00000000-0005-0000-0000-0000C8700000}"/>
    <cellStyle name="Note 4 3 30" xfId="39612" xr:uid="{00000000-0005-0000-0000-0000C9700000}"/>
    <cellStyle name="Note 4 3 31" xfId="47332" xr:uid="{00000000-0005-0000-0000-0000CA700000}"/>
    <cellStyle name="Note 4 3 32" xfId="47421" xr:uid="{00000000-0005-0000-0000-0000CB700000}"/>
    <cellStyle name="Note 4 3 33" xfId="47400" xr:uid="{00000000-0005-0000-0000-0000CC700000}"/>
    <cellStyle name="Note 4 3 4" xfId="562" xr:uid="{00000000-0005-0000-0000-0000CD700000}"/>
    <cellStyle name="Note 4 3 4 10" xfId="2212" xr:uid="{00000000-0005-0000-0000-0000CE700000}"/>
    <cellStyle name="Note 4 3 4 10 10" xfId="33513" xr:uid="{00000000-0005-0000-0000-0000CF700000}"/>
    <cellStyle name="Note 4 3 4 10 11" xfId="37264" xr:uid="{00000000-0005-0000-0000-0000D0700000}"/>
    <cellStyle name="Note 4 3 4 10 12" xfId="41280" xr:uid="{00000000-0005-0000-0000-0000D1700000}"/>
    <cellStyle name="Note 4 3 4 10 13" xfId="45075" xr:uid="{00000000-0005-0000-0000-0000D2700000}"/>
    <cellStyle name="Note 4 3 4 10 2" xfId="4195" xr:uid="{00000000-0005-0000-0000-0000D3700000}"/>
    <cellStyle name="Note 4 3 4 10 2 10" xfId="39246" xr:uid="{00000000-0005-0000-0000-0000D4700000}"/>
    <cellStyle name="Note 4 3 4 10 2 11" xfId="43256" xr:uid="{00000000-0005-0000-0000-0000D5700000}"/>
    <cellStyle name="Note 4 3 4 10 2 12" xfId="47013" xr:uid="{00000000-0005-0000-0000-0000D6700000}"/>
    <cellStyle name="Note 4 3 4 10 2 2" xfId="8054" xr:uid="{00000000-0005-0000-0000-0000D7700000}"/>
    <cellStyle name="Note 4 3 4 10 2 3" xfId="12494" xr:uid="{00000000-0005-0000-0000-0000D8700000}"/>
    <cellStyle name="Note 4 3 4 10 2 4" xfId="16339" xr:uid="{00000000-0005-0000-0000-0000D9700000}"/>
    <cellStyle name="Note 4 3 4 10 2 5" xfId="20189" xr:uid="{00000000-0005-0000-0000-0000DA700000}"/>
    <cellStyle name="Note 4 3 4 10 2 6" xfId="24101" xr:uid="{00000000-0005-0000-0000-0000DB700000}"/>
    <cellStyle name="Note 4 3 4 10 2 7" xfId="27939" xr:uid="{00000000-0005-0000-0000-0000DC700000}"/>
    <cellStyle name="Note 4 3 4 10 2 8" xfId="31798" xr:uid="{00000000-0005-0000-0000-0000DD700000}"/>
    <cellStyle name="Note 4 3 4 10 2 9" xfId="35451" xr:uid="{00000000-0005-0000-0000-0000DE700000}"/>
    <cellStyle name="Note 4 3 4 10 3" xfId="6126" xr:uid="{00000000-0005-0000-0000-0000DF700000}"/>
    <cellStyle name="Note 4 3 4 10 4" xfId="10529" xr:uid="{00000000-0005-0000-0000-0000E0700000}"/>
    <cellStyle name="Note 4 3 4 10 5" xfId="14375" xr:uid="{00000000-0005-0000-0000-0000E1700000}"/>
    <cellStyle name="Note 4 3 4 10 6" xfId="18206" xr:uid="{00000000-0005-0000-0000-0000E2700000}"/>
    <cellStyle name="Note 4 3 4 10 7" xfId="22145" xr:uid="{00000000-0005-0000-0000-0000E3700000}"/>
    <cellStyle name="Note 4 3 4 10 8" xfId="25957" xr:uid="{00000000-0005-0000-0000-0000E4700000}"/>
    <cellStyle name="Note 4 3 4 10 9" xfId="29837" xr:uid="{00000000-0005-0000-0000-0000E5700000}"/>
    <cellStyle name="Note 4 3 4 11" xfId="2270" xr:uid="{00000000-0005-0000-0000-0000E6700000}"/>
    <cellStyle name="Note 4 3 4 11 10" xfId="33571" xr:uid="{00000000-0005-0000-0000-0000E7700000}"/>
    <cellStyle name="Note 4 3 4 11 11" xfId="37322" xr:uid="{00000000-0005-0000-0000-0000E8700000}"/>
    <cellStyle name="Note 4 3 4 11 12" xfId="41338" xr:uid="{00000000-0005-0000-0000-0000E9700000}"/>
    <cellStyle name="Note 4 3 4 11 13" xfId="45133" xr:uid="{00000000-0005-0000-0000-0000EA700000}"/>
    <cellStyle name="Note 4 3 4 11 2" xfId="4253" xr:uid="{00000000-0005-0000-0000-0000EB700000}"/>
    <cellStyle name="Note 4 3 4 11 2 10" xfId="39304" xr:uid="{00000000-0005-0000-0000-0000EC700000}"/>
    <cellStyle name="Note 4 3 4 11 2 11" xfId="43314" xr:uid="{00000000-0005-0000-0000-0000ED700000}"/>
    <cellStyle name="Note 4 3 4 11 2 12" xfId="47071" xr:uid="{00000000-0005-0000-0000-0000EE700000}"/>
    <cellStyle name="Note 4 3 4 11 2 2" xfId="8112" xr:uid="{00000000-0005-0000-0000-0000EF700000}"/>
    <cellStyle name="Note 4 3 4 11 2 3" xfId="12552" xr:uid="{00000000-0005-0000-0000-0000F0700000}"/>
    <cellStyle name="Note 4 3 4 11 2 4" xfId="16397" xr:uid="{00000000-0005-0000-0000-0000F1700000}"/>
    <cellStyle name="Note 4 3 4 11 2 5" xfId="20247" xr:uid="{00000000-0005-0000-0000-0000F2700000}"/>
    <cellStyle name="Note 4 3 4 11 2 6" xfId="24159" xr:uid="{00000000-0005-0000-0000-0000F3700000}"/>
    <cellStyle name="Note 4 3 4 11 2 7" xfId="27997" xr:uid="{00000000-0005-0000-0000-0000F4700000}"/>
    <cellStyle name="Note 4 3 4 11 2 8" xfId="31856" xr:uid="{00000000-0005-0000-0000-0000F5700000}"/>
    <cellStyle name="Note 4 3 4 11 2 9" xfId="35509" xr:uid="{00000000-0005-0000-0000-0000F6700000}"/>
    <cellStyle name="Note 4 3 4 11 3" xfId="6184" xr:uid="{00000000-0005-0000-0000-0000F7700000}"/>
    <cellStyle name="Note 4 3 4 11 4" xfId="10587" xr:uid="{00000000-0005-0000-0000-0000F8700000}"/>
    <cellStyle name="Note 4 3 4 11 5" xfId="14433" xr:uid="{00000000-0005-0000-0000-0000F9700000}"/>
    <cellStyle name="Note 4 3 4 11 6" xfId="18264" xr:uid="{00000000-0005-0000-0000-0000FA700000}"/>
    <cellStyle name="Note 4 3 4 11 7" xfId="22203" xr:uid="{00000000-0005-0000-0000-0000FB700000}"/>
    <cellStyle name="Note 4 3 4 11 8" xfId="26015" xr:uid="{00000000-0005-0000-0000-0000FC700000}"/>
    <cellStyle name="Note 4 3 4 11 9" xfId="29895" xr:uid="{00000000-0005-0000-0000-0000FD700000}"/>
    <cellStyle name="Note 4 3 4 12" xfId="2327" xr:uid="{00000000-0005-0000-0000-0000FE700000}"/>
    <cellStyle name="Note 4 3 4 12 10" xfId="33626" xr:uid="{00000000-0005-0000-0000-0000FF700000}"/>
    <cellStyle name="Note 4 3 4 12 11" xfId="37379" xr:uid="{00000000-0005-0000-0000-000000710000}"/>
    <cellStyle name="Note 4 3 4 12 12" xfId="41395" xr:uid="{00000000-0005-0000-0000-000001710000}"/>
    <cellStyle name="Note 4 3 4 12 13" xfId="45188" xr:uid="{00000000-0005-0000-0000-000002710000}"/>
    <cellStyle name="Note 4 3 4 12 2" xfId="4310" xr:uid="{00000000-0005-0000-0000-000003710000}"/>
    <cellStyle name="Note 4 3 4 12 2 10" xfId="39361" xr:uid="{00000000-0005-0000-0000-000004710000}"/>
    <cellStyle name="Note 4 3 4 12 2 11" xfId="43371" xr:uid="{00000000-0005-0000-0000-000005710000}"/>
    <cellStyle name="Note 4 3 4 12 2 12" xfId="47126" xr:uid="{00000000-0005-0000-0000-000006710000}"/>
    <cellStyle name="Note 4 3 4 12 2 2" xfId="8167" xr:uid="{00000000-0005-0000-0000-000007710000}"/>
    <cellStyle name="Note 4 3 4 12 2 3" xfId="12609" xr:uid="{00000000-0005-0000-0000-000008710000}"/>
    <cellStyle name="Note 4 3 4 12 2 4" xfId="16453" xr:uid="{00000000-0005-0000-0000-000009710000}"/>
    <cellStyle name="Note 4 3 4 12 2 5" xfId="20304" xr:uid="{00000000-0005-0000-0000-00000A710000}"/>
    <cellStyle name="Note 4 3 4 12 2 6" xfId="24215" xr:uid="{00000000-0005-0000-0000-00000B710000}"/>
    <cellStyle name="Note 4 3 4 12 2 7" xfId="28054" xr:uid="{00000000-0005-0000-0000-00000C710000}"/>
    <cellStyle name="Note 4 3 4 12 2 8" xfId="31913" xr:uid="{00000000-0005-0000-0000-00000D710000}"/>
    <cellStyle name="Note 4 3 4 12 2 9" xfId="35564" xr:uid="{00000000-0005-0000-0000-00000E710000}"/>
    <cellStyle name="Note 4 3 4 12 3" xfId="6239" xr:uid="{00000000-0005-0000-0000-00000F710000}"/>
    <cellStyle name="Note 4 3 4 12 4" xfId="10644" xr:uid="{00000000-0005-0000-0000-000010710000}"/>
    <cellStyle name="Note 4 3 4 12 5" xfId="14489" xr:uid="{00000000-0005-0000-0000-000011710000}"/>
    <cellStyle name="Note 4 3 4 12 6" xfId="18321" xr:uid="{00000000-0005-0000-0000-000012710000}"/>
    <cellStyle name="Note 4 3 4 12 7" xfId="22259" xr:uid="{00000000-0005-0000-0000-000013710000}"/>
    <cellStyle name="Note 4 3 4 12 8" xfId="26072" xr:uid="{00000000-0005-0000-0000-000014710000}"/>
    <cellStyle name="Note 4 3 4 12 9" xfId="29952" xr:uid="{00000000-0005-0000-0000-000015710000}"/>
    <cellStyle name="Note 4 3 4 13" xfId="2392" xr:uid="{00000000-0005-0000-0000-000016710000}"/>
    <cellStyle name="Note 4 3 4 13 10" xfId="33690" xr:uid="{00000000-0005-0000-0000-000017710000}"/>
    <cellStyle name="Note 4 3 4 13 11" xfId="37444" xr:uid="{00000000-0005-0000-0000-000018710000}"/>
    <cellStyle name="Note 4 3 4 13 12" xfId="41459" xr:uid="{00000000-0005-0000-0000-000019710000}"/>
    <cellStyle name="Note 4 3 4 13 13" xfId="45252" xr:uid="{00000000-0005-0000-0000-00001A710000}"/>
    <cellStyle name="Note 4 3 4 13 2" xfId="4375" xr:uid="{00000000-0005-0000-0000-00001B710000}"/>
    <cellStyle name="Note 4 3 4 13 2 10" xfId="39426" xr:uid="{00000000-0005-0000-0000-00001C710000}"/>
    <cellStyle name="Note 4 3 4 13 2 11" xfId="43435" xr:uid="{00000000-0005-0000-0000-00001D710000}"/>
    <cellStyle name="Note 4 3 4 13 2 12" xfId="47190" xr:uid="{00000000-0005-0000-0000-00001E710000}"/>
    <cellStyle name="Note 4 3 4 13 2 2" xfId="8232" xr:uid="{00000000-0005-0000-0000-00001F710000}"/>
    <cellStyle name="Note 4 3 4 13 2 3" xfId="12673" xr:uid="{00000000-0005-0000-0000-000020710000}"/>
    <cellStyle name="Note 4 3 4 13 2 4" xfId="16518" xr:uid="{00000000-0005-0000-0000-000021710000}"/>
    <cellStyle name="Note 4 3 4 13 2 5" xfId="20369" xr:uid="{00000000-0005-0000-0000-000022710000}"/>
    <cellStyle name="Note 4 3 4 13 2 6" xfId="24280" xr:uid="{00000000-0005-0000-0000-000023710000}"/>
    <cellStyle name="Note 4 3 4 13 2 7" xfId="28119" xr:uid="{00000000-0005-0000-0000-000024710000}"/>
    <cellStyle name="Note 4 3 4 13 2 8" xfId="31977" xr:uid="{00000000-0005-0000-0000-000025710000}"/>
    <cellStyle name="Note 4 3 4 13 2 9" xfId="35628" xr:uid="{00000000-0005-0000-0000-000026710000}"/>
    <cellStyle name="Note 4 3 4 13 3" xfId="6288" xr:uid="{00000000-0005-0000-0000-000027710000}"/>
    <cellStyle name="Note 4 3 4 13 4" xfId="10708" xr:uid="{00000000-0005-0000-0000-000028710000}"/>
    <cellStyle name="Note 4 3 4 13 5" xfId="14554" xr:uid="{00000000-0005-0000-0000-000029710000}"/>
    <cellStyle name="Note 4 3 4 13 6" xfId="18386" xr:uid="{00000000-0005-0000-0000-00002A710000}"/>
    <cellStyle name="Note 4 3 4 13 7" xfId="22324" xr:uid="{00000000-0005-0000-0000-00002B710000}"/>
    <cellStyle name="Note 4 3 4 13 8" xfId="26137" xr:uid="{00000000-0005-0000-0000-00002C710000}"/>
    <cellStyle name="Note 4 3 4 13 9" xfId="30017" xr:uid="{00000000-0005-0000-0000-00002D710000}"/>
    <cellStyle name="Note 4 3 4 14" xfId="2444" xr:uid="{00000000-0005-0000-0000-00002E710000}"/>
    <cellStyle name="Note 4 3 4 14 10" xfId="33740" xr:uid="{00000000-0005-0000-0000-00002F710000}"/>
    <cellStyle name="Note 4 3 4 14 11" xfId="37496" xr:uid="{00000000-0005-0000-0000-000030710000}"/>
    <cellStyle name="Note 4 3 4 14 12" xfId="41511" xr:uid="{00000000-0005-0000-0000-000031710000}"/>
    <cellStyle name="Note 4 3 4 14 13" xfId="45302" xr:uid="{00000000-0005-0000-0000-000032710000}"/>
    <cellStyle name="Note 4 3 4 14 2" xfId="4427" xr:uid="{00000000-0005-0000-0000-000033710000}"/>
    <cellStyle name="Note 4 3 4 14 2 10" xfId="39478" xr:uid="{00000000-0005-0000-0000-000034710000}"/>
    <cellStyle name="Note 4 3 4 14 2 11" xfId="43487" xr:uid="{00000000-0005-0000-0000-000035710000}"/>
    <cellStyle name="Note 4 3 4 14 2 12" xfId="47240" xr:uid="{00000000-0005-0000-0000-000036710000}"/>
    <cellStyle name="Note 4 3 4 14 2 2" xfId="8282" xr:uid="{00000000-0005-0000-0000-000037710000}"/>
    <cellStyle name="Note 4 3 4 14 2 3" xfId="12725" xr:uid="{00000000-0005-0000-0000-000038710000}"/>
    <cellStyle name="Note 4 3 4 14 2 4" xfId="16568" xr:uid="{00000000-0005-0000-0000-000039710000}"/>
    <cellStyle name="Note 4 3 4 14 2 5" xfId="20421" xr:uid="{00000000-0005-0000-0000-00003A710000}"/>
    <cellStyle name="Note 4 3 4 14 2 6" xfId="24331" xr:uid="{00000000-0005-0000-0000-00003B710000}"/>
    <cellStyle name="Note 4 3 4 14 2 7" xfId="28171" xr:uid="{00000000-0005-0000-0000-00003C710000}"/>
    <cellStyle name="Note 4 3 4 14 2 8" xfId="32029" xr:uid="{00000000-0005-0000-0000-00003D710000}"/>
    <cellStyle name="Note 4 3 4 14 2 9" xfId="35678" xr:uid="{00000000-0005-0000-0000-00003E710000}"/>
    <cellStyle name="Note 4 3 4 14 3" xfId="6338" xr:uid="{00000000-0005-0000-0000-00003F710000}"/>
    <cellStyle name="Note 4 3 4 14 4" xfId="10760" xr:uid="{00000000-0005-0000-0000-000040710000}"/>
    <cellStyle name="Note 4 3 4 14 5" xfId="14605" xr:uid="{00000000-0005-0000-0000-000041710000}"/>
    <cellStyle name="Note 4 3 4 14 6" xfId="18438" xr:uid="{00000000-0005-0000-0000-000042710000}"/>
    <cellStyle name="Note 4 3 4 14 7" xfId="22375" xr:uid="{00000000-0005-0000-0000-000043710000}"/>
    <cellStyle name="Note 4 3 4 14 8" xfId="26189" xr:uid="{00000000-0005-0000-0000-000044710000}"/>
    <cellStyle name="Note 4 3 4 14 9" xfId="30068" xr:uid="{00000000-0005-0000-0000-000045710000}"/>
    <cellStyle name="Note 4 3 4 15" xfId="2498" xr:uid="{00000000-0005-0000-0000-000046710000}"/>
    <cellStyle name="Note 4 3 4 15 10" xfId="33791" xr:uid="{00000000-0005-0000-0000-000047710000}"/>
    <cellStyle name="Note 4 3 4 15 11" xfId="37550" xr:uid="{00000000-0005-0000-0000-000048710000}"/>
    <cellStyle name="Note 4 3 4 15 12" xfId="41564" xr:uid="{00000000-0005-0000-0000-000049710000}"/>
    <cellStyle name="Note 4 3 4 15 13" xfId="45353" xr:uid="{00000000-0005-0000-0000-00004A710000}"/>
    <cellStyle name="Note 4 3 4 15 2" xfId="4478" xr:uid="{00000000-0005-0000-0000-00004B710000}"/>
    <cellStyle name="Note 4 3 4 15 2 10" xfId="39529" xr:uid="{00000000-0005-0000-0000-00004C710000}"/>
    <cellStyle name="Note 4 3 4 15 2 11" xfId="43538" xr:uid="{00000000-0005-0000-0000-00004D710000}"/>
    <cellStyle name="Note 4 3 4 15 2 12" xfId="47291" xr:uid="{00000000-0005-0000-0000-00004E710000}"/>
    <cellStyle name="Note 4 3 4 15 2 2" xfId="8333" xr:uid="{00000000-0005-0000-0000-00004F710000}"/>
    <cellStyle name="Note 4 3 4 15 2 3" xfId="12776" xr:uid="{00000000-0005-0000-0000-000050710000}"/>
    <cellStyle name="Note 4 3 4 15 2 4" xfId="16619" xr:uid="{00000000-0005-0000-0000-000051710000}"/>
    <cellStyle name="Note 4 3 4 15 2 5" xfId="20472" xr:uid="{00000000-0005-0000-0000-000052710000}"/>
    <cellStyle name="Note 4 3 4 15 2 6" xfId="24382" xr:uid="{00000000-0005-0000-0000-000053710000}"/>
    <cellStyle name="Note 4 3 4 15 2 7" xfId="28222" xr:uid="{00000000-0005-0000-0000-000054710000}"/>
    <cellStyle name="Note 4 3 4 15 2 8" xfId="32080" xr:uid="{00000000-0005-0000-0000-000055710000}"/>
    <cellStyle name="Note 4 3 4 15 2 9" xfId="35729" xr:uid="{00000000-0005-0000-0000-000056710000}"/>
    <cellStyle name="Note 4 3 4 15 3" xfId="6390" xr:uid="{00000000-0005-0000-0000-000057710000}"/>
    <cellStyle name="Note 4 3 4 15 4" xfId="10813" xr:uid="{00000000-0005-0000-0000-000058710000}"/>
    <cellStyle name="Note 4 3 4 15 5" xfId="14657" xr:uid="{00000000-0005-0000-0000-000059710000}"/>
    <cellStyle name="Note 4 3 4 15 6" xfId="18492" xr:uid="{00000000-0005-0000-0000-00005A710000}"/>
    <cellStyle name="Note 4 3 4 15 7" xfId="22427" xr:uid="{00000000-0005-0000-0000-00005B710000}"/>
    <cellStyle name="Note 4 3 4 15 8" xfId="26243" xr:uid="{00000000-0005-0000-0000-00005C710000}"/>
    <cellStyle name="Note 4 3 4 15 9" xfId="30122" xr:uid="{00000000-0005-0000-0000-00005D710000}"/>
    <cellStyle name="Note 4 3 4 16" xfId="2567" xr:uid="{00000000-0005-0000-0000-00005E710000}"/>
    <cellStyle name="Note 4 3 4 16 10" xfId="37619" xr:uid="{00000000-0005-0000-0000-00005F710000}"/>
    <cellStyle name="Note 4 3 4 16 11" xfId="41633" xr:uid="{00000000-0005-0000-0000-000060710000}"/>
    <cellStyle name="Note 4 3 4 16 12" xfId="45422" xr:uid="{00000000-0005-0000-0000-000061710000}"/>
    <cellStyle name="Note 4 3 4 16 2" xfId="6459" xr:uid="{00000000-0005-0000-0000-000062710000}"/>
    <cellStyle name="Note 4 3 4 16 3" xfId="10882" xr:uid="{00000000-0005-0000-0000-000063710000}"/>
    <cellStyle name="Note 4 3 4 16 4" xfId="14726" xr:uid="{00000000-0005-0000-0000-000064710000}"/>
    <cellStyle name="Note 4 3 4 16 5" xfId="18561" xr:uid="{00000000-0005-0000-0000-000065710000}"/>
    <cellStyle name="Note 4 3 4 16 6" xfId="22496" xr:uid="{00000000-0005-0000-0000-000066710000}"/>
    <cellStyle name="Note 4 3 4 16 7" xfId="26312" xr:uid="{00000000-0005-0000-0000-000067710000}"/>
    <cellStyle name="Note 4 3 4 16 8" xfId="30191" xr:uid="{00000000-0005-0000-0000-000068710000}"/>
    <cellStyle name="Note 4 3 4 16 9" xfId="33860" xr:uid="{00000000-0005-0000-0000-000069710000}"/>
    <cellStyle name="Note 4 3 4 17" xfId="4535" xr:uid="{00000000-0005-0000-0000-00006A710000}"/>
    <cellStyle name="Note 4 3 4 18" xfId="8365" xr:uid="{00000000-0005-0000-0000-00006B710000}"/>
    <cellStyle name="Note 4 3 4 19" xfId="8752" xr:uid="{00000000-0005-0000-0000-00006C710000}"/>
    <cellStyle name="Note 4 3 4 2" xfId="696" xr:uid="{00000000-0005-0000-0000-00006D710000}"/>
    <cellStyle name="Note 4 3 4 2 10" xfId="24430" xr:uid="{00000000-0005-0000-0000-00006E710000}"/>
    <cellStyle name="Note 4 3 4 2 11" xfId="28323" xr:uid="{00000000-0005-0000-0000-00006F710000}"/>
    <cellStyle name="Note 4 3 4 2 12" xfId="30031" xr:uid="{00000000-0005-0000-0000-000070710000}"/>
    <cellStyle name="Note 4 3 4 2 13" xfId="35767" xr:uid="{00000000-0005-0000-0000-000071710000}"/>
    <cellStyle name="Note 4 3 4 2 14" xfId="39790" xr:uid="{00000000-0005-0000-0000-000072710000}"/>
    <cellStyle name="Note 4 3 4 2 15" xfId="43593" xr:uid="{00000000-0005-0000-0000-000073710000}"/>
    <cellStyle name="Note 4 3 4 2 2" xfId="1076" xr:uid="{00000000-0005-0000-0000-000074710000}"/>
    <cellStyle name="Note 4 3 4 2 2 10" xfId="28687" xr:uid="{00000000-0005-0000-0000-000075710000}"/>
    <cellStyle name="Note 4 3 4 2 2 11" xfId="32373" xr:uid="{00000000-0005-0000-0000-000076710000}"/>
    <cellStyle name="Note 4 3 4 2 2 12" xfId="36134" xr:uid="{00000000-0005-0000-0000-000077710000}"/>
    <cellStyle name="Note 4 3 4 2 2 13" xfId="40137" xr:uid="{00000000-0005-0000-0000-000078710000}"/>
    <cellStyle name="Note 4 3 4 2 2 14" xfId="43960" xr:uid="{00000000-0005-0000-0000-000079710000}"/>
    <cellStyle name="Note 4 3 4 2 2 2" xfId="1803" xr:uid="{00000000-0005-0000-0000-00007A710000}"/>
    <cellStyle name="Note 4 3 4 2 2 2 10" xfId="33090" xr:uid="{00000000-0005-0000-0000-00007B710000}"/>
    <cellStyle name="Note 4 3 4 2 2 2 11" xfId="36860" xr:uid="{00000000-0005-0000-0000-00007C710000}"/>
    <cellStyle name="Note 4 3 4 2 2 2 12" xfId="40851" xr:uid="{00000000-0005-0000-0000-00007D710000}"/>
    <cellStyle name="Note 4 3 4 2 2 2 13" xfId="44682" xr:uid="{00000000-0005-0000-0000-00007E710000}"/>
    <cellStyle name="Note 4 3 4 2 2 2 2" xfId="3793" xr:uid="{00000000-0005-0000-0000-00007F710000}"/>
    <cellStyle name="Note 4 3 4 2 2 2 2 10" xfId="38844" xr:uid="{00000000-0005-0000-0000-000080710000}"/>
    <cellStyle name="Note 4 3 4 2 2 2 2 11" xfId="42855" xr:uid="{00000000-0005-0000-0000-000081710000}"/>
    <cellStyle name="Note 4 3 4 2 2 2 2 12" xfId="46620" xr:uid="{00000000-0005-0000-0000-000082710000}"/>
    <cellStyle name="Note 4 3 4 2 2 2 2 2" xfId="7660" xr:uid="{00000000-0005-0000-0000-000083710000}"/>
    <cellStyle name="Note 4 3 4 2 2 2 2 3" xfId="12095" xr:uid="{00000000-0005-0000-0000-000084710000}"/>
    <cellStyle name="Note 4 3 4 2 2 2 2 4" xfId="15940" xr:uid="{00000000-0005-0000-0000-000085710000}"/>
    <cellStyle name="Note 4 3 4 2 2 2 2 5" xfId="19787" xr:uid="{00000000-0005-0000-0000-000086710000}"/>
    <cellStyle name="Note 4 3 4 2 2 2 2 6" xfId="23703" xr:uid="{00000000-0005-0000-0000-000087710000}"/>
    <cellStyle name="Note 4 3 4 2 2 2 2 7" xfId="27537" xr:uid="{00000000-0005-0000-0000-000088710000}"/>
    <cellStyle name="Note 4 3 4 2 2 2 2 8" xfId="31401" xr:uid="{00000000-0005-0000-0000-000089710000}"/>
    <cellStyle name="Note 4 3 4 2 2 2 2 9" xfId="35058" xr:uid="{00000000-0005-0000-0000-00008A710000}"/>
    <cellStyle name="Note 4 3 4 2 2 2 3" xfId="5736" xr:uid="{00000000-0005-0000-0000-00008B710000}"/>
    <cellStyle name="Note 4 3 4 2 2 2 4" xfId="10094" xr:uid="{00000000-0005-0000-0000-00008C710000}"/>
    <cellStyle name="Note 4 3 4 2 2 2 5" xfId="13940" xr:uid="{00000000-0005-0000-0000-00008D710000}"/>
    <cellStyle name="Note 4 3 4 2 2 2 6" xfId="17769" xr:uid="{00000000-0005-0000-0000-00008E710000}"/>
    <cellStyle name="Note 4 3 4 2 2 2 7" xfId="21708" xr:uid="{00000000-0005-0000-0000-00008F710000}"/>
    <cellStyle name="Note 4 3 4 2 2 2 8" xfId="25521" xr:uid="{00000000-0005-0000-0000-000090710000}"/>
    <cellStyle name="Note 4 3 4 2 2 2 9" xfId="29408" xr:uid="{00000000-0005-0000-0000-000091710000}"/>
    <cellStyle name="Note 4 3 4 2 2 3" xfId="3066" xr:uid="{00000000-0005-0000-0000-000092710000}"/>
    <cellStyle name="Note 4 3 4 2 2 3 10" xfId="38118" xr:uid="{00000000-0005-0000-0000-000093710000}"/>
    <cellStyle name="Note 4 3 4 2 2 3 11" xfId="42130" xr:uid="{00000000-0005-0000-0000-000094710000}"/>
    <cellStyle name="Note 4 3 4 2 2 3 12" xfId="45903" xr:uid="{00000000-0005-0000-0000-000095710000}"/>
    <cellStyle name="Note 4 3 4 2 2 3 2" xfId="6942" xr:uid="{00000000-0005-0000-0000-000096710000}"/>
    <cellStyle name="Note 4 3 4 2 2 3 3" xfId="11371" xr:uid="{00000000-0005-0000-0000-000097710000}"/>
    <cellStyle name="Note 4 3 4 2 2 3 4" xfId="15215" xr:uid="{00000000-0005-0000-0000-000098710000}"/>
    <cellStyle name="Note 4 3 4 2 2 3 5" xfId="19060" xr:uid="{00000000-0005-0000-0000-000099710000}"/>
    <cellStyle name="Note 4 3 4 2 2 3 6" xfId="22982" xr:uid="{00000000-0005-0000-0000-00009A710000}"/>
    <cellStyle name="Note 4 3 4 2 2 3 7" xfId="26811" xr:uid="{00000000-0005-0000-0000-00009B710000}"/>
    <cellStyle name="Note 4 3 4 2 2 3 8" xfId="30685" xr:uid="{00000000-0005-0000-0000-00009C710000}"/>
    <cellStyle name="Note 4 3 4 2 2 3 9" xfId="34341" xr:uid="{00000000-0005-0000-0000-00009D710000}"/>
    <cellStyle name="Note 4 3 4 2 2 4" xfId="5018" xr:uid="{00000000-0005-0000-0000-00009E710000}"/>
    <cellStyle name="Note 4 3 4 2 2 5" xfId="9374" xr:uid="{00000000-0005-0000-0000-00009F710000}"/>
    <cellStyle name="Note 4 3 4 2 2 6" xfId="13214" xr:uid="{00000000-0005-0000-0000-0000A0710000}"/>
    <cellStyle name="Note 4 3 4 2 2 7" xfId="17042" xr:uid="{00000000-0005-0000-0000-0000A1710000}"/>
    <cellStyle name="Note 4 3 4 2 2 8" xfId="20984" xr:uid="{00000000-0005-0000-0000-0000A2710000}"/>
    <cellStyle name="Note 4 3 4 2 2 9" xfId="24798" xr:uid="{00000000-0005-0000-0000-0000A3710000}"/>
    <cellStyle name="Note 4 3 4 2 3" xfId="1450" xr:uid="{00000000-0005-0000-0000-0000A4710000}"/>
    <cellStyle name="Note 4 3 4 2 3 10" xfId="32737" xr:uid="{00000000-0005-0000-0000-0000A5710000}"/>
    <cellStyle name="Note 4 3 4 2 3 11" xfId="36507" xr:uid="{00000000-0005-0000-0000-0000A6710000}"/>
    <cellStyle name="Note 4 3 4 2 3 12" xfId="40498" xr:uid="{00000000-0005-0000-0000-0000A7710000}"/>
    <cellStyle name="Note 4 3 4 2 3 13" xfId="44329" xr:uid="{00000000-0005-0000-0000-0000A8710000}"/>
    <cellStyle name="Note 4 3 4 2 3 2" xfId="3440" xr:uid="{00000000-0005-0000-0000-0000A9710000}"/>
    <cellStyle name="Note 4 3 4 2 3 2 10" xfId="38491" xr:uid="{00000000-0005-0000-0000-0000AA710000}"/>
    <cellStyle name="Note 4 3 4 2 3 2 11" xfId="42502" xr:uid="{00000000-0005-0000-0000-0000AB710000}"/>
    <cellStyle name="Note 4 3 4 2 3 2 12" xfId="46267" xr:uid="{00000000-0005-0000-0000-0000AC710000}"/>
    <cellStyle name="Note 4 3 4 2 3 2 2" xfId="7307" xr:uid="{00000000-0005-0000-0000-0000AD710000}"/>
    <cellStyle name="Note 4 3 4 2 3 2 3" xfId="11742" xr:uid="{00000000-0005-0000-0000-0000AE710000}"/>
    <cellStyle name="Note 4 3 4 2 3 2 4" xfId="15587" xr:uid="{00000000-0005-0000-0000-0000AF710000}"/>
    <cellStyle name="Note 4 3 4 2 3 2 5" xfId="19434" xr:uid="{00000000-0005-0000-0000-0000B0710000}"/>
    <cellStyle name="Note 4 3 4 2 3 2 6" xfId="23350" xr:uid="{00000000-0005-0000-0000-0000B1710000}"/>
    <cellStyle name="Note 4 3 4 2 3 2 7" xfId="27184" xr:uid="{00000000-0005-0000-0000-0000B2710000}"/>
    <cellStyle name="Note 4 3 4 2 3 2 8" xfId="31052" xr:uid="{00000000-0005-0000-0000-0000B3710000}"/>
    <cellStyle name="Note 4 3 4 2 3 2 9" xfId="34705" xr:uid="{00000000-0005-0000-0000-0000B4710000}"/>
    <cellStyle name="Note 4 3 4 2 3 3" xfId="5383" xr:uid="{00000000-0005-0000-0000-0000B5710000}"/>
    <cellStyle name="Note 4 3 4 2 3 4" xfId="9741" xr:uid="{00000000-0005-0000-0000-0000B6710000}"/>
    <cellStyle name="Note 4 3 4 2 3 5" xfId="13587" xr:uid="{00000000-0005-0000-0000-0000B7710000}"/>
    <cellStyle name="Note 4 3 4 2 3 6" xfId="17416" xr:uid="{00000000-0005-0000-0000-0000B8710000}"/>
    <cellStyle name="Note 4 3 4 2 3 7" xfId="21355" xr:uid="{00000000-0005-0000-0000-0000B9710000}"/>
    <cellStyle name="Note 4 3 4 2 3 8" xfId="25168" xr:uid="{00000000-0005-0000-0000-0000BA710000}"/>
    <cellStyle name="Note 4 3 4 2 3 9" xfId="29055" xr:uid="{00000000-0005-0000-0000-0000BB710000}"/>
    <cellStyle name="Note 4 3 4 2 4" xfId="2699" xr:uid="{00000000-0005-0000-0000-0000BC710000}"/>
    <cellStyle name="Note 4 3 4 2 4 10" xfId="37751" xr:uid="{00000000-0005-0000-0000-0000BD710000}"/>
    <cellStyle name="Note 4 3 4 2 4 11" xfId="41765" xr:uid="{00000000-0005-0000-0000-0000BE710000}"/>
    <cellStyle name="Note 4 3 4 2 4 12" xfId="45550" xr:uid="{00000000-0005-0000-0000-0000BF710000}"/>
    <cellStyle name="Note 4 3 4 2 4 2" xfId="6587" xr:uid="{00000000-0005-0000-0000-0000C0710000}"/>
    <cellStyle name="Note 4 3 4 2 4 3" xfId="11011" xr:uid="{00000000-0005-0000-0000-0000C1710000}"/>
    <cellStyle name="Note 4 3 4 2 4 4" xfId="14855" xr:uid="{00000000-0005-0000-0000-0000C2710000}"/>
    <cellStyle name="Note 4 3 4 2 4 5" xfId="18693" xr:uid="{00000000-0005-0000-0000-0000C3710000}"/>
    <cellStyle name="Note 4 3 4 2 4 6" xfId="22624" xr:uid="{00000000-0005-0000-0000-0000C4710000}"/>
    <cellStyle name="Note 4 3 4 2 4 7" xfId="26444" xr:uid="{00000000-0005-0000-0000-0000C5710000}"/>
    <cellStyle name="Note 4 3 4 2 4 8" xfId="30323" xr:uid="{00000000-0005-0000-0000-0000C6710000}"/>
    <cellStyle name="Note 4 3 4 2 4 9" xfId="33988" xr:uid="{00000000-0005-0000-0000-0000C7710000}"/>
    <cellStyle name="Note 4 3 4 2 5" xfId="4663" xr:uid="{00000000-0005-0000-0000-0000C8710000}"/>
    <cellStyle name="Note 4 3 4 2 6" xfId="9005" xr:uid="{00000000-0005-0000-0000-0000C9710000}"/>
    <cellStyle name="Note 4 3 4 2 7" xfId="12842" xr:uid="{00000000-0005-0000-0000-0000CA710000}"/>
    <cellStyle name="Note 4 3 4 2 8" xfId="16672" xr:uid="{00000000-0005-0000-0000-0000CB710000}"/>
    <cellStyle name="Note 4 3 4 2 9" xfId="20609" xr:uid="{00000000-0005-0000-0000-0000CC710000}"/>
    <cellStyle name="Note 4 3 4 20" xfId="8872" xr:uid="{00000000-0005-0000-0000-0000CD710000}"/>
    <cellStyle name="Note 4 3 4 21" xfId="10372" xr:uid="{00000000-0005-0000-0000-0000CE710000}"/>
    <cellStyle name="Note 4 3 4 22" xfId="8618" xr:uid="{00000000-0005-0000-0000-0000CF710000}"/>
    <cellStyle name="Note 4 3 4 23" xfId="18063" xr:uid="{00000000-0005-0000-0000-0000D0710000}"/>
    <cellStyle name="Note 4 3 4 24" xfId="8644" xr:uid="{00000000-0005-0000-0000-0000D1710000}"/>
    <cellStyle name="Note 4 3 4 25" xfId="25814" xr:uid="{00000000-0005-0000-0000-0000D2710000}"/>
    <cellStyle name="Note 4 3 4 26" xfId="29852" xr:uid="{00000000-0005-0000-0000-0000D3710000}"/>
    <cellStyle name="Note 4 3 4 27" xfId="8468" xr:uid="{00000000-0005-0000-0000-0000D4710000}"/>
    <cellStyle name="Note 4 3 4 28" xfId="39659" xr:uid="{00000000-0005-0000-0000-0000D5710000}"/>
    <cellStyle name="Note 4 3 4 29" xfId="40093" xr:uid="{00000000-0005-0000-0000-0000D6710000}"/>
    <cellStyle name="Note 4 3 4 3" xfId="635" xr:uid="{00000000-0005-0000-0000-0000D7710000}"/>
    <cellStyle name="Note 4 3 4 3 10" xfId="8789" xr:uid="{00000000-0005-0000-0000-0000D8710000}"/>
    <cellStyle name="Note 4 3 4 3 11" xfId="28262" xr:uid="{00000000-0005-0000-0000-0000D9710000}"/>
    <cellStyle name="Note 4 3 4 3 12" xfId="28435" xr:uid="{00000000-0005-0000-0000-0000DA710000}"/>
    <cellStyle name="Note 4 3 4 3 13" xfId="23956" xr:uid="{00000000-0005-0000-0000-0000DB710000}"/>
    <cellStyle name="Note 4 3 4 3 14" xfId="39730" xr:uid="{00000000-0005-0000-0000-0000DC710000}"/>
    <cellStyle name="Note 4 3 4 3 15" xfId="39554" xr:uid="{00000000-0005-0000-0000-0000DD710000}"/>
    <cellStyle name="Note 4 3 4 3 2" xfId="1015" xr:uid="{00000000-0005-0000-0000-0000DE710000}"/>
    <cellStyle name="Note 4 3 4 3 2 10" xfId="28626" xr:uid="{00000000-0005-0000-0000-0000DF710000}"/>
    <cellStyle name="Note 4 3 4 3 2 11" xfId="32314" xr:uid="{00000000-0005-0000-0000-0000E0710000}"/>
    <cellStyle name="Note 4 3 4 3 2 12" xfId="36073" xr:uid="{00000000-0005-0000-0000-0000E1710000}"/>
    <cellStyle name="Note 4 3 4 3 2 13" xfId="40078" xr:uid="{00000000-0005-0000-0000-0000E2710000}"/>
    <cellStyle name="Note 4 3 4 3 2 14" xfId="43899" xr:uid="{00000000-0005-0000-0000-0000E3710000}"/>
    <cellStyle name="Note 4 3 4 3 2 2" xfId="1744" xr:uid="{00000000-0005-0000-0000-0000E4710000}"/>
    <cellStyle name="Note 4 3 4 3 2 2 10" xfId="33031" xr:uid="{00000000-0005-0000-0000-0000E5710000}"/>
    <cellStyle name="Note 4 3 4 3 2 2 11" xfId="36801" xr:uid="{00000000-0005-0000-0000-0000E6710000}"/>
    <cellStyle name="Note 4 3 4 3 2 2 12" xfId="40792" xr:uid="{00000000-0005-0000-0000-0000E7710000}"/>
    <cellStyle name="Note 4 3 4 3 2 2 13" xfId="44623" xr:uid="{00000000-0005-0000-0000-0000E8710000}"/>
    <cellStyle name="Note 4 3 4 3 2 2 2" xfId="3734" xr:uid="{00000000-0005-0000-0000-0000E9710000}"/>
    <cellStyle name="Note 4 3 4 3 2 2 2 10" xfId="38785" xr:uid="{00000000-0005-0000-0000-0000EA710000}"/>
    <cellStyle name="Note 4 3 4 3 2 2 2 11" xfId="42796" xr:uid="{00000000-0005-0000-0000-0000EB710000}"/>
    <cellStyle name="Note 4 3 4 3 2 2 2 12" xfId="46561" xr:uid="{00000000-0005-0000-0000-0000EC710000}"/>
    <cellStyle name="Note 4 3 4 3 2 2 2 2" xfId="7601" xr:uid="{00000000-0005-0000-0000-0000ED710000}"/>
    <cellStyle name="Note 4 3 4 3 2 2 2 3" xfId="12036" xr:uid="{00000000-0005-0000-0000-0000EE710000}"/>
    <cellStyle name="Note 4 3 4 3 2 2 2 4" xfId="15881" xr:uid="{00000000-0005-0000-0000-0000EF710000}"/>
    <cellStyle name="Note 4 3 4 3 2 2 2 5" xfId="19728" xr:uid="{00000000-0005-0000-0000-0000F0710000}"/>
    <cellStyle name="Note 4 3 4 3 2 2 2 6" xfId="23644" xr:uid="{00000000-0005-0000-0000-0000F1710000}"/>
    <cellStyle name="Note 4 3 4 3 2 2 2 7" xfId="27478" xr:uid="{00000000-0005-0000-0000-0000F2710000}"/>
    <cellStyle name="Note 4 3 4 3 2 2 2 8" xfId="31342" xr:uid="{00000000-0005-0000-0000-0000F3710000}"/>
    <cellStyle name="Note 4 3 4 3 2 2 2 9" xfId="34999" xr:uid="{00000000-0005-0000-0000-0000F4710000}"/>
    <cellStyle name="Note 4 3 4 3 2 2 3" xfId="5677" xr:uid="{00000000-0005-0000-0000-0000F5710000}"/>
    <cellStyle name="Note 4 3 4 3 2 2 4" xfId="10035" xr:uid="{00000000-0005-0000-0000-0000F6710000}"/>
    <cellStyle name="Note 4 3 4 3 2 2 5" xfId="13881" xr:uid="{00000000-0005-0000-0000-0000F7710000}"/>
    <cellStyle name="Note 4 3 4 3 2 2 6" xfId="17710" xr:uid="{00000000-0005-0000-0000-0000F8710000}"/>
    <cellStyle name="Note 4 3 4 3 2 2 7" xfId="21649" xr:uid="{00000000-0005-0000-0000-0000F9710000}"/>
    <cellStyle name="Note 4 3 4 3 2 2 8" xfId="25462" xr:uid="{00000000-0005-0000-0000-0000FA710000}"/>
    <cellStyle name="Note 4 3 4 3 2 2 9" xfId="29349" xr:uid="{00000000-0005-0000-0000-0000FB710000}"/>
    <cellStyle name="Note 4 3 4 3 2 3" xfId="3005" xr:uid="{00000000-0005-0000-0000-0000FC710000}"/>
    <cellStyle name="Note 4 3 4 3 2 3 10" xfId="38057" xr:uid="{00000000-0005-0000-0000-0000FD710000}"/>
    <cellStyle name="Note 4 3 4 3 2 3 11" xfId="42069" xr:uid="{00000000-0005-0000-0000-0000FE710000}"/>
    <cellStyle name="Note 4 3 4 3 2 3 12" xfId="45844" xr:uid="{00000000-0005-0000-0000-0000FF710000}"/>
    <cellStyle name="Note 4 3 4 3 2 3 2" xfId="6883" xr:uid="{00000000-0005-0000-0000-000000720000}"/>
    <cellStyle name="Note 4 3 4 3 2 3 3" xfId="11311" xr:uid="{00000000-0005-0000-0000-000001720000}"/>
    <cellStyle name="Note 4 3 4 3 2 3 4" xfId="15156" xr:uid="{00000000-0005-0000-0000-000002720000}"/>
    <cellStyle name="Note 4 3 4 3 2 3 5" xfId="18999" xr:uid="{00000000-0005-0000-0000-000003720000}"/>
    <cellStyle name="Note 4 3 4 3 2 3 6" xfId="22923" xr:uid="{00000000-0005-0000-0000-000004720000}"/>
    <cellStyle name="Note 4 3 4 3 2 3 7" xfId="26750" xr:uid="{00000000-0005-0000-0000-000005720000}"/>
    <cellStyle name="Note 4 3 4 3 2 3 8" xfId="30624" xr:uid="{00000000-0005-0000-0000-000006720000}"/>
    <cellStyle name="Note 4 3 4 3 2 3 9" xfId="34282" xr:uid="{00000000-0005-0000-0000-000007720000}"/>
    <cellStyle name="Note 4 3 4 3 2 4" xfId="4959" xr:uid="{00000000-0005-0000-0000-000008720000}"/>
    <cellStyle name="Note 4 3 4 3 2 5" xfId="9314" xr:uid="{00000000-0005-0000-0000-000009720000}"/>
    <cellStyle name="Note 4 3 4 3 2 6" xfId="13155" xr:uid="{00000000-0005-0000-0000-00000A720000}"/>
    <cellStyle name="Note 4 3 4 3 2 7" xfId="16981" xr:uid="{00000000-0005-0000-0000-00000B720000}"/>
    <cellStyle name="Note 4 3 4 3 2 8" xfId="20923" xr:uid="{00000000-0005-0000-0000-00000C720000}"/>
    <cellStyle name="Note 4 3 4 3 2 9" xfId="24738" xr:uid="{00000000-0005-0000-0000-00000D720000}"/>
    <cellStyle name="Note 4 3 4 3 3" xfId="1391" xr:uid="{00000000-0005-0000-0000-00000E720000}"/>
    <cellStyle name="Note 4 3 4 3 3 10" xfId="32678" xr:uid="{00000000-0005-0000-0000-00000F720000}"/>
    <cellStyle name="Note 4 3 4 3 3 11" xfId="36448" xr:uid="{00000000-0005-0000-0000-000010720000}"/>
    <cellStyle name="Note 4 3 4 3 3 12" xfId="40439" xr:uid="{00000000-0005-0000-0000-000011720000}"/>
    <cellStyle name="Note 4 3 4 3 3 13" xfId="44270" xr:uid="{00000000-0005-0000-0000-000012720000}"/>
    <cellStyle name="Note 4 3 4 3 3 2" xfId="3381" xr:uid="{00000000-0005-0000-0000-000013720000}"/>
    <cellStyle name="Note 4 3 4 3 3 2 10" xfId="38432" xr:uid="{00000000-0005-0000-0000-000014720000}"/>
    <cellStyle name="Note 4 3 4 3 3 2 11" xfId="42443" xr:uid="{00000000-0005-0000-0000-000015720000}"/>
    <cellStyle name="Note 4 3 4 3 3 2 12" xfId="46208" xr:uid="{00000000-0005-0000-0000-000016720000}"/>
    <cellStyle name="Note 4 3 4 3 3 2 2" xfId="7248" xr:uid="{00000000-0005-0000-0000-000017720000}"/>
    <cellStyle name="Note 4 3 4 3 3 2 3" xfId="11683" xr:uid="{00000000-0005-0000-0000-000018720000}"/>
    <cellStyle name="Note 4 3 4 3 3 2 4" xfId="15528" xr:uid="{00000000-0005-0000-0000-000019720000}"/>
    <cellStyle name="Note 4 3 4 3 3 2 5" xfId="19375" xr:uid="{00000000-0005-0000-0000-00001A720000}"/>
    <cellStyle name="Note 4 3 4 3 3 2 6" xfId="23291" xr:uid="{00000000-0005-0000-0000-00001B720000}"/>
    <cellStyle name="Note 4 3 4 3 3 2 7" xfId="27125" xr:uid="{00000000-0005-0000-0000-00001C720000}"/>
    <cellStyle name="Note 4 3 4 3 3 2 8" xfId="30993" xr:uid="{00000000-0005-0000-0000-00001D720000}"/>
    <cellStyle name="Note 4 3 4 3 3 2 9" xfId="34646" xr:uid="{00000000-0005-0000-0000-00001E720000}"/>
    <cellStyle name="Note 4 3 4 3 3 3" xfId="5324" xr:uid="{00000000-0005-0000-0000-00001F720000}"/>
    <cellStyle name="Note 4 3 4 3 3 4" xfId="9682" xr:uid="{00000000-0005-0000-0000-000020720000}"/>
    <cellStyle name="Note 4 3 4 3 3 5" xfId="13528" xr:uid="{00000000-0005-0000-0000-000021720000}"/>
    <cellStyle name="Note 4 3 4 3 3 6" xfId="17357" xr:uid="{00000000-0005-0000-0000-000022720000}"/>
    <cellStyle name="Note 4 3 4 3 3 7" xfId="21296" xr:uid="{00000000-0005-0000-0000-000023720000}"/>
    <cellStyle name="Note 4 3 4 3 3 8" xfId="25109" xr:uid="{00000000-0005-0000-0000-000024720000}"/>
    <cellStyle name="Note 4 3 4 3 3 9" xfId="28996" xr:uid="{00000000-0005-0000-0000-000025720000}"/>
    <cellStyle name="Note 4 3 4 3 4" xfId="2638" xr:uid="{00000000-0005-0000-0000-000026720000}"/>
    <cellStyle name="Note 4 3 4 3 4 10" xfId="37690" xr:uid="{00000000-0005-0000-0000-000027720000}"/>
    <cellStyle name="Note 4 3 4 3 4 11" xfId="41704" xr:uid="{00000000-0005-0000-0000-000028720000}"/>
    <cellStyle name="Note 4 3 4 3 4 12" xfId="45491" xr:uid="{00000000-0005-0000-0000-000029720000}"/>
    <cellStyle name="Note 4 3 4 3 4 2" xfId="6528" xr:uid="{00000000-0005-0000-0000-00002A720000}"/>
    <cellStyle name="Note 4 3 4 3 4 3" xfId="10952" xr:uid="{00000000-0005-0000-0000-00002B720000}"/>
    <cellStyle name="Note 4 3 4 3 4 4" xfId="14796" xr:uid="{00000000-0005-0000-0000-00002C720000}"/>
    <cellStyle name="Note 4 3 4 3 4 5" xfId="18632" xr:uid="{00000000-0005-0000-0000-00002D720000}"/>
    <cellStyle name="Note 4 3 4 3 4 6" xfId="22565" xr:uid="{00000000-0005-0000-0000-00002E720000}"/>
    <cellStyle name="Note 4 3 4 3 4 7" xfId="26383" xr:uid="{00000000-0005-0000-0000-00002F720000}"/>
    <cellStyle name="Note 4 3 4 3 4 8" xfId="30262" xr:uid="{00000000-0005-0000-0000-000030720000}"/>
    <cellStyle name="Note 4 3 4 3 4 9" xfId="33929" xr:uid="{00000000-0005-0000-0000-000031720000}"/>
    <cellStyle name="Note 4 3 4 3 5" xfId="4604" xr:uid="{00000000-0005-0000-0000-000032720000}"/>
    <cellStyle name="Note 4 3 4 3 6" xfId="8944" xr:uid="{00000000-0005-0000-0000-000033720000}"/>
    <cellStyle name="Note 4 3 4 3 7" xfId="8554" xr:uid="{00000000-0005-0000-0000-000034720000}"/>
    <cellStyle name="Note 4 3 4 3 8" xfId="8604" xr:uid="{00000000-0005-0000-0000-000035720000}"/>
    <cellStyle name="Note 4 3 4 3 9" xfId="20548" xr:uid="{00000000-0005-0000-0000-000036720000}"/>
    <cellStyle name="Note 4 3 4 30" xfId="47373" xr:uid="{00000000-0005-0000-0000-000037720000}"/>
    <cellStyle name="Note 4 3 4 31" xfId="47459" xr:uid="{00000000-0005-0000-0000-000038720000}"/>
    <cellStyle name="Note 4 3 4 32" xfId="47508" xr:uid="{00000000-0005-0000-0000-000039720000}"/>
    <cellStyle name="Note 4 3 4 4" xfId="804" xr:uid="{00000000-0005-0000-0000-00003A720000}"/>
    <cellStyle name="Note 4 3 4 4 10" xfId="24528" xr:uid="{00000000-0005-0000-0000-00003B720000}"/>
    <cellStyle name="Note 4 3 4 4 11" xfId="28419" xr:uid="{00000000-0005-0000-0000-00003C720000}"/>
    <cellStyle name="Note 4 3 4 4 12" xfId="32105" xr:uid="{00000000-0005-0000-0000-00003D720000}"/>
    <cellStyle name="Note 4 3 4 4 13" xfId="35862" xr:uid="{00000000-0005-0000-0000-00003E720000}"/>
    <cellStyle name="Note 4 3 4 4 14" xfId="39873" xr:uid="{00000000-0005-0000-0000-00003F720000}"/>
    <cellStyle name="Note 4 3 4 4 15" xfId="43688" xr:uid="{00000000-0005-0000-0000-000040720000}"/>
    <cellStyle name="Note 4 3 4 4 2" xfId="1166" xr:uid="{00000000-0005-0000-0000-000041720000}"/>
    <cellStyle name="Note 4 3 4 4 2 10" xfId="28775" xr:uid="{00000000-0005-0000-0000-000042720000}"/>
    <cellStyle name="Note 4 3 4 4 2 11" xfId="32458" xr:uid="{00000000-0005-0000-0000-000043720000}"/>
    <cellStyle name="Note 4 3 4 4 2 12" xfId="36224" xr:uid="{00000000-0005-0000-0000-000044720000}"/>
    <cellStyle name="Note 4 3 4 4 2 13" xfId="40219" xr:uid="{00000000-0005-0000-0000-000045720000}"/>
    <cellStyle name="Note 4 3 4 4 2 14" xfId="44050" xr:uid="{00000000-0005-0000-0000-000046720000}"/>
    <cellStyle name="Note 4 3 4 4 2 2" xfId="1888" xr:uid="{00000000-0005-0000-0000-000047720000}"/>
    <cellStyle name="Note 4 3 4 4 2 2 10" xfId="33175" xr:uid="{00000000-0005-0000-0000-000048720000}"/>
    <cellStyle name="Note 4 3 4 4 2 2 11" xfId="36945" xr:uid="{00000000-0005-0000-0000-000049720000}"/>
    <cellStyle name="Note 4 3 4 4 2 2 12" xfId="40936" xr:uid="{00000000-0005-0000-0000-00004A720000}"/>
    <cellStyle name="Note 4 3 4 4 2 2 13" xfId="44767" xr:uid="{00000000-0005-0000-0000-00004B720000}"/>
    <cellStyle name="Note 4 3 4 4 2 2 2" xfId="3878" xr:uid="{00000000-0005-0000-0000-00004C720000}"/>
    <cellStyle name="Note 4 3 4 4 2 2 2 10" xfId="38929" xr:uid="{00000000-0005-0000-0000-00004D720000}"/>
    <cellStyle name="Note 4 3 4 4 2 2 2 11" xfId="42940" xr:uid="{00000000-0005-0000-0000-00004E720000}"/>
    <cellStyle name="Note 4 3 4 4 2 2 2 12" xfId="46705" xr:uid="{00000000-0005-0000-0000-00004F720000}"/>
    <cellStyle name="Note 4 3 4 4 2 2 2 2" xfId="7745" xr:uid="{00000000-0005-0000-0000-000050720000}"/>
    <cellStyle name="Note 4 3 4 4 2 2 2 3" xfId="12180" xr:uid="{00000000-0005-0000-0000-000051720000}"/>
    <cellStyle name="Note 4 3 4 4 2 2 2 4" xfId="16025" xr:uid="{00000000-0005-0000-0000-000052720000}"/>
    <cellStyle name="Note 4 3 4 4 2 2 2 5" xfId="19872" xr:uid="{00000000-0005-0000-0000-000053720000}"/>
    <cellStyle name="Note 4 3 4 4 2 2 2 6" xfId="23788" xr:uid="{00000000-0005-0000-0000-000054720000}"/>
    <cellStyle name="Note 4 3 4 4 2 2 2 7" xfId="27622" xr:uid="{00000000-0005-0000-0000-000055720000}"/>
    <cellStyle name="Note 4 3 4 4 2 2 2 8" xfId="31485" xr:uid="{00000000-0005-0000-0000-000056720000}"/>
    <cellStyle name="Note 4 3 4 4 2 2 2 9" xfId="35143" xr:uid="{00000000-0005-0000-0000-000057720000}"/>
    <cellStyle name="Note 4 3 4 4 2 2 3" xfId="5821" xr:uid="{00000000-0005-0000-0000-000058720000}"/>
    <cellStyle name="Note 4 3 4 4 2 2 4" xfId="10179" xr:uid="{00000000-0005-0000-0000-000059720000}"/>
    <cellStyle name="Note 4 3 4 4 2 2 5" xfId="14025" xr:uid="{00000000-0005-0000-0000-00005A720000}"/>
    <cellStyle name="Note 4 3 4 4 2 2 6" xfId="17854" xr:uid="{00000000-0005-0000-0000-00005B720000}"/>
    <cellStyle name="Note 4 3 4 4 2 2 7" xfId="21793" xr:uid="{00000000-0005-0000-0000-00005C720000}"/>
    <cellStyle name="Note 4 3 4 4 2 2 8" xfId="25606" xr:uid="{00000000-0005-0000-0000-00005D720000}"/>
    <cellStyle name="Note 4 3 4 4 2 2 9" xfId="29493" xr:uid="{00000000-0005-0000-0000-00005E720000}"/>
    <cellStyle name="Note 4 3 4 4 2 3" xfId="3156" xr:uid="{00000000-0005-0000-0000-00005F720000}"/>
    <cellStyle name="Note 4 3 4 4 2 3 10" xfId="38208" xr:uid="{00000000-0005-0000-0000-000060720000}"/>
    <cellStyle name="Note 4 3 4 4 2 3 11" xfId="42219" xr:uid="{00000000-0005-0000-0000-000061720000}"/>
    <cellStyle name="Note 4 3 4 4 2 3 12" xfId="45988" xr:uid="{00000000-0005-0000-0000-000062720000}"/>
    <cellStyle name="Note 4 3 4 4 2 3 2" xfId="7028" xr:uid="{00000000-0005-0000-0000-000063720000}"/>
    <cellStyle name="Note 4 3 4 4 2 3 3" xfId="11460" xr:uid="{00000000-0005-0000-0000-000064720000}"/>
    <cellStyle name="Note 4 3 4 4 2 3 4" xfId="15304" xr:uid="{00000000-0005-0000-0000-000065720000}"/>
    <cellStyle name="Note 4 3 4 4 2 3 5" xfId="19150" xr:uid="{00000000-0005-0000-0000-000066720000}"/>
    <cellStyle name="Note 4 3 4 4 2 3 6" xfId="23069" xr:uid="{00000000-0005-0000-0000-000067720000}"/>
    <cellStyle name="Note 4 3 4 4 2 3 7" xfId="26901" xr:uid="{00000000-0005-0000-0000-000068720000}"/>
    <cellStyle name="Note 4 3 4 4 2 3 8" xfId="30773" xr:uid="{00000000-0005-0000-0000-000069720000}"/>
    <cellStyle name="Note 4 3 4 4 2 3 9" xfId="34426" xr:uid="{00000000-0005-0000-0000-00006A720000}"/>
    <cellStyle name="Note 4 3 4 4 2 4" xfId="5104" xr:uid="{00000000-0005-0000-0000-00006B720000}"/>
    <cellStyle name="Note 4 3 4 4 2 5" xfId="9460" xr:uid="{00000000-0005-0000-0000-00006C720000}"/>
    <cellStyle name="Note 4 3 4 4 2 6" xfId="13304" xr:uid="{00000000-0005-0000-0000-00006D720000}"/>
    <cellStyle name="Note 4 3 4 4 2 7" xfId="17132" xr:uid="{00000000-0005-0000-0000-00006E720000}"/>
    <cellStyle name="Note 4 3 4 4 2 8" xfId="21074" xr:uid="{00000000-0005-0000-0000-00006F720000}"/>
    <cellStyle name="Note 4 3 4 4 2 9" xfId="24885" xr:uid="{00000000-0005-0000-0000-000070720000}"/>
    <cellStyle name="Note 4 3 4 4 3" xfId="1535" xr:uid="{00000000-0005-0000-0000-000071720000}"/>
    <cellStyle name="Note 4 3 4 4 3 10" xfId="32822" xr:uid="{00000000-0005-0000-0000-000072720000}"/>
    <cellStyle name="Note 4 3 4 4 3 11" xfId="36592" xr:uid="{00000000-0005-0000-0000-000073720000}"/>
    <cellStyle name="Note 4 3 4 4 3 12" xfId="40583" xr:uid="{00000000-0005-0000-0000-000074720000}"/>
    <cellStyle name="Note 4 3 4 4 3 13" xfId="44414" xr:uid="{00000000-0005-0000-0000-000075720000}"/>
    <cellStyle name="Note 4 3 4 4 3 2" xfId="3525" xr:uid="{00000000-0005-0000-0000-000076720000}"/>
    <cellStyle name="Note 4 3 4 4 3 2 10" xfId="38576" xr:uid="{00000000-0005-0000-0000-000077720000}"/>
    <cellStyle name="Note 4 3 4 4 3 2 11" xfId="42587" xr:uid="{00000000-0005-0000-0000-000078720000}"/>
    <cellStyle name="Note 4 3 4 4 3 2 12" xfId="46352" xr:uid="{00000000-0005-0000-0000-000079720000}"/>
    <cellStyle name="Note 4 3 4 4 3 2 2" xfId="7392" xr:uid="{00000000-0005-0000-0000-00007A720000}"/>
    <cellStyle name="Note 4 3 4 4 3 2 3" xfId="11827" xr:uid="{00000000-0005-0000-0000-00007B720000}"/>
    <cellStyle name="Note 4 3 4 4 3 2 4" xfId="15672" xr:uid="{00000000-0005-0000-0000-00007C720000}"/>
    <cellStyle name="Note 4 3 4 4 3 2 5" xfId="19519" xr:uid="{00000000-0005-0000-0000-00007D720000}"/>
    <cellStyle name="Note 4 3 4 4 3 2 6" xfId="23435" xr:uid="{00000000-0005-0000-0000-00007E720000}"/>
    <cellStyle name="Note 4 3 4 4 3 2 7" xfId="27269" xr:uid="{00000000-0005-0000-0000-00007F720000}"/>
    <cellStyle name="Note 4 3 4 4 3 2 8" xfId="31136" xr:uid="{00000000-0005-0000-0000-000080720000}"/>
    <cellStyle name="Note 4 3 4 4 3 2 9" xfId="34790" xr:uid="{00000000-0005-0000-0000-000081720000}"/>
    <cellStyle name="Note 4 3 4 4 3 3" xfId="5468" xr:uid="{00000000-0005-0000-0000-000082720000}"/>
    <cellStyle name="Note 4 3 4 4 3 4" xfId="9826" xr:uid="{00000000-0005-0000-0000-000083720000}"/>
    <cellStyle name="Note 4 3 4 4 3 5" xfId="13672" xr:uid="{00000000-0005-0000-0000-000084720000}"/>
    <cellStyle name="Note 4 3 4 4 3 6" xfId="17501" xr:uid="{00000000-0005-0000-0000-000085720000}"/>
    <cellStyle name="Note 4 3 4 4 3 7" xfId="21440" xr:uid="{00000000-0005-0000-0000-000086720000}"/>
    <cellStyle name="Note 4 3 4 4 3 8" xfId="25253" xr:uid="{00000000-0005-0000-0000-000087720000}"/>
    <cellStyle name="Note 4 3 4 4 3 9" xfId="29140" xr:uid="{00000000-0005-0000-0000-000088720000}"/>
    <cellStyle name="Note 4 3 4 4 4" xfId="2794" xr:uid="{00000000-0005-0000-0000-000089720000}"/>
    <cellStyle name="Note 4 3 4 4 4 10" xfId="37846" xr:uid="{00000000-0005-0000-0000-00008A720000}"/>
    <cellStyle name="Note 4 3 4 4 4 11" xfId="41858" xr:uid="{00000000-0005-0000-0000-00008B720000}"/>
    <cellStyle name="Note 4 3 4 4 4 12" xfId="45635" xr:uid="{00000000-0005-0000-0000-00008C720000}"/>
    <cellStyle name="Note 4 3 4 4 4 2" xfId="6674" xr:uid="{00000000-0005-0000-0000-00008D720000}"/>
    <cellStyle name="Note 4 3 4 4 4 3" xfId="11101" xr:uid="{00000000-0005-0000-0000-00008E720000}"/>
    <cellStyle name="Note 4 3 4 4 4 4" xfId="14946" xr:uid="{00000000-0005-0000-0000-00008F720000}"/>
    <cellStyle name="Note 4 3 4 4 4 5" xfId="18788" xr:uid="{00000000-0005-0000-0000-000090720000}"/>
    <cellStyle name="Note 4 3 4 4 4 6" xfId="22714" xr:uid="{00000000-0005-0000-0000-000091720000}"/>
    <cellStyle name="Note 4 3 4 4 4 7" xfId="26539" xr:uid="{00000000-0005-0000-0000-000092720000}"/>
    <cellStyle name="Note 4 3 4 4 4 8" xfId="30417" xr:uid="{00000000-0005-0000-0000-000093720000}"/>
    <cellStyle name="Note 4 3 4 4 4 9" xfId="34073" xr:uid="{00000000-0005-0000-0000-000094720000}"/>
    <cellStyle name="Note 4 3 4 4 5" xfId="4750" xr:uid="{00000000-0005-0000-0000-000095720000}"/>
    <cellStyle name="Note 4 3 4 4 6" xfId="9104" xr:uid="{00000000-0005-0000-0000-000096720000}"/>
    <cellStyle name="Note 4 3 4 4 7" xfId="12945" xr:uid="{00000000-0005-0000-0000-000097720000}"/>
    <cellStyle name="Note 4 3 4 4 8" xfId="16770" xr:uid="{00000000-0005-0000-0000-000098720000}"/>
    <cellStyle name="Note 4 3 4 4 9" xfId="20712" xr:uid="{00000000-0005-0000-0000-000099720000}"/>
    <cellStyle name="Note 4 3 4 5" xfId="896" xr:uid="{00000000-0005-0000-0000-00009A720000}"/>
    <cellStyle name="Note 4 3 4 5 10" xfId="24620" xr:uid="{00000000-0005-0000-0000-00009B720000}"/>
    <cellStyle name="Note 4 3 4 5 11" xfId="28510" xr:uid="{00000000-0005-0000-0000-00009C720000}"/>
    <cellStyle name="Note 4 3 4 5 12" xfId="32197" xr:uid="{00000000-0005-0000-0000-00009D720000}"/>
    <cellStyle name="Note 4 3 4 5 13" xfId="35954" xr:uid="{00000000-0005-0000-0000-00009E720000}"/>
    <cellStyle name="Note 4 3 4 5 14" xfId="39964" xr:uid="{00000000-0005-0000-0000-00009F720000}"/>
    <cellStyle name="Note 4 3 4 5 15" xfId="43780" xr:uid="{00000000-0005-0000-0000-0000A0720000}"/>
    <cellStyle name="Note 4 3 4 5 2" xfId="1233" xr:uid="{00000000-0005-0000-0000-0000A1720000}"/>
    <cellStyle name="Note 4 3 4 5 2 10" xfId="28841" xr:uid="{00000000-0005-0000-0000-0000A2720000}"/>
    <cellStyle name="Note 4 3 4 5 2 11" xfId="32525" xr:uid="{00000000-0005-0000-0000-0000A3720000}"/>
    <cellStyle name="Note 4 3 4 5 2 12" xfId="36291" xr:uid="{00000000-0005-0000-0000-0000A4720000}"/>
    <cellStyle name="Note 4 3 4 5 2 13" xfId="40284" xr:uid="{00000000-0005-0000-0000-0000A5720000}"/>
    <cellStyle name="Note 4 3 4 5 2 14" xfId="44117" xr:uid="{00000000-0005-0000-0000-0000A6720000}"/>
    <cellStyle name="Note 4 3 4 5 2 2" xfId="1955" xr:uid="{00000000-0005-0000-0000-0000A7720000}"/>
    <cellStyle name="Note 4 3 4 5 2 2 10" xfId="33242" xr:uid="{00000000-0005-0000-0000-0000A8720000}"/>
    <cellStyle name="Note 4 3 4 5 2 2 11" xfId="37012" xr:uid="{00000000-0005-0000-0000-0000A9720000}"/>
    <cellStyle name="Note 4 3 4 5 2 2 12" xfId="41003" xr:uid="{00000000-0005-0000-0000-0000AA720000}"/>
    <cellStyle name="Note 4 3 4 5 2 2 13" xfId="44834" xr:uid="{00000000-0005-0000-0000-0000AB720000}"/>
    <cellStyle name="Note 4 3 4 5 2 2 2" xfId="3945" xr:uid="{00000000-0005-0000-0000-0000AC720000}"/>
    <cellStyle name="Note 4 3 4 5 2 2 2 10" xfId="38996" xr:uid="{00000000-0005-0000-0000-0000AD720000}"/>
    <cellStyle name="Note 4 3 4 5 2 2 2 11" xfId="43007" xr:uid="{00000000-0005-0000-0000-0000AE720000}"/>
    <cellStyle name="Note 4 3 4 5 2 2 2 12" xfId="46772" xr:uid="{00000000-0005-0000-0000-0000AF720000}"/>
    <cellStyle name="Note 4 3 4 5 2 2 2 2" xfId="7812" xr:uid="{00000000-0005-0000-0000-0000B0720000}"/>
    <cellStyle name="Note 4 3 4 5 2 2 2 3" xfId="12247" xr:uid="{00000000-0005-0000-0000-0000B1720000}"/>
    <cellStyle name="Note 4 3 4 5 2 2 2 4" xfId="16092" xr:uid="{00000000-0005-0000-0000-0000B2720000}"/>
    <cellStyle name="Note 4 3 4 5 2 2 2 5" xfId="19939" xr:uid="{00000000-0005-0000-0000-0000B3720000}"/>
    <cellStyle name="Note 4 3 4 5 2 2 2 6" xfId="23855" xr:uid="{00000000-0005-0000-0000-0000B4720000}"/>
    <cellStyle name="Note 4 3 4 5 2 2 2 7" xfId="27689" xr:uid="{00000000-0005-0000-0000-0000B5720000}"/>
    <cellStyle name="Note 4 3 4 5 2 2 2 8" xfId="31550" xr:uid="{00000000-0005-0000-0000-0000B6720000}"/>
    <cellStyle name="Note 4 3 4 5 2 2 2 9" xfId="35210" xr:uid="{00000000-0005-0000-0000-0000B7720000}"/>
    <cellStyle name="Note 4 3 4 5 2 2 3" xfId="5888" xr:uid="{00000000-0005-0000-0000-0000B8720000}"/>
    <cellStyle name="Note 4 3 4 5 2 2 4" xfId="10246" xr:uid="{00000000-0005-0000-0000-0000B9720000}"/>
    <cellStyle name="Note 4 3 4 5 2 2 5" xfId="14092" xr:uid="{00000000-0005-0000-0000-0000BA720000}"/>
    <cellStyle name="Note 4 3 4 5 2 2 6" xfId="17921" xr:uid="{00000000-0005-0000-0000-0000BB720000}"/>
    <cellStyle name="Note 4 3 4 5 2 2 7" xfId="21860" xr:uid="{00000000-0005-0000-0000-0000BC720000}"/>
    <cellStyle name="Note 4 3 4 5 2 2 8" xfId="25673" xr:uid="{00000000-0005-0000-0000-0000BD720000}"/>
    <cellStyle name="Note 4 3 4 5 2 2 9" xfId="29560" xr:uid="{00000000-0005-0000-0000-0000BE720000}"/>
    <cellStyle name="Note 4 3 4 5 2 3" xfId="3223" xr:uid="{00000000-0005-0000-0000-0000BF720000}"/>
    <cellStyle name="Note 4 3 4 5 2 3 10" xfId="38275" xr:uid="{00000000-0005-0000-0000-0000C0720000}"/>
    <cellStyle name="Note 4 3 4 5 2 3 11" xfId="42286" xr:uid="{00000000-0005-0000-0000-0000C1720000}"/>
    <cellStyle name="Note 4 3 4 5 2 3 12" xfId="46055" xr:uid="{00000000-0005-0000-0000-0000C2720000}"/>
    <cellStyle name="Note 4 3 4 5 2 3 2" xfId="7095" xr:uid="{00000000-0005-0000-0000-0000C3720000}"/>
    <cellStyle name="Note 4 3 4 5 2 3 3" xfId="11527" xr:uid="{00000000-0005-0000-0000-0000C4720000}"/>
    <cellStyle name="Note 4 3 4 5 2 3 4" xfId="15371" xr:uid="{00000000-0005-0000-0000-0000C5720000}"/>
    <cellStyle name="Note 4 3 4 5 2 3 5" xfId="19217" xr:uid="{00000000-0005-0000-0000-0000C6720000}"/>
    <cellStyle name="Note 4 3 4 5 2 3 6" xfId="23136" xr:uid="{00000000-0005-0000-0000-0000C7720000}"/>
    <cellStyle name="Note 4 3 4 5 2 3 7" xfId="26968" xr:uid="{00000000-0005-0000-0000-0000C8720000}"/>
    <cellStyle name="Note 4 3 4 5 2 3 8" xfId="30838" xr:uid="{00000000-0005-0000-0000-0000C9720000}"/>
    <cellStyle name="Note 4 3 4 5 2 3 9" xfId="34493" xr:uid="{00000000-0005-0000-0000-0000CA720000}"/>
    <cellStyle name="Note 4 3 4 5 2 4" xfId="5171" xr:uid="{00000000-0005-0000-0000-0000CB720000}"/>
    <cellStyle name="Note 4 3 4 5 2 5" xfId="9527" xr:uid="{00000000-0005-0000-0000-0000CC720000}"/>
    <cellStyle name="Note 4 3 4 5 2 6" xfId="13371" xr:uid="{00000000-0005-0000-0000-0000CD720000}"/>
    <cellStyle name="Note 4 3 4 5 2 7" xfId="17199" xr:uid="{00000000-0005-0000-0000-0000CE720000}"/>
    <cellStyle name="Note 4 3 4 5 2 8" xfId="21141" xr:uid="{00000000-0005-0000-0000-0000CF720000}"/>
    <cellStyle name="Note 4 3 4 5 2 9" xfId="24952" xr:uid="{00000000-0005-0000-0000-0000D0720000}"/>
    <cellStyle name="Note 4 3 4 5 3" xfId="1627" xr:uid="{00000000-0005-0000-0000-0000D1720000}"/>
    <cellStyle name="Note 4 3 4 5 3 10" xfId="32914" xr:uid="{00000000-0005-0000-0000-0000D2720000}"/>
    <cellStyle name="Note 4 3 4 5 3 11" xfId="36684" xr:uid="{00000000-0005-0000-0000-0000D3720000}"/>
    <cellStyle name="Note 4 3 4 5 3 12" xfId="40675" xr:uid="{00000000-0005-0000-0000-0000D4720000}"/>
    <cellStyle name="Note 4 3 4 5 3 13" xfId="44506" xr:uid="{00000000-0005-0000-0000-0000D5720000}"/>
    <cellStyle name="Note 4 3 4 5 3 2" xfId="3617" xr:uid="{00000000-0005-0000-0000-0000D6720000}"/>
    <cellStyle name="Note 4 3 4 5 3 2 10" xfId="38668" xr:uid="{00000000-0005-0000-0000-0000D7720000}"/>
    <cellStyle name="Note 4 3 4 5 3 2 11" xfId="42679" xr:uid="{00000000-0005-0000-0000-0000D8720000}"/>
    <cellStyle name="Note 4 3 4 5 3 2 12" xfId="46444" xr:uid="{00000000-0005-0000-0000-0000D9720000}"/>
    <cellStyle name="Note 4 3 4 5 3 2 2" xfId="7484" xr:uid="{00000000-0005-0000-0000-0000DA720000}"/>
    <cellStyle name="Note 4 3 4 5 3 2 3" xfId="11919" xr:uid="{00000000-0005-0000-0000-0000DB720000}"/>
    <cellStyle name="Note 4 3 4 5 3 2 4" xfId="15764" xr:uid="{00000000-0005-0000-0000-0000DC720000}"/>
    <cellStyle name="Note 4 3 4 5 3 2 5" xfId="19611" xr:uid="{00000000-0005-0000-0000-0000DD720000}"/>
    <cellStyle name="Note 4 3 4 5 3 2 6" xfId="23527" xr:uid="{00000000-0005-0000-0000-0000DE720000}"/>
    <cellStyle name="Note 4 3 4 5 3 2 7" xfId="27361" xr:uid="{00000000-0005-0000-0000-0000DF720000}"/>
    <cellStyle name="Note 4 3 4 5 3 2 8" xfId="31226" xr:uid="{00000000-0005-0000-0000-0000E0720000}"/>
    <cellStyle name="Note 4 3 4 5 3 2 9" xfId="34882" xr:uid="{00000000-0005-0000-0000-0000E1720000}"/>
    <cellStyle name="Note 4 3 4 5 3 3" xfId="5560" xr:uid="{00000000-0005-0000-0000-0000E2720000}"/>
    <cellStyle name="Note 4 3 4 5 3 4" xfId="9918" xr:uid="{00000000-0005-0000-0000-0000E3720000}"/>
    <cellStyle name="Note 4 3 4 5 3 5" xfId="13764" xr:uid="{00000000-0005-0000-0000-0000E4720000}"/>
    <cellStyle name="Note 4 3 4 5 3 6" xfId="17593" xr:uid="{00000000-0005-0000-0000-0000E5720000}"/>
    <cellStyle name="Note 4 3 4 5 3 7" xfId="21532" xr:uid="{00000000-0005-0000-0000-0000E6720000}"/>
    <cellStyle name="Note 4 3 4 5 3 8" xfId="25345" xr:uid="{00000000-0005-0000-0000-0000E7720000}"/>
    <cellStyle name="Note 4 3 4 5 3 9" xfId="29232" xr:uid="{00000000-0005-0000-0000-0000E8720000}"/>
    <cellStyle name="Note 4 3 4 5 4" xfId="2886" xr:uid="{00000000-0005-0000-0000-0000E9720000}"/>
    <cellStyle name="Note 4 3 4 5 4 10" xfId="37938" xr:uid="{00000000-0005-0000-0000-0000EA720000}"/>
    <cellStyle name="Note 4 3 4 5 4 11" xfId="41950" xr:uid="{00000000-0005-0000-0000-0000EB720000}"/>
    <cellStyle name="Note 4 3 4 5 4 12" xfId="45727" xr:uid="{00000000-0005-0000-0000-0000EC720000}"/>
    <cellStyle name="Note 4 3 4 5 4 2" xfId="6766" xr:uid="{00000000-0005-0000-0000-0000ED720000}"/>
    <cellStyle name="Note 4 3 4 5 4 3" xfId="11193" xr:uid="{00000000-0005-0000-0000-0000EE720000}"/>
    <cellStyle name="Note 4 3 4 5 4 4" xfId="15038" xr:uid="{00000000-0005-0000-0000-0000EF720000}"/>
    <cellStyle name="Note 4 3 4 5 4 5" xfId="18880" xr:uid="{00000000-0005-0000-0000-0000F0720000}"/>
    <cellStyle name="Note 4 3 4 5 4 6" xfId="22806" xr:uid="{00000000-0005-0000-0000-0000F1720000}"/>
    <cellStyle name="Note 4 3 4 5 4 7" xfId="26631" xr:uid="{00000000-0005-0000-0000-0000F2720000}"/>
    <cellStyle name="Note 4 3 4 5 4 8" xfId="30507" xr:uid="{00000000-0005-0000-0000-0000F3720000}"/>
    <cellStyle name="Note 4 3 4 5 4 9" xfId="34165" xr:uid="{00000000-0005-0000-0000-0000F4720000}"/>
    <cellStyle name="Note 4 3 4 5 5" xfId="4842" xr:uid="{00000000-0005-0000-0000-0000F5720000}"/>
    <cellStyle name="Note 4 3 4 5 6" xfId="9196" xr:uid="{00000000-0005-0000-0000-0000F6720000}"/>
    <cellStyle name="Note 4 3 4 5 7" xfId="13037" xr:uid="{00000000-0005-0000-0000-0000F7720000}"/>
    <cellStyle name="Note 4 3 4 5 8" xfId="16862" xr:uid="{00000000-0005-0000-0000-0000F8720000}"/>
    <cellStyle name="Note 4 3 4 5 9" xfId="20804" xr:uid="{00000000-0005-0000-0000-0000F9720000}"/>
    <cellStyle name="Note 4 3 4 6" xfId="942" xr:uid="{00000000-0005-0000-0000-0000FA720000}"/>
    <cellStyle name="Note 4 3 4 6 10" xfId="28554" xr:uid="{00000000-0005-0000-0000-0000FB720000}"/>
    <cellStyle name="Note 4 3 4 6 11" xfId="32243" xr:uid="{00000000-0005-0000-0000-0000FC720000}"/>
    <cellStyle name="Note 4 3 4 6 12" xfId="36000" xr:uid="{00000000-0005-0000-0000-0000FD720000}"/>
    <cellStyle name="Note 4 3 4 6 13" xfId="40008" xr:uid="{00000000-0005-0000-0000-0000FE720000}"/>
    <cellStyle name="Note 4 3 4 6 14" xfId="43826" xr:uid="{00000000-0005-0000-0000-0000FF720000}"/>
    <cellStyle name="Note 4 3 4 6 2" xfId="1673" xr:uid="{00000000-0005-0000-0000-000000730000}"/>
    <cellStyle name="Note 4 3 4 6 2 10" xfId="32960" xr:uid="{00000000-0005-0000-0000-000001730000}"/>
    <cellStyle name="Note 4 3 4 6 2 11" xfId="36730" xr:uid="{00000000-0005-0000-0000-000002730000}"/>
    <cellStyle name="Note 4 3 4 6 2 12" xfId="40721" xr:uid="{00000000-0005-0000-0000-000003730000}"/>
    <cellStyle name="Note 4 3 4 6 2 13" xfId="44552" xr:uid="{00000000-0005-0000-0000-000004730000}"/>
    <cellStyle name="Note 4 3 4 6 2 2" xfId="3663" xr:uid="{00000000-0005-0000-0000-000005730000}"/>
    <cellStyle name="Note 4 3 4 6 2 2 10" xfId="38714" xr:uid="{00000000-0005-0000-0000-000006730000}"/>
    <cellStyle name="Note 4 3 4 6 2 2 11" xfId="42725" xr:uid="{00000000-0005-0000-0000-000007730000}"/>
    <cellStyle name="Note 4 3 4 6 2 2 12" xfId="46490" xr:uid="{00000000-0005-0000-0000-000008730000}"/>
    <cellStyle name="Note 4 3 4 6 2 2 2" xfId="7530" xr:uid="{00000000-0005-0000-0000-000009730000}"/>
    <cellStyle name="Note 4 3 4 6 2 2 3" xfId="11965" xr:uid="{00000000-0005-0000-0000-00000A730000}"/>
    <cellStyle name="Note 4 3 4 6 2 2 4" xfId="15810" xr:uid="{00000000-0005-0000-0000-00000B730000}"/>
    <cellStyle name="Note 4 3 4 6 2 2 5" xfId="19657" xr:uid="{00000000-0005-0000-0000-00000C730000}"/>
    <cellStyle name="Note 4 3 4 6 2 2 6" xfId="23573" xr:uid="{00000000-0005-0000-0000-00000D730000}"/>
    <cellStyle name="Note 4 3 4 6 2 2 7" xfId="27407" xr:uid="{00000000-0005-0000-0000-00000E730000}"/>
    <cellStyle name="Note 4 3 4 6 2 2 8" xfId="31271" xr:uid="{00000000-0005-0000-0000-00000F730000}"/>
    <cellStyle name="Note 4 3 4 6 2 2 9" xfId="34928" xr:uid="{00000000-0005-0000-0000-000010730000}"/>
    <cellStyle name="Note 4 3 4 6 2 3" xfId="5606" xr:uid="{00000000-0005-0000-0000-000011730000}"/>
    <cellStyle name="Note 4 3 4 6 2 4" xfId="9964" xr:uid="{00000000-0005-0000-0000-000012730000}"/>
    <cellStyle name="Note 4 3 4 6 2 5" xfId="13810" xr:uid="{00000000-0005-0000-0000-000013730000}"/>
    <cellStyle name="Note 4 3 4 6 2 6" xfId="17639" xr:uid="{00000000-0005-0000-0000-000014730000}"/>
    <cellStyle name="Note 4 3 4 6 2 7" xfId="21578" xr:uid="{00000000-0005-0000-0000-000015730000}"/>
    <cellStyle name="Note 4 3 4 6 2 8" xfId="25391" xr:uid="{00000000-0005-0000-0000-000016730000}"/>
    <cellStyle name="Note 4 3 4 6 2 9" xfId="29278" xr:uid="{00000000-0005-0000-0000-000017730000}"/>
    <cellStyle name="Note 4 3 4 6 3" xfId="2932" xr:uid="{00000000-0005-0000-0000-000018730000}"/>
    <cellStyle name="Note 4 3 4 6 3 10" xfId="37984" xr:uid="{00000000-0005-0000-0000-000019730000}"/>
    <cellStyle name="Note 4 3 4 6 3 11" xfId="41996" xr:uid="{00000000-0005-0000-0000-00001A730000}"/>
    <cellStyle name="Note 4 3 4 6 3 12" xfId="45773" xr:uid="{00000000-0005-0000-0000-00001B730000}"/>
    <cellStyle name="Note 4 3 4 6 3 2" xfId="6812" xr:uid="{00000000-0005-0000-0000-00001C730000}"/>
    <cellStyle name="Note 4 3 4 6 3 3" xfId="11239" xr:uid="{00000000-0005-0000-0000-00001D730000}"/>
    <cellStyle name="Note 4 3 4 6 3 4" xfId="15084" xr:uid="{00000000-0005-0000-0000-00001E730000}"/>
    <cellStyle name="Note 4 3 4 6 3 5" xfId="18926" xr:uid="{00000000-0005-0000-0000-00001F730000}"/>
    <cellStyle name="Note 4 3 4 6 3 6" xfId="22852" xr:uid="{00000000-0005-0000-0000-000020730000}"/>
    <cellStyle name="Note 4 3 4 6 3 7" xfId="26677" xr:uid="{00000000-0005-0000-0000-000021730000}"/>
    <cellStyle name="Note 4 3 4 6 3 8" xfId="30552" xr:uid="{00000000-0005-0000-0000-000022730000}"/>
    <cellStyle name="Note 4 3 4 6 3 9" xfId="34211" xr:uid="{00000000-0005-0000-0000-000023730000}"/>
    <cellStyle name="Note 4 3 4 6 4" xfId="4888" xr:uid="{00000000-0005-0000-0000-000024730000}"/>
    <cellStyle name="Note 4 3 4 6 5" xfId="9242" xr:uid="{00000000-0005-0000-0000-000025730000}"/>
    <cellStyle name="Note 4 3 4 6 6" xfId="13083" xr:uid="{00000000-0005-0000-0000-000026730000}"/>
    <cellStyle name="Note 4 3 4 6 7" xfId="16908" xr:uid="{00000000-0005-0000-0000-000027730000}"/>
    <cellStyle name="Note 4 3 4 6 8" xfId="20850" xr:uid="{00000000-0005-0000-0000-000028730000}"/>
    <cellStyle name="Note 4 3 4 6 9" xfId="24666" xr:uid="{00000000-0005-0000-0000-000029730000}"/>
    <cellStyle name="Note 4 3 4 7" xfId="1320" xr:uid="{00000000-0005-0000-0000-00002A730000}"/>
    <cellStyle name="Note 4 3 4 7 10" xfId="32607" xr:uid="{00000000-0005-0000-0000-00002B730000}"/>
    <cellStyle name="Note 4 3 4 7 11" xfId="36377" xr:uid="{00000000-0005-0000-0000-00002C730000}"/>
    <cellStyle name="Note 4 3 4 7 12" xfId="40368" xr:uid="{00000000-0005-0000-0000-00002D730000}"/>
    <cellStyle name="Note 4 3 4 7 13" xfId="44199" xr:uid="{00000000-0005-0000-0000-00002E730000}"/>
    <cellStyle name="Note 4 3 4 7 2" xfId="3310" xr:uid="{00000000-0005-0000-0000-00002F730000}"/>
    <cellStyle name="Note 4 3 4 7 2 10" xfId="38361" xr:uid="{00000000-0005-0000-0000-000030730000}"/>
    <cellStyle name="Note 4 3 4 7 2 11" xfId="42372" xr:uid="{00000000-0005-0000-0000-000031730000}"/>
    <cellStyle name="Note 4 3 4 7 2 12" xfId="46137" xr:uid="{00000000-0005-0000-0000-000032730000}"/>
    <cellStyle name="Note 4 3 4 7 2 2" xfId="7177" xr:uid="{00000000-0005-0000-0000-000033730000}"/>
    <cellStyle name="Note 4 3 4 7 2 3" xfId="11612" xr:uid="{00000000-0005-0000-0000-000034730000}"/>
    <cellStyle name="Note 4 3 4 7 2 4" xfId="15457" xr:uid="{00000000-0005-0000-0000-000035730000}"/>
    <cellStyle name="Note 4 3 4 7 2 5" xfId="19304" xr:uid="{00000000-0005-0000-0000-000036730000}"/>
    <cellStyle name="Note 4 3 4 7 2 6" xfId="23220" xr:uid="{00000000-0005-0000-0000-000037730000}"/>
    <cellStyle name="Note 4 3 4 7 2 7" xfId="27054" xr:uid="{00000000-0005-0000-0000-000038730000}"/>
    <cellStyle name="Note 4 3 4 7 2 8" xfId="30923" xr:uid="{00000000-0005-0000-0000-000039730000}"/>
    <cellStyle name="Note 4 3 4 7 2 9" xfId="34575" xr:uid="{00000000-0005-0000-0000-00003A730000}"/>
    <cellStyle name="Note 4 3 4 7 3" xfId="5253" xr:uid="{00000000-0005-0000-0000-00003B730000}"/>
    <cellStyle name="Note 4 3 4 7 4" xfId="9611" xr:uid="{00000000-0005-0000-0000-00003C730000}"/>
    <cellStyle name="Note 4 3 4 7 5" xfId="13457" xr:uid="{00000000-0005-0000-0000-00003D730000}"/>
    <cellStyle name="Note 4 3 4 7 6" xfId="17286" xr:uid="{00000000-0005-0000-0000-00003E730000}"/>
    <cellStyle name="Note 4 3 4 7 7" xfId="21225" xr:uid="{00000000-0005-0000-0000-00003F730000}"/>
    <cellStyle name="Note 4 3 4 7 8" xfId="25038" xr:uid="{00000000-0005-0000-0000-000040730000}"/>
    <cellStyle name="Note 4 3 4 7 9" xfId="28925" xr:uid="{00000000-0005-0000-0000-000041730000}"/>
    <cellStyle name="Note 4 3 4 8" xfId="2017" xr:uid="{00000000-0005-0000-0000-000042730000}"/>
    <cellStyle name="Note 4 3 4 8 10" xfId="33302" xr:uid="{00000000-0005-0000-0000-000043730000}"/>
    <cellStyle name="Note 4 3 4 8 11" xfId="37073" xr:uid="{00000000-0005-0000-0000-000044730000}"/>
    <cellStyle name="Note 4 3 4 8 12" xfId="41065" xr:uid="{00000000-0005-0000-0000-000045730000}"/>
    <cellStyle name="Note 4 3 4 8 13" xfId="44893" xr:uid="{00000000-0005-0000-0000-000046730000}"/>
    <cellStyle name="Note 4 3 4 8 2" xfId="4006" xr:uid="{00000000-0005-0000-0000-000047730000}"/>
    <cellStyle name="Note 4 3 4 8 2 10" xfId="39057" xr:uid="{00000000-0005-0000-0000-000048730000}"/>
    <cellStyle name="Note 4 3 4 8 2 11" xfId="43068" xr:uid="{00000000-0005-0000-0000-000049730000}"/>
    <cellStyle name="Note 4 3 4 8 2 12" xfId="46831" xr:uid="{00000000-0005-0000-0000-00004A730000}"/>
    <cellStyle name="Note 4 3 4 8 2 2" xfId="7871" xr:uid="{00000000-0005-0000-0000-00004B730000}"/>
    <cellStyle name="Note 4 3 4 8 2 3" xfId="12307" xr:uid="{00000000-0005-0000-0000-00004C730000}"/>
    <cellStyle name="Note 4 3 4 8 2 4" xfId="16152" xr:uid="{00000000-0005-0000-0000-00004D730000}"/>
    <cellStyle name="Note 4 3 4 8 2 5" xfId="20000" xr:uid="{00000000-0005-0000-0000-00004E730000}"/>
    <cellStyle name="Note 4 3 4 8 2 6" xfId="23915" xr:uid="{00000000-0005-0000-0000-00004F730000}"/>
    <cellStyle name="Note 4 3 4 8 2 7" xfId="27750" xr:uid="{00000000-0005-0000-0000-000050730000}"/>
    <cellStyle name="Note 4 3 4 8 2 8" xfId="31610" xr:uid="{00000000-0005-0000-0000-000051730000}"/>
    <cellStyle name="Note 4 3 4 8 2 9" xfId="35269" xr:uid="{00000000-0005-0000-0000-000052730000}"/>
    <cellStyle name="Note 4 3 4 8 3" xfId="5947" xr:uid="{00000000-0005-0000-0000-000053730000}"/>
    <cellStyle name="Note 4 3 4 8 4" xfId="10306" xr:uid="{00000000-0005-0000-0000-000054730000}"/>
    <cellStyle name="Note 4 3 4 8 5" xfId="14153" xr:uid="{00000000-0005-0000-0000-000055730000}"/>
    <cellStyle name="Note 4 3 4 8 6" xfId="17983" xr:uid="{00000000-0005-0000-0000-000056730000}"/>
    <cellStyle name="Note 4 3 4 8 7" xfId="21921" xr:uid="{00000000-0005-0000-0000-000057730000}"/>
    <cellStyle name="Note 4 3 4 8 8" xfId="25735" xr:uid="{00000000-0005-0000-0000-000058730000}"/>
    <cellStyle name="Note 4 3 4 8 9" xfId="29622" xr:uid="{00000000-0005-0000-0000-000059730000}"/>
    <cellStyle name="Note 4 3 4 9" xfId="2064" xr:uid="{00000000-0005-0000-0000-00005A730000}"/>
    <cellStyle name="Note 4 3 4 9 10" xfId="33346" xr:uid="{00000000-0005-0000-0000-00005B730000}"/>
    <cellStyle name="Note 4 3 4 9 11" xfId="37120" xr:uid="{00000000-0005-0000-0000-00005C730000}"/>
    <cellStyle name="Note 4 3 4 9 12" xfId="41110" xr:uid="{00000000-0005-0000-0000-00005D730000}"/>
    <cellStyle name="Note 4 3 4 9 13" xfId="44937" xr:uid="{00000000-0005-0000-0000-00005E730000}"/>
    <cellStyle name="Note 4 3 4 9 2" xfId="4053" xr:uid="{00000000-0005-0000-0000-00005F730000}"/>
    <cellStyle name="Note 4 3 4 9 2 10" xfId="39104" xr:uid="{00000000-0005-0000-0000-000060730000}"/>
    <cellStyle name="Note 4 3 4 9 2 11" xfId="43114" xr:uid="{00000000-0005-0000-0000-000061730000}"/>
    <cellStyle name="Note 4 3 4 9 2 12" xfId="46875" xr:uid="{00000000-0005-0000-0000-000062730000}"/>
    <cellStyle name="Note 4 3 4 9 2 2" xfId="7916" xr:uid="{00000000-0005-0000-0000-000063730000}"/>
    <cellStyle name="Note 4 3 4 9 2 3" xfId="12353" xr:uid="{00000000-0005-0000-0000-000064730000}"/>
    <cellStyle name="Note 4 3 4 9 2 4" xfId="16198" xr:uid="{00000000-0005-0000-0000-000065730000}"/>
    <cellStyle name="Note 4 3 4 9 2 5" xfId="20047" xr:uid="{00000000-0005-0000-0000-000066730000}"/>
    <cellStyle name="Note 4 3 4 9 2 6" xfId="23961" xr:uid="{00000000-0005-0000-0000-000067730000}"/>
    <cellStyle name="Note 4 3 4 9 2 7" xfId="27797" xr:uid="{00000000-0005-0000-0000-000068730000}"/>
    <cellStyle name="Note 4 3 4 9 2 8" xfId="31656" xr:uid="{00000000-0005-0000-0000-000069730000}"/>
    <cellStyle name="Note 4 3 4 9 2 9" xfId="35313" xr:uid="{00000000-0005-0000-0000-00006A730000}"/>
    <cellStyle name="Note 4 3 4 9 3" xfId="5992" xr:uid="{00000000-0005-0000-0000-00006B730000}"/>
    <cellStyle name="Note 4 3 4 9 4" xfId="10352" xr:uid="{00000000-0005-0000-0000-00006C730000}"/>
    <cellStyle name="Note 4 3 4 9 5" xfId="14199" xr:uid="{00000000-0005-0000-0000-00006D730000}"/>
    <cellStyle name="Note 4 3 4 9 6" xfId="18030" xr:uid="{00000000-0005-0000-0000-00006E730000}"/>
    <cellStyle name="Note 4 3 4 9 7" xfId="21967" xr:uid="{00000000-0005-0000-0000-00006F730000}"/>
    <cellStyle name="Note 4 3 4 9 8" xfId="25782" xr:uid="{00000000-0005-0000-0000-000070730000}"/>
    <cellStyle name="Note 4 3 4 9 9" xfId="29668" xr:uid="{00000000-0005-0000-0000-000071730000}"/>
    <cellStyle name="Note 4 3 5" xfId="543" xr:uid="{00000000-0005-0000-0000-000072730000}"/>
    <cellStyle name="Note 4 3 5 10" xfId="2195" xr:uid="{00000000-0005-0000-0000-000073730000}"/>
    <cellStyle name="Note 4 3 5 10 10" xfId="33496" xr:uid="{00000000-0005-0000-0000-000074730000}"/>
    <cellStyle name="Note 4 3 5 10 11" xfId="37247" xr:uid="{00000000-0005-0000-0000-000075730000}"/>
    <cellStyle name="Note 4 3 5 10 12" xfId="41263" xr:uid="{00000000-0005-0000-0000-000076730000}"/>
    <cellStyle name="Note 4 3 5 10 13" xfId="45058" xr:uid="{00000000-0005-0000-0000-000077730000}"/>
    <cellStyle name="Note 4 3 5 10 2" xfId="4178" xr:uid="{00000000-0005-0000-0000-000078730000}"/>
    <cellStyle name="Note 4 3 5 10 2 10" xfId="39229" xr:uid="{00000000-0005-0000-0000-000079730000}"/>
    <cellStyle name="Note 4 3 5 10 2 11" xfId="43239" xr:uid="{00000000-0005-0000-0000-00007A730000}"/>
    <cellStyle name="Note 4 3 5 10 2 12" xfId="46996" xr:uid="{00000000-0005-0000-0000-00007B730000}"/>
    <cellStyle name="Note 4 3 5 10 2 2" xfId="8037" xr:uid="{00000000-0005-0000-0000-00007C730000}"/>
    <cellStyle name="Note 4 3 5 10 2 3" xfId="12477" xr:uid="{00000000-0005-0000-0000-00007D730000}"/>
    <cellStyle name="Note 4 3 5 10 2 4" xfId="16322" xr:uid="{00000000-0005-0000-0000-00007E730000}"/>
    <cellStyle name="Note 4 3 5 10 2 5" xfId="20172" xr:uid="{00000000-0005-0000-0000-00007F730000}"/>
    <cellStyle name="Note 4 3 5 10 2 6" xfId="24084" xr:uid="{00000000-0005-0000-0000-000080730000}"/>
    <cellStyle name="Note 4 3 5 10 2 7" xfId="27922" xr:uid="{00000000-0005-0000-0000-000081730000}"/>
    <cellStyle name="Note 4 3 5 10 2 8" xfId="31781" xr:uid="{00000000-0005-0000-0000-000082730000}"/>
    <cellStyle name="Note 4 3 5 10 2 9" xfId="35434" xr:uid="{00000000-0005-0000-0000-000083730000}"/>
    <cellStyle name="Note 4 3 5 10 3" xfId="6109" xr:uid="{00000000-0005-0000-0000-000084730000}"/>
    <cellStyle name="Note 4 3 5 10 4" xfId="10512" xr:uid="{00000000-0005-0000-0000-000085730000}"/>
    <cellStyle name="Note 4 3 5 10 5" xfId="14358" xr:uid="{00000000-0005-0000-0000-000086730000}"/>
    <cellStyle name="Note 4 3 5 10 6" xfId="18189" xr:uid="{00000000-0005-0000-0000-000087730000}"/>
    <cellStyle name="Note 4 3 5 10 7" xfId="22128" xr:uid="{00000000-0005-0000-0000-000088730000}"/>
    <cellStyle name="Note 4 3 5 10 8" xfId="25940" xr:uid="{00000000-0005-0000-0000-000089730000}"/>
    <cellStyle name="Note 4 3 5 10 9" xfId="29820" xr:uid="{00000000-0005-0000-0000-00008A730000}"/>
    <cellStyle name="Note 4 3 5 11" xfId="2253" xr:uid="{00000000-0005-0000-0000-00008B730000}"/>
    <cellStyle name="Note 4 3 5 11 10" xfId="33554" xr:uid="{00000000-0005-0000-0000-00008C730000}"/>
    <cellStyle name="Note 4 3 5 11 11" xfId="37305" xr:uid="{00000000-0005-0000-0000-00008D730000}"/>
    <cellStyle name="Note 4 3 5 11 12" xfId="41321" xr:uid="{00000000-0005-0000-0000-00008E730000}"/>
    <cellStyle name="Note 4 3 5 11 13" xfId="45116" xr:uid="{00000000-0005-0000-0000-00008F730000}"/>
    <cellStyle name="Note 4 3 5 11 2" xfId="4236" xr:uid="{00000000-0005-0000-0000-000090730000}"/>
    <cellStyle name="Note 4 3 5 11 2 10" xfId="39287" xr:uid="{00000000-0005-0000-0000-000091730000}"/>
    <cellStyle name="Note 4 3 5 11 2 11" xfId="43297" xr:uid="{00000000-0005-0000-0000-000092730000}"/>
    <cellStyle name="Note 4 3 5 11 2 12" xfId="47054" xr:uid="{00000000-0005-0000-0000-000093730000}"/>
    <cellStyle name="Note 4 3 5 11 2 2" xfId="8095" xr:uid="{00000000-0005-0000-0000-000094730000}"/>
    <cellStyle name="Note 4 3 5 11 2 3" xfId="12535" xr:uid="{00000000-0005-0000-0000-000095730000}"/>
    <cellStyle name="Note 4 3 5 11 2 4" xfId="16380" xr:uid="{00000000-0005-0000-0000-000096730000}"/>
    <cellStyle name="Note 4 3 5 11 2 5" xfId="20230" xr:uid="{00000000-0005-0000-0000-000097730000}"/>
    <cellStyle name="Note 4 3 5 11 2 6" xfId="24142" xr:uid="{00000000-0005-0000-0000-000098730000}"/>
    <cellStyle name="Note 4 3 5 11 2 7" xfId="27980" xr:uid="{00000000-0005-0000-0000-000099730000}"/>
    <cellStyle name="Note 4 3 5 11 2 8" xfId="31839" xr:uid="{00000000-0005-0000-0000-00009A730000}"/>
    <cellStyle name="Note 4 3 5 11 2 9" xfId="35492" xr:uid="{00000000-0005-0000-0000-00009B730000}"/>
    <cellStyle name="Note 4 3 5 11 3" xfId="6167" xr:uid="{00000000-0005-0000-0000-00009C730000}"/>
    <cellStyle name="Note 4 3 5 11 4" xfId="10570" xr:uid="{00000000-0005-0000-0000-00009D730000}"/>
    <cellStyle name="Note 4 3 5 11 5" xfId="14416" xr:uid="{00000000-0005-0000-0000-00009E730000}"/>
    <cellStyle name="Note 4 3 5 11 6" xfId="18247" xr:uid="{00000000-0005-0000-0000-00009F730000}"/>
    <cellStyle name="Note 4 3 5 11 7" xfId="22186" xr:uid="{00000000-0005-0000-0000-0000A0730000}"/>
    <cellStyle name="Note 4 3 5 11 8" xfId="25998" xr:uid="{00000000-0005-0000-0000-0000A1730000}"/>
    <cellStyle name="Note 4 3 5 11 9" xfId="29878" xr:uid="{00000000-0005-0000-0000-0000A2730000}"/>
    <cellStyle name="Note 4 3 5 12" xfId="2308" xr:uid="{00000000-0005-0000-0000-0000A3730000}"/>
    <cellStyle name="Note 4 3 5 12 10" xfId="33609" xr:uid="{00000000-0005-0000-0000-0000A4730000}"/>
    <cellStyle name="Note 4 3 5 12 11" xfId="37360" xr:uid="{00000000-0005-0000-0000-0000A5730000}"/>
    <cellStyle name="Note 4 3 5 12 12" xfId="41376" xr:uid="{00000000-0005-0000-0000-0000A6730000}"/>
    <cellStyle name="Note 4 3 5 12 13" xfId="45171" xr:uid="{00000000-0005-0000-0000-0000A7730000}"/>
    <cellStyle name="Note 4 3 5 12 2" xfId="4291" xr:uid="{00000000-0005-0000-0000-0000A8730000}"/>
    <cellStyle name="Note 4 3 5 12 2 10" xfId="39342" xr:uid="{00000000-0005-0000-0000-0000A9730000}"/>
    <cellStyle name="Note 4 3 5 12 2 11" xfId="43352" xr:uid="{00000000-0005-0000-0000-0000AA730000}"/>
    <cellStyle name="Note 4 3 5 12 2 12" xfId="47109" xr:uid="{00000000-0005-0000-0000-0000AB730000}"/>
    <cellStyle name="Note 4 3 5 12 2 2" xfId="8150" xr:uid="{00000000-0005-0000-0000-0000AC730000}"/>
    <cellStyle name="Note 4 3 5 12 2 3" xfId="12590" xr:uid="{00000000-0005-0000-0000-0000AD730000}"/>
    <cellStyle name="Note 4 3 5 12 2 4" xfId="16435" xr:uid="{00000000-0005-0000-0000-0000AE730000}"/>
    <cellStyle name="Note 4 3 5 12 2 5" xfId="20285" xr:uid="{00000000-0005-0000-0000-0000AF730000}"/>
    <cellStyle name="Note 4 3 5 12 2 6" xfId="24197" xr:uid="{00000000-0005-0000-0000-0000B0730000}"/>
    <cellStyle name="Note 4 3 5 12 2 7" xfId="28035" xr:uid="{00000000-0005-0000-0000-0000B1730000}"/>
    <cellStyle name="Note 4 3 5 12 2 8" xfId="31894" xr:uid="{00000000-0005-0000-0000-0000B2730000}"/>
    <cellStyle name="Note 4 3 5 12 2 9" xfId="35547" xr:uid="{00000000-0005-0000-0000-0000B3730000}"/>
    <cellStyle name="Note 4 3 5 12 3" xfId="6222" xr:uid="{00000000-0005-0000-0000-0000B4730000}"/>
    <cellStyle name="Note 4 3 5 12 4" xfId="10625" xr:uid="{00000000-0005-0000-0000-0000B5730000}"/>
    <cellStyle name="Note 4 3 5 12 5" xfId="14471" xr:uid="{00000000-0005-0000-0000-0000B6730000}"/>
    <cellStyle name="Note 4 3 5 12 6" xfId="18302" xr:uid="{00000000-0005-0000-0000-0000B7730000}"/>
    <cellStyle name="Note 4 3 5 12 7" xfId="22241" xr:uid="{00000000-0005-0000-0000-0000B8730000}"/>
    <cellStyle name="Note 4 3 5 12 8" xfId="26053" xr:uid="{00000000-0005-0000-0000-0000B9730000}"/>
    <cellStyle name="Note 4 3 5 12 9" xfId="29933" xr:uid="{00000000-0005-0000-0000-0000BA730000}"/>
    <cellStyle name="Note 4 3 5 13" xfId="2375" xr:uid="{00000000-0005-0000-0000-0000BB730000}"/>
    <cellStyle name="Note 4 3 5 13 10" xfId="33673" xr:uid="{00000000-0005-0000-0000-0000BC730000}"/>
    <cellStyle name="Note 4 3 5 13 11" xfId="37427" xr:uid="{00000000-0005-0000-0000-0000BD730000}"/>
    <cellStyle name="Note 4 3 5 13 12" xfId="41442" xr:uid="{00000000-0005-0000-0000-0000BE730000}"/>
    <cellStyle name="Note 4 3 5 13 13" xfId="45235" xr:uid="{00000000-0005-0000-0000-0000BF730000}"/>
    <cellStyle name="Note 4 3 5 13 2" xfId="4358" xr:uid="{00000000-0005-0000-0000-0000C0730000}"/>
    <cellStyle name="Note 4 3 5 13 2 10" xfId="39409" xr:uid="{00000000-0005-0000-0000-0000C1730000}"/>
    <cellStyle name="Note 4 3 5 13 2 11" xfId="43418" xr:uid="{00000000-0005-0000-0000-0000C2730000}"/>
    <cellStyle name="Note 4 3 5 13 2 12" xfId="47173" xr:uid="{00000000-0005-0000-0000-0000C3730000}"/>
    <cellStyle name="Note 4 3 5 13 2 2" xfId="8215" xr:uid="{00000000-0005-0000-0000-0000C4730000}"/>
    <cellStyle name="Note 4 3 5 13 2 3" xfId="12656" xr:uid="{00000000-0005-0000-0000-0000C5730000}"/>
    <cellStyle name="Note 4 3 5 13 2 4" xfId="16501" xr:uid="{00000000-0005-0000-0000-0000C6730000}"/>
    <cellStyle name="Note 4 3 5 13 2 5" xfId="20352" xr:uid="{00000000-0005-0000-0000-0000C7730000}"/>
    <cellStyle name="Note 4 3 5 13 2 6" xfId="24263" xr:uid="{00000000-0005-0000-0000-0000C8730000}"/>
    <cellStyle name="Note 4 3 5 13 2 7" xfId="28102" xr:uid="{00000000-0005-0000-0000-0000C9730000}"/>
    <cellStyle name="Note 4 3 5 13 2 8" xfId="31960" xr:uid="{00000000-0005-0000-0000-0000CA730000}"/>
    <cellStyle name="Note 4 3 5 13 2 9" xfId="35611" xr:uid="{00000000-0005-0000-0000-0000CB730000}"/>
    <cellStyle name="Note 4 3 5 13 3" xfId="6271" xr:uid="{00000000-0005-0000-0000-0000CC730000}"/>
    <cellStyle name="Note 4 3 5 13 4" xfId="10691" xr:uid="{00000000-0005-0000-0000-0000CD730000}"/>
    <cellStyle name="Note 4 3 5 13 5" xfId="14537" xr:uid="{00000000-0005-0000-0000-0000CE730000}"/>
    <cellStyle name="Note 4 3 5 13 6" xfId="18369" xr:uid="{00000000-0005-0000-0000-0000CF730000}"/>
    <cellStyle name="Note 4 3 5 13 7" xfId="22307" xr:uid="{00000000-0005-0000-0000-0000D0730000}"/>
    <cellStyle name="Note 4 3 5 13 8" xfId="26120" xr:uid="{00000000-0005-0000-0000-0000D1730000}"/>
    <cellStyle name="Note 4 3 5 13 9" xfId="30000" xr:uid="{00000000-0005-0000-0000-0000D2730000}"/>
    <cellStyle name="Note 4 3 5 14" xfId="2425" xr:uid="{00000000-0005-0000-0000-0000D3730000}"/>
    <cellStyle name="Note 4 3 5 14 10" xfId="33723" xr:uid="{00000000-0005-0000-0000-0000D4730000}"/>
    <cellStyle name="Note 4 3 5 14 11" xfId="37477" xr:uid="{00000000-0005-0000-0000-0000D5730000}"/>
    <cellStyle name="Note 4 3 5 14 12" xfId="41492" xr:uid="{00000000-0005-0000-0000-0000D6730000}"/>
    <cellStyle name="Note 4 3 5 14 13" xfId="45285" xr:uid="{00000000-0005-0000-0000-0000D7730000}"/>
    <cellStyle name="Note 4 3 5 14 2" xfId="4408" xr:uid="{00000000-0005-0000-0000-0000D8730000}"/>
    <cellStyle name="Note 4 3 5 14 2 10" xfId="39459" xr:uid="{00000000-0005-0000-0000-0000D9730000}"/>
    <cellStyle name="Note 4 3 5 14 2 11" xfId="43468" xr:uid="{00000000-0005-0000-0000-0000DA730000}"/>
    <cellStyle name="Note 4 3 5 14 2 12" xfId="47223" xr:uid="{00000000-0005-0000-0000-0000DB730000}"/>
    <cellStyle name="Note 4 3 5 14 2 2" xfId="8265" xr:uid="{00000000-0005-0000-0000-0000DC730000}"/>
    <cellStyle name="Note 4 3 5 14 2 3" xfId="12706" xr:uid="{00000000-0005-0000-0000-0000DD730000}"/>
    <cellStyle name="Note 4 3 5 14 2 4" xfId="16551" xr:uid="{00000000-0005-0000-0000-0000DE730000}"/>
    <cellStyle name="Note 4 3 5 14 2 5" xfId="20402" xr:uid="{00000000-0005-0000-0000-0000DF730000}"/>
    <cellStyle name="Note 4 3 5 14 2 6" xfId="24313" xr:uid="{00000000-0005-0000-0000-0000E0730000}"/>
    <cellStyle name="Note 4 3 5 14 2 7" xfId="28152" xr:uid="{00000000-0005-0000-0000-0000E1730000}"/>
    <cellStyle name="Note 4 3 5 14 2 8" xfId="32010" xr:uid="{00000000-0005-0000-0000-0000E2730000}"/>
    <cellStyle name="Note 4 3 5 14 2 9" xfId="35661" xr:uid="{00000000-0005-0000-0000-0000E3730000}"/>
    <cellStyle name="Note 4 3 5 14 3" xfId="6321" xr:uid="{00000000-0005-0000-0000-0000E4730000}"/>
    <cellStyle name="Note 4 3 5 14 4" xfId="10741" xr:uid="{00000000-0005-0000-0000-0000E5730000}"/>
    <cellStyle name="Note 4 3 5 14 5" xfId="14587" xr:uid="{00000000-0005-0000-0000-0000E6730000}"/>
    <cellStyle name="Note 4 3 5 14 6" xfId="18419" xr:uid="{00000000-0005-0000-0000-0000E7730000}"/>
    <cellStyle name="Note 4 3 5 14 7" xfId="22357" xr:uid="{00000000-0005-0000-0000-0000E8730000}"/>
    <cellStyle name="Note 4 3 5 14 8" xfId="26170" xr:uid="{00000000-0005-0000-0000-0000E9730000}"/>
    <cellStyle name="Note 4 3 5 14 9" xfId="30049" xr:uid="{00000000-0005-0000-0000-0000EA730000}"/>
    <cellStyle name="Note 4 3 5 15" xfId="2479" xr:uid="{00000000-0005-0000-0000-0000EB730000}"/>
    <cellStyle name="Note 4 3 5 15 10" xfId="33774" xr:uid="{00000000-0005-0000-0000-0000EC730000}"/>
    <cellStyle name="Note 4 3 5 15 11" xfId="37531" xr:uid="{00000000-0005-0000-0000-0000ED730000}"/>
    <cellStyle name="Note 4 3 5 15 12" xfId="41545" xr:uid="{00000000-0005-0000-0000-0000EE730000}"/>
    <cellStyle name="Note 4 3 5 15 13" xfId="45336" xr:uid="{00000000-0005-0000-0000-0000EF730000}"/>
    <cellStyle name="Note 4 3 5 15 2" xfId="4461" xr:uid="{00000000-0005-0000-0000-0000F0730000}"/>
    <cellStyle name="Note 4 3 5 15 2 10" xfId="39512" xr:uid="{00000000-0005-0000-0000-0000F1730000}"/>
    <cellStyle name="Note 4 3 5 15 2 11" xfId="43521" xr:uid="{00000000-0005-0000-0000-0000F2730000}"/>
    <cellStyle name="Note 4 3 5 15 2 12" xfId="47274" xr:uid="{00000000-0005-0000-0000-0000F3730000}"/>
    <cellStyle name="Note 4 3 5 15 2 2" xfId="8316" xr:uid="{00000000-0005-0000-0000-0000F4730000}"/>
    <cellStyle name="Note 4 3 5 15 2 3" xfId="12759" xr:uid="{00000000-0005-0000-0000-0000F5730000}"/>
    <cellStyle name="Note 4 3 5 15 2 4" xfId="16602" xr:uid="{00000000-0005-0000-0000-0000F6730000}"/>
    <cellStyle name="Note 4 3 5 15 2 5" xfId="20455" xr:uid="{00000000-0005-0000-0000-0000F7730000}"/>
    <cellStyle name="Note 4 3 5 15 2 6" xfId="24365" xr:uid="{00000000-0005-0000-0000-0000F8730000}"/>
    <cellStyle name="Note 4 3 5 15 2 7" xfId="28205" xr:uid="{00000000-0005-0000-0000-0000F9730000}"/>
    <cellStyle name="Note 4 3 5 15 2 8" xfId="32063" xr:uid="{00000000-0005-0000-0000-0000FA730000}"/>
    <cellStyle name="Note 4 3 5 15 2 9" xfId="35712" xr:uid="{00000000-0005-0000-0000-0000FB730000}"/>
    <cellStyle name="Note 4 3 5 15 3" xfId="6373" xr:uid="{00000000-0005-0000-0000-0000FC730000}"/>
    <cellStyle name="Note 4 3 5 15 4" xfId="10794" xr:uid="{00000000-0005-0000-0000-0000FD730000}"/>
    <cellStyle name="Note 4 3 5 15 5" xfId="14640" xr:uid="{00000000-0005-0000-0000-0000FE730000}"/>
    <cellStyle name="Note 4 3 5 15 6" xfId="18473" xr:uid="{00000000-0005-0000-0000-0000FF730000}"/>
    <cellStyle name="Note 4 3 5 15 7" xfId="22410" xr:uid="{00000000-0005-0000-0000-000000740000}"/>
    <cellStyle name="Note 4 3 5 15 8" xfId="26224" xr:uid="{00000000-0005-0000-0000-000001740000}"/>
    <cellStyle name="Note 4 3 5 15 9" xfId="30103" xr:uid="{00000000-0005-0000-0000-000002740000}"/>
    <cellStyle name="Note 4 3 5 16" xfId="2550" xr:uid="{00000000-0005-0000-0000-000003740000}"/>
    <cellStyle name="Note 4 3 5 16 10" xfId="37602" xr:uid="{00000000-0005-0000-0000-000004740000}"/>
    <cellStyle name="Note 4 3 5 16 11" xfId="41616" xr:uid="{00000000-0005-0000-0000-000005740000}"/>
    <cellStyle name="Note 4 3 5 16 12" xfId="45405" xr:uid="{00000000-0005-0000-0000-000006740000}"/>
    <cellStyle name="Note 4 3 5 16 2" xfId="6442" xr:uid="{00000000-0005-0000-0000-000007740000}"/>
    <cellStyle name="Note 4 3 5 16 3" xfId="10865" xr:uid="{00000000-0005-0000-0000-000008740000}"/>
    <cellStyle name="Note 4 3 5 16 4" xfId="14709" xr:uid="{00000000-0005-0000-0000-000009740000}"/>
    <cellStyle name="Note 4 3 5 16 5" xfId="18544" xr:uid="{00000000-0005-0000-0000-00000A740000}"/>
    <cellStyle name="Note 4 3 5 16 6" xfId="22479" xr:uid="{00000000-0005-0000-0000-00000B740000}"/>
    <cellStyle name="Note 4 3 5 16 7" xfId="26295" xr:uid="{00000000-0005-0000-0000-00000C740000}"/>
    <cellStyle name="Note 4 3 5 16 8" xfId="30174" xr:uid="{00000000-0005-0000-0000-00000D740000}"/>
    <cellStyle name="Note 4 3 5 16 9" xfId="33843" xr:uid="{00000000-0005-0000-0000-00000E740000}"/>
    <cellStyle name="Note 4 3 5 17" xfId="4518" xr:uid="{00000000-0005-0000-0000-00000F740000}"/>
    <cellStyle name="Note 4 3 5 18" xfId="8388" xr:uid="{00000000-0005-0000-0000-000010740000}"/>
    <cellStyle name="Note 4 3 5 19" xfId="8733" xr:uid="{00000000-0005-0000-0000-000011740000}"/>
    <cellStyle name="Note 4 3 5 2" xfId="679" xr:uid="{00000000-0005-0000-0000-000012740000}"/>
    <cellStyle name="Note 4 3 5 2 10" xfId="24413" xr:uid="{00000000-0005-0000-0000-000013740000}"/>
    <cellStyle name="Note 4 3 5 2 11" xfId="28306" xr:uid="{00000000-0005-0000-0000-000014740000}"/>
    <cellStyle name="Note 4 3 5 2 12" xfId="30787" xr:uid="{00000000-0005-0000-0000-000015740000}"/>
    <cellStyle name="Note 4 3 5 2 13" xfId="35750" xr:uid="{00000000-0005-0000-0000-000016740000}"/>
    <cellStyle name="Note 4 3 5 2 14" xfId="39773" xr:uid="{00000000-0005-0000-0000-000017740000}"/>
    <cellStyle name="Note 4 3 5 2 15" xfId="43576" xr:uid="{00000000-0005-0000-0000-000018740000}"/>
    <cellStyle name="Note 4 3 5 2 2" xfId="1059" xr:uid="{00000000-0005-0000-0000-000019740000}"/>
    <cellStyle name="Note 4 3 5 2 2 10" xfId="28670" xr:uid="{00000000-0005-0000-0000-00001A740000}"/>
    <cellStyle name="Note 4 3 5 2 2 11" xfId="32356" xr:uid="{00000000-0005-0000-0000-00001B740000}"/>
    <cellStyle name="Note 4 3 5 2 2 12" xfId="36117" xr:uid="{00000000-0005-0000-0000-00001C740000}"/>
    <cellStyle name="Note 4 3 5 2 2 13" xfId="40120" xr:uid="{00000000-0005-0000-0000-00001D740000}"/>
    <cellStyle name="Note 4 3 5 2 2 14" xfId="43943" xr:uid="{00000000-0005-0000-0000-00001E740000}"/>
    <cellStyle name="Note 4 3 5 2 2 2" xfId="1786" xr:uid="{00000000-0005-0000-0000-00001F740000}"/>
    <cellStyle name="Note 4 3 5 2 2 2 10" xfId="33073" xr:uid="{00000000-0005-0000-0000-000020740000}"/>
    <cellStyle name="Note 4 3 5 2 2 2 11" xfId="36843" xr:uid="{00000000-0005-0000-0000-000021740000}"/>
    <cellStyle name="Note 4 3 5 2 2 2 12" xfId="40834" xr:uid="{00000000-0005-0000-0000-000022740000}"/>
    <cellStyle name="Note 4 3 5 2 2 2 13" xfId="44665" xr:uid="{00000000-0005-0000-0000-000023740000}"/>
    <cellStyle name="Note 4 3 5 2 2 2 2" xfId="3776" xr:uid="{00000000-0005-0000-0000-000024740000}"/>
    <cellStyle name="Note 4 3 5 2 2 2 2 10" xfId="38827" xr:uid="{00000000-0005-0000-0000-000025740000}"/>
    <cellStyle name="Note 4 3 5 2 2 2 2 11" xfId="42838" xr:uid="{00000000-0005-0000-0000-000026740000}"/>
    <cellStyle name="Note 4 3 5 2 2 2 2 12" xfId="46603" xr:uid="{00000000-0005-0000-0000-000027740000}"/>
    <cellStyle name="Note 4 3 5 2 2 2 2 2" xfId="7643" xr:uid="{00000000-0005-0000-0000-000028740000}"/>
    <cellStyle name="Note 4 3 5 2 2 2 2 3" xfId="12078" xr:uid="{00000000-0005-0000-0000-000029740000}"/>
    <cellStyle name="Note 4 3 5 2 2 2 2 4" xfId="15923" xr:uid="{00000000-0005-0000-0000-00002A740000}"/>
    <cellStyle name="Note 4 3 5 2 2 2 2 5" xfId="19770" xr:uid="{00000000-0005-0000-0000-00002B740000}"/>
    <cellStyle name="Note 4 3 5 2 2 2 2 6" xfId="23686" xr:uid="{00000000-0005-0000-0000-00002C740000}"/>
    <cellStyle name="Note 4 3 5 2 2 2 2 7" xfId="27520" xr:uid="{00000000-0005-0000-0000-00002D740000}"/>
    <cellStyle name="Note 4 3 5 2 2 2 2 8" xfId="31384" xr:uid="{00000000-0005-0000-0000-00002E740000}"/>
    <cellStyle name="Note 4 3 5 2 2 2 2 9" xfId="35041" xr:uid="{00000000-0005-0000-0000-00002F740000}"/>
    <cellStyle name="Note 4 3 5 2 2 2 3" xfId="5719" xr:uid="{00000000-0005-0000-0000-000030740000}"/>
    <cellStyle name="Note 4 3 5 2 2 2 4" xfId="10077" xr:uid="{00000000-0005-0000-0000-000031740000}"/>
    <cellStyle name="Note 4 3 5 2 2 2 5" xfId="13923" xr:uid="{00000000-0005-0000-0000-000032740000}"/>
    <cellStyle name="Note 4 3 5 2 2 2 6" xfId="17752" xr:uid="{00000000-0005-0000-0000-000033740000}"/>
    <cellStyle name="Note 4 3 5 2 2 2 7" xfId="21691" xr:uid="{00000000-0005-0000-0000-000034740000}"/>
    <cellStyle name="Note 4 3 5 2 2 2 8" xfId="25504" xr:uid="{00000000-0005-0000-0000-000035740000}"/>
    <cellStyle name="Note 4 3 5 2 2 2 9" xfId="29391" xr:uid="{00000000-0005-0000-0000-000036740000}"/>
    <cellStyle name="Note 4 3 5 2 2 3" xfId="3049" xr:uid="{00000000-0005-0000-0000-000037740000}"/>
    <cellStyle name="Note 4 3 5 2 2 3 10" xfId="38101" xr:uid="{00000000-0005-0000-0000-000038740000}"/>
    <cellStyle name="Note 4 3 5 2 2 3 11" xfId="42113" xr:uid="{00000000-0005-0000-0000-000039740000}"/>
    <cellStyle name="Note 4 3 5 2 2 3 12" xfId="45886" xr:uid="{00000000-0005-0000-0000-00003A740000}"/>
    <cellStyle name="Note 4 3 5 2 2 3 2" xfId="6925" xr:uid="{00000000-0005-0000-0000-00003B740000}"/>
    <cellStyle name="Note 4 3 5 2 2 3 3" xfId="11354" xr:uid="{00000000-0005-0000-0000-00003C740000}"/>
    <cellStyle name="Note 4 3 5 2 2 3 4" xfId="15198" xr:uid="{00000000-0005-0000-0000-00003D740000}"/>
    <cellStyle name="Note 4 3 5 2 2 3 5" xfId="19043" xr:uid="{00000000-0005-0000-0000-00003E740000}"/>
    <cellStyle name="Note 4 3 5 2 2 3 6" xfId="22965" xr:uid="{00000000-0005-0000-0000-00003F740000}"/>
    <cellStyle name="Note 4 3 5 2 2 3 7" xfId="26794" xr:uid="{00000000-0005-0000-0000-000040740000}"/>
    <cellStyle name="Note 4 3 5 2 2 3 8" xfId="30668" xr:uid="{00000000-0005-0000-0000-000041740000}"/>
    <cellStyle name="Note 4 3 5 2 2 3 9" xfId="34324" xr:uid="{00000000-0005-0000-0000-000042740000}"/>
    <cellStyle name="Note 4 3 5 2 2 4" xfId="5001" xr:uid="{00000000-0005-0000-0000-000043740000}"/>
    <cellStyle name="Note 4 3 5 2 2 5" xfId="9357" xr:uid="{00000000-0005-0000-0000-000044740000}"/>
    <cellStyle name="Note 4 3 5 2 2 6" xfId="13197" xr:uid="{00000000-0005-0000-0000-000045740000}"/>
    <cellStyle name="Note 4 3 5 2 2 7" xfId="17025" xr:uid="{00000000-0005-0000-0000-000046740000}"/>
    <cellStyle name="Note 4 3 5 2 2 8" xfId="20967" xr:uid="{00000000-0005-0000-0000-000047740000}"/>
    <cellStyle name="Note 4 3 5 2 2 9" xfId="24781" xr:uid="{00000000-0005-0000-0000-000048740000}"/>
    <cellStyle name="Note 4 3 5 2 3" xfId="1433" xr:uid="{00000000-0005-0000-0000-000049740000}"/>
    <cellStyle name="Note 4 3 5 2 3 10" xfId="32720" xr:uid="{00000000-0005-0000-0000-00004A740000}"/>
    <cellStyle name="Note 4 3 5 2 3 11" xfId="36490" xr:uid="{00000000-0005-0000-0000-00004B740000}"/>
    <cellStyle name="Note 4 3 5 2 3 12" xfId="40481" xr:uid="{00000000-0005-0000-0000-00004C740000}"/>
    <cellStyle name="Note 4 3 5 2 3 13" xfId="44312" xr:uid="{00000000-0005-0000-0000-00004D740000}"/>
    <cellStyle name="Note 4 3 5 2 3 2" xfId="3423" xr:uid="{00000000-0005-0000-0000-00004E740000}"/>
    <cellStyle name="Note 4 3 5 2 3 2 10" xfId="38474" xr:uid="{00000000-0005-0000-0000-00004F740000}"/>
    <cellStyle name="Note 4 3 5 2 3 2 11" xfId="42485" xr:uid="{00000000-0005-0000-0000-000050740000}"/>
    <cellStyle name="Note 4 3 5 2 3 2 12" xfId="46250" xr:uid="{00000000-0005-0000-0000-000051740000}"/>
    <cellStyle name="Note 4 3 5 2 3 2 2" xfId="7290" xr:uid="{00000000-0005-0000-0000-000052740000}"/>
    <cellStyle name="Note 4 3 5 2 3 2 3" xfId="11725" xr:uid="{00000000-0005-0000-0000-000053740000}"/>
    <cellStyle name="Note 4 3 5 2 3 2 4" xfId="15570" xr:uid="{00000000-0005-0000-0000-000054740000}"/>
    <cellStyle name="Note 4 3 5 2 3 2 5" xfId="19417" xr:uid="{00000000-0005-0000-0000-000055740000}"/>
    <cellStyle name="Note 4 3 5 2 3 2 6" xfId="23333" xr:uid="{00000000-0005-0000-0000-000056740000}"/>
    <cellStyle name="Note 4 3 5 2 3 2 7" xfId="27167" xr:uid="{00000000-0005-0000-0000-000057740000}"/>
    <cellStyle name="Note 4 3 5 2 3 2 8" xfId="31035" xr:uid="{00000000-0005-0000-0000-000058740000}"/>
    <cellStyle name="Note 4 3 5 2 3 2 9" xfId="34688" xr:uid="{00000000-0005-0000-0000-000059740000}"/>
    <cellStyle name="Note 4 3 5 2 3 3" xfId="5366" xr:uid="{00000000-0005-0000-0000-00005A740000}"/>
    <cellStyle name="Note 4 3 5 2 3 4" xfId="9724" xr:uid="{00000000-0005-0000-0000-00005B740000}"/>
    <cellStyle name="Note 4 3 5 2 3 5" xfId="13570" xr:uid="{00000000-0005-0000-0000-00005C740000}"/>
    <cellStyle name="Note 4 3 5 2 3 6" xfId="17399" xr:uid="{00000000-0005-0000-0000-00005D740000}"/>
    <cellStyle name="Note 4 3 5 2 3 7" xfId="21338" xr:uid="{00000000-0005-0000-0000-00005E740000}"/>
    <cellStyle name="Note 4 3 5 2 3 8" xfId="25151" xr:uid="{00000000-0005-0000-0000-00005F740000}"/>
    <cellStyle name="Note 4 3 5 2 3 9" xfId="29038" xr:uid="{00000000-0005-0000-0000-000060740000}"/>
    <cellStyle name="Note 4 3 5 2 4" xfId="2682" xr:uid="{00000000-0005-0000-0000-000061740000}"/>
    <cellStyle name="Note 4 3 5 2 4 10" xfId="37734" xr:uid="{00000000-0005-0000-0000-000062740000}"/>
    <cellStyle name="Note 4 3 5 2 4 11" xfId="41748" xr:uid="{00000000-0005-0000-0000-000063740000}"/>
    <cellStyle name="Note 4 3 5 2 4 12" xfId="45533" xr:uid="{00000000-0005-0000-0000-000064740000}"/>
    <cellStyle name="Note 4 3 5 2 4 2" xfId="6570" xr:uid="{00000000-0005-0000-0000-000065740000}"/>
    <cellStyle name="Note 4 3 5 2 4 3" xfId="10994" xr:uid="{00000000-0005-0000-0000-000066740000}"/>
    <cellStyle name="Note 4 3 5 2 4 4" xfId="14838" xr:uid="{00000000-0005-0000-0000-000067740000}"/>
    <cellStyle name="Note 4 3 5 2 4 5" xfId="18676" xr:uid="{00000000-0005-0000-0000-000068740000}"/>
    <cellStyle name="Note 4 3 5 2 4 6" xfId="22607" xr:uid="{00000000-0005-0000-0000-000069740000}"/>
    <cellStyle name="Note 4 3 5 2 4 7" xfId="26427" xr:uid="{00000000-0005-0000-0000-00006A740000}"/>
    <cellStyle name="Note 4 3 5 2 4 8" xfId="30306" xr:uid="{00000000-0005-0000-0000-00006B740000}"/>
    <cellStyle name="Note 4 3 5 2 4 9" xfId="33971" xr:uid="{00000000-0005-0000-0000-00006C740000}"/>
    <cellStyle name="Note 4 3 5 2 5" xfId="4646" xr:uid="{00000000-0005-0000-0000-00006D740000}"/>
    <cellStyle name="Note 4 3 5 2 6" xfId="8988" xr:uid="{00000000-0005-0000-0000-00006E740000}"/>
    <cellStyle name="Note 4 3 5 2 7" xfId="12825" xr:uid="{00000000-0005-0000-0000-00006F740000}"/>
    <cellStyle name="Note 4 3 5 2 8" xfId="16655" xr:uid="{00000000-0005-0000-0000-000070740000}"/>
    <cellStyle name="Note 4 3 5 2 9" xfId="20592" xr:uid="{00000000-0005-0000-0000-000071740000}"/>
    <cellStyle name="Note 4 3 5 20" xfId="8854" xr:uid="{00000000-0005-0000-0000-000072740000}"/>
    <cellStyle name="Note 4 3 5 21" xfId="8594" xr:uid="{00000000-0005-0000-0000-000073740000}"/>
    <cellStyle name="Note 4 3 5 22" xfId="10397" xr:uid="{00000000-0005-0000-0000-000074740000}"/>
    <cellStyle name="Note 4 3 5 23" xfId="9052" xr:uid="{00000000-0005-0000-0000-000075740000}"/>
    <cellStyle name="Note 4 3 5 24" xfId="8649" xr:uid="{00000000-0005-0000-0000-000076740000}"/>
    <cellStyle name="Note 4 3 5 25" xfId="8571" xr:uid="{00000000-0005-0000-0000-000077740000}"/>
    <cellStyle name="Note 4 3 5 26" xfId="30639" xr:uid="{00000000-0005-0000-0000-000078740000}"/>
    <cellStyle name="Note 4 3 5 27" xfId="18066" xr:uid="{00000000-0005-0000-0000-000079740000}"/>
    <cellStyle name="Note 4 3 5 28" xfId="39642" xr:uid="{00000000-0005-0000-0000-00007A740000}"/>
    <cellStyle name="Note 4 3 5 29" xfId="40091" xr:uid="{00000000-0005-0000-0000-00007B740000}"/>
    <cellStyle name="Note 4 3 5 3" xfId="618" xr:uid="{00000000-0005-0000-0000-00007C740000}"/>
    <cellStyle name="Note 4 3 5 3 10" xfId="22002" xr:uid="{00000000-0005-0000-0000-00007D740000}"/>
    <cellStyle name="Note 4 3 5 3 11" xfId="28245" xr:uid="{00000000-0005-0000-0000-00007E740000}"/>
    <cellStyle name="Note 4 3 5 3 12" xfId="31625" xr:uid="{00000000-0005-0000-0000-00007F740000}"/>
    <cellStyle name="Note 4 3 5 3 13" xfId="22043" xr:uid="{00000000-0005-0000-0000-000080740000}"/>
    <cellStyle name="Note 4 3 5 3 14" xfId="39713" xr:uid="{00000000-0005-0000-0000-000081740000}"/>
    <cellStyle name="Note 4 3 5 3 15" xfId="41127" xr:uid="{00000000-0005-0000-0000-000082740000}"/>
    <cellStyle name="Note 4 3 5 3 2" xfId="998" xr:uid="{00000000-0005-0000-0000-000083740000}"/>
    <cellStyle name="Note 4 3 5 3 2 10" xfId="28609" xr:uid="{00000000-0005-0000-0000-000084740000}"/>
    <cellStyle name="Note 4 3 5 3 2 11" xfId="32297" xr:uid="{00000000-0005-0000-0000-000085740000}"/>
    <cellStyle name="Note 4 3 5 3 2 12" xfId="36056" xr:uid="{00000000-0005-0000-0000-000086740000}"/>
    <cellStyle name="Note 4 3 5 3 2 13" xfId="40061" xr:uid="{00000000-0005-0000-0000-000087740000}"/>
    <cellStyle name="Note 4 3 5 3 2 14" xfId="43882" xr:uid="{00000000-0005-0000-0000-000088740000}"/>
    <cellStyle name="Note 4 3 5 3 2 2" xfId="1727" xr:uid="{00000000-0005-0000-0000-000089740000}"/>
    <cellStyle name="Note 4 3 5 3 2 2 10" xfId="33014" xr:uid="{00000000-0005-0000-0000-00008A740000}"/>
    <cellStyle name="Note 4 3 5 3 2 2 11" xfId="36784" xr:uid="{00000000-0005-0000-0000-00008B740000}"/>
    <cellStyle name="Note 4 3 5 3 2 2 12" xfId="40775" xr:uid="{00000000-0005-0000-0000-00008C740000}"/>
    <cellStyle name="Note 4 3 5 3 2 2 13" xfId="44606" xr:uid="{00000000-0005-0000-0000-00008D740000}"/>
    <cellStyle name="Note 4 3 5 3 2 2 2" xfId="3717" xr:uid="{00000000-0005-0000-0000-00008E740000}"/>
    <cellStyle name="Note 4 3 5 3 2 2 2 10" xfId="38768" xr:uid="{00000000-0005-0000-0000-00008F740000}"/>
    <cellStyle name="Note 4 3 5 3 2 2 2 11" xfId="42779" xr:uid="{00000000-0005-0000-0000-000090740000}"/>
    <cellStyle name="Note 4 3 5 3 2 2 2 12" xfId="46544" xr:uid="{00000000-0005-0000-0000-000091740000}"/>
    <cellStyle name="Note 4 3 5 3 2 2 2 2" xfId="7584" xr:uid="{00000000-0005-0000-0000-000092740000}"/>
    <cellStyle name="Note 4 3 5 3 2 2 2 3" xfId="12019" xr:uid="{00000000-0005-0000-0000-000093740000}"/>
    <cellStyle name="Note 4 3 5 3 2 2 2 4" xfId="15864" xr:uid="{00000000-0005-0000-0000-000094740000}"/>
    <cellStyle name="Note 4 3 5 3 2 2 2 5" xfId="19711" xr:uid="{00000000-0005-0000-0000-000095740000}"/>
    <cellStyle name="Note 4 3 5 3 2 2 2 6" xfId="23627" xr:uid="{00000000-0005-0000-0000-000096740000}"/>
    <cellStyle name="Note 4 3 5 3 2 2 2 7" xfId="27461" xr:uid="{00000000-0005-0000-0000-000097740000}"/>
    <cellStyle name="Note 4 3 5 3 2 2 2 8" xfId="31325" xr:uid="{00000000-0005-0000-0000-000098740000}"/>
    <cellStyle name="Note 4 3 5 3 2 2 2 9" xfId="34982" xr:uid="{00000000-0005-0000-0000-000099740000}"/>
    <cellStyle name="Note 4 3 5 3 2 2 3" xfId="5660" xr:uid="{00000000-0005-0000-0000-00009A740000}"/>
    <cellStyle name="Note 4 3 5 3 2 2 4" xfId="10018" xr:uid="{00000000-0005-0000-0000-00009B740000}"/>
    <cellStyle name="Note 4 3 5 3 2 2 5" xfId="13864" xr:uid="{00000000-0005-0000-0000-00009C740000}"/>
    <cellStyle name="Note 4 3 5 3 2 2 6" xfId="17693" xr:uid="{00000000-0005-0000-0000-00009D740000}"/>
    <cellStyle name="Note 4 3 5 3 2 2 7" xfId="21632" xr:uid="{00000000-0005-0000-0000-00009E740000}"/>
    <cellStyle name="Note 4 3 5 3 2 2 8" xfId="25445" xr:uid="{00000000-0005-0000-0000-00009F740000}"/>
    <cellStyle name="Note 4 3 5 3 2 2 9" xfId="29332" xr:uid="{00000000-0005-0000-0000-0000A0740000}"/>
    <cellStyle name="Note 4 3 5 3 2 3" xfId="2988" xr:uid="{00000000-0005-0000-0000-0000A1740000}"/>
    <cellStyle name="Note 4 3 5 3 2 3 10" xfId="38040" xr:uid="{00000000-0005-0000-0000-0000A2740000}"/>
    <cellStyle name="Note 4 3 5 3 2 3 11" xfId="42052" xr:uid="{00000000-0005-0000-0000-0000A3740000}"/>
    <cellStyle name="Note 4 3 5 3 2 3 12" xfId="45827" xr:uid="{00000000-0005-0000-0000-0000A4740000}"/>
    <cellStyle name="Note 4 3 5 3 2 3 2" xfId="6866" xr:uid="{00000000-0005-0000-0000-0000A5740000}"/>
    <cellStyle name="Note 4 3 5 3 2 3 3" xfId="11294" xr:uid="{00000000-0005-0000-0000-0000A6740000}"/>
    <cellStyle name="Note 4 3 5 3 2 3 4" xfId="15139" xr:uid="{00000000-0005-0000-0000-0000A7740000}"/>
    <cellStyle name="Note 4 3 5 3 2 3 5" xfId="18982" xr:uid="{00000000-0005-0000-0000-0000A8740000}"/>
    <cellStyle name="Note 4 3 5 3 2 3 6" xfId="22906" xr:uid="{00000000-0005-0000-0000-0000A9740000}"/>
    <cellStyle name="Note 4 3 5 3 2 3 7" xfId="26733" xr:uid="{00000000-0005-0000-0000-0000AA740000}"/>
    <cellStyle name="Note 4 3 5 3 2 3 8" xfId="30607" xr:uid="{00000000-0005-0000-0000-0000AB740000}"/>
    <cellStyle name="Note 4 3 5 3 2 3 9" xfId="34265" xr:uid="{00000000-0005-0000-0000-0000AC740000}"/>
    <cellStyle name="Note 4 3 5 3 2 4" xfId="4942" xr:uid="{00000000-0005-0000-0000-0000AD740000}"/>
    <cellStyle name="Note 4 3 5 3 2 5" xfId="9297" xr:uid="{00000000-0005-0000-0000-0000AE740000}"/>
    <cellStyle name="Note 4 3 5 3 2 6" xfId="13138" xr:uid="{00000000-0005-0000-0000-0000AF740000}"/>
    <cellStyle name="Note 4 3 5 3 2 7" xfId="16964" xr:uid="{00000000-0005-0000-0000-0000B0740000}"/>
    <cellStyle name="Note 4 3 5 3 2 8" xfId="20906" xr:uid="{00000000-0005-0000-0000-0000B1740000}"/>
    <cellStyle name="Note 4 3 5 3 2 9" xfId="24721" xr:uid="{00000000-0005-0000-0000-0000B2740000}"/>
    <cellStyle name="Note 4 3 5 3 3" xfId="1374" xr:uid="{00000000-0005-0000-0000-0000B3740000}"/>
    <cellStyle name="Note 4 3 5 3 3 10" xfId="32661" xr:uid="{00000000-0005-0000-0000-0000B4740000}"/>
    <cellStyle name="Note 4 3 5 3 3 11" xfId="36431" xr:uid="{00000000-0005-0000-0000-0000B5740000}"/>
    <cellStyle name="Note 4 3 5 3 3 12" xfId="40422" xr:uid="{00000000-0005-0000-0000-0000B6740000}"/>
    <cellStyle name="Note 4 3 5 3 3 13" xfId="44253" xr:uid="{00000000-0005-0000-0000-0000B7740000}"/>
    <cellStyle name="Note 4 3 5 3 3 2" xfId="3364" xr:uid="{00000000-0005-0000-0000-0000B8740000}"/>
    <cellStyle name="Note 4 3 5 3 3 2 10" xfId="38415" xr:uid="{00000000-0005-0000-0000-0000B9740000}"/>
    <cellStyle name="Note 4 3 5 3 3 2 11" xfId="42426" xr:uid="{00000000-0005-0000-0000-0000BA740000}"/>
    <cellStyle name="Note 4 3 5 3 3 2 12" xfId="46191" xr:uid="{00000000-0005-0000-0000-0000BB740000}"/>
    <cellStyle name="Note 4 3 5 3 3 2 2" xfId="7231" xr:uid="{00000000-0005-0000-0000-0000BC740000}"/>
    <cellStyle name="Note 4 3 5 3 3 2 3" xfId="11666" xr:uid="{00000000-0005-0000-0000-0000BD740000}"/>
    <cellStyle name="Note 4 3 5 3 3 2 4" xfId="15511" xr:uid="{00000000-0005-0000-0000-0000BE740000}"/>
    <cellStyle name="Note 4 3 5 3 3 2 5" xfId="19358" xr:uid="{00000000-0005-0000-0000-0000BF740000}"/>
    <cellStyle name="Note 4 3 5 3 3 2 6" xfId="23274" xr:uid="{00000000-0005-0000-0000-0000C0740000}"/>
    <cellStyle name="Note 4 3 5 3 3 2 7" xfId="27108" xr:uid="{00000000-0005-0000-0000-0000C1740000}"/>
    <cellStyle name="Note 4 3 5 3 3 2 8" xfId="30976" xr:uid="{00000000-0005-0000-0000-0000C2740000}"/>
    <cellStyle name="Note 4 3 5 3 3 2 9" xfId="34629" xr:uid="{00000000-0005-0000-0000-0000C3740000}"/>
    <cellStyle name="Note 4 3 5 3 3 3" xfId="5307" xr:uid="{00000000-0005-0000-0000-0000C4740000}"/>
    <cellStyle name="Note 4 3 5 3 3 4" xfId="9665" xr:uid="{00000000-0005-0000-0000-0000C5740000}"/>
    <cellStyle name="Note 4 3 5 3 3 5" xfId="13511" xr:uid="{00000000-0005-0000-0000-0000C6740000}"/>
    <cellStyle name="Note 4 3 5 3 3 6" xfId="17340" xr:uid="{00000000-0005-0000-0000-0000C7740000}"/>
    <cellStyle name="Note 4 3 5 3 3 7" xfId="21279" xr:uid="{00000000-0005-0000-0000-0000C8740000}"/>
    <cellStyle name="Note 4 3 5 3 3 8" xfId="25092" xr:uid="{00000000-0005-0000-0000-0000C9740000}"/>
    <cellStyle name="Note 4 3 5 3 3 9" xfId="28979" xr:uid="{00000000-0005-0000-0000-0000CA740000}"/>
    <cellStyle name="Note 4 3 5 3 4" xfId="2621" xr:uid="{00000000-0005-0000-0000-0000CB740000}"/>
    <cellStyle name="Note 4 3 5 3 4 10" xfId="37673" xr:uid="{00000000-0005-0000-0000-0000CC740000}"/>
    <cellStyle name="Note 4 3 5 3 4 11" xfId="41687" xr:uid="{00000000-0005-0000-0000-0000CD740000}"/>
    <cellStyle name="Note 4 3 5 3 4 12" xfId="45474" xr:uid="{00000000-0005-0000-0000-0000CE740000}"/>
    <cellStyle name="Note 4 3 5 3 4 2" xfId="6511" xr:uid="{00000000-0005-0000-0000-0000CF740000}"/>
    <cellStyle name="Note 4 3 5 3 4 3" xfId="10935" xr:uid="{00000000-0005-0000-0000-0000D0740000}"/>
    <cellStyle name="Note 4 3 5 3 4 4" xfId="14779" xr:uid="{00000000-0005-0000-0000-0000D1740000}"/>
    <cellStyle name="Note 4 3 5 3 4 5" xfId="18615" xr:uid="{00000000-0005-0000-0000-0000D2740000}"/>
    <cellStyle name="Note 4 3 5 3 4 6" xfId="22548" xr:uid="{00000000-0005-0000-0000-0000D3740000}"/>
    <cellStyle name="Note 4 3 5 3 4 7" xfId="26366" xr:uid="{00000000-0005-0000-0000-0000D4740000}"/>
    <cellStyle name="Note 4 3 5 3 4 8" xfId="30245" xr:uid="{00000000-0005-0000-0000-0000D5740000}"/>
    <cellStyle name="Note 4 3 5 3 4 9" xfId="33912" xr:uid="{00000000-0005-0000-0000-0000D6740000}"/>
    <cellStyle name="Note 4 3 5 3 5" xfId="4587" xr:uid="{00000000-0005-0000-0000-0000D7740000}"/>
    <cellStyle name="Note 4 3 5 3 6" xfId="8927" xr:uid="{00000000-0005-0000-0000-0000D8740000}"/>
    <cellStyle name="Note 4 3 5 3 7" xfId="8696" xr:uid="{00000000-0005-0000-0000-0000D9740000}"/>
    <cellStyle name="Note 4 3 5 3 8" xfId="8831" xr:uid="{00000000-0005-0000-0000-0000DA740000}"/>
    <cellStyle name="Note 4 3 5 3 9" xfId="20531" xr:uid="{00000000-0005-0000-0000-0000DB740000}"/>
    <cellStyle name="Note 4 3 5 30" xfId="47354" xr:uid="{00000000-0005-0000-0000-0000DC740000}"/>
    <cellStyle name="Note 4 3 5 31" xfId="47442" xr:uid="{00000000-0005-0000-0000-0000DD740000}"/>
    <cellStyle name="Note 4 3 5 32" xfId="47489" xr:uid="{00000000-0005-0000-0000-0000DE740000}"/>
    <cellStyle name="Note 4 3 5 4" xfId="724" xr:uid="{00000000-0005-0000-0000-0000DF740000}"/>
    <cellStyle name="Note 4 3 5 4 10" xfId="24457" xr:uid="{00000000-0005-0000-0000-0000E0740000}"/>
    <cellStyle name="Note 4 3 5 4 11" xfId="28350" xr:uid="{00000000-0005-0000-0000-0000E1740000}"/>
    <cellStyle name="Note 4 3 5 4 12" xfId="11545" xr:uid="{00000000-0005-0000-0000-0000E2740000}"/>
    <cellStyle name="Note 4 3 5 4 13" xfId="35795" xr:uid="{00000000-0005-0000-0000-0000E3740000}"/>
    <cellStyle name="Note 4 3 5 4 14" xfId="39816" xr:uid="{00000000-0005-0000-0000-0000E4740000}"/>
    <cellStyle name="Note 4 3 5 4 15" xfId="43621" xr:uid="{00000000-0005-0000-0000-0000E5740000}"/>
    <cellStyle name="Note 4 3 5 4 2" xfId="1103" xr:uid="{00000000-0005-0000-0000-0000E6740000}"/>
    <cellStyle name="Note 4 3 5 4 2 10" xfId="28713" xr:uid="{00000000-0005-0000-0000-0000E7740000}"/>
    <cellStyle name="Note 4 3 5 4 2 11" xfId="32400" xr:uid="{00000000-0005-0000-0000-0000E8740000}"/>
    <cellStyle name="Note 4 3 5 4 2 12" xfId="36161" xr:uid="{00000000-0005-0000-0000-0000E9740000}"/>
    <cellStyle name="Note 4 3 5 4 2 13" xfId="40163" xr:uid="{00000000-0005-0000-0000-0000EA740000}"/>
    <cellStyle name="Note 4 3 5 4 2 14" xfId="43987" xr:uid="{00000000-0005-0000-0000-0000EB740000}"/>
    <cellStyle name="Note 4 3 5 4 2 2" xfId="1830" xr:uid="{00000000-0005-0000-0000-0000EC740000}"/>
    <cellStyle name="Note 4 3 5 4 2 2 10" xfId="33117" xr:uid="{00000000-0005-0000-0000-0000ED740000}"/>
    <cellStyle name="Note 4 3 5 4 2 2 11" xfId="36887" xr:uid="{00000000-0005-0000-0000-0000EE740000}"/>
    <cellStyle name="Note 4 3 5 4 2 2 12" xfId="40878" xr:uid="{00000000-0005-0000-0000-0000EF740000}"/>
    <cellStyle name="Note 4 3 5 4 2 2 13" xfId="44709" xr:uid="{00000000-0005-0000-0000-0000F0740000}"/>
    <cellStyle name="Note 4 3 5 4 2 2 2" xfId="3820" xr:uid="{00000000-0005-0000-0000-0000F1740000}"/>
    <cellStyle name="Note 4 3 5 4 2 2 2 10" xfId="38871" xr:uid="{00000000-0005-0000-0000-0000F2740000}"/>
    <cellStyle name="Note 4 3 5 4 2 2 2 11" xfId="42882" xr:uid="{00000000-0005-0000-0000-0000F3740000}"/>
    <cellStyle name="Note 4 3 5 4 2 2 2 12" xfId="46647" xr:uid="{00000000-0005-0000-0000-0000F4740000}"/>
    <cellStyle name="Note 4 3 5 4 2 2 2 2" xfId="7687" xr:uid="{00000000-0005-0000-0000-0000F5740000}"/>
    <cellStyle name="Note 4 3 5 4 2 2 2 3" xfId="12122" xr:uid="{00000000-0005-0000-0000-0000F6740000}"/>
    <cellStyle name="Note 4 3 5 4 2 2 2 4" xfId="15967" xr:uid="{00000000-0005-0000-0000-0000F7740000}"/>
    <cellStyle name="Note 4 3 5 4 2 2 2 5" xfId="19814" xr:uid="{00000000-0005-0000-0000-0000F8740000}"/>
    <cellStyle name="Note 4 3 5 4 2 2 2 6" xfId="23730" xr:uid="{00000000-0005-0000-0000-0000F9740000}"/>
    <cellStyle name="Note 4 3 5 4 2 2 2 7" xfId="27564" xr:uid="{00000000-0005-0000-0000-0000FA740000}"/>
    <cellStyle name="Note 4 3 5 4 2 2 2 8" xfId="31428" xr:uid="{00000000-0005-0000-0000-0000FB740000}"/>
    <cellStyle name="Note 4 3 5 4 2 2 2 9" xfId="35085" xr:uid="{00000000-0005-0000-0000-0000FC740000}"/>
    <cellStyle name="Note 4 3 5 4 2 2 3" xfId="5763" xr:uid="{00000000-0005-0000-0000-0000FD740000}"/>
    <cellStyle name="Note 4 3 5 4 2 2 4" xfId="10121" xr:uid="{00000000-0005-0000-0000-0000FE740000}"/>
    <cellStyle name="Note 4 3 5 4 2 2 5" xfId="13967" xr:uid="{00000000-0005-0000-0000-0000FF740000}"/>
    <cellStyle name="Note 4 3 5 4 2 2 6" xfId="17796" xr:uid="{00000000-0005-0000-0000-000000750000}"/>
    <cellStyle name="Note 4 3 5 4 2 2 7" xfId="21735" xr:uid="{00000000-0005-0000-0000-000001750000}"/>
    <cellStyle name="Note 4 3 5 4 2 2 8" xfId="25548" xr:uid="{00000000-0005-0000-0000-000002750000}"/>
    <cellStyle name="Note 4 3 5 4 2 2 9" xfId="29435" xr:uid="{00000000-0005-0000-0000-000003750000}"/>
    <cellStyle name="Note 4 3 5 4 2 3" xfId="3093" xr:uid="{00000000-0005-0000-0000-000004750000}"/>
    <cellStyle name="Note 4 3 5 4 2 3 10" xfId="38145" xr:uid="{00000000-0005-0000-0000-000005750000}"/>
    <cellStyle name="Note 4 3 5 4 2 3 11" xfId="42157" xr:uid="{00000000-0005-0000-0000-000006750000}"/>
    <cellStyle name="Note 4 3 5 4 2 3 12" xfId="45930" xr:uid="{00000000-0005-0000-0000-000007750000}"/>
    <cellStyle name="Note 4 3 5 4 2 3 2" xfId="6969" xr:uid="{00000000-0005-0000-0000-000008750000}"/>
    <cellStyle name="Note 4 3 5 4 2 3 3" xfId="11398" xr:uid="{00000000-0005-0000-0000-000009750000}"/>
    <cellStyle name="Note 4 3 5 4 2 3 4" xfId="15242" xr:uid="{00000000-0005-0000-0000-00000A750000}"/>
    <cellStyle name="Note 4 3 5 4 2 3 5" xfId="19087" xr:uid="{00000000-0005-0000-0000-00000B750000}"/>
    <cellStyle name="Note 4 3 5 4 2 3 6" xfId="23009" xr:uid="{00000000-0005-0000-0000-00000C750000}"/>
    <cellStyle name="Note 4 3 5 4 2 3 7" xfId="26838" xr:uid="{00000000-0005-0000-0000-00000D750000}"/>
    <cellStyle name="Note 4 3 5 4 2 3 8" xfId="30711" xr:uid="{00000000-0005-0000-0000-00000E750000}"/>
    <cellStyle name="Note 4 3 5 4 2 3 9" xfId="34368" xr:uid="{00000000-0005-0000-0000-00000F750000}"/>
    <cellStyle name="Note 4 3 5 4 2 4" xfId="5045" xr:uid="{00000000-0005-0000-0000-000010750000}"/>
    <cellStyle name="Note 4 3 5 4 2 5" xfId="9401" xr:uid="{00000000-0005-0000-0000-000011750000}"/>
    <cellStyle name="Note 4 3 5 4 2 6" xfId="13241" xr:uid="{00000000-0005-0000-0000-000012750000}"/>
    <cellStyle name="Note 4 3 5 4 2 7" xfId="17069" xr:uid="{00000000-0005-0000-0000-000013750000}"/>
    <cellStyle name="Note 4 3 5 4 2 8" xfId="21011" xr:uid="{00000000-0005-0000-0000-000014750000}"/>
    <cellStyle name="Note 4 3 5 4 2 9" xfId="24825" xr:uid="{00000000-0005-0000-0000-000015750000}"/>
    <cellStyle name="Note 4 3 5 4 3" xfId="1477" xr:uid="{00000000-0005-0000-0000-000016750000}"/>
    <cellStyle name="Note 4 3 5 4 3 10" xfId="32764" xr:uid="{00000000-0005-0000-0000-000017750000}"/>
    <cellStyle name="Note 4 3 5 4 3 11" xfId="36534" xr:uid="{00000000-0005-0000-0000-000018750000}"/>
    <cellStyle name="Note 4 3 5 4 3 12" xfId="40525" xr:uid="{00000000-0005-0000-0000-000019750000}"/>
    <cellStyle name="Note 4 3 5 4 3 13" xfId="44356" xr:uid="{00000000-0005-0000-0000-00001A750000}"/>
    <cellStyle name="Note 4 3 5 4 3 2" xfId="3467" xr:uid="{00000000-0005-0000-0000-00001B750000}"/>
    <cellStyle name="Note 4 3 5 4 3 2 10" xfId="38518" xr:uid="{00000000-0005-0000-0000-00001C750000}"/>
    <cellStyle name="Note 4 3 5 4 3 2 11" xfId="42529" xr:uid="{00000000-0005-0000-0000-00001D750000}"/>
    <cellStyle name="Note 4 3 5 4 3 2 12" xfId="46294" xr:uid="{00000000-0005-0000-0000-00001E750000}"/>
    <cellStyle name="Note 4 3 5 4 3 2 2" xfId="7334" xr:uid="{00000000-0005-0000-0000-00001F750000}"/>
    <cellStyle name="Note 4 3 5 4 3 2 3" xfId="11769" xr:uid="{00000000-0005-0000-0000-000020750000}"/>
    <cellStyle name="Note 4 3 5 4 3 2 4" xfId="15614" xr:uid="{00000000-0005-0000-0000-000021750000}"/>
    <cellStyle name="Note 4 3 5 4 3 2 5" xfId="19461" xr:uid="{00000000-0005-0000-0000-000022750000}"/>
    <cellStyle name="Note 4 3 5 4 3 2 6" xfId="23377" xr:uid="{00000000-0005-0000-0000-000023750000}"/>
    <cellStyle name="Note 4 3 5 4 3 2 7" xfId="27211" xr:uid="{00000000-0005-0000-0000-000024750000}"/>
    <cellStyle name="Note 4 3 5 4 3 2 8" xfId="31078" xr:uid="{00000000-0005-0000-0000-000025750000}"/>
    <cellStyle name="Note 4 3 5 4 3 2 9" xfId="34732" xr:uid="{00000000-0005-0000-0000-000026750000}"/>
    <cellStyle name="Note 4 3 5 4 3 3" xfId="5410" xr:uid="{00000000-0005-0000-0000-000027750000}"/>
    <cellStyle name="Note 4 3 5 4 3 4" xfId="9768" xr:uid="{00000000-0005-0000-0000-000028750000}"/>
    <cellStyle name="Note 4 3 5 4 3 5" xfId="13614" xr:uid="{00000000-0005-0000-0000-000029750000}"/>
    <cellStyle name="Note 4 3 5 4 3 6" xfId="17443" xr:uid="{00000000-0005-0000-0000-00002A750000}"/>
    <cellStyle name="Note 4 3 5 4 3 7" xfId="21382" xr:uid="{00000000-0005-0000-0000-00002B750000}"/>
    <cellStyle name="Note 4 3 5 4 3 8" xfId="25195" xr:uid="{00000000-0005-0000-0000-00002C750000}"/>
    <cellStyle name="Note 4 3 5 4 3 9" xfId="29082" xr:uid="{00000000-0005-0000-0000-00002D750000}"/>
    <cellStyle name="Note 4 3 5 4 4" xfId="2727" xr:uid="{00000000-0005-0000-0000-00002E750000}"/>
    <cellStyle name="Note 4 3 5 4 4 10" xfId="37779" xr:uid="{00000000-0005-0000-0000-00002F750000}"/>
    <cellStyle name="Note 4 3 5 4 4 11" xfId="41793" xr:uid="{00000000-0005-0000-0000-000030750000}"/>
    <cellStyle name="Note 4 3 5 4 4 12" xfId="45577" xr:uid="{00000000-0005-0000-0000-000031750000}"/>
    <cellStyle name="Note 4 3 5 4 4 2" xfId="6614" xr:uid="{00000000-0005-0000-0000-000032750000}"/>
    <cellStyle name="Note 4 3 5 4 4 3" xfId="11038" xr:uid="{00000000-0005-0000-0000-000033750000}"/>
    <cellStyle name="Note 4 3 5 4 4 4" xfId="14883" xr:uid="{00000000-0005-0000-0000-000034750000}"/>
    <cellStyle name="Note 4 3 5 4 4 5" xfId="18721" xr:uid="{00000000-0005-0000-0000-000035750000}"/>
    <cellStyle name="Note 4 3 5 4 4 6" xfId="22652" xr:uid="{00000000-0005-0000-0000-000036750000}"/>
    <cellStyle name="Note 4 3 5 4 4 7" xfId="26472" xr:uid="{00000000-0005-0000-0000-000037750000}"/>
    <cellStyle name="Note 4 3 5 4 4 8" xfId="30351" xr:uid="{00000000-0005-0000-0000-000038750000}"/>
    <cellStyle name="Note 4 3 5 4 4 9" xfId="34015" xr:uid="{00000000-0005-0000-0000-000039750000}"/>
    <cellStyle name="Note 4 3 5 4 5" xfId="4690" xr:uid="{00000000-0005-0000-0000-00003A750000}"/>
    <cellStyle name="Note 4 3 5 4 6" xfId="9032" xr:uid="{00000000-0005-0000-0000-00003B750000}"/>
    <cellStyle name="Note 4 3 5 4 7" xfId="12870" xr:uid="{00000000-0005-0000-0000-00003C750000}"/>
    <cellStyle name="Note 4 3 5 4 8" xfId="16700" xr:uid="{00000000-0005-0000-0000-00003D750000}"/>
    <cellStyle name="Note 4 3 5 4 9" xfId="20637" xr:uid="{00000000-0005-0000-0000-00003E750000}"/>
    <cellStyle name="Note 4 3 5 5" xfId="879" xr:uid="{00000000-0005-0000-0000-00003F750000}"/>
    <cellStyle name="Note 4 3 5 5 10" xfId="24603" xr:uid="{00000000-0005-0000-0000-000040750000}"/>
    <cellStyle name="Note 4 3 5 5 11" xfId="28493" xr:uid="{00000000-0005-0000-0000-000041750000}"/>
    <cellStyle name="Note 4 3 5 5 12" xfId="32180" xr:uid="{00000000-0005-0000-0000-000042750000}"/>
    <cellStyle name="Note 4 3 5 5 13" xfId="35937" xr:uid="{00000000-0005-0000-0000-000043750000}"/>
    <cellStyle name="Note 4 3 5 5 14" xfId="39947" xr:uid="{00000000-0005-0000-0000-000044750000}"/>
    <cellStyle name="Note 4 3 5 5 15" xfId="43763" xr:uid="{00000000-0005-0000-0000-000045750000}"/>
    <cellStyle name="Note 4 3 5 5 2" xfId="1216" xr:uid="{00000000-0005-0000-0000-000046750000}"/>
    <cellStyle name="Note 4 3 5 5 2 10" xfId="28824" xr:uid="{00000000-0005-0000-0000-000047750000}"/>
    <cellStyle name="Note 4 3 5 5 2 11" xfId="32508" xr:uid="{00000000-0005-0000-0000-000048750000}"/>
    <cellStyle name="Note 4 3 5 5 2 12" xfId="36274" xr:uid="{00000000-0005-0000-0000-000049750000}"/>
    <cellStyle name="Note 4 3 5 5 2 13" xfId="40267" xr:uid="{00000000-0005-0000-0000-00004A750000}"/>
    <cellStyle name="Note 4 3 5 5 2 14" xfId="44100" xr:uid="{00000000-0005-0000-0000-00004B750000}"/>
    <cellStyle name="Note 4 3 5 5 2 2" xfId="1938" xr:uid="{00000000-0005-0000-0000-00004C750000}"/>
    <cellStyle name="Note 4 3 5 5 2 2 10" xfId="33225" xr:uid="{00000000-0005-0000-0000-00004D750000}"/>
    <cellStyle name="Note 4 3 5 5 2 2 11" xfId="36995" xr:uid="{00000000-0005-0000-0000-00004E750000}"/>
    <cellStyle name="Note 4 3 5 5 2 2 12" xfId="40986" xr:uid="{00000000-0005-0000-0000-00004F750000}"/>
    <cellStyle name="Note 4 3 5 5 2 2 13" xfId="44817" xr:uid="{00000000-0005-0000-0000-000050750000}"/>
    <cellStyle name="Note 4 3 5 5 2 2 2" xfId="3928" xr:uid="{00000000-0005-0000-0000-000051750000}"/>
    <cellStyle name="Note 4 3 5 5 2 2 2 10" xfId="38979" xr:uid="{00000000-0005-0000-0000-000052750000}"/>
    <cellStyle name="Note 4 3 5 5 2 2 2 11" xfId="42990" xr:uid="{00000000-0005-0000-0000-000053750000}"/>
    <cellStyle name="Note 4 3 5 5 2 2 2 12" xfId="46755" xr:uid="{00000000-0005-0000-0000-000054750000}"/>
    <cellStyle name="Note 4 3 5 5 2 2 2 2" xfId="7795" xr:uid="{00000000-0005-0000-0000-000055750000}"/>
    <cellStyle name="Note 4 3 5 5 2 2 2 3" xfId="12230" xr:uid="{00000000-0005-0000-0000-000056750000}"/>
    <cellStyle name="Note 4 3 5 5 2 2 2 4" xfId="16075" xr:uid="{00000000-0005-0000-0000-000057750000}"/>
    <cellStyle name="Note 4 3 5 5 2 2 2 5" xfId="19922" xr:uid="{00000000-0005-0000-0000-000058750000}"/>
    <cellStyle name="Note 4 3 5 5 2 2 2 6" xfId="23838" xr:uid="{00000000-0005-0000-0000-000059750000}"/>
    <cellStyle name="Note 4 3 5 5 2 2 2 7" xfId="27672" xr:uid="{00000000-0005-0000-0000-00005A750000}"/>
    <cellStyle name="Note 4 3 5 5 2 2 2 8" xfId="31533" xr:uid="{00000000-0005-0000-0000-00005B750000}"/>
    <cellStyle name="Note 4 3 5 5 2 2 2 9" xfId="35193" xr:uid="{00000000-0005-0000-0000-00005C750000}"/>
    <cellStyle name="Note 4 3 5 5 2 2 3" xfId="5871" xr:uid="{00000000-0005-0000-0000-00005D750000}"/>
    <cellStyle name="Note 4 3 5 5 2 2 4" xfId="10229" xr:uid="{00000000-0005-0000-0000-00005E750000}"/>
    <cellStyle name="Note 4 3 5 5 2 2 5" xfId="14075" xr:uid="{00000000-0005-0000-0000-00005F750000}"/>
    <cellStyle name="Note 4 3 5 5 2 2 6" xfId="17904" xr:uid="{00000000-0005-0000-0000-000060750000}"/>
    <cellStyle name="Note 4 3 5 5 2 2 7" xfId="21843" xr:uid="{00000000-0005-0000-0000-000061750000}"/>
    <cellStyle name="Note 4 3 5 5 2 2 8" xfId="25656" xr:uid="{00000000-0005-0000-0000-000062750000}"/>
    <cellStyle name="Note 4 3 5 5 2 2 9" xfId="29543" xr:uid="{00000000-0005-0000-0000-000063750000}"/>
    <cellStyle name="Note 4 3 5 5 2 3" xfId="3206" xr:uid="{00000000-0005-0000-0000-000064750000}"/>
    <cellStyle name="Note 4 3 5 5 2 3 10" xfId="38258" xr:uid="{00000000-0005-0000-0000-000065750000}"/>
    <cellStyle name="Note 4 3 5 5 2 3 11" xfId="42269" xr:uid="{00000000-0005-0000-0000-000066750000}"/>
    <cellStyle name="Note 4 3 5 5 2 3 12" xfId="46038" xr:uid="{00000000-0005-0000-0000-000067750000}"/>
    <cellStyle name="Note 4 3 5 5 2 3 2" xfId="7078" xr:uid="{00000000-0005-0000-0000-000068750000}"/>
    <cellStyle name="Note 4 3 5 5 2 3 3" xfId="11510" xr:uid="{00000000-0005-0000-0000-000069750000}"/>
    <cellStyle name="Note 4 3 5 5 2 3 4" xfId="15354" xr:uid="{00000000-0005-0000-0000-00006A750000}"/>
    <cellStyle name="Note 4 3 5 5 2 3 5" xfId="19200" xr:uid="{00000000-0005-0000-0000-00006B750000}"/>
    <cellStyle name="Note 4 3 5 5 2 3 6" xfId="23119" xr:uid="{00000000-0005-0000-0000-00006C750000}"/>
    <cellStyle name="Note 4 3 5 5 2 3 7" xfId="26951" xr:uid="{00000000-0005-0000-0000-00006D750000}"/>
    <cellStyle name="Note 4 3 5 5 2 3 8" xfId="30821" xr:uid="{00000000-0005-0000-0000-00006E750000}"/>
    <cellStyle name="Note 4 3 5 5 2 3 9" xfId="34476" xr:uid="{00000000-0005-0000-0000-00006F750000}"/>
    <cellStyle name="Note 4 3 5 5 2 4" xfId="5154" xr:uid="{00000000-0005-0000-0000-000070750000}"/>
    <cellStyle name="Note 4 3 5 5 2 5" xfId="9510" xr:uid="{00000000-0005-0000-0000-000071750000}"/>
    <cellStyle name="Note 4 3 5 5 2 6" xfId="13354" xr:uid="{00000000-0005-0000-0000-000072750000}"/>
    <cellStyle name="Note 4 3 5 5 2 7" xfId="17182" xr:uid="{00000000-0005-0000-0000-000073750000}"/>
    <cellStyle name="Note 4 3 5 5 2 8" xfId="21124" xr:uid="{00000000-0005-0000-0000-000074750000}"/>
    <cellStyle name="Note 4 3 5 5 2 9" xfId="24935" xr:uid="{00000000-0005-0000-0000-000075750000}"/>
    <cellStyle name="Note 4 3 5 5 3" xfId="1610" xr:uid="{00000000-0005-0000-0000-000076750000}"/>
    <cellStyle name="Note 4 3 5 5 3 10" xfId="32897" xr:uid="{00000000-0005-0000-0000-000077750000}"/>
    <cellStyle name="Note 4 3 5 5 3 11" xfId="36667" xr:uid="{00000000-0005-0000-0000-000078750000}"/>
    <cellStyle name="Note 4 3 5 5 3 12" xfId="40658" xr:uid="{00000000-0005-0000-0000-000079750000}"/>
    <cellStyle name="Note 4 3 5 5 3 13" xfId="44489" xr:uid="{00000000-0005-0000-0000-00007A750000}"/>
    <cellStyle name="Note 4 3 5 5 3 2" xfId="3600" xr:uid="{00000000-0005-0000-0000-00007B750000}"/>
    <cellStyle name="Note 4 3 5 5 3 2 10" xfId="38651" xr:uid="{00000000-0005-0000-0000-00007C750000}"/>
    <cellStyle name="Note 4 3 5 5 3 2 11" xfId="42662" xr:uid="{00000000-0005-0000-0000-00007D750000}"/>
    <cellStyle name="Note 4 3 5 5 3 2 12" xfId="46427" xr:uid="{00000000-0005-0000-0000-00007E750000}"/>
    <cellStyle name="Note 4 3 5 5 3 2 2" xfId="7467" xr:uid="{00000000-0005-0000-0000-00007F750000}"/>
    <cellStyle name="Note 4 3 5 5 3 2 3" xfId="11902" xr:uid="{00000000-0005-0000-0000-000080750000}"/>
    <cellStyle name="Note 4 3 5 5 3 2 4" xfId="15747" xr:uid="{00000000-0005-0000-0000-000081750000}"/>
    <cellStyle name="Note 4 3 5 5 3 2 5" xfId="19594" xr:uid="{00000000-0005-0000-0000-000082750000}"/>
    <cellStyle name="Note 4 3 5 5 3 2 6" xfId="23510" xr:uid="{00000000-0005-0000-0000-000083750000}"/>
    <cellStyle name="Note 4 3 5 5 3 2 7" xfId="27344" xr:uid="{00000000-0005-0000-0000-000084750000}"/>
    <cellStyle name="Note 4 3 5 5 3 2 8" xfId="31209" xr:uid="{00000000-0005-0000-0000-000085750000}"/>
    <cellStyle name="Note 4 3 5 5 3 2 9" xfId="34865" xr:uid="{00000000-0005-0000-0000-000086750000}"/>
    <cellStyle name="Note 4 3 5 5 3 3" xfId="5543" xr:uid="{00000000-0005-0000-0000-000087750000}"/>
    <cellStyle name="Note 4 3 5 5 3 4" xfId="9901" xr:uid="{00000000-0005-0000-0000-000088750000}"/>
    <cellStyle name="Note 4 3 5 5 3 5" xfId="13747" xr:uid="{00000000-0005-0000-0000-000089750000}"/>
    <cellStyle name="Note 4 3 5 5 3 6" xfId="17576" xr:uid="{00000000-0005-0000-0000-00008A750000}"/>
    <cellStyle name="Note 4 3 5 5 3 7" xfId="21515" xr:uid="{00000000-0005-0000-0000-00008B750000}"/>
    <cellStyle name="Note 4 3 5 5 3 8" xfId="25328" xr:uid="{00000000-0005-0000-0000-00008C750000}"/>
    <cellStyle name="Note 4 3 5 5 3 9" xfId="29215" xr:uid="{00000000-0005-0000-0000-00008D750000}"/>
    <cellStyle name="Note 4 3 5 5 4" xfId="2869" xr:uid="{00000000-0005-0000-0000-00008E750000}"/>
    <cellStyle name="Note 4 3 5 5 4 10" xfId="37921" xr:uid="{00000000-0005-0000-0000-00008F750000}"/>
    <cellStyle name="Note 4 3 5 5 4 11" xfId="41933" xr:uid="{00000000-0005-0000-0000-000090750000}"/>
    <cellStyle name="Note 4 3 5 5 4 12" xfId="45710" xr:uid="{00000000-0005-0000-0000-000091750000}"/>
    <cellStyle name="Note 4 3 5 5 4 2" xfId="6749" xr:uid="{00000000-0005-0000-0000-000092750000}"/>
    <cellStyle name="Note 4 3 5 5 4 3" xfId="11176" xr:uid="{00000000-0005-0000-0000-000093750000}"/>
    <cellStyle name="Note 4 3 5 5 4 4" xfId="15021" xr:uid="{00000000-0005-0000-0000-000094750000}"/>
    <cellStyle name="Note 4 3 5 5 4 5" xfId="18863" xr:uid="{00000000-0005-0000-0000-000095750000}"/>
    <cellStyle name="Note 4 3 5 5 4 6" xfId="22789" xr:uid="{00000000-0005-0000-0000-000096750000}"/>
    <cellStyle name="Note 4 3 5 5 4 7" xfId="26614" xr:uid="{00000000-0005-0000-0000-000097750000}"/>
    <cellStyle name="Note 4 3 5 5 4 8" xfId="30490" xr:uid="{00000000-0005-0000-0000-000098750000}"/>
    <cellStyle name="Note 4 3 5 5 4 9" xfId="34148" xr:uid="{00000000-0005-0000-0000-000099750000}"/>
    <cellStyle name="Note 4 3 5 5 5" xfId="4825" xr:uid="{00000000-0005-0000-0000-00009A750000}"/>
    <cellStyle name="Note 4 3 5 5 6" xfId="9179" xr:uid="{00000000-0005-0000-0000-00009B750000}"/>
    <cellStyle name="Note 4 3 5 5 7" xfId="13020" xr:uid="{00000000-0005-0000-0000-00009C750000}"/>
    <cellStyle name="Note 4 3 5 5 8" xfId="16845" xr:uid="{00000000-0005-0000-0000-00009D750000}"/>
    <cellStyle name="Note 4 3 5 5 9" xfId="20787" xr:uid="{00000000-0005-0000-0000-00009E750000}"/>
    <cellStyle name="Note 4 3 5 6" xfId="925" xr:uid="{00000000-0005-0000-0000-00009F750000}"/>
    <cellStyle name="Note 4 3 5 6 10" xfId="28537" xr:uid="{00000000-0005-0000-0000-0000A0750000}"/>
    <cellStyle name="Note 4 3 5 6 11" xfId="32226" xr:uid="{00000000-0005-0000-0000-0000A1750000}"/>
    <cellStyle name="Note 4 3 5 6 12" xfId="35983" xr:uid="{00000000-0005-0000-0000-0000A2750000}"/>
    <cellStyle name="Note 4 3 5 6 13" xfId="39991" xr:uid="{00000000-0005-0000-0000-0000A3750000}"/>
    <cellStyle name="Note 4 3 5 6 14" xfId="43809" xr:uid="{00000000-0005-0000-0000-0000A4750000}"/>
    <cellStyle name="Note 4 3 5 6 2" xfId="1656" xr:uid="{00000000-0005-0000-0000-0000A5750000}"/>
    <cellStyle name="Note 4 3 5 6 2 10" xfId="32943" xr:uid="{00000000-0005-0000-0000-0000A6750000}"/>
    <cellStyle name="Note 4 3 5 6 2 11" xfId="36713" xr:uid="{00000000-0005-0000-0000-0000A7750000}"/>
    <cellStyle name="Note 4 3 5 6 2 12" xfId="40704" xr:uid="{00000000-0005-0000-0000-0000A8750000}"/>
    <cellStyle name="Note 4 3 5 6 2 13" xfId="44535" xr:uid="{00000000-0005-0000-0000-0000A9750000}"/>
    <cellStyle name="Note 4 3 5 6 2 2" xfId="3646" xr:uid="{00000000-0005-0000-0000-0000AA750000}"/>
    <cellStyle name="Note 4 3 5 6 2 2 10" xfId="38697" xr:uid="{00000000-0005-0000-0000-0000AB750000}"/>
    <cellStyle name="Note 4 3 5 6 2 2 11" xfId="42708" xr:uid="{00000000-0005-0000-0000-0000AC750000}"/>
    <cellStyle name="Note 4 3 5 6 2 2 12" xfId="46473" xr:uid="{00000000-0005-0000-0000-0000AD750000}"/>
    <cellStyle name="Note 4 3 5 6 2 2 2" xfId="7513" xr:uid="{00000000-0005-0000-0000-0000AE750000}"/>
    <cellStyle name="Note 4 3 5 6 2 2 3" xfId="11948" xr:uid="{00000000-0005-0000-0000-0000AF750000}"/>
    <cellStyle name="Note 4 3 5 6 2 2 4" xfId="15793" xr:uid="{00000000-0005-0000-0000-0000B0750000}"/>
    <cellStyle name="Note 4 3 5 6 2 2 5" xfId="19640" xr:uid="{00000000-0005-0000-0000-0000B1750000}"/>
    <cellStyle name="Note 4 3 5 6 2 2 6" xfId="23556" xr:uid="{00000000-0005-0000-0000-0000B2750000}"/>
    <cellStyle name="Note 4 3 5 6 2 2 7" xfId="27390" xr:uid="{00000000-0005-0000-0000-0000B3750000}"/>
    <cellStyle name="Note 4 3 5 6 2 2 8" xfId="31254" xr:uid="{00000000-0005-0000-0000-0000B4750000}"/>
    <cellStyle name="Note 4 3 5 6 2 2 9" xfId="34911" xr:uid="{00000000-0005-0000-0000-0000B5750000}"/>
    <cellStyle name="Note 4 3 5 6 2 3" xfId="5589" xr:uid="{00000000-0005-0000-0000-0000B6750000}"/>
    <cellStyle name="Note 4 3 5 6 2 4" xfId="9947" xr:uid="{00000000-0005-0000-0000-0000B7750000}"/>
    <cellStyle name="Note 4 3 5 6 2 5" xfId="13793" xr:uid="{00000000-0005-0000-0000-0000B8750000}"/>
    <cellStyle name="Note 4 3 5 6 2 6" xfId="17622" xr:uid="{00000000-0005-0000-0000-0000B9750000}"/>
    <cellStyle name="Note 4 3 5 6 2 7" xfId="21561" xr:uid="{00000000-0005-0000-0000-0000BA750000}"/>
    <cellStyle name="Note 4 3 5 6 2 8" xfId="25374" xr:uid="{00000000-0005-0000-0000-0000BB750000}"/>
    <cellStyle name="Note 4 3 5 6 2 9" xfId="29261" xr:uid="{00000000-0005-0000-0000-0000BC750000}"/>
    <cellStyle name="Note 4 3 5 6 3" xfId="2915" xr:uid="{00000000-0005-0000-0000-0000BD750000}"/>
    <cellStyle name="Note 4 3 5 6 3 10" xfId="37967" xr:uid="{00000000-0005-0000-0000-0000BE750000}"/>
    <cellStyle name="Note 4 3 5 6 3 11" xfId="41979" xr:uid="{00000000-0005-0000-0000-0000BF750000}"/>
    <cellStyle name="Note 4 3 5 6 3 12" xfId="45756" xr:uid="{00000000-0005-0000-0000-0000C0750000}"/>
    <cellStyle name="Note 4 3 5 6 3 2" xfId="6795" xr:uid="{00000000-0005-0000-0000-0000C1750000}"/>
    <cellStyle name="Note 4 3 5 6 3 3" xfId="11222" xr:uid="{00000000-0005-0000-0000-0000C2750000}"/>
    <cellStyle name="Note 4 3 5 6 3 4" xfId="15067" xr:uid="{00000000-0005-0000-0000-0000C3750000}"/>
    <cellStyle name="Note 4 3 5 6 3 5" xfId="18909" xr:uid="{00000000-0005-0000-0000-0000C4750000}"/>
    <cellStyle name="Note 4 3 5 6 3 6" xfId="22835" xr:uid="{00000000-0005-0000-0000-0000C5750000}"/>
    <cellStyle name="Note 4 3 5 6 3 7" xfId="26660" xr:uid="{00000000-0005-0000-0000-0000C6750000}"/>
    <cellStyle name="Note 4 3 5 6 3 8" xfId="30535" xr:uid="{00000000-0005-0000-0000-0000C7750000}"/>
    <cellStyle name="Note 4 3 5 6 3 9" xfId="34194" xr:uid="{00000000-0005-0000-0000-0000C8750000}"/>
    <cellStyle name="Note 4 3 5 6 4" xfId="4871" xr:uid="{00000000-0005-0000-0000-0000C9750000}"/>
    <cellStyle name="Note 4 3 5 6 5" xfId="9225" xr:uid="{00000000-0005-0000-0000-0000CA750000}"/>
    <cellStyle name="Note 4 3 5 6 6" xfId="13066" xr:uid="{00000000-0005-0000-0000-0000CB750000}"/>
    <cellStyle name="Note 4 3 5 6 7" xfId="16891" xr:uid="{00000000-0005-0000-0000-0000CC750000}"/>
    <cellStyle name="Note 4 3 5 6 8" xfId="20833" xr:uid="{00000000-0005-0000-0000-0000CD750000}"/>
    <cellStyle name="Note 4 3 5 6 9" xfId="24649" xr:uid="{00000000-0005-0000-0000-0000CE750000}"/>
    <cellStyle name="Note 4 3 5 7" xfId="1303" xr:uid="{00000000-0005-0000-0000-0000CF750000}"/>
    <cellStyle name="Note 4 3 5 7 10" xfId="32590" xr:uid="{00000000-0005-0000-0000-0000D0750000}"/>
    <cellStyle name="Note 4 3 5 7 11" xfId="36360" xr:uid="{00000000-0005-0000-0000-0000D1750000}"/>
    <cellStyle name="Note 4 3 5 7 12" xfId="40351" xr:uid="{00000000-0005-0000-0000-0000D2750000}"/>
    <cellStyle name="Note 4 3 5 7 13" xfId="44182" xr:uid="{00000000-0005-0000-0000-0000D3750000}"/>
    <cellStyle name="Note 4 3 5 7 2" xfId="3293" xr:uid="{00000000-0005-0000-0000-0000D4750000}"/>
    <cellStyle name="Note 4 3 5 7 2 10" xfId="38344" xr:uid="{00000000-0005-0000-0000-0000D5750000}"/>
    <cellStyle name="Note 4 3 5 7 2 11" xfId="42355" xr:uid="{00000000-0005-0000-0000-0000D6750000}"/>
    <cellStyle name="Note 4 3 5 7 2 12" xfId="46120" xr:uid="{00000000-0005-0000-0000-0000D7750000}"/>
    <cellStyle name="Note 4 3 5 7 2 2" xfId="7160" xr:uid="{00000000-0005-0000-0000-0000D8750000}"/>
    <cellStyle name="Note 4 3 5 7 2 3" xfId="11595" xr:uid="{00000000-0005-0000-0000-0000D9750000}"/>
    <cellStyle name="Note 4 3 5 7 2 4" xfId="15440" xr:uid="{00000000-0005-0000-0000-0000DA750000}"/>
    <cellStyle name="Note 4 3 5 7 2 5" xfId="19287" xr:uid="{00000000-0005-0000-0000-0000DB750000}"/>
    <cellStyle name="Note 4 3 5 7 2 6" xfId="23203" xr:uid="{00000000-0005-0000-0000-0000DC750000}"/>
    <cellStyle name="Note 4 3 5 7 2 7" xfId="27037" xr:uid="{00000000-0005-0000-0000-0000DD750000}"/>
    <cellStyle name="Note 4 3 5 7 2 8" xfId="30906" xr:uid="{00000000-0005-0000-0000-0000DE750000}"/>
    <cellStyle name="Note 4 3 5 7 2 9" xfId="34558" xr:uid="{00000000-0005-0000-0000-0000DF750000}"/>
    <cellStyle name="Note 4 3 5 7 3" xfId="5236" xr:uid="{00000000-0005-0000-0000-0000E0750000}"/>
    <cellStyle name="Note 4 3 5 7 4" xfId="9594" xr:uid="{00000000-0005-0000-0000-0000E1750000}"/>
    <cellStyle name="Note 4 3 5 7 5" xfId="13440" xr:uid="{00000000-0005-0000-0000-0000E2750000}"/>
    <cellStyle name="Note 4 3 5 7 6" xfId="17269" xr:uid="{00000000-0005-0000-0000-0000E3750000}"/>
    <cellStyle name="Note 4 3 5 7 7" xfId="21208" xr:uid="{00000000-0005-0000-0000-0000E4750000}"/>
    <cellStyle name="Note 4 3 5 7 8" xfId="25021" xr:uid="{00000000-0005-0000-0000-0000E5750000}"/>
    <cellStyle name="Note 4 3 5 7 9" xfId="28908" xr:uid="{00000000-0005-0000-0000-0000E6750000}"/>
    <cellStyle name="Note 4 3 5 8" xfId="1998" xr:uid="{00000000-0005-0000-0000-0000E7750000}"/>
    <cellStyle name="Note 4 3 5 8 10" xfId="33285" xr:uid="{00000000-0005-0000-0000-0000E8750000}"/>
    <cellStyle name="Note 4 3 5 8 11" xfId="37054" xr:uid="{00000000-0005-0000-0000-0000E9750000}"/>
    <cellStyle name="Note 4 3 5 8 12" xfId="41046" xr:uid="{00000000-0005-0000-0000-0000EA750000}"/>
    <cellStyle name="Note 4 3 5 8 13" xfId="44876" xr:uid="{00000000-0005-0000-0000-0000EB750000}"/>
    <cellStyle name="Note 4 3 5 8 2" xfId="3987" xr:uid="{00000000-0005-0000-0000-0000EC750000}"/>
    <cellStyle name="Note 4 3 5 8 2 10" xfId="39038" xr:uid="{00000000-0005-0000-0000-0000ED750000}"/>
    <cellStyle name="Note 4 3 5 8 2 11" xfId="43049" xr:uid="{00000000-0005-0000-0000-0000EE750000}"/>
    <cellStyle name="Note 4 3 5 8 2 12" xfId="46814" xr:uid="{00000000-0005-0000-0000-0000EF750000}"/>
    <cellStyle name="Note 4 3 5 8 2 2" xfId="7854" xr:uid="{00000000-0005-0000-0000-0000F0750000}"/>
    <cellStyle name="Note 4 3 5 8 2 3" xfId="12289" xr:uid="{00000000-0005-0000-0000-0000F1750000}"/>
    <cellStyle name="Note 4 3 5 8 2 4" xfId="16134" xr:uid="{00000000-0005-0000-0000-0000F2750000}"/>
    <cellStyle name="Note 4 3 5 8 2 5" xfId="19981" xr:uid="{00000000-0005-0000-0000-0000F3750000}"/>
    <cellStyle name="Note 4 3 5 8 2 6" xfId="23897" xr:uid="{00000000-0005-0000-0000-0000F4750000}"/>
    <cellStyle name="Note 4 3 5 8 2 7" xfId="27731" xr:uid="{00000000-0005-0000-0000-0000F5750000}"/>
    <cellStyle name="Note 4 3 5 8 2 8" xfId="31591" xr:uid="{00000000-0005-0000-0000-0000F6750000}"/>
    <cellStyle name="Note 4 3 5 8 2 9" xfId="35252" xr:uid="{00000000-0005-0000-0000-0000F7750000}"/>
    <cellStyle name="Note 4 3 5 8 3" xfId="5930" xr:uid="{00000000-0005-0000-0000-0000F8750000}"/>
    <cellStyle name="Note 4 3 5 8 4" xfId="10288" xr:uid="{00000000-0005-0000-0000-0000F9750000}"/>
    <cellStyle name="Note 4 3 5 8 5" xfId="14135" xr:uid="{00000000-0005-0000-0000-0000FA750000}"/>
    <cellStyle name="Note 4 3 5 8 6" xfId="17964" xr:uid="{00000000-0005-0000-0000-0000FB750000}"/>
    <cellStyle name="Note 4 3 5 8 7" xfId="21903" xr:uid="{00000000-0005-0000-0000-0000FC750000}"/>
    <cellStyle name="Note 4 3 5 8 8" xfId="25716" xr:uid="{00000000-0005-0000-0000-0000FD750000}"/>
    <cellStyle name="Note 4 3 5 8 9" xfId="29603" xr:uid="{00000000-0005-0000-0000-0000FE750000}"/>
    <cellStyle name="Note 4 3 5 9" xfId="2045" xr:uid="{00000000-0005-0000-0000-0000FF750000}"/>
    <cellStyle name="Note 4 3 5 9 10" xfId="33329" xr:uid="{00000000-0005-0000-0000-000000760000}"/>
    <cellStyle name="Note 4 3 5 9 11" xfId="37101" xr:uid="{00000000-0005-0000-0000-000001760000}"/>
    <cellStyle name="Note 4 3 5 9 12" xfId="41091" xr:uid="{00000000-0005-0000-0000-000002760000}"/>
    <cellStyle name="Note 4 3 5 9 13" xfId="44920" xr:uid="{00000000-0005-0000-0000-000003760000}"/>
    <cellStyle name="Note 4 3 5 9 2" xfId="4034" xr:uid="{00000000-0005-0000-0000-000004760000}"/>
    <cellStyle name="Note 4 3 5 9 2 10" xfId="39085" xr:uid="{00000000-0005-0000-0000-000005760000}"/>
    <cellStyle name="Note 4 3 5 9 2 11" xfId="43095" xr:uid="{00000000-0005-0000-0000-000006760000}"/>
    <cellStyle name="Note 4 3 5 9 2 12" xfId="46858" xr:uid="{00000000-0005-0000-0000-000007760000}"/>
    <cellStyle name="Note 4 3 5 9 2 2" xfId="7899" xr:uid="{00000000-0005-0000-0000-000008760000}"/>
    <cellStyle name="Note 4 3 5 9 2 3" xfId="12334" xr:uid="{00000000-0005-0000-0000-000009760000}"/>
    <cellStyle name="Note 4 3 5 9 2 4" xfId="16180" xr:uid="{00000000-0005-0000-0000-00000A760000}"/>
    <cellStyle name="Note 4 3 5 9 2 5" xfId="20028" xr:uid="{00000000-0005-0000-0000-00000B760000}"/>
    <cellStyle name="Note 4 3 5 9 2 6" xfId="23943" xr:uid="{00000000-0005-0000-0000-00000C760000}"/>
    <cellStyle name="Note 4 3 5 9 2 7" xfId="27778" xr:uid="{00000000-0005-0000-0000-00000D760000}"/>
    <cellStyle name="Note 4 3 5 9 2 8" xfId="31637" xr:uid="{00000000-0005-0000-0000-00000E760000}"/>
    <cellStyle name="Note 4 3 5 9 2 9" xfId="35296" xr:uid="{00000000-0005-0000-0000-00000F760000}"/>
    <cellStyle name="Note 4 3 5 9 3" xfId="5975" xr:uid="{00000000-0005-0000-0000-000010760000}"/>
    <cellStyle name="Note 4 3 5 9 4" xfId="10333" xr:uid="{00000000-0005-0000-0000-000011760000}"/>
    <cellStyle name="Note 4 3 5 9 5" xfId="14181" xr:uid="{00000000-0005-0000-0000-000012760000}"/>
    <cellStyle name="Note 4 3 5 9 6" xfId="18011" xr:uid="{00000000-0005-0000-0000-000013760000}"/>
    <cellStyle name="Note 4 3 5 9 7" xfId="21949" xr:uid="{00000000-0005-0000-0000-000014760000}"/>
    <cellStyle name="Note 4 3 5 9 8" xfId="25763" xr:uid="{00000000-0005-0000-0000-000015760000}"/>
    <cellStyle name="Note 4 3 5 9 9" xfId="29649" xr:uid="{00000000-0005-0000-0000-000016760000}"/>
    <cellStyle name="Note 4 3 6" xfId="658" xr:uid="{00000000-0005-0000-0000-000017760000}"/>
    <cellStyle name="Note 4 3 6 10" xfId="14246" xr:uid="{00000000-0005-0000-0000-000018760000}"/>
    <cellStyle name="Note 4 3 6 11" xfId="28285" xr:uid="{00000000-0005-0000-0000-000019760000}"/>
    <cellStyle name="Note 4 3 6 12" xfId="31928" xr:uid="{00000000-0005-0000-0000-00001A760000}"/>
    <cellStyle name="Note 4 3 6 13" xfId="33380" xr:uid="{00000000-0005-0000-0000-00001B760000}"/>
    <cellStyle name="Note 4 3 6 14" xfId="39752" xr:uid="{00000000-0005-0000-0000-00001C760000}"/>
    <cellStyle name="Note 4 3 6 15" xfId="43555" xr:uid="{00000000-0005-0000-0000-00001D760000}"/>
    <cellStyle name="Note 4 3 6 2" xfId="1038" xr:uid="{00000000-0005-0000-0000-00001E760000}"/>
    <cellStyle name="Note 4 3 6 2 10" xfId="28649" xr:uid="{00000000-0005-0000-0000-00001F760000}"/>
    <cellStyle name="Note 4 3 6 2 11" xfId="32335" xr:uid="{00000000-0005-0000-0000-000020760000}"/>
    <cellStyle name="Note 4 3 6 2 12" xfId="36096" xr:uid="{00000000-0005-0000-0000-000021760000}"/>
    <cellStyle name="Note 4 3 6 2 13" xfId="40099" xr:uid="{00000000-0005-0000-0000-000022760000}"/>
    <cellStyle name="Note 4 3 6 2 14" xfId="43922" xr:uid="{00000000-0005-0000-0000-000023760000}"/>
    <cellStyle name="Note 4 3 6 2 2" xfId="1765" xr:uid="{00000000-0005-0000-0000-000024760000}"/>
    <cellStyle name="Note 4 3 6 2 2 10" xfId="33052" xr:uid="{00000000-0005-0000-0000-000025760000}"/>
    <cellStyle name="Note 4 3 6 2 2 11" xfId="36822" xr:uid="{00000000-0005-0000-0000-000026760000}"/>
    <cellStyle name="Note 4 3 6 2 2 12" xfId="40813" xr:uid="{00000000-0005-0000-0000-000027760000}"/>
    <cellStyle name="Note 4 3 6 2 2 13" xfId="44644" xr:uid="{00000000-0005-0000-0000-000028760000}"/>
    <cellStyle name="Note 4 3 6 2 2 2" xfId="3755" xr:uid="{00000000-0005-0000-0000-000029760000}"/>
    <cellStyle name="Note 4 3 6 2 2 2 10" xfId="38806" xr:uid="{00000000-0005-0000-0000-00002A760000}"/>
    <cellStyle name="Note 4 3 6 2 2 2 11" xfId="42817" xr:uid="{00000000-0005-0000-0000-00002B760000}"/>
    <cellStyle name="Note 4 3 6 2 2 2 12" xfId="46582" xr:uid="{00000000-0005-0000-0000-00002C760000}"/>
    <cellStyle name="Note 4 3 6 2 2 2 2" xfId="7622" xr:uid="{00000000-0005-0000-0000-00002D760000}"/>
    <cellStyle name="Note 4 3 6 2 2 2 3" xfId="12057" xr:uid="{00000000-0005-0000-0000-00002E760000}"/>
    <cellStyle name="Note 4 3 6 2 2 2 4" xfId="15902" xr:uid="{00000000-0005-0000-0000-00002F760000}"/>
    <cellStyle name="Note 4 3 6 2 2 2 5" xfId="19749" xr:uid="{00000000-0005-0000-0000-000030760000}"/>
    <cellStyle name="Note 4 3 6 2 2 2 6" xfId="23665" xr:uid="{00000000-0005-0000-0000-000031760000}"/>
    <cellStyle name="Note 4 3 6 2 2 2 7" xfId="27499" xr:uid="{00000000-0005-0000-0000-000032760000}"/>
    <cellStyle name="Note 4 3 6 2 2 2 8" xfId="31363" xr:uid="{00000000-0005-0000-0000-000033760000}"/>
    <cellStyle name="Note 4 3 6 2 2 2 9" xfId="35020" xr:uid="{00000000-0005-0000-0000-000034760000}"/>
    <cellStyle name="Note 4 3 6 2 2 3" xfId="5698" xr:uid="{00000000-0005-0000-0000-000035760000}"/>
    <cellStyle name="Note 4 3 6 2 2 4" xfId="10056" xr:uid="{00000000-0005-0000-0000-000036760000}"/>
    <cellStyle name="Note 4 3 6 2 2 5" xfId="13902" xr:uid="{00000000-0005-0000-0000-000037760000}"/>
    <cellStyle name="Note 4 3 6 2 2 6" xfId="17731" xr:uid="{00000000-0005-0000-0000-000038760000}"/>
    <cellStyle name="Note 4 3 6 2 2 7" xfId="21670" xr:uid="{00000000-0005-0000-0000-000039760000}"/>
    <cellStyle name="Note 4 3 6 2 2 8" xfId="25483" xr:uid="{00000000-0005-0000-0000-00003A760000}"/>
    <cellStyle name="Note 4 3 6 2 2 9" xfId="29370" xr:uid="{00000000-0005-0000-0000-00003B760000}"/>
    <cellStyle name="Note 4 3 6 2 3" xfId="3028" xr:uid="{00000000-0005-0000-0000-00003C760000}"/>
    <cellStyle name="Note 4 3 6 2 3 10" xfId="38080" xr:uid="{00000000-0005-0000-0000-00003D760000}"/>
    <cellStyle name="Note 4 3 6 2 3 11" xfId="42092" xr:uid="{00000000-0005-0000-0000-00003E760000}"/>
    <cellStyle name="Note 4 3 6 2 3 12" xfId="45865" xr:uid="{00000000-0005-0000-0000-00003F760000}"/>
    <cellStyle name="Note 4 3 6 2 3 2" xfId="6904" xr:uid="{00000000-0005-0000-0000-000040760000}"/>
    <cellStyle name="Note 4 3 6 2 3 3" xfId="11333" xr:uid="{00000000-0005-0000-0000-000041760000}"/>
    <cellStyle name="Note 4 3 6 2 3 4" xfId="15177" xr:uid="{00000000-0005-0000-0000-000042760000}"/>
    <cellStyle name="Note 4 3 6 2 3 5" xfId="19022" xr:uid="{00000000-0005-0000-0000-000043760000}"/>
    <cellStyle name="Note 4 3 6 2 3 6" xfId="22944" xr:uid="{00000000-0005-0000-0000-000044760000}"/>
    <cellStyle name="Note 4 3 6 2 3 7" xfId="26773" xr:uid="{00000000-0005-0000-0000-000045760000}"/>
    <cellStyle name="Note 4 3 6 2 3 8" xfId="30647" xr:uid="{00000000-0005-0000-0000-000046760000}"/>
    <cellStyle name="Note 4 3 6 2 3 9" xfId="34303" xr:uid="{00000000-0005-0000-0000-000047760000}"/>
    <cellStyle name="Note 4 3 6 2 4" xfId="4980" xr:uid="{00000000-0005-0000-0000-000048760000}"/>
    <cellStyle name="Note 4 3 6 2 5" xfId="9336" xr:uid="{00000000-0005-0000-0000-000049760000}"/>
    <cellStyle name="Note 4 3 6 2 6" xfId="13176" xr:uid="{00000000-0005-0000-0000-00004A760000}"/>
    <cellStyle name="Note 4 3 6 2 7" xfId="17004" xr:uid="{00000000-0005-0000-0000-00004B760000}"/>
    <cellStyle name="Note 4 3 6 2 8" xfId="20946" xr:uid="{00000000-0005-0000-0000-00004C760000}"/>
    <cellStyle name="Note 4 3 6 2 9" xfId="24760" xr:uid="{00000000-0005-0000-0000-00004D760000}"/>
    <cellStyle name="Note 4 3 6 3" xfId="1412" xr:uid="{00000000-0005-0000-0000-00004E760000}"/>
    <cellStyle name="Note 4 3 6 3 10" xfId="32699" xr:uid="{00000000-0005-0000-0000-00004F760000}"/>
    <cellStyle name="Note 4 3 6 3 11" xfId="36469" xr:uid="{00000000-0005-0000-0000-000050760000}"/>
    <cellStyle name="Note 4 3 6 3 12" xfId="40460" xr:uid="{00000000-0005-0000-0000-000051760000}"/>
    <cellStyle name="Note 4 3 6 3 13" xfId="44291" xr:uid="{00000000-0005-0000-0000-000052760000}"/>
    <cellStyle name="Note 4 3 6 3 2" xfId="3402" xr:uid="{00000000-0005-0000-0000-000053760000}"/>
    <cellStyle name="Note 4 3 6 3 2 10" xfId="38453" xr:uid="{00000000-0005-0000-0000-000054760000}"/>
    <cellStyle name="Note 4 3 6 3 2 11" xfId="42464" xr:uid="{00000000-0005-0000-0000-000055760000}"/>
    <cellStyle name="Note 4 3 6 3 2 12" xfId="46229" xr:uid="{00000000-0005-0000-0000-000056760000}"/>
    <cellStyle name="Note 4 3 6 3 2 2" xfId="7269" xr:uid="{00000000-0005-0000-0000-000057760000}"/>
    <cellStyle name="Note 4 3 6 3 2 3" xfId="11704" xr:uid="{00000000-0005-0000-0000-000058760000}"/>
    <cellStyle name="Note 4 3 6 3 2 4" xfId="15549" xr:uid="{00000000-0005-0000-0000-000059760000}"/>
    <cellStyle name="Note 4 3 6 3 2 5" xfId="19396" xr:uid="{00000000-0005-0000-0000-00005A760000}"/>
    <cellStyle name="Note 4 3 6 3 2 6" xfId="23312" xr:uid="{00000000-0005-0000-0000-00005B760000}"/>
    <cellStyle name="Note 4 3 6 3 2 7" xfId="27146" xr:uid="{00000000-0005-0000-0000-00005C760000}"/>
    <cellStyle name="Note 4 3 6 3 2 8" xfId="31014" xr:uid="{00000000-0005-0000-0000-00005D760000}"/>
    <cellStyle name="Note 4 3 6 3 2 9" xfId="34667" xr:uid="{00000000-0005-0000-0000-00005E760000}"/>
    <cellStyle name="Note 4 3 6 3 3" xfId="5345" xr:uid="{00000000-0005-0000-0000-00005F760000}"/>
    <cellStyle name="Note 4 3 6 3 4" xfId="9703" xr:uid="{00000000-0005-0000-0000-000060760000}"/>
    <cellStyle name="Note 4 3 6 3 5" xfId="13549" xr:uid="{00000000-0005-0000-0000-000061760000}"/>
    <cellStyle name="Note 4 3 6 3 6" xfId="17378" xr:uid="{00000000-0005-0000-0000-000062760000}"/>
    <cellStyle name="Note 4 3 6 3 7" xfId="21317" xr:uid="{00000000-0005-0000-0000-000063760000}"/>
    <cellStyle name="Note 4 3 6 3 8" xfId="25130" xr:uid="{00000000-0005-0000-0000-000064760000}"/>
    <cellStyle name="Note 4 3 6 3 9" xfId="29017" xr:uid="{00000000-0005-0000-0000-000065760000}"/>
    <cellStyle name="Note 4 3 6 4" xfId="2661" xr:uid="{00000000-0005-0000-0000-000066760000}"/>
    <cellStyle name="Note 4 3 6 4 10" xfId="37713" xr:uid="{00000000-0005-0000-0000-000067760000}"/>
    <cellStyle name="Note 4 3 6 4 11" xfId="41727" xr:uid="{00000000-0005-0000-0000-000068760000}"/>
    <cellStyle name="Note 4 3 6 4 12" xfId="45512" xr:uid="{00000000-0005-0000-0000-000069760000}"/>
    <cellStyle name="Note 4 3 6 4 2" xfId="6549" xr:uid="{00000000-0005-0000-0000-00006A760000}"/>
    <cellStyle name="Note 4 3 6 4 3" xfId="10973" xr:uid="{00000000-0005-0000-0000-00006B760000}"/>
    <cellStyle name="Note 4 3 6 4 4" xfId="14817" xr:uid="{00000000-0005-0000-0000-00006C760000}"/>
    <cellStyle name="Note 4 3 6 4 5" xfId="18655" xr:uid="{00000000-0005-0000-0000-00006D760000}"/>
    <cellStyle name="Note 4 3 6 4 6" xfId="22586" xr:uid="{00000000-0005-0000-0000-00006E760000}"/>
    <cellStyle name="Note 4 3 6 4 7" xfId="26406" xr:uid="{00000000-0005-0000-0000-00006F760000}"/>
    <cellStyle name="Note 4 3 6 4 8" xfId="30285" xr:uid="{00000000-0005-0000-0000-000070760000}"/>
    <cellStyle name="Note 4 3 6 4 9" xfId="33950" xr:uid="{00000000-0005-0000-0000-000071760000}"/>
    <cellStyle name="Note 4 3 6 5" xfId="4625" xr:uid="{00000000-0005-0000-0000-000072760000}"/>
    <cellStyle name="Note 4 3 6 6" xfId="8967" xr:uid="{00000000-0005-0000-0000-000073760000}"/>
    <cellStyle name="Note 4 3 6 7" xfId="12804" xr:uid="{00000000-0005-0000-0000-000074760000}"/>
    <cellStyle name="Note 4 3 6 8" xfId="16634" xr:uid="{00000000-0005-0000-0000-000075760000}"/>
    <cellStyle name="Note 4 3 6 9" xfId="20571" xr:uid="{00000000-0005-0000-0000-000076760000}"/>
    <cellStyle name="Note 4 3 7" xfId="595" xr:uid="{00000000-0005-0000-0000-000077760000}"/>
    <cellStyle name="Note 4 3 7 10" xfId="11088" xr:uid="{00000000-0005-0000-0000-000078760000}"/>
    <cellStyle name="Note 4 3 7 11" xfId="25816" xr:uid="{00000000-0005-0000-0000-000079760000}"/>
    <cellStyle name="Note 4 3 7 12" xfId="30030" xr:uid="{00000000-0005-0000-0000-00007A760000}"/>
    <cellStyle name="Note 4 3 7 13" xfId="31241" xr:uid="{00000000-0005-0000-0000-00007B760000}"/>
    <cellStyle name="Note 4 3 7 14" xfId="39690" xr:uid="{00000000-0005-0000-0000-00007C760000}"/>
    <cellStyle name="Note 4 3 7 15" xfId="39581" xr:uid="{00000000-0005-0000-0000-00007D760000}"/>
    <cellStyle name="Note 4 3 7 2" xfId="975" xr:uid="{00000000-0005-0000-0000-00007E760000}"/>
    <cellStyle name="Note 4 3 7 2 10" xfId="28586" xr:uid="{00000000-0005-0000-0000-00007F760000}"/>
    <cellStyle name="Note 4 3 7 2 11" xfId="32274" xr:uid="{00000000-0005-0000-0000-000080760000}"/>
    <cellStyle name="Note 4 3 7 2 12" xfId="36033" xr:uid="{00000000-0005-0000-0000-000081760000}"/>
    <cellStyle name="Note 4 3 7 2 13" xfId="40038" xr:uid="{00000000-0005-0000-0000-000082760000}"/>
    <cellStyle name="Note 4 3 7 2 14" xfId="43859" xr:uid="{00000000-0005-0000-0000-000083760000}"/>
    <cellStyle name="Note 4 3 7 2 2" xfId="1704" xr:uid="{00000000-0005-0000-0000-000084760000}"/>
    <cellStyle name="Note 4 3 7 2 2 10" xfId="32991" xr:uid="{00000000-0005-0000-0000-000085760000}"/>
    <cellStyle name="Note 4 3 7 2 2 11" xfId="36761" xr:uid="{00000000-0005-0000-0000-000086760000}"/>
    <cellStyle name="Note 4 3 7 2 2 12" xfId="40752" xr:uid="{00000000-0005-0000-0000-000087760000}"/>
    <cellStyle name="Note 4 3 7 2 2 13" xfId="44583" xr:uid="{00000000-0005-0000-0000-000088760000}"/>
    <cellStyle name="Note 4 3 7 2 2 2" xfId="3694" xr:uid="{00000000-0005-0000-0000-000089760000}"/>
    <cellStyle name="Note 4 3 7 2 2 2 10" xfId="38745" xr:uid="{00000000-0005-0000-0000-00008A760000}"/>
    <cellStyle name="Note 4 3 7 2 2 2 11" xfId="42756" xr:uid="{00000000-0005-0000-0000-00008B760000}"/>
    <cellStyle name="Note 4 3 7 2 2 2 12" xfId="46521" xr:uid="{00000000-0005-0000-0000-00008C760000}"/>
    <cellStyle name="Note 4 3 7 2 2 2 2" xfId="7561" xr:uid="{00000000-0005-0000-0000-00008D760000}"/>
    <cellStyle name="Note 4 3 7 2 2 2 3" xfId="11996" xr:uid="{00000000-0005-0000-0000-00008E760000}"/>
    <cellStyle name="Note 4 3 7 2 2 2 4" xfId="15841" xr:uid="{00000000-0005-0000-0000-00008F760000}"/>
    <cellStyle name="Note 4 3 7 2 2 2 5" xfId="19688" xr:uid="{00000000-0005-0000-0000-000090760000}"/>
    <cellStyle name="Note 4 3 7 2 2 2 6" xfId="23604" xr:uid="{00000000-0005-0000-0000-000091760000}"/>
    <cellStyle name="Note 4 3 7 2 2 2 7" xfId="27438" xr:uid="{00000000-0005-0000-0000-000092760000}"/>
    <cellStyle name="Note 4 3 7 2 2 2 8" xfId="31302" xr:uid="{00000000-0005-0000-0000-000093760000}"/>
    <cellStyle name="Note 4 3 7 2 2 2 9" xfId="34959" xr:uid="{00000000-0005-0000-0000-000094760000}"/>
    <cellStyle name="Note 4 3 7 2 2 3" xfId="5637" xr:uid="{00000000-0005-0000-0000-000095760000}"/>
    <cellStyle name="Note 4 3 7 2 2 4" xfId="9995" xr:uid="{00000000-0005-0000-0000-000096760000}"/>
    <cellStyle name="Note 4 3 7 2 2 5" xfId="13841" xr:uid="{00000000-0005-0000-0000-000097760000}"/>
    <cellStyle name="Note 4 3 7 2 2 6" xfId="17670" xr:uid="{00000000-0005-0000-0000-000098760000}"/>
    <cellStyle name="Note 4 3 7 2 2 7" xfId="21609" xr:uid="{00000000-0005-0000-0000-000099760000}"/>
    <cellStyle name="Note 4 3 7 2 2 8" xfId="25422" xr:uid="{00000000-0005-0000-0000-00009A760000}"/>
    <cellStyle name="Note 4 3 7 2 2 9" xfId="29309" xr:uid="{00000000-0005-0000-0000-00009B760000}"/>
    <cellStyle name="Note 4 3 7 2 3" xfId="2965" xr:uid="{00000000-0005-0000-0000-00009C760000}"/>
    <cellStyle name="Note 4 3 7 2 3 10" xfId="38017" xr:uid="{00000000-0005-0000-0000-00009D760000}"/>
    <cellStyle name="Note 4 3 7 2 3 11" xfId="42029" xr:uid="{00000000-0005-0000-0000-00009E760000}"/>
    <cellStyle name="Note 4 3 7 2 3 12" xfId="45804" xr:uid="{00000000-0005-0000-0000-00009F760000}"/>
    <cellStyle name="Note 4 3 7 2 3 2" xfId="6843" xr:uid="{00000000-0005-0000-0000-0000A0760000}"/>
    <cellStyle name="Note 4 3 7 2 3 3" xfId="11271" xr:uid="{00000000-0005-0000-0000-0000A1760000}"/>
    <cellStyle name="Note 4 3 7 2 3 4" xfId="15116" xr:uid="{00000000-0005-0000-0000-0000A2760000}"/>
    <cellStyle name="Note 4 3 7 2 3 5" xfId="18959" xr:uid="{00000000-0005-0000-0000-0000A3760000}"/>
    <cellStyle name="Note 4 3 7 2 3 6" xfId="22883" xr:uid="{00000000-0005-0000-0000-0000A4760000}"/>
    <cellStyle name="Note 4 3 7 2 3 7" xfId="26710" xr:uid="{00000000-0005-0000-0000-0000A5760000}"/>
    <cellStyle name="Note 4 3 7 2 3 8" xfId="30584" xr:uid="{00000000-0005-0000-0000-0000A6760000}"/>
    <cellStyle name="Note 4 3 7 2 3 9" xfId="34242" xr:uid="{00000000-0005-0000-0000-0000A7760000}"/>
    <cellStyle name="Note 4 3 7 2 4" xfId="4919" xr:uid="{00000000-0005-0000-0000-0000A8760000}"/>
    <cellStyle name="Note 4 3 7 2 5" xfId="9274" xr:uid="{00000000-0005-0000-0000-0000A9760000}"/>
    <cellStyle name="Note 4 3 7 2 6" xfId="13115" xr:uid="{00000000-0005-0000-0000-0000AA760000}"/>
    <cellStyle name="Note 4 3 7 2 7" xfId="16941" xr:uid="{00000000-0005-0000-0000-0000AB760000}"/>
    <cellStyle name="Note 4 3 7 2 8" xfId="20883" xr:uid="{00000000-0005-0000-0000-0000AC760000}"/>
    <cellStyle name="Note 4 3 7 2 9" xfId="24698" xr:uid="{00000000-0005-0000-0000-0000AD760000}"/>
    <cellStyle name="Note 4 3 7 3" xfId="1351" xr:uid="{00000000-0005-0000-0000-0000AE760000}"/>
    <cellStyle name="Note 4 3 7 3 10" xfId="32638" xr:uid="{00000000-0005-0000-0000-0000AF760000}"/>
    <cellStyle name="Note 4 3 7 3 11" xfId="36408" xr:uid="{00000000-0005-0000-0000-0000B0760000}"/>
    <cellStyle name="Note 4 3 7 3 12" xfId="40399" xr:uid="{00000000-0005-0000-0000-0000B1760000}"/>
    <cellStyle name="Note 4 3 7 3 13" xfId="44230" xr:uid="{00000000-0005-0000-0000-0000B2760000}"/>
    <cellStyle name="Note 4 3 7 3 2" xfId="3341" xr:uid="{00000000-0005-0000-0000-0000B3760000}"/>
    <cellStyle name="Note 4 3 7 3 2 10" xfId="38392" xr:uid="{00000000-0005-0000-0000-0000B4760000}"/>
    <cellStyle name="Note 4 3 7 3 2 11" xfId="42403" xr:uid="{00000000-0005-0000-0000-0000B5760000}"/>
    <cellStyle name="Note 4 3 7 3 2 12" xfId="46168" xr:uid="{00000000-0005-0000-0000-0000B6760000}"/>
    <cellStyle name="Note 4 3 7 3 2 2" xfId="7208" xr:uid="{00000000-0005-0000-0000-0000B7760000}"/>
    <cellStyle name="Note 4 3 7 3 2 3" xfId="11643" xr:uid="{00000000-0005-0000-0000-0000B8760000}"/>
    <cellStyle name="Note 4 3 7 3 2 4" xfId="15488" xr:uid="{00000000-0005-0000-0000-0000B9760000}"/>
    <cellStyle name="Note 4 3 7 3 2 5" xfId="19335" xr:uid="{00000000-0005-0000-0000-0000BA760000}"/>
    <cellStyle name="Note 4 3 7 3 2 6" xfId="23251" xr:uid="{00000000-0005-0000-0000-0000BB760000}"/>
    <cellStyle name="Note 4 3 7 3 2 7" xfId="27085" xr:uid="{00000000-0005-0000-0000-0000BC760000}"/>
    <cellStyle name="Note 4 3 7 3 2 8" xfId="30953" xr:uid="{00000000-0005-0000-0000-0000BD760000}"/>
    <cellStyle name="Note 4 3 7 3 2 9" xfId="34606" xr:uid="{00000000-0005-0000-0000-0000BE760000}"/>
    <cellStyle name="Note 4 3 7 3 3" xfId="5284" xr:uid="{00000000-0005-0000-0000-0000BF760000}"/>
    <cellStyle name="Note 4 3 7 3 4" xfId="9642" xr:uid="{00000000-0005-0000-0000-0000C0760000}"/>
    <cellStyle name="Note 4 3 7 3 5" xfId="13488" xr:uid="{00000000-0005-0000-0000-0000C1760000}"/>
    <cellStyle name="Note 4 3 7 3 6" xfId="17317" xr:uid="{00000000-0005-0000-0000-0000C2760000}"/>
    <cellStyle name="Note 4 3 7 3 7" xfId="21256" xr:uid="{00000000-0005-0000-0000-0000C3760000}"/>
    <cellStyle name="Note 4 3 7 3 8" xfId="25069" xr:uid="{00000000-0005-0000-0000-0000C4760000}"/>
    <cellStyle name="Note 4 3 7 3 9" xfId="28956" xr:uid="{00000000-0005-0000-0000-0000C5760000}"/>
    <cellStyle name="Note 4 3 7 4" xfId="2598" xr:uid="{00000000-0005-0000-0000-0000C6760000}"/>
    <cellStyle name="Note 4 3 7 4 10" xfId="37650" xr:uid="{00000000-0005-0000-0000-0000C7760000}"/>
    <cellStyle name="Note 4 3 7 4 11" xfId="41664" xr:uid="{00000000-0005-0000-0000-0000C8760000}"/>
    <cellStyle name="Note 4 3 7 4 12" xfId="45451" xr:uid="{00000000-0005-0000-0000-0000C9760000}"/>
    <cellStyle name="Note 4 3 7 4 2" xfId="6488" xr:uid="{00000000-0005-0000-0000-0000CA760000}"/>
    <cellStyle name="Note 4 3 7 4 3" xfId="10912" xr:uid="{00000000-0005-0000-0000-0000CB760000}"/>
    <cellStyle name="Note 4 3 7 4 4" xfId="14756" xr:uid="{00000000-0005-0000-0000-0000CC760000}"/>
    <cellStyle name="Note 4 3 7 4 5" xfId="18592" xr:uid="{00000000-0005-0000-0000-0000CD760000}"/>
    <cellStyle name="Note 4 3 7 4 6" xfId="22525" xr:uid="{00000000-0005-0000-0000-0000CE760000}"/>
    <cellStyle name="Note 4 3 7 4 7" xfId="26343" xr:uid="{00000000-0005-0000-0000-0000CF760000}"/>
    <cellStyle name="Note 4 3 7 4 8" xfId="30222" xr:uid="{00000000-0005-0000-0000-0000D0760000}"/>
    <cellStyle name="Note 4 3 7 4 9" xfId="33889" xr:uid="{00000000-0005-0000-0000-0000D1760000}"/>
    <cellStyle name="Note 4 3 7 5" xfId="4564" xr:uid="{00000000-0005-0000-0000-0000D2760000}"/>
    <cellStyle name="Note 4 3 7 6" xfId="8904" xr:uid="{00000000-0005-0000-0000-0000D3760000}"/>
    <cellStyle name="Note 4 3 7 7" xfId="10389" xr:uid="{00000000-0005-0000-0000-0000D4760000}"/>
    <cellStyle name="Note 4 3 7 8" xfId="14229" xr:uid="{00000000-0005-0000-0000-0000D5760000}"/>
    <cellStyle name="Note 4 3 7 9" xfId="20508" xr:uid="{00000000-0005-0000-0000-0000D6760000}"/>
    <cellStyle name="Note 4 3 8" xfId="767" xr:uid="{00000000-0005-0000-0000-0000D7760000}"/>
    <cellStyle name="Note 4 3 8 10" xfId="24496" xr:uid="{00000000-0005-0000-0000-0000D8760000}"/>
    <cellStyle name="Note 4 3 8 11" xfId="28386" xr:uid="{00000000-0005-0000-0000-0000D9760000}"/>
    <cellStyle name="Note 4 3 8 12" xfId="26483" xr:uid="{00000000-0005-0000-0000-0000DA760000}"/>
    <cellStyle name="Note 4 3 8 13" xfId="35831" xr:uid="{00000000-0005-0000-0000-0000DB760000}"/>
    <cellStyle name="Note 4 3 8 14" xfId="39850" xr:uid="{00000000-0005-0000-0000-0000DC760000}"/>
    <cellStyle name="Note 4 3 8 15" xfId="43657" xr:uid="{00000000-0005-0000-0000-0000DD760000}"/>
    <cellStyle name="Note 4 3 8 2" xfId="1137" xr:uid="{00000000-0005-0000-0000-0000DE760000}"/>
    <cellStyle name="Note 4 3 8 2 10" xfId="28746" xr:uid="{00000000-0005-0000-0000-0000DF760000}"/>
    <cellStyle name="Note 4 3 8 2 11" xfId="32434" xr:uid="{00000000-0005-0000-0000-0000E0760000}"/>
    <cellStyle name="Note 4 3 8 2 12" xfId="36195" xr:uid="{00000000-0005-0000-0000-0000E1760000}"/>
    <cellStyle name="Note 4 3 8 2 13" xfId="40196" xr:uid="{00000000-0005-0000-0000-0000E2760000}"/>
    <cellStyle name="Note 4 3 8 2 14" xfId="44021" xr:uid="{00000000-0005-0000-0000-0000E3760000}"/>
    <cellStyle name="Note 4 3 8 2 2" xfId="1864" xr:uid="{00000000-0005-0000-0000-0000E4760000}"/>
    <cellStyle name="Note 4 3 8 2 2 10" xfId="33151" xr:uid="{00000000-0005-0000-0000-0000E5760000}"/>
    <cellStyle name="Note 4 3 8 2 2 11" xfId="36921" xr:uid="{00000000-0005-0000-0000-0000E6760000}"/>
    <cellStyle name="Note 4 3 8 2 2 12" xfId="40912" xr:uid="{00000000-0005-0000-0000-0000E7760000}"/>
    <cellStyle name="Note 4 3 8 2 2 13" xfId="44743" xr:uid="{00000000-0005-0000-0000-0000E8760000}"/>
    <cellStyle name="Note 4 3 8 2 2 2" xfId="3854" xr:uid="{00000000-0005-0000-0000-0000E9760000}"/>
    <cellStyle name="Note 4 3 8 2 2 2 10" xfId="38905" xr:uid="{00000000-0005-0000-0000-0000EA760000}"/>
    <cellStyle name="Note 4 3 8 2 2 2 11" xfId="42916" xr:uid="{00000000-0005-0000-0000-0000EB760000}"/>
    <cellStyle name="Note 4 3 8 2 2 2 12" xfId="46681" xr:uid="{00000000-0005-0000-0000-0000EC760000}"/>
    <cellStyle name="Note 4 3 8 2 2 2 2" xfId="7721" xr:uid="{00000000-0005-0000-0000-0000ED760000}"/>
    <cellStyle name="Note 4 3 8 2 2 2 3" xfId="12156" xr:uid="{00000000-0005-0000-0000-0000EE760000}"/>
    <cellStyle name="Note 4 3 8 2 2 2 4" xfId="16001" xr:uid="{00000000-0005-0000-0000-0000EF760000}"/>
    <cellStyle name="Note 4 3 8 2 2 2 5" xfId="19848" xr:uid="{00000000-0005-0000-0000-0000F0760000}"/>
    <cellStyle name="Note 4 3 8 2 2 2 6" xfId="23764" xr:uid="{00000000-0005-0000-0000-0000F1760000}"/>
    <cellStyle name="Note 4 3 8 2 2 2 7" xfId="27598" xr:uid="{00000000-0005-0000-0000-0000F2760000}"/>
    <cellStyle name="Note 4 3 8 2 2 2 8" xfId="31461" xr:uid="{00000000-0005-0000-0000-0000F3760000}"/>
    <cellStyle name="Note 4 3 8 2 2 2 9" xfId="35119" xr:uid="{00000000-0005-0000-0000-0000F4760000}"/>
    <cellStyle name="Note 4 3 8 2 2 3" xfId="5797" xr:uid="{00000000-0005-0000-0000-0000F5760000}"/>
    <cellStyle name="Note 4 3 8 2 2 4" xfId="10155" xr:uid="{00000000-0005-0000-0000-0000F6760000}"/>
    <cellStyle name="Note 4 3 8 2 2 5" xfId="14001" xr:uid="{00000000-0005-0000-0000-0000F7760000}"/>
    <cellStyle name="Note 4 3 8 2 2 6" xfId="17830" xr:uid="{00000000-0005-0000-0000-0000F8760000}"/>
    <cellStyle name="Note 4 3 8 2 2 7" xfId="21769" xr:uid="{00000000-0005-0000-0000-0000F9760000}"/>
    <cellStyle name="Note 4 3 8 2 2 8" xfId="25582" xr:uid="{00000000-0005-0000-0000-0000FA760000}"/>
    <cellStyle name="Note 4 3 8 2 2 9" xfId="29469" xr:uid="{00000000-0005-0000-0000-0000FB760000}"/>
    <cellStyle name="Note 4 3 8 2 3" xfId="3127" xr:uid="{00000000-0005-0000-0000-0000FC760000}"/>
    <cellStyle name="Note 4 3 8 2 3 10" xfId="38179" xr:uid="{00000000-0005-0000-0000-0000FD760000}"/>
    <cellStyle name="Note 4 3 8 2 3 11" xfId="42191" xr:uid="{00000000-0005-0000-0000-0000FE760000}"/>
    <cellStyle name="Note 4 3 8 2 3 12" xfId="45964" xr:uid="{00000000-0005-0000-0000-0000FF760000}"/>
    <cellStyle name="Note 4 3 8 2 3 2" xfId="7003" xr:uid="{00000000-0005-0000-0000-000000770000}"/>
    <cellStyle name="Note 4 3 8 2 3 3" xfId="11432" xr:uid="{00000000-0005-0000-0000-000001770000}"/>
    <cellStyle name="Note 4 3 8 2 3 4" xfId="15276" xr:uid="{00000000-0005-0000-0000-000002770000}"/>
    <cellStyle name="Note 4 3 8 2 3 5" xfId="19121" xr:uid="{00000000-0005-0000-0000-000003770000}"/>
    <cellStyle name="Note 4 3 8 2 3 6" xfId="23043" xr:uid="{00000000-0005-0000-0000-000004770000}"/>
    <cellStyle name="Note 4 3 8 2 3 7" xfId="26872" xr:uid="{00000000-0005-0000-0000-000005770000}"/>
    <cellStyle name="Note 4 3 8 2 3 8" xfId="30744" xr:uid="{00000000-0005-0000-0000-000006770000}"/>
    <cellStyle name="Note 4 3 8 2 3 9" xfId="34402" xr:uid="{00000000-0005-0000-0000-000007770000}"/>
    <cellStyle name="Note 4 3 8 2 4" xfId="5079" xr:uid="{00000000-0005-0000-0000-000008770000}"/>
    <cellStyle name="Note 4 3 8 2 5" xfId="9435" xr:uid="{00000000-0005-0000-0000-000009770000}"/>
    <cellStyle name="Note 4 3 8 2 6" xfId="13275" xr:uid="{00000000-0005-0000-0000-00000A770000}"/>
    <cellStyle name="Note 4 3 8 2 7" xfId="17103" xr:uid="{00000000-0005-0000-0000-00000B770000}"/>
    <cellStyle name="Note 4 3 8 2 8" xfId="21045" xr:uid="{00000000-0005-0000-0000-00000C770000}"/>
    <cellStyle name="Note 4 3 8 2 9" xfId="24859" xr:uid="{00000000-0005-0000-0000-00000D770000}"/>
    <cellStyle name="Note 4 3 8 3" xfId="1511" xr:uid="{00000000-0005-0000-0000-00000E770000}"/>
    <cellStyle name="Note 4 3 8 3 10" xfId="32798" xr:uid="{00000000-0005-0000-0000-00000F770000}"/>
    <cellStyle name="Note 4 3 8 3 11" xfId="36568" xr:uid="{00000000-0005-0000-0000-000010770000}"/>
    <cellStyle name="Note 4 3 8 3 12" xfId="40559" xr:uid="{00000000-0005-0000-0000-000011770000}"/>
    <cellStyle name="Note 4 3 8 3 13" xfId="44390" xr:uid="{00000000-0005-0000-0000-000012770000}"/>
    <cellStyle name="Note 4 3 8 3 2" xfId="3501" xr:uid="{00000000-0005-0000-0000-000013770000}"/>
    <cellStyle name="Note 4 3 8 3 2 10" xfId="38552" xr:uid="{00000000-0005-0000-0000-000014770000}"/>
    <cellStyle name="Note 4 3 8 3 2 11" xfId="42563" xr:uid="{00000000-0005-0000-0000-000015770000}"/>
    <cellStyle name="Note 4 3 8 3 2 12" xfId="46328" xr:uid="{00000000-0005-0000-0000-000016770000}"/>
    <cellStyle name="Note 4 3 8 3 2 2" xfId="7368" xr:uid="{00000000-0005-0000-0000-000017770000}"/>
    <cellStyle name="Note 4 3 8 3 2 3" xfId="11803" xr:uid="{00000000-0005-0000-0000-000018770000}"/>
    <cellStyle name="Note 4 3 8 3 2 4" xfId="15648" xr:uid="{00000000-0005-0000-0000-000019770000}"/>
    <cellStyle name="Note 4 3 8 3 2 5" xfId="19495" xr:uid="{00000000-0005-0000-0000-00001A770000}"/>
    <cellStyle name="Note 4 3 8 3 2 6" xfId="23411" xr:uid="{00000000-0005-0000-0000-00001B770000}"/>
    <cellStyle name="Note 4 3 8 3 2 7" xfId="27245" xr:uid="{00000000-0005-0000-0000-00001C770000}"/>
    <cellStyle name="Note 4 3 8 3 2 8" xfId="31112" xr:uid="{00000000-0005-0000-0000-00001D770000}"/>
    <cellStyle name="Note 4 3 8 3 2 9" xfId="34766" xr:uid="{00000000-0005-0000-0000-00001E770000}"/>
    <cellStyle name="Note 4 3 8 3 3" xfId="5444" xr:uid="{00000000-0005-0000-0000-00001F770000}"/>
    <cellStyle name="Note 4 3 8 3 4" xfId="9802" xr:uid="{00000000-0005-0000-0000-000020770000}"/>
    <cellStyle name="Note 4 3 8 3 5" xfId="13648" xr:uid="{00000000-0005-0000-0000-000021770000}"/>
    <cellStyle name="Note 4 3 8 3 6" xfId="17477" xr:uid="{00000000-0005-0000-0000-000022770000}"/>
    <cellStyle name="Note 4 3 8 3 7" xfId="21416" xr:uid="{00000000-0005-0000-0000-000023770000}"/>
    <cellStyle name="Note 4 3 8 3 8" xfId="25229" xr:uid="{00000000-0005-0000-0000-000024770000}"/>
    <cellStyle name="Note 4 3 8 3 9" xfId="29116" xr:uid="{00000000-0005-0000-0000-000025770000}"/>
    <cellStyle name="Note 4 3 8 4" xfId="2763" xr:uid="{00000000-0005-0000-0000-000026770000}"/>
    <cellStyle name="Note 4 3 8 4 10" xfId="37815" xr:uid="{00000000-0005-0000-0000-000027770000}"/>
    <cellStyle name="Note 4 3 8 4 11" xfId="41828" xr:uid="{00000000-0005-0000-0000-000028770000}"/>
    <cellStyle name="Note 4 3 8 4 12" xfId="45611" xr:uid="{00000000-0005-0000-0000-000029770000}"/>
    <cellStyle name="Note 4 3 8 4 2" xfId="6649" xr:uid="{00000000-0005-0000-0000-00002A770000}"/>
    <cellStyle name="Note 4 3 8 4 3" xfId="11073" xr:uid="{00000000-0005-0000-0000-00002B770000}"/>
    <cellStyle name="Note 4 3 8 4 4" xfId="14918" xr:uid="{00000000-0005-0000-0000-00002C770000}"/>
    <cellStyle name="Note 4 3 8 4 5" xfId="18757" xr:uid="{00000000-0005-0000-0000-00002D770000}"/>
    <cellStyle name="Note 4 3 8 4 6" xfId="22687" xr:uid="{00000000-0005-0000-0000-00002E770000}"/>
    <cellStyle name="Note 4 3 8 4 7" xfId="26508" xr:uid="{00000000-0005-0000-0000-00002F770000}"/>
    <cellStyle name="Note 4 3 8 4 8" xfId="30386" xr:uid="{00000000-0005-0000-0000-000030770000}"/>
    <cellStyle name="Note 4 3 8 4 9" xfId="34049" xr:uid="{00000000-0005-0000-0000-000031770000}"/>
    <cellStyle name="Note 4 3 8 5" xfId="4725" xr:uid="{00000000-0005-0000-0000-000032770000}"/>
    <cellStyle name="Note 4 3 8 6" xfId="9072" xr:uid="{00000000-0005-0000-0000-000033770000}"/>
    <cellStyle name="Note 4 3 8 7" xfId="12911" xr:uid="{00000000-0005-0000-0000-000034770000}"/>
    <cellStyle name="Note 4 3 8 8" xfId="16737" xr:uid="{00000000-0005-0000-0000-000035770000}"/>
    <cellStyle name="Note 4 3 8 9" xfId="20676" xr:uid="{00000000-0005-0000-0000-000036770000}"/>
    <cellStyle name="Note 4 3 9" xfId="854" xr:uid="{00000000-0005-0000-0000-000037770000}"/>
    <cellStyle name="Note 4 3 9 10" xfId="24578" xr:uid="{00000000-0005-0000-0000-000038770000}"/>
    <cellStyle name="Note 4 3 9 11" xfId="28469" xr:uid="{00000000-0005-0000-0000-000039770000}"/>
    <cellStyle name="Note 4 3 9 12" xfId="32155" xr:uid="{00000000-0005-0000-0000-00003A770000}"/>
    <cellStyle name="Note 4 3 9 13" xfId="35912" xr:uid="{00000000-0005-0000-0000-00003B770000}"/>
    <cellStyle name="Note 4 3 9 14" xfId="39923" xr:uid="{00000000-0005-0000-0000-00003C770000}"/>
    <cellStyle name="Note 4 3 9 15" xfId="43738" xr:uid="{00000000-0005-0000-0000-00003D770000}"/>
    <cellStyle name="Note 4 3 9 2" xfId="1193" xr:uid="{00000000-0005-0000-0000-00003E770000}"/>
    <cellStyle name="Note 4 3 9 2 10" xfId="28802" xr:uid="{00000000-0005-0000-0000-00003F770000}"/>
    <cellStyle name="Note 4 3 9 2 11" xfId="32485" xr:uid="{00000000-0005-0000-0000-000040770000}"/>
    <cellStyle name="Note 4 3 9 2 12" xfId="36251" xr:uid="{00000000-0005-0000-0000-000041770000}"/>
    <cellStyle name="Note 4 3 9 2 13" xfId="40245" xr:uid="{00000000-0005-0000-0000-000042770000}"/>
    <cellStyle name="Note 4 3 9 2 14" xfId="44077" xr:uid="{00000000-0005-0000-0000-000043770000}"/>
    <cellStyle name="Note 4 3 9 2 2" xfId="1915" xr:uid="{00000000-0005-0000-0000-000044770000}"/>
    <cellStyle name="Note 4 3 9 2 2 10" xfId="33202" xr:uid="{00000000-0005-0000-0000-000045770000}"/>
    <cellStyle name="Note 4 3 9 2 2 11" xfId="36972" xr:uid="{00000000-0005-0000-0000-000046770000}"/>
    <cellStyle name="Note 4 3 9 2 2 12" xfId="40963" xr:uid="{00000000-0005-0000-0000-000047770000}"/>
    <cellStyle name="Note 4 3 9 2 2 13" xfId="44794" xr:uid="{00000000-0005-0000-0000-000048770000}"/>
    <cellStyle name="Note 4 3 9 2 2 2" xfId="3905" xr:uid="{00000000-0005-0000-0000-000049770000}"/>
    <cellStyle name="Note 4 3 9 2 2 2 10" xfId="38956" xr:uid="{00000000-0005-0000-0000-00004A770000}"/>
    <cellStyle name="Note 4 3 9 2 2 2 11" xfId="42967" xr:uid="{00000000-0005-0000-0000-00004B770000}"/>
    <cellStyle name="Note 4 3 9 2 2 2 12" xfId="46732" xr:uid="{00000000-0005-0000-0000-00004C770000}"/>
    <cellStyle name="Note 4 3 9 2 2 2 2" xfId="7772" xr:uid="{00000000-0005-0000-0000-00004D770000}"/>
    <cellStyle name="Note 4 3 9 2 2 2 3" xfId="12207" xr:uid="{00000000-0005-0000-0000-00004E770000}"/>
    <cellStyle name="Note 4 3 9 2 2 2 4" xfId="16052" xr:uid="{00000000-0005-0000-0000-00004F770000}"/>
    <cellStyle name="Note 4 3 9 2 2 2 5" xfId="19899" xr:uid="{00000000-0005-0000-0000-000050770000}"/>
    <cellStyle name="Note 4 3 9 2 2 2 6" xfId="23815" xr:uid="{00000000-0005-0000-0000-000051770000}"/>
    <cellStyle name="Note 4 3 9 2 2 2 7" xfId="27649" xr:uid="{00000000-0005-0000-0000-000052770000}"/>
    <cellStyle name="Note 4 3 9 2 2 2 8" xfId="31511" xr:uid="{00000000-0005-0000-0000-000053770000}"/>
    <cellStyle name="Note 4 3 9 2 2 2 9" xfId="35170" xr:uid="{00000000-0005-0000-0000-000054770000}"/>
    <cellStyle name="Note 4 3 9 2 2 3" xfId="5848" xr:uid="{00000000-0005-0000-0000-000055770000}"/>
    <cellStyle name="Note 4 3 9 2 2 4" xfId="10206" xr:uid="{00000000-0005-0000-0000-000056770000}"/>
    <cellStyle name="Note 4 3 9 2 2 5" xfId="14052" xr:uid="{00000000-0005-0000-0000-000057770000}"/>
    <cellStyle name="Note 4 3 9 2 2 6" xfId="17881" xr:uid="{00000000-0005-0000-0000-000058770000}"/>
    <cellStyle name="Note 4 3 9 2 2 7" xfId="21820" xr:uid="{00000000-0005-0000-0000-000059770000}"/>
    <cellStyle name="Note 4 3 9 2 2 8" xfId="25633" xr:uid="{00000000-0005-0000-0000-00005A770000}"/>
    <cellStyle name="Note 4 3 9 2 2 9" xfId="29520" xr:uid="{00000000-0005-0000-0000-00005B770000}"/>
    <cellStyle name="Note 4 3 9 2 3" xfId="3183" xr:uid="{00000000-0005-0000-0000-00005C770000}"/>
    <cellStyle name="Note 4 3 9 2 3 10" xfId="38235" xr:uid="{00000000-0005-0000-0000-00005D770000}"/>
    <cellStyle name="Note 4 3 9 2 3 11" xfId="42246" xr:uid="{00000000-0005-0000-0000-00005E770000}"/>
    <cellStyle name="Note 4 3 9 2 3 12" xfId="46015" xr:uid="{00000000-0005-0000-0000-00005F770000}"/>
    <cellStyle name="Note 4 3 9 2 3 2" xfId="7055" xr:uid="{00000000-0005-0000-0000-000060770000}"/>
    <cellStyle name="Note 4 3 9 2 3 3" xfId="11487" xr:uid="{00000000-0005-0000-0000-000061770000}"/>
    <cellStyle name="Note 4 3 9 2 3 4" xfId="15331" xr:uid="{00000000-0005-0000-0000-000062770000}"/>
    <cellStyle name="Note 4 3 9 2 3 5" xfId="19177" xr:uid="{00000000-0005-0000-0000-000063770000}"/>
    <cellStyle name="Note 4 3 9 2 3 6" xfId="23096" xr:uid="{00000000-0005-0000-0000-000064770000}"/>
    <cellStyle name="Note 4 3 9 2 3 7" xfId="26928" xr:uid="{00000000-0005-0000-0000-000065770000}"/>
    <cellStyle name="Note 4 3 9 2 3 8" xfId="30799" xr:uid="{00000000-0005-0000-0000-000066770000}"/>
    <cellStyle name="Note 4 3 9 2 3 9" xfId="34453" xr:uid="{00000000-0005-0000-0000-000067770000}"/>
    <cellStyle name="Note 4 3 9 2 4" xfId="5131" xr:uid="{00000000-0005-0000-0000-000068770000}"/>
    <cellStyle name="Note 4 3 9 2 5" xfId="9487" xr:uid="{00000000-0005-0000-0000-000069770000}"/>
    <cellStyle name="Note 4 3 9 2 6" xfId="13331" xr:uid="{00000000-0005-0000-0000-00006A770000}"/>
    <cellStyle name="Note 4 3 9 2 7" xfId="17159" xr:uid="{00000000-0005-0000-0000-00006B770000}"/>
    <cellStyle name="Note 4 3 9 2 8" xfId="21101" xr:uid="{00000000-0005-0000-0000-00006C770000}"/>
    <cellStyle name="Note 4 3 9 2 9" xfId="24912" xr:uid="{00000000-0005-0000-0000-00006D770000}"/>
    <cellStyle name="Note 4 3 9 3" xfId="1585" xr:uid="{00000000-0005-0000-0000-00006E770000}"/>
    <cellStyle name="Note 4 3 9 3 10" xfId="32872" xr:uid="{00000000-0005-0000-0000-00006F770000}"/>
    <cellStyle name="Note 4 3 9 3 11" xfId="36642" xr:uid="{00000000-0005-0000-0000-000070770000}"/>
    <cellStyle name="Note 4 3 9 3 12" xfId="40633" xr:uid="{00000000-0005-0000-0000-000071770000}"/>
    <cellStyle name="Note 4 3 9 3 13" xfId="44464" xr:uid="{00000000-0005-0000-0000-000072770000}"/>
    <cellStyle name="Note 4 3 9 3 2" xfId="3575" xr:uid="{00000000-0005-0000-0000-000073770000}"/>
    <cellStyle name="Note 4 3 9 3 2 10" xfId="38626" xr:uid="{00000000-0005-0000-0000-000074770000}"/>
    <cellStyle name="Note 4 3 9 3 2 11" xfId="42637" xr:uid="{00000000-0005-0000-0000-000075770000}"/>
    <cellStyle name="Note 4 3 9 3 2 12" xfId="46402" xr:uid="{00000000-0005-0000-0000-000076770000}"/>
    <cellStyle name="Note 4 3 9 3 2 2" xfId="7442" xr:uid="{00000000-0005-0000-0000-000077770000}"/>
    <cellStyle name="Note 4 3 9 3 2 3" xfId="11877" xr:uid="{00000000-0005-0000-0000-000078770000}"/>
    <cellStyle name="Note 4 3 9 3 2 4" xfId="15722" xr:uid="{00000000-0005-0000-0000-000079770000}"/>
    <cellStyle name="Note 4 3 9 3 2 5" xfId="19569" xr:uid="{00000000-0005-0000-0000-00007A770000}"/>
    <cellStyle name="Note 4 3 9 3 2 6" xfId="23485" xr:uid="{00000000-0005-0000-0000-00007B770000}"/>
    <cellStyle name="Note 4 3 9 3 2 7" xfId="27319" xr:uid="{00000000-0005-0000-0000-00007C770000}"/>
    <cellStyle name="Note 4 3 9 3 2 8" xfId="31185" xr:uid="{00000000-0005-0000-0000-00007D770000}"/>
    <cellStyle name="Note 4 3 9 3 2 9" xfId="34840" xr:uid="{00000000-0005-0000-0000-00007E770000}"/>
    <cellStyle name="Note 4 3 9 3 3" xfId="5518" xr:uid="{00000000-0005-0000-0000-00007F770000}"/>
    <cellStyle name="Note 4 3 9 3 4" xfId="9876" xr:uid="{00000000-0005-0000-0000-000080770000}"/>
    <cellStyle name="Note 4 3 9 3 5" xfId="13722" xr:uid="{00000000-0005-0000-0000-000081770000}"/>
    <cellStyle name="Note 4 3 9 3 6" xfId="17551" xr:uid="{00000000-0005-0000-0000-000082770000}"/>
    <cellStyle name="Note 4 3 9 3 7" xfId="21490" xr:uid="{00000000-0005-0000-0000-000083770000}"/>
    <cellStyle name="Note 4 3 9 3 8" xfId="25303" xr:uid="{00000000-0005-0000-0000-000084770000}"/>
    <cellStyle name="Note 4 3 9 3 9" xfId="29190" xr:uid="{00000000-0005-0000-0000-000085770000}"/>
    <cellStyle name="Note 4 3 9 4" xfId="2844" xr:uid="{00000000-0005-0000-0000-000086770000}"/>
    <cellStyle name="Note 4 3 9 4 10" xfId="37896" xr:uid="{00000000-0005-0000-0000-000087770000}"/>
    <cellStyle name="Note 4 3 9 4 11" xfId="41908" xr:uid="{00000000-0005-0000-0000-000088770000}"/>
    <cellStyle name="Note 4 3 9 4 12" xfId="45685" xr:uid="{00000000-0005-0000-0000-000089770000}"/>
    <cellStyle name="Note 4 3 9 4 2" xfId="6724" xr:uid="{00000000-0005-0000-0000-00008A770000}"/>
    <cellStyle name="Note 4 3 9 4 3" xfId="11151" xr:uid="{00000000-0005-0000-0000-00008B770000}"/>
    <cellStyle name="Note 4 3 9 4 4" xfId="14996" xr:uid="{00000000-0005-0000-0000-00008C770000}"/>
    <cellStyle name="Note 4 3 9 4 5" xfId="18838" xr:uid="{00000000-0005-0000-0000-00008D770000}"/>
    <cellStyle name="Note 4 3 9 4 6" xfId="22764" xr:uid="{00000000-0005-0000-0000-00008E770000}"/>
    <cellStyle name="Note 4 3 9 4 7" xfId="26589" xr:uid="{00000000-0005-0000-0000-00008F770000}"/>
    <cellStyle name="Note 4 3 9 4 8" xfId="30466" xr:uid="{00000000-0005-0000-0000-000090770000}"/>
    <cellStyle name="Note 4 3 9 4 9" xfId="34123" xr:uid="{00000000-0005-0000-0000-000091770000}"/>
    <cellStyle name="Note 4 3 9 5" xfId="4800" xr:uid="{00000000-0005-0000-0000-000092770000}"/>
    <cellStyle name="Note 4 3 9 6" xfId="9154" xr:uid="{00000000-0005-0000-0000-000093770000}"/>
    <cellStyle name="Note 4 3 9 7" xfId="12995" xr:uid="{00000000-0005-0000-0000-000094770000}"/>
    <cellStyle name="Note 4 3 9 8" xfId="16820" xr:uid="{00000000-0005-0000-0000-000095770000}"/>
    <cellStyle name="Note 4 3 9 9" xfId="20762" xr:uid="{00000000-0005-0000-0000-000096770000}"/>
    <cellStyle name="Note 4 30" xfId="10426" xr:uid="{00000000-0005-0000-0000-000097770000}"/>
    <cellStyle name="Note 4 31" xfId="39616" xr:uid="{00000000-0005-0000-0000-000098770000}"/>
    <cellStyle name="Note 4 32" xfId="41148" xr:uid="{00000000-0005-0000-0000-000099770000}"/>
    <cellStyle name="Note 4 33" xfId="47330" xr:uid="{00000000-0005-0000-0000-00009A770000}"/>
    <cellStyle name="Note 4 34" xfId="47419" xr:uid="{00000000-0005-0000-0000-00009B770000}"/>
    <cellStyle name="Note 4 35" xfId="47402" xr:uid="{00000000-0005-0000-0000-00009C770000}"/>
    <cellStyle name="Note 4 4" xfId="488" xr:uid="{00000000-0005-0000-0000-00009D770000}"/>
    <cellStyle name="Note 4 4 10" xfId="825" xr:uid="{00000000-0005-0000-0000-00009E770000}"/>
    <cellStyle name="Note 4 4 10 10" xfId="28440" xr:uid="{00000000-0005-0000-0000-00009F770000}"/>
    <cellStyle name="Note 4 4 10 11" xfId="32126" xr:uid="{00000000-0005-0000-0000-0000A0770000}"/>
    <cellStyle name="Note 4 4 10 12" xfId="35883" xr:uid="{00000000-0005-0000-0000-0000A1770000}"/>
    <cellStyle name="Note 4 4 10 13" xfId="39894" xr:uid="{00000000-0005-0000-0000-0000A2770000}"/>
    <cellStyle name="Note 4 4 10 14" xfId="43709" xr:uid="{00000000-0005-0000-0000-0000A3770000}"/>
    <cellStyle name="Note 4 4 10 2" xfId="1556" xr:uid="{00000000-0005-0000-0000-0000A4770000}"/>
    <cellStyle name="Note 4 4 10 2 10" xfId="32843" xr:uid="{00000000-0005-0000-0000-0000A5770000}"/>
    <cellStyle name="Note 4 4 10 2 11" xfId="36613" xr:uid="{00000000-0005-0000-0000-0000A6770000}"/>
    <cellStyle name="Note 4 4 10 2 12" xfId="40604" xr:uid="{00000000-0005-0000-0000-0000A7770000}"/>
    <cellStyle name="Note 4 4 10 2 13" xfId="44435" xr:uid="{00000000-0005-0000-0000-0000A8770000}"/>
    <cellStyle name="Note 4 4 10 2 2" xfId="3546" xr:uid="{00000000-0005-0000-0000-0000A9770000}"/>
    <cellStyle name="Note 4 4 10 2 2 10" xfId="38597" xr:uid="{00000000-0005-0000-0000-0000AA770000}"/>
    <cellStyle name="Note 4 4 10 2 2 11" xfId="42608" xr:uid="{00000000-0005-0000-0000-0000AB770000}"/>
    <cellStyle name="Note 4 4 10 2 2 12" xfId="46373" xr:uid="{00000000-0005-0000-0000-0000AC770000}"/>
    <cellStyle name="Note 4 4 10 2 2 2" xfId="7413" xr:uid="{00000000-0005-0000-0000-0000AD770000}"/>
    <cellStyle name="Note 4 4 10 2 2 3" xfId="11848" xr:uid="{00000000-0005-0000-0000-0000AE770000}"/>
    <cellStyle name="Note 4 4 10 2 2 4" xfId="15693" xr:uid="{00000000-0005-0000-0000-0000AF770000}"/>
    <cellStyle name="Note 4 4 10 2 2 5" xfId="19540" xr:uid="{00000000-0005-0000-0000-0000B0770000}"/>
    <cellStyle name="Note 4 4 10 2 2 6" xfId="23456" xr:uid="{00000000-0005-0000-0000-0000B1770000}"/>
    <cellStyle name="Note 4 4 10 2 2 7" xfId="27290" xr:uid="{00000000-0005-0000-0000-0000B2770000}"/>
    <cellStyle name="Note 4 4 10 2 2 8" xfId="31156" xr:uid="{00000000-0005-0000-0000-0000B3770000}"/>
    <cellStyle name="Note 4 4 10 2 2 9" xfId="34811" xr:uid="{00000000-0005-0000-0000-0000B4770000}"/>
    <cellStyle name="Note 4 4 10 2 3" xfId="5489" xr:uid="{00000000-0005-0000-0000-0000B5770000}"/>
    <cellStyle name="Note 4 4 10 2 4" xfId="9847" xr:uid="{00000000-0005-0000-0000-0000B6770000}"/>
    <cellStyle name="Note 4 4 10 2 5" xfId="13693" xr:uid="{00000000-0005-0000-0000-0000B7770000}"/>
    <cellStyle name="Note 4 4 10 2 6" xfId="17522" xr:uid="{00000000-0005-0000-0000-0000B8770000}"/>
    <cellStyle name="Note 4 4 10 2 7" xfId="21461" xr:uid="{00000000-0005-0000-0000-0000B9770000}"/>
    <cellStyle name="Note 4 4 10 2 8" xfId="25274" xr:uid="{00000000-0005-0000-0000-0000BA770000}"/>
    <cellStyle name="Note 4 4 10 2 9" xfId="29161" xr:uid="{00000000-0005-0000-0000-0000BB770000}"/>
    <cellStyle name="Note 4 4 10 3" xfId="2815" xr:uid="{00000000-0005-0000-0000-0000BC770000}"/>
    <cellStyle name="Note 4 4 10 3 10" xfId="37867" xr:uid="{00000000-0005-0000-0000-0000BD770000}"/>
    <cellStyle name="Note 4 4 10 3 11" xfId="41879" xr:uid="{00000000-0005-0000-0000-0000BE770000}"/>
    <cellStyle name="Note 4 4 10 3 12" xfId="45656" xr:uid="{00000000-0005-0000-0000-0000BF770000}"/>
    <cellStyle name="Note 4 4 10 3 2" xfId="6695" xr:uid="{00000000-0005-0000-0000-0000C0770000}"/>
    <cellStyle name="Note 4 4 10 3 3" xfId="11122" xr:uid="{00000000-0005-0000-0000-0000C1770000}"/>
    <cellStyle name="Note 4 4 10 3 4" xfId="14967" xr:uid="{00000000-0005-0000-0000-0000C2770000}"/>
    <cellStyle name="Note 4 4 10 3 5" xfId="18809" xr:uid="{00000000-0005-0000-0000-0000C3770000}"/>
    <cellStyle name="Note 4 4 10 3 6" xfId="22735" xr:uid="{00000000-0005-0000-0000-0000C4770000}"/>
    <cellStyle name="Note 4 4 10 3 7" xfId="26560" xr:uid="{00000000-0005-0000-0000-0000C5770000}"/>
    <cellStyle name="Note 4 4 10 3 8" xfId="30437" xr:uid="{00000000-0005-0000-0000-0000C6770000}"/>
    <cellStyle name="Note 4 4 10 3 9" xfId="34094" xr:uid="{00000000-0005-0000-0000-0000C7770000}"/>
    <cellStyle name="Note 4 4 10 4" xfId="4771" xr:uid="{00000000-0005-0000-0000-0000C8770000}"/>
    <cellStyle name="Note 4 4 10 5" xfId="9125" xr:uid="{00000000-0005-0000-0000-0000C9770000}"/>
    <cellStyle name="Note 4 4 10 6" xfId="12966" xr:uid="{00000000-0005-0000-0000-0000CA770000}"/>
    <cellStyle name="Note 4 4 10 7" xfId="16791" xr:uid="{00000000-0005-0000-0000-0000CB770000}"/>
    <cellStyle name="Note 4 4 10 8" xfId="20733" xr:uid="{00000000-0005-0000-0000-0000CC770000}"/>
    <cellStyle name="Note 4 4 10 9" xfId="24549" xr:uid="{00000000-0005-0000-0000-0000CD770000}"/>
    <cellStyle name="Note 4 4 11" xfId="1286" xr:uid="{00000000-0005-0000-0000-0000CE770000}"/>
    <cellStyle name="Note 4 4 11 10" xfId="32573" xr:uid="{00000000-0005-0000-0000-0000CF770000}"/>
    <cellStyle name="Note 4 4 11 11" xfId="36343" xr:uid="{00000000-0005-0000-0000-0000D0770000}"/>
    <cellStyle name="Note 4 4 11 12" xfId="40335" xr:uid="{00000000-0005-0000-0000-0000D1770000}"/>
    <cellStyle name="Note 4 4 11 13" xfId="44165" xr:uid="{00000000-0005-0000-0000-0000D2770000}"/>
    <cellStyle name="Note 4 4 11 2" xfId="3276" xr:uid="{00000000-0005-0000-0000-0000D3770000}"/>
    <cellStyle name="Note 4 4 11 2 10" xfId="38327" xr:uid="{00000000-0005-0000-0000-0000D4770000}"/>
    <cellStyle name="Note 4 4 11 2 11" xfId="42338" xr:uid="{00000000-0005-0000-0000-0000D5770000}"/>
    <cellStyle name="Note 4 4 11 2 12" xfId="46103" xr:uid="{00000000-0005-0000-0000-0000D6770000}"/>
    <cellStyle name="Note 4 4 11 2 2" xfId="7143" xr:uid="{00000000-0005-0000-0000-0000D7770000}"/>
    <cellStyle name="Note 4 4 11 2 3" xfId="11578" xr:uid="{00000000-0005-0000-0000-0000D8770000}"/>
    <cellStyle name="Note 4 4 11 2 4" xfId="15423" xr:uid="{00000000-0005-0000-0000-0000D9770000}"/>
    <cellStyle name="Note 4 4 11 2 5" xfId="19270" xr:uid="{00000000-0005-0000-0000-0000DA770000}"/>
    <cellStyle name="Note 4 4 11 2 6" xfId="23186" xr:uid="{00000000-0005-0000-0000-0000DB770000}"/>
    <cellStyle name="Note 4 4 11 2 7" xfId="27020" xr:uid="{00000000-0005-0000-0000-0000DC770000}"/>
    <cellStyle name="Note 4 4 11 2 8" xfId="30890" xr:uid="{00000000-0005-0000-0000-0000DD770000}"/>
    <cellStyle name="Note 4 4 11 2 9" xfId="34541" xr:uid="{00000000-0005-0000-0000-0000DE770000}"/>
    <cellStyle name="Note 4 4 11 3" xfId="5219" xr:uid="{00000000-0005-0000-0000-0000DF770000}"/>
    <cellStyle name="Note 4 4 11 4" xfId="9577" xr:uid="{00000000-0005-0000-0000-0000E0770000}"/>
    <cellStyle name="Note 4 4 11 5" xfId="13423" xr:uid="{00000000-0005-0000-0000-0000E1770000}"/>
    <cellStyle name="Note 4 4 11 6" xfId="17252" xr:uid="{00000000-0005-0000-0000-0000E2770000}"/>
    <cellStyle name="Note 4 4 11 7" xfId="21191" xr:uid="{00000000-0005-0000-0000-0000E3770000}"/>
    <cellStyle name="Note 4 4 11 8" xfId="25004" xr:uid="{00000000-0005-0000-0000-0000E4770000}"/>
    <cellStyle name="Note 4 4 11 9" xfId="28892" xr:uid="{00000000-0005-0000-0000-0000E5770000}"/>
    <cellStyle name="Note 4 4 12" xfId="1982" xr:uid="{00000000-0005-0000-0000-0000E6770000}"/>
    <cellStyle name="Note 4 4 12 10" xfId="33269" xr:uid="{00000000-0005-0000-0000-0000E7770000}"/>
    <cellStyle name="Note 4 4 12 11" xfId="37039" xr:uid="{00000000-0005-0000-0000-0000E8770000}"/>
    <cellStyle name="Note 4 4 12 12" xfId="41030" xr:uid="{00000000-0005-0000-0000-0000E9770000}"/>
    <cellStyle name="Note 4 4 12 13" xfId="44861" xr:uid="{00000000-0005-0000-0000-0000EA770000}"/>
    <cellStyle name="Note 4 4 12 2" xfId="3972" xr:uid="{00000000-0005-0000-0000-0000EB770000}"/>
    <cellStyle name="Note 4 4 12 2 10" xfId="39023" xr:uid="{00000000-0005-0000-0000-0000EC770000}"/>
    <cellStyle name="Note 4 4 12 2 11" xfId="43034" xr:uid="{00000000-0005-0000-0000-0000ED770000}"/>
    <cellStyle name="Note 4 4 12 2 12" xfId="46799" xr:uid="{00000000-0005-0000-0000-0000EE770000}"/>
    <cellStyle name="Note 4 4 12 2 2" xfId="7839" xr:uid="{00000000-0005-0000-0000-0000EF770000}"/>
    <cellStyle name="Note 4 4 12 2 3" xfId="12274" xr:uid="{00000000-0005-0000-0000-0000F0770000}"/>
    <cellStyle name="Note 4 4 12 2 4" xfId="16119" xr:uid="{00000000-0005-0000-0000-0000F1770000}"/>
    <cellStyle name="Note 4 4 12 2 5" xfId="19966" xr:uid="{00000000-0005-0000-0000-0000F2770000}"/>
    <cellStyle name="Note 4 4 12 2 6" xfId="23882" xr:uid="{00000000-0005-0000-0000-0000F3770000}"/>
    <cellStyle name="Note 4 4 12 2 7" xfId="27716" xr:uid="{00000000-0005-0000-0000-0000F4770000}"/>
    <cellStyle name="Note 4 4 12 2 8" xfId="31576" xr:uid="{00000000-0005-0000-0000-0000F5770000}"/>
    <cellStyle name="Note 4 4 12 2 9" xfId="35237" xr:uid="{00000000-0005-0000-0000-0000F6770000}"/>
    <cellStyle name="Note 4 4 12 3" xfId="5915" xr:uid="{00000000-0005-0000-0000-0000F7770000}"/>
    <cellStyle name="Note 4 4 12 4" xfId="10273" xr:uid="{00000000-0005-0000-0000-0000F8770000}"/>
    <cellStyle name="Note 4 4 12 5" xfId="14119" xr:uid="{00000000-0005-0000-0000-0000F9770000}"/>
    <cellStyle name="Note 4 4 12 6" xfId="17948" xr:uid="{00000000-0005-0000-0000-0000FA770000}"/>
    <cellStyle name="Note 4 4 12 7" xfId="21887" xr:uid="{00000000-0005-0000-0000-0000FB770000}"/>
    <cellStyle name="Note 4 4 12 8" xfId="25700" xr:uid="{00000000-0005-0000-0000-0000FC770000}"/>
    <cellStyle name="Note 4 4 12 9" xfId="29587" xr:uid="{00000000-0005-0000-0000-0000FD770000}"/>
    <cellStyle name="Note 4 4 13" xfId="1274" xr:uid="{00000000-0005-0000-0000-0000FE770000}"/>
    <cellStyle name="Note 4 4 13 10" xfId="32561" xr:uid="{00000000-0005-0000-0000-0000FF770000}"/>
    <cellStyle name="Note 4 4 13 11" xfId="36331" xr:uid="{00000000-0005-0000-0000-000000780000}"/>
    <cellStyle name="Note 4 4 13 12" xfId="40323" xr:uid="{00000000-0005-0000-0000-000001780000}"/>
    <cellStyle name="Note 4 4 13 13" xfId="44153" xr:uid="{00000000-0005-0000-0000-000002780000}"/>
    <cellStyle name="Note 4 4 13 2" xfId="3264" xr:uid="{00000000-0005-0000-0000-000003780000}"/>
    <cellStyle name="Note 4 4 13 2 10" xfId="38315" xr:uid="{00000000-0005-0000-0000-000004780000}"/>
    <cellStyle name="Note 4 4 13 2 11" xfId="42326" xr:uid="{00000000-0005-0000-0000-000005780000}"/>
    <cellStyle name="Note 4 4 13 2 12" xfId="46091" xr:uid="{00000000-0005-0000-0000-000006780000}"/>
    <cellStyle name="Note 4 4 13 2 2" xfId="7131" xr:uid="{00000000-0005-0000-0000-000007780000}"/>
    <cellStyle name="Note 4 4 13 2 3" xfId="11566" xr:uid="{00000000-0005-0000-0000-000008780000}"/>
    <cellStyle name="Note 4 4 13 2 4" xfId="15411" xr:uid="{00000000-0005-0000-0000-000009780000}"/>
    <cellStyle name="Note 4 4 13 2 5" xfId="19258" xr:uid="{00000000-0005-0000-0000-00000A780000}"/>
    <cellStyle name="Note 4 4 13 2 6" xfId="23174" xr:uid="{00000000-0005-0000-0000-00000B780000}"/>
    <cellStyle name="Note 4 4 13 2 7" xfId="27008" xr:uid="{00000000-0005-0000-0000-00000C780000}"/>
    <cellStyle name="Note 4 4 13 2 8" xfId="30878" xr:uid="{00000000-0005-0000-0000-00000D780000}"/>
    <cellStyle name="Note 4 4 13 2 9" xfId="34529" xr:uid="{00000000-0005-0000-0000-00000E780000}"/>
    <cellStyle name="Note 4 4 13 3" xfId="5207" xr:uid="{00000000-0005-0000-0000-00000F780000}"/>
    <cellStyle name="Note 4 4 13 4" xfId="9565" xr:uid="{00000000-0005-0000-0000-000010780000}"/>
    <cellStyle name="Note 4 4 13 5" xfId="13411" xr:uid="{00000000-0005-0000-0000-000011780000}"/>
    <cellStyle name="Note 4 4 13 6" xfId="17240" xr:uid="{00000000-0005-0000-0000-000012780000}"/>
    <cellStyle name="Note 4 4 13 7" xfId="21179" xr:uid="{00000000-0005-0000-0000-000013780000}"/>
    <cellStyle name="Note 4 4 13 8" xfId="24992" xr:uid="{00000000-0005-0000-0000-000014780000}"/>
    <cellStyle name="Note 4 4 13 9" xfId="28880" xr:uid="{00000000-0005-0000-0000-000015780000}"/>
    <cellStyle name="Note 4 4 14" xfId="2167" xr:uid="{00000000-0005-0000-0000-000016780000}"/>
    <cellStyle name="Note 4 4 14 10" xfId="33468" xr:uid="{00000000-0005-0000-0000-000017780000}"/>
    <cellStyle name="Note 4 4 14 11" xfId="37219" xr:uid="{00000000-0005-0000-0000-000018780000}"/>
    <cellStyle name="Note 4 4 14 12" xfId="41235" xr:uid="{00000000-0005-0000-0000-000019780000}"/>
    <cellStyle name="Note 4 4 14 13" xfId="45030" xr:uid="{00000000-0005-0000-0000-00001A780000}"/>
    <cellStyle name="Note 4 4 14 2" xfId="4150" xr:uid="{00000000-0005-0000-0000-00001B780000}"/>
    <cellStyle name="Note 4 4 14 2 10" xfId="39201" xr:uid="{00000000-0005-0000-0000-00001C780000}"/>
    <cellStyle name="Note 4 4 14 2 11" xfId="43211" xr:uid="{00000000-0005-0000-0000-00001D780000}"/>
    <cellStyle name="Note 4 4 14 2 12" xfId="46968" xr:uid="{00000000-0005-0000-0000-00001E780000}"/>
    <cellStyle name="Note 4 4 14 2 2" xfId="8009" xr:uid="{00000000-0005-0000-0000-00001F780000}"/>
    <cellStyle name="Note 4 4 14 2 3" xfId="12449" xr:uid="{00000000-0005-0000-0000-000020780000}"/>
    <cellStyle name="Note 4 4 14 2 4" xfId="16294" xr:uid="{00000000-0005-0000-0000-000021780000}"/>
    <cellStyle name="Note 4 4 14 2 5" xfId="20144" xr:uid="{00000000-0005-0000-0000-000022780000}"/>
    <cellStyle name="Note 4 4 14 2 6" xfId="24056" xr:uid="{00000000-0005-0000-0000-000023780000}"/>
    <cellStyle name="Note 4 4 14 2 7" xfId="27894" xr:uid="{00000000-0005-0000-0000-000024780000}"/>
    <cellStyle name="Note 4 4 14 2 8" xfId="31753" xr:uid="{00000000-0005-0000-0000-000025780000}"/>
    <cellStyle name="Note 4 4 14 2 9" xfId="35406" xr:uid="{00000000-0005-0000-0000-000026780000}"/>
    <cellStyle name="Note 4 4 14 3" xfId="6083" xr:uid="{00000000-0005-0000-0000-000027780000}"/>
    <cellStyle name="Note 4 4 14 4" xfId="10484" xr:uid="{00000000-0005-0000-0000-000028780000}"/>
    <cellStyle name="Note 4 4 14 5" xfId="14330" xr:uid="{00000000-0005-0000-0000-000029780000}"/>
    <cellStyle name="Note 4 4 14 6" xfId="18161" xr:uid="{00000000-0005-0000-0000-00002A780000}"/>
    <cellStyle name="Note 4 4 14 7" xfId="22100" xr:uid="{00000000-0005-0000-0000-00002B780000}"/>
    <cellStyle name="Note 4 4 14 8" xfId="25912" xr:uid="{00000000-0005-0000-0000-00002C780000}"/>
    <cellStyle name="Note 4 4 14 9" xfId="29792" xr:uid="{00000000-0005-0000-0000-00002D780000}"/>
    <cellStyle name="Note 4 4 15" xfId="2237" xr:uid="{00000000-0005-0000-0000-00002E780000}"/>
    <cellStyle name="Note 4 4 15 10" xfId="33538" xr:uid="{00000000-0005-0000-0000-00002F780000}"/>
    <cellStyle name="Note 4 4 15 11" xfId="37289" xr:uid="{00000000-0005-0000-0000-000030780000}"/>
    <cellStyle name="Note 4 4 15 12" xfId="41305" xr:uid="{00000000-0005-0000-0000-000031780000}"/>
    <cellStyle name="Note 4 4 15 13" xfId="45100" xr:uid="{00000000-0005-0000-0000-000032780000}"/>
    <cellStyle name="Note 4 4 15 2" xfId="4220" xr:uid="{00000000-0005-0000-0000-000033780000}"/>
    <cellStyle name="Note 4 4 15 2 10" xfId="39271" xr:uid="{00000000-0005-0000-0000-000034780000}"/>
    <cellStyle name="Note 4 4 15 2 11" xfId="43281" xr:uid="{00000000-0005-0000-0000-000035780000}"/>
    <cellStyle name="Note 4 4 15 2 12" xfId="47038" xr:uid="{00000000-0005-0000-0000-000036780000}"/>
    <cellStyle name="Note 4 4 15 2 2" xfId="8079" xr:uid="{00000000-0005-0000-0000-000037780000}"/>
    <cellStyle name="Note 4 4 15 2 3" xfId="12519" xr:uid="{00000000-0005-0000-0000-000038780000}"/>
    <cellStyle name="Note 4 4 15 2 4" xfId="16364" xr:uid="{00000000-0005-0000-0000-000039780000}"/>
    <cellStyle name="Note 4 4 15 2 5" xfId="20214" xr:uid="{00000000-0005-0000-0000-00003A780000}"/>
    <cellStyle name="Note 4 4 15 2 6" xfId="24126" xr:uid="{00000000-0005-0000-0000-00003B780000}"/>
    <cellStyle name="Note 4 4 15 2 7" xfId="27964" xr:uid="{00000000-0005-0000-0000-00003C780000}"/>
    <cellStyle name="Note 4 4 15 2 8" xfId="31823" xr:uid="{00000000-0005-0000-0000-00003D780000}"/>
    <cellStyle name="Note 4 4 15 2 9" xfId="35476" xr:uid="{00000000-0005-0000-0000-00003E780000}"/>
    <cellStyle name="Note 4 4 15 3" xfId="6151" xr:uid="{00000000-0005-0000-0000-00003F780000}"/>
    <cellStyle name="Note 4 4 15 4" xfId="10554" xr:uid="{00000000-0005-0000-0000-000040780000}"/>
    <cellStyle name="Note 4 4 15 5" xfId="14400" xr:uid="{00000000-0005-0000-0000-000041780000}"/>
    <cellStyle name="Note 4 4 15 6" xfId="18231" xr:uid="{00000000-0005-0000-0000-000042780000}"/>
    <cellStyle name="Note 4 4 15 7" xfId="22170" xr:uid="{00000000-0005-0000-0000-000043780000}"/>
    <cellStyle name="Note 4 4 15 8" xfId="25982" xr:uid="{00000000-0005-0000-0000-000044780000}"/>
    <cellStyle name="Note 4 4 15 9" xfId="29862" xr:uid="{00000000-0005-0000-0000-000045780000}"/>
    <cellStyle name="Note 4 4 16" xfId="2119" xr:uid="{00000000-0005-0000-0000-000046780000}"/>
    <cellStyle name="Note 4 4 16 10" xfId="33423" xr:uid="{00000000-0005-0000-0000-000047780000}"/>
    <cellStyle name="Note 4 4 16 11" xfId="37171" xr:uid="{00000000-0005-0000-0000-000048780000}"/>
    <cellStyle name="Note 4 4 16 12" xfId="41187" xr:uid="{00000000-0005-0000-0000-000049780000}"/>
    <cellStyle name="Note 4 4 16 13" xfId="44985" xr:uid="{00000000-0005-0000-0000-00004A780000}"/>
    <cellStyle name="Note 4 4 16 2" xfId="4103" xr:uid="{00000000-0005-0000-0000-00004B780000}"/>
    <cellStyle name="Note 4 4 16 2 10" xfId="39154" xr:uid="{00000000-0005-0000-0000-00004C780000}"/>
    <cellStyle name="Note 4 4 16 2 11" xfId="43164" xr:uid="{00000000-0005-0000-0000-00004D780000}"/>
    <cellStyle name="Note 4 4 16 2 12" xfId="46923" xr:uid="{00000000-0005-0000-0000-00004E780000}"/>
    <cellStyle name="Note 4 4 16 2 2" xfId="7964" xr:uid="{00000000-0005-0000-0000-00004F780000}"/>
    <cellStyle name="Note 4 4 16 2 3" xfId="12403" xr:uid="{00000000-0005-0000-0000-000050780000}"/>
    <cellStyle name="Note 4 4 16 2 4" xfId="16248" xr:uid="{00000000-0005-0000-0000-000051780000}"/>
    <cellStyle name="Note 4 4 16 2 5" xfId="20097" xr:uid="{00000000-0005-0000-0000-000052780000}"/>
    <cellStyle name="Note 4 4 16 2 6" xfId="24011" xr:uid="{00000000-0005-0000-0000-000053780000}"/>
    <cellStyle name="Note 4 4 16 2 7" xfId="27847" xr:uid="{00000000-0005-0000-0000-000054780000}"/>
    <cellStyle name="Note 4 4 16 2 8" xfId="31706" xr:uid="{00000000-0005-0000-0000-000055780000}"/>
    <cellStyle name="Note 4 4 16 2 9" xfId="35361" xr:uid="{00000000-0005-0000-0000-000056780000}"/>
    <cellStyle name="Note 4 4 16 3" xfId="6039" xr:uid="{00000000-0005-0000-0000-000057780000}"/>
    <cellStyle name="Note 4 4 16 4" xfId="10437" xr:uid="{00000000-0005-0000-0000-000058780000}"/>
    <cellStyle name="Note 4 4 16 5" xfId="14285" xr:uid="{00000000-0005-0000-0000-000059780000}"/>
    <cellStyle name="Note 4 4 16 6" xfId="18113" xr:uid="{00000000-0005-0000-0000-00005A780000}"/>
    <cellStyle name="Note 4 4 16 7" xfId="22055" xr:uid="{00000000-0005-0000-0000-00005B780000}"/>
    <cellStyle name="Note 4 4 16 8" xfId="25864" xr:uid="{00000000-0005-0000-0000-00005C780000}"/>
    <cellStyle name="Note 4 4 16 9" xfId="29744" xr:uid="{00000000-0005-0000-0000-00005D780000}"/>
    <cellStyle name="Note 4 4 17" xfId="2353" xr:uid="{00000000-0005-0000-0000-00005E780000}"/>
    <cellStyle name="Note 4 4 17 10" xfId="37405" xr:uid="{00000000-0005-0000-0000-00005F780000}"/>
    <cellStyle name="Note 4 4 17 11" xfId="41421" xr:uid="{00000000-0005-0000-0000-000060780000}"/>
    <cellStyle name="Note 4 4 17 12" xfId="45214" xr:uid="{00000000-0005-0000-0000-000061780000}"/>
    <cellStyle name="Note 4 4 17 2" xfId="4336" xr:uid="{00000000-0005-0000-0000-000062780000}"/>
    <cellStyle name="Note 4 4 17 2 10" xfId="39387" xr:uid="{00000000-0005-0000-0000-000063780000}"/>
    <cellStyle name="Note 4 4 17 2 11" xfId="43397" xr:uid="{00000000-0005-0000-0000-000064780000}"/>
    <cellStyle name="Note 4 4 17 2 12" xfId="47152" xr:uid="{00000000-0005-0000-0000-000065780000}"/>
    <cellStyle name="Note 4 4 17 2 2" xfId="8193" xr:uid="{00000000-0005-0000-0000-000066780000}"/>
    <cellStyle name="Note 4 4 17 2 3" xfId="12635" xr:uid="{00000000-0005-0000-0000-000067780000}"/>
    <cellStyle name="Note 4 4 17 2 4" xfId="16479" xr:uid="{00000000-0005-0000-0000-000068780000}"/>
    <cellStyle name="Note 4 4 17 2 5" xfId="20330" xr:uid="{00000000-0005-0000-0000-000069780000}"/>
    <cellStyle name="Note 4 4 17 2 6" xfId="24241" xr:uid="{00000000-0005-0000-0000-00006A780000}"/>
    <cellStyle name="Note 4 4 17 2 7" xfId="28080" xr:uid="{00000000-0005-0000-0000-00006B780000}"/>
    <cellStyle name="Note 4 4 17 2 8" xfId="31938" xr:uid="{00000000-0005-0000-0000-00006C780000}"/>
    <cellStyle name="Note 4 4 17 2 9" xfId="35590" xr:uid="{00000000-0005-0000-0000-00006D780000}"/>
    <cellStyle name="Note 4 4 17 3" xfId="10670" xr:uid="{00000000-0005-0000-0000-00006E780000}"/>
    <cellStyle name="Note 4 4 17 4" xfId="14515" xr:uid="{00000000-0005-0000-0000-00006F780000}"/>
    <cellStyle name="Note 4 4 17 5" xfId="18347" xr:uid="{00000000-0005-0000-0000-000070780000}"/>
    <cellStyle name="Note 4 4 17 6" xfId="22285" xr:uid="{00000000-0005-0000-0000-000071780000}"/>
    <cellStyle name="Note 4 4 17 7" xfId="26098" xr:uid="{00000000-0005-0000-0000-000072780000}"/>
    <cellStyle name="Note 4 4 17 8" xfId="29978" xr:uid="{00000000-0005-0000-0000-000073780000}"/>
    <cellStyle name="Note 4 4 17 9" xfId="33652" xr:uid="{00000000-0005-0000-0000-000074780000}"/>
    <cellStyle name="Note 4 4 18" xfId="2410" xr:uid="{00000000-0005-0000-0000-000075780000}"/>
    <cellStyle name="Note 4 4 18 10" xfId="33708" xr:uid="{00000000-0005-0000-0000-000076780000}"/>
    <cellStyle name="Note 4 4 18 11" xfId="37462" xr:uid="{00000000-0005-0000-0000-000077780000}"/>
    <cellStyle name="Note 4 4 18 12" xfId="41477" xr:uid="{00000000-0005-0000-0000-000078780000}"/>
    <cellStyle name="Note 4 4 18 13" xfId="45270" xr:uid="{00000000-0005-0000-0000-000079780000}"/>
    <cellStyle name="Note 4 4 18 2" xfId="4393" xr:uid="{00000000-0005-0000-0000-00007A780000}"/>
    <cellStyle name="Note 4 4 18 2 10" xfId="39444" xr:uid="{00000000-0005-0000-0000-00007B780000}"/>
    <cellStyle name="Note 4 4 18 2 11" xfId="43453" xr:uid="{00000000-0005-0000-0000-00007C780000}"/>
    <cellStyle name="Note 4 4 18 2 12" xfId="47208" xr:uid="{00000000-0005-0000-0000-00007D780000}"/>
    <cellStyle name="Note 4 4 18 2 2" xfId="8250" xr:uid="{00000000-0005-0000-0000-00007E780000}"/>
    <cellStyle name="Note 4 4 18 2 3" xfId="12691" xr:uid="{00000000-0005-0000-0000-00007F780000}"/>
    <cellStyle name="Note 4 4 18 2 4" xfId="16536" xr:uid="{00000000-0005-0000-0000-000080780000}"/>
    <cellStyle name="Note 4 4 18 2 5" xfId="20387" xr:uid="{00000000-0005-0000-0000-000081780000}"/>
    <cellStyle name="Note 4 4 18 2 6" xfId="24298" xr:uid="{00000000-0005-0000-0000-000082780000}"/>
    <cellStyle name="Note 4 4 18 2 7" xfId="28137" xr:uid="{00000000-0005-0000-0000-000083780000}"/>
    <cellStyle name="Note 4 4 18 2 8" xfId="31995" xr:uid="{00000000-0005-0000-0000-000084780000}"/>
    <cellStyle name="Note 4 4 18 2 9" xfId="35646" xr:uid="{00000000-0005-0000-0000-000085780000}"/>
    <cellStyle name="Note 4 4 18 3" xfId="6306" xr:uid="{00000000-0005-0000-0000-000086780000}"/>
    <cellStyle name="Note 4 4 18 4" xfId="10726" xr:uid="{00000000-0005-0000-0000-000087780000}"/>
    <cellStyle name="Note 4 4 18 5" xfId="14572" xr:uid="{00000000-0005-0000-0000-000088780000}"/>
    <cellStyle name="Note 4 4 18 6" xfId="18404" xr:uid="{00000000-0005-0000-0000-000089780000}"/>
    <cellStyle name="Note 4 4 18 7" xfId="22342" xr:uid="{00000000-0005-0000-0000-00008A780000}"/>
    <cellStyle name="Note 4 4 18 8" xfId="26155" xr:uid="{00000000-0005-0000-0000-00008B780000}"/>
    <cellStyle name="Note 4 4 18 9" xfId="30034" xr:uid="{00000000-0005-0000-0000-00008C780000}"/>
    <cellStyle name="Note 4 4 19" xfId="2461" xr:uid="{00000000-0005-0000-0000-00008D780000}"/>
    <cellStyle name="Note 4 4 19 10" xfId="33757" xr:uid="{00000000-0005-0000-0000-00008E780000}"/>
    <cellStyle name="Note 4 4 19 11" xfId="37513" xr:uid="{00000000-0005-0000-0000-00008F780000}"/>
    <cellStyle name="Note 4 4 19 12" xfId="41528" xr:uid="{00000000-0005-0000-0000-000090780000}"/>
    <cellStyle name="Note 4 4 19 13" xfId="45319" xr:uid="{00000000-0005-0000-0000-000091780000}"/>
    <cellStyle name="Note 4 4 19 2" xfId="4444" xr:uid="{00000000-0005-0000-0000-000092780000}"/>
    <cellStyle name="Note 4 4 19 2 10" xfId="39495" xr:uid="{00000000-0005-0000-0000-000093780000}"/>
    <cellStyle name="Note 4 4 19 2 11" xfId="43504" xr:uid="{00000000-0005-0000-0000-000094780000}"/>
    <cellStyle name="Note 4 4 19 2 12" xfId="47257" xr:uid="{00000000-0005-0000-0000-000095780000}"/>
    <cellStyle name="Note 4 4 19 2 2" xfId="8299" xr:uid="{00000000-0005-0000-0000-000096780000}"/>
    <cellStyle name="Note 4 4 19 2 3" xfId="12742" xr:uid="{00000000-0005-0000-0000-000097780000}"/>
    <cellStyle name="Note 4 4 19 2 4" xfId="16585" xr:uid="{00000000-0005-0000-0000-000098780000}"/>
    <cellStyle name="Note 4 4 19 2 5" xfId="20438" xr:uid="{00000000-0005-0000-0000-000099780000}"/>
    <cellStyle name="Note 4 4 19 2 6" xfId="24348" xr:uid="{00000000-0005-0000-0000-00009A780000}"/>
    <cellStyle name="Note 4 4 19 2 7" xfId="28188" xr:uid="{00000000-0005-0000-0000-00009B780000}"/>
    <cellStyle name="Note 4 4 19 2 8" xfId="32046" xr:uid="{00000000-0005-0000-0000-00009C780000}"/>
    <cellStyle name="Note 4 4 19 2 9" xfId="35695" xr:uid="{00000000-0005-0000-0000-00009D780000}"/>
    <cellStyle name="Note 4 4 19 3" xfId="6355" xr:uid="{00000000-0005-0000-0000-00009E780000}"/>
    <cellStyle name="Note 4 4 19 4" xfId="10777" xr:uid="{00000000-0005-0000-0000-00009F780000}"/>
    <cellStyle name="Note 4 4 19 5" xfId="14622" xr:uid="{00000000-0005-0000-0000-0000A0780000}"/>
    <cellStyle name="Note 4 4 19 6" xfId="18455" xr:uid="{00000000-0005-0000-0000-0000A1780000}"/>
    <cellStyle name="Note 4 4 19 7" xfId="22392" xr:uid="{00000000-0005-0000-0000-0000A2780000}"/>
    <cellStyle name="Note 4 4 19 8" xfId="26206" xr:uid="{00000000-0005-0000-0000-0000A3780000}"/>
    <cellStyle name="Note 4 4 19 9" xfId="30085" xr:uid="{00000000-0005-0000-0000-0000A4780000}"/>
    <cellStyle name="Note 4 4 2" xfId="489" xr:uid="{00000000-0005-0000-0000-0000A5780000}"/>
    <cellStyle name="Note 4 4 2 10" xfId="1983" xr:uid="{00000000-0005-0000-0000-0000A6780000}"/>
    <cellStyle name="Note 4 4 2 10 10" xfId="33270" xr:uid="{00000000-0005-0000-0000-0000A7780000}"/>
    <cellStyle name="Note 4 4 2 10 11" xfId="37040" xr:uid="{00000000-0005-0000-0000-0000A8780000}"/>
    <cellStyle name="Note 4 4 2 10 12" xfId="41031" xr:uid="{00000000-0005-0000-0000-0000A9780000}"/>
    <cellStyle name="Note 4 4 2 10 13" xfId="44862" xr:uid="{00000000-0005-0000-0000-0000AA780000}"/>
    <cellStyle name="Note 4 4 2 10 2" xfId="3973" xr:uid="{00000000-0005-0000-0000-0000AB780000}"/>
    <cellStyle name="Note 4 4 2 10 2 10" xfId="39024" xr:uid="{00000000-0005-0000-0000-0000AC780000}"/>
    <cellStyle name="Note 4 4 2 10 2 11" xfId="43035" xr:uid="{00000000-0005-0000-0000-0000AD780000}"/>
    <cellStyle name="Note 4 4 2 10 2 12" xfId="46800" xr:uid="{00000000-0005-0000-0000-0000AE780000}"/>
    <cellStyle name="Note 4 4 2 10 2 2" xfId="7840" xr:uid="{00000000-0005-0000-0000-0000AF780000}"/>
    <cellStyle name="Note 4 4 2 10 2 3" xfId="12275" xr:uid="{00000000-0005-0000-0000-0000B0780000}"/>
    <cellStyle name="Note 4 4 2 10 2 4" xfId="16120" xr:uid="{00000000-0005-0000-0000-0000B1780000}"/>
    <cellStyle name="Note 4 4 2 10 2 5" xfId="19967" xr:uid="{00000000-0005-0000-0000-0000B2780000}"/>
    <cellStyle name="Note 4 4 2 10 2 6" xfId="23883" xr:uid="{00000000-0005-0000-0000-0000B3780000}"/>
    <cellStyle name="Note 4 4 2 10 2 7" xfId="27717" xr:uid="{00000000-0005-0000-0000-0000B4780000}"/>
    <cellStyle name="Note 4 4 2 10 2 8" xfId="31577" xr:uid="{00000000-0005-0000-0000-0000B5780000}"/>
    <cellStyle name="Note 4 4 2 10 2 9" xfId="35238" xr:uid="{00000000-0005-0000-0000-0000B6780000}"/>
    <cellStyle name="Note 4 4 2 10 3" xfId="5916" xr:uid="{00000000-0005-0000-0000-0000B7780000}"/>
    <cellStyle name="Note 4 4 2 10 4" xfId="10274" xr:uid="{00000000-0005-0000-0000-0000B8780000}"/>
    <cellStyle name="Note 4 4 2 10 5" xfId="14120" xr:uid="{00000000-0005-0000-0000-0000B9780000}"/>
    <cellStyle name="Note 4 4 2 10 6" xfId="17949" xr:uid="{00000000-0005-0000-0000-0000BA780000}"/>
    <cellStyle name="Note 4 4 2 10 7" xfId="21888" xr:uid="{00000000-0005-0000-0000-0000BB780000}"/>
    <cellStyle name="Note 4 4 2 10 8" xfId="25701" xr:uid="{00000000-0005-0000-0000-0000BC780000}"/>
    <cellStyle name="Note 4 4 2 10 9" xfId="29588" xr:uid="{00000000-0005-0000-0000-0000BD780000}"/>
    <cellStyle name="Note 4 4 2 11" xfId="1275" xr:uid="{00000000-0005-0000-0000-0000BE780000}"/>
    <cellStyle name="Note 4 4 2 11 10" xfId="32562" xr:uid="{00000000-0005-0000-0000-0000BF780000}"/>
    <cellStyle name="Note 4 4 2 11 11" xfId="36332" xr:uid="{00000000-0005-0000-0000-0000C0780000}"/>
    <cellStyle name="Note 4 4 2 11 12" xfId="40324" xr:uid="{00000000-0005-0000-0000-0000C1780000}"/>
    <cellStyle name="Note 4 4 2 11 13" xfId="44154" xr:uid="{00000000-0005-0000-0000-0000C2780000}"/>
    <cellStyle name="Note 4 4 2 11 2" xfId="3265" xr:uid="{00000000-0005-0000-0000-0000C3780000}"/>
    <cellStyle name="Note 4 4 2 11 2 10" xfId="38316" xr:uid="{00000000-0005-0000-0000-0000C4780000}"/>
    <cellStyle name="Note 4 4 2 11 2 11" xfId="42327" xr:uid="{00000000-0005-0000-0000-0000C5780000}"/>
    <cellStyle name="Note 4 4 2 11 2 12" xfId="46092" xr:uid="{00000000-0005-0000-0000-0000C6780000}"/>
    <cellStyle name="Note 4 4 2 11 2 2" xfId="7132" xr:uid="{00000000-0005-0000-0000-0000C7780000}"/>
    <cellStyle name="Note 4 4 2 11 2 3" xfId="11567" xr:uid="{00000000-0005-0000-0000-0000C8780000}"/>
    <cellStyle name="Note 4 4 2 11 2 4" xfId="15412" xr:uid="{00000000-0005-0000-0000-0000C9780000}"/>
    <cellStyle name="Note 4 4 2 11 2 5" xfId="19259" xr:uid="{00000000-0005-0000-0000-0000CA780000}"/>
    <cellStyle name="Note 4 4 2 11 2 6" xfId="23175" xr:uid="{00000000-0005-0000-0000-0000CB780000}"/>
    <cellStyle name="Note 4 4 2 11 2 7" xfId="27009" xr:uid="{00000000-0005-0000-0000-0000CC780000}"/>
    <cellStyle name="Note 4 4 2 11 2 8" xfId="30879" xr:uid="{00000000-0005-0000-0000-0000CD780000}"/>
    <cellStyle name="Note 4 4 2 11 2 9" xfId="34530" xr:uid="{00000000-0005-0000-0000-0000CE780000}"/>
    <cellStyle name="Note 4 4 2 11 3" xfId="5208" xr:uid="{00000000-0005-0000-0000-0000CF780000}"/>
    <cellStyle name="Note 4 4 2 11 4" xfId="9566" xr:uid="{00000000-0005-0000-0000-0000D0780000}"/>
    <cellStyle name="Note 4 4 2 11 5" xfId="13412" xr:uid="{00000000-0005-0000-0000-0000D1780000}"/>
    <cellStyle name="Note 4 4 2 11 6" xfId="17241" xr:uid="{00000000-0005-0000-0000-0000D2780000}"/>
    <cellStyle name="Note 4 4 2 11 7" xfId="21180" xr:uid="{00000000-0005-0000-0000-0000D3780000}"/>
    <cellStyle name="Note 4 4 2 11 8" xfId="24993" xr:uid="{00000000-0005-0000-0000-0000D4780000}"/>
    <cellStyle name="Note 4 4 2 11 9" xfId="28881" xr:uid="{00000000-0005-0000-0000-0000D5780000}"/>
    <cellStyle name="Note 4 4 2 12" xfId="2168" xr:uid="{00000000-0005-0000-0000-0000D6780000}"/>
    <cellStyle name="Note 4 4 2 12 10" xfId="33469" xr:uid="{00000000-0005-0000-0000-0000D7780000}"/>
    <cellStyle name="Note 4 4 2 12 11" xfId="37220" xr:uid="{00000000-0005-0000-0000-0000D8780000}"/>
    <cellStyle name="Note 4 4 2 12 12" xfId="41236" xr:uid="{00000000-0005-0000-0000-0000D9780000}"/>
    <cellStyle name="Note 4 4 2 12 13" xfId="45031" xr:uid="{00000000-0005-0000-0000-0000DA780000}"/>
    <cellStyle name="Note 4 4 2 12 2" xfId="4151" xr:uid="{00000000-0005-0000-0000-0000DB780000}"/>
    <cellStyle name="Note 4 4 2 12 2 10" xfId="39202" xr:uid="{00000000-0005-0000-0000-0000DC780000}"/>
    <cellStyle name="Note 4 4 2 12 2 11" xfId="43212" xr:uid="{00000000-0005-0000-0000-0000DD780000}"/>
    <cellStyle name="Note 4 4 2 12 2 12" xfId="46969" xr:uid="{00000000-0005-0000-0000-0000DE780000}"/>
    <cellStyle name="Note 4 4 2 12 2 2" xfId="8010" xr:uid="{00000000-0005-0000-0000-0000DF780000}"/>
    <cellStyle name="Note 4 4 2 12 2 3" xfId="12450" xr:uid="{00000000-0005-0000-0000-0000E0780000}"/>
    <cellStyle name="Note 4 4 2 12 2 4" xfId="16295" xr:uid="{00000000-0005-0000-0000-0000E1780000}"/>
    <cellStyle name="Note 4 4 2 12 2 5" xfId="20145" xr:uid="{00000000-0005-0000-0000-0000E2780000}"/>
    <cellStyle name="Note 4 4 2 12 2 6" xfId="24057" xr:uid="{00000000-0005-0000-0000-0000E3780000}"/>
    <cellStyle name="Note 4 4 2 12 2 7" xfId="27895" xr:uid="{00000000-0005-0000-0000-0000E4780000}"/>
    <cellStyle name="Note 4 4 2 12 2 8" xfId="31754" xr:uid="{00000000-0005-0000-0000-0000E5780000}"/>
    <cellStyle name="Note 4 4 2 12 2 9" xfId="35407" xr:uid="{00000000-0005-0000-0000-0000E6780000}"/>
    <cellStyle name="Note 4 4 2 12 3" xfId="6084" xr:uid="{00000000-0005-0000-0000-0000E7780000}"/>
    <cellStyle name="Note 4 4 2 12 4" xfId="10485" xr:uid="{00000000-0005-0000-0000-0000E8780000}"/>
    <cellStyle name="Note 4 4 2 12 5" xfId="14331" xr:uid="{00000000-0005-0000-0000-0000E9780000}"/>
    <cellStyle name="Note 4 4 2 12 6" xfId="18162" xr:uid="{00000000-0005-0000-0000-0000EA780000}"/>
    <cellStyle name="Note 4 4 2 12 7" xfId="22101" xr:uid="{00000000-0005-0000-0000-0000EB780000}"/>
    <cellStyle name="Note 4 4 2 12 8" xfId="25913" xr:uid="{00000000-0005-0000-0000-0000EC780000}"/>
    <cellStyle name="Note 4 4 2 12 9" xfId="29793" xr:uid="{00000000-0005-0000-0000-0000ED780000}"/>
    <cellStyle name="Note 4 4 2 13" xfId="2238" xr:uid="{00000000-0005-0000-0000-0000EE780000}"/>
    <cellStyle name="Note 4 4 2 13 10" xfId="33539" xr:uid="{00000000-0005-0000-0000-0000EF780000}"/>
    <cellStyle name="Note 4 4 2 13 11" xfId="37290" xr:uid="{00000000-0005-0000-0000-0000F0780000}"/>
    <cellStyle name="Note 4 4 2 13 12" xfId="41306" xr:uid="{00000000-0005-0000-0000-0000F1780000}"/>
    <cellStyle name="Note 4 4 2 13 13" xfId="45101" xr:uid="{00000000-0005-0000-0000-0000F2780000}"/>
    <cellStyle name="Note 4 4 2 13 2" xfId="4221" xr:uid="{00000000-0005-0000-0000-0000F3780000}"/>
    <cellStyle name="Note 4 4 2 13 2 10" xfId="39272" xr:uid="{00000000-0005-0000-0000-0000F4780000}"/>
    <cellStyle name="Note 4 4 2 13 2 11" xfId="43282" xr:uid="{00000000-0005-0000-0000-0000F5780000}"/>
    <cellStyle name="Note 4 4 2 13 2 12" xfId="47039" xr:uid="{00000000-0005-0000-0000-0000F6780000}"/>
    <cellStyle name="Note 4 4 2 13 2 2" xfId="8080" xr:uid="{00000000-0005-0000-0000-0000F7780000}"/>
    <cellStyle name="Note 4 4 2 13 2 3" xfId="12520" xr:uid="{00000000-0005-0000-0000-0000F8780000}"/>
    <cellStyle name="Note 4 4 2 13 2 4" xfId="16365" xr:uid="{00000000-0005-0000-0000-0000F9780000}"/>
    <cellStyle name="Note 4 4 2 13 2 5" xfId="20215" xr:uid="{00000000-0005-0000-0000-0000FA780000}"/>
    <cellStyle name="Note 4 4 2 13 2 6" xfId="24127" xr:uid="{00000000-0005-0000-0000-0000FB780000}"/>
    <cellStyle name="Note 4 4 2 13 2 7" xfId="27965" xr:uid="{00000000-0005-0000-0000-0000FC780000}"/>
    <cellStyle name="Note 4 4 2 13 2 8" xfId="31824" xr:uid="{00000000-0005-0000-0000-0000FD780000}"/>
    <cellStyle name="Note 4 4 2 13 2 9" xfId="35477" xr:uid="{00000000-0005-0000-0000-0000FE780000}"/>
    <cellStyle name="Note 4 4 2 13 3" xfId="6152" xr:uid="{00000000-0005-0000-0000-0000FF780000}"/>
    <cellStyle name="Note 4 4 2 13 4" xfId="10555" xr:uid="{00000000-0005-0000-0000-000000790000}"/>
    <cellStyle name="Note 4 4 2 13 5" xfId="14401" xr:uid="{00000000-0005-0000-0000-000001790000}"/>
    <cellStyle name="Note 4 4 2 13 6" xfId="18232" xr:uid="{00000000-0005-0000-0000-000002790000}"/>
    <cellStyle name="Note 4 4 2 13 7" xfId="22171" xr:uid="{00000000-0005-0000-0000-000003790000}"/>
    <cellStyle name="Note 4 4 2 13 8" xfId="25983" xr:uid="{00000000-0005-0000-0000-000004790000}"/>
    <cellStyle name="Note 4 4 2 13 9" xfId="29863" xr:uid="{00000000-0005-0000-0000-000005790000}"/>
    <cellStyle name="Note 4 4 2 14" xfId="2120" xr:uid="{00000000-0005-0000-0000-000006790000}"/>
    <cellStyle name="Note 4 4 2 14 10" xfId="33424" xr:uid="{00000000-0005-0000-0000-000007790000}"/>
    <cellStyle name="Note 4 4 2 14 11" xfId="37172" xr:uid="{00000000-0005-0000-0000-000008790000}"/>
    <cellStyle name="Note 4 4 2 14 12" xfId="41188" xr:uid="{00000000-0005-0000-0000-000009790000}"/>
    <cellStyle name="Note 4 4 2 14 13" xfId="44986" xr:uid="{00000000-0005-0000-0000-00000A790000}"/>
    <cellStyle name="Note 4 4 2 14 2" xfId="4104" xr:uid="{00000000-0005-0000-0000-00000B790000}"/>
    <cellStyle name="Note 4 4 2 14 2 10" xfId="39155" xr:uid="{00000000-0005-0000-0000-00000C790000}"/>
    <cellStyle name="Note 4 4 2 14 2 11" xfId="43165" xr:uid="{00000000-0005-0000-0000-00000D790000}"/>
    <cellStyle name="Note 4 4 2 14 2 12" xfId="46924" xr:uid="{00000000-0005-0000-0000-00000E790000}"/>
    <cellStyle name="Note 4 4 2 14 2 2" xfId="7965" xr:uid="{00000000-0005-0000-0000-00000F790000}"/>
    <cellStyle name="Note 4 4 2 14 2 3" xfId="12404" xr:uid="{00000000-0005-0000-0000-000010790000}"/>
    <cellStyle name="Note 4 4 2 14 2 4" xfId="16249" xr:uid="{00000000-0005-0000-0000-000011790000}"/>
    <cellStyle name="Note 4 4 2 14 2 5" xfId="20098" xr:uid="{00000000-0005-0000-0000-000012790000}"/>
    <cellStyle name="Note 4 4 2 14 2 6" xfId="24012" xr:uid="{00000000-0005-0000-0000-000013790000}"/>
    <cellStyle name="Note 4 4 2 14 2 7" xfId="27848" xr:uid="{00000000-0005-0000-0000-000014790000}"/>
    <cellStyle name="Note 4 4 2 14 2 8" xfId="31707" xr:uid="{00000000-0005-0000-0000-000015790000}"/>
    <cellStyle name="Note 4 4 2 14 2 9" xfId="35362" xr:uid="{00000000-0005-0000-0000-000016790000}"/>
    <cellStyle name="Note 4 4 2 14 3" xfId="6040" xr:uid="{00000000-0005-0000-0000-000017790000}"/>
    <cellStyle name="Note 4 4 2 14 4" xfId="10438" xr:uid="{00000000-0005-0000-0000-000018790000}"/>
    <cellStyle name="Note 4 4 2 14 5" xfId="14286" xr:uid="{00000000-0005-0000-0000-000019790000}"/>
    <cellStyle name="Note 4 4 2 14 6" xfId="18114" xr:uid="{00000000-0005-0000-0000-00001A790000}"/>
    <cellStyle name="Note 4 4 2 14 7" xfId="22056" xr:uid="{00000000-0005-0000-0000-00001B790000}"/>
    <cellStyle name="Note 4 4 2 14 8" xfId="25865" xr:uid="{00000000-0005-0000-0000-00001C790000}"/>
    <cellStyle name="Note 4 4 2 14 9" xfId="29745" xr:uid="{00000000-0005-0000-0000-00001D790000}"/>
    <cellStyle name="Note 4 4 2 15" xfId="2354" xr:uid="{00000000-0005-0000-0000-00001E790000}"/>
    <cellStyle name="Note 4 4 2 15 10" xfId="37406" xr:uid="{00000000-0005-0000-0000-00001F790000}"/>
    <cellStyle name="Note 4 4 2 15 11" xfId="41422" xr:uid="{00000000-0005-0000-0000-000020790000}"/>
    <cellStyle name="Note 4 4 2 15 12" xfId="45215" xr:uid="{00000000-0005-0000-0000-000021790000}"/>
    <cellStyle name="Note 4 4 2 15 2" xfId="4337" xr:uid="{00000000-0005-0000-0000-000022790000}"/>
    <cellStyle name="Note 4 4 2 15 2 10" xfId="39388" xr:uid="{00000000-0005-0000-0000-000023790000}"/>
    <cellStyle name="Note 4 4 2 15 2 11" xfId="43398" xr:uid="{00000000-0005-0000-0000-000024790000}"/>
    <cellStyle name="Note 4 4 2 15 2 12" xfId="47153" xr:uid="{00000000-0005-0000-0000-000025790000}"/>
    <cellStyle name="Note 4 4 2 15 2 2" xfId="8194" xr:uid="{00000000-0005-0000-0000-000026790000}"/>
    <cellStyle name="Note 4 4 2 15 2 3" xfId="12636" xr:uid="{00000000-0005-0000-0000-000027790000}"/>
    <cellStyle name="Note 4 4 2 15 2 4" xfId="16480" xr:uid="{00000000-0005-0000-0000-000028790000}"/>
    <cellStyle name="Note 4 4 2 15 2 5" xfId="20331" xr:uid="{00000000-0005-0000-0000-000029790000}"/>
    <cellStyle name="Note 4 4 2 15 2 6" xfId="24242" xr:uid="{00000000-0005-0000-0000-00002A790000}"/>
    <cellStyle name="Note 4 4 2 15 2 7" xfId="28081" xr:uid="{00000000-0005-0000-0000-00002B790000}"/>
    <cellStyle name="Note 4 4 2 15 2 8" xfId="31939" xr:uid="{00000000-0005-0000-0000-00002C790000}"/>
    <cellStyle name="Note 4 4 2 15 2 9" xfId="35591" xr:uid="{00000000-0005-0000-0000-00002D790000}"/>
    <cellStyle name="Note 4 4 2 15 3" xfId="10671" xr:uid="{00000000-0005-0000-0000-00002E790000}"/>
    <cellStyle name="Note 4 4 2 15 4" xfId="14516" xr:uid="{00000000-0005-0000-0000-00002F790000}"/>
    <cellStyle name="Note 4 4 2 15 5" xfId="18348" xr:uid="{00000000-0005-0000-0000-000030790000}"/>
    <cellStyle name="Note 4 4 2 15 6" xfId="22286" xr:uid="{00000000-0005-0000-0000-000031790000}"/>
    <cellStyle name="Note 4 4 2 15 7" xfId="26099" xr:uid="{00000000-0005-0000-0000-000032790000}"/>
    <cellStyle name="Note 4 4 2 15 8" xfId="29979" xr:uid="{00000000-0005-0000-0000-000033790000}"/>
    <cellStyle name="Note 4 4 2 15 9" xfId="33653" xr:uid="{00000000-0005-0000-0000-000034790000}"/>
    <cellStyle name="Note 4 4 2 16" xfId="2411" xr:uid="{00000000-0005-0000-0000-000035790000}"/>
    <cellStyle name="Note 4 4 2 16 10" xfId="33709" xr:uid="{00000000-0005-0000-0000-000036790000}"/>
    <cellStyle name="Note 4 4 2 16 11" xfId="37463" xr:uid="{00000000-0005-0000-0000-000037790000}"/>
    <cellStyle name="Note 4 4 2 16 12" xfId="41478" xr:uid="{00000000-0005-0000-0000-000038790000}"/>
    <cellStyle name="Note 4 4 2 16 13" xfId="45271" xr:uid="{00000000-0005-0000-0000-000039790000}"/>
    <cellStyle name="Note 4 4 2 16 2" xfId="4394" xr:uid="{00000000-0005-0000-0000-00003A790000}"/>
    <cellStyle name="Note 4 4 2 16 2 10" xfId="39445" xr:uid="{00000000-0005-0000-0000-00003B790000}"/>
    <cellStyle name="Note 4 4 2 16 2 11" xfId="43454" xr:uid="{00000000-0005-0000-0000-00003C790000}"/>
    <cellStyle name="Note 4 4 2 16 2 12" xfId="47209" xr:uid="{00000000-0005-0000-0000-00003D790000}"/>
    <cellStyle name="Note 4 4 2 16 2 2" xfId="8251" xr:uid="{00000000-0005-0000-0000-00003E790000}"/>
    <cellStyle name="Note 4 4 2 16 2 3" xfId="12692" xr:uid="{00000000-0005-0000-0000-00003F790000}"/>
    <cellStyle name="Note 4 4 2 16 2 4" xfId="16537" xr:uid="{00000000-0005-0000-0000-000040790000}"/>
    <cellStyle name="Note 4 4 2 16 2 5" xfId="20388" xr:uid="{00000000-0005-0000-0000-000041790000}"/>
    <cellStyle name="Note 4 4 2 16 2 6" xfId="24299" xr:uid="{00000000-0005-0000-0000-000042790000}"/>
    <cellStyle name="Note 4 4 2 16 2 7" xfId="28138" xr:uid="{00000000-0005-0000-0000-000043790000}"/>
    <cellStyle name="Note 4 4 2 16 2 8" xfId="31996" xr:uid="{00000000-0005-0000-0000-000044790000}"/>
    <cellStyle name="Note 4 4 2 16 2 9" xfId="35647" xr:uid="{00000000-0005-0000-0000-000045790000}"/>
    <cellStyle name="Note 4 4 2 16 3" xfId="6307" xr:uid="{00000000-0005-0000-0000-000046790000}"/>
    <cellStyle name="Note 4 4 2 16 4" xfId="10727" xr:uid="{00000000-0005-0000-0000-000047790000}"/>
    <cellStyle name="Note 4 4 2 16 5" xfId="14573" xr:uid="{00000000-0005-0000-0000-000048790000}"/>
    <cellStyle name="Note 4 4 2 16 6" xfId="18405" xr:uid="{00000000-0005-0000-0000-000049790000}"/>
    <cellStyle name="Note 4 4 2 16 7" xfId="22343" xr:uid="{00000000-0005-0000-0000-00004A790000}"/>
    <cellStyle name="Note 4 4 2 16 8" xfId="26156" xr:uid="{00000000-0005-0000-0000-00004B790000}"/>
    <cellStyle name="Note 4 4 2 16 9" xfId="30035" xr:uid="{00000000-0005-0000-0000-00004C790000}"/>
    <cellStyle name="Note 4 4 2 17" xfId="2462" xr:uid="{00000000-0005-0000-0000-00004D790000}"/>
    <cellStyle name="Note 4 4 2 17 10" xfId="33758" xr:uid="{00000000-0005-0000-0000-00004E790000}"/>
    <cellStyle name="Note 4 4 2 17 11" xfId="37514" xr:uid="{00000000-0005-0000-0000-00004F790000}"/>
    <cellStyle name="Note 4 4 2 17 12" xfId="41529" xr:uid="{00000000-0005-0000-0000-000050790000}"/>
    <cellStyle name="Note 4 4 2 17 13" xfId="45320" xr:uid="{00000000-0005-0000-0000-000051790000}"/>
    <cellStyle name="Note 4 4 2 17 2" xfId="4445" xr:uid="{00000000-0005-0000-0000-000052790000}"/>
    <cellStyle name="Note 4 4 2 17 2 10" xfId="39496" xr:uid="{00000000-0005-0000-0000-000053790000}"/>
    <cellStyle name="Note 4 4 2 17 2 11" xfId="43505" xr:uid="{00000000-0005-0000-0000-000054790000}"/>
    <cellStyle name="Note 4 4 2 17 2 12" xfId="47258" xr:uid="{00000000-0005-0000-0000-000055790000}"/>
    <cellStyle name="Note 4 4 2 17 2 2" xfId="8300" xr:uid="{00000000-0005-0000-0000-000056790000}"/>
    <cellStyle name="Note 4 4 2 17 2 3" xfId="12743" xr:uid="{00000000-0005-0000-0000-000057790000}"/>
    <cellStyle name="Note 4 4 2 17 2 4" xfId="16586" xr:uid="{00000000-0005-0000-0000-000058790000}"/>
    <cellStyle name="Note 4 4 2 17 2 5" xfId="20439" xr:uid="{00000000-0005-0000-0000-000059790000}"/>
    <cellStyle name="Note 4 4 2 17 2 6" xfId="24349" xr:uid="{00000000-0005-0000-0000-00005A790000}"/>
    <cellStyle name="Note 4 4 2 17 2 7" xfId="28189" xr:uid="{00000000-0005-0000-0000-00005B790000}"/>
    <cellStyle name="Note 4 4 2 17 2 8" xfId="32047" xr:uid="{00000000-0005-0000-0000-00005C790000}"/>
    <cellStyle name="Note 4 4 2 17 2 9" xfId="35696" xr:uid="{00000000-0005-0000-0000-00005D790000}"/>
    <cellStyle name="Note 4 4 2 17 3" xfId="6356" xr:uid="{00000000-0005-0000-0000-00005E790000}"/>
    <cellStyle name="Note 4 4 2 17 4" xfId="10778" xr:uid="{00000000-0005-0000-0000-00005F790000}"/>
    <cellStyle name="Note 4 4 2 17 5" xfId="14623" xr:uid="{00000000-0005-0000-0000-000060790000}"/>
    <cellStyle name="Note 4 4 2 17 6" xfId="18456" xr:uid="{00000000-0005-0000-0000-000061790000}"/>
    <cellStyle name="Note 4 4 2 17 7" xfId="22393" xr:uid="{00000000-0005-0000-0000-000062790000}"/>
    <cellStyle name="Note 4 4 2 17 8" xfId="26207" xr:uid="{00000000-0005-0000-0000-000063790000}"/>
    <cellStyle name="Note 4 4 2 17 9" xfId="30086" xr:uid="{00000000-0005-0000-0000-000064790000}"/>
    <cellStyle name="Note 4 4 2 18" xfId="2536" xr:uid="{00000000-0005-0000-0000-000065790000}"/>
    <cellStyle name="Note 4 4 2 18 10" xfId="37588" xr:uid="{00000000-0005-0000-0000-000066790000}"/>
    <cellStyle name="Note 4 4 2 18 11" xfId="41602" xr:uid="{00000000-0005-0000-0000-000067790000}"/>
    <cellStyle name="Note 4 4 2 18 12" xfId="45391" xr:uid="{00000000-0005-0000-0000-000068790000}"/>
    <cellStyle name="Note 4 4 2 18 2" xfId="6428" xr:uid="{00000000-0005-0000-0000-000069790000}"/>
    <cellStyle name="Note 4 4 2 18 3" xfId="10851" xr:uid="{00000000-0005-0000-0000-00006A790000}"/>
    <cellStyle name="Note 4 4 2 18 4" xfId="14695" xr:uid="{00000000-0005-0000-0000-00006B790000}"/>
    <cellStyle name="Note 4 4 2 18 5" xfId="18530" xr:uid="{00000000-0005-0000-0000-00006C790000}"/>
    <cellStyle name="Note 4 4 2 18 6" xfId="22465" xr:uid="{00000000-0005-0000-0000-00006D790000}"/>
    <cellStyle name="Note 4 4 2 18 7" xfId="26281" xr:uid="{00000000-0005-0000-0000-00006E790000}"/>
    <cellStyle name="Note 4 4 2 18 8" xfId="30160" xr:uid="{00000000-0005-0000-0000-00006F790000}"/>
    <cellStyle name="Note 4 4 2 18 9" xfId="33829" xr:uid="{00000000-0005-0000-0000-000070790000}"/>
    <cellStyle name="Note 4 4 2 19" xfId="8711" xr:uid="{00000000-0005-0000-0000-000071790000}"/>
    <cellStyle name="Note 4 4 2 2" xfId="569" xr:uid="{00000000-0005-0000-0000-000072790000}"/>
    <cellStyle name="Note 4 4 2 2 10" xfId="2219" xr:uid="{00000000-0005-0000-0000-000073790000}"/>
    <cellStyle name="Note 4 4 2 2 10 10" xfId="33520" xr:uid="{00000000-0005-0000-0000-000074790000}"/>
    <cellStyle name="Note 4 4 2 2 10 11" xfId="37271" xr:uid="{00000000-0005-0000-0000-000075790000}"/>
    <cellStyle name="Note 4 4 2 2 10 12" xfId="41287" xr:uid="{00000000-0005-0000-0000-000076790000}"/>
    <cellStyle name="Note 4 4 2 2 10 13" xfId="45082" xr:uid="{00000000-0005-0000-0000-000077790000}"/>
    <cellStyle name="Note 4 4 2 2 10 2" xfId="4202" xr:uid="{00000000-0005-0000-0000-000078790000}"/>
    <cellStyle name="Note 4 4 2 2 10 2 10" xfId="39253" xr:uid="{00000000-0005-0000-0000-000079790000}"/>
    <cellStyle name="Note 4 4 2 2 10 2 11" xfId="43263" xr:uid="{00000000-0005-0000-0000-00007A790000}"/>
    <cellStyle name="Note 4 4 2 2 10 2 12" xfId="47020" xr:uid="{00000000-0005-0000-0000-00007B790000}"/>
    <cellStyle name="Note 4 4 2 2 10 2 2" xfId="8061" xr:uid="{00000000-0005-0000-0000-00007C790000}"/>
    <cellStyle name="Note 4 4 2 2 10 2 3" xfId="12501" xr:uid="{00000000-0005-0000-0000-00007D790000}"/>
    <cellStyle name="Note 4 4 2 2 10 2 4" xfId="16346" xr:uid="{00000000-0005-0000-0000-00007E790000}"/>
    <cellStyle name="Note 4 4 2 2 10 2 5" xfId="20196" xr:uid="{00000000-0005-0000-0000-00007F790000}"/>
    <cellStyle name="Note 4 4 2 2 10 2 6" xfId="24108" xr:uid="{00000000-0005-0000-0000-000080790000}"/>
    <cellStyle name="Note 4 4 2 2 10 2 7" xfId="27946" xr:uid="{00000000-0005-0000-0000-000081790000}"/>
    <cellStyle name="Note 4 4 2 2 10 2 8" xfId="31805" xr:uid="{00000000-0005-0000-0000-000082790000}"/>
    <cellStyle name="Note 4 4 2 2 10 2 9" xfId="35458" xr:uid="{00000000-0005-0000-0000-000083790000}"/>
    <cellStyle name="Note 4 4 2 2 10 3" xfId="6133" xr:uid="{00000000-0005-0000-0000-000084790000}"/>
    <cellStyle name="Note 4 4 2 2 10 4" xfId="10536" xr:uid="{00000000-0005-0000-0000-000085790000}"/>
    <cellStyle name="Note 4 4 2 2 10 5" xfId="14382" xr:uid="{00000000-0005-0000-0000-000086790000}"/>
    <cellStyle name="Note 4 4 2 2 10 6" xfId="18213" xr:uid="{00000000-0005-0000-0000-000087790000}"/>
    <cellStyle name="Note 4 4 2 2 10 7" xfId="22152" xr:uid="{00000000-0005-0000-0000-000088790000}"/>
    <cellStyle name="Note 4 4 2 2 10 8" xfId="25964" xr:uid="{00000000-0005-0000-0000-000089790000}"/>
    <cellStyle name="Note 4 4 2 2 10 9" xfId="29844" xr:uid="{00000000-0005-0000-0000-00008A790000}"/>
    <cellStyle name="Note 4 4 2 2 11" xfId="2277" xr:uid="{00000000-0005-0000-0000-00008B790000}"/>
    <cellStyle name="Note 4 4 2 2 11 10" xfId="33578" xr:uid="{00000000-0005-0000-0000-00008C790000}"/>
    <cellStyle name="Note 4 4 2 2 11 11" xfId="37329" xr:uid="{00000000-0005-0000-0000-00008D790000}"/>
    <cellStyle name="Note 4 4 2 2 11 12" xfId="41345" xr:uid="{00000000-0005-0000-0000-00008E790000}"/>
    <cellStyle name="Note 4 4 2 2 11 13" xfId="45140" xr:uid="{00000000-0005-0000-0000-00008F790000}"/>
    <cellStyle name="Note 4 4 2 2 11 2" xfId="4260" xr:uid="{00000000-0005-0000-0000-000090790000}"/>
    <cellStyle name="Note 4 4 2 2 11 2 10" xfId="39311" xr:uid="{00000000-0005-0000-0000-000091790000}"/>
    <cellStyle name="Note 4 4 2 2 11 2 11" xfId="43321" xr:uid="{00000000-0005-0000-0000-000092790000}"/>
    <cellStyle name="Note 4 4 2 2 11 2 12" xfId="47078" xr:uid="{00000000-0005-0000-0000-000093790000}"/>
    <cellStyle name="Note 4 4 2 2 11 2 2" xfId="8119" xr:uid="{00000000-0005-0000-0000-000094790000}"/>
    <cellStyle name="Note 4 4 2 2 11 2 3" xfId="12559" xr:uid="{00000000-0005-0000-0000-000095790000}"/>
    <cellStyle name="Note 4 4 2 2 11 2 4" xfId="16404" xr:uid="{00000000-0005-0000-0000-000096790000}"/>
    <cellStyle name="Note 4 4 2 2 11 2 5" xfId="20254" xr:uid="{00000000-0005-0000-0000-000097790000}"/>
    <cellStyle name="Note 4 4 2 2 11 2 6" xfId="24166" xr:uid="{00000000-0005-0000-0000-000098790000}"/>
    <cellStyle name="Note 4 4 2 2 11 2 7" xfId="28004" xr:uid="{00000000-0005-0000-0000-000099790000}"/>
    <cellStyle name="Note 4 4 2 2 11 2 8" xfId="31863" xr:uid="{00000000-0005-0000-0000-00009A790000}"/>
    <cellStyle name="Note 4 4 2 2 11 2 9" xfId="35516" xr:uid="{00000000-0005-0000-0000-00009B790000}"/>
    <cellStyle name="Note 4 4 2 2 11 3" xfId="6191" xr:uid="{00000000-0005-0000-0000-00009C790000}"/>
    <cellStyle name="Note 4 4 2 2 11 4" xfId="10594" xr:uid="{00000000-0005-0000-0000-00009D790000}"/>
    <cellStyle name="Note 4 4 2 2 11 5" xfId="14440" xr:uid="{00000000-0005-0000-0000-00009E790000}"/>
    <cellStyle name="Note 4 4 2 2 11 6" xfId="18271" xr:uid="{00000000-0005-0000-0000-00009F790000}"/>
    <cellStyle name="Note 4 4 2 2 11 7" xfId="22210" xr:uid="{00000000-0005-0000-0000-0000A0790000}"/>
    <cellStyle name="Note 4 4 2 2 11 8" xfId="26022" xr:uid="{00000000-0005-0000-0000-0000A1790000}"/>
    <cellStyle name="Note 4 4 2 2 11 9" xfId="29902" xr:uid="{00000000-0005-0000-0000-0000A2790000}"/>
    <cellStyle name="Note 4 4 2 2 12" xfId="2334" xr:uid="{00000000-0005-0000-0000-0000A3790000}"/>
    <cellStyle name="Note 4 4 2 2 12 10" xfId="33633" xr:uid="{00000000-0005-0000-0000-0000A4790000}"/>
    <cellStyle name="Note 4 4 2 2 12 11" xfId="37386" xr:uid="{00000000-0005-0000-0000-0000A5790000}"/>
    <cellStyle name="Note 4 4 2 2 12 12" xfId="41402" xr:uid="{00000000-0005-0000-0000-0000A6790000}"/>
    <cellStyle name="Note 4 4 2 2 12 13" xfId="45195" xr:uid="{00000000-0005-0000-0000-0000A7790000}"/>
    <cellStyle name="Note 4 4 2 2 12 2" xfId="4317" xr:uid="{00000000-0005-0000-0000-0000A8790000}"/>
    <cellStyle name="Note 4 4 2 2 12 2 10" xfId="39368" xr:uid="{00000000-0005-0000-0000-0000A9790000}"/>
    <cellStyle name="Note 4 4 2 2 12 2 11" xfId="43378" xr:uid="{00000000-0005-0000-0000-0000AA790000}"/>
    <cellStyle name="Note 4 4 2 2 12 2 12" xfId="47133" xr:uid="{00000000-0005-0000-0000-0000AB790000}"/>
    <cellStyle name="Note 4 4 2 2 12 2 2" xfId="8174" xr:uid="{00000000-0005-0000-0000-0000AC790000}"/>
    <cellStyle name="Note 4 4 2 2 12 2 3" xfId="12616" xr:uid="{00000000-0005-0000-0000-0000AD790000}"/>
    <cellStyle name="Note 4 4 2 2 12 2 4" xfId="16460" xr:uid="{00000000-0005-0000-0000-0000AE790000}"/>
    <cellStyle name="Note 4 4 2 2 12 2 5" xfId="20311" xr:uid="{00000000-0005-0000-0000-0000AF790000}"/>
    <cellStyle name="Note 4 4 2 2 12 2 6" xfId="24222" xr:uid="{00000000-0005-0000-0000-0000B0790000}"/>
    <cellStyle name="Note 4 4 2 2 12 2 7" xfId="28061" xr:uid="{00000000-0005-0000-0000-0000B1790000}"/>
    <cellStyle name="Note 4 4 2 2 12 2 8" xfId="31920" xr:uid="{00000000-0005-0000-0000-0000B2790000}"/>
    <cellStyle name="Note 4 4 2 2 12 2 9" xfId="35571" xr:uid="{00000000-0005-0000-0000-0000B3790000}"/>
    <cellStyle name="Note 4 4 2 2 12 3" xfId="6246" xr:uid="{00000000-0005-0000-0000-0000B4790000}"/>
    <cellStyle name="Note 4 4 2 2 12 4" xfId="10651" xr:uid="{00000000-0005-0000-0000-0000B5790000}"/>
    <cellStyle name="Note 4 4 2 2 12 5" xfId="14496" xr:uid="{00000000-0005-0000-0000-0000B6790000}"/>
    <cellStyle name="Note 4 4 2 2 12 6" xfId="18328" xr:uid="{00000000-0005-0000-0000-0000B7790000}"/>
    <cellStyle name="Note 4 4 2 2 12 7" xfId="22266" xr:uid="{00000000-0005-0000-0000-0000B8790000}"/>
    <cellStyle name="Note 4 4 2 2 12 8" xfId="26079" xr:uid="{00000000-0005-0000-0000-0000B9790000}"/>
    <cellStyle name="Note 4 4 2 2 12 9" xfId="29959" xr:uid="{00000000-0005-0000-0000-0000BA790000}"/>
    <cellStyle name="Note 4 4 2 2 13" xfId="2399" xr:uid="{00000000-0005-0000-0000-0000BB790000}"/>
    <cellStyle name="Note 4 4 2 2 13 10" xfId="33697" xr:uid="{00000000-0005-0000-0000-0000BC790000}"/>
    <cellStyle name="Note 4 4 2 2 13 11" xfId="37451" xr:uid="{00000000-0005-0000-0000-0000BD790000}"/>
    <cellStyle name="Note 4 4 2 2 13 12" xfId="41466" xr:uid="{00000000-0005-0000-0000-0000BE790000}"/>
    <cellStyle name="Note 4 4 2 2 13 13" xfId="45259" xr:uid="{00000000-0005-0000-0000-0000BF790000}"/>
    <cellStyle name="Note 4 4 2 2 13 2" xfId="4382" xr:uid="{00000000-0005-0000-0000-0000C0790000}"/>
    <cellStyle name="Note 4 4 2 2 13 2 10" xfId="39433" xr:uid="{00000000-0005-0000-0000-0000C1790000}"/>
    <cellStyle name="Note 4 4 2 2 13 2 11" xfId="43442" xr:uid="{00000000-0005-0000-0000-0000C2790000}"/>
    <cellStyle name="Note 4 4 2 2 13 2 12" xfId="47197" xr:uid="{00000000-0005-0000-0000-0000C3790000}"/>
    <cellStyle name="Note 4 4 2 2 13 2 2" xfId="8239" xr:uid="{00000000-0005-0000-0000-0000C4790000}"/>
    <cellStyle name="Note 4 4 2 2 13 2 3" xfId="12680" xr:uid="{00000000-0005-0000-0000-0000C5790000}"/>
    <cellStyle name="Note 4 4 2 2 13 2 4" xfId="16525" xr:uid="{00000000-0005-0000-0000-0000C6790000}"/>
    <cellStyle name="Note 4 4 2 2 13 2 5" xfId="20376" xr:uid="{00000000-0005-0000-0000-0000C7790000}"/>
    <cellStyle name="Note 4 4 2 2 13 2 6" xfId="24287" xr:uid="{00000000-0005-0000-0000-0000C8790000}"/>
    <cellStyle name="Note 4 4 2 2 13 2 7" xfId="28126" xr:uid="{00000000-0005-0000-0000-0000C9790000}"/>
    <cellStyle name="Note 4 4 2 2 13 2 8" xfId="31984" xr:uid="{00000000-0005-0000-0000-0000CA790000}"/>
    <cellStyle name="Note 4 4 2 2 13 2 9" xfId="35635" xr:uid="{00000000-0005-0000-0000-0000CB790000}"/>
    <cellStyle name="Note 4 4 2 2 13 3" xfId="6295" xr:uid="{00000000-0005-0000-0000-0000CC790000}"/>
    <cellStyle name="Note 4 4 2 2 13 4" xfId="10715" xr:uid="{00000000-0005-0000-0000-0000CD790000}"/>
    <cellStyle name="Note 4 4 2 2 13 5" xfId="14561" xr:uid="{00000000-0005-0000-0000-0000CE790000}"/>
    <cellStyle name="Note 4 4 2 2 13 6" xfId="18393" xr:uid="{00000000-0005-0000-0000-0000CF790000}"/>
    <cellStyle name="Note 4 4 2 2 13 7" xfId="22331" xr:uid="{00000000-0005-0000-0000-0000D0790000}"/>
    <cellStyle name="Note 4 4 2 2 13 8" xfId="26144" xr:uid="{00000000-0005-0000-0000-0000D1790000}"/>
    <cellStyle name="Note 4 4 2 2 13 9" xfId="30024" xr:uid="{00000000-0005-0000-0000-0000D2790000}"/>
    <cellStyle name="Note 4 4 2 2 14" xfId="2451" xr:uid="{00000000-0005-0000-0000-0000D3790000}"/>
    <cellStyle name="Note 4 4 2 2 14 10" xfId="33747" xr:uid="{00000000-0005-0000-0000-0000D4790000}"/>
    <cellStyle name="Note 4 4 2 2 14 11" xfId="37503" xr:uid="{00000000-0005-0000-0000-0000D5790000}"/>
    <cellStyle name="Note 4 4 2 2 14 12" xfId="41518" xr:uid="{00000000-0005-0000-0000-0000D6790000}"/>
    <cellStyle name="Note 4 4 2 2 14 13" xfId="45309" xr:uid="{00000000-0005-0000-0000-0000D7790000}"/>
    <cellStyle name="Note 4 4 2 2 14 2" xfId="4434" xr:uid="{00000000-0005-0000-0000-0000D8790000}"/>
    <cellStyle name="Note 4 4 2 2 14 2 10" xfId="39485" xr:uid="{00000000-0005-0000-0000-0000D9790000}"/>
    <cellStyle name="Note 4 4 2 2 14 2 11" xfId="43494" xr:uid="{00000000-0005-0000-0000-0000DA790000}"/>
    <cellStyle name="Note 4 4 2 2 14 2 12" xfId="47247" xr:uid="{00000000-0005-0000-0000-0000DB790000}"/>
    <cellStyle name="Note 4 4 2 2 14 2 2" xfId="8289" xr:uid="{00000000-0005-0000-0000-0000DC790000}"/>
    <cellStyle name="Note 4 4 2 2 14 2 3" xfId="12732" xr:uid="{00000000-0005-0000-0000-0000DD790000}"/>
    <cellStyle name="Note 4 4 2 2 14 2 4" xfId="16575" xr:uid="{00000000-0005-0000-0000-0000DE790000}"/>
    <cellStyle name="Note 4 4 2 2 14 2 5" xfId="20428" xr:uid="{00000000-0005-0000-0000-0000DF790000}"/>
    <cellStyle name="Note 4 4 2 2 14 2 6" xfId="24338" xr:uid="{00000000-0005-0000-0000-0000E0790000}"/>
    <cellStyle name="Note 4 4 2 2 14 2 7" xfId="28178" xr:uid="{00000000-0005-0000-0000-0000E1790000}"/>
    <cellStyle name="Note 4 4 2 2 14 2 8" xfId="32036" xr:uid="{00000000-0005-0000-0000-0000E2790000}"/>
    <cellStyle name="Note 4 4 2 2 14 2 9" xfId="35685" xr:uid="{00000000-0005-0000-0000-0000E3790000}"/>
    <cellStyle name="Note 4 4 2 2 14 3" xfId="6345" xr:uid="{00000000-0005-0000-0000-0000E4790000}"/>
    <cellStyle name="Note 4 4 2 2 14 4" xfId="10767" xr:uid="{00000000-0005-0000-0000-0000E5790000}"/>
    <cellStyle name="Note 4 4 2 2 14 5" xfId="14612" xr:uid="{00000000-0005-0000-0000-0000E6790000}"/>
    <cellStyle name="Note 4 4 2 2 14 6" xfId="18445" xr:uid="{00000000-0005-0000-0000-0000E7790000}"/>
    <cellStyle name="Note 4 4 2 2 14 7" xfId="22382" xr:uid="{00000000-0005-0000-0000-0000E8790000}"/>
    <cellStyle name="Note 4 4 2 2 14 8" xfId="26196" xr:uid="{00000000-0005-0000-0000-0000E9790000}"/>
    <cellStyle name="Note 4 4 2 2 14 9" xfId="30075" xr:uid="{00000000-0005-0000-0000-0000EA790000}"/>
    <cellStyle name="Note 4 4 2 2 15" xfId="2505" xr:uid="{00000000-0005-0000-0000-0000EB790000}"/>
    <cellStyle name="Note 4 4 2 2 15 10" xfId="33798" xr:uid="{00000000-0005-0000-0000-0000EC790000}"/>
    <cellStyle name="Note 4 4 2 2 15 11" xfId="37557" xr:uid="{00000000-0005-0000-0000-0000ED790000}"/>
    <cellStyle name="Note 4 4 2 2 15 12" xfId="41571" xr:uid="{00000000-0005-0000-0000-0000EE790000}"/>
    <cellStyle name="Note 4 4 2 2 15 13" xfId="45360" xr:uid="{00000000-0005-0000-0000-0000EF790000}"/>
    <cellStyle name="Note 4 4 2 2 15 2" xfId="4485" xr:uid="{00000000-0005-0000-0000-0000F0790000}"/>
    <cellStyle name="Note 4 4 2 2 15 2 10" xfId="39536" xr:uid="{00000000-0005-0000-0000-0000F1790000}"/>
    <cellStyle name="Note 4 4 2 2 15 2 11" xfId="43545" xr:uid="{00000000-0005-0000-0000-0000F2790000}"/>
    <cellStyle name="Note 4 4 2 2 15 2 12" xfId="47298" xr:uid="{00000000-0005-0000-0000-0000F3790000}"/>
    <cellStyle name="Note 4 4 2 2 15 2 2" xfId="8340" xr:uid="{00000000-0005-0000-0000-0000F4790000}"/>
    <cellStyle name="Note 4 4 2 2 15 2 3" xfId="12783" xr:uid="{00000000-0005-0000-0000-0000F5790000}"/>
    <cellStyle name="Note 4 4 2 2 15 2 4" xfId="16626" xr:uid="{00000000-0005-0000-0000-0000F6790000}"/>
    <cellStyle name="Note 4 4 2 2 15 2 5" xfId="20479" xr:uid="{00000000-0005-0000-0000-0000F7790000}"/>
    <cellStyle name="Note 4 4 2 2 15 2 6" xfId="24389" xr:uid="{00000000-0005-0000-0000-0000F8790000}"/>
    <cellStyle name="Note 4 4 2 2 15 2 7" xfId="28229" xr:uid="{00000000-0005-0000-0000-0000F9790000}"/>
    <cellStyle name="Note 4 4 2 2 15 2 8" xfId="32087" xr:uid="{00000000-0005-0000-0000-0000FA790000}"/>
    <cellStyle name="Note 4 4 2 2 15 2 9" xfId="35736" xr:uid="{00000000-0005-0000-0000-0000FB790000}"/>
    <cellStyle name="Note 4 4 2 2 15 3" xfId="6397" xr:uid="{00000000-0005-0000-0000-0000FC790000}"/>
    <cellStyle name="Note 4 4 2 2 15 4" xfId="10820" xr:uid="{00000000-0005-0000-0000-0000FD790000}"/>
    <cellStyle name="Note 4 4 2 2 15 5" xfId="14664" xr:uid="{00000000-0005-0000-0000-0000FE790000}"/>
    <cellStyle name="Note 4 4 2 2 15 6" xfId="18499" xr:uid="{00000000-0005-0000-0000-0000FF790000}"/>
    <cellStyle name="Note 4 4 2 2 15 7" xfId="22434" xr:uid="{00000000-0005-0000-0000-0000007A0000}"/>
    <cellStyle name="Note 4 4 2 2 15 8" xfId="26250" xr:uid="{00000000-0005-0000-0000-0000017A0000}"/>
    <cellStyle name="Note 4 4 2 2 15 9" xfId="30129" xr:uid="{00000000-0005-0000-0000-0000027A0000}"/>
    <cellStyle name="Note 4 4 2 2 16" xfId="2574" xr:uid="{00000000-0005-0000-0000-0000037A0000}"/>
    <cellStyle name="Note 4 4 2 2 16 10" xfId="37626" xr:uid="{00000000-0005-0000-0000-0000047A0000}"/>
    <cellStyle name="Note 4 4 2 2 16 11" xfId="41640" xr:uid="{00000000-0005-0000-0000-0000057A0000}"/>
    <cellStyle name="Note 4 4 2 2 16 12" xfId="45429" xr:uid="{00000000-0005-0000-0000-0000067A0000}"/>
    <cellStyle name="Note 4 4 2 2 16 2" xfId="6466" xr:uid="{00000000-0005-0000-0000-0000077A0000}"/>
    <cellStyle name="Note 4 4 2 2 16 3" xfId="10889" xr:uid="{00000000-0005-0000-0000-0000087A0000}"/>
    <cellStyle name="Note 4 4 2 2 16 4" xfId="14733" xr:uid="{00000000-0005-0000-0000-0000097A0000}"/>
    <cellStyle name="Note 4 4 2 2 16 5" xfId="18568" xr:uid="{00000000-0005-0000-0000-00000A7A0000}"/>
    <cellStyle name="Note 4 4 2 2 16 6" xfId="22503" xr:uid="{00000000-0005-0000-0000-00000B7A0000}"/>
    <cellStyle name="Note 4 4 2 2 16 7" xfId="26319" xr:uid="{00000000-0005-0000-0000-00000C7A0000}"/>
    <cellStyle name="Note 4 4 2 2 16 8" xfId="30198" xr:uid="{00000000-0005-0000-0000-00000D7A0000}"/>
    <cellStyle name="Note 4 4 2 2 16 9" xfId="33867" xr:uid="{00000000-0005-0000-0000-00000E7A0000}"/>
    <cellStyle name="Note 4 4 2 2 17" xfId="4542" xr:uid="{00000000-0005-0000-0000-00000F7A0000}"/>
    <cellStyle name="Note 4 4 2 2 18" xfId="8389" xr:uid="{00000000-0005-0000-0000-0000107A0000}"/>
    <cellStyle name="Note 4 4 2 2 19" xfId="8759" xr:uid="{00000000-0005-0000-0000-0000117A0000}"/>
    <cellStyle name="Note 4 4 2 2 2" xfId="703" xr:uid="{00000000-0005-0000-0000-0000127A0000}"/>
    <cellStyle name="Note 4 4 2 2 2 10" xfId="24437" xr:uid="{00000000-0005-0000-0000-0000137A0000}"/>
    <cellStyle name="Note 4 4 2 2 2 11" xfId="28330" xr:uid="{00000000-0005-0000-0000-0000147A0000}"/>
    <cellStyle name="Note 4 4 2 2 2 12" xfId="30091" xr:uid="{00000000-0005-0000-0000-0000157A0000}"/>
    <cellStyle name="Note 4 4 2 2 2 13" xfId="35774" xr:uid="{00000000-0005-0000-0000-0000167A0000}"/>
    <cellStyle name="Note 4 4 2 2 2 14" xfId="39797" xr:uid="{00000000-0005-0000-0000-0000177A0000}"/>
    <cellStyle name="Note 4 4 2 2 2 15" xfId="43600" xr:uid="{00000000-0005-0000-0000-0000187A0000}"/>
    <cellStyle name="Note 4 4 2 2 2 2" xfId="1083" xr:uid="{00000000-0005-0000-0000-0000197A0000}"/>
    <cellStyle name="Note 4 4 2 2 2 2 10" xfId="28694" xr:uid="{00000000-0005-0000-0000-00001A7A0000}"/>
    <cellStyle name="Note 4 4 2 2 2 2 11" xfId="32380" xr:uid="{00000000-0005-0000-0000-00001B7A0000}"/>
    <cellStyle name="Note 4 4 2 2 2 2 12" xfId="36141" xr:uid="{00000000-0005-0000-0000-00001C7A0000}"/>
    <cellStyle name="Note 4 4 2 2 2 2 13" xfId="40144" xr:uid="{00000000-0005-0000-0000-00001D7A0000}"/>
    <cellStyle name="Note 4 4 2 2 2 2 14" xfId="43967" xr:uid="{00000000-0005-0000-0000-00001E7A0000}"/>
    <cellStyle name="Note 4 4 2 2 2 2 2" xfId="1810" xr:uid="{00000000-0005-0000-0000-00001F7A0000}"/>
    <cellStyle name="Note 4 4 2 2 2 2 2 10" xfId="33097" xr:uid="{00000000-0005-0000-0000-0000207A0000}"/>
    <cellStyle name="Note 4 4 2 2 2 2 2 11" xfId="36867" xr:uid="{00000000-0005-0000-0000-0000217A0000}"/>
    <cellStyle name="Note 4 4 2 2 2 2 2 12" xfId="40858" xr:uid="{00000000-0005-0000-0000-0000227A0000}"/>
    <cellStyle name="Note 4 4 2 2 2 2 2 13" xfId="44689" xr:uid="{00000000-0005-0000-0000-0000237A0000}"/>
    <cellStyle name="Note 4 4 2 2 2 2 2 2" xfId="3800" xr:uid="{00000000-0005-0000-0000-0000247A0000}"/>
    <cellStyle name="Note 4 4 2 2 2 2 2 2 10" xfId="38851" xr:uid="{00000000-0005-0000-0000-0000257A0000}"/>
    <cellStyle name="Note 4 4 2 2 2 2 2 2 11" xfId="42862" xr:uid="{00000000-0005-0000-0000-0000267A0000}"/>
    <cellStyle name="Note 4 4 2 2 2 2 2 2 12" xfId="46627" xr:uid="{00000000-0005-0000-0000-0000277A0000}"/>
    <cellStyle name="Note 4 4 2 2 2 2 2 2 2" xfId="7667" xr:uid="{00000000-0005-0000-0000-0000287A0000}"/>
    <cellStyle name="Note 4 4 2 2 2 2 2 2 3" xfId="12102" xr:uid="{00000000-0005-0000-0000-0000297A0000}"/>
    <cellStyle name="Note 4 4 2 2 2 2 2 2 4" xfId="15947" xr:uid="{00000000-0005-0000-0000-00002A7A0000}"/>
    <cellStyle name="Note 4 4 2 2 2 2 2 2 5" xfId="19794" xr:uid="{00000000-0005-0000-0000-00002B7A0000}"/>
    <cellStyle name="Note 4 4 2 2 2 2 2 2 6" xfId="23710" xr:uid="{00000000-0005-0000-0000-00002C7A0000}"/>
    <cellStyle name="Note 4 4 2 2 2 2 2 2 7" xfId="27544" xr:uid="{00000000-0005-0000-0000-00002D7A0000}"/>
    <cellStyle name="Note 4 4 2 2 2 2 2 2 8" xfId="31408" xr:uid="{00000000-0005-0000-0000-00002E7A0000}"/>
    <cellStyle name="Note 4 4 2 2 2 2 2 2 9" xfId="35065" xr:uid="{00000000-0005-0000-0000-00002F7A0000}"/>
    <cellStyle name="Note 4 4 2 2 2 2 2 3" xfId="5743" xr:uid="{00000000-0005-0000-0000-0000307A0000}"/>
    <cellStyle name="Note 4 4 2 2 2 2 2 4" xfId="10101" xr:uid="{00000000-0005-0000-0000-0000317A0000}"/>
    <cellStyle name="Note 4 4 2 2 2 2 2 5" xfId="13947" xr:uid="{00000000-0005-0000-0000-0000327A0000}"/>
    <cellStyle name="Note 4 4 2 2 2 2 2 6" xfId="17776" xr:uid="{00000000-0005-0000-0000-0000337A0000}"/>
    <cellStyle name="Note 4 4 2 2 2 2 2 7" xfId="21715" xr:uid="{00000000-0005-0000-0000-0000347A0000}"/>
    <cellStyle name="Note 4 4 2 2 2 2 2 8" xfId="25528" xr:uid="{00000000-0005-0000-0000-0000357A0000}"/>
    <cellStyle name="Note 4 4 2 2 2 2 2 9" xfId="29415" xr:uid="{00000000-0005-0000-0000-0000367A0000}"/>
    <cellStyle name="Note 4 4 2 2 2 2 3" xfId="3073" xr:uid="{00000000-0005-0000-0000-0000377A0000}"/>
    <cellStyle name="Note 4 4 2 2 2 2 3 10" xfId="38125" xr:uid="{00000000-0005-0000-0000-0000387A0000}"/>
    <cellStyle name="Note 4 4 2 2 2 2 3 11" xfId="42137" xr:uid="{00000000-0005-0000-0000-0000397A0000}"/>
    <cellStyle name="Note 4 4 2 2 2 2 3 12" xfId="45910" xr:uid="{00000000-0005-0000-0000-00003A7A0000}"/>
    <cellStyle name="Note 4 4 2 2 2 2 3 2" xfId="6949" xr:uid="{00000000-0005-0000-0000-00003B7A0000}"/>
    <cellStyle name="Note 4 4 2 2 2 2 3 3" xfId="11378" xr:uid="{00000000-0005-0000-0000-00003C7A0000}"/>
    <cellStyle name="Note 4 4 2 2 2 2 3 4" xfId="15222" xr:uid="{00000000-0005-0000-0000-00003D7A0000}"/>
    <cellStyle name="Note 4 4 2 2 2 2 3 5" xfId="19067" xr:uid="{00000000-0005-0000-0000-00003E7A0000}"/>
    <cellStyle name="Note 4 4 2 2 2 2 3 6" xfId="22989" xr:uid="{00000000-0005-0000-0000-00003F7A0000}"/>
    <cellStyle name="Note 4 4 2 2 2 2 3 7" xfId="26818" xr:uid="{00000000-0005-0000-0000-0000407A0000}"/>
    <cellStyle name="Note 4 4 2 2 2 2 3 8" xfId="30692" xr:uid="{00000000-0005-0000-0000-0000417A0000}"/>
    <cellStyle name="Note 4 4 2 2 2 2 3 9" xfId="34348" xr:uid="{00000000-0005-0000-0000-0000427A0000}"/>
    <cellStyle name="Note 4 4 2 2 2 2 4" xfId="5025" xr:uid="{00000000-0005-0000-0000-0000437A0000}"/>
    <cellStyle name="Note 4 4 2 2 2 2 5" xfId="9381" xr:uid="{00000000-0005-0000-0000-0000447A0000}"/>
    <cellStyle name="Note 4 4 2 2 2 2 6" xfId="13221" xr:uid="{00000000-0005-0000-0000-0000457A0000}"/>
    <cellStyle name="Note 4 4 2 2 2 2 7" xfId="17049" xr:uid="{00000000-0005-0000-0000-0000467A0000}"/>
    <cellStyle name="Note 4 4 2 2 2 2 8" xfId="20991" xr:uid="{00000000-0005-0000-0000-0000477A0000}"/>
    <cellStyle name="Note 4 4 2 2 2 2 9" xfId="24805" xr:uid="{00000000-0005-0000-0000-0000487A0000}"/>
    <cellStyle name="Note 4 4 2 2 2 3" xfId="1457" xr:uid="{00000000-0005-0000-0000-0000497A0000}"/>
    <cellStyle name="Note 4 4 2 2 2 3 10" xfId="32744" xr:uid="{00000000-0005-0000-0000-00004A7A0000}"/>
    <cellStyle name="Note 4 4 2 2 2 3 11" xfId="36514" xr:uid="{00000000-0005-0000-0000-00004B7A0000}"/>
    <cellStyle name="Note 4 4 2 2 2 3 12" xfId="40505" xr:uid="{00000000-0005-0000-0000-00004C7A0000}"/>
    <cellStyle name="Note 4 4 2 2 2 3 13" xfId="44336" xr:uid="{00000000-0005-0000-0000-00004D7A0000}"/>
    <cellStyle name="Note 4 4 2 2 2 3 2" xfId="3447" xr:uid="{00000000-0005-0000-0000-00004E7A0000}"/>
    <cellStyle name="Note 4 4 2 2 2 3 2 10" xfId="38498" xr:uid="{00000000-0005-0000-0000-00004F7A0000}"/>
    <cellStyle name="Note 4 4 2 2 2 3 2 11" xfId="42509" xr:uid="{00000000-0005-0000-0000-0000507A0000}"/>
    <cellStyle name="Note 4 4 2 2 2 3 2 12" xfId="46274" xr:uid="{00000000-0005-0000-0000-0000517A0000}"/>
    <cellStyle name="Note 4 4 2 2 2 3 2 2" xfId="7314" xr:uid="{00000000-0005-0000-0000-0000527A0000}"/>
    <cellStyle name="Note 4 4 2 2 2 3 2 3" xfId="11749" xr:uid="{00000000-0005-0000-0000-0000537A0000}"/>
    <cellStyle name="Note 4 4 2 2 2 3 2 4" xfId="15594" xr:uid="{00000000-0005-0000-0000-0000547A0000}"/>
    <cellStyle name="Note 4 4 2 2 2 3 2 5" xfId="19441" xr:uid="{00000000-0005-0000-0000-0000557A0000}"/>
    <cellStyle name="Note 4 4 2 2 2 3 2 6" xfId="23357" xr:uid="{00000000-0005-0000-0000-0000567A0000}"/>
    <cellStyle name="Note 4 4 2 2 2 3 2 7" xfId="27191" xr:uid="{00000000-0005-0000-0000-0000577A0000}"/>
    <cellStyle name="Note 4 4 2 2 2 3 2 8" xfId="31059" xr:uid="{00000000-0005-0000-0000-0000587A0000}"/>
    <cellStyle name="Note 4 4 2 2 2 3 2 9" xfId="34712" xr:uid="{00000000-0005-0000-0000-0000597A0000}"/>
    <cellStyle name="Note 4 4 2 2 2 3 3" xfId="5390" xr:uid="{00000000-0005-0000-0000-00005A7A0000}"/>
    <cellStyle name="Note 4 4 2 2 2 3 4" xfId="9748" xr:uid="{00000000-0005-0000-0000-00005B7A0000}"/>
    <cellStyle name="Note 4 4 2 2 2 3 5" xfId="13594" xr:uid="{00000000-0005-0000-0000-00005C7A0000}"/>
    <cellStyle name="Note 4 4 2 2 2 3 6" xfId="17423" xr:uid="{00000000-0005-0000-0000-00005D7A0000}"/>
    <cellStyle name="Note 4 4 2 2 2 3 7" xfId="21362" xr:uid="{00000000-0005-0000-0000-00005E7A0000}"/>
    <cellStyle name="Note 4 4 2 2 2 3 8" xfId="25175" xr:uid="{00000000-0005-0000-0000-00005F7A0000}"/>
    <cellStyle name="Note 4 4 2 2 2 3 9" xfId="29062" xr:uid="{00000000-0005-0000-0000-0000607A0000}"/>
    <cellStyle name="Note 4 4 2 2 2 4" xfId="2706" xr:uid="{00000000-0005-0000-0000-0000617A0000}"/>
    <cellStyle name="Note 4 4 2 2 2 4 10" xfId="37758" xr:uid="{00000000-0005-0000-0000-0000627A0000}"/>
    <cellStyle name="Note 4 4 2 2 2 4 11" xfId="41772" xr:uid="{00000000-0005-0000-0000-0000637A0000}"/>
    <cellStyle name="Note 4 4 2 2 2 4 12" xfId="45557" xr:uid="{00000000-0005-0000-0000-0000647A0000}"/>
    <cellStyle name="Note 4 4 2 2 2 4 2" xfId="6594" xr:uid="{00000000-0005-0000-0000-0000657A0000}"/>
    <cellStyle name="Note 4 4 2 2 2 4 3" xfId="11018" xr:uid="{00000000-0005-0000-0000-0000667A0000}"/>
    <cellStyle name="Note 4 4 2 2 2 4 4" xfId="14862" xr:uid="{00000000-0005-0000-0000-0000677A0000}"/>
    <cellStyle name="Note 4 4 2 2 2 4 5" xfId="18700" xr:uid="{00000000-0005-0000-0000-0000687A0000}"/>
    <cellStyle name="Note 4 4 2 2 2 4 6" xfId="22631" xr:uid="{00000000-0005-0000-0000-0000697A0000}"/>
    <cellStyle name="Note 4 4 2 2 2 4 7" xfId="26451" xr:uid="{00000000-0005-0000-0000-00006A7A0000}"/>
    <cellStyle name="Note 4 4 2 2 2 4 8" xfId="30330" xr:uid="{00000000-0005-0000-0000-00006B7A0000}"/>
    <cellStyle name="Note 4 4 2 2 2 4 9" xfId="33995" xr:uid="{00000000-0005-0000-0000-00006C7A0000}"/>
    <cellStyle name="Note 4 4 2 2 2 5" xfId="4670" xr:uid="{00000000-0005-0000-0000-00006D7A0000}"/>
    <cellStyle name="Note 4 4 2 2 2 6" xfId="9012" xr:uid="{00000000-0005-0000-0000-00006E7A0000}"/>
    <cellStyle name="Note 4 4 2 2 2 7" xfId="12849" xr:uid="{00000000-0005-0000-0000-00006F7A0000}"/>
    <cellStyle name="Note 4 4 2 2 2 8" xfId="16679" xr:uid="{00000000-0005-0000-0000-0000707A0000}"/>
    <cellStyle name="Note 4 4 2 2 2 9" xfId="20616" xr:uid="{00000000-0005-0000-0000-0000717A0000}"/>
    <cellStyle name="Note 4 4 2 2 20" xfId="8879" xr:uid="{00000000-0005-0000-0000-0000727A0000}"/>
    <cellStyle name="Note 4 4 2 2 21" xfId="8533" xr:uid="{00000000-0005-0000-0000-0000737A0000}"/>
    <cellStyle name="Note 4 4 2 2 22" xfId="8807" xr:uid="{00000000-0005-0000-0000-0000747A0000}"/>
    <cellStyle name="Note 4 4 2 2 23" xfId="8516" xr:uid="{00000000-0005-0000-0000-0000757A0000}"/>
    <cellStyle name="Note 4 4 2 2 24" xfId="8775" xr:uid="{00000000-0005-0000-0000-0000767A0000}"/>
    <cellStyle name="Note 4 4 2 2 25" xfId="20691" xr:uid="{00000000-0005-0000-0000-0000777A0000}"/>
    <cellStyle name="Note 4 4 2 2 26" xfId="28567" xr:uid="{00000000-0005-0000-0000-0000787A0000}"/>
    <cellStyle name="Note 4 4 2 2 27" xfId="24755" xr:uid="{00000000-0005-0000-0000-0000797A0000}"/>
    <cellStyle name="Note 4 4 2 2 28" xfId="39666" xr:uid="{00000000-0005-0000-0000-00007A7A0000}"/>
    <cellStyle name="Note 4 4 2 2 29" xfId="40298" xr:uid="{00000000-0005-0000-0000-00007B7A0000}"/>
    <cellStyle name="Note 4 4 2 2 3" xfId="642" xr:uid="{00000000-0005-0000-0000-00007C7A0000}"/>
    <cellStyle name="Note 4 4 2 2 3 10" xfId="21993" xr:uid="{00000000-0005-0000-0000-00007D7A0000}"/>
    <cellStyle name="Note 4 4 2 2 3 11" xfId="28269" xr:uid="{00000000-0005-0000-0000-00007E7A0000}"/>
    <cellStyle name="Note 4 4 2 2 3 12" xfId="30278" xr:uid="{00000000-0005-0000-0000-00007F7A0000}"/>
    <cellStyle name="Note 4 4 2 2 3 13" xfId="28398" xr:uid="{00000000-0005-0000-0000-0000807A0000}"/>
    <cellStyle name="Note 4 4 2 2 3 14" xfId="39737" xr:uid="{00000000-0005-0000-0000-0000817A0000}"/>
    <cellStyle name="Note 4 4 2 2 3 15" xfId="41141" xr:uid="{00000000-0005-0000-0000-0000827A0000}"/>
    <cellStyle name="Note 4 4 2 2 3 2" xfId="1022" xr:uid="{00000000-0005-0000-0000-0000837A0000}"/>
    <cellStyle name="Note 4 4 2 2 3 2 10" xfId="28633" xr:uid="{00000000-0005-0000-0000-0000847A0000}"/>
    <cellStyle name="Note 4 4 2 2 3 2 11" xfId="32321" xr:uid="{00000000-0005-0000-0000-0000857A0000}"/>
    <cellStyle name="Note 4 4 2 2 3 2 12" xfId="36080" xr:uid="{00000000-0005-0000-0000-0000867A0000}"/>
    <cellStyle name="Note 4 4 2 2 3 2 13" xfId="40085" xr:uid="{00000000-0005-0000-0000-0000877A0000}"/>
    <cellStyle name="Note 4 4 2 2 3 2 14" xfId="43906" xr:uid="{00000000-0005-0000-0000-0000887A0000}"/>
    <cellStyle name="Note 4 4 2 2 3 2 2" xfId="1751" xr:uid="{00000000-0005-0000-0000-0000897A0000}"/>
    <cellStyle name="Note 4 4 2 2 3 2 2 10" xfId="33038" xr:uid="{00000000-0005-0000-0000-00008A7A0000}"/>
    <cellStyle name="Note 4 4 2 2 3 2 2 11" xfId="36808" xr:uid="{00000000-0005-0000-0000-00008B7A0000}"/>
    <cellStyle name="Note 4 4 2 2 3 2 2 12" xfId="40799" xr:uid="{00000000-0005-0000-0000-00008C7A0000}"/>
    <cellStyle name="Note 4 4 2 2 3 2 2 13" xfId="44630" xr:uid="{00000000-0005-0000-0000-00008D7A0000}"/>
    <cellStyle name="Note 4 4 2 2 3 2 2 2" xfId="3741" xr:uid="{00000000-0005-0000-0000-00008E7A0000}"/>
    <cellStyle name="Note 4 4 2 2 3 2 2 2 10" xfId="38792" xr:uid="{00000000-0005-0000-0000-00008F7A0000}"/>
    <cellStyle name="Note 4 4 2 2 3 2 2 2 11" xfId="42803" xr:uid="{00000000-0005-0000-0000-0000907A0000}"/>
    <cellStyle name="Note 4 4 2 2 3 2 2 2 12" xfId="46568" xr:uid="{00000000-0005-0000-0000-0000917A0000}"/>
    <cellStyle name="Note 4 4 2 2 3 2 2 2 2" xfId="7608" xr:uid="{00000000-0005-0000-0000-0000927A0000}"/>
    <cellStyle name="Note 4 4 2 2 3 2 2 2 3" xfId="12043" xr:uid="{00000000-0005-0000-0000-0000937A0000}"/>
    <cellStyle name="Note 4 4 2 2 3 2 2 2 4" xfId="15888" xr:uid="{00000000-0005-0000-0000-0000947A0000}"/>
    <cellStyle name="Note 4 4 2 2 3 2 2 2 5" xfId="19735" xr:uid="{00000000-0005-0000-0000-0000957A0000}"/>
    <cellStyle name="Note 4 4 2 2 3 2 2 2 6" xfId="23651" xr:uid="{00000000-0005-0000-0000-0000967A0000}"/>
    <cellStyle name="Note 4 4 2 2 3 2 2 2 7" xfId="27485" xr:uid="{00000000-0005-0000-0000-0000977A0000}"/>
    <cellStyle name="Note 4 4 2 2 3 2 2 2 8" xfId="31349" xr:uid="{00000000-0005-0000-0000-0000987A0000}"/>
    <cellStyle name="Note 4 4 2 2 3 2 2 2 9" xfId="35006" xr:uid="{00000000-0005-0000-0000-0000997A0000}"/>
    <cellStyle name="Note 4 4 2 2 3 2 2 3" xfId="5684" xr:uid="{00000000-0005-0000-0000-00009A7A0000}"/>
    <cellStyle name="Note 4 4 2 2 3 2 2 4" xfId="10042" xr:uid="{00000000-0005-0000-0000-00009B7A0000}"/>
    <cellStyle name="Note 4 4 2 2 3 2 2 5" xfId="13888" xr:uid="{00000000-0005-0000-0000-00009C7A0000}"/>
    <cellStyle name="Note 4 4 2 2 3 2 2 6" xfId="17717" xr:uid="{00000000-0005-0000-0000-00009D7A0000}"/>
    <cellStyle name="Note 4 4 2 2 3 2 2 7" xfId="21656" xr:uid="{00000000-0005-0000-0000-00009E7A0000}"/>
    <cellStyle name="Note 4 4 2 2 3 2 2 8" xfId="25469" xr:uid="{00000000-0005-0000-0000-00009F7A0000}"/>
    <cellStyle name="Note 4 4 2 2 3 2 2 9" xfId="29356" xr:uid="{00000000-0005-0000-0000-0000A07A0000}"/>
    <cellStyle name="Note 4 4 2 2 3 2 3" xfId="3012" xr:uid="{00000000-0005-0000-0000-0000A17A0000}"/>
    <cellStyle name="Note 4 4 2 2 3 2 3 10" xfId="38064" xr:uid="{00000000-0005-0000-0000-0000A27A0000}"/>
    <cellStyle name="Note 4 4 2 2 3 2 3 11" xfId="42076" xr:uid="{00000000-0005-0000-0000-0000A37A0000}"/>
    <cellStyle name="Note 4 4 2 2 3 2 3 12" xfId="45851" xr:uid="{00000000-0005-0000-0000-0000A47A0000}"/>
    <cellStyle name="Note 4 4 2 2 3 2 3 2" xfId="6890" xr:uid="{00000000-0005-0000-0000-0000A57A0000}"/>
    <cellStyle name="Note 4 4 2 2 3 2 3 3" xfId="11318" xr:uid="{00000000-0005-0000-0000-0000A67A0000}"/>
    <cellStyle name="Note 4 4 2 2 3 2 3 4" xfId="15163" xr:uid="{00000000-0005-0000-0000-0000A77A0000}"/>
    <cellStyle name="Note 4 4 2 2 3 2 3 5" xfId="19006" xr:uid="{00000000-0005-0000-0000-0000A87A0000}"/>
    <cellStyle name="Note 4 4 2 2 3 2 3 6" xfId="22930" xr:uid="{00000000-0005-0000-0000-0000A97A0000}"/>
    <cellStyle name="Note 4 4 2 2 3 2 3 7" xfId="26757" xr:uid="{00000000-0005-0000-0000-0000AA7A0000}"/>
    <cellStyle name="Note 4 4 2 2 3 2 3 8" xfId="30631" xr:uid="{00000000-0005-0000-0000-0000AB7A0000}"/>
    <cellStyle name="Note 4 4 2 2 3 2 3 9" xfId="34289" xr:uid="{00000000-0005-0000-0000-0000AC7A0000}"/>
    <cellStyle name="Note 4 4 2 2 3 2 4" xfId="4966" xr:uid="{00000000-0005-0000-0000-0000AD7A0000}"/>
    <cellStyle name="Note 4 4 2 2 3 2 5" xfId="9321" xr:uid="{00000000-0005-0000-0000-0000AE7A0000}"/>
    <cellStyle name="Note 4 4 2 2 3 2 6" xfId="13162" xr:uid="{00000000-0005-0000-0000-0000AF7A0000}"/>
    <cellStyle name="Note 4 4 2 2 3 2 7" xfId="16988" xr:uid="{00000000-0005-0000-0000-0000B07A0000}"/>
    <cellStyle name="Note 4 4 2 2 3 2 8" xfId="20930" xr:uid="{00000000-0005-0000-0000-0000B17A0000}"/>
    <cellStyle name="Note 4 4 2 2 3 2 9" xfId="24745" xr:uid="{00000000-0005-0000-0000-0000B27A0000}"/>
    <cellStyle name="Note 4 4 2 2 3 3" xfId="1398" xr:uid="{00000000-0005-0000-0000-0000B37A0000}"/>
    <cellStyle name="Note 4 4 2 2 3 3 10" xfId="32685" xr:uid="{00000000-0005-0000-0000-0000B47A0000}"/>
    <cellStyle name="Note 4 4 2 2 3 3 11" xfId="36455" xr:uid="{00000000-0005-0000-0000-0000B57A0000}"/>
    <cellStyle name="Note 4 4 2 2 3 3 12" xfId="40446" xr:uid="{00000000-0005-0000-0000-0000B67A0000}"/>
    <cellStyle name="Note 4 4 2 2 3 3 13" xfId="44277" xr:uid="{00000000-0005-0000-0000-0000B77A0000}"/>
    <cellStyle name="Note 4 4 2 2 3 3 2" xfId="3388" xr:uid="{00000000-0005-0000-0000-0000B87A0000}"/>
    <cellStyle name="Note 4 4 2 2 3 3 2 10" xfId="38439" xr:uid="{00000000-0005-0000-0000-0000B97A0000}"/>
    <cellStyle name="Note 4 4 2 2 3 3 2 11" xfId="42450" xr:uid="{00000000-0005-0000-0000-0000BA7A0000}"/>
    <cellStyle name="Note 4 4 2 2 3 3 2 12" xfId="46215" xr:uid="{00000000-0005-0000-0000-0000BB7A0000}"/>
    <cellStyle name="Note 4 4 2 2 3 3 2 2" xfId="7255" xr:uid="{00000000-0005-0000-0000-0000BC7A0000}"/>
    <cellStyle name="Note 4 4 2 2 3 3 2 3" xfId="11690" xr:uid="{00000000-0005-0000-0000-0000BD7A0000}"/>
    <cellStyle name="Note 4 4 2 2 3 3 2 4" xfId="15535" xr:uid="{00000000-0005-0000-0000-0000BE7A0000}"/>
    <cellStyle name="Note 4 4 2 2 3 3 2 5" xfId="19382" xr:uid="{00000000-0005-0000-0000-0000BF7A0000}"/>
    <cellStyle name="Note 4 4 2 2 3 3 2 6" xfId="23298" xr:uid="{00000000-0005-0000-0000-0000C07A0000}"/>
    <cellStyle name="Note 4 4 2 2 3 3 2 7" xfId="27132" xr:uid="{00000000-0005-0000-0000-0000C17A0000}"/>
    <cellStyle name="Note 4 4 2 2 3 3 2 8" xfId="31000" xr:uid="{00000000-0005-0000-0000-0000C27A0000}"/>
    <cellStyle name="Note 4 4 2 2 3 3 2 9" xfId="34653" xr:uid="{00000000-0005-0000-0000-0000C37A0000}"/>
    <cellStyle name="Note 4 4 2 2 3 3 3" xfId="5331" xr:uid="{00000000-0005-0000-0000-0000C47A0000}"/>
    <cellStyle name="Note 4 4 2 2 3 3 4" xfId="9689" xr:uid="{00000000-0005-0000-0000-0000C57A0000}"/>
    <cellStyle name="Note 4 4 2 2 3 3 5" xfId="13535" xr:uid="{00000000-0005-0000-0000-0000C67A0000}"/>
    <cellStyle name="Note 4 4 2 2 3 3 6" xfId="17364" xr:uid="{00000000-0005-0000-0000-0000C77A0000}"/>
    <cellStyle name="Note 4 4 2 2 3 3 7" xfId="21303" xr:uid="{00000000-0005-0000-0000-0000C87A0000}"/>
    <cellStyle name="Note 4 4 2 2 3 3 8" xfId="25116" xr:uid="{00000000-0005-0000-0000-0000C97A0000}"/>
    <cellStyle name="Note 4 4 2 2 3 3 9" xfId="29003" xr:uid="{00000000-0005-0000-0000-0000CA7A0000}"/>
    <cellStyle name="Note 4 4 2 2 3 4" xfId="2645" xr:uid="{00000000-0005-0000-0000-0000CB7A0000}"/>
    <cellStyle name="Note 4 4 2 2 3 4 10" xfId="37697" xr:uid="{00000000-0005-0000-0000-0000CC7A0000}"/>
    <cellStyle name="Note 4 4 2 2 3 4 11" xfId="41711" xr:uid="{00000000-0005-0000-0000-0000CD7A0000}"/>
    <cellStyle name="Note 4 4 2 2 3 4 12" xfId="45498" xr:uid="{00000000-0005-0000-0000-0000CE7A0000}"/>
    <cellStyle name="Note 4 4 2 2 3 4 2" xfId="6535" xr:uid="{00000000-0005-0000-0000-0000CF7A0000}"/>
    <cellStyle name="Note 4 4 2 2 3 4 3" xfId="10959" xr:uid="{00000000-0005-0000-0000-0000D07A0000}"/>
    <cellStyle name="Note 4 4 2 2 3 4 4" xfId="14803" xr:uid="{00000000-0005-0000-0000-0000D17A0000}"/>
    <cellStyle name="Note 4 4 2 2 3 4 5" xfId="18639" xr:uid="{00000000-0005-0000-0000-0000D27A0000}"/>
    <cellStyle name="Note 4 4 2 2 3 4 6" xfId="22572" xr:uid="{00000000-0005-0000-0000-0000D37A0000}"/>
    <cellStyle name="Note 4 4 2 2 3 4 7" xfId="26390" xr:uid="{00000000-0005-0000-0000-0000D47A0000}"/>
    <cellStyle name="Note 4 4 2 2 3 4 8" xfId="30269" xr:uid="{00000000-0005-0000-0000-0000D57A0000}"/>
    <cellStyle name="Note 4 4 2 2 3 4 9" xfId="33936" xr:uid="{00000000-0005-0000-0000-0000D67A0000}"/>
    <cellStyle name="Note 4 4 2 2 3 5" xfId="4611" xr:uid="{00000000-0005-0000-0000-0000D77A0000}"/>
    <cellStyle name="Note 4 4 2 2 3 6" xfId="8951" xr:uid="{00000000-0005-0000-0000-0000D87A0000}"/>
    <cellStyle name="Note 4 4 2 2 3 7" xfId="12790" xr:uid="{00000000-0005-0000-0000-0000D97A0000}"/>
    <cellStyle name="Note 4 4 2 2 3 8" xfId="8834" xr:uid="{00000000-0005-0000-0000-0000DA7A0000}"/>
    <cellStyle name="Note 4 4 2 2 3 9" xfId="20555" xr:uid="{00000000-0005-0000-0000-0000DB7A0000}"/>
    <cellStyle name="Note 4 4 2 2 30" xfId="47380" xr:uid="{00000000-0005-0000-0000-0000DC7A0000}"/>
    <cellStyle name="Note 4 4 2 2 31" xfId="47466" xr:uid="{00000000-0005-0000-0000-0000DD7A0000}"/>
    <cellStyle name="Note 4 4 2 2 32" xfId="47515" xr:uid="{00000000-0005-0000-0000-0000DE7A0000}"/>
    <cellStyle name="Note 4 4 2 2 4" xfId="811" xr:uid="{00000000-0005-0000-0000-0000DF7A0000}"/>
    <cellStyle name="Note 4 4 2 2 4 10" xfId="24535" xr:uid="{00000000-0005-0000-0000-0000E07A0000}"/>
    <cellStyle name="Note 4 4 2 2 4 11" xfId="28426" xr:uid="{00000000-0005-0000-0000-0000E17A0000}"/>
    <cellStyle name="Note 4 4 2 2 4 12" xfId="32112" xr:uid="{00000000-0005-0000-0000-0000E27A0000}"/>
    <cellStyle name="Note 4 4 2 2 4 13" xfId="35869" xr:uid="{00000000-0005-0000-0000-0000E37A0000}"/>
    <cellStyle name="Note 4 4 2 2 4 14" xfId="39880" xr:uid="{00000000-0005-0000-0000-0000E47A0000}"/>
    <cellStyle name="Note 4 4 2 2 4 15" xfId="43695" xr:uid="{00000000-0005-0000-0000-0000E57A0000}"/>
    <cellStyle name="Note 4 4 2 2 4 2" xfId="1173" xr:uid="{00000000-0005-0000-0000-0000E67A0000}"/>
    <cellStyle name="Note 4 4 2 2 4 2 10" xfId="28782" xr:uid="{00000000-0005-0000-0000-0000E77A0000}"/>
    <cellStyle name="Note 4 4 2 2 4 2 11" xfId="32465" xr:uid="{00000000-0005-0000-0000-0000E87A0000}"/>
    <cellStyle name="Note 4 4 2 2 4 2 12" xfId="36231" xr:uid="{00000000-0005-0000-0000-0000E97A0000}"/>
    <cellStyle name="Note 4 4 2 2 4 2 13" xfId="40226" xr:uid="{00000000-0005-0000-0000-0000EA7A0000}"/>
    <cellStyle name="Note 4 4 2 2 4 2 14" xfId="44057" xr:uid="{00000000-0005-0000-0000-0000EB7A0000}"/>
    <cellStyle name="Note 4 4 2 2 4 2 2" xfId="1895" xr:uid="{00000000-0005-0000-0000-0000EC7A0000}"/>
    <cellStyle name="Note 4 4 2 2 4 2 2 10" xfId="33182" xr:uid="{00000000-0005-0000-0000-0000ED7A0000}"/>
    <cellStyle name="Note 4 4 2 2 4 2 2 11" xfId="36952" xr:uid="{00000000-0005-0000-0000-0000EE7A0000}"/>
    <cellStyle name="Note 4 4 2 2 4 2 2 12" xfId="40943" xr:uid="{00000000-0005-0000-0000-0000EF7A0000}"/>
    <cellStyle name="Note 4 4 2 2 4 2 2 13" xfId="44774" xr:uid="{00000000-0005-0000-0000-0000F07A0000}"/>
    <cellStyle name="Note 4 4 2 2 4 2 2 2" xfId="3885" xr:uid="{00000000-0005-0000-0000-0000F17A0000}"/>
    <cellStyle name="Note 4 4 2 2 4 2 2 2 10" xfId="38936" xr:uid="{00000000-0005-0000-0000-0000F27A0000}"/>
    <cellStyle name="Note 4 4 2 2 4 2 2 2 11" xfId="42947" xr:uid="{00000000-0005-0000-0000-0000F37A0000}"/>
    <cellStyle name="Note 4 4 2 2 4 2 2 2 12" xfId="46712" xr:uid="{00000000-0005-0000-0000-0000F47A0000}"/>
    <cellStyle name="Note 4 4 2 2 4 2 2 2 2" xfId="7752" xr:uid="{00000000-0005-0000-0000-0000F57A0000}"/>
    <cellStyle name="Note 4 4 2 2 4 2 2 2 3" xfId="12187" xr:uid="{00000000-0005-0000-0000-0000F67A0000}"/>
    <cellStyle name="Note 4 4 2 2 4 2 2 2 4" xfId="16032" xr:uid="{00000000-0005-0000-0000-0000F77A0000}"/>
    <cellStyle name="Note 4 4 2 2 4 2 2 2 5" xfId="19879" xr:uid="{00000000-0005-0000-0000-0000F87A0000}"/>
    <cellStyle name="Note 4 4 2 2 4 2 2 2 6" xfId="23795" xr:uid="{00000000-0005-0000-0000-0000F97A0000}"/>
    <cellStyle name="Note 4 4 2 2 4 2 2 2 7" xfId="27629" xr:uid="{00000000-0005-0000-0000-0000FA7A0000}"/>
    <cellStyle name="Note 4 4 2 2 4 2 2 2 8" xfId="31492" xr:uid="{00000000-0005-0000-0000-0000FB7A0000}"/>
    <cellStyle name="Note 4 4 2 2 4 2 2 2 9" xfId="35150" xr:uid="{00000000-0005-0000-0000-0000FC7A0000}"/>
    <cellStyle name="Note 4 4 2 2 4 2 2 3" xfId="5828" xr:uid="{00000000-0005-0000-0000-0000FD7A0000}"/>
    <cellStyle name="Note 4 4 2 2 4 2 2 4" xfId="10186" xr:uid="{00000000-0005-0000-0000-0000FE7A0000}"/>
    <cellStyle name="Note 4 4 2 2 4 2 2 5" xfId="14032" xr:uid="{00000000-0005-0000-0000-0000FF7A0000}"/>
    <cellStyle name="Note 4 4 2 2 4 2 2 6" xfId="17861" xr:uid="{00000000-0005-0000-0000-0000007B0000}"/>
    <cellStyle name="Note 4 4 2 2 4 2 2 7" xfId="21800" xr:uid="{00000000-0005-0000-0000-0000017B0000}"/>
    <cellStyle name="Note 4 4 2 2 4 2 2 8" xfId="25613" xr:uid="{00000000-0005-0000-0000-0000027B0000}"/>
    <cellStyle name="Note 4 4 2 2 4 2 2 9" xfId="29500" xr:uid="{00000000-0005-0000-0000-0000037B0000}"/>
    <cellStyle name="Note 4 4 2 2 4 2 3" xfId="3163" xr:uid="{00000000-0005-0000-0000-0000047B0000}"/>
    <cellStyle name="Note 4 4 2 2 4 2 3 10" xfId="38215" xr:uid="{00000000-0005-0000-0000-0000057B0000}"/>
    <cellStyle name="Note 4 4 2 2 4 2 3 11" xfId="42226" xr:uid="{00000000-0005-0000-0000-0000067B0000}"/>
    <cellStyle name="Note 4 4 2 2 4 2 3 12" xfId="45995" xr:uid="{00000000-0005-0000-0000-0000077B0000}"/>
    <cellStyle name="Note 4 4 2 2 4 2 3 2" xfId="7035" xr:uid="{00000000-0005-0000-0000-0000087B0000}"/>
    <cellStyle name="Note 4 4 2 2 4 2 3 3" xfId="11467" xr:uid="{00000000-0005-0000-0000-0000097B0000}"/>
    <cellStyle name="Note 4 4 2 2 4 2 3 4" xfId="15311" xr:uid="{00000000-0005-0000-0000-00000A7B0000}"/>
    <cellStyle name="Note 4 4 2 2 4 2 3 5" xfId="19157" xr:uid="{00000000-0005-0000-0000-00000B7B0000}"/>
    <cellStyle name="Note 4 4 2 2 4 2 3 6" xfId="23076" xr:uid="{00000000-0005-0000-0000-00000C7B0000}"/>
    <cellStyle name="Note 4 4 2 2 4 2 3 7" xfId="26908" xr:uid="{00000000-0005-0000-0000-00000D7B0000}"/>
    <cellStyle name="Note 4 4 2 2 4 2 3 8" xfId="30780" xr:uid="{00000000-0005-0000-0000-00000E7B0000}"/>
    <cellStyle name="Note 4 4 2 2 4 2 3 9" xfId="34433" xr:uid="{00000000-0005-0000-0000-00000F7B0000}"/>
    <cellStyle name="Note 4 4 2 2 4 2 4" xfId="5111" xr:uid="{00000000-0005-0000-0000-0000107B0000}"/>
    <cellStyle name="Note 4 4 2 2 4 2 5" xfId="9467" xr:uid="{00000000-0005-0000-0000-0000117B0000}"/>
    <cellStyle name="Note 4 4 2 2 4 2 6" xfId="13311" xr:uid="{00000000-0005-0000-0000-0000127B0000}"/>
    <cellStyle name="Note 4 4 2 2 4 2 7" xfId="17139" xr:uid="{00000000-0005-0000-0000-0000137B0000}"/>
    <cellStyle name="Note 4 4 2 2 4 2 8" xfId="21081" xr:uid="{00000000-0005-0000-0000-0000147B0000}"/>
    <cellStyle name="Note 4 4 2 2 4 2 9" xfId="24892" xr:uid="{00000000-0005-0000-0000-0000157B0000}"/>
    <cellStyle name="Note 4 4 2 2 4 3" xfId="1542" xr:uid="{00000000-0005-0000-0000-0000167B0000}"/>
    <cellStyle name="Note 4 4 2 2 4 3 10" xfId="32829" xr:uid="{00000000-0005-0000-0000-0000177B0000}"/>
    <cellStyle name="Note 4 4 2 2 4 3 11" xfId="36599" xr:uid="{00000000-0005-0000-0000-0000187B0000}"/>
    <cellStyle name="Note 4 4 2 2 4 3 12" xfId="40590" xr:uid="{00000000-0005-0000-0000-0000197B0000}"/>
    <cellStyle name="Note 4 4 2 2 4 3 13" xfId="44421" xr:uid="{00000000-0005-0000-0000-00001A7B0000}"/>
    <cellStyle name="Note 4 4 2 2 4 3 2" xfId="3532" xr:uid="{00000000-0005-0000-0000-00001B7B0000}"/>
    <cellStyle name="Note 4 4 2 2 4 3 2 10" xfId="38583" xr:uid="{00000000-0005-0000-0000-00001C7B0000}"/>
    <cellStyle name="Note 4 4 2 2 4 3 2 11" xfId="42594" xr:uid="{00000000-0005-0000-0000-00001D7B0000}"/>
    <cellStyle name="Note 4 4 2 2 4 3 2 12" xfId="46359" xr:uid="{00000000-0005-0000-0000-00001E7B0000}"/>
    <cellStyle name="Note 4 4 2 2 4 3 2 2" xfId="7399" xr:uid="{00000000-0005-0000-0000-00001F7B0000}"/>
    <cellStyle name="Note 4 4 2 2 4 3 2 3" xfId="11834" xr:uid="{00000000-0005-0000-0000-0000207B0000}"/>
    <cellStyle name="Note 4 4 2 2 4 3 2 4" xfId="15679" xr:uid="{00000000-0005-0000-0000-0000217B0000}"/>
    <cellStyle name="Note 4 4 2 2 4 3 2 5" xfId="19526" xr:uid="{00000000-0005-0000-0000-0000227B0000}"/>
    <cellStyle name="Note 4 4 2 2 4 3 2 6" xfId="23442" xr:uid="{00000000-0005-0000-0000-0000237B0000}"/>
    <cellStyle name="Note 4 4 2 2 4 3 2 7" xfId="27276" xr:uid="{00000000-0005-0000-0000-0000247B0000}"/>
    <cellStyle name="Note 4 4 2 2 4 3 2 8" xfId="31143" xr:uid="{00000000-0005-0000-0000-0000257B0000}"/>
    <cellStyle name="Note 4 4 2 2 4 3 2 9" xfId="34797" xr:uid="{00000000-0005-0000-0000-0000267B0000}"/>
    <cellStyle name="Note 4 4 2 2 4 3 3" xfId="5475" xr:uid="{00000000-0005-0000-0000-0000277B0000}"/>
    <cellStyle name="Note 4 4 2 2 4 3 4" xfId="9833" xr:uid="{00000000-0005-0000-0000-0000287B0000}"/>
    <cellStyle name="Note 4 4 2 2 4 3 5" xfId="13679" xr:uid="{00000000-0005-0000-0000-0000297B0000}"/>
    <cellStyle name="Note 4 4 2 2 4 3 6" xfId="17508" xr:uid="{00000000-0005-0000-0000-00002A7B0000}"/>
    <cellStyle name="Note 4 4 2 2 4 3 7" xfId="21447" xr:uid="{00000000-0005-0000-0000-00002B7B0000}"/>
    <cellStyle name="Note 4 4 2 2 4 3 8" xfId="25260" xr:uid="{00000000-0005-0000-0000-00002C7B0000}"/>
    <cellStyle name="Note 4 4 2 2 4 3 9" xfId="29147" xr:uid="{00000000-0005-0000-0000-00002D7B0000}"/>
    <cellStyle name="Note 4 4 2 2 4 4" xfId="2801" xr:uid="{00000000-0005-0000-0000-00002E7B0000}"/>
    <cellStyle name="Note 4 4 2 2 4 4 10" xfId="37853" xr:uid="{00000000-0005-0000-0000-00002F7B0000}"/>
    <cellStyle name="Note 4 4 2 2 4 4 11" xfId="41865" xr:uid="{00000000-0005-0000-0000-0000307B0000}"/>
    <cellStyle name="Note 4 4 2 2 4 4 12" xfId="45642" xr:uid="{00000000-0005-0000-0000-0000317B0000}"/>
    <cellStyle name="Note 4 4 2 2 4 4 2" xfId="6681" xr:uid="{00000000-0005-0000-0000-0000327B0000}"/>
    <cellStyle name="Note 4 4 2 2 4 4 3" xfId="11108" xr:uid="{00000000-0005-0000-0000-0000337B0000}"/>
    <cellStyle name="Note 4 4 2 2 4 4 4" xfId="14953" xr:uid="{00000000-0005-0000-0000-0000347B0000}"/>
    <cellStyle name="Note 4 4 2 2 4 4 5" xfId="18795" xr:uid="{00000000-0005-0000-0000-0000357B0000}"/>
    <cellStyle name="Note 4 4 2 2 4 4 6" xfId="22721" xr:uid="{00000000-0005-0000-0000-0000367B0000}"/>
    <cellStyle name="Note 4 4 2 2 4 4 7" xfId="26546" xr:uid="{00000000-0005-0000-0000-0000377B0000}"/>
    <cellStyle name="Note 4 4 2 2 4 4 8" xfId="30424" xr:uid="{00000000-0005-0000-0000-0000387B0000}"/>
    <cellStyle name="Note 4 4 2 2 4 4 9" xfId="34080" xr:uid="{00000000-0005-0000-0000-0000397B0000}"/>
    <cellStyle name="Note 4 4 2 2 4 5" xfId="4757" xr:uid="{00000000-0005-0000-0000-00003A7B0000}"/>
    <cellStyle name="Note 4 4 2 2 4 6" xfId="9111" xr:uid="{00000000-0005-0000-0000-00003B7B0000}"/>
    <cellStyle name="Note 4 4 2 2 4 7" xfId="12952" xr:uid="{00000000-0005-0000-0000-00003C7B0000}"/>
    <cellStyle name="Note 4 4 2 2 4 8" xfId="16777" xr:uid="{00000000-0005-0000-0000-00003D7B0000}"/>
    <cellStyle name="Note 4 4 2 2 4 9" xfId="20719" xr:uid="{00000000-0005-0000-0000-00003E7B0000}"/>
    <cellStyle name="Note 4 4 2 2 5" xfId="903" xr:uid="{00000000-0005-0000-0000-00003F7B0000}"/>
    <cellStyle name="Note 4 4 2 2 5 10" xfId="24627" xr:uid="{00000000-0005-0000-0000-0000407B0000}"/>
    <cellStyle name="Note 4 4 2 2 5 11" xfId="28517" xr:uid="{00000000-0005-0000-0000-0000417B0000}"/>
    <cellStyle name="Note 4 4 2 2 5 12" xfId="32204" xr:uid="{00000000-0005-0000-0000-0000427B0000}"/>
    <cellStyle name="Note 4 4 2 2 5 13" xfId="35961" xr:uid="{00000000-0005-0000-0000-0000437B0000}"/>
    <cellStyle name="Note 4 4 2 2 5 14" xfId="39971" xr:uid="{00000000-0005-0000-0000-0000447B0000}"/>
    <cellStyle name="Note 4 4 2 2 5 15" xfId="43787" xr:uid="{00000000-0005-0000-0000-0000457B0000}"/>
    <cellStyle name="Note 4 4 2 2 5 2" xfId="1240" xr:uid="{00000000-0005-0000-0000-0000467B0000}"/>
    <cellStyle name="Note 4 4 2 2 5 2 10" xfId="28848" xr:uid="{00000000-0005-0000-0000-0000477B0000}"/>
    <cellStyle name="Note 4 4 2 2 5 2 11" xfId="32532" xr:uid="{00000000-0005-0000-0000-0000487B0000}"/>
    <cellStyle name="Note 4 4 2 2 5 2 12" xfId="36298" xr:uid="{00000000-0005-0000-0000-0000497B0000}"/>
    <cellStyle name="Note 4 4 2 2 5 2 13" xfId="40291" xr:uid="{00000000-0005-0000-0000-00004A7B0000}"/>
    <cellStyle name="Note 4 4 2 2 5 2 14" xfId="44124" xr:uid="{00000000-0005-0000-0000-00004B7B0000}"/>
    <cellStyle name="Note 4 4 2 2 5 2 2" xfId="1962" xr:uid="{00000000-0005-0000-0000-00004C7B0000}"/>
    <cellStyle name="Note 4 4 2 2 5 2 2 10" xfId="33249" xr:uid="{00000000-0005-0000-0000-00004D7B0000}"/>
    <cellStyle name="Note 4 4 2 2 5 2 2 11" xfId="37019" xr:uid="{00000000-0005-0000-0000-00004E7B0000}"/>
    <cellStyle name="Note 4 4 2 2 5 2 2 12" xfId="41010" xr:uid="{00000000-0005-0000-0000-00004F7B0000}"/>
    <cellStyle name="Note 4 4 2 2 5 2 2 13" xfId="44841" xr:uid="{00000000-0005-0000-0000-0000507B0000}"/>
    <cellStyle name="Note 4 4 2 2 5 2 2 2" xfId="3952" xr:uid="{00000000-0005-0000-0000-0000517B0000}"/>
    <cellStyle name="Note 4 4 2 2 5 2 2 2 10" xfId="39003" xr:uid="{00000000-0005-0000-0000-0000527B0000}"/>
    <cellStyle name="Note 4 4 2 2 5 2 2 2 11" xfId="43014" xr:uid="{00000000-0005-0000-0000-0000537B0000}"/>
    <cellStyle name="Note 4 4 2 2 5 2 2 2 12" xfId="46779" xr:uid="{00000000-0005-0000-0000-0000547B0000}"/>
    <cellStyle name="Note 4 4 2 2 5 2 2 2 2" xfId="7819" xr:uid="{00000000-0005-0000-0000-0000557B0000}"/>
    <cellStyle name="Note 4 4 2 2 5 2 2 2 3" xfId="12254" xr:uid="{00000000-0005-0000-0000-0000567B0000}"/>
    <cellStyle name="Note 4 4 2 2 5 2 2 2 4" xfId="16099" xr:uid="{00000000-0005-0000-0000-0000577B0000}"/>
    <cellStyle name="Note 4 4 2 2 5 2 2 2 5" xfId="19946" xr:uid="{00000000-0005-0000-0000-0000587B0000}"/>
    <cellStyle name="Note 4 4 2 2 5 2 2 2 6" xfId="23862" xr:uid="{00000000-0005-0000-0000-0000597B0000}"/>
    <cellStyle name="Note 4 4 2 2 5 2 2 2 7" xfId="27696" xr:uid="{00000000-0005-0000-0000-00005A7B0000}"/>
    <cellStyle name="Note 4 4 2 2 5 2 2 2 8" xfId="31557" xr:uid="{00000000-0005-0000-0000-00005B7B0000}"/>
    <cellStyle name="Note 4 4 2 2 5 2 2 2 9" xfId="35217" xr:uid="{00000000-0005-0000-0000-00005C7B0000}"/>
    <cellStyle name="Note 4 4 2 2 5 2 2 3" xfId="5895" xr:uid="{00000000-0005-0000-0000-00005D7B0000}"/>
    <cellStyle name="Note 4 4 2 2 5 2 2 4" xfId="10253" xr:uid="{00000000-0005-0000-0000-00005E7B0000}"/>
    <cellStyle name="Note 4 4 2 2 5 2 2 5" xfId="14099" xr:uid="{00000000-0005-0000-0000-00005F7B0000}"/>
    <cellStyle name="Note 4 4 2 2 5 2 2 6" xfId="17928" xr:uid="{00000000-0005-0000-0000-0000607B0000}"/>
    <cellStyle name="Note 4 4 2 2 5 2 2 7" xfId="21867" xr:uid="{00000000-0005-0000-0000-0000617B0000}"/>
    <cellStyle name="Note 4 4 2 2 5 2 2 8" xfId="25680" xr:uid="{00000000-0005-0000-0000-0000627B0000}"/>
    <cellStyle name="Note 4 4 2 2 5 2 2 9" xfId="29567" xr:uid="{00000000-0005-0000-0000-0000637B0000}"/>
    <cellStyle name="Note 4 4 2 2 5 2 3" xfId="3230" xr:uid="{00000000-0005-0000-0000-0000647B0000}"/>
    <cellStyle name="Note 4 4 2 2 5 2 3 10" xfId="38282" xr:uid="{00000000-0005-0000-0000-0000657B0000}"/>
    <cellStyle name="Note 4 4 2 2 5 2 3 11" xfId="42293" xr:uid="{00000000-0005-0000-0000-0000667B0000}"/>
    <cellStyle name="Note 4 4 2 2 5 2 3 12" xfId="46062" xr:uid="{00000000-0005-0000-0000-0000677B0000}"/>
    <cellStyle name="Note 4 4 2 2 5 2 3 2" xfId="7102" xr:uid="{00000000-0005-0000-0000-0000687B0000}"/>
    <cellStyle name="Note 4 4 2 2 5 2 3 3" xfId="11534" xr:uid="{00000000-0005-0000-0000-0000697B0000}"/>
    <cellStyle name="Note 4 4 2 2 5 2 3 4" xfId="15378" xr:uid="{00000000-0005-0000-0000-00006A7B0000}"/>
    <cellStyle name="Note 4 4 2 2 5 2 3 5" xfId="19224" xr:uid="{00000000-0005-0000-0000-00006B7B0000}"/>
    <cellStyle name="Note 4 4 2 2 5 2 3 6" xfId="23143" xr:uid="{00000000-0005-0000-0000-00006C7B0000}"/>
    <cellStyle name="Note 4 4 2 2 5 2 3 7" xfId="26975" xr:uid="{00000000-0005-0000-0000-00006D7B0000}"/>
    <cellStyle name="Note 4 4 2 2 5 2 3 8" xfId="30845" xr:uid="{00000000-0005-0000-0000-00006E7B0000}"/>
    <cellStyle name="Note 4 4 2 2 5 2 3 9" xfId="34500" xr:uid="{00000000-0005-0000-0000-00006F7B0000}"/>
    <cellStyle name="Note 4 4 2 2 5 2 4" xfId="5178" xr:uid="{00000000-0005-0000-0000-0000707B0000}"/>
    <cellStyle name="Note 4 4 2 2 5 2 5" xfId="9534" xr:uid="{00000000-0005-0000-0000-0000717B0000}"/>
    <cellStyle name="Note 4 4 2 2 5 2 6" xfId="13378" xr:uid="{00000000-0005-0000-0000-0000727B0000}"/>
    <cellStyle name="Note 4 4 2 2 5 2 7" xfId="17206" xr:uid="{00000000-0005-0000-0000-0000737B0000}"/>
    <cellStyle name="Note 4 4 2 2 5 2 8" xfId="21148" xr:uid="{00000000-0005-0000-0000-0000747B0000}"/>
    <cellStyle name="Note 4 4 2 2 5 2 9" xfId="24959" xr:uid="{00000000-0005-0000-0000-0000757B0000}"/>
    <cellStyle name="Note 4 4 2 2 5 3" xfId="1634" xr:uid="{00000000-0005-0000-0000-0000767B0000}"/>
    <cellStyle name="Note 4 4 2 2 5 3 10" xfId="32921" xr:uid="{00000000-0005-0000-0000-0000777B0000}"/>
    <cellStyle name="Note 4 4 2 2 5 3 11" xfId="36691" xr:uid="{00000000-0005-0000-0000-0000787B0000}"/>
    <cellStyle name="Note 4 4 2 2 5 3 12" xfId="40682" xr:uid="{00000000-0005-0000-0000-0000797B0000}"/>
    <cellStyle name="Note 4 4 2 2 5 3 13" xfId="44513" xr:uid="{00000000-0005-0000-0000-00007A7B0000}"/>
    <cellStyle name="Note 4 4 2 2 5 3 2" xfId="3624" xr:uid="{00000000-0005-0000-0000-00007B7B0000}"/>
    <cellStyle name="Note 4 4 2 2 5 3 2 10" xfId="38675" xr:uid="{00000000-0005-0000-0000-00007C7B0000}"/>
    <cellStyle name="Note 4 4 2 2 5 3 2 11" xfId="42686" xr:uid="{00000000-0005-0000-0000-00007D7B0000}"/>
    <cellStyle name="Note 4 4 2 2 5 3 2 12" xfId="46451" xr:uid="{00000000-0005-0000-0000-00007E7B0000}"/>
    <cellStyle name="Note 4 4 2 2 5 3 2 2" xfId="7491" xr:uid="{00000000-0005-0000-0000-00007F7B0000}"/>
    <cellStyle name="Note 4 4 2 2 5 3 2 3" xfId="11926" xr:uid="{00000000-0005-0000-0000-0000807B0000}"/>
    <cellStyle name="Note 4 4 2 2 5 3 2 4" xfId="15771" xr:uid="{00000000-0005-0000-0000-0000817B0000}"/>
    <cellStyle name="Note 4 4 2 2 5 3 2 5" xfId="19618" xr:uid="{00000000-0005-0000-0000-0000827B0000}"/>
    <cellStyle name="Note 4 4 2 2 5 3 2 6" xfId="23534" xr:uid="{00000000-0005-0000-0000-0000837B0000}"/>
    <cellStyle name="Note 4 4 2 2 5 3 2 7" xfId="27368" xr:uid="{00000000-0005-0000-0000-0000847B0000}"/>
    <cellStyle name="Note 4 4 2 2 5 3 2 8" xfId="31233" xr:uid="{00000000-0005-0000-0000-0000857B0000}"/>
    <cellStyle name="Note 4 4 2 2 5 3 2 9" xfId="34889" xr:uid="{00000000-0005-0000-0000-0000867B0000}"/>
    <cellStyle name="Note 4 4 2 2 5 3 3" xfId="5567" xr:uid="{00000000-0005-0000-0000-0000877B0000}"/>
    <cellStyle name="Note 4 4 2 2 5 3 4" xfId="9925" xr:uid="{00000000-0005-0000-0000-0000887B0000}"/>
    <cellStyle name="Note 4 4 2 2 5 3 5" xfId="13771" xr:uid="{00000000-0005-0000-0000-0000897B0000}"/>
    <cellStyle name="Note 4 4 2 2 5 3 6" xfId="17600" xr:uid="{00000000-0005-0000-0000-00008A7B0000}"/>
    <cellStyle name="Note 4 4 2 2 5 3 7" xfId="21539" xr:uid="{00000000-0005-0000-0000-00008B7B0000}"/>
    <cellStyle name="Note 4 4 2 2 5 3 8" xfId="25352" xr:uid="{00000000-0005-0000-0000-00008C7B0000}"/>
    <cellStyle name="Note 4 4 2 2 5 3 9" xfId="29239" xr:uid="{00000000-0005-0000-0000-00008D7B0000}"/>
    <cellStyle name="Note 4 4 2 2 5 4" xfId="2893" xr:uid="{00000000-0005-0000-0000-00008E7B0000}"/>
    <cellStyle name="Note 4 4 2 2 5 4 10" xfId="37945" xr:uid="{00000000-0005-0000-0000-00008F7B0000}"/>
    <cellStyle name="Note 4 4 2 2 5 4 11" xfId="41957" xr:uid="{00000000-0005-0000-0000-0000907B0000}"/>
    <cellStyle name="Note 4 4 2 2 5 4 12" xfId="45734" xr:uid="{00000000-0005-0000-0000-0000917B0000}"/>
    <cellStyle name="Note 4 4 2 2 5 4 2" xfId="6773" xr:uid="{00000000-0005-0000-0000-0000927B0000}"/>
    <cellStyle name="Note 4 4 2 2 5 4 3" xfId="11200" xr:uid="{00000000-0005-0000-0000-0000937B0000}"/>
    <cellStyle name="Note 4 4 2 2 5 4 4" xfId="15045" xr:uid="{00000000-0005-0000-0000-0000947B0000}"/>
    <cellStyle name="Note 4 4 2 2 5 4 5" xfId="18887" xr:uid="{00000000-0005-0000-0000-0000957B0000}"/>
    <cellStyle name="Note 4 4 2 2 5 4 6" xfId="22813" xr:uid="{00000000-0005-0000-0000-0000967B0000}"/>
    <cellStyle name="Note 4 4 2 2 5 4 7" xfId="26638" xr:uid="{00000000-0005-0000-0000-0000977B0000}"/>
    <cellStyle name="Note 4 4 2 2 5 4 8" xfId="30514" xr:uid="{00000000-0005-0000-0000-0000987B0000}"/>
    <cellStyle name="Note 4 4 2 2 5 4 9" xfId="34172" xr:uid="{00000000-0005-0000-0000-0000997B0000}"/>
    <cellStyle name="Note 4 4 2 2 5 5" xfId="4849" xr:uid="{00000000-0005-0000-0000-00009A7B0000}"/>
    <cellStyle name="Note 4 4 2 2 5 6" xfId="9203" xr:uid="{00000000-0005-0000-0000-00009B7B0000}"/>
    <cellStyle name="Note 4 4 2 2 5 7" xfId="13044" xr:uid="{00000000-0005-0000-0000-00009C7B0000}"/>
    <cellStyle name="Note 4 4 2 2 5 8" xfId="16869" xr:uid="{00000000-0005-0000-0000-00009D7B0000}"/>
    <cellStyle name="Note 4 4 2 2 5 9" xfId="20811" xr:uid="{00000000-0005-0000-0000-00009E7B0000}"/>
    <cellStyle name="Note 4 4 2 2 6" xfId="949" xr:uid="{00000000-0005-0000-0000-00009F7B0000}"/>
    <cellStyle name="Note 4 4 2 2 6 10" xfId="28561" xr:uid="{00000000-0005-0000-0000-0000A07B0000}"/>
    <cellStyle name="Note 4 4 2 2 6 11" xfId="32250" xr:uid="{00000000-0005-0000-0000-0000A17B0000}"/>
    <cellStyle name="Note 4 4 2 2 6 12" xfId="36007" xr:uid="{00000000-0005-0000-0000-0000A27B0000}"/>
    <cellStyle name="Note 4 4 2 2 6 13" xfId="40015" xr:uid="{00000000-0005-0000-0000-0000A37B0000}"/>
    <cellStyle name="Note 4 4 2 2 6 14" xfId="43833" xr:uid="{00000000-0005-0000-0000-0000A47B0000}"/>
    <cellStyle name="Note 4 4 2 2 6 2" xfId="1680" xr:uid="{00000000-0005-0000-0000-0000A57B0000}"/>
    <cellStyle name="Note 4 4 2 2 6 2 10" xfId="32967" xr:uid="{00000000-0005-0000-0000-0000A67B0000}"/>
    <cellStyle name="Note 4 4 2 2 6 2 11" xfId="36737" xr:uid="{00000000-0005-0000-0000-0000A77B0000}"/>
    <cellStyle name="Note 4 4 2 2 6 2 12" xfId="40728" xr:uid="{00000000-0005-0000-0000-0000A87B0000}"/>
    <cellStyle name="Note 4 4 2 2 6 2 13" xfId="44559" xr:uid="{00000000-0005-0000-0000-0000A97B0000}"/>
    <cellStyle name="Note 4 4 2 2 6 2 2" xfId="3670" xr:uid="{00000000-0005-0000-0000-0000AA7B0000}"/>
    <cellStyle name="Note 4 4 2 2 6 2 2 10" xfId="38721" xr:uid="{00000000-0005-0000-0000-0000AB7B0000}"/>
    <cellStyle name="Note 4 4 2 2 6 2 2 11" xfId="42732" xr:uid="{00000000-0005-0000-0000-0000AC7B0000}"/>
    <cellStyle name="Note 4 4 2 2 6 2 2 12" xfId="46497" xr:uid="{00000000-0005-0000-0000-0000AD7B0000}"/>
    <cellStyle name="Note 4 4 2 2 6 2 2 2" xfId="7537" xr:uid="{00000000-0005-0000-0000-0000AE7B0000}"/>
    <cellStyle name="Note 4 4 2 2 6 2 2 3" xfId="11972" xr:uid="{00000000-0005-0000-0000-0000AF7B0000}"/>
    <cellStyle name="Note 4 4 2 2 6 2 2 4" xfId="15817" xr:uid="{00000000-0005-0000-0000-0000B07B0000}"/>
    <cellStyle name="Note 4 4 2 2 6 2 2 5" xfId="19664" xr:uid="{00000000-0005-0000-0000-0000B17B0000}"/>
    <cellStyle name="Note 4 4 2 2 6 2 2 6" xfId="23580" xr:uid="{00000000-0005-0000-0000-0000B27B0000}"/>
    <cellStyle name="Note 4 4 2 2 6 2 2 7" xfId="27414" xr:uid="{00000000-0005-0000-0000-0000B37B0000}"/>
    <cellStyle name="Note 4 4 2 2 6 2 2 8" xfId="31278" xr:uid="{00000000-0005-0000-0000-0000B47B0000}"/>
    <cellStyle name="Note 4 4 2 2 6 2 2 9" xfId="34935" xr:uid="{00000000-0005-0000-0000-0000B57B0000}"/>
    <cellStyle name="Note 4 4 2 2 6 2 3" xfId="5613" xr:uid="{00000000-0005-0000-0000-0000B67B0000}"/>
    <cellStyle name="Note 4 4 2 2 6 2 4" xfId="9971" xr:uid="{00000000-0005-0000-0000-0000B77B0000}"/>
    <cellStyle name="Note 4 4 2 2 6 2 5" xfId="13817" xr:uid="{00000000-0005-0000-0000-0000B87B0000}"/>
    <cellStyle name="Note 4 4 2 2 6 2 6" xfId="17646" xr:uid="{00000000-0005-0000-0000-0000B97B0000}"/>
    <cellStyle name="Note 4 4 2 2 6 2 7" xfId="21585" xr:uid="{00000000-0005-0000-0000-0000BA7B0000}"/>
    <cellStyle name="Note 4 4 2 2 6 2 8" xfId="25398" xr:uid="{00000000-0005-0000-0000-0000BB7B0000}"/>
    <cellStyle name="Note 4 4 2 2 6 2 9" xfId="29285" xr:uid="{00000000-0005-0000-0000-0000BC7B0000}"/>
    <cellStyle name="Note 4 4 2 2 6 3" xfId="2939" xr:uid="{00000000-0005-0000-0000-0000BD7B0000}"/>
    <cellStyle name="Note 4 4 2 2 6 3 10" xfId="37991" xr:uid="{00000000-0005-0000-0000-0000BE7B0000}"/>
    <cellStyle name="Note 4 4 2 2 6 3 11" xfId="42003" xr:uid="{00000000-0005-0000-0000-0000BF7B0000}"/>
    <cellStyle name="Note 4 4 2 2 6 3 12" xfId="45780" xr:uid="{00000000-0005-0000-0000-0000C07B0000}"/>
    <cellStyle name="Note 4 4 2 2 6 3 2" xfId="6819" xr:uid="{00000000-0005-0000-0000-0000C17B0000}"/>
    <cellStyle name="Note 4 4 2 2 6 3 3" xfId="11246" xr:uid="{00000000-0005-0000-0000-0000C27B0000}"/>
    <cellStyle name="Note 4 4 2 2 6 3 4" xfId="15091" xr:uid="{00000000-0005-0000-0000-0000C37B0000}"/>
    <cellStyle name="Note 4 4 2 2 6 3 5" xfId="18933" xr:uid="{00000000-0005-0000-0000-0000C47B0000}"/>
    <cellStyle name="Note 4 4 2 2 6 3 6" xfId="22859" xr:uid="{00000000-0005-0000-0000-0000C57B0000}"/>
    <cellStyle name="Note 4 4 2 2 6 3 7" xfId="26684" xr:uid="{00000000-0005-0000-0000-0000C67B0000}"/>
    <cellStyle name="Note 4 4 2 2 6 3 8" xfId="30559" xr:uid="{00000000-0005-0000-0000-0000C77B0000}"/>
    <cellStyle name="Note 4 4 2 2 6 3 9" xfId="34218" xr:uid="{00000000-0005-0000-0000-0000C87B0000}"/>
    <cellStyle name="Note 4 4 2 2 6 4" xfId="4895" xr:uid="{00000000-0005-0000-0000-0000C97B0000}"/>
    <cellStyle name="Note 4 4 2 2 6 5" xfId="9249" xr:uid="{00000000-0005-0000-0000-0000CA7B0000}"/>
    <cellStyle name="Note 4 4 2 2 6 6" xfId="13090" xr:uid="{00000000-0005-0000-0000-0000CB7B0000}"/>
    <cellStyle name="Note 4 4 2 2 6 7" xfId="16915" xr:uid="{00000000-0005-0000-0000-0000CC7B0000}"/>
    <cellStyle name="Note 4 4 2 2 6 8" xfId="20857" xr:uid="{00000000-0005-0000-0000-0000CD7B0000}"/>
    <cellStyle name="Note 4 4 2 2 6 9" xfId="24673" xr:uid="{00000000-0005-0000-0000-0000CE7B0000}"/>
    <cellStyle name="Note 4 4 2 2 7" xfId="1327" xr:uid="{00000000-0005-0000-0000-0000CF7B0000}"/>
    <cellStyle name="Note 4 4 2 2 7 10" xfId="32614" xr:uid="{00000000-0005-0000-0000-0000D07B0000}"/>
    <cellStyle name="Note 4 4 2 2 7 11" xfId="36384" xr:uid="{00000000-0005-0000-0000-0000D17B0000}"/>
    <cellStyle name="Note 4 4 2 2 7 12" xfId="40375" xr:uid="{00000000-0005-0000-0000-0000D27B0000}"/>
    <cellStyle name="Note 4 4 2 2 7 13" xfId="44206" xr:uid="{00000000-0005-0000-0000-0000D37B0000}"/>
    <cellStyle name="Note 4 4 2 2 7 2" xfId="3317" xr:uid="{00000000-0005-0000-0000-0000D47B0000}"/>
    <cellStyle name="Note 4 4 2 2 7 2 10" xfId="38368" xr:uid="{00000000-0005-0000-0000-0000D57B0000}"/>
    <cellStyle name="Note 4 4 2 2 7 2 11" xfId="42379" xr:uid="{00000000-0005-0000-0000-0000D67B0000}"/>
    <cellStyle name="Note 4 4 2 2 7 2 12" xfId="46144" xr:uid="{00000000-0005-0000-0000-0000D77B0000}"/>
    <cellStyle name="Note 4 4 2 2 7 2 2" xfId="7184" xr:uid="{00000000-0005-0000-0000-0000D87B0000}"/>
    <cellStyle name="Note 4 4 2 2 7 2 3" xfId="11619" xr:uid="{00000000-0005-0000-0000-0000D97B0000}"/>
    <cellStyle name="Note 4 4 2 2 7 2 4" xfId="15464" xr:uid="{00000000-0005-0000-0000-0000DA7B0000}"/>
    <cellStyle name="Note 4 4 2 2 7 2 5" xfId="19311" xr:uid="{00000000-0005-0000-0000-0000DB7B0000}"/>
    <cellStyle name="Note 4 4 2 2 7 2 6" xfId="23227" xr:uid="{00000000-0005-0000-0000-0000DC7B0000}"/>
    <cellStyle name="Note 4 4 2 2 7 2 7" xfId="27061" xr:uid="{00000000-0005-0000-0000-0000DD7B0000}"/>
    <cellStyle name="Note 4 4 2 2 7 2 8" xfId="30930" xr:uid="{00000000-0005-0000-0000-0000DE7B0000}"/>
    <cellStyle name="Note 4 4 2 2 7 2 9" xfId="34582" xr:uid="{00000000-0005-0000-0000-0000DF7B0000}"/>
    <cellStyle name="Note 4 4 2 2 7 3" xfId="5260" xr:uid="{00000000-0005-0000-0000-0000E07B0000}"/>
    <cellStyle name="Note 4 4 2 2 7 4" xfId="9618" xr:uid="{00000000-0005-0000-0000-0000E17B0000}"/>
    <cellStyle name="Note 4 4 2 2 7 5" xfId="13464" xr:uid="{00000000-0005-0000-0000-0000E27B0000}"/>
    <cellStyle name="Note 4 4 2 2 7 6" xfId="17293" xr:uid="{00000000-0005-0000-0000-0000E37B0000}"/>
    <cellStyle name="Note 4 4 2 2 7 7" xfId="21232" xr:uid="{00000000-0005-0000-0000-0000E47B0000}"/>
    <cellStyle name="Note 4 4 2 2 7 8" xfId="25045" xr:uid="{00000000-0005-0000-0000-0000E57B0000}"/>
    <cellStyle name="Note 4 4 2 2 7 9" xfId="28932" xr:uid="{00000000-0005-0000-0000-0000E67B0000}"/>
    <cellStyle name="Note 4 4 2 2 8" xfId="2024" xr:uid="{00000000-0005-0000-0000-0000E77B0000}"/>
    <cellStyle name="Note 4 4 2 2 8 10" xfId="33309" xr:uid="{00000000-0005-0000-0000-0000E87B0000}"/>
    <cellStyle name="Note 4 4 2 2 8 11" xfId="37080" xr:uid="{00000000-0005-0000-0000-0000E97B0000}"/>
    <cellStyle name="Note 4 4 2 2 8 12" xfId="41072" xr:uid="{00000000-0005-0000-0000-0000EA7B0000}"/>
    <cellStyle name="Note 4 4 2 2 8 13" xfId="44900" xr:uid="{00000000-0005-0000-0000-0000EB7B0000}"/>
    <cellStyle name="Note 4 4 2 2 8 2" xfId="4013" xr:uid="{00000000-0005-0000-0000-0000EC7B0000}"/>
    <cellStyle name="Note 4 4 2 2 8 2 10" xfId="39064" xr:uid="{00000000-0005-0000-0000-0000ED7B0000}"/>
    <cellStyle name="Note 4 4 2 2 8 2 11" xfId="43075" xr:uid="{00000000-0005-0000-0000-0000EE7B0000}"/>
    <cellStyle name="Note 4 4 2 2 8 2 12" xfId="46838" xr:uid="{00000000-0005-0000-0000-0000EF7B0000}"/>
    <cellStyle name="Note 4 4 2 2 8 2 2" xfId="7878" xr:uid="{00000000-0005-0000-0000-0000F07B0000}"/>
    <cellStyle name="Note 4 4 2 2 8 2 3" xfId="12314" xr:uid="{00000000-0005-0000-0000-0000F17B0000}"/>
    <cellStyle name="Note 4 4 2 2 8 2 4" xfId="16159" xr:uid="{00000000-0005-0000-0000-0000F27B0000}"/>
    <cellStyle name="Note 4 4 2 2 8 2 5" xfId="20007" xr:uid="{00000000-0005-0000-0000-0000F37B0000}"/>
    <cellStyle name="Note 4 4 2 2 8 2 6" xfId="23922" xr:uid="{00000000-0005-0000-0000-0000F47B0000}"/>
    <cellStyle name="Note 4 4 2 2 8 2 7" xfId="27757" xr:uid="{00000000-0005-0000-0000-0000F57B0000}"/>
    <cellStyle name="Note 4 4 2 2 8 2 8" xfId="31617" xr:uid="{00000000-0005-0000-0000-0000F67B0000}"/>
    <cellStyle name="Note 4 4 2 2 8 2 9" xfId="35276" xr:uid="{00000000-0005-0000-0000-0000F77B0000}"/>
    <cellStyle name="Note 4 4 2 2 8 3" xfId="5954" xr:uid="{00000000-0005-0000-0000-0000F87B0000}"/>
    <cellStyle name="Note 4 4 2 2 8 4" xfId="10313" xr:uid="{00000000-0005-0000-0000-0000F97B0000}"/>
    <cellStyle name="Note 4 4 2 2 8 5" xfId="14160" xr:uid="{00000000-0005-0000-0000-0000FA7B0000}"/>
    <cellStyle name="Note 4 4 2 2 8 6" xfId="17990" xr:uid="{00000000-0005-0000-0000-0000FB7B0000}"/>
    <cellStyle name="Note 4 4 2 2 8 7" xfId="21928" xr:uid="{00000000-0005-0000-0000-0000FC7B0000}"/>
    <cellStyle name="Note 4 4 2 2 8 8" xfId="25742" xr:uid="{00000000-0005-0000-0000-0000FD7B0000}"/>
    <cellStyle name="Note 4 4 2 2 8 9" xfId="29629" xr:uid="{00000000-0005-0000-0000-0000FE7B0000}"/>
    <cellStyle name="Note 4 4 2 2 9" xfId="2071" xr:uid="{00000000-0005-0000-0000-0000FF7B0000}"/>
    <cellStyle name="Note 4 4 2 2 9 10" xfId="33353" xr:uid="{00000000-0005-0000-0000-0000007C0000}"/>
    <cellStyle name="Note 4 4 2 2 9 11" xfId="37127" xr:uid="{00000000-0005-0000-0000-0000017C0000}"/>
    <cellStyle name="Note 4 4 2 2 9 12" xfId="41117" xr:uid="{00000000-0005-0000-0000-0000027C0000}"/>
    <cellStyle name="Note 4 4 2 2 9 13" xfId="44944" xr:uid="{00000000-0005-0000-0000-0000037C0000}"/>
    <cellStyle name="Note 4 4 2 2 9 2" xfId="4060" xr:uid="{00000000-0005-0000-0000-0000047C0000}"/>
    <cellStyle name="Note 4 4 2 2 9 2 10" xfId="39111" xr:uid="{00000000-0005-0000-0000-0000057C0000}"/>
    <cellStyle name="Note 4 4 2 2 9 2 11" xfId="43121" xr:uid="{00000000-0005-0000-0000-0000067C0000}"/>
    <cellStyle name="Note 4 4 2 2 9 2 12" xfId="46882" xr:uid="{00000000-0005-0000-0000-0000077C0000}"/>
    <cellStyle name="Note 4 4 2 2 9 2 2" xfId="7923" xr:uid="{00000000-0005-0000-0000-0000087C0000}"/>
    <cellStyle name="Note 4 4 2 2 9 2 3" xfId="12360" xr:uid="{00000000-0005-0000-0000-0000097C0000}"/>
    <cellStyle name="Note 4 4 2 2 9 2 4" xfId="16205" xr:uid="{00000000-0005-0000-0000-00000A7C0000}"/>
    <cellStyle name="Note 4 4 2 2 9 2 5" xfId="20054" xr:uid="{00000000-0005-0000-0000-00000B7C0000}"/>
    <cellStyle name="Note 4 4 2 2 9 2 6" xfId="23968" xr:uid="{00000000-0005-0000-0000-00000C7C0000}"/>
    <cellStyle name="Note 4 4 2 2 9 2 7" xfId="27804" xr:uid="{00000000-0005-0000-0000-00000D7C0000}"/>
    <cellStyle name="Note 4 4 2 2 9 2 8" xfId="31663" xr:uid="{00000000-0005-0000-0000-00000E7C0000}"/>
    <cellStyle name="Note 4 4 2 2 9 2 9" xfId="35320" xr:uid="{00000000-0005-0000-0000-00000F7C0000}"/>
    <cellStyle name="Note 4 4 2 2 9 3" xfId="5999" xr:uid="{00000000-0005-0000-0000-0000107C0000}"/>
    <cellStyle name="Note 4 4 2 2 9 4" xfId="10359" xr:uid="{00000000-0005-0000-0000-0000117C0000}"/>
    <cellStyle name="Note 4 4 2 2 9 5" xfId="14206" xr:uid="{00000000-0005-0000-0000-0000127C0000}"/>
    <cellStyle name="Note 4 4 2 2 9 6" xfId="18037" xr:uid="{00000000-0005-0000-0000-0000137C0000}"/>
    <cellStyle name="Note 4 4 2 2 9 7" xfId="21974" xr:uid="{00000000-0005-0000-0000-0000147C0000}"/>
    <cellStyle name="Note 4 4 2 2 9 8" xfId="25789" xr:uid="{00000000-0005-0000-0000-0000157C0000}"/>
    <cellStyle name="Note 4 4 2 2 9 9" xfId="29675" xr:uid="{00000000-0005-0000-0000-0000167C0000}"/>
    <cellStyle name="Note 4 4 2 20" xfId="8803" xr:uid="{00000000-0005-0000-0000-0000177C0000}"/>
    <cellStyle name="Note 4 4 2 21" xfId="8658" xr:uid="{00000000-0005-0000-0000-0000187C0000}"/>
    <cellStyle name="Note 4 4 2 22" xfId="10369" xr:uid="{00000000-0005-0000-0000-0000197C0000}"/>
    <cellStyle name="Note 4 4 2 23" xfId="14484" xr:uid="{00000000-0005-0000-0000-00001A7C0000}"/>
    <cellStyle name="Note 4 4 2 24" xfId="8576" xr:uid="{00000000-0005-0000-0000-00001B7C0000}"/>
    <cellStyle name="Note 4 4 2 25" xfId="8411" xr:uid="{00000000-0005-0000-0000-00001C7C0000}"/>
    <cellStyle name="Note 4 4 2 26" xfId="8460" xr:uid="{00000000-0005-0000-0000-00001D7C0000}"/>
    <cellStyle name="Note 4 4 2 27" xfId="39625" xr:uid="{00000000-0005-0000-0000-00001E7C0000}"/>
    <cellStyle name="Note 4 4 2 28" xfId="39594" xr:uid="{00000000-0005-0000-0000-00001F7C0000}"/>
    <cellStyle name="Note 4 4 2 29" xfId="47339" xr:uid="{00000000-0005-0000-0000-0000207C0000}"/>
    <cellStyle name="Note 4 4 2 3" xfId="536" xr:uid="{00000000-0005-0000-0000-0000217C0000}"/>
    <cellStyle name="Note 4 4 2 3 10" xfId="2188" xr:uid="{00000000-0005-0000-0000-0000227C0000}"/>
    <cellStyle name="Note 4 4 2 3 10 10" xfId="33489" xr:uid="{00000000-0005-0000-0000-0000237C0000}"/>
    <cellStyle name="Note 4 4 2 3 10 11" xfId="37240" xr:uid="{00000000-0005-0000-0000-0000247C0000}"/>
    <cellStyle name="Note 4 4 2 3 10 12" xfId="41256" xr:uid="{00000000-0005-0000-0000-0000257C0000}"/>
    <cellStyle name="Note 4 4 2 3 10 13" xfId="45051" xr:uid="{00000000-0005-0000-0000-0000267C0000}"/>
    <cellStyle name="Note 4 4 2 3 10 2" xfId="4171" xr:uid="{00000000-0005-0000-0000-0000277C0000}"/>
    <cellStyle name="Note 4 4 2 3 10 2 10" xfId="39222" xr:uid="{00000000-0005-0000-0000-0000287C0000}"/>
    <cellStyle name="Note 4 4 2 3 10 2 11" xfId="43232" xr:uid="{00000000-0005-0000-0000-0000297C0000}"/>
    <cellStyle name="Note 4 4 2 3 10 2 12" xfId="46989" xr:uid="{00000000-0005-0000-0000-00002A7C0000}"/>
    <cellStyle name="Note 4 4 2 3 10 2 2" xfId="8030" xr:uid="{00000000-0005-0000-0000-00002B7C0000}"/>
    <cellStyle name="Note 4 4 2 3 10 2 3" xfId="12470" xr:uid="{00000000-0005-0000-0000-00002C7C0000}"/>
    <cellStyle name="Note 4 4 2 3 10 2 4" xfId="16315" xr:uid="{00000000-0005-0000-0000-00002D7C0000}"/>
    <cellStyle name="Note 4 4 2 3 10 2 5" xfId="20165" xr:uid="{00000000-0005-0000-0000-00002E7C0000}"/>
    <cellStyle name="Note 4 4 2 3 10 2 6" xfId="24077" xr:uid="{00000000-0005-0000-0000-00002F7C0000}"/>
    <cellStyle name="Note 4 4 2 3 10 2 7" xfId="27915" xr:uid="{00000000-0005-0000-0000-0000307C0000}"/>
    <cellStyle name="Note 4 4 2 3 10 2 8" xfId="31774" xr:uid="{00000000-0005-0000-0000-0000317C0000}"/>
    <cellStyle name="Note 4 4 2 3 10 2 9" xfId="35427" xr:uid="{00000000-0005-0000-0000-0000327C0000}"/>
    <cellStyle name="Note 4 4 2 3 10 3" xfId="6102" xr:uid="{00000000-0005-0000-0000-0000337C0000}"/>
    <cellStyle name="Note 4 4 2 3 10 4" xfId="10505" xr:uid="{00000000-0005-0000-0000-0000347C0000}"/>
    <cellStyle name="Note 4 4 2 3 10 5" xfId="14351" xr:uid="{00000000-0005-0000-0000-0000357C0000}"/>
    <cellStyle name="Note 4 4 2 3 10 6" xfId="18182" xr:uid="{00000000-0005-0000-0000-0000367C0000}"/>
    <cellStyle name="Note 4 4 2 3 10 7" xfId="22121" xr:uid="{00000000-0005-0000-0000-0000377C0000}"/>
    <cellStyle name="Note 4 4 2 3 10 8" xfId="25933" xr:uid="{00000000-0005-0000-0000-0000387C0000}"/>
    <cellStyle name="Note 4 4 2 3 10 9" xfId="29813" xr:uid="{00000000-0005-0000-0000-0000397C0000}"/>
    <cellStyle name="Note 4 4 2 3 11" xfId="2246" xr:uid="{00000000-0005-0000-0000-00003A7C0000}"/>
    <cellStyle name="Note 4 4 2 3 11 10" xfId="33547" xr:uid="{00000000-0005-0000-0000-00003B7C0000}"/>
    <cellStyle name="Note 4 4 2 3 11 11" xfId="37298" xr:uid="{00000000-0005-0000-0000-00003C7C0000}"/>
    <cellStyle name="Note 4 4 2 3 11 12" xfId="41314" xr:uid="{00000000-0005-0000-0000-00003D7C0000}"/>
    <cellStyle name="Note 4 4 2 3 11 13" xfId="45109" xr:uid="{00000000-0005-0000-0000-00003E7C0000}"/>
    <cellStyle name="Note 4 4 2 3 11 2" xfId="4229" xr:uid="{00000000-0005-0000-0000-00003F7C0000}"/>
    <cellStyle name="Note 4 4 2 3 11 2 10" xfId="39280" xr:uid="{00000000-0005-0000-0000-0000407C0000}"/>
    <cellStyle name="Note 4 4 2 3 11 2 11" xfId="43290" xr:uid="{00000000-0005-0000-0000-0000417C0000}"/>
    <cellStyle name="Note 4 4 2 3 11 2 12" xfId="47047" xr:uid="{00000000-0005-0000-0000-0000427C0000}"/>
    <cellStyle name="Note 4 4 2 3 11 2 2" xfId="8088" xr:uid="{00000000-0005-0000-0000-0000437C0000}"/>
    <cellStyle name="Note 4 4 2 3 11 2 3" xfId="12528" xr:uid="{00000000-0005-0000-0000-0000447C0000}"/>
    <cellStyle name="Note 4 4 2 3 11 2 4" xfId="16373" xr:uid="{00000000-0005-0000-0000-0000457C0000}"/>
    <cellStyle name="Note 4 4 2 3 11 2 5" xfId="20223" xr:uid="{00000000-0005-0000-0000-0000467C0000}"/>
    <cellStyle name="Note 4 4 2 3 11 2 6" xfId="24135" xr:uid="{00000000-0005-0000-0000-0000477C0000}"/>
    <cellStyle name="Note 4 4 2 3 11 2 7" xfId="27973" xr:uid="{00000000-0005-0000-0000-0000487C0000}"/>
    <cellStyle name="Note 4 4 2 3 11 2 8" xfId="31832" xr:uid="{00000000-0005-0000-0000-0000497C0000}"/>
    <cellStyle name="Note 4 4 2 3 11 2 9" xfId="35485" xr:uid="{00000000-0005-0000-0000-00004A7C0000}"/>
    <cellStyle name="Note 4 4 2 3 11 3" xfId="6160" xr:uid="{00000000-0005-0000-0000-00004B7C0000}"/>
    <cellStyle name="Note 4 4 2 3 11 4" xfId="10563" xr:uid="{00000000-0005-0000-0000-00004C7C0000}"/>
    <cellStyle name="Note 4 4 2 3 11 5" xfId="14409" xr:uid="{00000000-0005-0000-0000-00004D7C0000}"/>
    <cellStyle name="Note 4 4 2 3 11 6" xfId="18240" xr:uid="{00000000-0005-0000-0000-00004E7C0000}"/>
    <cellStyle name="Note 4 4 2 3 11 7" xfId="22179" xr:uid="{00000000-0005-0000-0000-00004F7C0000}"/>
    <cellStyle name="Note 4 4 2 3 11 8" xfId="25991" xr:uid="{00000000-0005-0000-0000-0000507C0000}"/>
    <cellStyle name="Note 4 4 2 3 11 9" xfId="29871" xr:uid="{00000000-0005-0000-0000-0000517C0000}"/>
    <cellStyle name="Note 4 4 2 3 12" xfId="2301" xr:uid="{00000000-0005-0000-0000-0000527C0000}"/>
    <cellStyle name="Note 4 4 2 3 12 10" xfId="33602" xr:uid="{00000000-0005-0000-0000-0000537C0000}"/>
    <cellStyle name="Note 4 4 2 3 12 11" xfId="37353" xr:uid="{00000000-0005-0000-0000-0000547C0000}"/>
    <cellStyle name="Note 4 4 2 3 12 12" xfId="41369" xr:uid="{00000000-0005-0000-0000-0000557C0000}"/>
    <cellStyle name="Note 4 4 2 3 12 13" xfId="45164" xr:uid="{00000000-0005-0000-0000-0000567C0000}"/>
    <cellStyle name="Note 4 4 2 3 12 2" xfId="4284" xr:uid="{00000000-0005-0000-0000-0000577C0000}"/>
    <cellStyle name="Note 4 4 2 3 12 2 10" xfId="39335" xr:uid="{00000000-0005-0000-0000-0000587C0000}"/>
    <cellStyle name="Note 4 4 2 3 12 2 11" xfId="43345" xr:uid="{00000000-0005-0000-0000-0000597C0000}"/>
    <cellStyle name="Note 4 4 2 3 12 2 12" xfId="47102" xr:uid="{00000000-0005-0000-0000-00005A7C0000}"/>
    <cellStyle name="Note 4 4 2 3 12 2 2" xfId="8143" xr:uid="{00000000-0005-0000-0000-00005B7C0000}"/>
    <cellStyle name="Note 4 4 2 3 12 2 3" xfId="12583" xr:uid="{00000000-0005-0000-0000-00005C7C0000}"/>
    <cellStyle name="Note 4 4 2 3 12 2 4" xfId="16428" xr:uid="{00000000-0005-0000-0000-00005D7C0000}"/>
    <cellStyle name="Note 4 4 2 3 12 2 5" xfId="20278" xr:uid="{00000000-0005-0000-0000-00005E7C0000}"/>
    <cellStyle name="Note 4 4 2 3 12 2 6" xfId="24190" xr:uid="{00000000-0005-0000-0000-00005F7C0000}"/>
    <cellStyle name="Note 4 4 2 3 12 2 7" xfId="28028" xr:uid="{00000000-0005-0000-0000-0000607C0000}"/>
    <cellStyle name="Note 4 4 2 3 12 2 8" xfId="31887" xr:uid="{00000000-0005-0000-0000-0000617C0000}"/>
    <cellStyle name="Note 4 4 2 3 12 2 9" xfId="35540" xr:uid="{00000000-0005-0000-0000-0000627C0000}"/>
    <cellStyle name="Note 4 4 2 3 12 3" xfId="6215" xr:uid="{00000000-0005-0000-0000-0000637C0000}"/>
    <cellStyle name="Note 4 4 2 3 12 4" xfId="10618" xr:uid="{00000000-0005-0000-0000-0000647C0000}"/>
    <cellStyle name="Note 4 4 2 3 12 5" xfId="14464" xr:uid="{00000000-0005-0000-0000-0000657C0000}"/>
    <cellStyle name="Note 4 4 2 3 12 6" xfId="18295" xr:uid="{00000000-0005-0000-0000-0000667C0000}"/>
    <cellStyle name="Note 4 4 2 3 12 7" xfId="22234" xr:uid="{00000000-0005-0000-0000-0000677C0000}"/>
    <cellStyle name="Note 4 4 2 3 12 8" xfId="26046" xr:uid="{00000000-0005-0000-0000-0000687C0000}"/>
    <cellStyle name="Note 4 4 2 3 12 9" xfId="29926" xr:uid="{00000000-0005-0000-0000-0000697C0000}"/>
    <cellStyle name="Note 4 4 2 3 13" xfId="2368" xr:uid="{00000000-0005-0000-0000-00006A7C0000}"/>
    <cellStyle name="Note 4 4 2 3 13 10" xfId="33666" xr:uid="{00000000-0005-0000-0000-00006B7C0000}"/>
    <cellStyle name="Note 4 4 2 3 13 11" xfId="37420" xr:uid="{00000000-0005-0000-0000-00006C7C0000}"/>
    <cellStyle name="Note 4 4 2 3 13 12" xfId="41435" xr:uid="{00000000-0005-0000-0000-00006D7C0000}"/>
    <cellStyle name="Note 4 4 2 3 13 13" xfId="45228" xr:uid="{00000000-0005-0000-0000-00006E7C0000}"/>
    <cellStyle name="Note 4 4 2 3 13 2" xfId="4351" xr:uid="{00000000-0005-0000-0000-00006F7C0000}"/>
    <cellStyle name="Note 4 4 2 3 13 2 10" xfId="39402" xr:uid="{00000000-0005-0000-0000-0000707C0000}"/>
    <cellStyle name="Note 4 4 2 3 13 2 11" xfId="43411" xr:uid="{00000000-0005-0000-0000-0000717C0000}"/>
    <cellStyle name="Note 4 4 2 3 13 2 12" xfId="47166" xr:uid="{00000000-0005-0000-0000-0000727C0000}"/>
    <cellStyle name="Note 4 4 2 3 13 2 2" xfId="8208" xr:uid="{00000000-0005-0000-0000-0000737C0000}"/>
    <cellStyle name="Note 4 4 2 3 13 2 3" xfId="12649" xr:uid="{00000000-0005-0000-0000-0000747C0000}"/>
    <cellStyle name="Note 4 4 2 3 13 2 4" xfId="16494" xr:uid="{00000000-0005-0000-0000-0000757C0000}"/>
    <cellStyle name="Note 4 4 2 3 13 2 5" xfId="20345" xr:uid="{00000000-0005-0000-0000-0000767C0000}"/>
    <cellStyle name="Note 4 4 2 3 13 2 6" xfId="24256" xr:uid="{00000000-0005-0000-0000-0000777C0000}"/>
    <cellStyle name="Note 4 4 2 3 13 2 7" xfId="28095" xr:uid="{00000000-0005-0000-0000-0000787C0000}"/>
    <cellStyle name="Note 4 4 2 3 13 2 8" xfId="31953" xr:uid="{00000000-0005-0000-0000-0000797C0000}"/>
    <cellStyle name="Note 4 4 2 3 13 2 9" xfId="35604" xr:uid="{00000000-0005-0000-0000-00007A7C0000}"/>
    <cellStyle name="Note 4 4 2 3 13 3" xfId="6264" xr:uid="{00000000-0005-0000-0000-00007B7C0000}"/>
    <cellStyle name="Note 4 4 2 3 13 4" xfId="10684" xr:uid="{00000000-0005-0000-0000-00007C7C0000}"/>
    <cellStyle name="Note 4 4 2 3 13 5" xfId="14530" xr:uid="{00000000-0005-0000-0000-00007D7C0000}"/>
    <cellStyle name="Note 4 4 2 3 13 6" xfId="18362" xr:uid="{00000000-0005-0000-0000-00007E7C0000}"/>
    <cellStyle name="Note 4 4 2 3 13 7" xfId="22300" xr:uid="{00000000-0005-0000-0000-00007F7C0000}"/>
    <cellStyle name="Note 4 4 2 3 13 8" xfId="26113" xr:uid="{00000000-0005-0000-0000-0000807C0000}"/>
    <cellStyle name="Note 4 4 2 3 13 9" xfId="29993" xr:uid="{00000000-0005-0000-0000-0000817C0000}"/>
    <cellStyle name="Note 4 4 2 3 14" xfId="2418" xr:uid="{00000000-0005-0000-0000-0000827C0000}"/>
    <cellStyle name="Note 4 4 2 3 14 10" xfId="33716" xr:uid="{00000000-0005-0000-0000-0000837C0000}"/>
    <cellStyle name="Note 4 4 2 3 14 11" xfId="37470" xr:uid="{00000000-0005-0000-0000-0000847C0000}"/>
    <cellStyle name="Note 4 4 2 3 14 12" xfId="41485" xr:uid="{00000000-0005-0000-0000-0000857C0000}"/>
    <cellStyle name="Note 4 4 2 3 14 13" xfId="45278" xr:uid="{00000000-0005-0000-0000-0000867C0000}"/>
    <cellStyle name="Note 4 4 2 3 14 2" xfId="4401" xr:uid="{00000000-0005-0000-0000-0000877C0000}"/>
    <cellStyle name="Note 4 4 2 3 14 2 10" xfId="39452" xr:uid="{00000000-0005-0000-0000-0000887C0000}"/>
    <cellStyle name="Note 4 4 2 3 14 2 11" xfId="43461" xr:uid="{00000000-0005-0000-0000-0000897C0000}"/>
    <cellStyle name="Note 4 4 2 3 14 2 12" xfId="47216" xr:uid="{00000000-0005-0000-0000-00008A7C0000}"/>
    <cellStyle name="Note 4 4 2 3 14 2 2" xfId="8258" xr:uid="{00000000-0005-0000-0000-00008B7C0000}"/>
    <cellStyle name="Note 4 4 2 3 14 2 3" xfId="12699" xr:uid="{00000000-0005-0000-0000-00008C7C0000}"/>
    <cellStyle name="Note 4 4 2 3 14 2 4" xfId="16544" xr:uid="{00000000-0005-0000-0000-00008D7C0000}"/>
    <cellStyle name="Note 4 4 2 3 14 2 5" xfId="20395" xr:uid="{00000000-0005-0000-0000-00008E7C0000}"/>
    <cellStyle name="Note 4 4 2 3 14 2 6" xfId="24306" xr:uid="{00000000-0005-0000-0000-00008F7C0000}"/>
    <cellStyle name="Note 4 4 2 3 14 2 7" xfId="28145" xr:uid="{00000000-0005-0000-0000-0000907C0000}"/>
    <cellStyle name="Note 4 4 2 3 14 2 8" xfId="32003" xr:uid="{00000000-0005-0000-0000-0000917C0000}"/>
    <cellStyle name="Note 4 4 2 3 14 2 9" xfId="35654" xr:uid="{00000000-0005-0000-0000-0000927C0000}"/>
    <cellStyle name="Note 4 4 2 3 14 3" xfId="6314" xr:uid="{00000000-0005-0000-0000-0000937C0000}"/>
    <cellStyle name="Note 4 4 2 3 14 4" xfId="10734" xr:uid="{00000000-0005-0000-0000-0000947C0000}"/>
    <cellStyle name="Note 4 4 2 3 14 5" xfId="14580" xr:uid="{00000000-0005-0000-0000-0000957C0000}"/>
    <cellStyle name="Note 4 4 2 3 14 6" xfId="18412" xr:uid="{00000000-0005-0000-0000-0000967C0000}"/>
    <cellStyle name="Note 4 4 2 3 14 7" xfId="22350" xr:uid="{00000000-0005-0000-0000-0000977C0000}"/>
    <cellStyle name="Note 4 4 2 3 14 8" xfId="26163" xr:uid="{00000000-0005-0000-0000-0000987C0000}"/>
    <cellStyle name="Note 4 4 2 3 14 9" xfId="30042" xr:uid="{00000000-0005-0000-0000-0000997C0000}"/>
    <cellStyle name="Note 4 4 2 3 15" xfId="2472" xr:uid="{00000000-0005-0000-0000-00009A7C0000}"/>
    <cellStyle name="Note 4 4 2 3 15 10" xfId="33767" xr:uid="{00000000-0005-0000-0000-00009B7C0000}"/>
    <cellStyle name="Note 4 4 2 3 15 11" xfId="37524" xr:uid="{00000000-0005-0000-0000-00009C7C0000}"/>
    <cellStyle name="Note 4 4 2 3 15 12" xfId="41538" xr:uid="{00000000-0005-0000-0000-00009D7C0000}"/>
    <cellStyle name="Note 4 4 2 3 15 13" xfId="45329" xr:uid="{00000000-0005-0000-0000-00009E7C0000}"/>
    <cellStyle name="Note 4 4 2 3 15 2" xfId="4454" xr:uid="{00000000-0005-0000-0000-00009F7C0000}"/>
    <cellStyle name="Note 4 4 2 3 15 2 10" xfId="39505" xr:uid="{00000000-0005-0000-0000-0000A07C0000}"/>
    <cellStyle name="Note 4 4 2 3 15 2 11" xfId="43514" xr:uid="{00000000-0005-0000-0000-0000A17C0000}"/>
    <cellStyle name="Note 4 4 2 3 15 2 12" xfId="47267" xr:uid="{00000000-0005-0000-0000-0000A27C0000}"/>
    <cellStyle name="Note 4 4 2 3 15 2 2" xfId="8309" xr:uid="{00000000-0005-0000-0000-0000A37C0000}"/>
    <cellStyle name="Note 4 4 2 3 15 2 3" xfId="12752" xr:uid="{00000000-0005-0000-0000-0000A47C0000}"/>
    <cellStyle name="Note 4 4 2 3 15 2 4" xfId="16595" xr:uid="{00000000-0005-0000-0000-0000A57C0000}"/>
    <cellStyle name="Note 4 4 2 3 15 2 5" xfId="20448" xr:uid="{00000000-0005-0000-0000-0000A67C0000}"/>
    <cellStyle name="Note 4 4 2 3 15 2 6" xfId="24358" xr:uid="{00000000-0005-0000-0000-0000A77C0000}"/>
    <cellStyle name="Note 4 4 2 3 15 2 7" xfId="28198" xr:uid="{00000000-0005-0000-0000-0000A87C0000}"/>
    <cellStyle name="Note 4 4 2 3 15 2 8" xfId="32056" xr:uid="{00000000-0005-0000-0000-0000A97C0000}"/>
    <cellStyle name="Note 4 4 2 3 15 2 9" xfId="35705" xr:uid="{00000000-0005-0000-0000-0000AA7C0000}"/>
    <cellStyle name="Note 4 4 2 3 15 3" xfId="6366" xr:uid="{00000000-0005-0000-0000-0000AB7C0000}"/>
    <cellStyle name="Note 4 4 2 3 15 4" xfId="10787" xr:uid="{00000000-0005-0000-0000-0000AC7C0000}"/>
    <cellStyle name="Note 4 4 2 3 15 5" xfId="14633" xr:uid="{00000000-0005-0000-0000-0000AD7C0000}"/>
    <cellStyle name="Note 4 4 2 3 15 6" xfId="18466" xr:uid="{00000000-0005-0000-0000-0000AE7C0000}"/>
    <cellStyle name="Note 4 4 2 3 15 7" xfId="22403" xr:uid="{00000000-0005-0000-0000-0000AF7C0000}"/>
    <cellStyle name="Note 4 4 2 3 15 8" xfId="26217" xr:uid="{00000000-0005-0000-0000-0000B07C0000}"/>
    <cellStyle name="Note 4 4 2 3 15 9" xfId="30096" xr:uid="{00000000-0005-0000-0000-0000B17C0000}"/>
    <cellStyle name="Note 4 4 2 3 16" xfId="2543" xr:uid="{00000000-0005-0000-0000-0000B27C0000}"/>
    <cellStyle name="Note 4 4 2 3 16 10" xfId="37595" xr:uid="{00000000-0005-0000-0000-0000B37C0000}"/>
    <cellStyle name="Note 4 4 2 3 16 11" xfId="41609" xr:uid="{00000000-0005-0000-0000-0000B47C0000}"/>
    <cellStyle name="Note 4 4 2 3 16 12" xfId="45398" xr:uid="{00000000-0005-0000-0000-0000B57C0000}"/>
    <cellStyle name="Note 4 4 2 3 16 2" xfId="6435" xr:uid="{00000000-0005-0000-0000-0000B67C0000}"/>
    <cellStyle name="Note 4 4 2 3 16 3" xfId="10858" xr:uid="{00000000-0005-0000-0000-0000B77C0000}"/>
    <cellStyle name="Note 4 4 2 3 16 4" xfId="14702" xr:uid="{00000000-0005-0000-0000-0000B87C0000}"/>
    <cellStyle name="Note 4 4 2 3 16 5" xfId="18537" xr:uid="{00000000-0005-0000-0000-0000B97C0000}"/>
    <cellStyle name="Note 4 4 2 3 16 6" xfId="22472" xr:uid="{00000000-0005-0000-0000-0000BA7C0000}"/>
    <cellStyle name="Note 4 4 2 3 16 7" xfId="26288" xr:uid="{00000000-0005-0000-0000-0000BB7C0000}"/>
    <cellStyle name="Note 4 4 2 3 16 8" xfId="30167" xr:uid="{00000000-0005-0000-0000-0000BC7C0000}"/>
    <cellStyle name="Note 4 4 2 3 16 9" xfId="33836" xr:uid="{00000000-0005-0000-0000-0000BD7C0000}"/>
    <cellStyle name="Note 4 4 2 3 17" xfId="4511" xr:uid="{00000000-0005-0000-0000-0000BE7C0000}"/>
    <cellStyle name="Note 4 4 2 3 18" xfId="8361" xr:uid="{00000000-0005-0000-0000-0000BF7C0000}"/>
    <cellStyle name="Note 4 4 2 3 19" xfId="8726" xr:uid="{00000000-0005-0000-0000-0000C07C0000}"/>
    <cellStyle name="Note 4 4 2 3 2" xfId="672" xr:uid="{00000000-0005-0000-0000-0000C17C0000}"/>
    <cellStyle name="Note 4 4 2 3 2 10" xfId="24406" xr:uid="{00000000-0005-0000-0000-0000C27C0000}"/>
    <cellStyle name="Note 4 4 2 3 2 11" xfId="28299" xr:uid="{00000000-0005-0000-0000-0000C37C0000}"/>
    <cellStyle name="Note 4 4 2 3 2 12" xfId="31240" xr:uid="{00000000-0005-0000-0000-0000C47C0000}"/>
    <cellStyle name="Note 4 4 2 3 2 13" xfId="35743" xr:uid="{00000000-0005-0000-0000-0000C57C0000}"/>
    <cellStyle name="Note 4 4 2 3 2 14" xfId="39766" xr:uid="{00000000-0005-0000-0000-0000C67C0000}"/>
    <cellStyle name="Note 4 4 2 3 2 15" xfId="43569" xr:uid="{00000000-0005-0000-0000-0000C77C0000}"/>
    <cellStyle name="Note 4 4 2 3 2 2" xfId="1052" xr:uid="{00000000-0005-0000-0000-0000C87C0000}"/>
    <cellStyle name="Note 4 4 2 3 2 2 10" xfId="28663" xr:uid="{00000000-0005-0000-0000-0000C97C0000}"/>
    <cellStyle name="Note 4 4 2 3 2 2 11" xfId="32349" xr:uid="{00000000-0005-0000-0000-0000CA7C0000}"/>
    <cellStyle name="Note 4 4 2 3 2 2 12" xfId="36110" xr:uid="{00000000-0005-0000-0000-0000CB7C0000}"/>
    <cellStyle name="Note 4 4 2 3 2 2 13" xfId="40113" xr:uid="{00000000-0005-0000-0000-0000CC7C0000}"/>
    <cellStyle name="Note 4 4 2 3 2 2 14" xfId="43936" xr:uid="{00000000-0005-0000-0000-0000CD7C0000}"/>
    <cellStyle name="Note 4 4 2 3 2 2 2" xfId="1779" xr:uid="{00000000-0005-0000-0000-0000CE7C0000}"/>
    <cellStyle name="Note 4 4 2 3 2 2 2 10" xfId="33066" xr:uid="{00000000-0005-0000-0000-0000CF7C0000}"/>
    <cellStyle name="Note 4 4 2 3 2 2 2 11" xfId="36836" xr:uid="{00000000-0005-0000-0000-0000D07C0000}"/>
    <cellStyle name="Note 4 4 2 3 2 2 2 12" xfId="40827" xr:uid="{00000000-0005-0000-0000-0000D17C0000}"/>
    <cellStyle name="Note 4 4 2 3 2 2 2 13" xfId="44658" xr:uid="{00000000-0005-0000-0000-0000D27C0000}"/>
    <cellStyle name="Note 4 4 2 3 2 2 2 2" xfId="3769" xr:uid="{00000000-0005-0000-0000-0000D37C0000}"/>
    <cellStyle name="Note 4 4 2 3 2 2 2 2 10" xfId="38820" xr:uid="{00000000-0005-0000-0000-0000D47C0000}"/>
    <cellStyle name="Note 4 4 2 3 2 2 2 2 11" xfId="42831" xr:uid="{00000000-0005-0000-0000-0000D57C0000}"/>
    <cellStyle name="Note 4 4 2 3 2 2 2 2 12" xfId="46596" xr:uid="{00000000-0005-0000-0000-0000D67C0000}"/>
    <cellStyle name="Note 4 4 2 3 2 2 2 2 2" xfId="7636" xr:uid="{00000000-0005-0000-0000-0000D77C0000}"/>
    <cellStyle name="Note 4 4 2 3 2 2 2 2 3" xfId="12071" xr:uid="{00000000-0005-0000-0000-0000D87C0000}"/>
    <cellStyle name="Note 4 4 2 3 2 2 2 2 4" xfId="15916" xr:uid="{00000000-0005-0000-0000-0000D97C0000}"/>
    <cellStyle name="Note 4 4 2 3 2 2 2 2 5" xfId="19763" xr:uid="{00000000-0005-0000-0000-0000DA7C0000}"/>
    <cellStyle name="Note 4 4 2 3 2 2 2 2 6" xfId="23679" xr:uid="{00000000-0005-0000-0000-0000DB7C0000}"/>
    <cellStyle name="Note 4 4 2 3 2 2 2 2 7" xfId="27513" xr:uid="{00000000-0005-0000-0000-0000DC7C0000}"/>
    <cellStyle name="Note 4 4 2 3 2 2 2 2 8" xfId="31377" xr:uid="{00000000-0005-0000-0000-0000DD7C0000}"/>
    <cellStyle name="Note 4 4 2 3 2 2 2 2 9" xfId="35034" xr:uid="{00000000-0005-0000-0000-0000DE7C0000}"/>
    <cellStyle name="Note 4 4 2 3 2 2 2 3" xfId="5712" xr:uid="{00000000-0005-0000-0000-0000DF7C0000}"/>
    <cellStyle name="Note 4 4 2 3 2 2 2 4" xfId="10070" xr:uid="{00000000-0005-0000-0000-0000E07C0000}"/>
    <cellStyle name="Note 4 4 2 3 2 2 2 5" xfId="13916" xr:uid="{00000000-0005-0000-0000-0000E17C0000}"/>
    <cellStyle name="Note 4 4 2 3 2 2 2 6" xfId="17745" xr:uid="{00000000-0005-0000-0000-0000E27C0000}"/>
    <cellStyle name="Note 4 4 2 3 2 2 2 7" xfId="21684" xr:uid="{00000000-0005-0000-0000-0000E37C0000}"/>
    <cellStyle name="Note 4 4 2 3 2 2 2 8" xfId="25497" xr:uid="{00000000-0005-0000-0000-0000E47C0000}"/>
    <cellStyle name="Note 4 4 2 3 2 2 2 9" xfId="29384" xr:uid="{00000000-0005-0000-0000-0000E57C0000}"/>
    <cellStyle name="Note 4 4 2 3 2 2 3" xfId="3042" xr:uid="{00000000-0005-0000-0000-0000E67C0000}"/>
    <cellStyle name="Note 4 4 2 3 2 2 3 10" xfId="38094" xr:uid="{00000000-0005-0000-0000-0000E77C0000}"/>
    <cellStyle name="Note 4 4 2 3 2 2 3 11" xfId="42106" xr:uid="{00000000-0005-0000-0000-0000E87C0000}"/>
    <cellStyle name="Note 4 4 2 3 2 2 3 12" xfId="45879" xr:uid="{00000000-0005-0000-0000-0000E97C0000}"/>
    <cellStyle name="Note 4 4 2 3 2 2 3 2" xfId="6918" xr:uid="{00000000-0005-0000-0000-0000EA7C0000}"/>
    <cellStyle name="Note 4 4 2 3 2 2 3 3" xfId="11347" xr:uid="{00000000-0005-0000-0000-0000EB7C0000}"/>
    <cellStyle name="Note 4 4 2 3 2 2 3 4" xfId="15191" xr:uid="{00000000-0005-0000-0000-0000EC7C0000}"/>
    <cellStyle name="Note 4 4 2 3 2 2 3 5" xfId="19036" xr:uid="{00000000-0005-0000-0000-0000ED7C0000}"/>
    <cellStyle name="Note 4 4 2 3 2 2 3 6" xfId="22958" xr:uid="{00000000-0005-0000-0000-0000EE7C0000}"/>
    <cellStyle name="Note 4 4 2 3 2 2 3 7" xfId="26787" xr:uid="{00000000-0005-0000-0000-0000EF7C0000}"/>
    <cellStyle name="Note 4 4 2 3 2 2 3 8" xfId="30661" xr:uid="{00000000-0005-0000-0000-0000F07C0000}"/>
    <cellStyle name="Note 4 4 2 3 2 2 3 9" xfId="34317" xr:uid="{00000000-0005-0000-0000-0000F17C0000}"/>
    <cellStyle name="Note 4 4 2 3 2 2 4" xfId="4994" xr:uid="{00000000-0005-0000-0000-0000F27C0000}"/>
    <cellStyle name="Note 4 4 2 3 2 2 5" xfId="9350" xr:uid="{00000000-0005-0000-0000-0000F37C0000}"/>
    <cellStyle name="Note 4 4 2 3 2 2 6" xfId="13190" xr:uid="{00000000-0005-0000-0000-0000F47C0000}"/>
    <cellStyle name="Note 4 4 2 3 2 2 7" xfId="17018" xr:uid="{00000000-0005-0000-0000-0000F57C0000}"/>
    <cellStyle name="Note 4 4 2 3 2 2 8" xfId="20960" xr:uid="{00000000-0005-0000-0000-0000F67C0000}"/>
    <cellStyle name="Note 4 4 2 3 2 2 9" xfId="24774" xr:uid="{00000000-0005-0000-0000-0000F77C0000}"/>
    <cellStyle name="Note 4 4 2 3 2 3" xfId="1426" xr:uid="{00000000-0005-0000-0000-0000F87C0000}"/>
    <cellStyle name="Note 4 4 2 3 2 3 10" xfId="32713" xr:uid="{00000000-0005-0000-0000-0000F97C0000}"/>
    <cellStyle name="Note 4 4 2 3 2 3 11" xfId="36483" xr:uid="{00000000-0005-0000-0000-0000FA7C0000}"/>
    <cellStyle name="Note 4 4 2 3 2 3 12" xfId="40474" xr:uid="{00000000-0005-0000-0000-0000FB7C0000}"/>
    <cellStyle name="Note 4 4 2 3 2 3 13" xfId="44305" xr:uid="{00000000-0005-0000-0000-0000FC7C0000}"/>
    <cellStyle name="Note 4 4 2 3 2 3 2" xfId="3416" xr:uid="{00000000-0005-0000-0000-0000FD7C0000}"/>
    <cellStyle name="Note 4 4 2 3 2 3 2 10" xfId="38467" xr:uid="{00000000-0005-0000-0000-0000FE7C0000}"/>
    <cellStyle name="Note 4 4 2 3 2 3 2 11" xfId="42478" xr:uid="{00000000-0005-0000-0000-0000FF7C0000}"/>
    <cellStyle name="Note 4 4 2 3 2 3 2 12" xfId="46243" xr:uid="{00000000-0005-0000-0000-0000007D0000}"/>
    <cellStyle name="Note 4 4 2 3 2 3 2 2" xfId="7283" xr:uid="{00000000-0005-0000-0000-0000017D0000}"/>
    <cellStyle name="Note 4 4 2 3 2 3 2 3" xfId="11718" xr:uid="{00000000-0005-0000-0000-0000027D0000}"/>
    <cellStyle name="Note 4 4 2 3 2 3 2 4" xfId="15563" xr:uid="{00000000-0005-0000-0000-0000037D0000}"/>
    <cellStyle name="Note 4 4 2 3 2 3 2 5" xfId="19410" xr:uid="{00000000-0005-0000-0000-0000047D0000}"/>
    <cellStyle name="Note 4 4 2 3 2 3 2 6" xfId="23326" xr:uid="{00000000-0005-0000-0000-0000057D0000}"/>
    <cellStyle name="Note 4 4 2 3 2 3 2 7" xfId="27160" xr:uid="{00000000-0005-0000-0000-0000067D0000}"/>
    <cellStyle name="Note 4 4 2 3 2 3 2 8" xfId="31028" xr:uid="{00000000-0005-0000-0000-0000077D0000}"/>
    <cellStyle name="Note 4 4 2 3 2 3 2 9" xfId="34681" xr:uid="{00000000-0005-0000-0000-0000087D0000}"/>
    <cellStyle name="Note 4 4 2 3 2 3 3" xfId="5359" xr:uid="{00000000-0005-0000-0000-0000097D0000}"/>
    <cellStyle name="Note 4 4 2 3 2 3 4" xfId="9717" xr:uid="{00000000-0005-0000-0000-00000A7D0000}"/>
    <cellStyle name="Note 4 4 2 3 2 3 5" xfId="13563" xr:uid="{00000000-0005-0000-0000-00000B7D0000}"/>
    <cellStyle name="Note 4 4 2 3 2 3 6" xfId="17392" xr:uid="{00000000-0005-0000-0000-00000C7D0000}"/>
    <cellStyle name="Note 4 4 2 3 2 3 7" xfId="21331" xr:uid="{00000000-0005-0000-0000-00000D7D0000}"/>
    <cellStyle name="Note 4 4 2 3 2 3 8" xfId="25144" xr:uid="{00000000-0005-0000-0000-00000E7D0000}"/>
    <cellStyle name="Note 4 4 2 3 2 3 9" xfId="29031" xr:uid="{00000000-0005-0000-0000-00000F7D0000}"/>
    <cellStyle name="Note 4 4 2 3 2 4" xfId="2675" xr:uid="{00000000-0005-0000-0000-0000107D0000}"/>
    <cellStyle name="Note 4 4 2 3 2 4 10" xfId="37727" xr:uid="{00000000-0005-0000-0000-0000117D0000}"/>
    <cellStyle name="Note 4 4 2 3 2 4 11" xfId="41741" xr:uid="{00000000-0005-0000-0000-0000127D0000}"/>
    <cellStyle name="Note 4 4 2 3 2 4 12" xfId="45526" xr:uid="{00000000-0005-0000-0000-0000137D0000}"/>
    <cellStyle name="Note 4 4 2 3 2 4 2" xfId="6563" xr:uid="{00000000-0005-0000-0000-0000147D0000}"/>
    <cellStyle name="Note 4 4 2 3 2 4 3" xfId="10987" xr:uid="{00000000-0005-0000-0000-0000157D0000}"/>
    <cellStyle name="Note 4 4 2 3 2 4 4" xfId="14831" xr:uid="{00000000-0005-0000-0000-0000167D0000}"/>
    <cellStyle name="Note 4 4 2 3 2 4 5" xfId="18669" xr:uid="{00000000-0005-0000-0000-0000177D0000}"/>
    <cellStyle name="Note 4 4 2 3 2 4 6" xfId="22600" xr:uid="{00000000-0005-0000-0000-0000187D0000}"/>
    <cellStyle name="Note 4 4 2 3 2 4 7" xfId="26420" xr:uid="{00000000-0005-0000-0000-0000197D0000}"/>
    <cellStyle name="Note 4 4 2 3 2 4 8" xfId="30299" xr:uid="{00000000-0005-0000-0000-00001A7D0000}"/>
    <cellStyle name="Note 4 4 2 3 2 4 9" xfId="33964" xr:uid="{00000000-0005-0000-0000-00001B7D0000}"/>
    <cellStyle name="Note 4 4 2 3 2 5" xfId="4639" xr:uid="{00000000-0005-0000-0000-00001C7D0000}"/>
    <cellStyle name="Note 4 4 2 3 2 6" xfId="8981" xr:uid="{00000000-0005-0000-0000-00001D7D0000}"/>
    <cellStyle name="Note 4 4 2 3 2 7" xfId="12818" xr:uid="{00000000-0005-0000-0000-00001E7D0000}"/>
    <cellStyle name="Note 4 4 2 3 2 8" xfId="16648" xr:uid="{00000000-0005-0000-0000-00001F7D0000}"/>
    <cellStyle name="Note 4 4 2 3 2 9" xfId="20585" xr:uid="{00000000-0005-0000-0000-0000207D0000}"/>
    <cellStyle name="Note 4 4 2 3 20" xfId="8847" xr:uid="{00000000-0005-0000-0000-0000217D0000}"/>
    <cellStyle name="Note 4 4 2 3 21" xfId="8587" xr:uid="{00000000-0005-0000-0000-0000227D0000}"/>
    <cellStyle name="Note 4 4 2 3 22" xfId="8493" xr:uid="{00000000-0005-0000-0000-0000237D0000}"/>
    <cellStyle name="Note 4 4 2 3 23" xfId="8613" xr:uid="{00000000-0005-0000-0000-0000247D0000}"/>
    <cellStyle name="Note 4 4 2 3 24" xfId="8769" xr:uid="{00000000-0005-0000-0000-0000257D0000}"/>
    <cellStyle name="Note 4 4 2 3 25" xfId="20685" xr:uid="{00000000-0005-0000-0000-0000267D0000}"/>
    <cellStyle name="Note 4 4 2 3 26" xfId="31127" xr:uid="{00000000-0005-0000-0000-0000277D0000}"/>
    <cellStyle name="Note 4 4 2 3 27" xfId="28091" xr:uid="{00000000-0005-0000-0000-0000287D0000}"/>
    <cellStyle name="Note 4 4 2 3 28" xfId="39635" xr:uid="{00000000-0005-0000-0000-0000297D0000}"/>
    <cellStyle name="Note 4 4 2 3 29" xfId="39674" xr:uid="{00000000-0005-0000-0000-00002A7D0000}"/>
    <cellStyle name="Note 4 4 2 3 3" xfId="611" xr:uid="{00000000-0005-0000-0000-00002B7D0000}"/>
    <cellStyle name="Note 4 4 2 3 3 10" xfId="8786" xr:uid="{00000000-0005-0000-0000-00002C7D0000}"/>
    <cellStyle name="Note 4 4 2 3 3 11" xfId="28238" xr:uid="{00000000-0005-0000-0000-00002D7D0000}"/>
    <cellStyle name="Note 4 4 2 3 3 12" xfId="28482" xr:uid="{00000000-0005-0000-0000-00002E7D0000}"/>
    <cellStyle name="Note 4 4 2 3 3 13" xfId="15285" xr:uid="{00000000-0005-0000-0000-00002F7D0000}"/>
    <cellStyle name="Note 4 4 2 3 3 14" xfId="39706" xr:uid="{00000000-0005-0000-0000-0000307D0000}"/>
    <cellStyle name="Note 4 4 2 3 3 15" xfId="39570" xr:uid="{00000000-0005-0000-0000-0000317D0000}"/>
    <cellStyle name="Note 4 4 2 3 3 2" xfId="991" xr:uid="{00000000-0005-0000-0000-0000327D0000}"/>
    <cellStyle name="Note 4 4 2 3 3 2 10" xfId="28602" xr:uid="{00000000-0005-0000-0000-0000337D0000}"/>
    <cellStyle name="Note 4 4 2 3 3 2 11" xfId="32290" xr:uid="{00000000-0005-0000-0000-0000347D0000}"/>
    <cellStyle name="Note 4 4 2 3 3 2 12" xfId="36049" xr:uid="{00000000-0005-0000-0000-0000357D0000}"/>
    <cellStyle name="Note 4 4 2 3 3 2 13" xfId="40054" xr:uid="{00000000-0005-0000-0000-0000367D0000}"/>
    <cellStyle name="Note 4 4 2 3 3 2 14" xfId="43875" xr:uid="{00000000-0005-0000-0000-0000377D0000}"/>
    <cellStyle name="Note 4 4 2 3 3 2 2" xfId="1720" xr:uid="{00000000-0005-0000-0000-0000387D0000}"/>
    <cellStyle name="Note 4 4 2 3 3 2 2 10" xfId="33007" xr:uid="{00000000-0005-0000-0000-0000397D0000}"/>
    <cellStyle name="Note 4 4 2 3 3 2 2 11" xfId="36777" xr:uid="{00000000-0005-0000-0000-00003A7D0000}"/>
    <cellStyle name="Note 4 4 2 3 3 2 2 12" xfId="40768" xr:uid="{00000000-0005-0000-0000-00003B7D0000}"/>
    <cellStyle name="Note 4 4 2 3 3 2 2 13" xfId="44599" xr:uid="{00000000-0005-0000-0000-00003C7D0000}"/>
    <cellStyle name="Note 4 4 2 3 3 2 2 2" xfId="3710" xr:uid="{00000000-0005-0000-0000-00003D7D0000}"/>
    <cellStyle name="Note 4 4 2 3 3 2 2 2 10" xfId="38761" xr:uid="{00000000-0005-0000-0000-00003E7D0000}"/>
    <cellStyle name="Note 4 4 2 3 3 2 2 2 11" xfId="42772" xr:uid="{00000000-0005-0000-0000-00003F7D0000}"/>
    <cellStyle name="Note 4 4 2 3 3 2 2 2 12" xfId="46537" xr:uid="{00000000-0005-0000-0000-0000407D0000}"/>
    <cellStyle name="Note 4 4 2 3 3 2 2 2 2" xfId="7577" xr:uid="{00000000-0005-0000-0000-0000417D0000}"/>
    <cellStyle name="Note 4 4 2 3 3 2 2 2 3" xfId="12012" xr:uid="{00000000-0005-0000-0000-0000427D0000}"/>
    <cellStyle name="Note 4 4 2 3 3 2 2 2 4" xfId="15857" xr:uid="{00000000-0005-0000-0000-0000437D0000}"/>
    <cellStyle name="Note 4 4 2 3 3 2 2 2 5" xfId="19704" xr:uid="{00000000-0005-0000-0000-0000447D0000}"/>
    <cellStyle name="Note 4 4 2 3 3 2 2 2 6" xfId="23620" xr:uid="{00000000-0005-0000-0000-0000457D0000}"/>
    <cellStyle name="Note 4 4 2 3 3 2 2 2 7" xfId="27454" xr:uid="{00000000-0005-0000-0000-0000467D0000}"/>
    <cellStyle name="Note 4 4 2 3 3 2 2 2 8" xfId="31318" xr:uid="{00000000-0005-0000-0000-0000477D0000}"/>
    <cellStyle name="Note 4 4 2 3 3 2 2 2 9" xfId="34975" xr:uid="{00000000-0005-0000-0000-0000487D0000}"/>
    <cellStyle name="Note 4 4 2 3 3 2 2 3" xfId="5653" xr:uid="{00000000-0005-0000-0000-0000497D0000}"/>
    <cellStyle name="Note 4 4 2 3 3 2 2 4" xfId="10011" xr:uid="{00000000-0005-0000-0000-00004A7D0000}"/>
    <cellStyle name="Note 4 4 2 3 3 2 2 5" xfId="13857" xr:uid="{00000000-0005-0000-0000-00004B7D0000}"/>
    <cellStyle name="Note 4 4 2 3 3 2 2 6" xfId="17686" xr:uid="{00000000-0005-0000-0000-00004C7D0000}"/>
    <cellStyle name="Note 4 4 2 3 3 2 2 7" xfId="21625" xr:uid="{00000000-0005-0000-0000-00004D7D0000}"/>
    <cellStyle name="Note 4 4 2 3 3 2 2 8" xfId="25438" xr:uid="{00000000-0005-0000-0000-00004E7D0000}"/>
    <cellStyle name="Note 4 4 2 3 3 2 2 9" xfId="29325" xr:uid="{00000000-0005-0000-0000-00004F7D0000}"/>
    <cellStyle name="Note 4 4 2 3 3 2 3" xfId="2981" xr:uid="{00000000-0005-0000-0000-0000507D0000}"/>
    <cellStyle name="Note 4 4 2 3 3 2 3 10" xfId="38033" xr:uid="{00000000-0005-0000-0000-0000517D0000}"/>
    <cellStyle name="Note 4 4 2 3 3 2 3 11" xfId="42045" xr:uid="{00000000-0005-0000-0000-0000527D0000}"/>
    <cellStyle name="Note 4 4 2 3 3 2 3 12" xfId="45820" xr:uid="{00000000-0005-0000-0000-0000537D0000}"/>
    <cellStyle name="Note 4 4 2 3 3 2 3 2" xfId="6859" xr:uid="{00000000-0005-0000-0000-0000547D0000}"/>
    <cellStyle name="Note 4 4 2 3 3 2 3 3" xfId="11287" xr:uid="{00000000-0005-0000-0000-0000557D0000}"/>
    <cellStyle name="Note 4 4 2 3 3 2 3 4" xfId="15132" xr:uid="{00000000-0005-0000-0000-0000567D0000}"/>
    <cellStyle name="Note 4 4 2 3 3 2 3 5" xfId="18975" xr:uid="{00000000-0005-0000-0000-0000577D0000}"/>
    <cellStyle name="Note 4 4 2 3 3 2 3 6" xfId="22899" xr:uid="{00000000-0005-0000-0000-0000587D0000}"/>
    <cellStyle name="Note 4 4 2 3 3 2 3 7" xfId="26726" xr:uid="{00000000-0005-0000-0000-0000597D0000}"/>
    <cellStyle name="Note 4 4 2 3 3 2 3 8" xfId="30600" xr:uid="{00000000-0005-0000-0000-00005A7D0000}"/>
    <cellStyle name="Note 4 4 2 3 3 2 3 9" xfId="34258" xr:uid="{00000000-0005-0000-0000-00005B7D0000}"/>
    <cellStyle name="Note 4 4 2 3 3 2 4" xfId="4935" xr:uid="{00000000-0005-0000-0000-00005C7D0000}"/>
    <cellStyle name="Note 4 4 2 3 3 2 5" xfId="9290" xr:uid="{00000000-0005-0000-0000-00005D7D0000}"/>
    <cellStyle name="Note 4 4 2 3 3 2 6" xfId="13131" xr:uid="{00000000-0005-0000-0000-00005E7D0000}"/>
    <cellStyle name="Note 4 4 2 3 3 2 7" xfId="16957" xr:uid="{00000000-0005-0000-0000-00005F7D0000}"/>
    <cellStyle name="Note 4 4 2 3 3 2 8" xfId="20899" xr:uid="{00000000-0005-0000-0000-0000607D0000}"/>
    <cellStyle name="Note 4 4 2 3 3 2 9" xfId="24714" xr:uid="{00000000-0005-0000-0000-0000617D0000}"/>
    <cellStyle name="Note 4 4 2 3 3 3" xfId="1367" xr:uid="{00000000-0005-0000-0000-0000627D0000}"/>
    <cellStyle name="Note 4 4 2 3 3 3 10" xfId="32654" xr:uid="{00000000-0005-0000-0000-0000637D0000}"/>
    <cellStyle name="Note 4 4 2 3 3 3 11" xfId="36424" xr:uid="{00000000-0005-0000-0000-0000647D0000}"/>
    <cellStyle name="Note 4 4 2 3 3 3 12" xfId="40415" xr:uid="{00000000-0005-0000-0000-0000657D0000}"/>
    <cellStyle name="Note 4 4 2 3 3 3 13" xfId="44246" xr:uid="{00000000-0005-0000-0000-0000667D0000}"/>
    <cellStyle name="Note 4 4 2 3 3 3 2" xfId="3357" xr:uid="{00000000-0005-0000-0000-0000677D0000}"/>
    <cellStyle name="Note 4 4 2 3 3 3 2 10" xfId="38408" xr:uid="{00000000-0005-0000-0000-0000687D0000}"/>
    <cellStyle name="Note 4 4 2 3 3 3 2 11" xfId="42419" xr:uid="{00000000-0005-0000-0000-0000697D0000}"/>
    <cellStyle name="Note 4 4 2 3 3 3 2 12" xfId="46184" xr:uid="{00000000-0005-0000-0000-00006A7D0000}"/>
    <cellStyle name="Note 4 4 2 3 3 3 2 2" xfId="7224" xr:uid="{00000000-0005-0000-0000-00006B7D0000}"/>
    <cellStyle name="Note 4 4 2 3 3 3 2 3" xfId="11659" xr:uid="{00000000-0005-0000-0000-00006C7D0000}"/>
    <cellStyle name="Note 4 4 2 3 3 3 2 4" xfId="15504" xr:uid="{00000000-0005-0000-0000-00006D7D0000}"/>
    <cellStyle name="Note 4 4 2 3 3 3 2 5" xfId="19351" xr:uid="{00000000-0005-0000-0000-00006E7D0000}"/>
    <cellStyle name="Note 4 4 2 3 3 3 2 6" xfId="23267" xr:uid="{00000000-0005-0000-0000-00006F7D0000}"/>
    <cellStyle name="Note 4 4 2 3 3 3 2 7" xfId="27101" xr:uid="{00000000-0005-0000-0000-0000707D0000}"/>
    <cellStyle name="Note 4 4 2 3 3 3 2 8" xfId="30969" xr:uid="{00000000-0005-0000-0000-0000717D0000}"/>
    <cellStyle name="Note 4 4 2 3 3 3 2 9" xfId="34622" xr:uid="{00000000-0005-0000-0000-0000727D0000}"/>
    <cellStyle name="Note 4 4 2 3 3 3 3" xfId="5300" xr:uid="{00000000-0005-0000-0000-0000737D0000}"/>
    <cellStyle name="Note 4 4 2 3 3 3 4" xfId="9658" xr:uid="{00000000-0005-0000-0000-0000747D0000}"/>
    <cellStyle name="Note 4 4 2 3 3 3 5" xfId="13504" xr:uid="{00000000-0005-0000-0000-0000757D0000}"/>
    <cellStyle name="Note 4 4 2 3 3 3 6" xfId="17333" xr:uid="{00000000-0005-0000-0000-0000767D0000}"/>
    <cellStyle name="Note 4 4 2 3 3 3 7" xfId="21272" xr:uid="{00000000-0005-0000-0000-0000777D0000}"/>
    <cellStyle name="Note 4 4 2 3 3 3 8" xfId="25085" xr:uid="{00000000-0005-0000-0000-0000787D0000}"/>
    <cellStyle name="Note 4 4 2 3 3 3 9" xfId="28972" xr:uid="{00000000-0005-0000-0000-0000797D0000}"/>
    <cellStyle name="Note 4 4 2 3 3 4" xfId="2614" xr:uid="{00000000-0005-0000-0000-00007A7D0000}"/>
    <cellStyle name="Note 4 4 2 3 3 4 10" xfId="37666" xr:uid="{00000000-0005-0000-0000-00007B7D0000}"/>
    <cellStyle name="Note 4 4 2 3 3 4 11" xfId="41680" xr:uid="{00000000-0005-0000-0000-00007C7D0000}"/>
    <cellStyle name="Note 4 4 2 3 3 4 12" xfId="45467" xr:uid="{00000000-0005-0000-0000-00007D7D0000}"/>
    <cellStyle name="Note 4 4 2 3 3 4 2" xfId="6504" xr:uid="{00000000-0005-0000-0000-00007E7D0000}"/>
    <cellStyle name="Note 4 4 2 3 3 4 3" xfId="10928" xr:uid="{00000000-0005-0000-0000-00007F7D0000}"/>
    <cellStyle name="Note 4 4 2 3 3 4 4" xfId="14772" xr:uid="{00000000-0005-0000-0000-0000807D0000}"/>
    <cellStyle name="Note 4 4 2 3 3 4 5" xfId="18608" xr:uid="{00000000-0005-0000-0000-0000817D0000}"/>
    <cellStyle name="Note 4 4 2 3 3 4 6" xfId="22541" xr:uid="{00000000-0005-0000-0000-0000827D0000}"/>
    <cellStyle name="Note 4 4 2 3 3 4 7" xfId="26359" xr:uid="{00000000-0005-0000-0000-0000837D0000}"/>
    <cellStyle name="Note 4 4 2 3 3 4 8" xfId="30238" xr:uid="{00000000-0005-0000-0000-0000847D0000}"/>
    <cellStyle name="Note 4 4 2 3 3 4 9" xfId="33905" xr:uid="{00000000-0005-0000-0000-0000857D0000}"/>
    <cellStyle name="Note 4 4 2 3 3 5" xfId="4580" xr:uid="{00000000-0005-0000-0000-0000867D0000}"/>
    <cellStyle name="Note 4 4 2 3 3 6" xfId="8920" xr:uid="{00000000-0005-0000-0000-0000877D0000}"/>
    <cellStyle name="Note 4 4 2 3 3 7" xfId="8691" xr:uid="{00000000-0005-0000-0000-0000887D0000}"/>
    <cellStyle name="Note 4 4 2 3 3 8" xfId="8485" xr:uid="{00000000-0005-0000-0000-0000897D0000}"/>
    <cellStyle name="Note 4 4 2 3 3 9" xfId="20524" xr:uid="{00000000-0005-0000-0000-00008A7D0000}"/>
    <cellStyle name="Note 4 4 2 3 30" xfId="47347" xr:uid="{00000000-0005-0000-0000-00008B7D0000}"/>
    <cellStyle name="Note 4 4 2 3 31" xfId="47435" xr:uid="{00000000-0005-0000-0000-00008C7D0000}"/>
    <cellStyle name="Note 4 4 2 3 32" xfId="47482" xr:uid="{00000000-0005-0000-0000-00008D7D0000}"/>
    <cellStyle name="Note 4 4 2 3 4" xfId="731" xr:uid="{00000000-0005-0000-0000-00008E7D0000}"/>
    <cellStyle name="Note 4 4 2 3 4 10" xfId="24464" xr:uid="{00000000-0005-0000-0000-00008F7D0000}"/>
    <cellStyle name="Note 4 4 2 3 4 11" xfId="28357" xr:uid="{00000000-0005-0000-0000-0000907D0000}"/>
    <cellStyle name="Note 4 4 2 3 4 12" xfId="8407" xr:uid="{00000000-0005-0000-0000-0000917D0000}"/>
    <cellStyle name="Note 4 4 2 3 4 13" xfId="35802" xr:uid="{00000000-0005-0000-0000-0000927D0000}"/>
    <cellStyle name="Note 4 4 2 3 4 14" xfId="39823" xr:uid="{00000000-0005-0000-0000-0000937D0000}"/>
    <cellStyle name="Note 4 4 2 3 4 15" xfId="43628" xr:uid="{00000000-0005-0000-0000-0000947D0000}"/>
    <cellStyle name="Note 4 4 2 3 4 2" xfId="1110" xr:uid="{00000000-0005-0000-0000-0000957D0000}"/>
    <cellStyle name="Note 4 4 2 3 4 2 10" xfId="28720" xr:uid="{00000000-0005-0000-0000-0000967D0000}"/>
    <cellStyle name="Note 4 4 2 3 4 2 11" xfId="32407" xr:uid="{00000000-0005-0000-0000-0000977D0000}"/>
    <cellStyle name="Note 4 4 2 3 4 2 12" xfId="36168" xr:uid="{00000000-0005-0000-0000-0000987D0000}"/>
    <cellStyle name="Note 4 4 2 3 4 2 13" xfId="40170" xr:uid="{00000000-0005-0000-0000-0000997D0000}"/>
    <cellStyle name="Note 4 4 2 3 4 2 14" xfId="43994" xr:uid="{00000000-0005-0000-0000-00009A7D0000}"/>
    <cellStyle name="Note 4 4 2 3 4 2 2" xfId="1837" xr:uid="{00000000-0005-0000-0000-00009B7D0000}"/>
    <cellStyle name="Note 4 4 2 3 4 2 2 10" xfId="33124" xr:uid="{00000000-0005-0000-0000-00009C7D0000}"/>
    <cellStyle name="Note 4 4 2 3 4 2 2 11" xfId="36894" xr:uid="{00000000-0005-0000-0000-00009D7D0000}"/>
    <cellStyle name="Note 4 4 2 3 4 2 2 12" xfId="40885" xr:uid="{00000000-0005-0000-0000-00009E7D0000}"/>
    <cellStyle name="Note 4 4 2 3 4 2 2 13" xfId="44716" xr:uid="{00000000-0005-0000-0000-00009F7D0000}"/>
    <cellStyle name="Note 4 4 2 3 4 2 2 2" xfId="3827" xr:uid="{00000000-0005-0000-0000-0000A07D0000}"/>
    <cellStyle name="Note 4 4 2 3 4 2 2 2 10" xfId="38878" xr:uid="{00000000-0005-0000-0000-0000A17D0000}"/>
    <cellStyle name="Note 4 4 2 3 4 2 2 2 11" xfId="42889" xr:uid="{00000000-0005-0000-0000-0000A27D0000}"/>
    <cellStyle name="Note 4 4 2 3 4 2 2 2 12" xfId="46654" xr:uid="{00000000-0005-0000-0000-0000A37D0000}"/>
    <cellStyle name="Note 4 4 2 3 4 2 2 2 2" xfId="7694" xr:uid="{00000000-0005-0000-0000-0000A47D0000}"/>
    <cellStyle name="Note 4 4 2 3 4 2 2 2 3" xfId="12129" xr:uid="{00000000-0005-0000-0000-0000A57D0000}"/>
    <cellStyle name="Note 4 4 2 3 4 2 2 2 4" xfId="15974" xr:uid="{00000000-0005-0000-0000-0000A67D0000}"/>
    <cellStyle name="Note 4 4 2 3 4 2 2 2 5" xfId="19821" xr:uid="{00000000-0005-0000-0000-0000A77D0000}"/>
    <cellStyle name="Note 4 4 2 3 4 2 2 2 6" xfId="23737" xr:uid="{00000000-0005-0000-0000-0000A87D0000}"/>
    <cellStyle name="Note 4 4 2 3 4 2 2 2 7" xfId="27571" xr:uid="{00000000-0005-0000-0000-0000A97D0000}"/>
    <cellStyle name="Note 4 4 2 3 4 2 2 2 8" xfId="31435" xr:uid="{00000000-0005-0000-0000-0000AA7D0000}"/>
    <cellStyle name="Note 4 4 2 3 4 2 2 2 9" xfId="35092" xr:uid="{00000000-0005-0000-0000-0000AB7D0000}"/>
    <cellStyle name="Note 4 4 2 3 4 2 2 3" xfId="5770" xr:uid="{00000000-0005-0000-0000-0000AC7D0000}"/>
    <cellStyle name="Note 4 4 2 3 4 2 2 4" xfId="10128" xr:uid="{00000000-0005-0000-0000-0000AD7D0000}"/>
    <cellStyle name="Note 4 4 2 3 4 2 2 5" xfId="13974" xr:uid="{00000000-0005-0000-0000-0000AE7D0000}"/>
    <cellStyle name="Note 4 4 2 3 4 2 2 6" xfId="17803" xr:uid="{00000000-0005-0000-0000-0000AF7D0000}"/>
    <cellStyle name="Note 4 4 2 3 4 2 2 7" xfId="21742" xr:uid="{00000000-0005-0000-0000-0000B07D0000}"/>
    <cellStyle name="Note 4 4 2 3 4 2 2 8" xfId="25555" xr:uid="{00000000-0005-0000-0000-0000B17D0000}"/>
    <cellStyle name="Note 4 4 2 3 4 2 2 9" xfId="29442" xr:uid="{00000000-0005-0000-0000-0000B27D0000}"/>
    <cellStyle name="Note 4 4 2 3 4 2 3" xfId="3100" xr:uid="{00000000-0005-0000-0000-0000B37D0000}"/>
    <cellStyle name="Note 4 4 2 3 4 2 3 10" xfId="38152" xr:uid="{00000000-0005-0000-0000-0000B47D0000}"/>
    <cellStyle name="Note 4 4 2 3 4 2 3 11" xfId="42164" xr:uid="{00000000-0005-0000-0000-0000B57D0000}"/>
    <cellStyle name="Note 4 4 2 3 4 2 3 12" xfId="45937" xr:uid="{00000000-0005-0000-0000-0000B67D0000}"/>
    <cellStyle name="Note 4 4 2 3 4 2 3 2" xfId="6976" xr:uid="{00000000-0005-0000-0000-0000B77D0000}"/>
    <cellStyle name="Note 4 4 2 3 4 2 3 3" xfId="11405" xr:uid="{00000000-0005-0000-0000-0000B87D0000}"/>
    <cellStyle name="Note 4 4 2 3 4 2 3 4" xfId="15249" xr:uid="{00000000-0005-0000-0000-0000B97D0000}"/>
    <cellStyle name="Note 4 4 2 3 4 2 3 5" xfId="19094" xr:uid="{00000000-0005-0000-0000-0000BA7D0000}"/>
    <cellStyle name="Note 4 4 2 3 4 2 3 6" xfId="23016" xr:uid="{00000000-0005-0000-0000-0000BB7D0000}"/>
    <cellStyle name="Note 4 4 2 3 4 2 3 7" xfId="26845" xr:uid="{00000000-0005-0000-0000-0000BC7D0000}"/>
    <cellStyle name="Note 4 4 2 3 4 2 3 8" xfId="30718" xr:uid="{00000000-0005-0000-0000-0000BD7D0000}"/>
    <cellStyle name="Note 4 4 2 3 4 2 3 9" xfId="34375" xr:uid="{00000000-0005-0000-0000-0000BE7D0000}"/>
    <cellStyle name="Note 4 4 2 3 4 2 4" xfId="5052" xr:uid="{00000000-0005-0000-0000-0000BF7D0000}"/>
    <cellStyle name="Note 4 4 2 3 4 2 5" xfId="9408" xr:uid="{00000000-0005-0000-0000-0000C07D0000}"/>
    <cellStyle name="Note 4 4 2 3 4 2 6" xfId="13248" xr:uid="{00000000-0005-0000-0000-0000C17D0000}"/>
    <cellStyle name="Note 4 4 2 3 4 2 7" xfId="17076" xr:uid="{00000000-0005-0000-0000-0000C27D0000}"/>
    <cellStyle name="Note 4 4 2 3 4 2 8" xfId="21018" xr:uid="{00000000-0005-0000-0000-0000C37D0000}"/>
    <cellStyle name="Note 4 4 2 3 4 2 9" xfId="24832" xr:uid="{00000000-0005-0000-0000-0000C47D0000}"/>
    <cellStyle name="Note 4 4 2 3 4 3" xfId="1484" xr:uid="{00000000-0005-0000-0000-0000C57D0000}"/>
    <cellStyle name="Note 4 4 2 3 4 3 10" xfId="32771" xr:uid="{00000000-0005-0000-0000-0000C67D0000}"/>
    <cellStyle name="Note 4 4 2 3 4 3 11" xfId="36541" xr:uid="{00000000-0005-0000-0000-0000C77D0000}"/>
    <cellStyle name="Note 4 4 2 3 4 3 12" xfId="40532" xr:uid="{00000000-0005-0000-0000-0000C87D0000}"/>
    <cellStyle name="Note 4 4 2 3 4 3 13" xfId="44363" xr:uid="{00000000-0005-0000-0000-0000C97D0000}"/>
    <cellStyle name="Note 4 4 2 3 4 3 2" xfId="3474" xr:uid="{00000000-0005-0000-0000-0000CA7D0000}"/>
    <cellStyle name="Note 4 4 2 3 4 3 2 10" xfId="38525" xr:uid="{00000000-0005-0000-0000-0000CB7D0000}"/>
    <cellStyle name="Note 4 4 2 3 4 3 2 11" xfId="42536" xr:uid="{00000000-0005-0000-0000-0000CC7D0000}"/>
    <cellStyle name="Note 4 4 2 3 4 3 2 12" xfId="46301" xr:uid="{00000000-0005-0000-0000-0000CD7D0000}"/>
    <cellStyle name="Note 4 4 2 3 4 3 2 2" xfId="7341" xr:uid="{00000000-0005-0000-0000-0000CE7D0000}"/>
    <cellStyle name="Note 4 4 2 3 4 3 2 3" xfId="11776" xr:uid="{00000000-0005-0000-0000-0000CF7D0000}"/>
    <cellStyle name="Note 4 4 2 3 4 3 2 4" xfId="15621" xr:uid="{00000000-0005-0000-0000-0000D07D0000}"/>
    <cellStyle name="Note 4 4 2 3 4 3 2 5" xfId="19468" xr:uid="{00000000-0005-0000-0000-0000D17D0000}"/>
    <cellStyle name="Note 4 4 2 3 4 3 2 6" xfId="23384" xr:uid="{00000000-0005-0000-0000-0000D27D0000}"/>
    <cellStyle name="Note 4 4 2 3 4 3 2 7" xfId="27218" xr:uid="{00000000-0005-0000-0000-0000D37D0000}"/>
    <cellStyle name="Note 4 4 2 3 4 3 2 8" xfId="31085" xr:uid="{00000000-0005-0000-0000-0000D47D0000}"/>
    <cellStyle name="Note 4 4 2 3 4 3 2 9" xfId="34739" xr:uid="{00000000-0005-0000-0000-0000D57D0000}"/>
    <cellStyle name="Note 4 4 2 3 4 3 3" xfId="5417" xr:uid="{00000000-0005-0000-0000-0000D67D0000}"/>
    <cellStyle name="Note 4 4 2 3 4 3 4" xfId="9775" xr:uid="{00000000-0005-0000-0000-0000D77D0000}"/>
    <cellStyle name="Note 4 4 2 3 4 3 5" xfId="13621" xr:uid="{00000000-0005-0000-0000-0000D87D0000}"/>
    <cellStyle name="Note 4 4 2 3 4 3 6" xfId="17450" xr:uid="{00000000-0005-0000-0000-0000D97D0000}"/>
    <cellStyle name="Note 4 4 2 3 4 3 7" xfId="21389" xr:uid="{00000000-0005-0000-0000-0000DA7D0000}"/>
    <cellStyle name="Note 4 4 2 3 4 3 8" xfId="25202" xr:uid="{00000000-0005-0000-0000-0000DB7D0000}"/>
    <cellStyle name="Note 4 4 2 3 4 3 9" xfId="29089" xr:uid="{00000000-0005-0000-0000-0000DC7D0000}"/>
    <cellStyle name="Note 4 4 2 3 4 4" xfId="2734" xr:uid="{00000000-0005-0000-0000-0000DD7D0000}"/>
    <cellStyle name="Note 4 4 2 3 4 4 10" xfId="37786" xr:uid="{00000000-0005-0000-0000-0000DE7D0000}"/>
    <cellStyle name="Note 4 4 2 3 4 4 11" xfId="41800" xr:uid="{00000000-0005-0000-0000-0000DF7D0000}"/>
    <cellStyle name="Note 4 4 2 3 4 4 12" xfId="45584" xr:uid="{00000000-0005-0000-0000-0000E07D0000}"/>
    <cellStyle name="Note 4 4 2 3 4 4 2" xfId="6621" xr:uid="{00000000-0005-0000-0000-0000E17D0000}"/>
    <cellStyle name="Note 4 4 2 3 4 4 3" xfId="11045" xr:uid="{00000000-0005-0000-0000-0000E27D0000}"/>
    <cellStyle name="Note 4 4 2 3 4 4 4" xfId="14890" xr:uid="{00000000-0005-0000-0000-0000E37D0000}"/>
    <cellStyle name="Note 4 4 2 3 4 4 5" xfId="18728" xr:uid="{00000000-0005-0000-0000-0000E47D0000}"/>
    <cellStyle name="Note 4 4 2 3 4 4 6" xfId="22659" xr:uid="{00000000-0005-0000-0000-0000E57D0000}"/>
    <cellStyle name="Note 4 4 2 3 4 4 7" xfId="26479" xr:uid="{00000000-0005-0000-0000-0000E67D0000}"/>
    <cellStyle name="Note 4 4 2 3 4 4 8" xfId="30358" xr:uid="{00000000-0005-0000-0000-0000E77D0000}"/>
    <cellStyle name="Note 4 4 2 3 4 4 9" xfId="34022" xr:uid="{00000000-0005-0000-0000-0000E87D0000}"/>
    <cellStyle name="Note 4 4 2 3 4 5" xfId="4697" xr:uid="{00000000-0005-0000-0000-0000E97D0000}"/>
    <cellStyle name="Note 4 4 2 3 4 6" xfId="9039" xr:uid="{00000000-0005-0000-0000-0000EA7D0000}"/>
    <cellStyle name="Note 4 4 2 3 4 7" xfId="12877" xr:uid="{00000000-0005-0000-0000-0000EB7D0000}"/>
    <cellStyle name="Note 4 4 2 3 4 8" xfId="16707" xr:uid="{00000000-0005-0000-0000-0000EC7D0000}"/>
    <cellStyle name="Note 4 4 2 3 4 9" xfId="20644" xr:uid="{00000000-0005-0000-0000-0000ED7D0000}"/>
    <cellStyle name="Note 4 4 2 3 5" xfId="872" xr:uid="{00000000-0005-0000-0000-0000EE7D0000}"/>
    <cellStyle name="Note 4 4 2 3 5 10" xfId="24596" xr:uid="{00000000-0005-0000-0000-0000EF7D0000}"/>
    <cellStyle name="Note 4 4 2 3 5 11" xfId="28486" xr:uid="{00000000-0005-0000-0000-0000F07D0000}"/>
    <cellStyle name="Note 4 4 2 3 5 12" xfId="32173" xr:uid="{00000000-0005-0000-0000-0000F17D0000}"/>
    <cellStyle name="Note 4 4 2 3 5 13" xfId="35930" xr:uid="{00000000-0005-0000-0000-0000F27D0000}"/>
    <cellStyle name="Note 4 4 2 3 5 14" xfId="39940" xr:uid="{00000000-0005-0000-0000-0000F37D0000}"/>
    <cellStyle name="Note 4 4 2 3 5 15" xfId="43756" xr:uid="{00000000-0005-0000-0000-0000F47D0000}"/>
    <cellStyle name="Note 4 4 2 3 5 2" xfId="1209" xr:uid="{00000000-0005-0000-0000-0000F57D0000}"/>
    <cellStyle name="Note 4 4 2 3 5 2 10" xfId="28817" xr:uid="{00000000-0005-0000-0000-0000F67D0000}"/>
    <cellStyle name="Note 4 4 2 3 5 2 11" xfId="32501" xr:uid="{00000000-0005-0000-0000-0000F77D0000}"/>
    <cellStyle name="Note 4 4 2 3 5 2 12" xfId="36267" xr:uid="{00000000-0005-0000-0000-0000F87D0000}"/>
    <cellStyle name="Note 4 4 2 3 5 2 13" xfId="40260" xr:uid="{00000000-0005-0000-0000-0000F97D0000}"/>
    <cellStyle name="Note 4 4 2 3 5 2 14" xfId="44093" xr:uid="{00000000-0005-0000-0000-0000FA7D0000}"/>
    <cellStyle name="Note 4 4 2 3 5 2 2" xfId="1931" xr:uid="{00000000-0005-0000-0000-0000FB7D0000}"/>
    <cellStyle name="Note 4 4 2 3 5 2 2 10" xfId="33218" xr:uid="{00000000-0005-0000-0000-0000FC7D0000}"/>
    <cellStyle name="Note 4 4 2 3 5 2 2 11" xfId="36988" xr:uid="{00000000-0005-0000-0000-0000FD7D0000}"/>
    <cellStyle name="Note 4 4 2 3 5 2 2 12" xfId="40979" xr:uid="{00000000-0005-0000-0000-0000FE7D0000}"/>
    <cellStyle name="Note 4 4 2 3 5 2 2 13" xfId="44810" xr:uid="{00000000-0005-0000-0000-0000FF7D0000}"/>
    <cellStyle name="Note 4 4 2 3 5 2 2 2" xfId="3921" xr:uid="{00000000-0005-0000-0000-0000007E0000}"/>
    <cellStyle name="Note 4 4 2 3 5 2 2 2 10" xfId="38972" xr:uid="{00000000-0005-0000-0000-0000017E0000}"/>
    <cellStyle name="Note 4 4 2 3 5 2 2 2 11" xfId="42983" xr:uid="{00000000-0005-0000-0000-0000027E0000}"/>
    <cellStyle name="Note 4 4 2 3 5 2 2 2 12" xfId="46748" xr:uid="{00000000-0005-0000-0000-0000037E0000}"/>
    <cellStyle name="Note 4 4 2 3 5 2 2 2 2" xfId="7788" xr:uid="{00000000-0005-0000-0000-0000047E0000}"/>
    <cellStyle name="Note 4 4 2 3 5 2 2 2 3" xfId="12223" xr:uid="{00000000-0005-0000-0000-0000057E0000}"/>
    <cellStyle name="Note 4 4 2 3 5 2 2 2 4" xfId="16068" xr:uid="{00000000-0005-0000-0000-0000067E0000}"/>
    <cellStyle name="Note 4 4 2 3 5 2 2 2 5" xfId="19915" xr:uid="{00000000-0005-0000-0000-0000077E0000}"/>
    <cellStyle name="Note 4 4 2 3 5 2 2 2 6" xfId="23831" xr:uid="{00000000-0005-0000-0000-0000087E0000}"/>
    <cellStyle name="Note 4 4 2 3 5 2 2 2 7" xfId="27665" xr:uid="{00000000-0005-0000-0000-0000097E0000}"/>
    <cellStyle name="Note 4 4 2 3 5 2 2 2 8" xfId="31526" xr:uid="{00000000-0005-0000-0000-00000A7E0000}"/>
    <cellStyle name="Note 4 4 2 3 5 2 2 2 9" xfId="35186" xr:uid="{00000000-0005-0000-0000-00000B7E0000}"/>
    <cellStyle name="Note 4 4 2 3 5 2 2 3" xfId="5864" xr:uid="{00000000-0005-0000-0000-00000C7E0000}"/>
    <cellStyle name="Note 4 4 2 3 5 2 2 4" xfId="10222" xr:uid="{00000000-0005-0000-0000-00000D7E0000}"/>
    <cellStyle name="Note 4 4 2 3 5 2 2 5" xfId="14068" xr:uid="{00000000-0005-0000-0000-00000E7E0000}"/>
    <cellStyle name="Note 4 4 2 3 5 2 2 6" xfId="17897" xr:uid="{00000000-0005-0000-0000-00000F7E0000}"/>
    <cellStyle name="Note 4 4 2 3 5 2 2 7" xfId="21836" xr:uid="{00000000-0005-0000-0000-0000107E0000}"/>
    <cellStyle name="Note 4 4 2 3 5 2 2 8" xfId="25649" xr:uid="{00000000-0005-0000-0000-0000117E0000}"/>
    <cellStyle name="Note 4 4 2 3 5 2 2 9" xfId="29536" xr:uid="{00000000-0005-0000-0000-0000127E0000}"/>
    <cellStyle name="Note 4 4 2 3 5 2 3" xfId="3199" xr:uid="{00000000-0005-0000-0000-0000137E0000}"/>
    <cellStyle name="Note 4 4 2 3 5 2 3 10" xfId="38251" xr:uid="{00000000-0005-0000-0000-0000147E0000}"/>
    <cellStyle name="Note 4 4 2 3 5 2 3 11" xfId="42262" xr:uid="{00000000-0005-0000-0000-0000157E0000}"/>
    <cellStyle name="Note 4 4 2 3 5 2 3 12" xfId="46031" xr:uid="{00000000-0005-0000-0000-0000167E0000}"/>
    <cellStyle name="Note 4 4 2 3 5 2 3 2" xfId="7071" xr:uid="{00000000-0005-0000-0000-0000177E0000}"/>
    <cellStyle name="Note 4 4 2 3 5 2 3 3" xfId="11503" xr:uid="{00000000-0005-0000-0000-0000187E0000}"/>
    <cellStyle name="Note 4 4 2 3 5 2 3 4" xfId="15347" xr:uid="{00000000-0005-0000-0000-0000197E0000}"/>
    <cellStyle name="Note 4 4 2 3 5 2 3 5" xfId="19193" xr:uid="{00000000-0005-0000-0000-00001A7E0000}"/>
    <cellStyle name="Note 4 4 2 3 5 2 3 6" xfId="23112" xr:uid="{00000000-0005-0000-0000-00001B7E0000}"/>
    <cellStyle name="Note 4 4 2 3 5 2 3 7" xfId="26944" xr:uid="{00000000-0005-0000-0000-00001C7E0000}"/>
    <cellStyle name="Note 4 4 2 3 5 2 3 8" xfId="30814" xr:uid="{00000000-0005-0000-0000-00001D7E0000}"/>
    <cellStyle name="Note 4 4 2 3 5 2 3 9" xfId="34469" xr:uid="{00000000-0005-0000-0000-00001E7E0000}"/>
    <cellStyle name="Note 4 4 2 3 5 2 4" xfId="5147" xr:uid="{00000000-0005-0000-0000-00001F7E0000}"/>
    <cellStyle name="Note 4 4 2 3 5 2 5" xfId="9503" xr:uid="{00000000-0005-0000-0000-0000207E0000}"/>
    <cellStyle name="Note 4 4 2 3 5 2 6" xfId="13347" xr:uid="{00000000-0005-0000-0000-0000217E0000}"/>
    <cellStyle name="Note 4 4 2 3 5 2 7" xfId="17175" xr:uid="{00000000-0005-0000-0000-0000227E0000}"/>
    <cellStyle name="Note 4 4 2 3 5 2 8" xfId="21117" xr:uid="{00000000-0005-0000-0000-0000237E0000}"/>
    <cellStyle name="Note 4 4 2 3 5 2 9" xfId="24928" xr:uid="{00000000-0005-0000-0000-0000247E0000}"/>
    <cellStyle name="Note 4 4 2 3 5 3" xfId="1603" xr:uid="{00000000-0005-0000-0000-0000257E0000}"/>
    <cellStyle name="Note 4 4 2 3 5 3 10" xfId="32890" xr:uid="{00000000-0005-0000-0000-0000267E0000}"/>
    <cellStyle name="Note 4 4 2 3 5 3 11" xfId="36660" xr:uid="{00000000-0005-0000-0000-0000277E0000}"/>
    <cellStyle name="Note 4 4 2 3 5 3 12" xfId="40651" xr:uid="{00000000-0005-0000-0000-0000287E0000}"/>
    <cellStyle name="Note 4 4 2 3 5 3 13" xfId="44482" xr:uid="{00000000-0005-0000-0000-0000297E0000}"/>
    <cellStyle name="Note 4 4 2 3 5 3 2" xfId="3593" xr:uid="{00000000-0005-0000-0000-00002A7E0000}"/>
    <cellStyle name="Note 4 4 2 3 5 3 2 10" xfId="38644" xr:uid="{00000000-0005-0000-0000-00002B7E0000}"/>
    <cellStyle name="Note 4 4 2 3 5 3 2 11" xfId="42655" xr:uid="{00000000-0005-0000-0000-00002C7E0000}"/>
    <cellStyle name="Note 4 4 2 3 5 3 2 12" xfId="46420" xr:uid="{00000000-0005-0000-0000-00002D7E0000}"/>
    <cellStyle name="Note 4 4 2 3 5 3 2 2" xfId="7460" xr:uid="{00000000-0005-0000-0000-00002E7E0000}"/>
    <cellStyle name="Note 4 4 2 3 5 3 2 3" xfId="11895" xr:uid="{00000000-0005-0000-0000-00002F7E0000}"/>
    <cellStyle name="Note 4 4 2 3 5 3 2 4" xfId="15740" xr:uid="{00000000-0005-0000-0000-0000307E0000}"/>
    <cellStyle name="Note 4 4 2 3 5 3 2 5" xfId="19587" xr:uid="{00000000-0005-0000-0000-0000317E0000}"/>
    <cellStyle name="Note 4 4 2 3 5 3 2 6" xfId="23503" xr:uid="{00000000-0005-0000-0000-0000327E0000}"/>
    <cellStyle name="Note 4 4 2 3 5 3 2 7" xfId="27337" xr:uid="{00000000-0005-0000-0000-0000337E0000}"/>
    <cellStyle name="Note 4 4 2 3 5 3 2 8" xfId="31202" xr:uid="{00000000-0005-0000-0000-0000347E0000}"/>
    <cellStyle name="Note 4 4 2 3 5 3 2 9" xfId="34858" xr:uid="{00000000-0005-0000-0000-0000357E0000}"/>
    <cellStyle name="Note 4 4 2 3 5 3 3" xfId="5536" xr:uid="{00000000-0005-0000-0000-0000367E0000}"/>
    <cellStyle name="Note 4 4 2 3 5 3 4" xfId="9894" xr:uid="{00000000-0005-0000-0000-0000377E0000}"/>
    <cellStyle name="Note 4 4 2 3 5 3 5" xfId="13740" xr:uid="{00000000-0005-0000-0000-0000387E0000}"/>
    <cellStyle name="Note 4 4 2 3 5 3 6" xfId="17569" xr:uid="{00000000-0005-0000-0000-0000397E0000}"/>
    <cellStyle name="Note 4 4 2 3 5 3 7" xfId="21508" xr:uid="{00000000-0005-0000-0000-00003A7E0000}"/>
    <cellStyle name="Note 4 4 2 3 5 3 8" xfId="25321" xr:uid="{00000000-0005-0000-0000-00003B7E0000}"/>
    <cellStyle name="Note 4 4 2 3 5 3 9" xfId="29208" xr:uid="{00000000-0005-0000-0000-00003C7E0000}"/>
    <cellStyle name="Note 4 4 2 3 5 4" xfId="2862" xr:uid="{00000000-0005-0000-0000-00003D7E0000}"/>
    <cellStyle name="Note 4 4 2 3 5 4 10" xfId="37914" xr:uid="{00000000-0005-0000-0000-00003E7E0000}"/>
    <cellStyle name="Note 4 4 2 3 5 4 11" xfId="41926" xr:uid="{00000000-0005-0000-0000-00003F7E0000}"/>
    <cellStyle name="Note 4 4 2 3 5 4 12" xfId="45703" xr:uid="{00000000-0005-0000-0000-0000407E0000}"/>
    <cellStyle name="Note 4 4 2 3 5 4 2" xfId="6742" xr:uid="{00000000-0005-0000-0000-0000417E0000}"/>
    <cellStyle name="Note 4 4 2 3 5 4 3" xfId="11169" xr:uid="{00000000-0005-0000-0000-0000427E0000}"/>
    <cellStyle name="Note 4 4 2 3 5 4 4" xfId="15014" xr:uid="{00000000-0005-0000-0000-0000437E0000}"/>
    <cellStyle name="Note 4 4 2 3 5 4 5" xfId="18856" xr:uid="{00000000-0005-0000-0000-0000447E0000}"/>
    <cellStyle name="Note 4 4 2 3 5 4 6" xfId="22782" xr:uid="{00000000-0005-0000-0000-0000457E0000}"/>
    <cellStyle name="Note 4 4 2 3 5 4 7" xfId="26607" xr:uid="{00000000-0005-0000-0000-0000467E0000}"/>
    <cellStyle name="Note 4 4 2 3 5 4 8" xfId="30483" xr:uid="{00000000-0005-0000-0000-0000477E0000}"/>
    <cellStyle name="Note 4 4 2 3 5 4 9" xfId="34141" xr:uid="{00000000-0005-0000-0000-0000487E0000}"/>
    <cellStyle name="Note 4 4 2 3 5 5" xfId="4818" xr:uid="{00000000-0005-0000-0000-0000497E0000}"/>
    <cellStyle name="Note 4 4 2 3 5 6" xfId="9172" xr:uid="{00000000-0005-0000-0000-00004A7E0000}"/>
    <cellStyle name="Note 4 4 2 3 5 7" xfId="13013" xr:uid="{00000000-0005-0000-0000-00004B7E0000}"/>
    <cellStyle name="Note 4 4 2 3 5 8" xfId="16838" xr:uid="{00000000-0005-0000-0000-00004C7E0000}"/>
    <cellStyle name="Note 4 4 2 3 5 9" xfId="20780" xr:uid="{00000000-0005-0000-0000-00004D7E0000}"/>
    <cellStyle name="Note 4 4 2 3 6" xfId="918" xr:uid="{00000000-0005-0000-0000-00004E7E0000}"/>
    <cellStyle name="Note 4 4 2 3 6 10" xfId="28530" xr:uid="{00000000-0005-0000-0000-00004F7E0000}"/>
    <cellStyle name="Note 4 4 2 3 6 11" xfId="32219" xr:uid="{00000000-0005-0000-0000-0000507E0000}"/>
    <cellStyle name="Note 4 4 2 3 6 12" xfId="35976" xr:uid="{00000000-0005-0000-0000-0000517E0000}"/>
    <cellStyle name="Note 4 4 2 3 6 13" xfId="39984" xr:uid="{00000000-0005-0000-0000-0000527E0000}"/>
    <cellStyle name="Note 4 4 2 3 6 14" xfId="43802" xr:uid="{00000000-0005-0000-0000-0000537E0000}"/>
    <cellStyle name="Note 4 4 2 3 6 2" xfId="1649" xr:uid="{00000000-0005-0000-0000-0000547E0000}"/>
    <cellStyle name="Note 4 4 2 3 6 2 10" xfId="32936" xr:uid="{00000000-0005-0000-0000-0000557E0000}"/>
    <cellStyle name="Note 4 4 2 3 6 2 11" xfId="36706" xr:uid="{00000000-0005-0000-0000-0000567E0000}"/>
    <cellStyle name="Note 4 4 2 3 6 2 12" xfId="40697" xr:uid="{00000000-0005-0000-0000-0000577E0000}"/>
    <cellStyle name="Note 4 4 2 3 6 2 13" xfId="44528" xr:uid="{00000000-0005-0000-0000-0000587E0000}"/>
    <cellStyle name="Note 4 4 2 3 6 2 2" xfId="3639" xr:uid="{00000000-0005-0000-0000-0000597E0000}"/>
    <cellStyle name="Note 4 4 2 3 6 2 2 10" xfId="38690" xr:uid="{00000000-0005-0000-0000-00005A7E0000}"/>
    <cellStyle name="Note 4 4 2 3 6 2 2 11" xfId="42701" xr:uid="{00000000-0005-0000-0000-00005B7E0000}"/>
    <cellStyle name="Note 4 4 2 3 6 2 2 12" xfId="46466" xr:uid="{00000000-0005-0000-0000-00005C7E0000}"/>
    <cellStyle name="Note 4 4 2 3 6 2 2 2" xfId="7506" xr:uid="{00000000-0005-0000-0000-00005D7E0000}"/>
    <cellStyle name="Note 4 4 2 3 6 2 2 3" xfId="11941" xr:uid="{00000000-0005-0000-0000-00005E7E0000}"/>
    <cellStyle name="Note 4 4 2 3 6 2 2 4" xfId="15786" xr:uid="{00000000-0005-0000-0000-00005F7E0000}"/>
    <cellStyle name="Note 4 4 2 3 6 2 2 5" xfId="19633" xr:uid="{00000000-0005-0000-0000-0000607E0000}"/>
    <cellStyle name="Note 4 4 2 3 6 2 2 6" xfId="23549" xr:uid="{00000000-0005-0000-0000-0000617E0000}"/>
    <cellStyle name="Note 4 4 2 3 6 2 2 7" xfId="27383" xr:uid="{00000000-0005-0000-0000-0000627E0000}"/>
    <cellStyle name="Note 4 4 2 3 6 2 2 8" xfId="31247" xr:uid="{00000000-0005-0000-0000-0000637E0000}"/>
    <cellStyle name="Note 4 4 2 3 6 2 2 9" xfId="34904" xr:uid="{00000000-0005-0000-0000-0000647E0000}"/>
    <cellStyle name="Note 4 4 2 3 6 2 3" xfId="5582" xr:uid="{00000000-0005-0000-0000-0000657E0000}"/>
    <cellStyle name="Note 4 4 2 3 6 2 4" xfId="9940" xr:uid="{00000000-0005-0000-0000-0000667E0000}"/>
    <cellStyle name="Note 4 4 2 3 6 2 5" xfId="13786" xr:uid="{00000000-0005-0000-0000-0000677E0000}"/>
    <cellStyle name="Note 4 4 2 3 6 2 6" xfId="17615" xr:uid="{00000000-0005-0000-0000-0000687E0000}"/>
    <cellStyle name="Note 4 4 2 3 6 2 7" xfId="21554" xr:uid="{00000000-0005-0000-0000-0000697E0000}"/>
    <cellStyle name="Note 4 4 2 3 6 2 8" xfId="25367" xr:uid="{00000000-0005-0000-0000-00006A7E0000}"/>
    <cellStyle name="Note 4 4 2 3 6 2 9" xfId="29254" xr:uid="{00000000-0005-0000-0000-00006B7E0000}"/>
    <cellStyle name="Note 4 4 2 3 6 3" xfId="2908" xr:uid="{00000000-0005-0000-0000-00006C7E0000}"/>
    <cellStyle name="Note 4 4 2 3 6 3 10" xfId="37960" xr:uid="{00000000-0005-0000-0000-00006D7E0000}"/>
    <cellStyle name="Note 4 4 2 3 6 3 11" xfId="41972" xr:uid="{00000000-0005-0000-0000-00006E7E0000}"/>
    <cellStyle name="Note 4 4 2 3 6 3 12" xfId="45749" xr:uid="{00000000-0005-0000-0000-00006F7E0000}"/>
    <cellStyle name="Note 4 4 2 3 6 3 2" xfId="6788" xr:uid="{00000000-0005-0000-0000-0000707E0000}"/>
    <cellStyle name="Note 4 4 2 3 6 3 3" xfId="11215" xr:uid="{00000000-0005-0000-0000-0000717E0000}"/>
    <cellStyle name="Note 4 4 2 3 6 3 4" xfId="15060" xr:uid="{00000000-0005-0000-0000-0000727E0000}"/>
    <cellStyle name="Note 4 4 2 3 6 3 5" xfId="18902" xr:uid="{00000000-0005-0000-0000-0000737E0000}"/>
    <cellStyle name="Note 4 4 2 3 6 3 6" xfId="22828" xr:uid="{00000000-0005-0000-0000-0000747E0000}"/>
    <cellStyle name="Note 4 4 2 3 6 3 7" xfId="26653" xr:uid="{00000000-0005-0000-0000-0000757E0000}"/>
    <cellStyle name="Note 4 4 2 3 6 3 8" xfId="30528" xr:uid="{00000000-0005-0000-0000-0000767E0000}"/>
    <cellStyle name="Note 4 4 2 3 6 3 9" xfId="34187" xr:uid="{00000000-0005-0000-0000-0000777E0000}"/>
    <cellStyle name="Note 4 4 2 3 6 4" xfId="4864" xr:uid="{00000000-0005-0000-0000-0000787E0000}"/>
    <cellStyle name="Note 4 4 2 3 6 5" xfId="9218" xr:uid="{00000000-0005-0000-0000-0000797E0000}"/>
    <cellStyle name="Note 4 4 2 3 6 6" xfId="13059" xr:uid="{00000000-0005-0000-0000-00007A7E0000}"/>
    <cellStyle name="Note 4 4 2 3 6 7" xfId="16884" xr:uid="{00000000-0005-0000-0000-00007B7E0000}"/>
    <cellStyle name="Note 4 4 2 3 6 8" xfId="20826" xr:uid="{00000000-0005-0000-0000-00007C7E0000}"/>
    <cellStyle name="Note 4 4 2 3 6 9" xfId="24642" xr:uid="{00000000-0005-0000-0000-00007D7E0000}"/>
    <cellStyle name="Note 4 4 2 3 7" xfId="1296" xr:uid="{00000000-0005-0000-0000-00007E7E0000}"/>
    <cellStyle name="Note 4 4 2 3 7 10" xfId="32583" xr:uid="{00000000-0005-0000-0000-00007F7E0000}"/>
    <cellStyle name="Note 4 4 2 3 7 11" xfId="36353" xr:uid="{00000000-0005-0000-0000-0000807E0000}"/>
    <cellStyle name="Note 4 4 2 3 7 12" xfId="40344" xr:uid="{00000000-0005-0000-0000-0000817E0000}"/>
    <cellStyle name="Note 4 4 2 3 7 13" xfId="44175" xr:uid="{00000000-0005-0000-0000-0000827E0000}"/>
    <cellStyle name="Note 4 4 2 3 7 2" xfId="3286" xr:uid="{00000000-0005-0000-0000-0000837E0000}"/>
    <cellStyle name="Note 4 4 2 3 7 2 10" xfId="38337" xr:uid="{00000000-0005-0000-0000-0000847E0000}"/>
    <cellStyle name="Note 4 4 2 3 7 2 11" xfId="42348" xr:uid="{00000000-0005-0000-0000-0000857E0000}"/>
    <cellStyle name="Note 4 4 2 3 7 2 12" xfId="46113" xr:uid="{00000000-0005-0000-0000-0000867E0000}"/>
    <cellStyle name="Note 4 4 2 3 7 2 2" xfId="7153" xr:uid="{00000000-0005-0000-0000-0000877E0000}"/>
    <cellStyle name="Note 4 4 2 3 7 2 3" xfId="11588" xr:uid="{00000000-0005-0000-0000-0000887E0000}"/>
    <cellStyle name="Note 4 4 2 3 7 2 4" xfId="15433" xr:uid="{00000000-0005-0000-0000-0000897E0000}"/>
    <cellStyle name="Note 4 4 2 3 7 2 5" xfId="19280" xr:uid="{00000000-0005-0000-0000-00008A7E0000}"/>
    <cellStyle name="Note 4 4 2 3 7 2 6" xfId="23196" xr:uid="{00000000-0005-0000-0000-00008B7E0000}"/>
    <cellStyle name="Note 4 4 2 3 7 2 7" xfId="27030" xr:uid="{00000000-0005-0000-0000-00008C7E0000}"/>
    <cellStyle name="Note 4 4 2 3 7 2 8" xfId="30899" xr:uid="{00000000-0005-0000-0000-00008D7E0000}"/>
    <cellStyle name="Note 4 4 2 3 7 2 9" xfId="34551" xr:uid="{00000000-0005-0000-0000-00008E7E0000}"/>
    <cellStyle name="Note 4 4 2 3 7 3" xfId="5229" xr:uid="{00000000-0005-0000-0000-00008F7E0000}"/>
    <cellStyle name="Note 4 4 2 3 7 4" xfId="9587" xr:uid="{00000000-0005-0000-0000-0000907E0000}"/>
    <cellStyle name="Note 4 4 2 3 7 5" xfId="13433" xr:uid="{00000000-0005-0000-0000-0000917E0000}"/>
    <cellStyle name="Note 4 4 2 3 7 6" xfId="17262" xr:uid="{00000000-0005-0000-0000-0000927E0000}"/>
    <cellStyle name="Note 4 4 2 3 7 7" xfId="21201" xr:uid="{00000000-0005-0000-0000-0000937E0000}"/>
    <cellStyle name="Note 4 4 2 3 7 8" xfId="25014" xr:uid="{00000000-0005-0000-0000-0000947E0000}"/>
    <cellStyle name="Note 4 4 2 3 7 9" xfId="28901" xr:uid="{00000000-0005-0000-0000-0000957E0000}"/>
    <cellStyle name="Note 4 4 2 3 8" xfId="1991" xr:uid="{00000000-0005-0000-0000-0000967E0000}"/>
    <cellStyle name="Note 4 4 2 3 8 10" xfId="33278" xr:uid="{00000000-0005-0000-0000-0000977E0000}"/>
    <cellStyle name="Note 4 4 2 3 8 11" xfId="37047" xr:uid="{00000000-0005-0000-0000-0000987E0000}"/>
    <cellStyle name="Note 4 4 2 3 8 12" xfId="41039" xr:uid="{00000000-0005-0000-0000-0000997E0000}"/>
    <cellStyle name="Note 4 4 2 3 8 13" xfId="44869" xr:uid="{00000000-0005-0000-0000-00009A7E0000}"/>
    <cellStyle name="Note 4 4 2 3 8 2" xfId="3980" xr:uid="{00000000-0005-0000-0000-00009B7E0000}"/>
    <cellStyle name="Note 4 4 2 3 8 2 10" xfId="39031" xr:uid="{00000000-0005-0000-0000-00009C7E0000}"/>
    <cellStyle name="Note 4 4 2 3 8 2 11" xfId="43042" xr:uid="{00000000-0005-0000-0000-00009D7E0000}"/>
    <cellStyle name="Note 4 4 2 3 8 2 12" xfId="46807" xr:uid="{00000000-0005-0000-0000-00009E7E0000}"/>
    <cellStyle name="Note 4 4 2 3 8 2 2" xfId="7847" xr:uid="{00000000-0005-0000-0000-00009F7E0000}"/>
    <cellStyle name="Note 4 4 2 3 8 2 3" xfId="12282" xr:uid="{00000000-0005-0000-0000-0000A07E0000}"/>
    <cellStyle name="Note 4 4 2 3 8 2 4" xfId="16127" xr:uid="{00000000-0005-0000-0000-0000A17E0000}"/>
    <cellStyle name="Note 4 4 2 3 8 2 5" xfId="19974" xr:uid="{00000000-0005-0000-0000-0000A27E0000}"/>
    <cellStyle name="Note 4 4 2 3 8 2 6" xfId="23890" xr:uid="{00000000-0005-0000-0000-0000A37E0000}"/>
    <cellStyle name="Note 4 4 2 3 8 2 7" xfId="27724" xr:uid="{00000000-0005-0000-0000-0000A47E0000}"/>
    <cellStyle name="Note 4 4 2 3 8 2 8" xfId="31584" xr:uid="{00000000-0005-0000-0000-0000A57E0000}"/>
    <cellStyle name="Note 4 4 2 3 8 2 9" xfId="35245" xr:uid="{00000000-0005-0000-0000-0000A67E0000}"/>
    <cellStyle name="Note 4 4 2 3 8 3" xfId="5923" xr:uid="{00000000-0005-0000-0000-0000A77E0000}"/>
    <cellStyle name="Note 4 4 2 3 8 4" xfId="10281" xr:uid="{00000000-0005-0000-0000-0000A87E0000}"/>
    <cellStyle name="Note 4 4 2 3 8 5" xfId="14128" xr:uid="{00000000-0005-0000-0000-0000A97E0000}"/>
    <cellStyle name="Note 4 4 2 3 8 6" xfId="17957" xr:uid="{00000000-0005-0000-0000-0000AA7E0000}"/>
    <cellStyle name="Note 4 4 2 3 8 7" xfId="21896" xr:uid="{00000000-0005-0000-0000-0000AB7E0000}"/>
    <cellStyle name="Note 4 4 2 3 8 8" xfId="25709" xr:uid="{00000000-0005-0000-0000-0000AC7E0000}"/>
    <cellStyle name="Note 4 4 2 3 8 9" xfId="29596" xr:uid="{00000000-0005-0000-0000-0000AD7E0000}"/>
    <cellStyle name="Note 4 4 2 3 9" xfId="2038" xr:uid="{00000000-0005-0000-0000-0000AE7E0000}"/>
    <cellStyle name="Note 4 4 2 3 9 10" xfId="33322" xr:uid="{00000000-0005-0000-0000-0000AF7E0000}"/>
    <cellStyle name="Note 4 4 2 3 9 11" xfId="37094" xr:uid="{00000000-0005-0000-0000-0000B07E0000}"/>
    <cellStyle name="Note 4 4 2 3 9 12" xfId="41084" xr:uid="{00000000-0005-0000-0000-0000B17E0000}"/>
    <cellStyle name="Note 4 4 2 3 9 13" xfId="44913" xr:uid="{00000000-0005-0000-0000-0000B27E0000}"/>
    <cellStyle name="Note 4 4 2 3 9 2" xfId="4027" xr:uid="{00000000-0005-0000-0000-0000B37E0000}"/>
    <cellStyle name="Note 4 4 2 3 9 2 10" xfId="39078" xr:uid="{00000000-0005-0000-0000-0000B47E0000}"/>
    <cellStyle name="Note 4 4 2 3 9 2 11" xfId="43088" xr:uid="{00000000-0005-0000-0000-0000B57E0000}"/>
    <cellStyle name="Note 4 4 2 3 9 2 12" xfId="46851" xr:uid="{00000000-0005-0000-0000-0000B67E0000}"/>
    <cellStyle name="Note 4 4 2 3 9 2 2" xfId="7892" xr:uid="{00000000-0005-0000-0000-0000B77E0000}"/>
    <cellStyle name="Note 4 4 2 3 9 2 3" xfId="12327" xr:uid="{00000000-0005-0000-0000-0000B87E0000}"/>
    <cellStyle name="Note 4 4 2 3 9 2 4" xfId="16173" xr:uid="{00000000-0005-0000-0000-0000B97E0000}"/>
    <cellStyle name="Note 4 4 2 3 9 2 5" xfId="20021" xr:uid="{00000000-0005-0000-0000-0000BA7E0000}"/>
    <cellStyle name="Note 4 4 2 3 9 2 6" xfId="23936" xr:uid="{00000000-0005-0000-0000-0000BB7E0000}"/>
    <cellStyle name="Note 4 4 2 3 9 2 7" xfId="27771" xr:uid="{00000000-0005-0000-0000-0000BC7E0000}"/>
    <cellStyle name="Note 4 4 2 3 9 2 8" xfId="31630" xr:uid="{00000000-0005-0000-0000-0000BD7E0000}"/>
    <cellStyle name="Note 4 4 2 3 9 2 9" xfId="35289" xr:uid="{00000000-0005-0000-0000-0000BE7E0000}"/>
    <cellStyle name="Note 4 4 2 3 9 3" xfId="5968" xr:uid="{00000000-0005-0000-0000-0000BF7E0000}"/>
    <cellStyle name="Note 4 4 2 3 9 4" xfId="10326" xr:uid="{00000000-0005-0000-0000-0000C07E0000}"/>
    <cellStyle name="Note 4 4 2 3 9 5" xfId="14174" xr:uid="{00000000-0005-0000-0000-0000C17E0000}"/>
    <cellStyle name="Note 4 4 2 3 9 6" xfId="18004" xr:uid="{00000000-0005-0000-0000-0000C27E0000}"/>
    <cellStyle name="Note 4 4 2 3 9 7" xfId="21942" xr:uid="{00000000-0005-0000-0000-0000C37E0000}"/>
    <cellStyle name="Note 4 4 2 3 9 8" xfId="25756" xr:uid="{00000000-0005-0000-0000-0000C47E0000}"/>
    <cellStyle name="Note 4 4 2 3 9 9" xfId="29642" xr:uid="{00000000-0005-0000-0000-0000C57E0000}"/>
    <cellStyle name="Note 4 4 2 30" xfId="47428" xr:uid="{00000000-0005-0000-0000-0000C67E0000}"/>
    <cellStyle name="Note 4 4 2 31" xfId="47393" xr:uid="{00000000-0005-0000-0000-0000C77E0000}"/>
    <cellStyle name="Note 4 4 2 4" xfId="665" xr:uid="{00000000-0005-0000-0000-0000C87E0000}"/>
    <cellStyle name="Note 4 4 2 4 10" xfId="24399" xr:uid="{00000000-0005-0000-0000-0000C97E0000}"/>
    <cellStyle name="Note 4 4 2 4 11" xfId="28292" xr:uid="{00000000-0005-0000-0000-0000CA7E0000}"/>
    <cellStyle name="Note 4 4 2 4 12" xfId="31624" xr:uid="{00000000-0005-0000-0000-0000CB7E0000}"/>
    <cellStyle name="Note 4 4 2 4 13" xfId="25824" xr:uid="{00000000-0005-0000-0000-0000CC7E0000}"/>
    <cellStyle name="Note 4 4 2 4 14" xfId="39759" xr:uid="{00000000-0005-0000-0000-0000CD7E0000}"/>
    <cellStyle name="Note 4 4 2 4 15" xfId="43562" xr:uid="{00000000-0005-0000-0000-0000CE7E0000}"/>
    <cellStyle name="Note 4 4 2 4 2" xfId="1045" xr:uid="{00000000-0005-0000-0000-0000CF7E0000}"/>
    <cellStyle name="Note 4 4 2 4 2 10" xfId="28656" xr:uid="{00000000-0005-0000-0000-0000D07E0000}"/>
    <cellStyle name="Note 4 4 2 4 2 11" xfId="32342" xr:uid="{00000000-0005-0000-0000-0000D17E0000}"/>
    <cellStyle name="Note 4 4 2 4 2 12" xfId="36103" xr:uid="{00000000-0005-0000-0000-0000D27E0000}"/>
    <cellStyle name="Note 4 4 2 4 2 13" xfId="40106" xr:uid="{00000000-0005-0000-0000-0000D37E0000}"/>
    <cellStyle name="Note 4 4 2 4 2 14" xfId="43929" xr:uid="{00000000-0005-0000-0000-0000D47E0000}"/>
    <cellStyle name="Note 4 4 2 4 2 2" xfId="1772" xr:uid="{00000000-0005-0000-0000-0000D57E0000}"/>
    <cellStyle name="Note 4 4 2 4 2 2 10" xfId="33059" xr:uid="{00000000-0005-0000-0000-0000D67E0000}"/>
    <cellStyle name="Note 4 4 2 4 2 2 11" xfId="36829" xr:uid="{00000000-0005-0000-0000-0000D77E0000}"/>
    <cellStyle name="Note 4 4 2 4 2 2 12" xfId="40820" xr:uid="{00000000-0005-0000-0000-0000D87E0000}"/>
    <cellStyle name="Note 4 4 2 4 2 2 13" xfId="44651" xr:uid="{00000000-0005-0000-0000-0000D97E0000}"/>
    <cellStyle name="Note 4 4 2 4 2 2 2" xfId="3762" xr:uid="{00000000-0005-0000-0000-0000DA7E0000}"/>
    <cellStyle name="Note 4 4 2 4 2 2 2 10" xfId="38813" xr:uid="{00000000-0005-0000-0000-0000DB7E0000}"/>
    <cellStyle name="Note 4 4 2 4 2 2 2 11" xfId="42824" xr:uid="{00000000-0005-0000-0000-0000DC7E0000}"/>
    <cellStyle name="Note 4 4 2 4 2 2 2 12" xfId="46589" xr:uid="{00000000-0005-0000-0000-0000DD7E0000}"/>
    <cellStyle name="Note 4 4 2 4 2 2 2 2" xfId="7629" xr:uid="{00000000-0005-0000-0000-0000DE7E0000}"/>
    <cellStyle name="Note 4 4 2 4 2 2 2 3" xfId="12064" xr:uid="{00000000-0005-0000-0000-0000DF7E0000}"/>
    <cellStyle name="Note 4 4 2 4 2 2 2 4" xfId="15909" xr:uid="{00000000-0005-0000-0000-0000E07E0000}"/>
    <cellStyle name="Note 4 4 2 4 2 2 2 5" xfId="19756" xr:uid="{00000000-0005-0000-0000-0000E17E0000}"/>
    <cellStyle name="Note 4 4 2 4 2 2 2 6" xfId="23672" xr:uid="{00000000-0005-0000-0000-0000E27E0000}"/>
    <cellStyle name="Note 4 4 2 4 2 2 2 7" xfId="27506" xr:uid="{00000000-0005-0000-0000-0000E37E0000}"/>
    <cellStyle name="Note 4 4 2 4 2 2 2 8" xfId="31370" xr:uid="{00000000-0005-0000-0000-0000E47E0000}"/>
    <cellStyle name="Note 4 4 2 4 2 2 2 9" xfId="35027" xr:uid="{00000000-0005-0000-0000-0000E57E0000}"/>
    <cellStyle name="Note 4 4 2 4 2 2 3" xfId="5705" xr:uid="{00000000-0005-0000-0000-0000E67E0000}"/>
    <cellStyle name="Note 4 4 2 4 2 2 4" xfId="10063" xr:uid="{00000000-0005-0000-0000-0000E77E0000}"/>
    <cellStyle name="Note 4 4 2 4 2 2 5" xfId="13909" xr:uid="{00000000-0005-0000-0000-0000E87E0000}"/>
    <cellStyle name="Note 4 4 2 4 2 2 6" xfId="17738" xr:uid="{00000000-0005-0000-0000-0000E97E0000}"/>
    <cellStyle name="Note 4 4 2 4 2 2 7" xfId="21677" xr:uid="{00000000-0005-0000-0000-0000EA7E0000}"/>
    <cellStyle name="Note 4 4 2 4 2 2 8" xfId="25490" xr:uid="{00000000-0005-0000-0000-0000EB7E0000}"/>
    <cellStyle name="Note 4 4 2 4 2 2 9" xfId="29377" xr:uid="{00000000-0005-0000-0000-0000EC7E0000}"/>
    <cellStyle name="Note 4 4 2 4 2 3" xfId="3035" xr:uid="{00000000-0005-0000-0000-0000ED7E0000}"/>
    <cellStyle name="Note 4 4 2 4 2 3 10" xfId="38087" xr:uid="{00000000-0005-0000-0000-0000EE7E0000}"/>
    <cellStyle name="Note 4 4 2 4 2 3 11" xfId="42099" xr:uid="{00000000-0005-0000-0000-0000EF7E0000}"/>
    <cellStyle name="Note 4 4 2 4 2 3 12" xfId="45872" xr:uid="{00000000-0005-0000-0000-0000F07E0000}"/>
    <cellStyle name="Note 4 4 2 4 2 3 2" xfId="6911" xr:uid="{00000000-0005-0000-0000-0000F17E0000}"/>
    <cellStyle name="Note 4 4 2 4 2 3 3" xfId="11340" xr:uid="{00000000-0005-0000-0000-0000F27E0000}"/>
    <cellStyle name="Note 4 4 2 4 2 3 4" xfId="15184" xr:uid="{00000000-0005-0000-0000-0000F37E0000}"/>
    <cellStyle name="Note 4 4 2 4 2 3 5" xfId="19029" xr:uid="{00000000-0005-0000-0000-0000F47E0000}"/>
    <cellStyle name="Note 4 4 2 4 2 3 6" xfId="22951" xr:uid="{00000000-0005-0000-0000-0000F57E0000}"/>
    <cellStyle name="Note 4 4 2 4 2 3 7" xfId="26780" xr:uid="{00000000-0005-0000-0000-0000F67E0000}"/>
    <cellStyle name="Note 4 4 2 4 2 3 8" xfId="30654" xr:uid="{00000000-0005-0000-0000-0000F77E0000}"/>
    <cellStyle name="Note 4 4 2 4 2 3 9" xfId="34310" xr:uid="{00000000-0005-0000-0000-0000F87E0000}"/>
    <cellStyle name="Note 4 4 2 4 2 4" xfId="4987" xr:uid="{00000000-0005-0000-0000-0000F97E0000}"/>
    <cellStyle name="Note 4 4 2 4 2 5" xfId="9343" xr:uid="{00000000-0005-0000-0000-0000FA7E0000}"/>
    <cellStyle name="Note 4 4 2 4 2 6" xfId="13183" xr:uid="{00000000-0005-0000-0000-0000FB7E0000}"/>
    <cellStyle name="Note 4 4 2 4 2 7" xfId="17011" xr:uid="{00000000-0005-0000-0000-0000FC7E0000}"/>
    <cellStyle name="Note 4 4 2 4 2 8" xfId="20953" xr:uid="{00000000-0005-0000-0000-0000FD7E0000}"/>
    <cellStyle name="Note 4 4 2 4 2 9" xfId="24767" xr:uid="{00000000-0005-0000-0000-0000FE7E0000}"/>
    <cellStyle name="Note 4 4 2 4 3" xfId="1419" xr:uid="{00000000-0005-0000-0000-0000FF7E0000}"/>
    <cellStyle name="Note 4 4 2 4 3 10" xfId="32706" xr:uid="{00000000-0005-0000-0000-0000007F0000}"/>
    <cellStyle name="Note 4 4 2 4 3 11" xfId="36476" xr:uid="{00000000-0005-0000-0000-0000017F0000}"/>
    <cellStyle name="Note 4 4 2 4 3 12" xfId="40467" xr:uid="{00000000-0005-0000-0000-0000027F0000}"/>
    <cellStyle name="Note 4 4 2 4 3 13" xfId="44298" xr:uid="{00000000-0005-0000-0000-0000037F0000}"/>
    <cellStyle name="Note 4 4 2 4 3 2" xfId="3409" xr:uid="{00000000-0005-0000-0000-0000047F0000}"/>
    <cellStyle name="Note 4 4 2 4 3 2 10" xfId="38460" xr:uid="{00000000-0005-0000-0000-0000057F0000}"/>
    <cellStyle name="Note 4 4 2 4 3 2 11" xfId="42471" xr:uid="{00000000-0005-0000-0000-0000067F0000}"/>
    <cellStyle name="Note 4 4 2 4 3 2 12" xfId="46236" xr:uid="{00000000-0005-0000-0000-0000077F0000}"/>
    <cellStyle name="Note 4 4 2 4 3 2 2" xfId="7276" xr:uid="{00000000-0005-0000-0000-0000087F0000}"/>
    <cellStyle name="Note 4 4 2 4 3 2 3" xfId="11711" xr:uid="{00000000-0005-0000-0000-0000097F0000}"/>
    <cellStyle name="Note 4 4 2 4 3 2 4" xfId="15556" xr:uid="{00000000-0005-0000-0000-00000A7F0000}"/>
    <cellStyle name="Note 4 4 2 4 3 2 5" xfId="19403" xr:uid="{00000000-0005-0000-0000-00000B7F0000}"/>
    <cellStyle name="Note 4 4 2 4 3 2 6" xfId="23319" xr:uid="{00000000-0005-0000-0000-00000C7F0000}"/>
    <cellStyle name="Note 4 4 2 4 3 2 7" xfId="27153" xr:uid="{00000000-0005-0000-0000-00000D7F0000}"/>
    <cellStyle name="Note 4 4 2 4 3 2 8" xfId="31021" xr:uid="{00000000-0005-0000-0000-00000E7F0000}"/>
    <cellStyle name="Note 4 4 2 4 3 2 9" xfId="34674" xr:uid="{00000000-0005-0000-0000-00000F7F0000}"/>
    <cellStyle name="Note 4 4 2 4 3 3" xfId="5352" xr:uid="{00000000-0005-0000-0000-0000107F0000}"/>
    <cellStyle name="Note 4 4 2 4 3 4" xfId="9710" xr:uid="{00000000-0005-0000-0000-0000117F0000}"/>
    <cellStyle name="Note 4 4 2 4 3 5" xfId="13556" xr:uid="{00000000-0005-0000-0000-0000127F0000}"/>
    <cellStyle name="Note 4 4 2 4 3 6" xfId="17385" xr:uid="{00000000-0005-0000-0000-0000137F0000}"/>
    <cellStyle name="Note 4 4 2 4 3 7" xfId="21324" xr:uid="{00000000-0005-0000-0000-0000147F0000}"/>
    <cellStyle name="Note 4 4 2 4 3 8" xfId="25137" xr:uid="{00000000-0005-0000-0000-0000157F0000}"/>
    <cellStyle name="Note 4 4 2 4 3 9" xfId="29024" xr:uid="{00000000-0005-0000-0000-0000167F0000}"/>
    <cellStyle name="Note 4 4 2 4 4" xfId="2668" xr:uid="{00000000-0005-0000-0000-0000177F0000}"/>
    <cellStyle name="Note 4 4 2 4 4 10" xfId="37720" xr:uid="{00000000-0005-0000-0000-0000187F0000}"/>
    <cellStyle name="Note 4 4 2 4 4 11" xfId="41734" xr:uid="{00000000-0005-0000-0000-0000197F0000}"/>
    <cellStyle name="Note 4 4 2 4 4 12" xfId="45519" xr:uid="{00000000-0005-0000-0000-00001A7F0000}"/>
    <cellStyle name="Note 4 4 2 4 4 2" xfId="6556" xr:uid="{00000000-0005-0000-0000-00001B7F0000}"/>
    <cellStyle name="Note 4 4 2 4 4 3" xfId="10980" xr:uid="{00000000-0005-0000-0000-00001C7F0000}"/>
    <cellStyle name="Note 4 4 2 4 4 4" xfId="14824" xr:uid="{00000000-0005-0000-0000-00001D7F0000}"/>
    <cellStyle name="Note 4 4 2 4 4 5" xfId="18662" xr:uid="{00000000-0005-0000-0000-00001E7F0000}"/>
    <cellStyle name="Note 4 4 2 4 4 6" xfId="22593" xr:uid="{00000000-0005-0000-0000-00001F7F0000}"/>
    <cellStyle name="Note 4 4 2 4 4 7" xfId="26413" xr:uid="{00000000-0005-0000-0000-0000207F0000}"/>
    <cellStyle name="Note 4 4 2 4 4 8" xfId="30292" xr:uid="{00000000-0005-0000-0000-0000217F0000}"/>
    <cellStyle name="Note 4 4 2 4 4 9" xfId="33957" xr:uid="{00000000-0005-0000-0000-0000227F0000}"/>
    <cellStyle name="Note 4 4 2 4 5" xfId="4632" xr:uid="{00000000-0005-0000-0000-0000237F0000}"/>
    <cellStyle name="Note 4 4 2 4 6" xfId="8974" xr:uid="{00000000-0005-0000-0000-0000247F0000}"/>
    <cellStyle name="Note 4 4 2 4 7" xfId="12811" xr:uid="{00000000-0005-0000-0000-0000257F0000}"/>
    <cellStyle name="Note 4 4 2 4 8" xfId="16641" xr:uid="{00000000-0005-0000-0000-0000267F0000}"/>
    <cellStyle name="Note 4 4 2 4 9" xfId="20578" xr:uid="{00000000-0005-0000-0000-0000277F0000}"/>
    <cellStyle name="Note 4 4 2 5" xfId="602" xr:uid="{00000000-0005-0000-0000-0000287F0000}"/>
    <cellStyle name="Note 4 4 2 5 10" xfId="8783" xr:uid="{00000000-0005-0000-0000-0000297F0000}"/>
    <cellStyle name="Note 4 4 2 5 11" xfId="13291" xr:uid="{00000000-0005-0000-0000-00002A7F0000}"/>
    <cellStyle name="Note 4 4 2 5 12" xfId="28897" xr:uid="{00000000-0005-0000-0000-00002B7F0000}"/>
    <cellStyle name="Note 4 4 2 5 13" xfId="22015" xr:uid="{00000000-0005-0000-0000-00002C7F0000}"/>
    <cellStyle name="Note 4 4 2 5 14" xfId="39697" xr:uid="{00000000-0005-0000-0000-00002D7F0000}"/>
    <cellStyle name="Note 4 4 2 5 15" xfId="39576" xr:uid="{00000000-0005-0000-0000-00002E7F0000}"/>
    <cellStyle name="Note 4 4 2 5 2" xfId="982" xr:uid="{00000000-0005-0000-0000-00002F7F0000}"/>
    <cellStyle name="Note 4 4 2 5 2 10" xfId="28593" xr:uid="{00000000-0005-0000-0000-0000307F0000}"/>
    <cellStyle name="Note 4 4 2 5 2 11" xfId="32281" xr:uid="{00000000-0005-0000-0000-0000317F0000}"/>
    <cellStyle name="Note 4 4 2 5 2 12" xfId="36040" xr:uid="{00000000-0005-0000-0000-0000327F0000}"/>
    <cellStyle name="Note 4 4 2 5 2 13" xfId="40045" xr:uid="{00000000-0005-0000-0000-0000337F0000}"/>
    <cellStyle name="Note 4 4 2 5 2 14" xfId="43866" xr:uid="{00000000-0005-0000-0000-0000347F0000}"/>
    <cellStyle name="Note 4 4 2 5 2 2" xfId="1711" xr:uid="{00000000-0005-0000-0000-0000357F0000}"/>
    <cellStyle name="Note 4 4 2 5 2 2 10" xfId="32998" xr:uid="{00000000-0005-0000-0000-0000367F0000}"/>
    <cellStyle name="Note 4 4 2 5 2 2 11" xfId="36768" xr:uid="{00000000-0005-0000-0000-0000377F0000}"/>
    <cellStyle name="Note 4 4 2 5 2 2 12" xfId="40759" xr:uid="{00000000-0005-0000-0000-0000387F0000}"/>
    <cellStyle name="Note 4 4 2 5 2 2 13" xfId="44590" xr:uid="{00000000-0005-0000-0000-0000397F0000}"/>
    <cellStyle name="Note 4 4 2 5 2 2 2" xfId="3701" xr:uid="{00000000-0005-0000-0000-00003A7F0000}"/>
    <cellStyle name="Note 4 4 2 5 2 2 2 10" xfId="38752" xr:uid="{00000000-0005-0000-0000-00003B7F0000}"/>
    <cellStyle name="Note 4 4 2 5 2 2 2 11" xfId="42763" xr:uid="{00000000-0005-0000-0000-00003C7F0000}"/>
    <cellStyle name="Note 4 4 2 5 2 2 2 12" xfId="46528" xr:uid="{00000000-0005-0000-0000-00003D7F0000}"/>
    <cellStyle name="Note 4 4 2 5 2 2 2 2" xfId="7568" xr:uid="{00000000-0005-0000-0000-00003E7F0000}"/>
    <cellStyle name="Note 4 4 2 5 2 2 2 3" xfId="12003" xr:uid="{00000000-0005-0000-0000-00003F7F0000}"/>
    <cellStyle name="Note 4 4 2 5 2 2 2 4" xfId="15848" xr:uid="{00000000-0005-0000-0000-0000407F0000}"/>
    <cellStyle name="Note 4 4 2 5 2 2 2 5" xfId="19695" xr:uid="{00000000-0005-0000-0000-0000417F0000}"/>
    <cellStyle name="Note 4 4 2 5 2 2 2 6" xfId="23611" xr:uid="{00000000-0005-0000-0000-0000427F0000}"/>
    <cellStyle name="Note 4 4 2 5 2 2 2 7" xfId="27445" xr:uid="{00000000-0005-0000-0000-0000437F0000}"/>
    <cellStyle name="Note 4 4 2 5 2 2 2 8" xfId="31309" xr:uid="{00000000-0005-0000-0000-0000447F0000}"/>
    <cellStyle name="Note 4 4 2 5 2 2 2 9" xfId="34966" xr:uid="{00000000-0005-0000-0000-0000457F0000}"/>
    <cellStyle name="Note 4 4 2 5 2 2 3" xfId="5644" xr:uid="{00000000-0005-0000-0000-0000467F0000}"/>
    <cellStyle name="Note 4 4 2 5 2 2 4" xfId="10002" xr:uid="{00000000-0005-0000-0000-0000477F0000}"/>
    <cellStyle name="Note 4 4 2 5 2 2 5" xfId="13848" xr:uid="{00000000-0005-0000-0000-0000487F0000}"/>
    <cellStyle name="Note 4 4 2 5 2 2 6" xfId="17677" xr:uid="{00000000-0005-0000-0000-0000497F0000}"/>
    <cellStyle name="Note 4 4 2 5 2 2 7" xfId="21616" xr:uid="{00000000-0005-0000-0000-00004A7F0000}"/>
    <cellStyle name="Note 4 4 2 5 2 2 8" xfId="25429" xr:uid="{00000000-0005-0000-0000-00004B7F0000}"/>
    <cellStyle name="Note 4 4 2 5 2 2 9" xfId="29316" xr:uid="{00000000-0005-0000-0000-00004C7F0000}"/>
    <cellStyle name="Note 4 4 2 5 2 3" xfId="2972" xr:uid="{00000000-0005-0000-0000-00004D7F0000}"/>
    <cellStyle name="Note 4 4 2 5 2 3 10" xfId="38024" xr:uid="{00000000-0005-0000-0000-00004E7F0000}"/>
    <cellStyle name="Note 4 4 2 5 2 3 11" xfId="42036" xr:uid="{00000000-0005-0000-0000-00004F7F0000}"/>
    <cellStyle name="Note 4 4 2 5 2 3 12" xfId="45811" xr:uid="{00000000-0005-0000-0000-0000507F0000}"/>
    <cellStyle name="Note 4 4 2 5 2 3 2" xfId="6850" xr:uid="{00000000-0005-0000-0000-0000517F0000}"/>
    <cellStyle name="Note 4 4 2 5 2 3 3" xfId="11278" xr:uid="{00000000-0005-0000-0000-0000527F0000}"/>
    <cellStyle name="Note 4 4 2 5 2 3 4" xfId="15123" xr:uid="{00000000-0005-0000-0000-0000537F0000}"/>
    <cellStyle name="Note 4 4 2 5 2 3 5" xfId="18966" xr:uid="{00000000-0005-0000-0000-0000547F0000}"/>
    <cellStyle name="Note 4 4 2 5 2 3 6" xfId="22890" xr:uid="{00000000-0005-0000-0000-0000557F0000}"/>
    <cellStyle name="Note 4 4 2 5 2 3 7" xfId="26717" xr:uid="{00000000-0005-0000-0000-0000567F0000}"/>
    <cellStyle name="Note 4 4 2 5 2 3 8" xfId="30591" xr:uid="{00000000-0005-0000-0000-0000577F0000}"/>
    <cellStyle name="Note 4 4 2 5 2 3 9" xfId="34249" xr:uid="{00000000-0005-0000-0000-0000587F0000}"/>
    <cellStyle name="Note 4 4 2 5 2 4" xfId="4926" xr:uid="{00000000-0005-0000-0000-0000597F0000}"/>
    <cellStyle name="Note 4 4 2 5 2 5" xfId="9281" xr:uid="{00000000-0005-0000-0000-00005A7F0000}"/>
    <cellStyle name="Note 4 4 2 5 2 6" xfId="13122" xr:uid="{00000000-0005-0000-0000-00005B7F0000}"/>
    <cellStyle name="Note 4 4 2 5 2 7" xfId="16948" xr:uid="{00000000-0005-0000-0000-00005C7F0000}"/>
    <cellStyle name="Note 4 4 2 5 2 8" xfId="20890" xr:uid="{00000000-0005-0000-0000-00005D7F0000}"/>
    <cellStyle name="Note 4 4 2 5 2 9" xfId="24705" xr:uid="{00000000-0005-0000-0000-00005E7F0000}"/>
    <cellStyle name="Note 4 4 2 5 3" xfId="1358" xr:uid="{00000000-0005-0000-0000-00005F7F0000}"/>
    <cellStyle name="Note 4 4 2 5 3 10" xfId="32645" xr:uid="{00000000-0005-0000-0000-0000607F0000}"/>
    <cellStyle name="Note 4 4 2 5 3 11" xfId="36415" xr:uid="{00000000-0005-0000-0000-0000617F0000}"/>
    <cellStyle name="Note 4 4 2 5 3 12" xfId="40406" xr:uid="{00000000-0005-0000-0000-0000627F0000}"/>
    <cellStyle name="Note 4 4 2 5 3 13" xfId="44237" xr:uid="{00000000-0005-0000-0000-0000637F0000}"/>
    <cellStyle name="Note 4 4 2 5 3 2" xfId="3348" xr:uid="{00000000-0005-0000-0000-0000647F0000}"/>
    <cellStyle name="Note 4 4 2 5 3 2 10" xfId="38399" xr:uid="{00000000-0005-0000-0000-0000657F0000}"/>
    <cellStyle name="Note 4 4 2 5 3 2 11" xfId="42410" xr:uid="{00000000-0005-0000-0000-0000667F0000}"/>
    <cellStyle name="Note 4 4 2 5 3 2 12" xfId="46175" xr:uid="{00000000-0005-0000-0000-0000677F0000}"/>
    <cellStyle name="Note 4 4 2 5 3 2 2" xfId="7215" xr:uid="{00000000-0005-0000-0000-0000687F0000}"/>
    <cellStyle name="Note 4 4 2 5 3 2 3" xfId="11650" xr:uid="{00000000-0005-0000-0000-0000697F0000}"/>
    <cellStyle name="Note 4 4 2 5 3 2 4" xfId="15495" xr:uid="{00000000-0005-0000-0000-00006A7F0000}"/>
    <cellStyle name="Note 4 4 2 5 3 2 5" xfId="19342" xr:uid="{00000000-0005-0000-0000-00006B7F0000}"/>
    <cellStyle name="Note 4 4 2 5 3 2 6" xfId="23258" xr:uid="{00000000-0005-0000-0000-00006C7F0000}"/>
    <cellStyle name="Note 4 4 2 5 3 2 7" xfId="27092" xr:uid="{00000000-0005-0000-0000-00006D7F0000}"/>
    <cellStyle name="Note 4 4 2 5 3 2 8" xfId="30960" xr:uid="{00000000-0005-0000-0000-00006E7F0000}"/>
    <cellStyle name="Note 4 4 2 5 3 2 9" xfId="34613" xr:uid="{00000000-0005-0000-0000-00006F7F0000}"/>
    <cellStyle name="Note 4 4 2 5 3 3" xfId="5291" xr:uid="{00000000-0005-0000-0000-0000707F0000}"/>
    <cellStyle name="Note 4 4 2 5 3 4" xfId="9649" xr:uid="{00000000-0005-0000-0000-0000717F0000}"/>
    <cellStyle name="Note 4 4 2 5 3 5" xfId="13495" xr:uid="{00000000-0005-0000-0000-0000727F0000}"/>
    <cellStyle name="Note 4 4 2 5 3 6" xfId="17324" xr:uid="{00000000-0005-0000-0000-0000737F0000}"/>
    <cellStyle name="Note 4 4 2 5 3 7" xfId="21263" xr:uid="{00000000-0005-0000-0000-0000747F0000}"/>
    <cellStyle name="Note 4 4 2 5 3 8" xfId="25076" xr:uid="{00000000-0005-0000-0000-0000757F0000}"/>
    <cellStyle name="Note 4 4 2 5 3 9" xfId="28963" xr:uid="{00000000-0005-0000-0000-0000767F0000}"/>
    <cellStyle name="Note 4 4 2 5 4" xfId="2605" xr:uid="{00000000-0005-0000-0000-0000777F0000}"/>
    <cellStyle name="Note 4 4 2 5 4 10" xfId="37657" xr:uid="{00000000-0005-0000-0000-0000787F0000}"/>
    <cellStyle name="Note 4 4 2 5 4 11" xfId="41671" xr:uid="{00000000-0005-0000-0000-0000797F0000}"/>
    <cellStyle name="Note 4 4 2 5 4 12" xfId="45458" xr:uid="{00000000-0005-0000-0000-00007A7F0000}"/>
    <cellStyle name="Note 4 4 2 5 4 2" xfId="6495" xr:uid="{00000000-0005-0000-0000-00007B7F0000}"/>
    <cellStyle name="Note 4 4 2 5 4 3" xfId="10919" xr:uid="{00000000-0005-0000-0000-00007C7F0000}"/>
    <cellStyle name="Note 4 4 2 5 4 4" xfId="14763" xr:uid="{00000000-0005-0000-0000-00007D7F0000}"/>
    <cellStyle name="Note 4 4 2 5 4 5" xfId="18599" xr:uid="{00000000-0005-0000-0000-00007E7F0000}"/>
    <cellStyle name="Note 4 4 2 5 4 6" xfId="22532" xr:uid="{00000000-0005-0000-0000-00007F7F0000}"/>
    <cellStyle name="Note 4 4 2 5 4 7" xfId="26350" xr:uid="{00000000-0005-0000-0000-0000807F0000}"/>
    <cellStyle name="Note 4 4 2 5 4 8" xfId="30229" xr:uid="{00000000-0005-0000-0000-0000817F0000}"/>
    <cellStyle name="Note 4 4 2 5 4 9" xfId="33896" xr:uid="{00000000-0005-0000-0000-0000827F0000}"/>
    <cellStyle name="Note 4 4 2 5 5" xfId="4571" xr:uid="{00000000-0005-0000-0000-0000837F0000}"/>
    <cellStyle name="Note 4 4 2 5 6" xfId="8911" xr:uid="{00000000-0005-0000-0000-0000847F0000}"/>
    <cellStyle name="Note 4 4 2 5 7" xfId="8687" xr:uid="{00000000-0005-0000-0000-0000857F0000}"/>
    <cellStyle name="Note 4 4 2 5 8" xfId="8825" xr:uid="{00000000-0005-0000-0000-0000867F0000}"/>
    <cellStyle name="Note 4 4 2 5 9" xfId="20515" xr:uid="{00000000-0005-0000-0000-0000877F0000}"/>
    <cellStyle name="Note 4 4 2 6" xfId="743" xr:uid="{00000000-0005-0000-0000-0000887F0000}"/>
    <cellStyle name="Note 4 4 2 6 10" xfId="24476" xr:uid="{00000000-0005-0000-0000-0000897F0000}"/>
    <cellStyle name="Note 4 4 2 6 11" xfId="28368" xr:uid="{00000000-0005-0000-0000-00008A7F0000}"/>
    <cellStyle name="Note 4 4 2 6 12" xfId="11546" xr:uid="{00000000-0005-0000-0000-00008B7F0000}"/>
    <cellStyle name="Note 4 4 2 6 13" xfId="35814" xr:uid="{00000000-0005-0000-0000-00008C7F0000}"/>
    <cellStyle name="Note 4 4 2 6 14" xfId="39833" xr:uid="{00000000-0005-0000-0000-00008D7F0000}"/>
    <cellStyle name="Note 4 4 2 6 15" xfId="43640" xr:uid="{00000000-0005-0000-0000-00008E7F0000}"/>
    <cellStyle name="Note 4 4 2 6 2" xfId="1121" xr:uid="{00000000-0005-0000-0000-00008F7F0000}"/>
    <cellStyle name="Note 4 4 2 6 2 10" xfId="28730" xr:uid="{00000000-0005-0000-0000-0000907F0000}"/>
    <cellStyle name="Note 4 4 2 6 2 11" xfId="32418" xr:uid="{00000000-0005-0000-0000-0000917F0000}"/>
    <cellStyle name="Note 4 4 2 6 2 12" xfId="36179" xr:uid="{00000000-0005-0000-0000-0000927F0000}"/>
    <cellStyle name="Note 4 4 2 6 2 13" xfId="40180" xr:uid="{00000000-0005-0000-0000-0000937F0000}"/>
    <cellStyle name="Note 4 4 2 6 2 14" xfId="44005" xr:uid="{00000000-0005-0000-0000-0000947F0000}"/>
    <cellStyle name="Note 4 4 2 6 2 2" xfId="1848" xr:uid="{00000000-0005-0000-0000-0000957F0000}"/>
    <cellStyle name="Note 4 4 2 6 2 2 10" xfId="33135" xr:uid="{00000000-0005-0000-0000-0000967F0000}"/>
    <cellStyle name="Note 4 4 2 6 2 2 11" xfId="36905" xr:uid="{00000000-0005-0000-0000-0000977F0000}"/>
    <cellStyle name="Note 4 4 2 6 2 2 12" xfId="40896" xr:uid="{00000000-0005-0000-0000-0000987F0000}"/>
    <cellStyle name="Note 4 4 2 6 2 2 13" xfId="44727" xr:uid="{00000000-0005-0000-0000-0000997F0000}"/>
    <cellStyle name="Note 4 4 2 6 2 2 2" xfId="3838" xr:uid="{00000000-0005-0000-0000-00009A7F0000}"/>
    <cellStyle name="Note 4 4 2 6 2 2 2 10" xfId="38889" xr:uid="{00000000-0005-0000-0000-00009B7F0000}"/>
    <cellStyle name="Note 4 4 2 6 2 2 2 11" xfId="42900" xr:uid="{00000000-0005-0000-0000-00009C7F0000}"/>
    <cellStyle name="Note 4 4 2 6 2 2 2 12" xfId="46665" xr:uid="{00000000-0005-0000-0000-00009D7F0000}"/>
    <cellStyle name="Note 4 4 2 6 2 2 2 2" xfId="7705" xr:uid="{00000000-0005-0000-0000-00009E7F0000}"/>
    <cellStyle name="Note 4 4 2 6 2 2 2 3" xfId="12140" xr:uid="{00000000-0005-0000-0000-00009F7F0000}"/>
    <cellStyle name="Note 4 4 2 6 2 2 2 4" xfId="15985" xr:uid="{00000000-0005-0000-0000-0000A07F0000}"/>
    <cellStyle name="Note 4 4 2 6 2 2 2 5" xfId="19832" xr:uid="{00000000-0005-0000-0000-0000A17F0000}"/>
    <cellStyle name="Note 4 4 2 6 2 2 2 6" xfId="23748" xr:uid="{00000000-0005-0000-0000-0000A27F0000}"/>
    <cellStyle name="Note 4 4 2 6 2 2 2 7" xfId="27582" xr:uid="{00000000-0005-0000-0000-0000A37F0000}"/>
    <cellStyle name="Note 4 4 2 6 2 2 2 8" xfId="31445" xr:uid="{00000000-0005-0000-0000-0000A47F0000}"/>
    <cellStyle name="Note 4 4 2 6 2 2 2 9" xfId="35103" xr:uid="{00000000-0005-0000-0000-0000A57F0000}"/>
    <cellStyle name="Note 4 4 2 6 2 2 3" xfId="5781" xr:uid="{00000000-0005-0000-0000-0000A67F0000}"/>
    <cellStyle name="Note 4 4 2 6 2 2 4" xfId="10139" xr:uid="{00000000-0005-0000-0000-0000A77F0000}"/>
    <cellStyle name="Note 4 4 2 6 2 2 5" xfId="13985" xr:uid="{00000000-0005-0000-0000-0000A87F0000}"/>
    <cellStyle name="Note 4 4 2 6 2 2 6" xfId="17814" xr:uid="{00000000-0005-0000-0000-0000A97F0000}"/>
    <cellStyle name="Note 4 4 2 6 2 2 7" xfId="21753" xr:uid="{00000000-0005-0000-0000-0000AA7F0000}"/>
    <cellStyle name="Note 4 4 2 6 2 2 8" xfId="25566" xr:uid="{00000000-0005-0000-0000-0000AB7F0000}"/>
    <cellStyle name="Note 4 4 2 6 2 2 9" xfId="29453" xr:uid="{00000000-0005-0000-0000-0000AC7F0000}"/>
    <cellStyle name="Note 4 4 2 6 2 3" xfId="3111" xr:uid="{00000000-0005-0000-0000-0000AD7F0000}"/>
    <cellStyle name="Note 4 4 2 6 2 3 10" xfId="38163" xr:uid="{00000000-0005-0000-0000-0000AE7F0000}"/>
    <cellStyle name="Note 4 4 2 6 2 3 11" xfId="42175" xr:uid="{00000000-0005-0000-0000-0000AF7F0000}"/>
    <cellStyle name="Note 4 4 2 6 2 3 12" xfId="45948" xr:uid="{00000000-0005-0000-0000-0000B07F0000}"/>
    <cellStyle name="Note 4 4 2 6 2 3 2" xfId="6987" xr:uid="{00000000-0005-0000-0000-0000B17F0000}"/>
    <cellStyle name="Note 4 4 2 6 2 3 3" xfId="11416" xr:uid="{00000000-0005-0000-0000-0000B27F0000}"/>
    <cellStyle name="Note 4 4 2 6 2 3 4" xfId="15260" xr:uid="{00000000-0005-0000-0000-0000B37F0000}"/>
    <cellStyle name="Note 4 4 2 6 2 3 5" xfId="19105" xr:uid="{00000000-0005-0000-0000-0000B47F0000}"/>
    <cellStyle name="Note 4 4 2 6 2 3 6" xfId="23027" xr:uid="{00000000-0005-0000-0000-0000B57F0000}"/>
    <cellStyle name="Note 4 4 2 6 2 3 7" xfId="26856" xr:uid="{00000000-0005-0000-0000-0000B67F0000}"/>
    <cellStyle name="Note 4 4 2 6 2 3 8" xfId="30728" xr:uid="{00000000-0005-0000-0000-0000B77F0000}"/>
    <cellStyle name="Note 4 4 2 6 2 3 9" xfId="34386" xr:uid="{00000000-0005-0000-0000-0000B87F0000}"/>
    <cellStyle name="Note 4 4 2 6 2 4" xfId="5063" xr:uid="{00000000-0005-0000-0000-0000B97F0000}"/>
    <cellStyle name="Note 4 4 2 6 2 5" xfId="9419" xr:uid="{00000000-0005-0000-0000-0000BA7F0000}"/>
    <cellStyle name="Note 4 4 2 6 2 6" xfId="13259" xr:uid="{00000000-0005-0000-0000-0000BB7F0000}"/>
    <cellStyle name="Note 4 4 2 6 2 7" xfId="17087" xr:uid="{00000000-0005-0000-0000-0000BC7F0000}"/>
    <cellStyle name="Note 4 4 2 6 2 8" xfId="21029" xr:uid="{00000000-0005-0000-0000-0000BD7F0000}"/>
    <cellStyle name="Note 4 4 2 6 2 9" xfId="24843" xr:uid="{00000000-0005-0000-0000-0000BE7F0000}"/>
    <cellStyle name="Note 4 4 2 6 3" xfId="1495" xr:uid="{00000000-0005-0000-0000-0000BF7F0000}"/>
    <cellStyle name="Note 4 4 2 6 3 10" xfId="32782" xr:uid="{00000000-0005-0000-0000-0000C07F0000}"/>
    <cellStyle name="Note 4 4 2 6 3 11" xfId="36552" xr:uid="{00000000-0005-0000-0000-0000C17F0000}"/>
    <cellStyle name="Note 4 4 2 6 3 12" xfId="40543" xr:uid="{00000000-0005-0000-0000-0000C27F0000}"/>
    <cellStyle name="Note 4 4 2 6 3 13" xfId="44374" xr:uid="{00000000-0005-0000-0000-0000C37F0000}"/>
    <cellStyle name="Note 4 4 2 6 3 2" xfId="3485" xr:uid="{00000000-0005-0000-0000-0000C47F0000}"/>
    <cellStyle name="Note 4 4 2 6 3 2 10" xfId="38536" xr:uid="{00000000-0005-0000-0000-0000C57F0000}"/>
    <cellStyle name="Note 4 4 2 6 3 2 11" xfId="42547" xr:uid="{00000000-0005-0000-0000-0000C67F0000}"/>
    <cellStyle name="Note 4 4 2 6 3 2 12" xfId="46312" xr:uid="{00000000-0005-0000-0000-0000C77F0000}"/>
    <cellStyle name="Note 4 4 2 6 3 2 2" xfId="7352" xr:uid="{00000000-0005-0000-0000-0000C87F0000}"/>
    <cellStyle name="Note 4 4 2 6 3 2 3" xfId="11787" xr:uid="{00000000-0005-0000-0000-0000C97F0000}"/>
    <cellStyle name="Note 4 4 2 6 3 2 4" xfId="15632" xr:uid="{00000000-0005-0000-0000-0000CA7F0000}"/>
    <cellStyle name="Note 4 4 2 6 3 2 5" xfId="19479" xr:uid="{00000000-0005-0000-0000-0000CB7F0000}"/>
    <cellStyle name="Note 4 4 2 6 3 2 6" xfId="23395" xr:uid="{00000000-0005-0000-0000-0000CC7F0000}"/>
    <cellStyle name="Note 4 4 2 6 3 2 7" xfId="27229" xr:uid="{00000000-0005-0000-0000-0000CD7F0000}"/>
    <cellStyle name="Note 4 4 2 6 3 2 8" xfId="31096" xr:uid="{00000000-0005-0000-0000-0000CE7F0000}"/>
    <cellStyle name="Note 4 4 2 6 3 2 9" xfId="34750" xr:uid="{00000000-0005-0000-0000-0000CF7F0000}"/>
    <cellStyle name="Note 4 4 2 6 3 3" xfId="5428" xr:uid="{00000000-0005-0000-0000-0000D07F0000}"/>
    <cellStyle name="Note 4 4 2 6 3 4" xfId="9786" xr:uid="{00000000-0005-0000-0000-0000D17F0000}"/>
    <cellStyle name="Note 4 4 2 6 3 5" xfId="13632" xr:uid="{00000000-0005-0000-0000-0000D27F0000}"/>
    <cellStyle name="Note 4 4 2 6 3 6" xfId="17461" xr:uid="{00000000-0005-0000-0000-0000D37F0000}"/>
    <cellStyle name="Note 4 4 2 6 3 7" xfId="21400" xr:uid="{00000000-0005-0000-0000-0000D47F0000}"/>
    <cellStyle name="Note 4 4 2 6 3 8" xfId="25213" xr:uid="{00000000-0005-0000-0000-0000D57F0000}"/>
    <cellStyle name="Note 4 4 2 6 3 9" xfId="29100" xr:uid="{00000000-0005-0000-0000-0000D67F0000}"/>
    <cellStyle name="Note 4 4 2 6 4" xfId="2746" xr:uid="{00000000-0005-0000-0000-0000D77F0000}"/>
    <cellStyle name="Note 4 4 2 6 4 10" xfId="37798" xr:uid="{00000000-0005-0000-0000-0000D87F0000}"/>
    <cellStyle name="Note 4 4 2 6 4 11" xfId="41811" xr:uid="{00000000-0005-0000-0000-0000D97F0000}"/>
    <cellStyle name="Note 4 4 2 6 4 12" xfId="45595" xr:uid="{00000000-0005-0000-0000-0000DA7F0000}"/>
    <cellStyle name="Note 4 4 2 6 4 2" xfId="6633" xr:uid="{00000000-0005-0000-0000-0000DB7F0000}"/>
    <cellStyle name="Note 4 4 2 6 4 3" xfId="11056" xr:uid="{00000000-0005-0000-0000-0000DC7F0000}"/>
    <cellStyle name="Note 4 4 2 6 4 4" xfId="14902" xr:uid="{00000000-0005-0000-0000-0000DD7F0000}"/>
    <cellStyle name="Note 4 4 2 6 4 5" xfId="18740" xr:uid="{00000000-0005-0000-0000-0000DE7F0000}"/>
    <cellStyle name="Note 4 4 2 6 4 6" xfId="22671" xr:uid="{00000000-0005-0000-0000-0000DF7F0000}"/>
    <cellStyle name="Note 4 4 2 6 4 7" xfId="26491" xr:uid="{00000000-0005-0000-0000-0000E07F0000}"/>
    <cellStyle name="Note 4 4 2 6 4 8" xfId="30369" xr:uid="{00000000-0005-0000-0000-0000E17F0000}"/>
    <cellStyle name="Note 4 4 2 6 4 9" xfId="34033" xr:uid="{00000000-0005-0000-0000-0000E27F0000}"/>
    <cellStyle name="Note 4 4 2 6 5" xfId="4709" xr:uid="{00000000-0005-0000-0000-0000E37F0000}"/>
    <cellStyle name="Note 4 4 2 6 6" xfId="9051" xr:uid="{00000000-0005-0000-0000-0000E47F0000}"/>
    <cellStyle name="Note 4 4 2 6 7" xfId="12889" xr:uid="{00000000-0005-0000-0000-0000E57F0000}"/>
    <cellStyle name="Note 4 4 2 6 8" xfId="16719" xr:uid="{00000000-0005-0000-0000-0000E67F0000}"/>
    <cellStyle name="Note 4 4 2 6 9" xfId="20656" xr:uid="{00000000-0005-0000-0000-0000E77F0000}"/>
    <cellStyle name="Note 4 4 2 7" xfId="861" xr:uid="{00000000-0005-0000-0000-0000E87F0000}"/>
    <cellStyle name="Note 4 4 2 7 10" xfId="24585" xr:uid="{00000000-0005-0000-0000-0000E97F0000}"/>
    <cellStyle name="Note 4 4 2 7 11" xfId="28476" xr:uid="{00000000-0005-0000-0000-0000EA7F0000}"/>
    <cellStyle name="Note 4 4 2 7 12" xfId="32162" xr:uid="{00000000-0005-0000-0000-0000EB7F0000}"/>
    <cellStyle name="Note 4 4 2 7 13" xfId="35919" xr:uid="{00000000-0005-0000-0000-0000EC7F0000}"/>
    <cellStyle name="Note 4 4 2 7 14" xfId="39930" xr:uid="{00000000-0005-0000-0000-0000ED7F0000}"/>
    <cellStyle name="Note 4 4 2 7 15" xfId="43745" xr:uid="{00000000-0005-0000-0000-0000EE7F0000}"/>
    <cellStyle name="Note 4 4 2 7 2" xfId="1200" xr:uid="{00000000-0005-0000-0000-0000EF7F0000}"/>
    <cellStyle name="Note 4 4 2 7 2 10" xfId="28809" xr:uid="{00000000-0005-0000-0000-0000F07F0000}"/>
    <cellStyle name="Note 4 4 2 7 2 11" xfId="32492" xr:uid="{00000000-0005-0000-0000-0000F17F0000}"/>
    <cellStyle name="Note 4 4 2 7 2 12" xfId="36258" xr:uid="{00000000-0005-0000-0000-0000F27F0000}"/>
    <cellStyle name="Note 4 4 2 7 2 13" xfId="40252" xr:uid="{00000000-0005-0000-0000-0000F37F0000}"/>
    <cellStyle name="Note 4 4 2 7 2 14" xfId="44084" xr:uid="{00000000-0005-0000-0000-0000F47F0000}"/>
    <cellStyle name="Note 4 4 2 7 2 2" xfId="1922" xr:uid="{00000000-0005-0000-0000-0000F57F0000}"/>
    <cellStyle name="Note 4 4 2 7 2 2 10" xfId="33209" xr:uid="{00000000-0005-0000-0000-0000F67F0000}"/>
    <cellStyle name="Note 4 4 2 7 2 2 11" xfId="36979" xr:uid="{00000000-0005-0000-0000-0000F77F0000}"/>
    <cellStyle name="Note 4 4 2 7 2 2 12" xfId="40970" xr:uid="{00000000-0005-0000-0000-0000F87F0000}"/>
    <cellStyle name="Note 4 4 2 7 2 2 13" xfId="44801" xr:uid="{00000000-0005-0000-0000-0000F97F0000}"/>
    <cellStyle name="Note 4 4 2 7 2 2 2" xfId="3912" xr:uid="{00000000-0005-0000-0000-0000FA7F0000}"/>
    <cellStyle name="Note 4 4 2 7 2 2 2 10" xfId="38963" xr:uid="{00000000-0005-0000-0000-0000FB7F0000}"/>
    <cellStyle name="Note 4 4 2 7 2 2 2 11" xfId="42974" xr:uid="{00000000-0005-0000-0000-0000FC7F0000}"/>
    <cellStyle name="Note 4 4 2 7 2 2 2 12" xfId="46739" xr:uid="{00000000-0005-0000-0000-0000FD7F0000}"/>
    <cellStyle name="Note 4 4 2 7 2 2 2 2" xfId="7779" xr:uid="{00000000-0005-0000-0000-0000FE7F0000}"/>
    <cellStyle name="Note 4 4 2 7 2 2 2 3" xfId="12214" xr:uid="{00000000-0005-0000-0000-0000FF7F0000}"/>
    <cellStyle name="Note 4 4 2 7 2 2 2 4" xfId="16059" xr:uid="{00000000-0005-0000-0000-000000800000}"/>
    <cellStyle name="Note 4 4 2 7 2 2 2 5" xfId="19906" xr:uid="{00000000-0005-0000-0000-000001800000}"/>
    <cellStyle name="Note 4 4 2 7 2 2 2 6" xfId="23822" xr:uid="{00000000-0005-0000-0000-000002800000}"/>
    <cellStyle name="Note 4 4 2 7 2 2 2 7" xfId="27656" xr:uid="{00000000-0005-0000-0000-000003800000}"/>
    <cellStyle name="Note 4 4 2 7 2 2 2 8" xfId="31518" xr:uid="{00000000-0005-0000-0000-000004800000}"/>
    <cellStyle name="Note 4 4 2 7 2 2 2 9" xfId="35177" xr:uid="{00000000-0005-0000-0000-000005800000}"/>
    <cellStyle name="Note 4 4 2 7 2 2 3" xfId="5855" xr:uid="{00000000-0005-0000-0000-000006800000}"/>
    <cellStyle name="Note 4 4 2 7 2 2 4" xfId="10213" xr:uid="{00000000-0005-0000-0000-000007800000}"/>
    <cellStyle name="Note 4 4 2 7 2 2 5" xfId="14059" xr:uid="{00000000-0005-0000-0000-000008800000}"/>
    <cellStyle name="Note 4 4 2 7 2 2 6" xfId="17888" xr:uid="{00000000-0005-0000-0000-000009800000}"/>
    <cellStyle name="Note 4 4 2 7 2 2 7" xfId="21827" xr:uid="{00000000-0005-0000-0000-00000A800000}"/>
    <cellStyle name="Note 4 4 2 7 2 2 8" xfId="25640" xr:uid="{00000000-0005-0000-0000-00000B800000}"/>
    <cellStyle name="Note 4 4 2 7 2 2 9" xfId="29527" xr:uid="{00000000-0005-0000-0000-00000C800000}"/>
    <cellStyle name="Note 4 4 2 7 2 3" xfId="3190" xr:uid="{00000000-0005-0000-0000-00000D800000}"/>
    <cellStyle name="Note 4 4 2 7 2 3 10" xfId="38242" xr:uid="{00000000-0005-0000-0000-00000E800000}"/>
    <cellStyle name="Note 4 4 2 7 2 3 11" xfId="42253" xr:uid="{00000000-0005-0000-0000-00000F800000}"/>
    <cellStyle name="Note 4 4 2 7 2 3 12" xfId="46022" xr:uid="{00000000-0005-0000-0000-000010800000}"/>
    <cellStyle name="Note 4 4 2 7 2 3 2" xfId="7062" xr:uid="{00000000-0005-0000-0000-000011800000}"/>
    <cellStyle name="Note 4 4 2 7 2 3 3" xfId="11494" xr:uid="{00000000-0005-0000-0000-000012800000}"/>
    <cellStyle name="Note 4 4 2 7 2 3 4" xfId="15338" xr:uid="{00000000-0005-0000-0000-000013800000}"/>
    <cellStyle name="Note 4 4 2 7 2 3 5" xfId="19184" xr:uid="{00000000-0005-0000-0000-000014800000}"/>
    <cellStyle name="Note 4 4 2 7 2 3 6" xfId="23103" xr:uid="{00000000-0005-0000-0000-000015800000}"/>
    <cellStyle name="Note 4 4 2 7 2 3 7" xfId="26935" xr:uid="{00000000-0005-0000-0000-000016800000}"/>
    <cellStyle name="Note 4 4 2 7 2 3 8" xfId="30806" xr:uid="{00000000-0005-0000-0000-000017800000}"/>
    <cellStyle name="Note 4 4 2 7 2 3 9" xfId="34460" xr:uid="{00000000-0005-0000-0000-000018800000}"/>
    <cellStyle name="Note 4 4 2 7 2 4" xfId="5138" xr:uid="{00000000-0005-0000-0000-000019800000}"/>
    <cellStyle name="Note 4 4 2 7 2 5" xfId="9494" xr:uid="{00000000-0005-0000-0000-00001A800000}"/>
    <cellStyle name="Note 4 4 2 7 2 6" xfId="13338" xr:uid="{00000000-0005-0000-0000-00001B800000}"/>
    <cellStyle name="Note 4 4 2 7 2 7" xfId="17166" xr:uid="{00000000-0005-0000-0000-00001C800000}"/>
    <cellStyle name="Note 4 4 2 7 2 8" xfId="21108" xr:uid="{00000000-0005-0000-0000-00001D800000}"/>
    <cellStyle name="Note 4 4 2 7 2 9" xfId="24919" xr:uid="{00000000-0005-0000-0000-00001E800000}"/>
    <cellStyle name="Note 4 4 2 7 3" xfId="1592" xr:uid="{00000000-0005-0000-0000-00001F800000}"/>
    <cellStyle name="Note 4 4 2 7 3 10" xfId="32879" xr:uid="{00000000-0005-0000-0000-000020800000}"/>
    <cellStyle name="Note 4 4 2 7 3 11" xfId="36649" xr:uid="{00000000-0005-0000-0000-000021800000}"/>
    <cellStyle name="Note 4 4 2 7 3 12" xfId="40640" xr:uid="{00000000-0005-0000-0000-000022800000}"/>
    <cellStyle name="Note 4 4 2 7 3 13" xfId="44471" xr:uid="{00000000-0005-0000-0000-000023800000}"/>
    <cellStyle name="Note 4 4 2 7 3 2" xfId="3582" xr:uid="{00000000-0005-0000-0000-000024800000}"/>
    <cellStyle name="Note 4 4 2 7 3 2 10" xfId="38633" xr:uid="{00000000-0005-0000-0000-000025800000}"/>
    <cellStyle name="Note 4 4 2 7 3 2 11" xfId="42644" xr:uid="{00000000-0005-0000-0000-000026800000}"/>
    <cellStyle name="Note 4 4 2 7 3 2 12" xfId="46409" xr:uid="{00000000-0005-0000-0000-000027800000}"/>
    <cellStyle name="Note 4 4 2 7 3 2 2" xfId="7449" xr:uid="{00000000-0005-0000-0000-000028800000}"/>
    <cellStyle name="Note 4 4 2 7 3 2 3" xfId="11884" xr:uid="{00000000-0005-0000-0000-000029800000}"/>
    <cellStyle name="Note 4 4 2 7 3 2 4" xfId="15729" xr:uid="{00000000-0005-0000-0000-00002A800000}"/>
    <cellStyle name="Note 4 4 2 7 3 2 5" xfId="19576" xr:uid="{00000000-0005-0000-0000-00002B800000}"/>
    <cellStyle name="Note 4 4 2 7 3 2 6" xfId="23492" xr:uid="{00000000-0005-0000-0000-00002C800000}"/>
    <cellStyle name="Note 4 4 2 7 3 2 7" xfId="27326" xr:uid="{00000000-0005-0000-0000-00002D800000}"/>
    <cellStyle name="Note 4 4 2 7 3 2 8" xfId="31192" xr:uid="{00000000-0005-0000-0000-00002E800000}"/>
    <cellStyle name="Note 4 4 2 7 3 2 9" xfId="34847" xr:uid="{00000000-0005-0000-0000-00002F800000}"/>
    <cellStyle name="Note 4 4 2 7 3 3" xfId="5525" xr:uid="{00000000-0005-0000-0000-000030800000}"/>
    <cellStyle name="Note 4 4 2 7 3 4" xfId="9883" xr:uid="{00000000-0005-0000-0000-000031800000}"/>
    <cellStyle name="Note 4 4 2 7 3 5" xfId="13729" xr:uid="{00000000-0005-0000-0000-000032800000}"/>
    <cellStyle name="Note 4 4 2 7 3 6" xfId="17558" xr:uid="{00000000-0005-0000-0000-000033800000}"/>
    <cellStyle name="Note 4 4 2 7 3 7" xfId="21497" xr:uid="{00000000-0005-0000-0000-000034800000}"/>
    <cellStyle name="Note 4 4 2 7 3 8" xfId="25310" xr:uid="{00000000-0005-0000-0000-000035800000}"/>
    <cellStyle name="Note 4 4 2 7 3 9" xfId="29197" xr:uid="{00000000-0005-0000-0000-000036800000}"/>
    <cellStyle name="Note 4 4 2 7 4" xfId="2851" xr:uid="{00000000-0005-0000-0000-000037800000}"/>
    <cellStyle name="Note 4 4 2 7 4 10" xfId="37903" xr:uid="{00000000-0005-0000-0000-000038800000}"/>
    <cellStyle name="Note 4 4 2 7 4 11" xfId="41915" xr:uid="{00000000-0005-0000-0000-000039800000}"/>
    <cellStyle name="Note 4 4 2 7 4 12" xfId="45692" xr:uid="{00000000-0005-0000-0000-00003A800000}"/>
    <cellStyle name="Note 4 4 2 7 4 2" xfId="6731" xr:uid="{00000000-0005-0000-0000-00003B800000}"/>
    <cellStyle name="Note 4 4 2 7 4 3" xfId="11158" xr:uid="{00000000-0005-0000-0000-00003C800000}"/>
    <cellStyle name="Note 4 4 2 7 4 4" xfId="15003" xr:uid="{00000000-0005-0000-0000-00003D800000}"/>
    <cellStyle name="Note 4 4 2 7 4 5" xfId="18845" xr:uid="{00000000-0005-0000-0000-00003E800000}"/>
    <cellStyle name="Note 4 4 2 7 4 6" xfId="22771" xr:uid="{00000000-0005-0000-0000-00003F800000}"/>
    <cellStyle name="Note 4 4 2 7 4 7" xfId="26596" xr:uid="{00000000-0005-0000-0000-000040800000}"/>
    <cellStyle name="Note 4 4 2 7 4 8" xfId="30473" xr:uid="{00000000-0005-0000-0000-000041800000}"/>
    <cellStyle name="Note 4 4 2 7 4 9" xfId="34130" xr:uid="{00000000-0005-0000-0000-000042800000}"/>
    <cellStyle name="Note 4 4 2 7 5" xfId="4807" xr:uid="{00000000-0005-0000-0000-000043800000}"/>
    <cellStyle name="Note 4 4 2 7 6" xfId="9161" xr:uid="{00000000-0005-0000-0000-000044800000}"/>
    <cellStyle name="Note 4 4 2 7 7" xfId="13002" xr:uid="{00000000-0005-0000-0000-000045800000}"/>
    <cellStyle name="Note 4 4 2 7 8" xfId="16827" xr:uid="{00000000-0005-0000-0000-000046800000}"/>
    <cellStyle name="Note 4 4 2 7 9" xfId="20769" xr:uid="{00000000-0005-0000-0000-000047800000}"/>
    <cellStyle name="Note 4 4 2 8" xfId="824" xr:uid="{00000000-0005-0000-0000-000048800000}"/>
    <cellStyle name="Note 4 4 2 8 10" xfId="28439" xr:uid="{00000000-0005-0000-0000-000049800000}"/>
    <cellStyle name="Note 4 4 2 8 11" xfId="32125" xr:uid="{00000000-0005-0000-0000-00004A800000}"/>
    <cellStyle name="Note 4 4 2 8 12" xfId="35882" xr:uid="{00000000-0005-0000-0000-00004B800000}"/>
    <cellStyle name="Note 4 4 2 8 13" xfId="39893" xr:uid="{00000000-0005-0000-0000-00004C800000}"/>
    <cellStyle name="Note 4 4 2 8 14" xfId="43708" xr:uid="{00000000-0005-0000-0000-00004D800000}"/>
    <cellStyle name="Note 4 4 2 8 2" xfId="1555" xr:uid="{00000000-0005-0000-0000-00004E800000}"/>
    <cellStyle name="Note 4 4 2 8 2 10" xfId="32842" xr:uid="{00000000-0005-0000-0000-00004F800000}"/>
    <cellStyle name="Note 4 4 2 8 2 11" xfId="36612" xr:uid="{00000000-0005-0000-0000-000050800000}"/>
    <cellStyle name="Note 4 4 2 8 2 12" xfId="40603" xr:uid="{00000000-0005-0000-0000-000051800000}"/>
    <cellStyle name="Note 4 4 2 8 2 13" xfId="44434" xr:uid="{00000000-0005-0000-0000-000052800000}"/>
    <cellStyle name="Note 4 4 2 8 2 2" xfId="3545" xr:uid="{00000000-0005-0000-0000-000053800000}"/>
    <cellStyle name="Note 4 4 2 8 2 2 10" xfId="38596" xr:uid="{00000000-0005-0000-0000-000054800000}"/>
    <cellStyle name="Note 4 4 2 8 2 2 11" xfId="42607" xr:uid="{00000000-0005-0000-0000-000055800000}"/>
    <cellStyle name="Note 4 4 2 8 2 2 12" xfId="46372" xr:uid="{00000000-0005-0000-0000-000056800000}"/>
    <cellStyle name="Note 4 4 2 8 2 2 2" xfId="7412" xr:uid="{00000000-0005-0000-0000-000057800000}"/>
    <cellStyle name="Note 4 4 2 8 2 2 3" xfId="11847" xr:uid="{00000000-0005-0000-0000-000058800000}"/>
    <cellStyle name="Note 4 4 2 8 2 2 4" xfId="15692" xr:uid="{00000000-0005-0000-0000-000059800000}"/>
    <cellStyle name="Note 4 4 2 8 2 2 5" xfId="19539" xr:uid="{00000000-0005-0000-0000-00005A800000}"/>
    <cellStyle name="Note 4 4 2 8 2 2 6" xfId="23455" xr:uid="{00000000-0005-0000-0000-00005B800000}"/>
    <cellStyle name="Note 4 4 2 8 2 2 7" xfId="27289" xr:uid="{00000000-0005-0000-0000-00005C800000}"/>
    <cellStyle name="Note 4 4 2 8 2 2 8" xfId="31155" xr:uid="{00000000-0005-0000-0000-00005D800000}"/>
    <cellStyle name="Note 4 4 2 8 2 2 9" xfId="34810" xr:uid="{00000000-0005-0000-0000-00005E800000}"/>
    <cellStyle name="Note 4 4 2 8 2 3" xfId="5488" xr:uid="{00000000-0005-0000-0000-00005F800000}"/>
    <cellStyle name="Note 4 4 2 8 2 4" xfId="9846" xr:uid="{00000000-0005-0000-0000-000060800000}"/>
    <cellStyle name="Note 4 4 2 8 2 5" xfId="13692" xr:uid="{00000000-0005-0000-0000-000061800000}"/>
    <cellStyle name="Note 4 4 2 8 2 6" xfId="17521" xr:uid="{00000000-0005-0000-0000-000062800000}"/>
    <cellStyle name="Note 4 4 2 8 2 7" xfId="21460" xr:uid="{00000000-0005-0000-0000-000063800000}"/>
    <cellStyle name="Note 4 4 2 8 2 8" xfId="25273" xr:uid="{00000000-0005-0000-0000-000064800000}"/>
    <cellStyle name="Note 4 4 2 8 2 9" xfId="29160" xr:uid="{00000000-0005-0000-0000-000065800000}"/>
    <cellStyle name="Note 4 4 2 8 3" xfId="2814" xr:uid="{00000000-0005-0000-0000-000066800000}"/>
    <cellStyle name="Note 4 4 2 8 3 10" xfId="37866" xr:uid="{00000000-0005-0000-0000-000067800000}"/>
    <cellStyle name="Note 4 4 2 8 3 11" xfId="41878" xr:uid="{00000000-0005-0000-0000-000068800000}"/>
    <cellStyle name="Note 4 4 2 8 3 12" xfId="45655" xr:uid="{00000000-0005-0000-0000-000069800000}"/>
    <cellStyle name="Note 4 4 2 8 3 2" xfId="6694" xr:uid="{00000000-0005-0000-0000-00006A800000}"/>
    <cellStyle name="Note 4 4 2 8 3 3" xfId="11121" xr:uid="{00000000-0005-0000-0000-00006B800000}"/>
    <cellStyle name="Note 4 4 2 8 3 4" xfId="14966" xr:uid="{00000000-0005-0000-0000-00006C800000}"/>
    <cellStyle name="Note 4 4 2 8 3 5" xfId="18808" xr:uid="{00000000-0005-0000-0000-00006D800000}"/>
    <cellStyle name="Note 4 4 2 8 3 6" xfId="22734" xr:uid="{00000000-0005-0000-0000-00006E800000}"/>
    <cellStyle name="Note 4 4 2 8 3 7" xfId="26559" xr:uid="{00000000-0005-0000-0000-00006F800000}"/>
    <cellStyle name="Note 4 4 2 8 3 8" xfId="30436" xr:uid="{00000000-0005-0000-0000-000070800000}"/>
    <cellStyle name="Note 4 4 2 8 3 9" xfId="34093" xr:uid="{00000000-0005-0000-0000-000071800000}"/>
    <cellStyle name="Note 4 4 2 8 4" xfId="4770" xr:uid="{00000000-0005-0000-0000-000072800000}"/>
    <cellStyle name="Note 4 4 2 8 5" xfId="9124" xr:uid="{00000000-0005-0000-0000-000073800000}"/>
    <cellStyle name="Note 4 4 2 8 6" xfId="12965" xr:uid="{00000000-0005-0000-0000-000074800000}"/>
    <cellStyle name="Note 4 4 2 8 7" xfId="16790" xr:uid="{00000000-0005-0000-0000-000075800000}"/>
    <cellStyle name="Note 4 4 2 8 8" xfId="20732" xr:uid="{00000000-0005-0000-0000-000076800000}"/>
    <cellStyle name="Note 4 4 2 8 9" xfId="24548" xr:uid="{00000000-0005-0000-0000-000077800000}"/>
    <cellStyle name="Note 4 4 2 9" xfId="1287" xr:uid="{00000000-0005-0000-0000-000078800000}"/>
    <cellStyle name="Note 4 4 2 9 10" xfId="32574" xr:uid="{00000000-0005-0000-0000-000079800000}"/>
    <cellStyle name="Note 4 4 2 9 11" xfId="36344" xr:uid="{00000000-0005-0000-0000-00007A800000}"/>
    <cellStyle name="Note 4 4 2 9 12" xfId="40336" xr:uid="{00000000-0005-0000-0000-00007B800000}"/>
    <cellStyle name="Note 4 4 2 9 13" xfId="44166" xr:uid="{00000000-0005-0000-0000-00007C800000}"/>
    <cellStyle name="Note 4 4 2 9 2" xfId="3277" xr:uid="{00000000-0005-0000-0000-00007D800000}"/>
    <cellStyle name="Note 4 4 2 9 2 10" xfId="38328" xr:uid="{00000000-0005-0000-0000-00007E800000}"/>
    <cellStyle name="Note 4 4 2 9 2 11" xfId="42339" xr:uid="{00000000-0005-0000-0000-00007F800000}"/>
    <cellStyle name="Note 4 4 2 9 2 12" xfId="46104" xr:uid="{00000000-0005-0000-0000-000080800000}"/>
    <cellStyle name="Note 4 4 2 9 2 2" xfId="7144" xr:uid="{00000000-0005-0000-0000-000081800000}"/>
    <cellStyle name="Note 4 4 2 9 2 3" xfId="11579" xr:uid="{00000000-0005-0000-0000-000082800000}"/>
    <cellStyle name="Note 4 4 2 9 2 4" xfId="15424" xr:uid="{00000000-0005-0000-0000-000083800000}"/>
    <cellStyle name="Note 4 4 2 9 2 5" xfId="19271" xr:uid="{00000000-0005-0000-0000-000084800000}"/>
    <cellStyle name="Note 4 4 2 9 2 6" xfId="23187" xr:uid="{00000000-0005-0000-0000-000085800000}"/>
    <cellStyle name="Note 4 4 2 9 2 7" xfId="27021" xr:uid="{00000000-0005-0000-0000-000086800000}"/>
    <cellStyle name="Note 4 4 2 9 2 8" xfId="30891" xr:uid="{00000000-0005-0000-0000-000087800000}"/>
    <cellStyle name="Note 4 4 2 9 2 9" xfId="34542" xr:uid="{00000000-0005-0000-0000-000088800000}"/>
    <cellStyle name="Note 4 4 2 9 3" xfId="5220" xr:uid="{00000000-0005-0000-0000-000089800000}"/>
    <cellStyle name="Note 4 4 2 9 4" xfId="9578" xr:uid="{00000000-0005-0000-0000-00008A800000}"/>
    <cellStyle name="Note 4 4 2 9 5" xfId="13424" xr:uid="{00000000-0005-0000-0000-00008B800000}"/>
    <cellStyle name="Note 4 4 2 9 6" xfId="17253" xr:uid="{00000000-0005-0000-0000-00008C800000}"/>
    <cellStyle name="Note 4 4 2 9 7" xfId="21192" xr:uid="{00000000-0005-0000-0000-00008D800000}"/>
    <cellStyle name="Note 4 4 2 9 8" xfId="25005" xr:uid="{00000000-0005-0000-0000-00008E800000}"/>
    <cellStyle name="Note 4 4 2 9 9" xfId="28893" xr:uid="{00000000-0005-0000-0000-00008F800000}"/>
    <cellStyle name="Note 4 4 20" xfId="2535" xr:uid="{00000000-0005-0000-0000-000090800000}"/>
    <cellStyle name="Note 4 4 20 10" xfId="37587" xr:uid="{00000000-0005-0000-0000-000091800000}"/>
    <cellStyle name="Note 4 4 20 11" xfId="41601" xr:uid="{00000000-0005-0000-0000-000092800000}"/>
    <cellStyle name="Note 4 4 20 12" xfId="45390" xr:uid="{00000000-0005-0000-0000-000093800000}"/>
    <cellStyle name="Note 4 4 20 2" xfId="6427" xr:uid="{00000000-0005-0000-0000-000094800000}"/>
    <cellStyle name="Note 4 4 20 3" xfId="10850" xr:uid="{00000000-0005-0000-0000-000095800000}"/>
    <cellStyle name="Note 4 4 20 4" xfId="14694" xr:uid="{00000000-0005-0000-0000-000096800000}"/>
    <cellStyle name="Note 4 4 20 5" xfId="18529" xr:uid="{00000000-0005-0000-0000-000097800000}"/>
    <cellStyle name="Note 4 4 20 6" xfId="22464" xr:uid="{00000000-0005-0000-0000-000098800000}"/>
    <cellStyle name="Note 4 4 20 7" xfId="26280" xr:uid="{00000000-0005-0000-0000-000099800000}"/>
    <cellStyle name="Note 4 4 20 8" xfId="30159" xr:uid="{00000000-0005-0000-0000-00009A800000}"/>
    <cellStyle name="Note 4 4 20 9" xfId="33828" xr:uid="{00000000-0005-0000-0000-00009B800000}"/>
    <cellStyle name="Note 4 4 21" xfId="8710" xr:uid="{00000000-0005-0000-0000-00009C800000}"/>
    <cellStyle name="Note 4 4 22" xfId="8802" xr:uid="{00000000-0005-0000-0000-00009D800000}"/>
    <cellStyle name="Note 4 4 23" xfId="8524" xr:uid="{00000000-0005-0000-0000-00009E800000}"/>
    <cellStyle name="Note 4 4 24" xfId="8837" xr:uid="{00000000-0005-0000-0000-00009F800000}"/>
    <cellStyle name="Note 4 4 25" xfId="8616" xr:uid="{00000000-0005-0000-0000-0000A0800000}"/>
    <cellStyle name="Note 4 4 26" xfId="8453" xr:uid="{00000000-0005-0000-0000-0000A1800000}"/>
    <cellStyle name="Note 4 4 27" xfId="14934" xr:uid="{00000000-0005-0000-0000-0000A2800000}"/>
    <cellStyle name="Note 4 4 28" xfId="29683" xr:uid="{00000000-0005-0000-0000-0000A3800000}"/>
    <cellStyle name="Note 4 4 29" xfId="39624" xr:uid="{00000000-0005-0000-0000-0000A4800000}"/>
    <cellStyle name="Note 4 4 3" xfId="490" xr:uid="{00000000-0005-0000-0000-0000A5800000}"/>
    <cellStyle name="Note 4 4 3 10" xfId="1288" xr:uid="{00000000-0005-0000-0000-0000A6800000}"/>
    <cellStyle name="Note 4 4 3 10 10" xfId="32575" xr:uid="{00000000-0005-0000-0000-0000A7800000}"/>
    <cellStyle name="Note 4 4 3 10 11" xfId="36345" xr:uid="{00000000-0005-0000-0000-0000A8800000}"/>
    <cellStyle name="Note 4 4 3 10 12" xfId="40337" xr:uid="{00000000-0005-0000-0000-0000A9800000}"/>
    <cellStyle name="Note 4 4 3 10 13" xfId="44167" xr:uid="{00000000-0005-0000-0000-0000AA800000}"/>
    <cellStyle name="Note 4 4 3 10 2" xfId="3278" xr:uid="{00000000-0005-0000-0000-0000AB800000}"/>
    <cellStyle name="Note 4 4 3 10 2 10" xfId="38329" xr:uid="{00000000-0005-0000-0000-0000AC800000}"/>
    <cellStyle name="Note 4 4 3 10 2 11" xfId="42340" xr:uid="{00000000-0005-0000-0000-0000AD800000}"/>
    <cellStyle name="Note 4 4 3 10 2 12" xfId="46105" xr:uid="{00000000-0005-0000-0000-0000AE800000}"/>
    <cellStyle name="Note 4 4 3 10 2 2" xfId="7145" xr:uid="{00000000-0005-0000-0000-0000AF800000}"/>
    <cellStyle name="Note 4 4 3 10 2 3" xfId="11580" xr:uid="{00000000-0005-0000-0000-0000B0800000}"/>
    <cellStyle name="Note 4 4 3 10 2 4" xfId="15425" xr:uid="{00000000-0005-0000-0000-0000B1800000}"/>
    <cellStyle name="Note 4 4 3 10 2 5" xfId="19272" xr:uid="{00000000-0005-0000-0000-0000B2800000}"/>
    <cellStyle name="Note 4 4 3 10 2 6" xfId="23188" xr:uid="{00000000-0005-0000-0000-0000B3800000}"/>
    <cellStyle name="Note 4 4 3 10 2 7" xfId="27022" xr:uid="{00000000-0005-0000-0000-0000B4800000}"/>
    <cellStyle name="Note 4 4 3 10 2 8" xfId="30892" xr:uid="{00000000-0005-0000-0000-0000B5800000}"/>
    <cellStyle name="Note 4 4 3 10 2 9" xfId="34543" xr:uid="{00000000-0005-0000-0000-0000B6800000}"/>
    <cellStyle name="Note 4 4 3 10 3" xfId="5221" xr:uid="{00000000-0005-0000-0000-0000B7800000}"/>
    <cellStyle name="Note 4 4 3 10 4" xfId="9579" xr:uid="{00000000-0005-0000-0000-0000B8800000}"/>
    <cellStyle name="Note 4 4 3 10 5" xfId="13425" xr:uid="{00000000-0005-0000-0000-0000B9800000}"/>
    <cellStyle name="Note 4 4 3 10 6" xfId="17254" xr:uid="{00000000-0005-0000-0000-0000BA800000}"/>
    <cellStyle name="Note 4 4 3 10 7" xfId="21193" xr:uid="{00000000-0005-0000-0000-0000BB800000}"/>
    <cellStyle name="Note 4 4 3 10 8" xfId="25006" xr:uid="{00000000-0005-0000-0000-0000BC800000}"/>
    <cellStyle name="Note 4 4 3 10 9" xfId="28894" xr:uid="{00000000-0005-0000-0000-0000BD800000}"/>
    <cellStyle name="Note 4 4 3 11" xfId="1984" xr:uid="{00000000-0005-0000-0000-0000BE800000}"/>
    <cellStyle name="Note 4 4 3 11 10" xfId="33271" xr:uid="{00000000-0005-0000-0000-0000BF800000}"/>
    <cellStyle name="Note 4 4 3 11 11" xfId="37041" xr:uid="{00000000-0005-0000-0000-0000C0800000}"/>
    <cellStyle name="Note 4 4 3 11 12" xfId="41032" xr:uid="{00000000-0005-0000-0000-0000C1800000}"/>
    <cellStyle name="Note 4 4 3 11 13" xfId="44863" xr:uid="{00000000-0005-0000-0000-0000C2800000}"/>
    <cellStyle name="Note 4 4 3 11 2" xfId="3974" xr:uid="{00000000-0005-0000-0000-0000C3800000}"/>
    <cellStyle name="Note 4 4 3 11 2 10" xfId="39025" xr:uid="{00000000-0005-0000-0000-0000C4800000}"/>
    <cellStyle name="Note 4 4 3 11 2 11" xfId="43036" xr:uid="{00000000-0005-0000-0000-0000C5800000}"/>
    <cellStyle name="Note 4 4 3 11 2 12" xfId="46801" xr:uid="{00000000-0005-0000-0000-0000C6800000}"/>
    <cellStyle name="Note 4 4 3 11 2 2" xfId="7841" xr:uid="{00000000-0005-0000-0000-0000C7800000}"/>
    <cellStyle name="Note 4 4 3 11 2 3" xfId="12276" xr:uid="{00000000-0005-0000-0000-0000C8800000}"/>
    <cellStyle name="Note 4 4 3 11 2 4" xfId="16121" xr:uid="{00000000-0005-0000-0000-0000C9800000}"/>
    <cellStyle name="Note 4 4 3 11 2 5" xfId="19968" xr:uid="{00000000-0005-0000-0000-0000CA800000}"/>
    <cellStyle name="Note 4 4 3 11 2 6" xfId="23884" xr:uid="{00000000-0005-0000-0000-0000CB800000}"/>
    <cellStyle name="Note 4 4 3 11 2 7" xfId="27718" xr:uid="{00000000-0005-0000-0000-0000CC800000}"/>
    <cellStyle name="Note 4 4 3 11 2 8" xfId="31578" xr:uid="{00000000-0005-0000-0000-0000CD800000}"/>
    <cellStyle name="Note 4 4 3 11 2 9" xfId="35239" xr:uid="{00000000-0005-0000-0000-0000CE800000}"/>
    <cellStyle name="Note 4 4 3 11 3" xfId="5917" xr:uid="{00000000-0005-0000-0000-0000CF800000}"/>
    <cellStyle name="Note 4 4 3 11 4" xfId="10275" xr:uid="{00000000-0005-0000-0000-0000D0800000}"/>
    <cellStyle name="Note 4 4 3 11 5" xfId="14121" xr:uid="{00000000-0005-0000-0000-0000D1800000}"/>
    <cellStyle name="Note 4 4 3 11 6" xfId="17950" xr:uid="{00000000-0005-0000-0000-0000D2800000}"/>
    <cellStyle name="Note 4 4 3 11 7" xfId="21889" xr:uid="{00000000-0005-0000-0000-0000D3800000}"/>
    <cellStyle name="Note 4 4 3 11 8" xfId="25702" xr:uid="{00000000-0005-0000-0000-0000D4800000}"/>
    <cellStyle name="Note 4 4 3 11 9" xfId="29589" xr:uid="{00000000-0005-0000-0000-0000D5800000}"/>
    <cellStyle name="Note 4 4 3 12" xfId="1255" xr:uid="{00000000-0005-0000-0000-0000D6800000}"/>
    <cellStyle name="Note 4 4 3 12 10" xfId="32542" xr:uid="{00000000-0005-0000-0000-0000D7800000}"/>
    <cellStyle name="Note 4 4 3 12 11" xfId="36312" xr:uid="{00000000-0005-0000-0000-0000D8800000}"/>
    <cellStyle name="Note 4 4 3 12 12" xfId="40304" xr:uid="{00000000-0005-0000-0000-0000D9800000}"/>
    <cellStyle name="Note 4 4 3 12 13" xfId="44134" xr:uid="{00000000-0005-0000-0000-0000DA800000}"/>
    <cellStyle name="Note 4 4 3 12 2" xfId="3245" xr:uid="{00000000-0005-0000-0000-0000DB800000}"/>
    <cellStyle name="Note 4 4 3 12 2 10" xfId="38296" xr:uid="{00000000-0005-0000-0000-0000DC800000}"/>
    <cellStyle name="Note 4 4 3 12 2 11" xfId="42307" xr:uid="{00000000-0005-0000-0000-0000DD800000}"/>
    <cellStyle name="Note 4 4 3 12 2 12" xfId="46072" xr:uid="{00000000-0005-0000-0000-0000DE800000}"/>
    <cellStyle name="Note 4 4 3 12 2 2" xfId="7112" xr:uid="{00000000-0005-0000-0000-0000DF800000}"/>
    <cellStyle name="Note 4 4 3 12 2 3" xfId="11547" xr:uid="{00000000-0005-0000-0000-0000E0800000}"/>
    <cellStyle name="Note 4 4 3 12 2 4" xfId="15392" xr:uid="{00000000-0005-0000-0000-0000E1800000}"/>
    <cellStyle name="Note 4 4 3 12 2 5" xfId="19239" xr:uid="{00000000-0005-0000-0000-0000E2800000}"/>
    <cellStyle name="Note 4 4 3 12 2 6" xfId="23155" xr:uid="{00000000-0005-0000-0000-0000E3800000}"/>
    <cellStyle name="Note 4 4 3 12 2 7" xfId="26989" xr:uid="{00000000-0005-0000-0000-0000E4800000}"/>
    <cellStyle name="Note 4 4 3 12 2 8" xfId="30859" xr:uid="{00000000-0005-0000-0000-0000E5800000}"/>
    <cellStyle name="Note 4 4 3 12 2 9" xfId="34510" xr:uid="{00000000-0005-0000-0000-0000E6800000}"/>
    <cellStyle name="Note 4 4 3 12 3" xfId="5188" xr:uid="{00000000-0005-0000-0000-0000E7800000}"/>
    <cellStyle name="Note 4 4 3 12 4" xfId="9546" xr:uid="{00000000-0005-0000-0000-0000E8800000}"/>
    <cellStyle name="Note 4 4 3 12 5" xfId="13392" xr:uid="{00000000-0005-0000-0000-0000E9800000}"/>
    <cellStyle name="Note 4 4 3 12 6" xfId="17221" xr:uid="{00000000-0005-0000-0000-0000EA800000}"/>
    <cellStyle name="Note 4 4 3 12 7" xfId="21160" xr:uid="{00000000-0005-0000-0000-0000EB800000}"/>
    <cellStyle name="Note 4 4 3 12 8" xfId="24973" xr:uid="{00000000-0005-0000-0000-0000EC800000}"/>
    <cellStyle name="Note 4 4 3 12 9" xfId="28861" xr:uid="{00000000-0005-0000-0000-0000ED800000}"/>
    <cellStyle name="Note 4 4 3 13" xfId="2169" xr:uid="{00000000-0005-0000-0000-0000EE800000}"/>
    <cellStyle name="Note 4 4 3 13 10" xfId="33470" xr:uid="{00000000-0005-0000-0000-0000EF800000}"/>
    <cellStyle name="Note 4 4 3 13 11" xfId="37221" xr:uid="{00000000-0005-0000-0000-0000F0800000}"/>
    <cellStyle name="Note 4 4 3 13 12" xfId="41237" xr:uid="{00000000-0005-0000-0000-0000F1800000}"/>
    <cellStyle name="Note 4 4 3 13 13" xfId="45032" xr:uid="{00000000-0005-0000-0000-0000F2800000}"/>
    <cellStyle name="Note 4 4 3 13 2" xfId="4152" xr:uid="{00000000-0005-0000-0000-0000F3800000}"/>
    <cellStyle name="Note 4 4 3 13 2 10" xfId="39203" xr:uid="{00000000-0005-0000-0000-0000F4800000}"/>
    <cellStyle name="Note 4 4 3 13 2 11" xfId="43213" xr:uid="{00000000-0005-0000-0000-0000F5800000}"/>
    <cellStyle name="Note 4 4 3 13 2 12" xfId="46970" xr:uid="{00000000-0005-0000-0000-0000F6800000}"/>
    <cellStyle name="Note 4 4 3 13 2 2" xfId="8011" xr:uid="{00000000-0005-0000-0000-0000F7800000}"/>
    <cellStyle name="Note 4 4 3 13 2 3" xfId="12451" xr:uid="{00000000-0005-0000-0000-0000F8800000}"/>
    <cellStyle name="Note 4 4 3 13 2 4" xfId="16296" xr:uid="{00000000-0005-0000-0000-0000F9800000}"/>
    <cellStyle name="Note 4 4 3 13 2 5" xfId="20146" xr:uid="{00000000-0005-0000-0000-0000FA800000}"/>
    <cellStyle name="Note 4 4 3 13 2 6" xfId="24058" xr:uid="{00000000-0005-0000-0000-0000FB800000}"/>
    <cellStyle name="Note 4 4 3 13 2 7" xfId="27896" xr:uid="{00000000-0005-0000-0000-0000FC800000}"/>
    <cellStyle name="Note 4 4 3 13 2 8" xfId="31755" xr:uid="{00000000-0005-0000-0000-0000FD800000}"/>
    <cellStyle name="Note 4 4 3 13 2 9" xfId="35408" xr:uid="{00000000-0005-0000-0000-0000FE800000}"/>
    <cellStyle name="Note 4 4 3 13 3" xfId="6085" xr:uid="{00000000-0005-0000-0000-0000FF800000}"/>
    <cellStyle name="Note 4 4 3 13 4" xfId="10486" xr:uid="{00000000-0005-0000-0000-000000810000}"/>
    <cellStyle name="Note 4 4 3 13 5" xfId="14332" xr:uid="{00000000-0005-0000-0000-000001810000}"/>
    <cellStyle name="Note 4 4 3 13 6" xfId="18163" xr:uid="{00000000-0005-0000-0000-000002810000}"/>
    <cellStyle name="Note 4 4 3 13 7" xfId="22102" xr:uid="{00000000-0005-0000-0000-000003810000}"/>
    <cellStyle name="Note 4 4 3 13 8" xfId="25914" xr:uid="{00000000-0005-0000-0000-000004810000}"/>
    <cellStyle name="Note 4 4 3 13 9" xfId="29794" xr:uid="{00000000-0005-0000-0000-000005810000}"/>
    <cellStyle name="Note 4 4 3 14" xfId="2239" xr:uid="{00000000-0005-0000-0000-000006810000}"/>
    <cellStyle name="Note 4 4 3 14 10" xfId="33540" xr:uid="{00000000-0005-0000-0000-000007810000}"/>
    <cellStyle name="Note 4 4 3 14 11" xfId="37291" xr:uid="{00000000-0005-0000-0000-000008810000}"/>
    <cellStyle name="Note 4 4 3 14 12" xfId="41307" xr:uid="{00000000-0005-0000-0000-000009810000}"/>
    <cellStyle name="Note 4 4 3 14 13" xfId="45102" xr:uid="{00000000-0005-0000-0000-00000A810000}"/>
    <cellStyle name="Note 4 4 3 14 2" xfId="4222" xr:uid="{00000000-0005-0000-0000-00000B810000}"/>
    <cellStyle name="Note 4 4 3 14 2 10" xfId="39273" xr:uid="{00000000-0005-0000-0000-00000C810000}"/>
    <cellStyle name="Note 4 4 3 14 2 11" xfId="43283" xr:uid="{00000000-0005-0000-0000-00000D810000}"/>
    <cellStyle name="Note 4 4 3 14 2 12" xfId="47040" xr:uid="{00000000-0005-0000-0000-00000E810000}"/>
    <cellStyle name="Note 4 4 3 14 2 2" xfId="8081" xr:uid="{00000000-0005-0000-0000-00000F810000}"/>
    <cellStyle name="Note 4 4 3 14 2 3" xfId="12521" xr:uid="{00000000-0005-0000-0000-000010810000}"/>
    <cellStyle name="Note 4 4 3 14 2 4" xfId="16366" xr:uid="{00000000-0005-0000-0000-000011810000}"/>
    <cellStyle name="Note 4 4 3 14 2 5" xfId="20216" xr:uid="{00000000-0005-0000-0000-000012810000}"/>
    <cellStyle name="Note 4 4 3 14 2 6" xfId="24128" xr:uid="{00000000-0005-0000-0000-000013810000}"/>
    <cellStyle name="Note 4 4 3 14 2 7" xfId="27966" xr:uid="{00000000-0005-0000-0000-000014810000}"/>
    <cellStyle name="Note 4 4 3 14 2 8" xfId="31825" xr:uid="{00000000-0005-0000-0000-000015810000}"/>
    <cellStyle name="Note 4 4 3 14 2 9" xfId="35478" xr:uid="{00000000-0005-0000-0000-000016810000}"/>
    <cellStyle name="Note 4 4 3 14 3" xfId="6153" xr:uid="{00000000-0005-0000-0000-000017810000}"/>
    <cellStyle name="Note 4 4 3 14 4" xfId="10556" xr:uid="{00000000-0005-0000-0000-000018810000}"/>
    <cellStyle name="Note 4 4 3 14 5" xfId="14402" xr:uid="{00000000-0005-0000-0000-000019810000}"/>
    <cellStyle name="Note 4 4 3 14 6" xfId="18233" xr:uid="{00000000-0005-0000-0000-00001A810000}"/>
    <cellStyle name="Note 4 4 3 14 7" xfId="22172" xr:uid="{00000000-0005-0000-0000-00001B810000}"/>
    <cellStyle name="Note 4 4 3 14 8" xfId="25984" xr:uid="{00000000-0005-0000-0000-00001C810000}"/>
    <cellStyle name="Note 4 4 3 14 9" xfId="29864" xr:uid="{00000000-0005-0000-0000-00001D810000}"/>
    <cellStyle name="Note 4 4 3 15" xfId="2287" xr:uid="{00000000-0005-0000-0000-00001E810000}"/>
    <cellStyle name="Note 4 4 3 15 10" xfId="33588" xr:uid="{00000000-0005-0000-0000-00001F810000}"/>
    <cellStyle name="Note 4 4 3 15 11" xfId="37339" xr:uid="{00000000-0005-0000-0000-000020810000}"/>
    <cellStyle name="Note 4 4 3 15 12" xfId="41355" xr:uid="{00000000-0005-0000-0000-000021810000}"/>
    <cellStyle name="Note 4 4 3 15 13" xfId="45150" xr:uid="{00000000-0005-0000-0000-000022810000}"/>
    <cellStyle name="Note 4 4 3 15 2" xfId="4270" xr:uid="{00000000-0005-0000-0000-000023810000}"/>
    <cellStyle name="Note 4 4 3 15 2 10" xfId="39321" xr:uid="{00000000-0005-0000-0000-000024810000}"/>
    <cellStyle name="Note 4 4 3 15 2 11" xfId="43331" xr:uid="{00000000-0005-0000-0000-000025810000}"/>
    <cellStyle name="Note 4 4 3 15 2 12" xfId="47088" xr:uid="{00000000-0005-0000-0000-000026810000}"/>
    <cellStyle name="Note 4 4 3 15 2 2" xfId="8129" xr:uid="{00000000-0005-0000-0000-000027810000}"/>
    <cellStyle name="Note 4 4 3 15 2 3" xfId="12569" xr:uid="{00000000-0005-0000-0000-000028810000}"/>
    <cellStyle name="Note 4 4 3 15 2 4" xfId="16414" xr:uid="{00000000-0005-0000-0000-000029810000}"/>
    <cellStyle name="Note 4 4 3 15 2 5" xfId="20264" xr:uid="{00000000-0005-0000-0000-00002A810000}"/>
    <cellStyle name="Note 4 4 3 15 2 6" xfId="24176" xr:uid="{00000000-0005-0000-0000-00002B810000}"/>
    <cellStyle name="Note 4 4 3 15 2 7" xfId="28014" xr:uid="{00000000-0005-0000-0000-00002C810000}"/>
    <cellStyle name="Note 4 4 3 15 2 8" xfId="31873" xr:uid="{00000000-0005-0000-0000-00002D810000}"/>
    <cellStyle name="Note 4 4 3 15 2 9" xfId="35526" xr:uid="{00000000-0005-0000-0000-00002E810000}"/>
    <cellStyle name="Note 4 4 3 15 3" xfId="6201" xr:uid="{00000000-0005-0000-0000-00002F810000}"/>
    <cellStyle name="Note 4 4 3 15 4" xfId="10604" xr:uid="{00000000-0005-0000-0000-000030810000}"/>
    <cellStyle name="Note 4 4 3 15 5" xfId="14450" xr:uid="{00000000-0005-0000-0000-000031810000}"/>
    <cellStyle name="Note 4 4 3 15 6" xfId="18281" xr:uid="{00000000-0005-0000-0000-000032810000}"/>
    <cellStyle name="Note 4 4 3 15 7" xfId="22220" xr:uid="{00000000-0005-0000-0000-000033810000}"/>
    <cellStyle name="Note 4 4 3 15 8" xfId="26032" xr:uid="{00000000-0005-0000-0000-000034810000}"/>
    <cellStyle name="Note 4 4 3 15 9" xfId="29912" xr:uid="{00000000-0005-0000-0000-000035810000}"/>
    <cellStyle name="Note 4 4 3 16" xfId="2355" xr:uid="{00000000-0005-0000-0000-000036810000}"/>
    <cellStyle name="Note 4 4 3 16 10" xfId="37407" xr:uid="{00000000-0005-0000-0000-000037810000}"/>
    <cellStyle name="Note 4 4 3 16 11" xfId="41423" xr:uid="{00000000-0005-0000-0000-000038810000}"/>
    <cellStyle name="Note 4 4 3 16 12" xfId="45216" xr:uid="{00000000-0005-0000-0000-000039810000}"/>
    <cellStyle name="Note 4 4 3 16 2" xfId="4338" xr:uid="{00000000-0005-0000-0000-00003A810000}"/>
    <cellStyle name="Note 4 4 3 16 2 10" xfId="39389" xr:uid="{00000000-0005-0000-0000-00003B810000}"/>
    <cellStyle name="Note 4 4 3 16 2 11" xfId="43399" xr:uid="{00000000-0005-0000-0000-00003C810000}"/>
    <cellStyle name="Note 4 4 3 16 2 12" xfId="47154" xr:uid="{00000000-0005-0000-0000-00003D810000}"/>
    <cellStyle name="Note 4 4 3 16 2 2" xfId="8195" xr:uid="{00000000-0005-0000-0000-00003E810000}"/>
    <cellStyle name="Note 4 4 3 16 2 3" xfId="12637" xr:uid="{00000000-0005-0000-0000-00003F810000}"/>
    <cellStyle name="Note 4 4 3 16 2 4" xfId="16481" xr:uid="{00000000-0005-0000-0000-000040810000}"/>
    <cellStyle name="Note 4 4 3 16 2 5" xfId="20332" xr:uid="{00000000-0005-0000-0000-000041810000}"/>
    <cellStyle name="Note 4 4 3 16 2 6" xfId="24243" xr:uid="{00000000-0005-0000-0000-000042810000}"/>
    <cellStyle name="Note 4 4 3 16 2 7" xfId="28082" xr:uid="{00000000-0005-0000-0000-000043810000}"/>
    <cellStyle name="Note 4 4 3 16 2 8" xfId="31940" xr:uid="{00000000-0005-0000-0000-000044810000}"/>
    <cellStyle name="Note 4 4 3 16 2 9" xfId="35592" xr:uid="{00000000-0005-0000-0000-000045810000}"/>
    <cellStyle name="Note 4 4 3 16 3" xfId="10672" xr:uid="{00000000-0005-0000-0000-000046810000}"/>
    <cellStyle name="Note 4 4 3 16 4" xfId="14517" xr:uid="{00000000-0005-0000-0000-000047810000}"/>
    <cellStyle name="Note 4 4 3 16 5" xfId="18349" xr:uid="{00000000-0005-0000-0000-000048810000}"/>
    <cellStyle name="Note 4 4 3 16 6" xfId="22287" xr:uid="{00000000-0005-0000-0000-000049810000}"/>
    <cellStyle name="Note 4 4 3 16 7" xfId="26100" xr:uid="{00000000-0005-0000-0000-00004A810000}"/>
    <cellStyle name="Note 4 4 3 16 8" xfId="29980" xr:uid="{00000000-0005-0000-0000-00004B810000}"/>
    <cellStyle name="Note 4 4 3 16 9" xfId="33654" xr:uid="{00000000-0005-0000-0000-00004C810000}"/>
    <cellStyle name="Note 4 4 3 17" xfId="2412" xr:uid="{00000000-0005-0000-0000-00004D810000}"/>
    <cellStyle name="Note 4 4 3 17 10" xfId="33710" xr:uid="{00000000-0005-0000-0000-00004E810000}"/>
    <cellStyle name="Note 4 4 3 17 11" xfId="37464" xr:uid="{00000000-0005-0000-0000-00004F810000}"/>
    <cellStyle name="Note 4 4 3 17 12" xfId="41479" xr:uid="{00000000-0005-0000-0000-000050810000}"/>
    <cellStyle name="Note 4 4 3 17 13" xfId="45272" xr:uid="{00000000-0005-0000-0000-000051810000}"/>
    <cellStyle name="Note 4 4 3 17 2" xfId="4395" xr:uid="{00000000-0005-0000-0000-000052810000}"/>
    <cellStyle name="Note 4 4 3 17 2 10" xfId="39446" xr:uid="{00000000-0005-0000-0000-000053810000}"/>
    <cellStyle name="Note 4 4 3 17 2 11" xfId="43455" xr:uid="{00000000-0005-0000-0000-000054810000}"/>
    <cellStyle name="Note 4 4 3 17 2 12" xfId="47210" xr:uid="{00000000-0005-0000-0000-000055810000}"/>
    <cellStyle name="Note 4 4 3 17 2 2" xfId="8252" xr:uid="{00000000-0005-0000-0000-000056810000}"/>
    <cellStyle name="Note 4 4 3 17 2 3" xfId="12693" xr:uid="{00000000-0005-0000-0000-000057810000}"/>
    <cellStyle name="Note 4 4 3 17 2 4" xfId="16538" xr:uid="{00000000-0005-0000-0000-000058810000}"/>
    <cellStyle name="Note 4 4 3 17 2 5" xfId="20389" xr:uid="{00000000-0005-0000-0000-000059810000}"/>
    <cellStyle name="Note 4 4 3 17 2 6" xfId="24300" xr:uid="{00000000-0005-0000-0000-00005A810000}"/>
    <cellStyle name="Note 4 4 3 17 2 7" xfId="28139" xr:uid="{00000000-0005-0000-0000-00005B810000}"/>
    <cellStyle name="Note 4 4 3 17 2 8" xfId="31997" xr:uid="{00000000-0005-0000-0000-00005C810000}"/>
    <cellStyle name="Note 4 4 3 17 2 9" xfId="35648" xr:uid="{00000000-0005-0000-0000-00005D810000}"/>
    <cellStyle name="Note 4 4 3 17 3" xfId="6308" xr:uid="{00000000-0005-0000-0000-00005E810000}"/>
    <cellStyle name="Note 4 4 3 17 4" xfId="10728" xr:uid="{00000000-0005-0000-0000-00005F810000}"/>
    <cellStyle name="Note 4 4 3 17 5" xfId="14574" xr:uid="{00000000-0005-0000-0000-000060810000}"/>
    <cellStyle name="Note 4 4 3 17 6" xfId="18406" xr:uid="{00000000-0005-0000-0000-000061810000}"/>
    <cellStyle name="Note 4 4 3 17 7" xfId="22344" xr:uid="{00000000-0005-0000-0000-000062810000}"/>
    <cellStyle name="Note 4 4 3 17 8" xfId="26157" xr:uid="{00000000-0005-0000-0000-000063810000}"/>
    <cellStyle name="Note 4 4 3 17 9" xfId="30036" xr:uid="{00000000-0005-0000-0000-000064810000}"/>
    <cellStyle name="Note 4 4 3 18" xfId="2463" xr:uid="{00000000-0005-0000-0000-000065810000}"/>
    <cellStyle name="Note 4 4 3 18 10" xfId="33759" xr:uid="{00000000-0005-0000-0000-000066810000}"/>
    <cellStyle name="Note 4 4 3 18 11" xfId="37515" xr:uid="{00000000-0005-0000-0000-000067810000}"/>
    <cellStyle name="Note 4 4 3 18 12" xfId="41530" xr:uid="{00000000-0005-0000-0000-000068810000}"/>
    <cellStyle name="Note 4 4 3 18 13" xfId="45321" xr:uid="{00000000-0005-0000-0000-000069810000}"/>
    <cellStyle name="Note 4 4 3 18 2" xfId="4446" xr:uid="{00000000-0005-0000-0000-00006A810000}"/>
    <cellStyle name="Note 4 4 3 18 2 10" xfId="39497" xr:uid="{00000000-0005-0000-0000-00006B810000}"/>
    <cellStyle name="Note 4 4 3 18 2 11" xfId="43506" xr:uid="{00000000-0005-0000-0000-00006C810000}"/>
    <cellStyle name="Note 4 4 3 18 2 12" xfId="47259" xr:uid="{00000000-0005-0000-0000-00006D810000}"/>
    <cellStyle name="Note 4 4 3 18 2 2" xfId="8301" xr:uid="{00000000-0005-0000-0000-00006E810000}"/>
    <cellStyle name="Note 4 4 3 18 2 3" xfId="12744" xr:uid="{00000000-0005-0000-0000-00006F810000}"/>
    <cellStyle name="Note 4 4 3 18 2 4" xfId="16587" xr:uid="{00000000-0005-0000-0000-000070810000}"/>
    <cellStyle name="Note 4 4 3 18 2 5" xfId="20440" xr:uid="{00000000-0005-0000-0000-000071810000}"/>
    <cellStyle name="Note 4 4 3 18 2 6" xfId="24350" xr:uid="{00000000-0005-0000-0000-000072810000}"/>
    <cellStyle name="Note 4 4 3 18 2 7" xfId="28190" xr:uid="{00000000-0005-0000-0000-000073810000}"/>
    <cellStyle name="Note 4 4 3 18 2 8" xfId="32048" xr:uid="{00000000-0005-0000-0000-000074810000}"/>
    <cellStyle name="Note 4 4 3 18 2 9" xfId="35697" xr:uid="{00000000-0005-0000-0000-000075810000}"/>
    <cellStyle name="Note 4 4 3 18 3" xfId="6357" xr:uid="{00000000-0005-0000-0000-000076810000}"/>
    <cellStyle name="Note 4 4 3 18 4" xfId="10779" xr:uid="{00000000-0005-0000-0000-000077810000}"/>
    <cellStyle name="Note 4 4 3 18 5" xfId="14624" xr:uid="{00000000-0005-0000-0000-000078810000}"/>
    <cellStyle name="Note 4 4 3 18 6" xfId="18457" xr:uid="{00000000-0005-0000-0000-000079810000}"/>
    <cellStyle name="Note 4 4 3 18 7" xfId="22394" xr:uid="{00000000-0005-0000-0000-00007A810000}"/>
    <cellStyle name="Note 4 4 3 18 8" xfId="26208" xr:uid="{00000000-0005-0000-0000-00007B810000}"/>
    <cellStyle name="Note 4 4 3 18 9" xfId="30087" xr:uid="{00000000-0005-0000-0000-00007C810000}"/>
    <cellStyle name="Note 4 4 3 19" xfId="2537" xr:uid="{00000000-0005-0000-0000-00007D810000}"/>
    <cellStyle name="Note 4 4 3 19 10" xfId="37589" xr:uid="{00000000-0005-0000-0000-00007E810000}"/>
    <cellStyle name="Note 4 4 3 19 11" xfId="41603" xr:uid="{00000000-0005-0000-0000-00007F810000}"/>
    <cellStyle name="Note 4 4 3 19 12" xfId="45392" xr:uid="{00000000-0005-0000-0000-000080810000}"/>
    <cellStyle name="Note 4 4 3 19 2" xfId="6429" xr:uid="{00000000-0005-0000-0000-000081810000}"/>
    <cellStyle name="Note 4 4 3 19 3" xfId="10852" xr:uid="{00000000-0005-0000-0000-000082810000}"/>
    <cellStyle name="Note 4 4 3 19 4" xfId="14696" xr:uid="{00000000-0005-0000-0000-000083810000}"/>
    <cellStyle name="Note 4 4 3 19 5" xfId="18531" xr:uid="{00000000-0005-0000-0000-000084810000}"/>
    <cellStyle name="Note 4 4 3 19 6" xfId="22466" xr:uid="{00000000-0005-0000-0000-000085810000}"/>
    <cellStyle name="Note 4 4 3 19 7" xfId="26282" xr:uid="{00000000-0005-0000-0000-000086810000}"/>
    <cellStyle name="Note 4 4 3 19 8" xfId="30161" xr:uid="{00000000-0005-0000-0000-000087810000}"/>
    <cellStyle name="Note 4 4 3 19 9" xfId="33830" xr:uid="{00000000-0005-0000-0000-000088810000}"/>
    <cellStyle name="Note 4 4 3 2" xfId="491" xr:uid="{00000000-0005-0000-0000-000089810000}"/>
    <cellStyle name="Note 4 4 3 2 10" xfId="1985" xr:uid="{00000000-0005-0000-0000-00008A810000}"/>
    <cellStyle name="Note 4 4 3 2 10 10" xfId="33272" xr:uid="{00000000-0005-0000-0000-00008B810000}"/>
    <cellStyle name="Note 4 4 3 2 10 11" xfId="37042" xr:uid="{00000000-0005-0000-0000-00008C810000}"/>
    <cellStyle name="Note 4 4 3 2 10 12" xfId="41033" xr:uid="{00000000-0005-0000-0000-00008D810000}"/>
    <cellStyle name="Note 4 4 3 2 10 13" xfId="44864" xr:uid="{00000000-0005-0000-0000-00008E810000}"/>
    <cellStyle name="Note 4 4 3 2 10 2" xfId="3975" xr:uid="{00000000-0005-0000-0000-00008F810000}"/>
    <cellStyle name="Note 4 4 3 2 10 2 10" xfId="39026" xr:uid="{00000000-0005-0000-0000-000090810000}"/>
    <cellStyle name="Note 4 4 3 2 10 2 11" xfId="43037" xr:uid="{00000000-0005-0000-0000-000091810000}"/>
    <cellStyle name="Note 4 4 3 2 10 2 12" xfId="46802" xr:uid="{00000000-0005-0000-0000-000092810000}"/>
    <cellStyle name="Note 4 4 3 2 10 2 2" xfId="7842" xr:uid="{00000000-0005-0000-0000-000093810000}"/>
    <cellStyle name="Note 4 4 3 2 10 2 3" xfId="12277" xr:uid="{00000000-0005-0000-0000-000094810000}"/>
    <cellStyle name="Note 4 4 3 2 10 2 4" xfId="16122" xr:uid="{00000000-0005-0000-0000-000095810000}"/>
    <cellStyle name="Note 4 4 3 2 10 2 5" xfId="19969" xr:uid="{00000000-0005-0000-0000-000096810000}"/>
    <cellStyle name="Note 4 4 3 2 10 2 6" xfId="23885" xr:uid="{00000000-0005-0000-0000-000097810000}"/>
    <cellStyle name="Note 4 4 3 2 10 2 7" xfId="27719" xr:uid="{00000000-0005-0000-0000-000098810000}"/>
    <cellStyle name="Note 4 4 3 2 10 2 8" xfId="31579" xr:uid="{00000000-0005-0000-0000-000099810000}"/>
    <cellStyle name="Note 4 4 3 2 10 2 9" xfId="35240" xr:uid="{00000000-0005-0000-0000-00009A810000}"/>
    <cellStyle name="Note 4 4 3 2 10 3" xfId="5918" xr:uid="{00000000-0005-0000-0000-00009B810000}"/>
    <cellStyle name="Note 4 4 3 2 10 4" xfId="10276" xr:uid="{00000000-0005-0000-0000-00009C810000}"/>
    <cellStyle name="Note 4 4 3 2 10 5" xfId="14122" xr:uid="{00000000-0005-0000-0000-00009D810000}"/>
    <cellStyle name="Note 4 4 3 2 10 6" xfId="17951" xr:uid="{00000000-0005-0000-0000-00009E810000}"/>
    <cellStyle name="Note 4 4 3 2 10 7" xfId="21890" xr:uid="{00000000-0005-0000-0000-00009F810000}"/>
    <cellStyle name="Note 4 4 3 2 10 8" xfId="25703" xr:uid="{00000000-0005-0000-0000-0000A0810000}"/>
    <cellStyle name="Note 4 4 3 2 10 9" xfId="29590" xr:uid="{00000000-0005-0000-0000-0000A1810000}"/>
    <cellStyle name="Note 4 4 3 2 11" xfId="1265" xr:uid="{00000000-0005-0000-0000-0000A2810000}"/>
    <cellStyle name="Note 4 4 3 2 11 10" xfId="32552" xr:uid="{00000000-0005-0000-0000-0000A3810000}"/>
    <cellStyle name="Note 4 4 3 2 11 11" xfId="36322" xr:uid="{00000000-0005-0000-0000-0000A4810000}"/>
    <cellStyle name="Note 4 4 3 2 11 12" xfId="40314" xr:uid="{00000000-0005-0000-0000-0000A5810000}"/>
    <cellStyle name="Note 4 4 3 2 11 13" xfId="44144" xr:uid="{00000000-0005-0000-0000-0000A6810000}"/>
    <cellStyle name="Note 4 4 3 2 11 2" xfId="3255" xr:uid="{00000000-0005-0000-0000-0000A7810000}"/>
    <cellStyle name="Note 4 4 3 2 11 2 10" xfId="38306" xr:uid="{00000000-0005-0000-0000-0000A8810000}"/>
    <cellStyle name="Note 4 4 3 2 11 2 11" xfId="42317" xr:uid="{00000000-0005-0000-0000-0000A9810000}"/>
    <cellStyle name="Note 4 4 3 2 11 2 12" xfId="46082" xr:uid="{00000000-0005-0000-0000-0000AA810000}"/>
    <cellStyle name="Note 4 4 3 2 11 2 2" xfId="7122" xr:uid="{00000000-0005-0000-0000-0000AB810000}"/>
    <cellStyle name="Note 4 4 3 2 11 2 3" xfId="11557" xr:uid="{00000000-0005-0000-0000-0000AC810000}"/>
    <cellStyle name="Note 4 4 3 2 11 2 4" xfId="15402" xr:uid="{00000000-0005-0000-0000-0000AD810000}"/>
    <cellStyle name="Note 4 4 3 2 11 2 5" xfId="19249" xr:uid="{00000000-0005-0000-0000-0000AE810000}"/>
    <cellStyle name="Note 4 4 3 2 11 2 6" xfId="23165" xr:uid="{00000000-0005-0000-0000-0000AF810000}"/>
    <cellStyle name="Note 4 4 3 2 11 2 7" xfId="26999" xr:uid="{00000000-0005-0000-0000-0000B0810000}"/>
    <cellStyle name="Note 4 4 3 2 11 2 8" xfId="30869" xr:uid="{00000000-0005-0000-0000-0000B1810000}"/>
    <cellStyle name="Note 4 4 3 2 11 2 9" xfId="34520" xr:uid="{00000000-0005-0000-0000-0000B2810000}"/>
    <cellStyle name="Note 4 4 3 2 11 3" xfId="5198" xr:uid="{00000000-0005-0000-0000-0000B3810000}"/>
    <cellStyle name="Note 4 4 3 2 11 4" xfId="9556" xr:uid="{00000000-0005-0000-0000-0000B4810000}"/>
    <cellStyle name="Note 4 4 3 2 11 5" xfId="13402" xr:uid="{00000000-0005-0000-0000-0000B5810000}"/>
    <cellStyle name="Note 4 4 3 2 11 6" xfId="17231" xr:uid="{00000000-0005-0000-0000-0000B6810000}"/>
    <cellStyle name="Note 4 4 3 2 11 7" xfId="21170" xr:uid="{00000000-0005-0000-0000-0000B7810000}"/>
    <cellStyle name="Note 4 4 3 2 11 8" xfId="24983" xr:uid="{00000000-0005-0000-0000-0000B8810000}"/>
    <cellStyle name="Note 4 4 3 2 11 9" xfId="28871" xr:uid="{00000000-0005-0000-0000-0000B9810000}"/>
    <cellStyle name="Note 4 4 3 2 12" xfId="2170" xr:uid="{00000000-0005-0000-0000-0000BA810000}"/>
    <cellStyle name="Note 4 4 3 2 12 10" xfId="33471" xr:uid="{00000000-0005-0000-0000-0000BB810000}"/>
    <cellStyle name="Note 4 4 3 2 12 11" xfId="37222" xr:uid="{00000000-0005-0000-0000-0000BC810000}"/>
    <cellStyle name="Note 4 4 3 2 12 12" xfId="41238" xr:uid="{00000000-0005-0000-0000-0000BD810000}"/>
    <cellStyle name="Note 4 4 3 2 12 13" xfId="45033" xr:uid="{00000000-0005-0000-0000-0000BE810000}"/>
    <cellStyle name="Note 4 4 3 2 12 2" xfId="4153" xr:uid="{00000000-0005-0000-0000-0000BF810000}"/>
    <cellStyle name="Note 4 4 3 2 12 2 10" xfId="39204" xr:uid="{00000000-0005-0000-0000-0000C0810000}"/>
    <cellStyle name="Note 4 4 3 2 12 2 11" xfId="43214" xr:uid="{00000000-0005-0000-0000-0000C1810000}"/>
    <cellStyle name="Note 4 4 3 2 12 2 12" xfId="46971" xr:uid="{00000000-0005-0000-0000-0000C2810000}"/>
    <cellStyle name="Note 4 4 3 2 12 2 2" xfId="8012" xr:uid="{00000000-0005-0000-0000-0000C3810000}"/>
    <cellStyle name="Note 4 4 3 2 12 2 3" xfId="12452" xr:uid="{00000000-0005-0000-0000-0000C4810000}"/>
    <cellStyle name="Note 4 4 3 2 12 2 4" xfId="16297" xr:uid="{00000000-0005-0000-0000-0000C5810000}"/>
    <cellStyle name="Note 4 4 3 2 12 2 5" xfId="20147" xr:uid="{00000000-0005-0000-0000-0000C6810000}"/>
    <cellStyle name="Note 4 4 3 2 12 2 6" xfId="24059" xr:uid="{00000000-0005-0000-0000-0000C7810000}"/>
    <cellStyle name="Note 4 4 3 2 12 2 7" xfId="27897" xr:uid="{00000000-0005-0000-0000-0000C8810000}"/>
    <cellStyle name="Note 4 4 3 2 12 2 8" xfId="31756" xr:uid="{00000000-0005-0000-0000-0000C9810000}"/>
    <cellStyle name="Note 4 4 3 2 12 2 9" xfId="35409" xr:uid="{00000000-0005-0000-0000-0000CA810000}"/>
    <cellStyle name="Note 4 4 3 2 12 3" xfId="6086" xr:uid="{00000000-0005-0000-0000-0000CB810000}"/>
    <cellStyle name="Note 4 4 3 2 12 4" xfId="10487" xr:uid="{00000000-0005-0000-0000-0000CC810000}"/>
    <cellStyle name="Note 4 4 3 2 12 5" xfId="14333" xr:uid="{00000000-0005-0000-0000-0000CD810000}"/>
    <cellStyle name="Note 4 4 3 2 12 6" xfId="18164" xr:uid="{00000000-0005-0000-0000-0000CE810000}"/>
    <cellStyle name="Note 4 4 3 2 12 7" xfId="22103" xr:uid="{00000000-0005-0000-0000-0000CF810000}"/>
    <cellStyle name="Note 4 4 3 2 12 8" xfId="25915" xr:uid="{00000000-0005-0000-0000-0000D0810000}"/>
    <cellStyle name="Note 4 4 3 2 12 9" xfId="29795" xr:uid="{00000000-0005-0000-0000-0000D1810000}"/>
    <cellStyle name="Note 4 4 3 2 13" xfId="2240" xr:uid="{00000000-0005-0000-0000-0000D2810000}"/>
    <cellStyle name="Note 4 4 3 2 13 10" xfId="33541" xr:uid="{00000000-0005-0000-0000-0000D3810000}"/>
    <cellStyle name="Note 4 4 3 2 13 11" xfId="37292" xr:uid="{00000000-0005-0000-0000-0000D4810000}"/>
    <cellStyle name="Note 4 4 3 2 13 12" xfId="41308" xr:uid="{00000000-0005-0000-0000-0000D5810000}"/>
    <cellStyle name="Note 4 4 3 2 13 13" xfId="45103" xr:uid="{00000000-0005-0000-0000-0000D6810000}"/>
    <cellStyle name="Note 4 4 3 2 13 2" xfId="4223" xr:uid="{00000000-0005-0000-0000-0000D7810000}"/>
    <cellStyle name="Note 4 4 3 2 13 2 10" xfId="39274" xr:uid="{00000000-0005-0000-0000-0000D8810000}"/>
    <cellStyle name="Note 4 4 3 2 13 2 11" xfId="43284" xr:uid="{00000000-0005-0000-0000-0000D9810000}"/>
    <cellStyle name="Note 4 4 3 2 13 2 12" xfId="47041" xr:uid="{00000000-0005-0000-0000-0000DA810000}"/>
    <cellStyle name="Note 4 4 3 2 13 2 2" xfId="8082" xr:uid="{00000000-0005-0000-0000-0000DB810000}"/>
    <cellStyle name="Note 4 4 3 2 13 2 3" xfId="12522" xr:uid="{00000000-0005-0000-0000-0000DC810000}"/>
    <cellStyle name="Note 4 4 3 2 13 2 4" xfId="16367" xr:uid="{00000000-0005-0000-0000-0000DD810000}"/>
    <cellStyle name="Note 4 4 3 2 13 2 5" xfId="20217" xr:uid="{00000000-0005-0000-0000-0000DE810000}"/>
    <cellStyle name="Note 4 4 3 2 13 2 6" xfId="24129" xr:uid="{00000000-0005-0000-0000-0000DF810000}"/>
    <cellStyle name="Note 4 4 3 2 13 2 7" xfId="27967" xr:uid="{00000000-0005-0000-0000-0000E0810000}"/>
    <cellStyle name="Note 4 4 3 2 13 2 8" xfId="31826" xr:uid="{00000000-0005-0000-0000-0000E1810000}"/>
    <cellStyle name="Note 4 4 3 2 13 2 9" xfId="35479" xr:uid="{00000000-0005-0000-0000-0000E2810000}"/>
    <cellStyle name="Note 4 4 3 2 13 3" xfId="6154" xr:uid="{00000000-0005-0000-0000-0000E3810000}"/>
    <cellStyle name="Note 4 4 3 2 13 4" xfId="10557" xr:uid="{00000000-0005-0000-0000-0000E4810000}"/>
    <cellStyle name="Note 4 4 3 2 13 5" xfId="14403" xr:uid="{00000000-0005-0000-0000-0000E5810000}"/>
    <cellStyle name="Note 4 4 3 2 13 6" xfId="18234" xr:uid="{00000000-0005-0000-0000-0000E6810000}"/>
    <cellStyle name="Note 4 4 3 2 13 7" xfId="22173" xr:uid="{00000000-0005-0000-0000-0000E7810000}"/>
    <cellStyle name="Note 4 4 3 2 13 8" xfId="25985" xr:uid="{00000000-0005-0000-0000-0000E8810000}"/>
    <cellStyle name="Note 4 4 3 2 13 9" xfId="29865" xr:uid="{00000000-0005-0000-0000-0000E9810000}"/>
    <cellStyle name="Note 4 4 3 2 14" xfId="2288" xr:uid="{00000000-0005-0000-0000-0000EA810000}"/>
    <cellStyle name="Note 4 4 3 2 14 10" xfId="33589" xr:uid="{00000000-0005-0000-0000-0000EB810000}"/>
    <cellStyle name="Note 4 4 3 2 14 11" xfId="37340" xr:uid="{00000000-0005-0000-0000-0000EC810000}"/>
    <cellStyle name="Note 4 4 3 2 14 12" xfId="41356" xr:uid="{00000000-0005-0000-0000-0000ED810000}"/>
    <cellStyle name="Note 4 4 3 2 14 13" xfId="45151" xr:uid="{00000000-0005-0000-0000-0000EE810000}"/>
    <cellStyle name="Note 4 4 3 2 14 2" xfId="4271" xr:uid="{00000000-0005-0000-0000-0000EF810000}"/>
    <cellStyle name="Note 4 4 3 2 14 2 10" xfId="39322" xr:uid="{00000000-0005-0000-0000-0000F0810000}"/>
    <cellStyle name="Note 4 4 3 2 14 2 11" xfId="43332" xr:uid="{00000000-0005-0000-0000-0000F1810000}"/>
    <cellStyle name="Note 4 4 3 2 14 2 12" xfId="47089" xr:uid="{00000000-0005-0000-0000-0000F2810000}"/>
    <cellStyle name="Note 4 4 3 2 14 2 2" xfId="8130" xr:uid="{00000000-0005-0000-0000-0000F3810000}"/>
    <cellStyle name="Note 4 4 3 2 14 2 3" xfId="12570" xr:uid="{00000000-0005-0000-0000-0000F4810000}"/>
    <cellStyle name="Note 4 4 3 2 14 2 4" xfId="16415" xr:uid="{00000000-0005-0000-0000-0000F5810000}"/>
    <cellStyle name="Note 4 4 3 2 14 2 5" xfId="20265" xr:uid="{00000000-0005-0000-0000-0000F6810000}"/>
    <cellStyle name="Note 4 4 3 2 14 2 6" xfId="24177" xr:uid="{00000000-0005-0000-0000-0000F7810000}"/>
    <cellStyle name="Note 4 4 3 2 14 2 7" xfId="28015" xr:uid="{00000000-0005-0000-0000-0000F8810000}"/>
    <cellStyle name="Note 4 4 3 2 14 2 8" xfId="31874" xr:uid="{00000000-0005-0000-0000-0000F9810000}"/>
    <cellStyle name="Note 4 4 3 2 14 2 9" xfId="35527" xr:uid="{00000000-0005-0000-0000-0000FA810000}"/>
    <cellStyle name="Note 4 4 3 2 14 3" xfId="6202" xr:uid="{00000000-0005-0000-0000-0000FB810000}"/>
    <cellStyle name="Note 4 4 3 2 14 4" xfId="10605" xr:uid="{00000000-0005-0000-0000-0000FC810000}"/>
    <cellStyle name="Note 4 4 3 2 14 5" xfId="14451" xr:uid="{00000000-0005-0000-0000-0000FD810000}"/>
    <cellStyle name="Note 4 4 3 2 14 6" xfId="18282" xr:uid="{00000000-0005-0000-0000-0000FE810000}"/>
    <cellStyle name="Note 4 4 3 2 14 7" xfId="22221" xr:uid="{00000000-0005-0000-0000-0000FF810000}"/>
    <cellStyle name="Note 4 4 3 2 14 8" xfId="26033" xr:uid="{00000000-0005-0000-0000-000000820000}"/>
    <cellStyle name="Note 4 4 3 2 14 9" xfId="29913" xr:uid="{00000000-0005-0000-0000-000001820000}"/>
    <cellStyle name="Note 4 4 3 2 15" xfId="2356" xr:uid="{00000000-0005-0000-0000-000002820000}"/>
    <cellStyle name="Note 4 4 3 2 15 10" xfId="37408" xr:uid="{00000000-0005-0000-0000-000003820000}"/>
    <cellStyle name="Note 4 4 3 2 15 11" xfId="41424" xr:uid="{00000000-0005-0000-0000-000004820000}"/>
    <cellStyle name="Note 4 4 3 2 15 12" xfId="45217" xr:uid="{00000000-0005-0000-0000-000005820000}"/>
    <cellStyle name="Note 4 4 3 2 15 2" xfId="4339" xr:uid="{00000000-0005-0000-0000-000006820000}"/>
    <cellStyle name="Note 4 4 3 2 15 2 10" xfId="39390" xr:uid="{00000000-0005-0000-0000-000007820000}"/>
    <cellStyle name="Note 4 4 3 2 15 2 11" xfId="43400" xr:uid="{00000000-0005-0000-0000-000008820000}"/>
    <cellStyle name="Note 4 4 3 2 15 2 12" xfId="47155" xr:uid="{00000000-0005-0000-0000-000009820000}"/>
    <cellStyle name="Note 4 4 3 2 15 2 2" xfId="8196" xr:uid="{00000000-0005-0000-0000-00000A820000}"/>
    <cellStyle name="Note 4 4 3 2 15 2 3" xfId="12638" xr:uid="{00000000-0005-0000-0000-00000B820000}"/>
    <cellStyle name="Note 4 4 3 2 15 2 4" xfId="16482" xr:uid="{00000000-0005-0000-0000-00000C820000}"/>
    <cellStyle name="Note 4 4 3 2 15 2 5" xfId="20333" xr:uid="{00000000-0005-0000-0000-00000D820000}"/>
    <cellStyle name="Note 4 4 3 2 15 2 6" xfId="24244" xr:uid="{00000000-0005-0000-0000-00000E820000}"/>
    <cellStyle name="Note 4 4 3 2 15 2 7" xfId="28083" xr:uid="{00000000-0005-0000-0000-00000F820000}"/>
    <cellStyle name="Note 4 4 3 2 15 2 8" xfId="31941" xr:uid="{00000000-0005-0000-0000-000010820000}"/>
    <cellStyle name="Note 4 4 3 2 15 2 9" xfId="35593" xr:uid="{00000000-0005-0000-0000-000011820000}"/>
    <cellStyle name="Note 4 4 3 2 15 3" xfId="10673" xr:uid="{00000000-0005-0000-0000-000012820000}"/>
    <cellStyle name="Note 4 4 3 2 15 4" xfId="14518" xr:uid="{00000000-0005-0000-0000-000013820000}"/>
    <cellStyle name="Note 4 4 3 2 15 5" xfId="18350" xr:uid="{00000000-0005-0000-0000-000014820000}"/>
    <cellStyle name="Note 4 4 3 2 15 6" xfId="22288" xr:uid="{00000000-0005-0000-0000-000015820000}"/>
    <cellStyle name="Note 4 4 3 2 15 7" xfId="26101" xr:uid="{00000000-0005-0000-0000-000016820000}"/>
    <cellStyle name="Note 4 4 3 2 15 8" xfId="29981" xr:uid="{00000000-0005-0000-0000-000017820000}"/>
    <cellStyle name="Note 4 4 3 2 15 9" xfId="33655" xr:uid="{00000000-0005-0000-0000-000018820000}"/>
    <cellStyle name="Note 4 4 3 2 16" xfId="2413" xr:uid="{00000000-0005-0000-0000-000019820000}"/>
    <cellStyle name="Note 4 4 3 2 16 10" xfId="33711" xr:uid="{00000000-0005-0000-0000-00001A820000}"/>
    <cellStyle name="Note 4 4 3 2 16 11" xfId="37465" xr:uid="{00000000-0005-0000-0000-00001B820000}"/>
    <cellStyle name="Note 4 4 3 2 16 12" xfId="41480" xr:uid="{00000000-0005-0000-0000-00001C820000}"/>
    <cellStyle name="Note 4 4 3 2 16 13" xfId="45273" xr:uid="{00000000-0005-0000-0000-00001D820000}"/>
    <cellStyle name="Note 4 4 3 2 16 2" xfId="4396" xr:uid="{00000000-0005-0000-0000-00001E820000}"/>
    <cellStyle name="Note 4 4 3 2 16 2 10" xfId="39447" xr:uid="{00000000-0005-0000-0000-00001F820000}"/>
    <cellStyle name="Note 4 4 3 2 16 2 11" xfId="43456" xr:uid="{00000000-0005-0000-0000-000020820000}"/>
    <cellStyle name="Note 4 4 3 2 16 2 12" xfId="47211" xr:uid="{00000000-0005-0000-0000-000021820000}"/>
    <cellStyle name="Note 4 4 3 2 16 2 2" xfId="8253" xr:uid="{00000000-0005-0000-0000-000022820000}"/>
    <cellStyle name="Note 4 4 3 2 16 2 3" xfId="12694" xr:uid="{00000000-0005-0000-0000-000023820000}"/>
    <cellStyle name="Note 4 4 3 2 16 2 4" xfId="16539" xr:uid="{00000000-0005-0000-0000-000024820000}"/>
    <cellStyle name="Note 4 4 3 2 16 2 5" xfId="20390" xr:uid="{00000000-0005-0000-0000-000025820000}"/>
    <cellStyle name="Note 4 4 3 2 16 2 6" xfId="24301" xr:uid="{00000000-0005-0000-0000-000026820000}"/>
    <cellStyle name="Note 4 4 3 2 16 2 7" xfId="28140" xr:uid="{00000000-0005-0000-0000-000027820000}"/>
    <cellStyle name="Note 4 4 3 2 16 2 8" xfId="31998" xr:uid="{00000000-0005-0000-0000-000028820000}"/>
    <cellStyle name="Note 4 4 3 2 16 2 9" xfId="35649" xr:uid="{00000000-0005-0000-0000-000029820000}"/>
    <cellStyle name="Note 4 4 3 2 16 3" xfId="6309" xr:uid="{00000000-0005-0000-0000-00002A820000}"/>
    <cellStyle name="Note 4 4 3 2 16 4" xfId="10729" xr:uid="{00000000-0005-0000-0000-00002B820000}"/>
    <cellStyle name="Note 4 4 3 2 16 5" xfId="14575" xr:uid="{00000000-0005-0000-0000-00002C820000}"/>
    <cellStyle name="Note 4 4 3 2 16 6" xfId="18407" xr:uid="{00000000-0005-0000-0000-00002D820000}"/>
    <cellStyle name="Note 4 4 3 2 16 7" xfId="22345" xr:uid="{00000000-0005-0000-0000-00002E820000}"/>
    <cellStyle name="Note 4 4 3 2 16 8" xfId="26158" xr:uid="{00000000-0005-0000-0000-00002F820000}"/>
    <cellStyle name="Note 4 4 3 2 16 9" xfId="30037" xr:uid="{00000000-0005-0000-0000-000030820000}"/>
    <cellStyle name="Note 4 4 3 2 17" xfId="2464" xr:uid="{00000000-0005-0000-0000-000031820000}"/>
    <cellStyle name="Note 4 4 3 2 17 10" xfId="33760" xr:uid="{00000000-0005-0000-0000-000032820000}"/>
    <cellStyle name="Note 4 4 3 2 17 11" xfId="37516" xr:uid="{00000000-0005-0000-0000-000033820000}"/>
    <cellStyle name="Note 4 4 3 2 17 12" xfId="41531" xr:uid="{00000000-0005-0000-0000-000034820000}"/>
    <cellStyle name="Note 4 4 3 2 17 13" xfId="45322" xr:uid="{00000000-0005-0000-0000-000035820000}"/>
    <cellStyle name="Note 4 4 3 2 17 2" xfId="4447" xr:uid="{00000000-0005-0000-0000-000036820000}"/>
    <cellStyle name="Note 4 4 3 2 17 2 10" xfId="39498" xr:uid="{00000000-0005-0000-0000-000037820000}"/>
    <cellStyle name="Note 4 4 3 2 17 2 11" xfId="43507" xr:uid="{00000000-0005-0000-0000-000038820000}"/>
    <cellStyle name="Note 4 4 3 2 17 2 12" xfId="47260" xr:uid="{00000000-0005-0000-0000-000039820000}"/>
    <cellStyle name="Note 4 4 3 2 17 2 2" xfId="8302" xr:uid="{00000000-0005-0000-0000-00003A820000}"/>
    <cellStyle name="Note 4 4 3 2 17 2 3" xfId="12745" xr:uid="{00000000-0005-0000-0000-00003B820000}"/>
    <cellStyle name="Note 4 4 3 2 17 2 4" xfId="16588" xr:uid="{00000000-0005-0000-0000-00003C820000}"/>
    <cellStyle name="Note 4 4 3 2 17 2 5" xfId="20441" xr:uid="{00000000-0005-0000-0000-00003D820000}"/>
    <cellStyle name="Note 4 4 3 2 17 2 6" xfId="24351" xr:uid="{00000000-0005-0000-0000-00003E820000}"/>
    <cellStyle name="Note 4 4 3 2 17 2 7" xfId="28191" xr:uid="{00000000-0005-0000-0000-00003F820000}"/>
    <cellStyle name="Note 4 4 3 2 17 2 8" xfId="32049" xr:uid="{00000000-0005-0000-0000-000040820000}"/>
    <cellStyle name="Note 4 4 3 2 17 2 9" xfId="35698" xr:uid="{00000000-0005-0000-0000-000041820000}"/>
    <cellStyle name="Note 4 4 3 2 17 3" xfId="6358" xr:uid="{00000000-0005-0000-0000-000042820000}"/>
    <cellStyle name="Note 4 4 3 2 17 4" xfId="10780" xr:uid="{00000000-0005-0000-0000-000043820000}"/>
    <cellStyle name="Note 4 4 3 2 17 5" xfId="14625" xr:uid="{00000000-0005-0000-0000-000044820000}"/>
    <cellStyle name="Note 4 4 3 2 17 6" xfId="18458" xr:uid="{00000000-0005-0000-0000-000045820000}"/>
    <cellStyle name="Note 4 4 3 2 17 7" xfId="22395" xr:uid="{00000000-0005-0000-0000-000046820000}"/>
    <cellStyle name="Note 4 4 3 2 17 8" xfId="26209" xr:uid="{00000000-0005-0000-0000-000047820000}"/>
    <cellStyle name="Note 4 4 3 2 17 9" xfId="30088" xr:uid="{00000000-0005-0000-0000-000048820000}"/>
    <cellStyle name="Note 4 4 3 2 18" xfId="2538" xr:uid="{00000000-0005-0000-0000-000049820000}"/>
    <cellStyle name="Note 4 4 3 2 18 10" xfId="37590" xr:uid="{00000000-0005-0000-0000-00004A820000}"/>
    <cellStyle name="Note 4 4 3 2 18 11" xfId="41604" xr:uid="{00000000-0005-0000-0000-00004B820000}"/>
    <cellStyle name="Note 4 4 3 2 18 12" xfId="45393" xr:uid="{00000000-0005-0000-0000-00004C820000}"/>
    <cellStyle name="Note 4 4 3 2 18 2" xfId="6430" xr:uid="{00000000-0005-0000-0000-00004D820000}"/>
    <cellStyle name="Note 4 4 3 2 18 3" xfId="10853" xr:uid="{00000000-0005-0000-0000-00004E820000}"/>
    <cellStyle name="Note 4 4 3 2 18 4" xfId="14697" xr:uid="{00000000-0005-0000-0000-00004F820000}"/>
    <cellStyle name="Note 4 4 3 2 18 5" xfId="18532" xr:uid="{00000000-0005-0000-0000-000050820000}"/>
    <cellStyle name="Note 4 4 3 2 18 6" xfId="22467" xr:uid="{00000000-0005-0000-0000-000051820000}"/>
    <cellStyle name="Note 4 4 3 2 18 7" xfId="26283" xr:uid="{00000000-0005-0000-0000-000052820000}"/>
    <cellStyle name="Note 4 4 3 2 18 8" xfId="30162" xr:uid="{00000000-0005-0000-0000-000053820000}"/>
    <cellStyle name="Note 4 4 3 2 18 9" xfId="33831" xr:uid="{00000000-0005-0000-0000-000054820000}"/>
    <cellStyle name="Note 4 4 3 2 19" xfId="8713" xr:uid="{00000000-0005-0000-0000-000055820000}"/>
    <cellStyle name="Note 4 4 3 2 2" xfId="571" xr:uid="{00000000-0005-0000-0000-000056820000}"/>
    <cellStyle name="Note 4 4 3 2 2 10" xfId="2221" xr:uid="{00000000-0005-0000-0000-000057820000}"/>
    <cellStyle name="Note 4 4 3 2 2 10 10" xfId="33522" xr:uid="{00000000-0005-0000-0000-000058820000}"/>
    <cellStyle name="Note 4 4 3 2 2 10 11" xfId="37273" xr:uid="{00000000-0005-0000-0000-000059820000}"/>
    <cellStyle name="Note 4 4 3 2 2 10 12" xfId="41289" xr:uid="{00000000-0005-0000-0000-00005A820000}"/>
    <cellStyle name="Note 4 4 3 2 2 10 13" xfId="45084" xr:uid="{00000000-0005-0000-0000-00005B820000}"/>
    <cellStyle name="Note 4 4 3 2 2 10 2" xfId="4204" xr:uid="{00000000-0005-0000-0000-00005C820000}"/>
    <cellStyle name="Note 4 4 3 2 2 10 2 10" xfId="39255" xr:uid="{00000000-0005-0000-0000-00005D820000}"/>
    <cellStyle name="Note 4 4 3 2 2 10 2 11" xfId="43265" xr:uid="{00000000-0005-0000-0000-00005E820000}"/>
    <cellStyle name="Note 4 4 3 2 2 10 2 12" xfId="47022" xr:uid="{00000000-0005-0000-0000-00005F820000}"/>
    <cellStyle name="Note 4 4 3 2 2 10 2 2" xfId="8063" xr:uid="{00000000-0005-0000-0000-000060820000}"/>
    <cellStyle name="Note 4 4 3 2 2 10 2 3" xfId="12503" xr:uid="{00000000-0005-0000-0000-000061820000}"/>
    <cellStyle name="Note 4 4 3 2 2 10 2 4" xfId="16348" xr:uid="{00000000-0005-0000-0000-000062820000}"/>
    <cellStyle name="Note 4 4 3 2 2 10 2 5" xfId="20198" xr:uid="{00000000-0005-0000-0000-000063820000}"/>
    <cellStyle name="Note 4 4 3 2 2 10 2 6" xfId="24110" xr:uid="{00000000-0005-0000-0000-000064820000}"/>
    <cellStyle name="Note 4 4 3 2 2 10 2 7" xfId="27948" xr:uid="{00000000-0005-0000-0000-000065820000}"/>
    <cellStyle name="Note 4 4 3 2 2 10 2 8" xfId="31807" xr:uid="{00000000-0005-0000-0000-000066820000}"/>
    <cellStyle name="Note 4 4 3 2 2 10 2 9" xfId="35460" xr:uid="{00000000-0005-0000-0000-000067820000}"/>
    <cellStyle name="Note 4 4 3 2 2 10 3" xfId="6135" xr:uid="{00000000-0005-0000-0000-000068820000}"/>
    <cellStyle name="Note 4 4 3 2 2 10 4" xfId="10538" xr:uid="{00000000-0005-0000-0000-000069820000}"/>
    <cellStyle name="Note 4 4 3 2 2 10 5" xfId="14384" xr:uid="{00000000-0005-0000-0000-00006A820000}"/>
    <cellStyle name="Note 4 4 3 2 2 10 6" xfId="18215" xr:uid="{00000000-0005-0000-0000-00006B820000}"/>
    <cellStyle name="Note 4 4 3 2 2 10 7" xfId="22154" xr:uid="{00000000-0005-0000-0000-00006C820000}"/>
    <cellStyle name="Note 4 4 3 2 2 10 8" xfId="25966" xr:uid="{00000000-0005-0000-0000-00006D820000}"/>
    <cellStyle name="Note 4 4 3 2 2 10 9" xfId="29846" xr:uid="{00000000-0005-0000-0000-00006E820000}"/>
    <cellStyle name="Note 4 4 3 2 2 11" xfId="2279" xr:uid="{00000000-0005-0000-0000-00006F820000}"/>
    <cellStyle name="Note 4 4 3 2 2 11 10" xfId="33580" xr:uid="{00000000-0005-0000-0000-000070820000}"/>
    <cellStyle name="Note 4 4 3 2 2 11 11" xfId="37331" xr:uid="{00000000-0005-0000-0000-000071820000}"/>
    <cellStyle name="Note 4 4 3 2 2 11 12" xfId="41347" xr:uid="{00000000-0005-0000-0000-000072820000}"/>
    <cellStyle name="Note 4 4 3 2 2 11 13" xfId="45142" xr:uid="{00000000-0005-0000-0000-000073820000}"/>
    <cellStyle name="Note 4 4 3 2 2 11 2" xfId="4262" xr:uid="{00000000-0005-0000-0000-000074820000}"/>
    <cellStyle name="Note 4 4 3 2 2 11 2 10" xfId="39313" xr:uid="{00000000-0005-0000-0000-000075820000}"/>
    <cellStyle name="Note 4 4 3 2 2 11 2 11" xfId="43323" xr:uid="{00000000-0005-0000-0000-000076820000}"/>
    <cellStyle name="Note 4 4 3 2 2 11 2 12" xfId="47080" xr:uid="{00000000-0005-0000-0000-000077820000}"/>
    <cellStyle name="Note 4 4 3 2 2 11 2 2" xfId="8121" xr:uid="{00000000-0005-0000-0000-000078820000}"/>
    <cellStyle name="Note 4 4 3 2 2 11 2 3" xfId="12561" xr:uid="{00000000-0005-0000-0000-000079820000}"/>
    <cellStyle name="Note 4 4 3 2 2 11 2 4" xfId="16406" xr:uid="{00000000-0005-0000-0000-00007A820000}"/>
    <cellStyle name="Note 4 4 3 2 2 11 2 5" xfId="20256" xr:uid="{00000000-0005-0000-0000-00007B820000}"/>
    <cellStyle name="Note 4 4 3 2 2 11 2 6" xfId="24168" xr:uid="{00000000-0005-0000-0000-00007C820000}"/>
    <cellStyle name="Note 4 4 3 2 2 11 2 7" xfId="28006" xr:uid="{00000000-0005-0000-0000-00007D820000}"/>
    <cellStyle name="Note 4 4 3 2 2 11 2 8" xfId="31865" xr:uid="{00000000-0005-0000-0000-00007E820000}"/>
    <cellStyle name="Note 4 4 3 2 2 11 2 9" xfId="35518" xr:uid="{00000000-0005-0000-0000-00007F820000}"/>
    <cellStyle name="Note 4 4 3 2 2 11 3" xfId="6193" xr:uid="{00000000-0005-0000-0000-000080820000}"/>
    <cellStyle name="Note 4 4 3 2 2 11 4" xfId="10596" xr:uid="{00000000-0005-0000-0000-000081820000}"/>
    <cellStyle name="Note 4 4 3 2 2 11 5" xfId="14442" xr:uid="{00000000-0005-0000-0000-000082820000}"/>
    <cellStyle name="Note 4 4 3 2 2 11 6" xfId="18273" xr:uid="{00000000-0005-0000-0000-000083820000}"/>
    <cellStyle name="Note 4 4 3 2 2 11 7" xfId="22212" xr:uid="{00000000-0005-0000-0000-000084820000}"/>
    <cellStyle name="Note 4 4 3 2 2 11 8" xfId="26024" xr:uid="{00000000-0005-0000-0000-000085820000}"/>
    <cellStyle name="Note 4 4 3 2 2 11 9" xfId="29904" xr:uid="{00000000-0005-0000-0000-000086820000}"/>
    <cellStyle name="Note 4 4 3 2 2 12" xfId="2336" xr:uid="{00000000-0005-0000-0000-000087820000}"/>
    <cellStyle name="Note 4 4 3 2 2 12 10" xfId="33635" xr:uid="{00000000-0005-0000-0000-000088820000}"/>
    <cellStyle name="Note 4 4 3 2 2 12 11" xfId="37388" xr:uid="{00000000-0005-0000-0000-000089820000}"/>
    <cellStyle name="Note 4 4 3 2 2 12 12" xfId="41404" xr:uid="{00000000-0005-0000-0000-00008A820000}"/>
    <cellStyle name="Note 4 4 3 2 2 12 13" xfId="45197" xr:uid="{00000000-0005-0000-0000-00008B820000}"/>
    <cellStyle name="Note 4 4 3 2 2 12 2" xfId="4319" xr:uid="{00000000-0005-0000-0000-00008C820000}"/>
    <cellStyle name="Note 4 4 3 2 2 12 2 10" xfId="39370" xr:uid="{00000000-0005-0000-0000-00008D820000}"/>
    <cellStyle name="Note 4 4 3 2 2 12 2 11" xfId="43380" xr:uid="{00000000-0005-0000-0000-00008E820000}"/>
    <cellStyle name="Note 4 4 3 2 2 12 2 12" xfId="47135" xr:uid="{00000000-0005-0000-0000-00008F820000}"/>
    <cellStyle name="Note 4 4 3 2 2 12 2 2" xfId="8176" xr:uid="{00000000-0005-0000-0000-000090820000}"/>
    <cellStyle name="Note 4 4 3 2 2 12 2 3" xfId="12618" xr:uid="{00000000-0005-0000-0000-000091820000}"/>
    <cellStyle name="Note 4 4 3 2 2 12 2 4" xfId="16462" xr:uid="{00000000-0005-0000-0000-000092820000}"/>
    <cellStyle name="Note 4 4 3 2 2 12 2 5" xfId="20313" xr:uid="{00000000-0005-0000-0000-000093820000}"/>
    <cellStyle name="Note 4 4 3 2 2 12 2 6" xfId="24224" xr:uid="{00000000-0005-0000-0000-000094820000}"/>
    <cellStyle name="Note 4 4 3 2 2 12 2 7" xfId="28063" xr:uid="{00000000-0005-0000-0000-000095820000}"/>
    <cellStyle name="Note 4 4 3 2 2 12 2 8" xfId="31922" xr:uid="{00000000-0005-0000-0000-000096820000}"/>
    <cellStyle name="Note 4 4 3 2 2 12 2 9" xfId="35573" xr:uid="{00000000-0005-0000-0000-000097820000}"/>
    <cellStyle name="Note 4 4 3 2 2 12 3" xfId="6248" xr:uid="{00000000-0005-0000-0000-000098820000}"/>
    <cellStyle name="Note 4 4 3 2 2 12 4" xfId="10653" xr:uid="{00000000-0005-0000-0000-000099820000}"/>
    <cellStyle name="Note 4 4 3 2 2 12 5" xfId="14498" xr:uid="{00000000-0005-0000-0000-00009A820000}"/>
    <cellStyle name="Note 4 4 3 2 2 12 6" xfId="18330" xr:uid="{00000000-0005-0000-0000-00009B820000}"/>
    <cellStyle name="Note 4 4 3 2 2 12 7" xfId="22268" xr:uid="{00000000-0005-0000-0000-00009C820000}"/>
    <cellStyle name="Note 4 4 3 2 2 12 8" xfId="26081" xr:uid="{00000000-0005-0000-0000-00009D820000}"/>
    <cellStyle name="Note 4 4 3 2 2 12 9" xfId="29961" xr:uid="{00000000-0005-0000-0000-00009E820000}"/>
    <cellStyle name="Note 4 4 3 2 2 13" xfId="2401" xr:uid="{00000000-0005-0000-0000-00009F820000}"/>
    <cellStyle name="Note 4 4 3 2 2 13 10" xfId="33699" xr:uid="{00000000-0005-0000-0000-0000A0820000}"/>
    <cellStyle name="Note 4 4 3 2 2 13 11" xfId="37453" xr:uid="{00000000-0005-0000-0000-0000A1820000}"/>
    <cellStyle name="Note 4 4 3 2 2 13 12" xfId="41468" xr:uid="{00000000-0005-0000-0000-0000A2820000}"/>
    <cellStyle name="Note 4 4 3 2 2 13 13" xfId="45261" xr:uid="{00000000-0005-0000-0000-0000A3820000}"/>
    <cellStyle name="Note 4 4 3 2 2 13 2" xfId="4384" xr:uid="{00000000-0005-0000-0000-0000A4820000}"/>
    <cellStyle name="Note 4 4 3 2 2 13 2 10" xfId="39435" xr:uid="{00000000-0005-0000-0000-0000A5820000}"/>
    <cellStyle name="Note 4 4 3 2 2 13 2 11" xfId="43444" xr:uid="{00000000-0005-0000-0000-0000A6820000}"/>
    <cellStyle name="Note 4 4 3 2 2 13 2 12" xfId="47199" xr:uid="{00000000-0005-0000-0000-0000A7820000}"/>
    <cellStyle name="Note 4 4 3 2 2 13 2 2" xfId="8241" xr:uid="{00000000-0005-0000-0000-0000A8820000}"/>
    <cellStyle name="Note 4 4 3 2 2 13 2 3" xfId="12682" xr:uid="{00000000-0005-0000-0000-0000A9820000}"/>
    <cellStyle name="Note 4 4 3 2 2 13 2 4" xfId="16527" xr:uid="{00000000-0005-0000-0000-0000AA820000}"/>
    <cellStyle name="Note 4 4 3 2 2 13 2 5" xfId="20378" xr:uid="{00000000-0005-0000-0000-0000AB820000}"/>
    <cellStyle name="Note 4 4 3 2 2 13 2 6" xfId="24289" xr:uid="{00000000-0005-0000-0000-0000AC820000}"/>
    <cellStyle name="Note 4 4 3 2 2 13 2 7" xfId="28128" xr:uid="{00000000-0005-0000-0000-0000AD820000}"/>
    <cellStyle name="Note 4 4 3 2 2 13 2 8" xfId="31986" xr:uid="{00000000-0005-0000-0000-0000AE820000}"/>
    <cellStyle name="Note 4 4 3 2 2 13 2 9" xfId="35637" xr:uid="{00000000-0005-0000-0000-0000AF820000}"/>
    <cellStyle name="Note 4 4 3 2 2 13 3" xfId="6297" xr:uid="{00000000-0005-0000-0000-0000B0820000}"/>
    <cellStyle name="Note 4 4 3 2 2 13 4" xfId="10717" xr:uid="{00000000-0005-0000-0000-0000B1820000}"/>
    <cellStyle name="Note 4 4 3 2 2 13 5" xfId="14563" xr:uid="{00000000-0005-0000-0000-0000B2820000}"/>
    <cellStyle name="Note 4 4 3 2 2 13 6" xfId="18395" xr:uid="{00000000-0005-0000-0000-0000B3820000}"/>
    <cellStyle name="Note 4 4 3 2 2 13 7" xfId="22333" xr:uid="{00000000-0005-0000-0000-0000B4820000}"/>
    <cellStyle name="Note 4 4 3 2 2 13 8" xfId="26146" xr:uid="{00000000-0005-0000-0000-0000B5820000}"/>
    <cellStyle name="Note 4 4 3 2 2 13 9" xfId="30026" xr:uid="{00000000-0005-0000-0000-0000B6820000}"/>
    <cellStyle name="Note 4 4 3 2 2 14" xfId="2453" xr:uid="{00000000-0005-0000-0000-0000B7820000}"/>
    <cellStyle name="Note 4 4 3 2 2 14 10" xfId="33749" xr:uid="{00000000-0005-0000-0000-0000B8820000}"/>
    <cellStyle name="Note 4 4 3 2 2 14 11" xfId="37505" xr:uid="{00000000-0005-0000-0000-0000B9820000}"/>
    <cellStyle name="Note 4 4 3 2 2 14 12" xfId="41520" xr:uid="{00000000-0005-0000-0000-0000BA820000}"/>
    <cellStyle name="Note 4 4 3 2 2 14 13" xfId="45311" xr:uid="{00000000-0005-0000-0000-0000BB820000}"/>
    <cellStyle name="Note 4 4 3 2 2 14 2" xfId="4436" xr:uid="{00000000-0005-0000-0000-0000BC820000}"/>
    <cellStyle name="Note 4 4 3 2 2 14 2 10" xfId="39487" xr:uid="{00000000-0005-0000-0000-0000BD820000}"/>
    <cellStyle name="Note 4 4 3 2 2 14 2 11" xfId="43496" xr:uid="{00000000-0005-0000-0000-0000BE820000}"/>
    <cellStyle name="Note 4 4 3 2 2 14 2 12" xfId="47249" xr:uid="{00000000-0005-0000-0000-0000BF820000}"/>
    <cellStyle name="Note 4 4 3 2 2 14 2 2" xfId="8291" xr:uid="{00000000-0005-0000-0000-0000C0820000}"/>
    <cellStyle name="Note 4 4 3 2 2 14 2 3" xfId="12734" xr:uid="{00000000-0005-0000-0000-0000C1820000}"/>
    <cellStyle name="Note 4 4 3 2 2 14 2 4" xfId="16577" xr:uid="{00000000-0005-0000-0000-0000C2820000}"/>
    <cellStyle name="Note 4 4 3 2 2 14 2 5" xfId="20430" xr:uid="{00000000-0005-0000-0000-0000C3820000}"/>
    <cellStyle name="Note 4 4 3 2 2 14 2 6" xfId="24340" xr:uid="{00000000-0005-0000-0000-0000C4820000}"/>
    <cellStyle name="Note 4 4 3 2 2 14 2 7" xfId="28180" xr:uid="{00000000-0005-0000-0000-0000C5820000}"/>
    <cellStyle name="Note 4 4 3 2 2 14 2 8" xfId="32038" xr:uid="{00000000-0005-0000-0000-0000C6820000}"/>
    <cellStyle name="Note 4 4 3 2 2 14 2 9" xfId="35687" xr:uid="{00000000-0005-0000-0000-0000C7820000}"/>
    <cellStyle name="Note 4 4 3 2 2 14 3" xfId="6347" xr:uid="{00000000-0005-0000-0000-0000C8820000}"/>
    <cellStyle name="Note 4 4 3 2 2 14 4" xfId="10769" xr:uid="{00000000-0005-0000-0000-0000C9820000}"/>
    <cellStyle name="Note 4 4 3 2 2 14 5" xfId="14614" xr:uid="{00000000-0005-0000-0000-0000CA820000}"/>
    <cellStyle name="Note 4 4 3 2 2 14 6" xfId="18447" xr:uid="{00000000-0005-0000-0000-0000CB820000}"/>
    <cellStyle name="Note 4 4 3 2 2 14 7" xfId="22384" xr:uid="{00000000-0005-0000-0000-0000CC820000}"/>
    <cellStyle name="Note 4 4 3 2 2 14 8" xfId="26198" xr:uid="{00000000-0005-0000-0000-0000CD820000}"/>
    <cellStyle name="Note 4 4 3 2 2 14 9" xfId="30077" xr:uid="{00000000-0005-0000-0000-0000CE820000}"/>
    <cellStyle name="Note 4 4 3 2 2 15" xfId="2507" xr:uid="{00000000-0005-0000-0000-0000CF820000}"/>
    <cellStyle name="Note 4 4 3 2 2 15 10" xfId="33800" xr:uid="{00000000-0005-0000-0000-0000D0820000}"/>
    <cellStyle name="Note 4 4 3 2 2 15 11" xfId="37559" xr:uid="{00000000-0005-0000-0000-0000D1820000}"/>
    <cellStyle name="Note 4 4 3 2 2 15 12" xfId="41573" xr:uid="{00000000-0005-0000-0000-0000D2820000}"/>
    <cellStyle name="Note 4 4 3 2 2 15 13" xfId="45362" xr:uid="{00000000-0005-0000-0000-0000D3820000}"/>
    <cellStyle name="Note 4 4 3 2 2 15 2" xfId="4487" xr:uid="{00000000-0005-0000-0000-0000D4820000}"/>
    <cellStyle name="Note 4 4 3 2 2 15 2 10" xfId="39538" xr:uid="{00000000-0005-0000-0000-0000D5820000}"/>
    <cellStyle name="Note 4 4 3 2 2 15 2 11" xfId="43547" xr:uid="{00000000-0005-0000-0000-0000D6820000}"/>
    <cellStyle name="Note 4 4 3 2 2 15 2 12" xfId="47300" xr:uid="{00000000-0005-0000-0000-0000D7820000}"/>
    <cellStyle name="Note 4 4 3 2 2 15 2 2" xfId="8342" xr:uid="{00000000-0005-0000-0000-0000D8820000}"/>
    <cellStyle name="Note 4 4 3 2 2 15 2 3" xfId="12785" xr:uid="{00000000-0005-0000-0000-0000D9820000}"/>
    <cellStyle name="Note 4 4 3 2 2 15 2 4" xfId="16628" xr:uid="{00000000-0005-0000-0000-0000DA820000}"/>
    <cellStyle name="Note 4 4 3 2 2 15 2 5" xfId="20481" xr:uid="{00000000-0005-0000-0000-0000DB820000}"/>
    <cellStyle name="Note 4 4 3 2 2 15 2 6" xfId="24391" xr:uid="{00000000-0005-0000-0000-0000DC820000}"/>
    <cellStyle name="Note 4 4 3 2 2 15 2 7" xfId="28231" xr:uid="{00000000-0005-0000-0000-0000DD820000}"/>
    <cellStyle name="Note 4 4 3 2 2 15 2 8" xfId="32089" xr:uid="{00000000-0005-0000-0000-0000DE820000}"/>
    <cellStyle name="Note 4 4 3 2 2 15 2 9" xfId="35738" xr:uid="{00000000-0005-0000-0000-0000DF820000}"/>
    <cellStyle name="Note 4 4 3 2 2 15 3" xfId="6399" xr:uid="{00000000-0005-0000-0000-0000E0820000}"/>
    <cellStyle name="Note 4 4 3 2 2 15 4" xfId="10822" xr:uid="{00000000-0005-0000-0000-0000E1820000}"/>
    <cellStyle name="Note 4 4 3 2 2 15 5" xfId="14666" xr:uid="{00000000-0005-0000-0000-0000E2820000}"/>
    <cellStyle name="Note 4 4 3 2 2 15 6" xfId="18501" xr:uid="{00000000-0005-0000-0000-0000E3820000}"/>
    <cellStyle name="Note 4 4 3 2 2 15 7" xfId="22436" xr:uid="{00000000-0005-0000-0000-0000E4820000}"/>
    <cellStyle name="Note 4 4 3 2 2 15 8" xfId="26252" xr:uid="{00000000-0005-0000-0000-0000E5820000}"/>
    <cellStyle name="Note 4 4 3 2 2 15 9" xfId="30131" xr:uid="{00000000-0005-0000-0000-0000E6820000}"/>
    <cellStyle name="Note 4 4 3 2 2 16" xfId="2576" xr:uid="{00000000-0005-0000-0000-0000E7820000}"/>
    <cellStyle name="Note 4 4 3 2 2 16 10" xfId="37628" xr:uid="{00000000-0005-0000-0000-0000E8820000}"/>
    <cellStyle name="Note 4 4 3 2 2 16 11" xfId="41642" xr:uid="{00000000-0005-0000-0000-0000E9820000}"/>
    <cellStyle name="Note 4 4 3 2 2 16 12" xfId="45431" xr:uid="{00000000-0005-0000-0000-0000EA820000}"/>
    <cellStyle name="Note 4 4 3 2 2 16 2" xfId="6468" xr:uid="{00000000-0005-0000-0000-0000EB820000}"/>
    <cellStyle name="Note 4 4 3 2 2 16 3" xfId="10891" xr:uid="{00000000-0005-0000-0000-0000EC820000}"/>
    <cellStyle name="Note 4 4 3 2 2 16 4" xfId="14735" xr:uid="{00000000-0005-0000-0000-0000ED820000}"/>
    <cellStyle name="Note 4 4 3 2 2 16 5" xfId="18570" xr:uid="{00000000-0005-0000-0000-0000EE820000}"/>
    <cellStyle name="Note 4 4 3 2 2 16 6" xfId="22505" xr:uid="{00000000-0005-0000-0000-0000EF820000}"/>
    <cellStyle name="Note 4 4 3 2 2 16 7" xfId="26321" xr:uid="{00000000-0005-0000-0000-0000F0820000}"/>
    <cellStyle name="Note 4 4 3 2 2 16 8" xfId="30200" xr:uid="{00000000-0005-0000-0000-0000F1820000}"/>
    <cellStyle name="Note 4 4 3 2 2 16 9" xfId="33869" xr:uid="{00000000-0005-0000-0000-0000F2820000}"/>
    <cellStyle name="Note 4 4 3 2 2 17" xfId="4544" xr:uid="{00000000-0005-0000-0000-0000F3820000}"/>
    <cellStyle name="Note 4 4 3 2 2 18" xfId="8351" xr:uid="{00000000-0005-0000-0000-0000F4820000}"/>
    <cellStyle name="Note 4 4 3 2 2 19" xfId="8761" xr:uid="{00000000-0005-0000-0000-0000F5820000}"/>
    <cellStyle name="Note 4 4 3 2 2 2" xfId="705" xr:uid="{00000000-0005-0000-0000-0000F6820000}"/>
    <cellStyle name="Note 4 4 3 2 2 2 10" xfId="24439" xr:uid="{00000000-0005-0000-0000-0000F7820000}"/>
    <cellStyle name="Note 4 4 3 2 2 2 11" xfId="28332" xr:uid="{00000000-0005-0000-0000-0000F8820000}"/>
    <cellStyle name="Note 4 4 3 2 2 2 12" xfId="29922" xr:uid="{00000000-0005-0000-0000-0000F9820000}"/>
    <cellStyle name="Note 4 4 3 2 2 2 13" xfId="35776" xr:uid="{00000000-0005-0000-0000-0000FA820000}"/>
    <cellStyle name="Note 4 4 3 2 2 2 14" xfId="39799" xr:uid="{00000000-0005-0000-0000-0000FB820000}"/>
    <cellStyle name="Note 4 4 3 2 2 2 15" xfId="43602" xr:uid="{00000000-0005-0000-0000-0000FC820000}"/>
    <cellStyle name="Note 4 4 3 2 2 2 2" xfId="1085" xr:uid="{00000000-0005-0000-0000-0000FD820000}"/>
    <cellStyle name="Note 4 4 3 2 2 2 2 10" xfId="28696" xr:uid="{00000000-0005-0000-0000-0000FE820000}"/>
    <cellStyle name="Note 4 4 3 2 2 2 2 11" xfId="32382" xr:uid="{00000000-0005-0000-0000-0000FF820000}"/>
    <cellStyle name="Note 4 4 3 2 2 2 2 12" xfId="36143" xr:uid="{00000000-0005-0000-0000-000000830000}"/>
    <cellStyle name="Note 4 4 3 2 2 2 2 13" xfId="40146" xr:uid="{00000000-0005-0000-0000-000001830000}"/>
    <cellStyle name="Note 4 4 3 2 2 2 2 14" xfId="43969" xr:uid="{00000000-0005-0000-0000-000002830000}"/>
    <cellStyle name="Note 4 4 3 2 2 2 2 2" xfId="1812" xr:uid="{00000000-0005-0000-0000-000003830000}"/>
    <cellStyle name="Note 4 4 3 2 2 2 2 2 10" xfId="33099" xr:uid="{00000000-0005-0000-0000-000004830000}"/>
    <cellStyle name="Note 4 4 3 2 2 2 2 2 11" xfId="36869" xr:uid="{00000000-0005-0000-0000-000005830000}"/>
    <cellStyle name="Note 4 4 3 2 2 2 2 2 12" xfId="40860" xr:uid="{00000000-0005-0000-0000-000006830000}"/>
    <cellStyle name="Note 4 4 3 2 2 2 2 2 13" xfId="44691" xr:uid="{00000000-0005-0000-0000-000007830000}"/>
    <cellStyle name="Note 4 4 3 2 2 2 2 2 2" xfId="3802" xr:uid="{00000000-0005-0000-0000-000008830000}"/>
    <cellStyle name="Note 4 4 3 2 2 2 2 2 2 10" xfId="38853" xr:uid="{00000000-0005-0000-0000-000009830000}"/>
    <cellStyle name="Note 4 4 3 2 2 2 2 2 2 11" xfId="42864" xr:uid="{00000000-0005-0000-0000-00000A830000}"/>
    <cellStyle name="Note 4 4 3 2 2 2 2 2 2 12" xfId="46629" xr:uid="{00000000-0005-0000-0000-00000B830000}"/>
    <cellStyle name="Note 4 4 3 2 2 2 2 2 2 2" xfId="7669" xr:uid="{00000000-0005-0000-0000-00000C830000}"/>
    <cellStyle name="Note 4 4 3 2 2 2 2 2 2 3" xfId="12104" xr:uid="{00000000-0005-0000-0000-00000D830000}"/>
    <cellStyle name="Note 4 4 3 2 2 2 2 2 2 4" xfId="15949" xr:uid="{00000000-0005-0000-0000-00000E830000}"/>
    <cellStyle name="Note 4 4 3 2 2 2 2 2 2 5" xfId="19796" xr:uid="{00000000-0005-0000-0000-00000F830000}"/>
    <cellStyle name="Note 4 4 3 2 2 2 2 2 2 6" xfId="23712" xr:uid="{00000000-0005-0000-0000-000010830000}"/>
    <cellStyle name="Note 4 4 3 2 2 2 2 2 2 7" xfId="27546" xr:uid="{00000000-0005-0000-0000-000011830000}"/>
    <cellStyle name="Note 4 4 3 2 2 2 2 2 2 8" xfId="31410" xr:uid="{00000000-0005-0000-0000-000012830000}"/>
    <cellStyle name="Note 4 4 3 2 2 2 2 2 2 9" xfId="35067" xr:uid="{00000000-0005-0000-0000-000013830000}"/>
    <cellStyle name="Note 4 4 3 2 2 2 2 2 3" xfId="5745" xr:uid="{00000000-0005-0000-0000-000014830000}"/>
    <cellStyle name="Note 4 4 3 2 2 2 2 2 4" xfId="10103" xr:uid="{00000000-0005-0000-0000-000015830000}"/>
    <cellStyle name="Note 4 4 3 2 2 2 2 2 5" xfId="13949" xr:uid="{00000000-0005-0000-0000-000016830000}"/>
    <cellStyle name="Note 4 4 3 2 2 2 2 2 6" xfId="17778" xr:uid="{00000000-0005-0000-0000-000017830000}"/>
    <cellStyle name="Note 4 4 3 2 2 2 2 2 7" xfId="21717" xr:uid="{00000000-0005-0000-0000-000018830000}"/>
    <cellStyle name="Note 4 4 3 2 2 2 2 2 8" xfId="25530" xr:uid="{00000000-0005-0000-0000-000019830000}"/>
    <cellStyle name="Note 4 4 3 2 2 2 2 2 9" xfId="29417" xr:uid="{00000000-0005-0000-0000-00001A830000}"/>
    <cellStyle name="Note 4 4 3 2 2 2 2 3" xfId="3075" xr:uid="{00000000-0005-0000-0000-00001B830000}"/>
    <cellStyle name="Note 4 4 3 2 2 2 2 3 10" xfId="38127" xr:uid="{00000000-0005-0000-0000-00001C830000}"/>
    <cellStyle name="Note 4 4 3 2 2 2 2 3 11" xfId="42139" xr:uid="{00000000-0005-0000-0000-00001D830000}"/>
    <cellStyle name="Note 4 4 3 2 2 2 2 3 12" xfId="45912" xr:uid="{00000000-0005-0000-0000-00001E830000}"/>
    <cellStyle name="Note 4 4 3 2 2 2 2 3 2" xfId="6951" xr:uid="{00000000-0005-0000-0000-00001F830000}"/>
    <cellStyle name="Note 4 4 3 2 2 2 2 3 3" xfId="11380" xr:uid="{00000000-0005-0000-0000-000020830000}"/>
    <cellStyle name="Note 4 4 3 2 2 2 2 3 4" xfId="15224" xr:uid="{00000000-0005-0000-0000-000021830000}"/>
    <cellStyle name="Note 4 4 3 2 2 2 2 3 5" xfId="19069" xr:uid="{00000000-0005-0000-0000-000022830000}"/>
    <cellStyle name="Note 4 4 3 2 2 2 2 3 6" xfId="22991" xr:uid="{00000000-0005-0000-0000-000023830000}"/>
    <cellStyle name="Note 4 4 3 2 2 2 2 3 7" xfId="26820" xr:uid="{00000000-0005-0000-0000-000024830000}"/>
    <cellStyle name="Note 4 4 3 2 2 2 2 3 8" xfId="30694" xr:uid="{00000000-0005-0000-0000-000025830000}"/>
    <cellStyle name="Note 4 4 3 2 2 2 2 3 9" xfId="34350" xr:uid="{00000000-0005-0000-0000-000026830000}"/>
    <cellStyle name="Note 4 4 3 2 2 2 2 4" xfId="5027" xr:uid="{00000000-0005-0000-0000-000027830000}"/>
    <cellStyle name="Note 4 4 3 2 2 2 2 5" xfId="9383" xr:uid="{00000000-0005-0000-0000-000028830000}"/>
    <cellStyle name="Note 4 4 3 2 2 2 2 6" xfId="13223" xr:uid="{00000000-0005-0000-0000-000029830000}"/>
    <cellStyle name="Note 4 4 3 2 2 2 2 7" xfId="17051" xr:uid="{00000000-0005-0000-0000-00002A830000}"/>
    <cellStyle name="Note 4 4 3 2 2 2 2 8" xfId="20993" xr:uid="{00000000-0005-0000-0000-00002B830000}"/>
    <cellStyle name="Note 4 4 3 2 2 2 2 9" xfId="24807" xr:uid="{00000000-0005-0000-0000-00002C830000}"/>
    <cellStyle name="Note 4 4 3 2 2 2 3" xfId="1459" xr:uid="{00000000-0005-0000-0000-00002D830000}"/>
    <cellStyle name="Note 4 4 3 2 2 2 3 10" xfId="32746" xr:uid="{00000000-0005-0000-0000-00002E830000}"/>
    <cellStyle name="Note 4 4 3 2 2 2 3 11" xfId="36516" xr:uid="{00000000-0005-0000-0000-00002F830000}"/>
    <cellStyle name="Note 4 4 3 2 2 2 3 12" xfId="40507" xr:uid="{00000000-0005-0000-0000-000030830000}"/>
    <cellStyle name="Note 4 4 3 2 2 2 3 13" xfId="44338" xr:uid="{00000000-0005-0000-0000-000031830000}"/>
    <cellStyle name="Note 4 4 3 2 2 2 3 2" xfId="3449" xr:uid="{00000000-0005-0000-0000-000032830000}"/>
    <cellStyle name="Note 4 4 3 2 2 2 3 2 10" xfId="38500" xr:uid="{00000000-0005-0000-0000-000033830000}"/>
    <cellStyle name="Note 4 4 3 2 2 2 3 2 11" xfId="42511" xr:uid="{00000000-0005-0000-0000-000034830000}"/>
    <cellStyle name="Note 4 4 3 2 2 2 3 2 12" xfId="46276" xr:uid="{00000000-0005-0000-0000-000035830000}"/>
    <cellStyle name="Note 4 4 3 2 2 2 3 2 2" xfId="7316" xr:uid="{00000000-0005-0000-0000-000036830000}"/>
    <cellStyle name="Note 4 4 3 2 2 2 3 2 3" xfId="11751" xr:uid="{00000000-0005-0000-0000-000037830000}"/>
    <cellStyle name="Note 4 4 3 2 2 2 3 2 4" xfId="15596" xr:uid="{00000000-0005-0000-0000-000038830000}"/>
    <cellStyle name="Note 4 4 3 2 2 2 3 2 5" xfId="19443" xr:uid="{00000000-0005-0000-0000-000039830000}"/>
    <cellStyle name="Note 4 4 3 2 2 2 3 2 6" xfId="23359" xr:uid="{00000000-0005-0000-0000-00003A830000}"/>
    <cellStyle name="Note 4 4 3 2 2 2 3 2 7" xfId="27193" xr:uid="{00000000-0005-0000-0000-00003B830000}"/>
    <cellStyle name="Note 4 4 3 2 2 2 3 2 8" xfId="31061" xr:uid="{00000000-0005-0000-0000-00003C830000}"/>
    <cellStyle name="Note 4 4 3 2 2 2 3 2 9" xfId="34714" xr:uid="{00000000-0005-0000-0000-00003D830000}"/>
    <cellStyle name="Note 4 4 3 2 2 2 3 3" xfId="5392" xr:uid="{00000000-0005-0000-0000-00003E830000}"/>
    <cellStyle name="Note 4 4 3 2 2 2 3 4" xfId="9750" xr:uid="{00000000-0005-0000-0000-00003F830000}"/>
    <cellStyle name="Note 4 4 3 2 2 2 3 5" xfId="13596" xr:uid="{00000000-0005-0000-0000-000040830000}"/>
    <cellStyle name="Note 4 4 3 2 2 2 3 6" xfId="17425" xr:uid="{00000000-0005-0000-0000-000041830000}"/>
    <cellStyle name="Note 4 4 3 2 2 2 3 7" xfId="21364" xr:uid="{00000000-0005-0000-0000-000042830000}"/>
    <cellStyle name="Note 4 4 3 2 2 2 3 8" xfId="25177" xr:uid="{00000000-0005-0000-0000-000043830000}"/>
    <cellStyle name="Note 4 4 3 2 2 2 3 9" xfId="29064" xr:uid="{00000000-0005-0000-0000-000044830000}"/>
    <cellStyle name="Note 4 4 3 2 2 2 4" xfId="2708" xr:uid="{00000000-0005-0000-0000-000045830000}"/>
    <cellStyle name="Note 4 4 3 2 2 2 4 10" xfId="37760" xr:uid="{00000000-0005-0000-0000-000046830000}"/>
    <cellStyle name="Note 4 4 3 2 2 2 4 11" xfId="41774" xr:uid="{00000000-0005-0000-0000-000047830000}"/>
    <cellStyle name="Note 4 4 3 2 2 2 4 12" xfId="45559" xr:uid="{00000000-0005-0000-0000-000048830000}"/>
    <cellStyle name="Note 4 4 3 2 2 2 4 2" xfId="6596" xr:uid="{00000000-0005-0000-0000-000049830000}"/>
    <cellStyle name="Note 4 4 3 2 2 2 4 3" xfId="11020" xr:uid="{00000000-0005-0000-0000-00004A830000}"/>
    <cellStyle name="Note 4 4 3 2 2 2 4 4" xfId="14864" xr:uid="{00000000-0005-0000-0000-00004B830000}"/>
    <cellStyle name="Note 4 4 3 2 2 2 4 5" xfId="18702" xr:uid="{00000000-0005-0000-0000-00004C830000}"/>
    <cellStyle name="Note 4 4 3 2 2 2 4 6" xfId="22633" xr:uid="{00000000-0005-0000-0000-00004D830000}"/>
    <cellStyle name="Note 4 4 3 2 2 2 4 7" xfId="26453" xr:uid="{00000000-0005-0000-0000-00004E830000}"/>
    <cellStyle name="Note 4 4 3 2 2 2 4 8" xfId="30332" xr:uid="{00000000-0005-0000-0000-00004F830000}"/>
    <cellStyle name="Note 4 4 3 2 2 2 4 9" xfId="33997" xr:uid="{00000000-0005-0000-0000-000050830000}"/>
    <cellStyle name="Note 4 4 3 2 2 2 5" xfId="4672" xr:uid="{00000000-0005-0000-0000-000051830000}"/>
    <cellStyle name="Note 4 4 3 2 2 2 6" xfId="9014" xr:uid="{00000000-0005-0000-0000-000052830000}"/>
    <cellStyle name="Note 4 4 3 2 2 2 7" xfId="12851" xr:uid="{00000000-0005-0000-0000-000053830000}"/>
    <cellStyle name="Note 4 4 3 2 2 2 8" xfId="16681" xr:uid="{00000000-0005-0000-0000-000054830000}"/>
    <cellStyle name="Note 4 4 3 2 2 2 9" xfId="20618" xr:uid="{00000000-0005-0000-0000-000055830000}"/>
    <cellStyle name="Note 4 4 3 2 2 20" xfId="8881" xr:uid="{00000000-0005-0000-0000-000056830000}"/>
    <cellStyle name="Note 4 4 3 2 2 21" xfId="10394" xr:uid="{00000000-0005-0000-0000-000057830000}"/>
    <cellStyle name="Note 4 4 3 2 2 22" xfId="8809" xr:uid="{00000000-0005-0000-0000-000058830000}"/>
    <cellStyle name="Note 4 4 3 2 2 23" xfId="18051" xr:uid="{00000000-0005-0000-0000-000059830000}"/>
    <cellStyle name="Note 4 4 3 2 2 24" xfId="11328" xr:uid="{00000000-0005-0000-0000-00005A830000}"/>
    <cellStyle name="Note 4 4 3 2 2 25" xfId="25802" xr:uid="{00000000-0005-0000-0000-00005B830000}"/>
    <cellStyle name="Note 4 4 3 2 2 26" xfId="31239" xr:uid="{00000000-0005-0000-0000-00005C830000}"/>
    <cellStyle name="Note 4 4 3 2 2 27" xfId="13391" xr:uid="{00000000-0005-0000-0000-00005D830000}"/>
    <cellStyle name="Note 4 4 3 2 2 28" xfId="39668" xr:uid="{00000000-0005-0000-0000-00005E830000}"/>
    <cellStyle name="Note 4 4 3 2 2 29" xfId="40233" xr:uid="{00000000-0005-0000-0000-00005F830000}"/>
    <cellStyle name="Note 4 4 3 2 2 3" xfId="644" xr:uid="{00000000-0005-0000-0000-000060830000}"/>
    <cellStyle name="Note 4 4 3 2 2 3 10" xfId="8416" xr:uid="{00000000-0005-0000-0000-000061830000}"/>
    <cellStyle name="Note 4 4 3 2 2 3 11" xfId="28271" xr:uid="{00000000-0005-0000-0000-000062830000}"/>
    <cellStyle name="Note 4 4 3 2 2 3 12" xfId="30640" xr:uid="{00000000-0005-0000-0000-000063830000}"/>
    <cellStyle name="Note 4 4 3 2 2 3 13" xfId="24210" xr:uid="{00000000-0005-0000-0000-000064830000}"/>
    <cellStyle name="Note 4 4 3 2 2 3 14" xfId="39739" xr:uid="{00000000-0005-0000-0000-000065830000}"/>
    <cellStyle name="Note 4 4 3 2 2 3 15" xfId="39548" xr:uid="{00000000-0005-0000-0000-000066830000}"/>
    <cellStyle name="Note 4 4 3 2 2 3 2" xfId="1024" xr:uid="{00000000-0005-0000-0000-000067830000}"/>
    <cellStyle name="Note 4 4 3 2 2 3 2 10" xfId="28635" xr:uid="{00000000-0005-0000-0000-000068830000}"/>
    <cellStyle name="Note 4 4 3 2 2 3 2 11" xfId="32323" xr:uid="{00000000-0005-0000-0000-000069830000}"/>
    <cellStyle name="Note 4 4 3 2 2 3 2 12" xfId="36082" xr:uid="{00000000-0005-0000-0000-00006A830000}"/>
    <cellStyle name="Note 4 4 3 2 2 3 2 13" xfId="40087" xr:uid="{00000000-0005-0000-0000-00006B830000}"/>
    <cellStyle name="Note 4 4 3 2 2 3 2 14" xfId="43908" xr:uid="{00000000-0005-0000-0000-00006C830000}"/>
    <cellStyle name="Note 4 4 3 2 2 3 2 2" xfId="1753" xr:uid="{00000000-0005-0000-0000-00006D830000}"/>
    <cellStyle name="Note 4 4 3 2 2 3 2 2 10" xfId="33040" xr:uid="{00000000-0005-0000-0000-00006E830000}"/>
    <cellStyle name="Note 4 4 3 2 2 3 2 2 11" xfId="36810" xr:uid="{00000000-0005-0000-0000-00006F830000}"/>
    <cellStyle name="Note 4 4 3 2 2 3 2 2 12" xfId="40801" xr:uid="{00000000-0005-0000-0000-000070830000}"/>
    <cellStyle name="Note 4 4 3 2 2 3 2 2 13" xfId="44632" xr:uid="{00000000-0005-0000-0000-000071830000}"/>
    <cellStyle name="Note 4 4 3 2 2 3 2 2 2" xfId="3743" xr:uid="{00000000-0005-0000-0000-000072830000}"/>
    <cellStyle name="Note 4 4 3 2 2 3 2 2 2 10" xfId="38794" xr:uid="{00000000-0005-0000-0000-000073830000}"/>
    <cellStyle name="Note 4 4 3 2 2 3 2 2 2 11" xfId="42805" xr:uid="{00000000-0005-0000-0000-000074830000}"/>
    <cellStyle name="Note 4 4 3 2 2 3 2 2 2 12" xfId="46570" xr:uid="{00000000-0005-0000-0000-000075830000}"/>
    <cellStyle name="Note 4 4 3 2 2 3 2 2 2 2" xfId="7610" xr:uid="{00000000-0005-0000-0000-000076830000}"/>
    <cellStyle name="Note 4 4 3 2 2 3 2 2 2 3" xfId="12045" xr:uid="{00000000-0005-0000-0000-000077830000}"/>
    <cellStyle name="Note 4 4 3 2 2 3 2 2 2 4" xfId="15890" xr:uid="{00000000-0005-0000-0000-000078830000}"/>
    <cellStyle name="Note 4 4 3 2 2 3 2 2 2 5" xfId="19737" xr:uid="{00000000-0005-0000-0000-000079830000}"/>
    <cellStyle name="Note 4 4 3 2 2 3 2 2 2 6" xfId="23653" xr:uid="{00000000-0005-0000-0000-00007A830000}"/>
    <cellStyle name="Note 4 4 3 2 2 3 2 2 2 7" xfId="27487" xr:uid="{00000000-0005-0000-0000-00007B830000}"/>
    <cellStyle name="Note 4 4 3 2 2 3 2 2 2 8" xfId="31351" xr:uid="{00000000-0005-0000-0000-00007C830000}"/>
    <cellStyle name="Note 4 4 3 2 2 3 2 2 2 9" xfId="35008" xr:uid="{00000000-0005-0000-0000-00007D830000}"/>
    <cellStyle name="Note 4 4 3 2 2 3 2 2 3" xfId="5686" xr:uid="{00000000-0005-0000-0000-00007E830000}"/>
    <cellStyle name="Note 4 4 3 2 2 3 2 2 4" xfId="10044" xr:uid="{00000000-0005-0000-0000-00007F830000}"/>
    <cellStyle name="Note 4 4 3 2 2 3 2 2 5" xfId="13890" xr:uid="{00000000-0005-0000-0000-000080830000}"/>
    <cellStyle name="Note 4 4 3 2 2 3 2 2 6" xfId="17719" xr:uid="{00000000-0005-0000-0000-000081830000}"/>
    <cellStyle name="Note 4 4 3 2 2 3 2 2 7" xfId="21658" xr:uid="{00000000-0005-0000-0000-000082830000}"/>
    <cellStyle name="Note 4 4 3 2 2 3 2 2 8" xfId="25471" xr:uid="{00000000-0005-0000-0000-000083830000}"/>
    <cellStyle name="Note 4 4 3 2 2 3 2 2 9" xfId="29358" xr:uid="{00000000-0005-0000-0000-000084830000}"/>
    <cellStyle name="Note 4 4 3 2 2 3 2 3" xfId="3014" xr:uid="{00000000-0005-0000-0000-000085830000}"/>
    <cellStyle name="Note 4 4 3 2 2 3 2 3 10" xfId="38066" xr:uid="{00000000-0005-0000-0000-000086830000}"/>
    <cellStyle name="Note 4 4 3 2 2 3 2 3 11" xfId="42078" xr:uid="{00000000-0005-0000-0000-000087830000}"/>
    <cellStyle name="Note 4 4 3 2 2 3 2 3 12" xfId="45853" xr:uid="{00000000-0005-0000-0000-000088830000}"/>
    <cellStyle name="Note 4 4 3 2 2 3 2 3 2" xfId="6892" xr:uid="{00000000-0005-0000-0000-000089830000}"/>
    <cellStyle name="Note 4 4 3 2 2 3 2 3 3" xfId="11320" xr:uid="{00000000-0005-0000-0000-00008A830000}"/>
    <cellStyle name="Note 4 4 3 2 2 3 2 3 4" xfId="15165" xr:uid="{00000000-0005-0000-0000-00008B830000}"/>
    <cellStyle name="Note 4 4 3 2 2 3 2 3 5" xfId="19008" xr:uid="{00000000-0005-0000-0000-00008C830000}"/>
    <cellStyle name="Note 4 4 3 2 2 3 2 3 6" xfId="22932" xr:uid="{00000000-0005-0000-0000-00008D830000}"/>
    <cellStyle name="Note 4 4 3 2 2 3 2 3 7" xfId="26759" xr:uid="{00000000-0005-0000-0000-00008E830000}"/>
    <cellStyle name="Note 4 4 3 2 2 3 2 3 8" xfId="30633" xr:uid="{00000000-0005-0000-0000-00008F830000}"/>
    <cellStyle name="Note 4 4 3 2 2 3 2 3 9" xfId="34291" xr:uid="{00000000-0005-0000-0000-000090830000}"/>
    <cellStyle name="Note 4 4 3 2 2 3 2 4" xfId="4968" xr:uid="{00000000-0005-0000-0000-000091830000}"/>
    <cellStyle name="Note 4 4 3 2 2 3 2 5" xfId="9323" xr:uid="{00000000-0005-0000-0000-000092830000}"/>
    <cellStyle name="Note 4 4 3 2 2 3 2 6" xfId="13164" xr:uid="{00000000-0005-0000-0000-000093830000}"/>
    <cellStyle name="Note 4 4 3 2 2 3 2 7" xfId="16990" xr:uid="{00000000-0005-0000-0000-000094830000}"/>
    <cellStyle name="Note 4 4 3 2 2 3 2 8" xfId="20932" xr:uid="{00000000-0005-0000-0000-000095830000}"/>
    <cellStyle name="Note 4 4 3 2 2 3 2 9" xfId="24747" xr:uid="{00000000-0005-0000-0000-000096830000}"/>
    <cellStyle name="Note 4 4 3 2 2 3 3" xfId="1400" xr:uid="{00000000-0005-0000-0000-000097830000}"/>
    <cellStyle name="Note 4 4 3 2 2 3 3 10" xfId="32687" xr:uid="{00000000-0005-0000-0000-000098830000}"/>
    <cellStyle name="Note 4 4 3 2 2 3 3 11" xfId="36457" xr:uid="{00000000-0005-0000-0000-000099830000}"/>
    <cellStyle name="Note 4 4 3 2 2 3 3 12" xfId="40448" xr:uid="{00000000-0005-0000-0000-00009A830000}"/>
    <cellStyle name="Note 4 4 3 2 2 3 3 13" xfId="44279" xr:uid="{00000000-0005-0000-0000-00009B830000}"/>
    <cellStyle name="Note 4 4 3 2 2 3 3 2" xfId="3390" xr:uid="{00000000-0005-0000-0000-00009C830000}"/>
    <cellStyle name="Note 4 4 3 2 2 3 3 2 10" xfId="38441" xr:uid="{00000000-0005-0000-0000-00009D830000}"/>
    <cellStyle name="Note 4 4 3 2 2 3 3 2 11" xfId="42452" xr:uid="{00000000-0005-0000-0000-00009E830000}"/>
    <cellStyle name="Note 4 4 3 2 2 3 3 2 12" xfId="46217" xr:uid="{00000000-0005-0000-0000-00009F830000}"/>
    <cellStyle name="Note 4 4 3 2 2 3 3 2 2" xfId="7257" xr:uid="{00000000-0005-0000-0000-0000A0830000}"/>
    <cellStyle name="Note 4 4 3 2 2 3 3 2 3" xfId="11692" xr:uid="{00000000-0005-0000-0000-0000A1830000}"/>
    <cellStyle name="Note 4 4 3 2 2 3 3 2 4" xfId="15537" xr:uid="{00000000-0005-0000-0000-0000A2830000}"/>
    <cellStyle name="Note 4 4 3 2 2 3 3 2 5" xfId="19384" xr:uid="{00000000-0005-0000-0000-0000A3830000}"/>
    <cellStyle name="Note 4 4 3 2 2 3 3 2 6" xfId="23300" xr:uid="{00000000-0005-0000-0000-0000A4830000}"/>
    <cellStyle name="Note 4 4 3 2 2 3 3 2 7" xfId="27134" xr:uid="{00000000-0005-0000-0000-0000A5830000}"/>
    <cellStyle name="Note 4 4 3 2 2 3 3 2 8" xfId="31002" xr:uid="{00000000-0005-0000-0000-0000A6830000}"/>
    <cellStyle name="Note 4 4 3 2 2 3 3 2 9" xfId="34655" xr:uid="{00000000-0005-0000-0000-0000A7830000}"/>
    <cellStyle name="Note 4 4 3 2 2 3 3 3" xfId="5333" xr:uid="{00000000-0005-0000-0000-0000A8830000}"/>
    <cellStyle name="Note 4 4 3 2 2 3 3 4" xfId="9691" xr:uid="{00000000-0005-0000-0000-0000A9830000}"/>
    <cellStyle name="Note 4 4 3 2 2 3 3 5" xfId="13537" xr:uid="{00000000-0005-0000-0000-0000AA830000}"/>
    <cellStyle name="Note 4 4 3 2 2 3 3 6" xfId="17366" xr:uid="{00000000-0005-0000-0000-0000AB830000}"/>
    <cellStyle name="Note 4 4 3 2 2 3 3 7" xfId="21305" xr:uid="{00000000-0005-0000-0000-0000AC830000}"/>
    <cellStyle name="Note 4 4 3 2 2 3 3 8" xfId="25118" xr:uid="{00000000-0005-0000-0000-0000AD830000}"/>
    <cellStyle name="Note 4 4 3 2 2 3 3 9" xfId="29005" xr:uid="{00000000-0005-0000-0000-0000AE830000}"/>
    <cellStyle name="Note 4 4 3 2 2 3 4" xfId="2647" xr:uid="{00000000-0005-0000-0000-0000AF830000}"/>
    <cellStyle name="Note 4 4 3 2 2 3 4 10" xfId="37699" xr:uid="{00000000-0005-0000-0000-0000B0830000}"/>
    <cellStyle name="Note 4 4 3 2 2 3 4 11" xfId="41713" xr:uid="{00000000-0005-0000-0000-0000B1830000}"/>
    <cellStyle name="Note 4 4 3 2 2 3 4 12" xfId="45500" xr:uid="{00000000-0005-0000-0000-0000B2830000}"/>
    <cellStyle name="Note 4 4 3 2 2 3 4 2" xfId="6537" xr:uid="{00000000-0005-0000-0000-0000B3830000}"/>
    <cellStyle name="Note 4 4 3 2 2 3 4 3" xfId="10961" xr:uid="{00000000-0005-0000-0000-0000B4830000}"/>
    <cellStyle name="Note 4 4 3 2 2 3 4 4" xfId="14805" xr:uid="{00000000-0005-0000-0000-0000B5830000}"/>
    <cellStyle name="Note 4 4 3 2 2 3 4 5" xfId="18641" xr:uid="{00000000-0005-0000-0000-0000B6830000}"/>
    <cellStyle name="Note 4 4 3 2 2 3 4 6" xfId="22574" xr:uid="{00000000-0005-0000-0000-0000B7830000}"/>
    <cellStyle name="Note 4 4 3 2 2 3 4 7" xfId="26392" xr:uid="{00000000-0005-0000-0000-0000B8830000}"/>
    <cellStyle name="Note 4 4 3 2 2 3 4 8" xfId="30271" xr:uid="{00000000-0005-0000-0000-0000B9830000}"/>
    <cellStyle name="Note 4 4 3 2 2 3 4 9" xfId="33938" xr:uid="{00000000-0005-0000-0000-0000BA830000}"/>
    <cellStyle name="Note 4 4 3 2 2 3 5" xfId="4613" xr:uid="{00000000-0005-0000-0000-0000BB830000}"/>
    <cellStyle name="Note 4 4 3 2 2 3 6" xfId="8953" xr:uid="{00000000-0005-0000-0000-0000BC830000}"/>
    <cellStyle name="Note 4 4 3 2 2 3 7" xfId="12792" xr:uid="{00000000-0005-0000-0000-0000BD830000}"/>
    <cellStyle name="Note 4 4 3 2 2 3 8" xfId="8602" xr:uid="{00000000-0005-0000-0000-0000BE830000}"/>
    <cellStyle name="Note 4 4 3 2 2 3 9" xfId="20557" xr:uid="{00000000-0005-0000-0000-0000BF830000}"/>
    <cellStyle name="Note 4 4 3 2 2 30" xfId="47382" xr:uid="{00000000-0005-0000-0000-0000C0830000}"/>
    <cellStyle name="Note 4 4 3 2 2 31" xfId="47468" xr:uid="{00000000-0005-0000-0000-0000C1830000}"/>
    <cellStyle name="Note 4 4 3 2 2 32" xfId="47517" xr:uid="{00000000-0005-0000-0000-0000C2830000}"/>
    <cellStyle name="Note 4 4 3 2 2 4" xfId="813" xr:uid="{00000000-0005-0000-0000-0000C3830000}"/>
    <cellStyle name="Note 4 4 3 2 2 4 10" xfId="24537" xr:uid="{00000000-0005-0000-0000-0000C4830000}"/>
    <cellStyle name="Note 4 4 3 2 2 4 11" xfId="28428" xr:uid="{00000000-0005-0000-0000-0000C5830000}"/>
    <cellStyle name="Note 4 4 3 2 2 4 12" xfId="32114" xr:uid="{00000000-0005-0000-0000-0000C6830000}"/>
    <cellStyle name="Note 4 4 3 2 2 4 13" xfId="35871" xr:uid="{00000000-0005-0000-0000-0000C7830000}"/>
    <cellStyle name="Note 4 4 3 2 2 4 14" xfId="39882" xr:uid="{00000000-0005-0000-0000-0000C8830000}"/>
    <cellStyle name="Note 4 4 3 2 2 4 15" xfId="43697" xr:uid="{00000000-0005-0000-0000-0000C9830000}"/>
    <cellStyle name="Note 4 4 3 2 2 4 2" xfId="1175" xr:uid="{00000000-0005-0000-0000-0000CA830000}"/>
    <cellStyle name="Note 4 4 3 2 2 4 2 10" xfId="28784" xr:uid="{00000000-0005-0000-0000-0000CB830000}"/>
    <cellStyle name="Note 4 4 3 2 2 4 2 11" xfId="32467" xr:uid="{00000000-0005-0000-0000-0000CC830000}"/>
    <cellStyle name="Note 4 4 3 2 2 4 2 12" xfId="36233" xr:uid="{00000000-0005-0000-0000-0000CD830000}"/>
    <cellStyle name="Note 4 4 3 2 2 4 2 13" xfId="40228" xr:uid="{00000000-0005-0000-0000-0000CE830000}"/>
    <cellStyle name="Note 4 4 3 2 2 4 2 14" xfId="44059" xr:uid="{00000000-0005-0000-0000-0000CF830000}"/>
    <cellStyle name="Note 4 4 3 2 2 4 2 2" xfId="1897" xr:uid="{00000000-0005-0000-0000-0000D0830000}"/>
    <cellStyle name="Note 4 4 3 2 2 4 2 2 10" xfId="33184" xr:uid="{00000000-0005-0000-0000-0000D1830000}"/>
    <cellStyle name="Note 4 4 3 2 2 4 2 2 11" xfId="36954" xr:uid="{00000000-0005-0000-0000-0000D2830000}"/>
    <cellStyle name="Note 4 4 3 2 2 4 2 2 12" xfId="40945" xr:uid="{00000000-0005-0000-0000-0000D3830000}"/>
    <cellStyle name="Note 4 4 3 2 2 4 2 2 13" xfId="44776" xr:uid="{00000000-0005-0000-0000-0000D4830000}"/>
    <cellStyle name="Note 4 4 3 2 2 4 2 2 2" xfId="3887" xr:uid="{00000000-0005-0000-0000-0000D5830000}"/>
    <cellStyle name="Note 4 4 3 2 2 4 2 2 2 10" xfId="38938" xr:uid="{00000000-0005-0000-0000-0000D6830000}"/>
    <cellStyle name="Note 4 4 3 2 2 4 2 2 2 11" xfId="42949" xr:uid="{00000000-0005-0000-0000-0000D7830000}"/>
    <cellStyle name="Note 4 4 3 2 2 4 2 2 2 12" xfId="46714" xr:uid="{00000000-0005-0000-0000-0000D8830000}"/>
    <cellStyle name="Note 4 4 3 2 2 4 2 2 2 2" xfId="7754" xr:uid="{00000000-0005-0000-0000-0000D9830000}"/>
    <cellStyle name="Note 4 4 3 2 2 4 2 2 2 3" xfId="12189" xr:uid="{00000000-0005-0000-0000-0000DA830000}"/>
    <cellStyle name="Note 4 4 3 2 2 4 2 2 2 4" xfId="16034" xr:uid="{00000000-0005-0000-0000-0000DB830000}"/>
    <cellStyle name="Note 4 4 3 2 2 4 2 2 2 5" xfId="19881" xr:uid="{00000000-0005-0000-0000-0000DC830000}"/>
    <cellStyle name="Note 4 4 3 2 2 4 2 2 2 6" xfId="23797" xr:uid="{00000000-0005-0000-0000-0000DD830000}"/>
    <cellStyle name="Note 4 4 3 2 2 4 2 2 2 7" xfId="27631" xr:uid="{00000000-0005-0000-0000-0000DE830000}"/>
    <cellStyle name="Note 4 4 3 2 2 4 2 2 2 8" xfId="31494" xr:uid="{00000000-0005-0000-0000-0000DF830000}"/>
    <cellStyle name="Note 4 4 3 2 2 4 2 2 2 9" xfId="35152" xr:uid="{00000000-0005-0000-0000-0000E0830000}"/>
    <cellStyle name="Note 4 4 3 2 2 4 2 2 3" xfId="5830" xr:uid="{00000000-0005-0000-0000-0000E1830000}"/>
    <cellStyle name="Note 4 4 3 2 2 4 2 2 4" xfId="10188" xr:uid="{00000000-0005-0000-0000-0000E2830000}"/>
    <cellStyle name="Note 4 4 3 2 2 4 2 2 5" xfId="14034" xr:uid="{00000000-0005-0000-0000-0000E3830000}"/>
    <cellStyle name="Note 4 4 3 2 2 4 2 2 6" xfId="17863" xr:uid="{00000000-0005-0000-0000-0000E4830000}"/>
    <cellStyle name="Note 4 4 3 2 2 4 2 2 7" xfId="21802" xr:uid="{00000000-0005-0000-0000-0000E5830000}"/>
    <cellStyle name="Note 4 4 3 2 2 4 2 2 8" xfId="25615" xr:uid="{00000000-0005-0000-0000-0000E6830000}"/>
    <cellStyle name="Note 4 4 3 2 2 4 2 2 9" xfId="29502" xr:uid="{00000000-0005-0000-0000-0000E7830000}"/>
    <cellStyle name="Note 4 4 3 2 2 4 2 3" xfId="3165" xr:uid="{00000000-0005-0000-0000-0000E8830000}"/>
    <cellStyle name="Note 4 4 3 2 2 4 2 3 10" xfId="38217" xr:uid="{00000000-0005-0000-0000-0000E9830000}"/>
    <cellStyle name="Note 4 4 3 2 2 4 2 3 11" xfId="42228" xr:uid="{00000000-0005-0000-0000-0000EA830000}"/>
    <cellStyle name="Note 4 4 3 2 2 4 2 3 12" xfId="45997" xr:uid="{00000000-0005-0000-0000-0000EB830000}"/>
    <cellStyle name="Note 4 4 3 2 2 4 2 3 2" xfId="7037" xr:uid="{00000000-0005-0000-0000-0000EC830000}"/>
    <cellStyle name="Note 4 4 3 2 2 4 2 3 3" xfId="11469" xr:uid="{00000000-0005-0000-0000-0000ED830000}"/>
    <cellStyle name="Note 4 4 3 2 2 4 2 3 4" xfId="15313" xr:uid="{00000000-0005-0000-0000-0000EE830000}"/>
    <cellStyle name="Note 4 4 3 2 2 4 2 3 5" xfId="19159" xr:uid="{00000000-0005-0000-0000-0000EF830000}"/>
    <cellStyle name="Note 4 4 3 2 2 4 2 3 6" xfId="23078" xr:uid="{00000000-0005-0000-0000-0000F0830000}"/>
    <cellStyle name="Note 4 4 3 2 2 4 2 3 7" xfId="26910" xr:uid="{00000000-0005-0000-0000-0000F1830000}"/>
    <cellStyle name="Note 4 4 3 2 2 4 2 3 8" xfId="30782" xr:uid="{00000000-0005-0000-0000-0000F2830000}"/>
    <cellStyle name="Note 4 4 3 2 2 4 2 3 9" xfId="34435" xr:uid="{00000000-0005-0000-0000-0000F3830000}"/>
    <cellStyle name="Note 4 4 3 2 2 4 2 4" xfId="5113" xr:uid="{00000000-0005-0000-0000-0000F4830000}"/>
    <cellStyle name="Note 4 4 3 2 2 4 2 5" xfId="9469" xr:uid="{00000000-0005-0000-0000-0000F5830000}"/>
    <cellStyle name="Note 4 4 3 2 2 4 2 6" xfId="13313" xr:uid="{00000000-0005-0000-0000-0000F6830000}"/>
    <cellStyle name="Note 4 4 3 2 2 4 2 7" xfId="17141" xr:uid="{00000000-0005-0000-0000-0000F7830000}"/>
    <cellStyle name="Note 4 4 3 2 2 4 2 8" xfId="21083" xr:uid="{00000000-0005-0000-0000-0000F8830000}"/>
    <cellStyle name="Note 4 4 3 2 2 4 2 9" xfId="24894" xr:uid="{00000000-0005-0000-0000-0000F9830000}"/>
    <cellStyle name="Note 4 4 3 2 2 4 3" xfId="1544" xr:uid="{00000000-0005-0000-0000-0000FA830000}"/>
    <cellStyle name="Note 4 4 3 2 2 4 3 10" xfId="32831" xr:uid="{00000000-0005-0000-0000-0000FB830000}"/>
    <cellStyle name="Note 4 4 3 2 2 4 3 11" xfId="36601" xr:uid="{00000000-0005-0000-0000-0000FC830000}"/>
    <cellStyle name="Note 4 4 3 2 2 4 3 12" xfId="40592" xr:uid="{00000000-0005-0000-0000-0000FD830000}"/>
    <cellStyle name="Note 4 4 3 2 2 4 3 13" xfId="44423" xr:uid="{00000000-0005-0000-0000-0000FE830000}"/>
    <cellStyle name="Note 4 4 3 2 2 4 3 2" xfId="3534" xr:uid="{00000000-0005-0000-0000-0000FF830000}"/>
    <cellStyle name="Note 4 4 3 2 2 4 3 2 10" xfId="38585" xr:uid="{00000000-0005-0000-0000-000000840000}"/>
    <cellStyle name="Note 4 4 3 2 2 4 3 2 11" xfId="42596" xr:uid="{00000000-0005-0000-0000-000001840000}"/>
    <cellStyle name="Note 4 4 3 2 2 4 3 2 12" xfId="46361" xr:uid="{00000000-0005-0000-0000-000002840000}"/>
    <cellStyle name="Note 4 4 3 2 2 4 3 2 2" xfId="7401" xr:uid="{00000000-0005-0000-0000-000003840000}"/>
    <cellStyle name="Note 4 4 3 2 2 4 3 2 3" xfId="11836" xr:uid="{00000000-0005-0000-0000-000004840000}"/>
    <cellStyle name="Note 4 4 3 2 2 4 3 2 4" xfId="15681" xr:uid="{00000000-0005-0000-0000-000005840000}"/>
    <cellStyle name="Note 4 4 3 2 2 4 3 2 5" xfId="19528" xr:uid="{00000000-0005-0000-0000-000006840000}"/>
    <cellStyle name="Note 4 4 3 2 2 4 3 2 6" xfId="23444" xr:uid="{00000000-0005-0000-0000-000007840000}"/>
    <cellStyle name="Note 4 4 3 2 2 4 3 2 7" xfId="27278" xr:uid="{00000000-0005-0000-0000-000008840000}"/>
    <cellStyle name="Note 4 4 3 2 2 4 3 2 8" xfId="31145" xr:uid="{00000000-0005-0000-0000-000009840000}"/>
    <cellStyle name="Note 4 4 3 2 2 4 3 2 9" xfId="34799" xr:uid="{00000000-0005-0000-0000-00000A840000}"/>
    <cellStyle name="Note 4 4 3 2 2 4 3 3" xfId="5477" xr:uid="{00000000-0005-0000-0000-00000B840000}"/>
    <cellStyle name="Note 4 4 3 2 2 4 3 4" xfId="9835" xr:uid="{00000000-0005-0000-0000-00000C840000}"/>
    <cellStyle name="Note 4 4 3 2 2 4 3 5" xfId="13681" xr:uid="{00000000-0005-0000-0000-00000D840000}"/>
    <cellStyle name="Note 4 4 3 2 2 4 3 6" xfId="17510" xr:uid="{00000000-0005-0000-0000-00000E840000}"/>
    <cellStyle name="Note 4 4 3 2 2 4 3 7" xfId="21449" xr:uid="{00000000-0005-0000-0000-00000F840000}"/>
    <cellStyle name="Note 4 4 3 2 2 4 3 8" xfId="25262" xr:uid="{00000000-0005-0000-0000-000010840000}"/>
    <cellStyle name="Note 4 4 3 2 2 4 3 9" xfId="29149" xr:uid="{00000000-0005-0000-0000-000011840000}"/>
    <cellStyle name="Note 4 4 3 2 2 4 4" xfId="2803" xr:uid="{00000000-0005-0000-0000-000012840000}"/>
    <cellStyle name="Note 4 4 3 2 2 4 4 10" xfId="37855" xr:uid="{00000000-0005-0000-0000-000013840000}"/>
    <cellStyle name="Note 4 4 3 2 2 4 4 11" xfId="41867" xr:uid="{00000000-0005-0000-0000-000014840000}"/>
    <cellStyle name="Note 4 4 3 2 2 4 4 12" xfId="45644" xr:uid="{00000000-0005-0000-0000-000015840000}"/>
    <cellStyle name="Note 4 4 3 2 2 4 4 2" xfId="6683" xr:uid="{00000000-0005-0000-0000-000016840000}"/>
    <cellStyle name="Note 4 4 3 2 2 4 4 3" xfId="11110" xr:uid="{00000000-0005-0000-0000-000017840000}"/>
    <cellStyle name="Note 4 4 3 2 2 4 4 4" xfId="14955" xr:uid="{00000000-0005-0000-0000-000018840000}"/>
    <cellStyle name="Note 4 4 3 2 2 4 4 5" xfId="18797" xr:uid="{00000000-0005-0000-0000-000019840000}"/>
    <cellStyle name="Note 4 4 3 2 2 4 4 6" xfId="22723" xr:uid="{00000000-0005-0000-0000-00001A840000}"/>
    <cellStyle name="Note 4 4 3 2 2 4 4 7" xfId="26548" xr:uid="{00000000-0005-0000-0000-00001B840000}"/>
    <cellStyle name="Note 4 4 3 2 2 4 4 8" xfId="30426" xr:uid="{00000000-0005-0000-0000-00001C840000}"/>
    <cellStyle name="Note 4 4 3 2 2 4 4 9" xfId="34082" xr:uid="{00000000-0005-0000-0000-00001D840000}"/>
    <cellStyle name="Note 4 4 3 2 2 4 5" xfId="4759" xr:uid="{00000000-0005-0000-0000-00001E840000}"/>
    <cellStyle name="Note 4 4 3 2 2 4 6" xfId="9113" xr:uid="{00000000-0005-0000-0000-00001F840000}"/>
    <cellStyle name="Note 4 4 3 2 2 4 7" xfId="12954" xr:uid="{00000000-0005-0000-0000-000020840000}"/>
    <cellStyle name="Note 4 4 3 2 2 4 8" xfId="16779" xr:uid="{00000000-0005-0000-0000-000021840000}"/>
    <cellStyle name="Note 4 4 3 2 2 4 9" xfId="20721" xr:uid="{00000000-0005-0000-0000-000022840000}"/>
    <cellStyle name="Note 4 4 3 2 2 5" xfId="905" xr:uid="{00000000-0005-0000-0000-000023840000}"/>
    <cellStyle name="Note 4 4 3 2 2 5 10" xfId="24629" xr:uid="{00000000-0005-0000-0000-000024840000}"/>
    <cellStyle name="Note 4 4 3 2 2 5 11" xfId="28519" xr:uid="{00000000-0005-0000-0000-000025840000}"/>
    <cellStyle name="Note 4 4 3 2 2 5 12" xfId="32206" xr:uid="{00000000-0005-0000-0000-000026840000}"/>
    <cellStyle name="Note 4 4 3 2 2 5 13" xfId="35963" xr:uid="{00000000-0005-0000-0000-000027840000}"/>
    <cellStyle name="Note 4 4 3 2 2 5 14" xfId="39973" xr:uid="{00000000-0005-0000-0000-000028840000}"/>
    <cellStyle name="Note 4 4 3 2 2 5 15" xfId="43789" xr:uid="{00000000-0005-0000-0000-000029840000}"/>
    <cellStyle name="Note 4 4 3 2 2 5 2" xfId="1242" xr:uid="{00000000-0005-0000-0000-00002A840000}"/>
    <cellStyle name="Note 4 4 3 2 2 5 2 10" xfId="28850" xr:uid="{00000000-0005-0000-0000-00002B840000}"/>
    <cellStyle name="Note 4 4 3 2 2 5 2 11" xfId="32534" xr:uid="{00000000-0005-0000-0000-00002C840000}"/>
    <cellStyle name="Note 4 4 3 2 2 5 2 12" xfId="36300" xr:uid="{00000000-0005-0000-0000-00002D840000}"/>
    <cellStyle name="Note 4 4 3 2 2 5 2 13" xfId="40293" xr:uid="{00000000-0005-0000-0000-00002E840000}"/>
    <cellStyle name="Note 4 4 3 2 2 5 2 14" xfId="44126" xr:uid="{00000000-0005-0000-0000-00002F840000}"/>
    <cellStyle name="Note 4 4 3 2 2 5 2 2" xfId="1964" xr:uid="{00000000-0005-0000-0000-000030840000}"/>
    <cellStyle name="Note 4 4 3 2 2 5 2 2 10" xfId="33251" xr:uid="{00000000-0005-0000-0000-000031840000}"/>
    <cellStyle name="Note 4 4 3 2 2 5 2 2 11" xfId="37021" xr:uid="{00000000-0005-0000-0000-000032840000}"/>
    <cellStyle name="Note 4 4 3 2 2 5 2 2 12" xfId="41012" xr:uid="{00000000-0005-0000-0000-000033840000}"/>
    <cellStyle name="Note 4 4 3 2 2 5 2 2 13" xfId="44843" xr:uid="{00000000-0005-0000-0000-000034840000}"/>
    <cellStyle name="Note 4 4 3 2 2 5 2 2 2" xfId="3954" xr:uid="{00000000-0005-0000-0000-000035840000}"/>
    <cellStyle name="Note 4 4 3 2 2 5 2 2 2 10" xfId="39005" xr:uid="{00000000-0005-0000-0000-000036840000}"/>
    <cellStyle name="Note 4 4 3 2 2 5 2 2 2 11" xfId="43016" xr:uid="{00000000-0005-0000-0000-000037840000}"/>
    <cellStyle name="Note 4 4 3 2 2 5 2 2 2 12" xfId="46781" xr:uid="{00000000-0005-0000-0000-000038840000}"/>
    <cellStyle name="Note 4 4 3 2 2 5 2 2 2 2" xfId="7821" xr:uid="{00000000-0005-0000-0000-000039840000}"/>
    <cellStyle name="Note 4 4 3 2 2 5 2 2 2 3" xfId="12256" xr:uid="{00000000-0005-0000-0000-00003A840000}"/>
    <cellStyle name="Note 4 4 3 2 2 5 2 2 2 4" xfId="16101" xr:uid="{00000000-0005-0000-0000-00003B840000}"/>
    <cellStyle name="Note 4 4 3 2 2 5 2 2 2 5" xfId="19948" xr:uid="{00000000-0005-0000-0000-00003C840000}"/>
    <cellStyle name="Note 4 4 3 2 2 5 2 2 2 6" xfId="23864" xr:uid="{00000000-0005-0000-0000-00003D840000}"/>
    <cellStyle name="Note 4 4 3 2 2 5 2 2 2 7" xfId="27698" xr:uid="{00000000-0005-0000-0000-00003E840000}"/>
    <cellStyle name="Note 4 4 3 2 2 5 2 2 2 8" xfId="31559" xr:uid="{00000000-0005-0000-0000-00003F840000}"/>
    <cellStyle name="Note 4 4 3 2 2 5 2 2 2 9" xfId="35219" xr:uid="{00000000-0005-0000-0000-000040840000}"/>
    <cellStyle name="Note 4 4 3 2 2 5 2 2 3" xfId="5897" xr:uid="{00000000-0005-0000-0000-000041840000}"/>
    <cellStyle name="Note 4 4 3 2 2 5 2 2 4" xfId="10255" xr:uid="{00000000-0005-0000-0000-000042840000}"/>
    <cellStyle name="Note 4 4 3 2 2 5 2 2 5" xfId="14101" xr:uid="{00000000-0005-0000-0000-000043840000}"/>
    <cellStyle name="Note 4 4 3 2 2 5 2 2 6" xfId="17930" xr:uid="{00000000-0005-0000-0000-000044840000}"/>
    <cellStyle name="Note 4 4 3 2 2 5 2 2 7" xfId="21869" xr:uid="{00000000-0005-0000-0000-000045840000}"/>
    <cellStyle name="Note 4 4 3 2 2 5 2 2 8" xfId="25682" xr:uid="{00000000-0005-0000-0000-000046840000}"/>
    <cellStyle name="Note 4 4 3 2 2 5 2 2 9" xfId="29569" xr:uid="{00000000-0005-0000-0000-000047840000}"/>
    <cellStyle name="Note 4 4 3 2 2 5 2 3" xfId="3232" xr:uid="{00000000-0005-0000-0000-000048840000}"/>
    <cellStyle name="Note 4 4 3 2 2 5 2 3 10" xfId="38284" xr:uid="{00000000-0005-0000-0000-000049840000}"/>
    <cellStyle name="Note 4 4 3 2 2 5 2 3 11" xfId="42295" xr:uid="{00000000-0005-0000-0000-00004A840000}"/>
    <cellStyle name="Note 4 4 3 2 2 5 2 3 12" xfId="46064" xr:uid="{00000000-0005-0000-0000-00004B840000}"/>
    <cellStyle name="Note 4 4 3 2 2 5 2 3 2" xfId="7104" xr:uid="{00000000-0005-0000-0000-00004C840000}"/>
    <cellStyle name="Note 4 4 3 2 2 5 2 3 3" xfId="11536" xr:uid="{00000000-0005-0000-0000-00004D840000}"/>
    <cellStyle name="Note 4 4 3 2 2 5 2 3 4" xfId="15380" xr:uid="{00000000-0005-0000-0000-00004E840000}"/>
    <cellStyle name="Note 4 4 3 2 2 5 2 3 5" xfId="19226" xr:uid="{00000000-0005-0000-0000-00004F840000}"/>
    <cellStyle name="Note 4 4 3 2 2 5 2 3 6" xfId="23145" xr:uid="{00000000-0005-0000-0000-000050840000}"/>
    <cellStyle name="Note 4 4 3 2 2 5 2 3 7" xfId="26977" xr:uid="{00000000-0005-0000-0000-000051840000}"/>
    <cellStyle name="Note 4 4 3 2 2 5 2 3 8" xfId="30847" xr:uid="{00000000-0005-0000-0000-000052840000}"/>
    <cellStyle name="Note 4 4 3 2 2 5 2 3 9" xfId="34502" xr:uid="{00000000-0005-0000-0000-000053840000}"/>
    <cellStyle name="Note 4 4 3 2 2 5 2 4" xfId="5180" xr:uid="{00000000-0005-0000-0000-000054840000}"/>
    <cellStyle name="Note 4 4 3 2 2 5 2 5" xfId="9536" xr:uid="{00000000-0005-0000-0000-000055840000}"/>
    <cellStyle name="Note 4 4 3 2 2 5 2 6" xfId="13380" xr:uid="{00000000-0005-0000-0000-000056840000}"/>
    <cellStyle name="Note 4 4 3 2 2 5 2 7" xfId="17208" xr:uid="{00000000-0005-0000-0000-000057840000}"/>
    <cellStyle name="Note 4 4 3 2 2 5 2 8" xfId="21150" xr:uid="{00000000-0005-0000-0000-000058840000}"/>
    <cellStyle name="Note 4 4 3 2 2 5 2 9" xfId="24961" xr:uid="{00000000-0005-0000-0000-000059840000}"/>
    <cellStyle name="Note 4 4 3 2 2 5 3" xfId="1636" xr:uid="{00000000-0005-0000-0000-00005A840000}"/>
    <cellStyle name="Note 4 4 3 2 2 5 3 10" xfId="32923" xr:uid="{00000000-0005-0000-0000-00005B840000}"/>
    <cellStyle name="Note 4 4 3 2 2 5 3 11" xfId="36693" xr:uid="{00000000-0005-0000-0000-00005C840000}"/>
    <cellStyle name="Note 4 4 3 2 2 5 3 12" xfId="40684" xr:uid="{00000000-0005-0000-0000-00005D840000}"/>
    <cellStyle name="Note 4 4 3 2 2 5 3 13" xfId="44515" xr:uid="{00000000-0005-0000-0000-00005E840000}"/>
    <cellStyle name="Note 4 4 3 2 2 5 3 2" xfId="3626" xr:uid="{00000000-0005-0000-0000-00005F840000}"/>
    <cellStyle name="Note 4 4 3 2 2 5 3 2 10" xfId="38677" xr:uid="{00000000-0005-0000-0000-000060840000}"/>
    <cellStyle name="Note 4 4 3 2 2 5 3 2 11" xfId="42688" xr:uid="{00000000-0005-0000-0000-000061840000}"/>
    <cellStyle name="Note 4 4 3 2 2 5 3 2 12" xfId="46453" xr:uid="{00000000-0005-0000-0000-000062840000}"/>
    <cellStyle name="Note 4 4 3 2 2 5 3 2 2" xfId="7493" xr:uid="{00000000-0005-0000-0000-000063840000}"/>
    <cellStyle name="Note 4 4 3 2 2 5 3 2 3" xfId="11928" xr:uid="{00000000-0005-0000-0000-000064840000}"/>
    <cellStyle name="Note 4 4 3 2 2 5 3 2 4" xfId="15773" xr:uid="{00000000-0005-0000-0000-000065840000}"/>
    <cellStyle name="Note 4 4 3 2 2 5 3 2 5" xfId="19620" xr:uid="{00000000-0005-0000-0000-000066840000}"/>
    <cellStyle name="Note 4 4 3 2 2 5 3 2 6" xfId="23536" xr:uid="{00000000-0005-0000-0000-000067840000}"/>
    <cellStyle name="Note 4 4 3 2 2 5 3 2 7" xfId="27370" xr:uid="{00000000-0005-0000-0000-000068840000}"/>
    <cellStyle name="Note 4 4 3 2 2 5 3 2 8" xfId="31235" xr:uid="{00000000-0005-0000-0000-000069840000}"/>
    <cellStyle name="Note 4 4 3 2 2 5 3 2 9" xfId="34891" xr:uid="{00000000-0005-0000-0000-00006A840000}"/>
    <cellStyle name="Note 4 4 3 2 2 5 3 3" xfId="5569" xr:uid="{00000000-0005-0000-0000-00006B840000}"/>
    <cellStyle name="Note 4 4 3 2 2 5 3 4" xfId="9927" xr:uid="{00000000-0005-0000-0000-00006C840000}"/>
    <cellStyle name="Note 4 4 3 2 2 5 3 5" xfId="13773" xr:uid="{00000000-0005-0000-0000-00006D840000}"/>
    <cellStyle name="Note 4 4 3 2 2 5 3 6" xfId="17602" xr:uid="{00000000-0005-0000-0000-00006E840000}"/>
    <cellStyle name="Note 4 4 3 2 2 5 3 7" xfId="21541" xr:uid="{00000000-0005-0000-0000-00006F840000}"/>
    <cellStyle name="Note 4 4 3 2 2 5 3 8" xfId="25354" xr:uid="{00000000-0005-0000-0000-000070840000}"/>
    <cellStyle name="Note 4 4 3 2 2 5 3 9" xfId="29241" xr:uid="{00000000-0005-0000-0000-000071840000}"/>
    <cellStyle name="Note 4 4 3 2 2 5 4" xfId="2895" xr:uid="{00000000-0005-0000-0000-000072840000}"/>
    <cellStyle name="Note 4 4 3 2 2 5 4 10" xfId="37947" xr:uid="{00000000-0005-0000-0000-000073840000}"/>
    <cellStyle name="Note 4 4 3 2 2 5 4 11" xfId="41959" xr:uid="{00000000-0005-0000-0000-000074840000}"/>
    <cellStyle name="Note 4 4 3 2 2 5 4 12" xfId="45736" xr:uid="{00000000-0005-0000-0000-000075840000}"/>
    <cellStyle name="Note 4 4 3 2 2 5 4 2" xfId="6775" xr:uid="{00000000-0005-0000-0000-000076840000}"/>
    <cellStyle name="Note 4 4 3 2 2 5 4 3" xfId="11202" xr:uid="{00000000-0005-0000-0000-000077840000}"/>
    <cellStyle name="Note 4 4 3 2 2 5 4 4" xfId="15047" xr:uid="{00000000-0005-0000-0000-000078840000}"/>
    <cellStyle name="Note 4 4 3 2 2 5 4 5" xfId="18889" xr:uid="{00000000-0005-0000-0000-000079840000}"/>
    <cellStyle name="Note 4 4 3 2 2 5 4 6" xfId="22815" xr:uid="{00000000-0005-0000-0000-00007A840000}"/>
    <cellStyle name="Note 4 4 3 2 2 5 4 7" xfId="26640" xr:uid="{00000000-0005-0000-0000-00007B840000}"/>
    <cellStyle name="Note 4 4 3 2 2 5 4 8" xfId="30516" xr:uid="{00000000-0005-0000-0000-00007C840000}"/>
    <cellStyle name="Note 4 4 3 2 2 5 4 9" xfId="34174" xr:uid="{00000000-0005-0000-0000-00007D840000}"/>
    <cellStyle name="Note 4 4 3 2 2 5 5" xfId="4851" xr:uid="{00000000-0005-0000-0000-00007E840000}"/>
    <cellStyle name="Note 4 4 3 2 2 5 6" xfId="9205" xr:uid="{00000000-0005-0000-0000-00007F840000}"/>
    <cellStyle name="Note 4 4 3 2 2 5 7" xfId="13046" xr:uid="{00000000-0005-0000-0000-000080840000}"/>
    <cellStyle name="Note 4 4 3 2 2 5 8" xfId="16871" xr:uid="{00000000-0005-0000-0000-000081840000}"/>
    <cellStyle name="Note 4 4 3 2 2 5 9" xfId="20813" xr:uid="{00000000-0005-0000-0000-000082840000}"/>
    <cellStyle name="Note 4 4 3 2 2 6" xfId="951" xr:uid="{00000000-0005-0000-0000-000083840000}"/>
    <cellStyle name="Note 4 4 3 2 2 6 10" xfId="28563" xr:uid="{00000000-0005-0000-0000-000084840000}"/>
    <cellStyle name="Note 4 4 3 2 2 6 11" xfId="32252" xr:uid="{00000000-0005-0000-0000-000085840000}"/>
    <cellStyle name="Note 4 4 3 2 2 6 12" xfId="36009" xr:uid="{00000000-0005-0000-0000-000086840000}"/>
    <cellStyle name="Note 4 4 3 2 2 6 13" xfId="40017" xr:uid="{00000000-0005-0000-0000-000087840000}"/>
    <cellStyle name="Note 4 4 3 2 2 6 14" xfId="43835" xr:uid="{00000000-0005-0000-0000-000088840000}"/>
    <cellStyle name="Note 4 4 3 2 2 6 2" xfId="1682" xr:uid="{00000000-0005-0000-0000-000089840000}"/>
    <cellStyle name="Note 4 4 3 2 2 6 2 10" xfId="32969" xr:uid="{00000000-0005-0000-0000-00008A840000}"/>
    <cellStyle name="Note 4 4 3 2 2 6 2 11" xfId="36739" xr:uid="{00000000-0005-0000-0000-00008B840000}"/>
    <cellStyle name="Note 4 4 3 2 2 6 2 12" xfId="40730" xr:uid="{00000000-0005-0000-0000-00008C840000}"/>
    <cellStyle name="Note 4 4 3 2 2 6 2 13" xfId="44561" xr:uid="{00000000-0005-0000-0000-00008D840000}"/>
    <cellStyle name="Note 4 4 3 2 2 6 2 2" xfId="3672" xr:uid="{00000000-0005-0000-0000-00008E840000}"/>
    <cellStyle name="Note 4 4 3 2 2 6 2 2 10" xfId="38723" xr:uid="{00000000-0005-0000-0000-00008F840000}"/>
    <cellStyle name="Note 4 4 3 2 2 6 2 2 11" xfId="42734" xr:uid="{00000000-0005-0000-0000-000090840000}"/>
    <cellStyle name="Note 4 4 3 2 2 6 2 2 12" xfId="46499" xr:uid="{00000000-0005-0000-0000-000091840000}"/>
    <cellStyle name="Note 4 4 3 2 2 6 2 2 2" xfId="7539" xr:uid="{00000000-0005-0000-0000-000092840000}"/>
    <cellStyle name="Note 4 4 3 2 2 6 2 2 3" xfId="11974" xr:uid="{00000000-0005-0000-0000-000093840000}"/>
    <cellStyle name="Note 4 4 3 2 2 6 2 2 4" xfId="15819" xr:uid="{00000000-0005-0000-0000-000094840000}"/>
    <cellStyle name="Note 4 4 3 2 2 6 2 2 5" xfId="19666" xr:uid="{00000000-0005-0000-0000-000095840000}"/>
    <cellStyle name="Note 4 4 3 2 2 6 2 2 6" xfId="23582" xr:uid="{00000000-0005-0000-0000-000096840000}"/>
    <cellStyle name="Note 4 4 3 2 2 6 2 2 7" xfId="27416" xr:uid="{00000000-0005-0000-0000-000097840000}"/>
    <cellStyle name="Note 4 4 3 2 2 6 2 2 8" xfId="31280" xr:uid="{00000000-0005-0000-0000-000098840000}"/>
    <cellStyle name="Note 4 4 3 2 2 6 2 2 9" xfId="34937" xr:uid="{00000000-0005-0000-0000-000099840000}"/>
    <cellStyle name="Note 4 4 3 2 2 6 2 3" xfId="5615" xr:uid="{00000000-0005-0000-0000-00009A840000}"/>
    <cellStyle name="Note 4 4 3 2 2 6 2 4" xfId="9973" xr:uid="{00000000-0005-0000-0000-00009B840000}"/>
    <cellStyle name="Note 4 4 3 2 2 6 2 5" xfId="13819" xr:uid="{00000000-0005-0000-0000-00009C840000}"/>
    <cellStyle name="Note 4 4 3 2 2 6 2 6" xfId="17648" xr:uid="{00000000-0005-0000-0000-00009D840000}"/>
    <cellStyle name="Note 4 4 3 2 2 6 2 7" xfId="21587" xr:uid="{00000000-0005-0000-0000-00009E840000}"/>
    <cellStyle name="Note 4 4 3 2 2 6 2 8" xfId="25400" xr:uid="{00000000-0005-0000-0000-00009F840000}"/>
    <cellStyle name="Note 4 4 3 2 2 6 2 9" xfId="29287" xr:uid="{00000000-0005-0000-0000-0000A0840000}"/>
    <cellStyle name="Note 4 4 3 2 2 6 3" xfId="2941" xr:uid="{00000000-0005-0000-0000-0000A1840000}"/>
    <cellStyle name="Note 4 4 3 2 2 6 3 10" xfId="37993" xr:uid="{00000000-0005-0000-0000-0000A2840000}"/>
    <cellStyle name="Note 4 4 3 2 2 6 3 11" xfId="42005" xr:uid="{00000000-0005-0000-0000-0000A3840000}"/>
    <cellStyle name="Note 4 4 3 2 2 6 3 12" xfId="45782" xr:uid="{00000000-0005-0000-0000-0000A4840000}"/>
    <cellStyle name="Note 4 4 3 2 2 6 3 2" xfId="6821" xr:uid="{00000000-0005-0000-0000-0000A5840000}"/>
    <cellStyle name="Note 4 4 3 2 2 6 3 3" xfId="11248" xr:uid="{00000000-0005-0000-0000-0000A6840000}"/>
    <cellStyle name="Note 4 4 3 2 2 6 3 4" xfId="15093" xr:uid="{00000000-0005-0000-0000-0000A7840000}"/>
    <cellStyle name="Note 4 4 3 2 2 6 3 5" xfId="18935" xr:uid="{00000000-0005-0000-0000-0000A8840000}"/>
    <cellStyle name="Note 4 4 3 2 2 6 3 6" xfId="22861" xr:uid="{00000000-0005-0000-0000-0000A9840000}"/>
    <cellStyle name="Note 4 4 3 2 2 6 3 7" xfId="26686" xr:uid="{00000000-0005-0000-0000-0000AA840000}"/>
    <cellStyle name="Note 4 4 3 2 2 6 3 8" xfId="30561" xr:uid="{00000000-0005-0000-0000-0000AB840000}"/>
    <cellStyle name="Note 4 4 3 2 2 6 3 9" xfId="34220" xr:uid="{00000000-0005-0000-0000-0000AC840000}"/>
    <cellStyle name="Note 4 4 3 2 2 6 4" xfId="4897" xr:uid="{00000000-0005-0000-0000-0000AD840000}"/>
    <cellStyle name="Note 4 4 3 2 2 6 5" xfId="9251" xr:uid="{00000000-0005-0000-0000-0000AE840000}"/>
    <cellStyle name="Note 4 4 3 2 2 6 6" xfId="13092" xr:uid="{00000000-0005-0000-0000-0000AF840000}"/>
    <cellStyle name="Note 4 4 3 2 2 6 7" xfId="16917" xr:uid="{00000000-0005-0000-0000-0000B0840000}"/>
    <cellStyle name="Note 4 4 3 2 2 6 8" xfId="20859" xr:uid="{00000000-0005-0000-0000-0000B1840000}"/>
    <cellStyle name="Note 4 4 3 2 2 6 9" xfId="24675" xr:uid="{00000000-0005-0000-0000-0000B2840000}"/>
    <cellStyle name="Note 4 4 3 2 2 7" xfId="1329" xr:uid="{00000000-0005-0000-0000-0000B3840000}"/>
    <cellStyle name="Note 4 4 3 2 2 7 10" xfId="32616" xr:uid="{00000000-0005-0000-0000-0000B4840000}"/>
    <cellStyle name="Note 4 4 3 2 2 7 11" xfId="36386" xr:uid="{00000000-0005-0000-0000-0000B5840000}"/>
    <cellStyle name="Note 4 4 3 2 2 7 12" xfId="40377" xr:uid="{00000000-0005-0000-0000-0000B6840000}"/>
    <cellStyle name="Note 4 4 3 2 2 7 13" xfId="44208" xr:uid="{00000000-0005-0000-0000-0000B7840000}"/>
    <cellStyle name="Note 4 4 3 2 2 7 2" xfId="3319" xr:uid="{00000000-0005-0000-0000-0000B8840000}"/>
    <cellStyle name="Note 4 4 3 2 2 7 2 10" xfId="38370" xr:uid="{00000000-0005-0000-0000-0000B9840000}"/>
    <cellStyle name="Note 4 4 3 2 2 7 2 11" xfId="42381" xr:uid="{00000000-0005-0000-0000-0000BA840000}"/>
    <cellStyle name="Note 4 4 3 2 2 7 2 12" xfId="46146" xr:uid="{00000000-0005-0000-0000-0000BB840000}"/>
    <cellStyle name="Note 4 4 3 2 2 7 2 2" xfId="7186" xr:uid="{00000000-0005-0000-0000-0000BC840000}"/>
    <cellStyle name="Note 4 4 3 2 2 7 2 3" xfId="11621" xr:uid="{00000000-0005-0000-0000-0000BD840000}"/>
    <cellStyle name="Note 4 4 3 2 2 7 2 4" xfId="15466" xr:uid="{00000000-0005-0000-0000-0000BE840000}"/>
    <cellStyle name="Note 4 4 3 2 2 7 2 5" xfId="19313" xr:uid="{00000000-0005-0000-0000-0000BF840000}"/>
    <cellStyle name="Note 4 4 3 2 2 7 2 6" xfId="23229" xr:uid="{00000000-0005-0000-0000-0000C0840000}"/>
    <cellStyle name="Note 4 4 3 2 2 7 2 7" xfId="27063" xr:uid="{00000000-0005-0000-0000-0000C1840000}"/>
    <cellStyle name="Note 4 4 3 2 2 7 2 8" xfId="30932" xr:uid="{00000000-0005-0000-0000-0000C2840000}"/>
    <cellStyle name="Note 4 4 3 2 2 7 2 9" xfId="34584" xr:uid="{00000000-0005-0000-0000-0000C3840000}"/>
    <cellStyle name="Note 4 4 3 2 2 7 3" xfId="5262" xr:uid="{00000000-0005-0000-0000-0000C4840000}"/>
    <cellStyle name="Note 4 4 3 2 2 7 4" xfId="9620" xr:uid="{00000000-0005-0000-0000-0000C5840000}"/>
    <cellStyle name="Note 4 4 3 2 2 7 5" xfId="13466" xr:uid="{00000000-0005-0000-0000-0000C6840000}"/>
    <cellStyle name="Note 4 4 3 2 2 7 6" xfId="17295" xr:uid="{00000000-0005-0000-0000-0000C7840000}"/>
    <cellStyle name="Note 4 4 3 2 2 7 7" xfId="21234" xr:uid="{00000000-0005-0000-0000-0000C8840000}"/>
    <cellStyle name="Note 4 4 3 2 2 7 8" xfId="25047" xr:uid="{00000000-0005-0000-0000-0000C9840000}"/>
    <cellStyle name="Note 4 4 3 2 2 7 9" xfId="28934" xr:uid="{00000000-0005-0000-0000-0000CA840000}"/>
    <cellStyle name="Note 4 4 3 2 2 8" xfId="2026" xr:uid="{00000000-0005-0000-0000-0000CB840000}"/>
    <cellStyle name="Note 4 4 3 2 2 8 10" xfId="33311" xr:uid="{00000000-0005-0000-0000-0000CC840000}"/>
    <cellStyle name="Note 4 4 3 2 2 8 11" xfId="37082" xr:uid="{00000000-0005-0000-0000-0000CD840000}"/>
    <cellStyle name="Note 4 4 3 2 2 8 12" xfId="41074" xr:uid="{00000000-0005-0000-0000-0000CE840000}"/>
    <cellStyle name="Note 4 4 3 2 2 8 13" xfId="44902" xr:uid="{00000000-0005-0000-0000-0000CF840000}"/>
    <cellStyle name="Note 4 4 3 2 2 8 2" xfId="4015" xr:uid="{00000000-0005-0000-0000-0000D0840000}"/>
    <cellStyle name="Note 4 4 3 2 2 8 2 10" xfId="39066" xr:uid="{00000000-0005-0000-0000-0000D1840000}"/>
    <cellStyle name="Note 4 4 3 2 2 8 2 11" xfId="43077" xr:uid="{00000000-0005-0000-0000-0000D2840000}"/>
    <cellStyle name="Note 4 4 3 2 2 8 2 12" xfId="46840" xr:uid="{00000000-0005-0000-0000-0000D3840000}"/>
    <cellStyle name="Note 4 4 3 2 2 8 2 2" xfId="7880" xr:uid="{00000000-0005-0000-0000-0000D4840000}"/>
    <cellStyle name="Note 4 4 3 2 2 8 2 3" xfId="12316" xr:uid="{00000000-0005-0000-0000-0000D5840000}"/>
    <cellStyle name="Note 4 4 3 2 2 8 2 4" xfId="16161" xr:uid="{00000000-0005-0000-0000-0000D6840000}"/>
    <cellStyle name="Note 4 4 3 2 2 8 2 5" xfId="20009" xr:uid="{00000000-0005-0000-0000-0000D7840000}"/>
    <cellStyle name="Note 4 4 3 2 2 8 2 6" xfId="23924" xr:uid="{00000000-0005-0000-0000-0000D8840000}"/>
    <cellStyle name="Note 4 4 3 2 2 8 2 7" xfId="27759" xr:uid="{00000000-0005-0000-0000-0000D9840000}"/>
    <cellStyle name="Note 4 4 3 2 2 8 2 8" xfId="31619" xr:uid="{00000000-0005-0000-0000-0000DA840000}"/>
    <cellStyle name="Note 4 4 3 2 2 8 2 9" xfId="35278" xr:uid="{00000000-0005-0000-0000-0000DB840000}"/>
    <cellStyle name="Note 4 4 3 2 2 8 3" xfId="5956" xr:uid="{00000000-0005-0000-0000-0000DC840000}"/>
    <cellStyle name="Note 4 4 3 2 2 8 4" xfId="10315" xr:uid="{00000000-0005-0000-0000-0000DD840000}"/>
    <cellStyle name="Note 4 4 3 2 2 8 5" xfId="14162" xr:uid="{00000000-0005-0000-0000-0000DE840000}"/>
    <cellStyle name="Note 4 4 3 2 2 8 6" xfId="17992" xr:uid="{00000000-0005-0000-0000-0000DF840000}"/>
    <cellStyle name="Note 4 4 3 2 2 8 7" xfId="21930" xr:uid="{00000000-0005-0000-0000-0000E0840000}"/>
    <cellStyle name="Note 4 4 3 2 2 8 8" xfId="25744" xr:uid="{00000000-0005-0000-0000-0000E1840000}"/>
    <cellStyle name="Note 4 4 3 2 2 8 9" xfId="29631" xr:uid="{00000000-0005-0000-0000-0000E2840000}"/>
    <cellStyle name="Note 4 4 3 2 2 9" xfId="2073" xr:uid="{00000000-0005-0000-0000-0000E3840000}"/>
    <cellStyle name="Note 4 4 3 2 2 9 10" xfId="33355" xr:uid="{00000000-0005-0000-0000-0000E4840000}"/>
    <cellStyle name="Note 4 4 3 2 2 9 11" xfId="37129" xr:uid="{00000000-0005-0000-0000-0000E5840000}"/>
    <cellStyle name="Note 4 4 3 2 2 9 12" xfId="41119" xr:uid="{00000000-0005-0000-0000-0000E6840000}"/>
    <cellStyle name="Note 4 4 3 2 2 9 13" xfId="44946" xr:uid="{00000000-0005-0000-0000-0000E7840000}"/>
    <cellStyle name="Note 4 4 3 2 2 9 2" xfId="4062" xr:uid="{00000000-0005-0000-0000-0000E8840000}"/>
    <cellStyle name="Note 4 4 3 2 2 9 2 10" xfId="39113" xr:uid="{00000000-0005-0000-0000-0000E9840000}"/>
    <cellStyle name="Note 4 4 3 2 2 9 2 11" xfId="43123" xr:uid="{00000000-0005-0000-0000-0000EA840000}"/>
    <cellStyle name="Note 4 4 3 2 2 9 2 12" xfId="46884" xr:uid="{00000000-0005-0000-0000-0000EB840000}"/>
    <cellStyle name="Note 4 4 3 2 2 9 2 2" xfId="7925" xr:uid="{00000000-0005-0000-0000-0000EC840000}"/>
    <cellStyle name="Note 4 4 3 2 2 9 2 3" xfId="12362" xr:uid="{00000000-0005-0000-0000-0000ED840000}"/>
    <cellStyle name="Note 4 4 3 2 2 9 2 4" xfId="16207" xr:uid="{00000000-0005-0000-0000-0000EE840000}"/>
    <cellStyle name="Note 4 4 3 2 2 9 2 5" xfId="20056" xr:uid="{00000000-0005-0000-0000-0000EF840000}"/>
    <cellStyle name="Note 4 4 3 2 2 9 2 6" xfId="23970" xr:uid="{00000000-0005-0000-0000-0000F0840000}"/>
    <cellStyle name="Note 4 4 3 2 2 9 2 7" xfId="27806" xr:uid="{00000000-0005-0000-0000-0000F1840000}"/>
    <cellStyle name="Note 4 4 3 2 2 9 2 8" xfId="31665" xr:uid="{00000000-0005-0000-0000-0000F2840000}"/>
    <cellStyle name="Note 4 4 3 2 2 9 2 9" xfId="35322" xr:uid="{00000000-0005-0000-0000-0000F3840000}"/>
    <cellStyle name="Note 4 4 3 2 2 9 3" xfId="6001" xr:uid="{00000000-0005-0000-0000-0000F4840000}"/>
    <cellStyle name="Note 4 4 3 2 2 9 4" xfId="10361" xr:uid="{00000000-0005-0000-0000-0000F5840000}"/>
    <cellStyle name="Note 4 4 3 2 2 9 5" xfId="14208" xr:uid="{00000000-0005-0000-0000-0000F6840000}"/>
    <cellStyle name="Note 4 4 3 2 2 9 6" xfId="18039" xr:uid="{00000000-0005-0000-0000-0000F7840000}"/>
    <cellStyle name="Note 4 4 3 2 2 9 7" xfId="21976" xr:uid="{00000000-0005-0000-0000-0000F8840000}"/>
    <cellStyle name="Note 4 4 3 2 2 9 8" xfId="25791" xr:uid="{00000000-0005-0000-0000-0000F9840000}"/>
    <cellStyle name="Note 4 4 3 2 2 9 9" xfId="29677" xr:uid="{00000000-0005-0000-0000-0000FA840000}"/>
    <cellStyle name="Note 4 4 3 2 20" xfId="8805" xr:uid="{00000000-0005-0000-0000-0000FB840000}"/>
    <cellStyle name="Note 4 4 3 2 21" xfId="8526" xr:uid="{00000000-0005-0000-0000-0000FC840000}"/>
    <cellStyle name="Note 4 4 3 2 22" xfId="10371" xr:uid="{00000000-0005-0000-0000-0000FD840000}"/>
    <cellStyle name="Note 4 4 3 2 23" xfId="8433" xr:uid="{00000000-0005-0000-0000-0000FE840000}"/>
    <cellStyle name="Note 4 4 3 2 24" xfId="24477" xr:uid="{00000000-0005-0000-0000-0000FF840000}"/>
    <cellStyle name="Note 4 4 3 2 25" xfId="9098" xr:uid="{00000000-0005-0000-0000-000000850000}"/>
    <cellStyle name="Note 4 4 3 2 26" xfId="14217" xr:uid="{00000000-0005-0000-0000-000001850000}"/>
    <cellStyle name="Note 4 4 3 2 27" xfId="39627" xr:uid="{00000000-0005-0000-0000-000002850000}"/>
    <cellStyle name="Note 4 4 3 2 28" xfId="39606" xr:uid="{00000000-0005-0000-0000-000003850000}"/>
    <cellStyle name="Note 4 4 3 2 29" xfId="47341" xr:uid="{00000000-0005-0000-0000-000004850000}"/>
    <cellStyle name="Note 4 4 3 2 3" xfId="534" xr:uid="{00000000-0005-0000-0000-000005850000}"/>
    <cellStyle name="Note 4 4 3 2 3 10" xfId="2186" xr:uid="{00000000-0005-0000-0000-000006850000}"/>
    <cellStyle name="Note 4 4 3 2 3 10 10" xfId="33487" xr:uid="{00000000-0005-0000-0000-000007850000}"/>
    <cellStyle name="Note 4 4 3 2 3 10 11" xfId="37238" xr:uid="{00000000-0005-0000-0000-000008850000}"/>
    <cellStyle name="Note 4 4 3 2 3 10 12" xfId="41254" xr:uid="{00000000-0005-0000-0000-000009850000}"/>
    <cellStyle name="Note 4 4 3 2 3 10 13" xfId="45049" xr:uid="{00000000-0005-0000-0000-00000A850000}"/>
    <cellStyle name="Note 4 4 3 2 3 10 2" xfId="4169" xr:uid="{00000000-0005-0000-0000-00000B850000}"/>
    <cellStyle name="Note 4 4 3 2 3 10 2 10" xfId="39220" xr:uid="{00000000-0005-0000-0000-00000C850000}"/>
    <cellStyle name="Note 4 4 3 2 3 10 2 11" xfId="43230" xr:uid="{00000000-0005-0000-0000-00000D850000}"/>
    <cellStyle name="Note 4 4 3 2 3 10 2 12" xfId="46987" xr:uid="{00000000-0005-0000-0000-00000E850000}"/>
    <cellStyle name="Note 4 4 3 2 3 10 2 2" xfId="8028" xr:uid="{00000000-0005-0000-0000-00000F850000}"/>
    <cellStyle name="Note 4 4 3 2 3 10 2 3" xfId="12468" xr:uid="{00000000-0005-0000-0000-000010850000}"/>
    <cellStyle name="Note 4 4 3 2 3 10 2 4" xfId="16313" xr:uid="{00000000-0005-0000-0000-000011850000}"/>
    <cellStyle name="Note 4 4 3 2 3 10 2 5" xfId="20163" xr:uid="{00000000-0005-0000-0000-000012850000}"/>
    <cellStyle name="Note 4 4 3 2 3 10 2 6" xfId="24075" xr:uid="{00000000-0005-0000-0000-000013850000}"/>
    <cellStyle name="Note 4 4 3 2 3 10 2 7" xfId="27913" xr:uid="{00000000-0005-0000-0000-000014850000}"/>
    <cellStyle name="Note 4 4 3 2 3 10 2 8" xfId="31772" xr:uid="{00000000-0005-0000-0000-000015850000}"/>
    <cellStyle name="Note 4 4 3 2 3 10 2 9" xfId="35425" xr:uid="{00000000-0005-0000-0000-000016850000}"/>
    <cellStyle name="Note 4 4 3 2 3 10 3" xfId="6100" xr:uid="{00000000-0005-0000-0000-000017850000}"/>
    <cellStyle name="Note 4 4 3 2 3 10 4" xfId="10503" xr:uid="{00000000-0005-0000-0000-000018850000}"/>
    <cellStyle name="Note 4 4 3 2 3 10 5" xfId="14349" xr:uid="{00000000-0005-0000-0000-000019850000}"/>
    <cellStyle name="Note 4 4 3 2 3 10 6" xfId="18180" xr:uid="{00000000-0005-0000-0000-00001A850000}"/>
    <cellStyle name="Note 4 4 3 2 3 10 7" xfId="22119" xr:uid="{00000000-0005-0000-0000-00001B850000}"/>
    <cellStyle name="Note 4 4 3 2 3 10 8" xfId="25931" xr:uid="{00000000-0005-0000-0000-00001C850000}"/>
    <cellStyle name="Note 4 4 3 2 3 10 9" xfId="29811" xr:uid="{00000000-0005-0000-0000-00001D850000}"/>
    <cellStyle name="Note 4 4 3 2 3 11" xfId="2244" xr:uid="{00000000-0005-0000-0000-00001E850000}"/>
    <cellStyle name="Note 4 4 3 2 3 11 10" xfId="33545" xr:uid="{00000000-0005-0000-0000-00001F850000}"/>
    <cellStyle name="Note 4 4 3 2 3 11 11" xfId="37296" xr:uid="{00000000-0005-0000-0000-000020850000}"/>
    <cellStyle name="Note 4 4 3 2 3 11 12" xfId="41312" xr:uid="{00000000-0005-0000-0000-000021850000}"/>
    <cellStyle name="Note 4 4 3 2 3 11 13" xfId="45107" xr:uid="{00000000-0005-0000-0000-000022850000}"/>
    <cellStyle name="Note 4 4 3 2 3 11 2" xfId="4227" xr:uid="{00000000-0005-0000-0000-000023850000}"/>
    <cellStyle name="Note 4 4 3 2 3 11 2 10" xfId="39278" xr:uid="{00000000-0005-0000-0000-000024850000}"/>
    <cellStyle name="Note 4 4 3 2 3 11 2 11" xfId="43288" xr:uid="{00000000-0005-0000-0000-000025850000}"/>
    <cellStyle name="Note 4 4 3 2 3 11 2 12" xfId="47045" xr:uid="{00000000-0005-0000-0000-000026850000}"/>
    <cellStyle name="Note 4 4 3 2 3 11 2 2" xfId="8086" xr:uid="{00000000-0005-0000-0000-000027850000}"/>
    <cellStyle name="Note 4 4 3 2 3 11 2 3" xfId="12526" xr:uid="{00000000-0005-0000-0000-000028850000}"/>
    <cellStyle name="Note 4 4 3 2 3 11 2 4" xfId="16371" xr:uid="{00000000-0005-0000-0000-000029850000}"/>
    <cellStyle name="Note 4 4 3 2 3 11 2 5" xfId="20221" xr:uid="{00000000-0005-0000-0000-00002A850000}"/>
    <cellStyle name="Note 4 4 3 2 3 11 2 6" xfId="24133" xr:uid="{00000000-0005-0000-0000-00002B850000}"/>
    <cellStyle name="Note 4 4 3 2 3 11 2 7" xfId="27971" xr:uid="{00000000-0005-0000-0000-00002C850000}"/>
    <cellStyle name="Note 4 4 3 2 3 11 2 8" xfId="31830" xr:uid="{00000000-0005-0000-0000-00002D850000}"/>
    <cellStyle name="Note 4 4 3 2 3 11 2 9" xfId="35483" xr:uid="{00000000-0005-0000-0000-00002E850000}"/>
    <cellStyle name="Note 4 4 3 2 3 11 3" xfId="6158" xr:uid="{00000000-0005-0000-0000-00002F850000}"/>
    <cellStyle name="Note 4 4 3 2 3 11 4" xfId="10561" xr:uid="{00000000-0005-0000-0000-000030850000}"/>
    <cellStyle name="Note 4 4 3 2 3 11 5" xfId="14407" xr:uid="{00000000-0005-0000-0000-000031850000}"/>
    <cellStyle name="Note 4 4 3 2 3 11 6" xfId="18238" xr:uid="{00000000-0005-0000-0000-000032850000}"/>
    <cellStyle name="Note 4 4 3 2 3 11 7" xfId="22177" xr:uid="{00000000-0005-0000-0000-000033850000}"/>
    <cellStyle name="Note 4 4 3 2 3 11 8" xfId="25989" xr:uid="{00000000-0005-0000-0000-000034850000}"/>
    <cellStyle name="Note 4 4 3 2 3 11 9" xfId="29869" xr:uid="{00000000-0005-0000-0000-000035850000}"/>
    <cellStyle name="Note 4 4 3 2 3 12" xfId="2299" xr:uid="{00000000-0005-0000-0000-000036850000}"/>
    <cellStyle name="Note 4 4 3 2 3 12 10" xfId="33600" xr:uid="{00000000-0005-0000-0000-000037850000}"/>
    <cellStyle name="Note 4 4 3 2 3 12 11" xfId="37351" xr:uid="{00000000-0005-0000-0000-000038850000}"/>
    <cellStyle name="Note 4 4 3 2 3 12 12" xfId="41367" xr:uid="{00000000-0005-0000-0000-000039850000}"/>
    <cellStyle name="Note 4 4 3 2 3 12 13" xfId="45162" xr:uid="{00000000-0005-0000-0000-00003A850000}"/>
    <cellStyle name="Note 4 4 3 2 3 12 2" xfId="4282" xr:uid="{00000000-0005-0000-0000-00003B850000}"/>
    <cellStyle name="Note 4 4 3 2 3 12 2 10" xfId="39333" xr:uid="{00000000-0005-0000-0000-00003C850000}"/>
    <cellStyle name="Note 4 4 3 2 3 12 2 11" xfId="43343" xr:uid="{00000000-0005-0000-0000-00003D850000}"/>
    <cellStyle name="Note 4 4 3 2 3 12 2 12" xfId="47100" xr:uid="{00000000-0005-0000-0000-00003E850000}"/>
    <cellStyle name="Note 4 4 3 2 3 12 2 2" xfId="8141" xr:uid="{00000000-0005-0000-0000-00003F850000}"/>
    <cellStyle name="Note 4 4 3 2 3 12 2 3" xfId="12581" xr:uid="{00000000-0005-0000-0000-000040850000}"/>
    <cellStyle name="Note 4 4 3 2 3 12 2 4" xfId="16426" xr:uid="{00000000-0005-0000-0000-000041850000}"/>
    <cellStyle name="Note 4 4 3 2 3 12 2 5" xfId="20276" xr:uid="{00000000-0005-0000-0000-000042850000}"/>
    <cellStyle name="Note 4 4 3 2 3 12 2 6" xfId="24188" xr:uid="{00000000-0005-0000-0000-000043850000}"/>
    <cellStyle name="Note 4 4 3 2 3 12 2 7" xfId="28026" xr:uid="{00000000-0005-0000-0000-000044850000}"/>
    <cellStyle name="Note 4 4 3 2 3 12 2 8" xfId="31885" xr:uid="{00000000-0005-0000-0000-000045850000}"/>
    <cellStyle name="Note 4 4 3 2 3 12 2 9" xfId="35538" xr:uid="{00000000-0005-0000-0000-000046850000}"/>
    <cellStyle name="Note 4 4 3 2 3 12 3" xfId="6213" xr:uid="{00000000-0005-0000-0000-000047850000}"/>
    <cellStyle name="Note 4 4 3 2 3 12 4" xfId="10616" xr:uid="{00000000-0005-0000-0000-000048850000}"/>
    <cellStyle name="Note 4 4 3 2 3 12 5" xfId="14462" xr:uid="{00000000-0005-0000-0000-000049850000}"/>
    <cellStyle name="Note 4 4 3 2 3 12 6" xfId="18293" xr:uid="{00000000-0005-0000-0000-00004A850000}"/>
    <cellStyle name="Note 4 4 3 2 3 12 7" xfId="22232" xr:uid="{00000000-0005-0000-0000-00004B850000}"/>
    <cellStyle name="Note 4 4 3 2 3 12 8" xfId="26044" xr:uid="{00000000-0005-0000-0000-00004C850000}"/>
    <cellStyle name="Note 4 4 3 2 3 12 9" xfId="29924" xr:uid="{00000000-0005-0000-0000-00004D850000}"/>
    <cellStyle name="Note 4 4 3 2 3 13" xfId="2366" xr:uid="{00000000-0005-0000-0000-00004E850000}"/>
    <cellStyle name="Note 4 4 3 2 3 13 10" xfId="33664" xr:uid="{00000000-0005-0000-0000-00004F850000}"/>
    <cellStyle name="Note 4 4 3 2 3 13 11" xfId="37418" xr:uid="{00000000-0005-0000-0000-000050850000}"/>
    <cellStyle name="Note 4 4 3 2 3 13 12" xfId="41433" xr:uid="{00000000-0005-0000-0000-000051850000}"/>
    <cellStyle name="Note 4 4 3 2 3 13 13" xfId="45226" xr:uid="{00000000-0005-0000-0000-000052850000}"/>
    <cellStyle name="Note 4 4 3 2 3 13 2" xfId="4349" xr:uid="{00000000-0005-0000-0000-000053850000}"/>
    <cellStyle name="Note 4 4 3 2 3 13 2 10" xfId="39400" xr:uid="{00000000-0005-0000-0000-000054850000}"/>
    <cellStyle name="Note 4 4 3 2 3 13 2 11" xfId="43409" xr:uid="{00000000-0005-0000-0000-000055850000}"/>
    <cellStyle name="Note 4 4 3 2 3 13 2 12" xfId="47164" xr:uid="{00000000-0005-0000-0000-000056850000}"/>
    <cellStyle name="Note 4 4 3 2 3 13 2 2" xfId="8206" xr:uid="{00000000-0005-0000-0000-000057850000}"/>
    <cellStyle name="Note 4 4 3 2 3 13 2 3" xfId="12647" xr:uid="{00000000-0005-0000-0000-000058850000}"/>
    <cellStyle name="Note 4 4 3 2 3 13 2 4" xfId="16492" xr:uid="{00000000-0005-0000-0000-000059850000}"/>
    <cellStyle name="Note 4 4 3 2 3 13 2 5" xfId="20343" xr:uid="{00000000-0005-0000-0000-00005A850000}"/>
    <cellStyle name="Note 4 4 3 2 3 13 2 6" xfId="24254" xr:uid="{00000000-0005-0000-0000-00005B850000}"/>
    <cellStyle name="Note 4 4 3 2 3 13 2 7" xfId="28093" xr:uid="{00000000-0005-0000-0000-00005C850000}"/>
    <cellStyle name="Note 4 4 3 2 3 13 2 8" xfId="31951" xr:uid="{00000000-0005-0000-0000-00005D850000}"/>
    <cellStyle name="Note 4 4 3 2 3 13 2 9" xfId="35602" xr:uid="{00000000-0005-0000-0000-00005E850000}"/>
    <cellStyle name="Note 4 4 3 2 3 13 3" xfId="6262" xr:uid="{00000000-0005-0000-0000-00005F850000}"/>
    <cellStyle name="Note 4 4 3 2 3 13 4" xfId="10682" xr:uid="{00000000-0005-0000-0000-000060850000}"/>
    <cellStyle name="Note 4 4 3 2 3 13 5" xfId="14528" xr:uid="{00000000-0005-0000-0000-000061850000}"/>
    <cellStyle name="Note 4 4 3 2 3 13 6" xfId="18360" xr:uid="{00000000-0005-0000-0000-000062850000}"/>
    <cellStyle name="Note 4 4 3 2 3 13 7" xfId="22298" xr:uid="{00000000-0005-0000-0000-000063850000}"/>
    <cellStyle name="Note 4 4 3 2 3 13 8" xfId="26111" xr:uid="{00000000-0005-0000-0000-000064850000}"/>
    <cellStyle name="Note 4 4 3 2 3 13 9" xfId="29991" xr:uid="{00000000-0005-0000-0000-000065850000}"/>
    <cellStyle name="Note 4 4 3 2 3 14" xfId="2416" xr:uid="{00000000-0005-0000-0000-000066850000}"/>
    <cellStyle name="Note 4 4 3 2 3 14 10" xfId="33714" xr:uid="{00000000-0005-0000-0000-000067850000}"/>
    <cellStyle name="Note 4 4 3 2 3 14 11" xfId="37468" xr:uid="{00000000-0005-0000-0000-000068850000}"/>
    <cellStyle name="Note 4 4 3 2 3 14 12" xfId="41483" xr:uid="{00000000-0005-0000-0000-000069850000}"/>
    <cellStyle name="Note 4 4 3 2 3 14 13" xfId="45276" xr:uid="{00000000-0005-0000-0000-00006A850000}"/>
    <cellStyle name="Note 4 4 3 2 3 14 2" xfId="4399" xr:uid="{00000000-0005-0000-0000-00006B850000}"/>
    <cellStyle name="Note 4 4 3 2 3 14 2 10" xfId="39450" xr:uid="{00000000-0005-0000-0000-00006C850000}"/>
    <cellStyle name="Note 4 4 3 2 3 14 2 11" xfId="43459" xr:uid="{00000000-0005-0000-0000-00006D850000}"/>
    <cellStyle name="Note 4 4 3 2 3 14 2 12" xfId="47214" xr:uid="{00000000-0005-0000-0000-00006E850000}"/>
    <cellStyle name="Note 4 4 3 2 3 14 2 2" xfId="8256" xr:uid="{00000000-0005-0000-0000-00006F850000}"/>
    <cellStyle name="Note 4 4 3 2 3 14 2 3" xfId="12697" xr:uid="{00000000-0005-0000-0000-000070850000}"/>
    <cellStyle name="Note 4 4 3 2 3 14 2 4" xfId="16542" xr:uid="{00000000-0005-0000-0000-000071850000}"/>
    <cellStyle name="Note 4 4 3 2 3 14 2 5" xfId="20393" xr:uid="{00000000-0005-0000-0000-000072850000}"/>
    <cellStyle name="Note 4 4 3 2 3 14 2 6" xfId="24304" xr:uid="{00000000-0005-0000-0000-000073850000}"/>
    <cellStyle name="Note 4 4 3 2 3 14 2 7" xfId="28143" xr:uid="{00000000-0005-0000-0000-000074850000}"/>
    <cellStyle name="Note 4 4 3 2 3 14 2 8" xfId="32001" xr:uid="{00000000-0005-0000-0000-000075850000}"/>
    <cellStyle name="Note 4 4 3 2 3 14 2 9" xfId="35652" xr:uid="{00000000-0005-0000-0000-000076850000}"/>
    <cellStyle name="Note 4 4 3 2 3 14 3" xfId="6312" xr:uid="{00000000-0005-0000-0000-000077850000}"/>
    <cellStyle name="Note 4 4 3 2 3 14 4" xfId="10732" xr:uid="{00000000-0005-0000-0000-000078850000}"/>
    <cellStyle name="Note 4 4 3 2 3 14 5" xfId="14578" xr:uid="{00000000-0005-0000-0000-000079850000}"/>
    <cellStyle name="Note 4 4 3 2 3 14 6" xfId="18410" xr:uid="{00000000-0005-0000-0000-00007A850000}"/>
    <cellStyle name="Note 4 4 3 2 3 14 7" xfId="22348" xr:uid="{00000000-0005-0000-0000-00007B850000}"/>
    <cellStyle name="Note 4 4 3 2 3 14 8" xfId="26161" xr:uid="{00000000-0005-0000-0000-00007C850000}"/>
    <cellStyle name="Note 4 4 3 2 3 14 9" xfId="30040" xr:uid="{00000000-0005-0000-0000-00007D850000}"/>
    <cellStyle name="Note 4 4 3 2 3 15" xfId="2470" xr:uid="{00000000-0005-0000-0000-00007E850000}"/>
    <cellStyle name="Note 4 4 3 2 3 15 10" xfId="33765" xr:uid="{00000000-0005-0000-0000-00007F850000}"/>
    <cellStyle name="Note 4 4 3 2 3 15 11" xfId="37522" xr:uid="{00000000-0005-0000-0000-000080850000}"/>
    <cellStyle name="Note 4 4 3 2 3 15 12" xfId="41536" xr:uid="{00000000-0005-0000-0000-000081850000}"/>
    <cellStyle name="Note 4 4 3 2 3 15 13" xfId="45327" xr:uid="{00000000-0005-0000-0000-000082850000}"/>
    <cellStyle name="Note 4 4 3 2 3 15 2" xfId="4452" xr:uid="{00000000-0005-0000-0000-000083850000}"/>
    <cellStyle name="Note 4 4 3 2 3 15 2 10" xfId="39503" xr:uid="{00000000-0005-0000-0000-000084850000}"/>
    <cellStyle name="Note 4 4 3 2 3 15 2 11" xfId="43512" xr:uid="{00000000-0005-0000-0000-000085850000}"/>
    <cellStyle name="Note 4 4 3 2 3 15 2 12" xfId="47265" xr:uid="{00000000-0005-0000-0000-000086850000}"/>
    <cellStyle name="Note 4 4 3 2 3 15 2 2" xfId="8307" xr:uid="{00000000-0005-0000-0000-000087850000}"/>
    <cellStyle name="Note 4 4 3 2 3 15 2 3" xfId="12750" xr:uid="{00000000-0005-0000-0000-000088850000}"/>
    <cellStyle name="Note 4 4 3 2 3 15 2 4" xfId="16593" xr:uid="{00000000-0005-0000-0000-000089850000}"/>
    <cellStyle name="Note 4 4 3 2 3 15 2 5" xfId="20446" xr:uid="{00000000-0005-0000-0000-00008A850000}"/>
    <cellStyle name="Note 4 4 3 2 3 15 2 6" xfId="24356" xr:uid="{00000000-0005-0000-0000-00008B850000}"/>
    <cellStyle name="Note 4 4 3 2 3 15 2 7" xfId="28196" xr:uid="{00000000-0005-0000-0000-00008C850000}"/>
    <cellStyle name="Note 4 4 3 2 3 15 2 8" xfId="32054" xr:uid="{00000000-0005-0000-0000-00008D850000}"/>
    <cellStyle name="Note 4 4 3 2 3 15 2 9" xfId="35703" xr:uid="{00000000-0005-0000-0000-00008E850000}"/>
    <cellStyle name="Note 4 4 3 2 3 15 3" xfId="6364" xr:uid="{00000000-0005-0000-0000-00008F850000}"/>
    <cellStyle name="Note 4 4 3 2 3 15 4" xfId="10785" xr:uid="{00000000-0005-0000-0000-000090850000}"/>
    <cellStyle name="Note 4 4 3 2 3 15 5" xfId="14631" xr:uid="{00000000-0005-0000-0000-000091850000}"/>
    <cellStyle name="Note 4 4 3 2 3 15 6" xfId="18464" xr:uid="{00000000-0005-0000-0000-000092850000}"/>
    <cellStyle name="Note 4 4 3 2 3 15 7" xfId="22401" xr:uid="{00000000-0005-0000-0000-000093850000}"/>
    <cellStyle name="Note 4 4 3 2 3 15 8" xfId="26215" xr:uid="{00000000-0005-0000-0000-000094850000}"/>
    <cellStyle name="Note 4 4 3 2 3 15 9" xfId="30094" xr:uid="{00000000-0005-0000-0000-000095850000}"/>
    <cellStyle name="Note 4 4 3 2 3 16" xfId="2541" xr:uid="{00000000-0005-0000-0000-000096850000}"/>
    <cellStyle name="Note 4 4 3 2 3 16 10" xfId="37593" xr:uid="{00000000-0005-0000-0000-000097850000}"/>
    <cellStyle name="Note 4 4 3 2 3 16 11" xfId="41607" xr:uid="{00000000-0005-0000-0000-000098850000}"/>
    <cellStyle name="Note 4 4 3 2 3 16 12" xfId="45396" xr:uid="{00000000-0005-0000-0000-000099850000}"/>
    <cellStyle name="Note 4 4 3 2 3 16 2" xfId="6433" xr:uid="{00000000-0005-0000-0000-00009A850000}"/>
    <cellStyle name="Note 4 4 3 2 3 16 3" xfId="10856" xr:uid="{00000000-0005-0000-0000-00009B850000}"/>
    <cellStyle name="Note 4 4 3 2 3 16 4" xfId="14700" xr:uid="{00000000-0005-0000-0000-00009C850000}"/>
    <cellStyle name="Note 4 4 3 2 3 16 5" xfId="18535" xr:uid="{00000000-0005-0000-0000-00009D850000}"/>
    <cellStyle name="Note 4 4 3 2 3 16 6" xfId="22470" xr:uid="{00000000-0005-0000-0000-00009E850000}"/>
    <cellStyle name="Note 4 4 3 2 3 16 7" xfId="26286" xr:uid="{00000000-0005-0000-0000-00009F850000}"/>
    <cellStyle name="Note 4 4 3 2 3 16 8" xfId="30165" xr:uid="{00000000-0005-0000-0000-0000A0850000}"/>
    <cellStyle name="Note 4 4 3 2 3 16 9" xfId="33834" xr:uid="{00000000-0005-0000-0000-0000A1850000}"/>
    <cellStyle name="Note 4 4 3 2 3 17" xfId="4509" xr:uid="{00000000-0005-0000-0000-0000A2850000}"/>
    <cellStyle name="Note 4 4 3 2 3 18" xfId="8375" xr:uid="{00000000-0005-0000-0000-0000A3850000}"/>
    <cellStyle name="Note 4 4 3 2 3 19" xfId="8724" xr:uid="{00000000-0005-0000-0000-0000A4850000}"/>
    <cellStyle name="Note 4 4 3 2 3 2" xfId="670" xr:uid="{00000000-0005-0000-0000-0000A5850000}"/>
    <cellStyle name="Note 4 4 3 2 3 2 10" xfId="24404" xr:uid="{00000000-0005-0000-0000-0000A6850000}"/>
    <cellStyle name="Note 4 4 3 2 3 2 11" xfId="28297" xr:uid="{00000000-0005-0000-0000-0000A7850000}"/>
    <cellStyle name="Note 4 4 3 2 3 2 12" xfId="28568" xr:uid="{00000000-0005-0000-0000-0000A8850000}"/>
    <cellStyle name="Note 4 4 3 2 3 2 13" xfId="33364" xr:uid="{00000000-0005-0000-0000-0000A9850000}"/>
    <cellStyle name="Note 4 4 3 2 3 2 14" xfId="39764" xr:uid="{00000000-0005-0000-0000-0000AA850000}"/>
    <cellStyle name="Note 4 4 3 2 3 2 15" xfId="43567" xr:uid="{00000000-0005-0000-0000-0000AB850000}"/>
    <cellStyle name="Note 4 4 3 2 3 2 2" xfId="1050" xr:uid="{00000000-0005-0000-0000-0000AC850000}"/>
    <cellStyle name="Note 4 4 3 2 3 2 2 10" xfId="28661" xr:uid="{00000000-0005-0000-0000-0000AD850000}"/>
    <cellStyle name="Note 4 4 3 2 3 2 2 11" xfId="32347" xr:uid="{00000000-0005-0000-0000-0000AE850000}"/>
    <cellStyle name="Note 4 4 3 2 3 2 2 12" xfId="36108" xr:uid="{00000000-0005-0000-0000-0000AF850000}"/>
    <cellStyle name="Note 4 4 3 2 3 2 2 13" xfId="40111" xr:uid="{00000000-0005-0000-0000-0000B0850000}"/>
    <cellStyle name="Note 4 4 3 2 3 2 2 14" xfId="43934" xr:uid="{00000000-0005-0000-0000-0000B1850000}"/>
    <cellStyle name="Note 4 4 3 2 3 2 2 2" xfId="1777" xr:uid="{00000000-0005-0000-0000-0000B2850000}"/>
    <cellStyle name="Note 4 4 3 2 3 2 2 2 10" xfId="33064" xr:uid="{00000000-0005-0000-0000-0000B3850000}"/>
    <cellStyle name="Note 4 4 3 2 3 2 2 2 11" xfId="36834" xr:uid="{00000000-0005-0000-0000-0000B4850000}"/>
    <cellStyle name="Note 4 4 3 2 3 2 2 2 12" xfId="40825" xr:uid="{00000000-0005-0000-0000-0000B5850000}"/>
    <cellStyle name="Note 4 4 3 2 3 2 2 2 13" xfId="44656" xr:uid="{00000000-0005-0000-0000-0000B6850000}"/>
    <cellStyle name="Note 4 4 3 2 3 2 2 2 2" xfId="3767" xr:uid="{00000000-0005-0000-0000-0000B7850000}"/>
    <cellStyle name="Note 4 4 3 2 3 2 2 2 2 10" xfId="38818" xr:uid="{00000000-0005-0000-0000-0000B8850000}"/>
    <cellStyle name="Note 4 4 3 2 3 2 2 2 2 11" xfId="42829" xr:uid="{00000000-0005-0000-0000-0000B9850000}"/>
    <cellStyle name="Note 4 4 3 2 3 2 2 2 2 12" xfId="46594" xr:uid="{00000000-0005-0000-0000-0000BA850000}"/>
    <cellStyle name="Note 4 4 3 2 3 2 2 2 2 2" xfId="7634" xr:uid="{00000000-0005-0000-0000-0000BB850000}"/>
    <cellStyle name="Note 4 4 3 2 3 2 2 2 2 3" xfId="12069" xr:uid="{00000000-0005-0000-0000-0000BC850000}"/>
    <cellStyle name="Note 4 4 3 2 3 2 2 2 2 4" xfId="15914" xr:uid="{00000000-0005-0000-0000-0000BD850000}"/>
    <cellStyle name="Note 4 4 3 2 3 2 2 2 2 5" xfId="19761" xr:uid="{00000000-0005-0000-0000-0000BE850000}"/>
    <cellStyle name="Note 4 4 3 2 3 2 2 2 2 6" xfId="23677" xr:uid="{00000000-0005-0000-0000-0000BF850000}"/>
    <cellStyle name="Note 4 4 3 2 3 2 2 2 2 7" xfId="27511" xr:uid="{00000000-0005-0000-0000-0000C0850000}"/>
    <cellStyle name="Note 4 4 3 2 3 2 2 2 2 8" xfId="31375" xr:uid="{00000000-0005-0000-0000-0000C1850000}"/>
    <cellStyle name="Note 4 4 3 2 3 2 2 2 2 9" xfId="35032" xr:uid="{00000000-0005-0000-0000-0000C2850000}"/>
    <cellStyle name="Note 4 4 3 2 3 2 2 2 3" xfId="5710" xr:uid="{00000000-0005-0000-0000-0000C3850000}"/>
    <cellStyle name="Note 4 4 3 2 3 2 2 2 4" xfId="10068" xr:uid="{00000000-0005-0000-0000-0000C4850000}"/>
    <cellStyle name="Note 4 4 3 2 3 2 2 2 5" xfId="13914" xr:uid="{00000000-0005-0000-0000-0000C5850000}"/>
    <cellStyle name="Note 4 4 3 2 3 2 2 2 6" xfId="17743" xr:uid="{00000000-0005-0000-0000-0000C6850000}"/>
    <cellStyle name="Note 4 4 3 2 3 2 2 2 7" xfId="21682" xr:uid="{00000000-0005-0000-0000-0000C7850000}"/>
    <cellStyle name="Note 4 4 3 2 3 2 2 2 8" xfId="25495" xr:uid="{00000000-0005-0000-0000-0000C8850000}"/>
    <cellStyle name="Note 4 4 3 2 3 2 2 2 9" xfId="29382" xr:uid="{00000000-0005-0000-0000-0000C9850000}"/>
    <cellStyle name="Note 4 4 3 2 3 2 2 3" xfId="3040" xr:uid="{00000000-0005-0000-0000-0000CA850000}"/>
    <cellStyle name="Note 4 4 3 2 3 2 2 3 10" xfId="38092" xr:uid="{00000000-0005-0000-0000-0000CB850000}"/>
    <cellStyle name="Note 4 4 3 2 3 2 2 3 11" xfId="42104" xr:uid="{00000000-0005-0000-0000-0000CC850000}"/>
    <cellStyle name="Note 4 4 3 2 3 2 2 3 12" xfId="45877" xr:uid="{00000000-0005-0000-0000-0000CD850000}"/>
    <cellStyle name="Note 4 4 3 2 3 2 2 3 2" xfId="6916" xr:uid="{00000000-0005-0000-0000-0000CE850000}"/>
    <cellStyle name="Note 4 4 3 2 3 2 2 3 3" xfId="11345" xr:uid="{00000000-0005-0000-0000-0000CF850000}"/>
    <cellStyle name="Note 4 4 3 2 3 2 2 3 4" xfId="15189" xr:uid="{00000000-0005-0000-0000-0000D0850000}"/>
    <cellStyle name="Note 4 4 3 2 3 2 2 3 5" xfId="19034" xr:uid="{00000000-0005-0000-0000-0000D1850000}"/>
    <cellStyle name="Note 4 4 3 2 3 2 2 3 6" xfId="22956" xr:uid="{00000000-0005-0000-0000-0000D2850000}"/>
    <cellStyle name="Note 4 4 3 2 3 2 2 3 7" xfId="26785" xr:uid="{00000000-0005-0000-0000-0000D3850000}"/>
    <cellStyle name="Note 4 4 3 2 3 2 2 3 8" xfId="30659" xr:uid="{00000000-0005-0000-0000-0000D4850000}"/>
    <cellStyle name="Note 4 4 3 2 3 2 2 3 9" xfId="34315" xr:uid="{00000000-0005-0000-0000-0000D5850000}"/>
    <cellStyle name="Note 4 4 3 2 3 2 2 4" xfId="4992" xr:uid="{00000000-0005-0000-0000-0000D6850000}"/>
    <cellStyle name="Note 4 4 3 2 3 2 2 5" xfId="9348" xr:uid="{00000000-0005-0000-0000-0000D7850000}"/>
    <cellStyle name="Note 4 4 3 2 3 2 2 6" xfId="13188" xr:uid="{00000000-0005-0000-0000-0000D8850000}"/>
    <cellStyle name="Note 4 4 3 2 3 2 2 7" xfId="17016" xr:uid="{00000000-0005-0000-0000-0000D9850000}"/>
    <cellStyle name="Note 4 4 3 2 3 2 2 8" xfId="20958" xr:uid="{00000000-0005-0000-0000-0000DA850000}"/>
    <cellStyle name="Note 4 4 3 2 3 2 2 9" xfId="24772" xr:uid="{00000000-0005-0000-0000-0000DB850000}"/>
    <cellStyle name="Note 4 4 3 2 3 2 3" xfId="1424" xr:uid="{00000000-0005-0000-0000-0000DC850000}"/>
    <cellStyle name="Note 4 4 3 2 3 2 3 10" xfId="32711" xr:uid="{00000000-0005-0000-0000-0000DD850000}"/>
    <cellStyle name="Note 4 4 3 2 3 2 3 11" xfId="36481" xr:uid="{00000000-0005-0000-0000-0000DE850000}"/>
    <cellStyle name="Note 4 4 3 2 3 2 3 12" xfId="40472" xr:uid="{00000000-0005-0000-0000-0000DF850000}"/>
    <cellStyle name="Note 4 4 3 2 3 2 3 13" xfId="44303" xr:uid="{00000000-0005-0000-0000-0000E0850000}"/>
    <cellStyle name="Note 4 4 3 2 3 2 3 2" xfId="3414" xr:uid="{00000000-0005-0000-0000-0000E1850000}"/>
    <cellStyle name="Note 4 4 3 2 3 2 3 2 10" xfId="38465" xr:uid="{00000000-0005-0000-0000-0000E2850000}"/>
    <cellStyle name="Note 4 4 3 2 3 2 3 2 11" xfId="42476" xr:uid="{00000000-0005-0000-0000-0000E3850000}"/>
    <cellStyle name="Note 4 4 3 2 3 2 3 2 12" xfId="46241" xr:uid="{00000000-0005-0000-0000-0000E4850000}"/>
    <cellStyle name="Note 4 4 3 2 3 2 3 2 2" xfId="7281" xr:uid="{00000000-0005-0000-0000-0000E5850000}"/>
    <cellStyle name="Note 4 4 3 2 3 2 3 2 3" xfId="11716" xr:uid="{00000000-0005-0000-0000-0000E6850000}"/>
    <cellStyle name="Note 4 4 3 2 3 2 3 2 4" xfId="15561" xr:uid="{00000000-0005-0000-0000-0000E7850000}"/>
    <cellStyle name="Note 4 4 3 2 3 2 3 2 5" xfId="19408" xr:uid="{00000000-0005-0000-0000-0000E8850000}"/>
    <cellStyle name="Note 4 4 3 2 3 2 3 2 6" xfId="23324" xr:uid="{00000000-0005-0000-0000-0000E9850000}"/>
    <cellStyle name="Note 4 4 3 2 3 2 3 2 7" xfId="27158" xr:uid="{00000000-0005-0000-0000-0000EA850000}"/>
    <cellStyle name="Note 4 4 3 2 3 2 3 2 8" xfId="31026" xr:uid="{00000000-0005-0000-0000-0000EB850000}"/>
    <cellStyle name="Note 4 4 3 2 3 2 3 2 9" xfId="34679" xr:uid="{00000000-0005-0000-0000-0000EC850000}"/>
    <cellStyle name="Note 4 4 3 2 3 2 3 3" xfId="5357" xr:uid="{00000000-0005-0000-0000-0000ED850000}"/>
    <cellStyle name="Note 4 4 3 2 3 2 3 4" xfId="9715" xr:uid="{00000000-0005-0000-0000-0000EE850000}"/>
    <cellStyle name="Note 4 4 3 2 3 2 3 5" xfId="13561" xr:uid="{00000000-0005-0000-0000-0000EF850000}"/>
    <cellStyle name="Note 4 4 3 2 3 2 3 6" xfId="17390" xr:uid="{00000000-0005-0000-0000-0000F0850000}"/>
    <cellStyle name="Note 4 4 3 2 3 2 3 7" xfId="21329" xr:uid="{00000000-0005-0000-0000-0000F1850000}"/>
    <cellStyle name="Note 4 4 3 2 3 2 3 8" xfId="25142" xr:uid="{00000000-0005-0000-0000-0000F2850000}"/>
    <cellStyle name="Note 4 4 3 2 3 2 3 9" xfId="29029" xr:uid="{00000000-0005-0000-0000-0000F3850000}"/>
    <cellStyle name="Note 4 4 3 2 3 2 4" xfId="2673" xr:uid="{00000000-0005-0000-0000-0000F4850000}"/>
    <cellStyle name="Note 4 4 3 2 3 2 4 10" xfId="37725" xr:uid="{00000000-0005-0000-0000-0000F5850000}"/>
    <cellStyle name="Note 4 4 3 2 3 2 4 11" xfId="41739" xr:uid="{00000000-0005-0000-0000-0000F6850000}"/>
    <cellStyle name="Note 4 4 3 2 3 2 4 12" xfId="45524" xr:uid="{00000000-0005-0000-0000-0000F7850000}"/>
    <cellStyle name="Note 4 4 3 2 3 2 4 2" xfId="6561" xr:uid="{00000000-0005-0000-0000-0000F8850000}"/>
    <cellStyle name="Note 4 4 3 2 3 2 4 3" xfId="10985" xr:uid="{00000000-0005-0000-0000-0000F9850000}"/>
    <cellStyle name="Note 4 4 3 2 3 2 4 4" xfId="14829" xr:uid="{00000000-0005-0000-0000-0000FA850000}"/>
    <cellStyle name="Note 4 4 3 2 3 2 4 5" xfId="18667" xr:uid="{00000000-0005-0000-0000-0000FB850000}"/>
    <cellStyle name="Note 4 4 3 2 3 2 4 6" xfId="22598" xr:uid="{00000000-0005-0000-0000-0000FC850000}"/>
    <cellStyle name="Note 4 4 3 2 3 2 4 7" xfId="26418" xr:uid="{00000000-0005-0000-0000-0000FD850000}"/>
    <cellStyle name="Note 4 4 3 2 3 2 4 8" xfId="30297" xr:uid="{00000000-0005-0000-0000-0000FE850000}"/>
    <cellStyle name="Note 4 4 3 2 3 2 4 9" xfId="33962" xr:uid="{00000000-0005-0000-0000-0000FF850000}"/>
    <cellStyle name="Note 4 4 3 2 3 2 5" xfId="4637" xr:uid="{00000000-0005-0000-0000-000000860000}"/>
    <cellStyle name="Note 4 4 3 2 3 2 6" xfId="8979" xr:uid="{00000000-0005-0000-0000-000001860000}"/>
    <cellStyle name="Note 4 4 3 2 3 2 7" xfId="12816" xr:uid="{00000000-0005-0000-0000-000002860000}"/>
    <cellStyle name="Note 4 4 3 2 3 2 8" xfId="16646" xr:uid="{00000000-0005-0000-0000-000003860000}"/>
    <cellStyle name="Note 4 4 3 2 3 2 9" xfId="20583" xr:uid="{00000000-0005-0000-0000-000004860000}"/>
    <cellStyle name="Note 4 4 3 2 3 20" xfId="8845" xr:uid="{00000000-0005-0000-0000-000005860000}"/>
    <cellStyle name="Note 4 4 3 2 3 21" xfId="8530" xr:uid="{00000000-0005-0000-0000-000006860000}"/>
    <cellStyle name="Note 4 4 3 2 3 22" xfId="8578" xr:uid="{00000000-0005-0000-0000-000007860000}"/>
    <cellStyle name="Note 4 4 3 2 3 23" xfId="8514" xr:uid="{00000000-0005-0000-0000-000008860000}"/>
    <cellStyle name="Note 4 4 3 2 3 24" xfId="20682" xr:uid="{00000000-0005-0000-0000-000009860000}"/>
    <cellStyle name="Note 4 4 3 2 3 25" xfId="8569" xr:uid="{00000000-0005-0000-0000-00000A860000}"/>
    <cellStyle name="Note 4 4 3 2 3 26" xfId="28434" xr:uid="{00000000-0005-0000-0000-00000B860000}"/>
    <cellStyle name="Note 4 4 3 2 3 27" xfId="10398" xr:uid="{00000000-0005-0000-0000-00000C860000}"/>
    <cellStyle name="Note 4 4 3 2 3 28" xfId="39633" xr:uid="{00000000-0005-0000-0000-00000D860000}"/>
    <cellStyle name="Note 4 4 3 2 3 29" xfId="40151" xr:uid="{00000000-0005-0000-0000-00000E860000}"/>
    <cellStyle name="Note 4 4 3 2 3 3" xfId="609" xr:uid="{00000000-0005-0000-0000-00000F860000}"/>
    <cellStyle name="Note 4 4 3 2 3 3 10" xfId="22014" xr:uid="{00000000-0005-0000-0000-000010860000}"/>
    <cellStyle name="Note 4 4 3 2 3 3 11" xfId="28236" xr:uid="{00000000-0005-0000-0000-000011860000}"/>
    <cellStyle name="Note 4 4 3 2 3 3 12" xfId="31522" xr:uid="{00000000-0005-0000-0000-000012860000}"/>
    <cellStyle name="Note 4 4 3 2 3 3 13" xfId="28392" xr:uid="{00000000-0005-0000-0000-000013860000}"/>
    <cellStyle name="Note 4 4 3 2 3 3 14" xfId="39704" xr:uid="{00000000-0005-0000-0000-000014860000}"/>
    <cellStyle name="Note 4 4 3 2 3 3 15" xfId="41139" xr:uid="{00000000-0005-0000-0000-000015860000}"/>
    <cellStyle name="Note 4 4 3 2 3 3 2" xfId="989" xr:uid="{00000000-0005-0000-0000-000016860000}"/>
    <cellStyle name="Note 4 4 3 2 3 3 2 10" xfId="28600" xr:uid="{00000000-0005-0000-0000-000017860000}"/>
    <cellStyle name="Note 4 4 3 2 3 3 2 11" xfId="32288" xr:uid="{00000000-0005-0000-0000-000018860000}"/>
    <cellStyle name="Note 4 4 3 2 3 3 2 12" xfId="36047" xr:uid="{00000000-0005-0000-0000-000019860000}"/>
    <cellStyle name="Note 4 4 3 2 3 3 2 13" xfId="40052" xr:uid="{00000000-0005-0000-0000-00001A860000}"/>
    <cellStyle name="Note 4 4 3 2 3 3 2 14" xfId="43873" xr:uid="{00000000-0005-0000-0000-00001B860000}"/>
    <cellStyle name="Note 4 4 3 2 3 3 2 2" xfId="1718" xr:uid="{00000000-0005-0000-0000-00001C860000}"/>
    <cellStyle name="Note 4 4 3 2 3 3 2 2 10" xfId="33005" xr:uid="{00000000-0005-0000-0000-00001D860000}"/>
    <cellStyle name="Note 4 4 3 2 3 3 2 2 11" xfId="36775" xr:uid="{00000000-0005-0000-0000-00001E860000}"/>
    <cellStyle name="Note 4 4 3 2 3 3 2 2 12" xfId="40766" xr:uid="{00000000-0005-0000-0000-00001F860000}"/>
    <cellStyle name="Note 4 4 3 2 3 3 2 2 13" xfId="44597" xr:uid="{00000000-0005-0000-0000-000020860000}"/>
    <cellStyle name="Note 4 4 3 2 3 3 2 2 2" xfId="3708" xr:uid="{00000000-0005-0000-0000-000021860000}"/>
    <cellStyle name="Note 4 4 3 2 3 3 2 2 2 10" xfId="38759" xr:uid="{00000000-0005-0000-0000-000022860000}"/>
    <cellStyle name="Note 4 4 3 2 3 3 2 2 2 11" xfId="42770" xr:uid="{00000000-0005-0000-0000-000023860000}"/>
    <cellStyle name="Note 4 4 3 2 3 3 2 2 2 12" xfId="46535" xr:uid="{00000000-0005-0000-0000-000024860000}"/>
    <cellStyle name="Note 4 4 3 2 3 3 2 2 2 2" xfId="7575" xr:uid="{00000000-0005-0000-0000-000025860000}"/>
    <cellStyle name="Note 4 4 3 2 3 3 2 2 2 3" xfId="12010" xr:uid="{00000000-0005-0000-0000-000026860000}"/>
    <cellStyle name="Note 4 4 3 2 3 3 2 2 2 4" xfId="15855" xr:uid="{00000000-0005-0000-0000-000027860000}"/>
    <cellStyle name="Note 4 4 3 2 3 3 2 2 2 5" xfId="19702" xr:uid="{00000000-0005-0000-0000-000028860000}"/>
    <cellStyle name="Note 4 4 3 2 3 3 2 2 2 6" xfId="23618" xr:uid="{00000000-0005-0000-0000-000029860000}"/>
    <cellStyle name="Note 4 4 3 2 3 3 2 2 2 7" xfId="27452" xr:uid="{00000000-0005-0000-0000-00002A860000}"/>
    <cellStyle name="Note 4 4 3 2 3 3 2 2 2 8" xfId="31316" xr:uid="{00000000-0005-0000-0000-00002B860000}"/>
    <cellStyle name="Note 4 4 3 2 3 3 2 2 2 9" xfId="34973" xr:uid="{00000000-0005-0000-0000-00002C860000}"/>
    <cellStyle name="Note 4 4 3 2 3 3 2 2 3" xfId="5651" xr:uid="{00000000-0005-0000-0000-00002D860000}"/>
    <cellStyle name="Note 4 4 3 2 3 3 2 2 4" xfId="10009" xr:uid="{00000000-0005-0000-0000-00002E860000}"/>
    <cellStyle name="Note 4 4 3 2 3 3 2 2 5" xfId="13855" xr:uid="{00000000-0005-0000-0000-00002F860000}"/>
    <cellStyle name="Note 4 4 3 2 3 3 2 2 6" xfId="17684" xr:uid="{00000000-0005-0000-0000-000030860000}"/>
    <cellStyle name="Note 4 4 3 2 3 3 2 2 7" xfId="21623" xr:uid="{00000000-0005-0000-0000-000031860000}"/>
    <cellStyle name="Note 4 4 3 2 3 3 2 2 8" xfId="25436" xr:uid="{00000000-0005-0000-0000-000032860000}"/>
    <cellStyle name="Note 4 4 3 2 3 3 2 2 9" xfId="29323" xr:uid="{00000000-0005-0000-0000-000033860000}"/>
    <cellStyle name="Note 4 4 3 2 3 3 2 3" xfId="2979" xr:uid="{00000000-0005-0000-0000-000034860000}"/>
    <cellStyle name="Note 4 4 3 2 3 3 2 3 10" xfId="38031" xr:uid="{00000000-0005-0000-0000-000035860000}"/>
    <cellStyle name="Note 4 4 3 2 3 3 2 3 11" xfId="42043" xr:uid="{00000000-0005-0000-0000-000036860000}"/>
    <cellStyle name="Note 4 4 3 2 3 3 2 3 12" xfId="45818" xr:uid="{00000000-0005-0000-0000-000037860000}"/>
    <cellStyle name="Note 4 4 3 2 3 3 2 3 2" xfId="6857" xr:uid="{00000000-0005-0000-0000-000038860000}"/>
    <cellStyle name="Note 4 4 3 2 3 3 2 3 3" xfId="11285" xr:uid="{00000000-0005-0000-0000-000039860000}"/>
    <cellStyle name="Note 4 4 3 2 3 3 2 3 4" xfId="15130" xr:uid="{00000000-0005-0000-0000-00003A860000}"/>
    <cellStyle name="Note 4 4 3 2 3 3 2 3 5" xfId="18973" xr:uid="{00000000-0005-0000-0000-00003B860000}"/>
    <cellStyle name="Note 4 4 3 2 3 3 2 3 6" xfId="22897" xr:uid="{00000000-0005-0000-0000-00003C860000}"/>
    <cellStyle name="Note 4 4 3 2 3 3 2 3 7" xfId="26724" xr:uid="{00000000-0005-0000-0000-00003D860000}"/>
    <cellStyle name="Note 4 4 3 2 3 3 2 3 8" xfId="30598" xr:uid="{00000000-0005-0000-0000-00003E860000}"/>
    <cellStyle name="Note 4 4 3 2 3 3 2 3 9" xfId="34256" xr:uid="{00000000-0005-0000-0000-00003F860000}"/>
    <cellStyle name="Note 4 4 3 2 3 3 2 4" xfId="4933" xr:uid="{00000000-0005-0000-0000-000040860000}"/>
    <cellStyle name="Note 4 4 3 2 3 3 2 5" xfId="9288" xr:uid="{00000000-0005-0000-0000-000041860000}"/>
    <cellStyle name="Note 4 4 3 2 3 3 2 6" xfId="13129" xr:uid="{00000000-0005-0000-0000-000042860000}"/>
    <cellStyle name="Note 4 4 3 2 3 3 2 7" xfId="16955" xr:uid="{00000000-0005-0000-0000-000043860000}"/>
    <cellStyle name="Note 4 4 3 2 3 3 2 8" xfId="20897" xr:uid="{00000000-0005-0000-0000-000044860000}"/>
    <cellStyle name="Note 4 4 3 2 3 3 2 9" xfId="24712" xr:uid="{00000000-0005-0000-0000-000045860000}"/>
    <cellStyle name="Note 4 4 3 2 3 3 3" xfId="1365" xr:uid="{00000000-0005-0000-0000-000046860000}"/>
    <cellStyle name="Note 4 4 3 2 3 3 3 10" xfId="32652" xr:uid="{00000000-0005-0000-0000-000047860000}"/>
    <cellStyle name="Note 4 4 3 2 3 3 3 11" xfId="36422" xr:uid="{00000000-0005-0000-0000-000048860000}"/>
    <cellStyle name="Note 4 4 3 2 3 3 3 12" xfId="40413" xr:uid="{00000000-0005-0000-0000-000049860000}"/>
    <cellStyle name="Note 4 4 3 2 3 3 3 13" xfId="44244" xr:uid="{00000000-0005-0000-0000-00004A860000}"/>
    <cellStyle name="Note 4 4 3 2 3 3 3 2" xfId="3355" xr:uid="{00000000-0005-0000-0000-00004B860000}"/>
    <cellStyle name="Note 4 4 3 2 3 3 3 2 10" xfId="38406" xr:uid="{00000000-0005-0000-0000-00004C860000}"/>
    <cellStyle name="Note 4 4 3 2 3 3 3 2 11" xfId="42417" xr:uid="{00000000-0005-0000-0000-00004D860000}"/>
    <cellStyle name="Note 4 4 3 2 3 3 3 2 12" xfId="46182" xr:uid="{00000000-0005-0000-0000-00004E860000}"/>
    <cellStyle name="Note 4 4 3 2 3 3 3 2 2" xfId="7222" xr:uid="{00000000-0005-0000-0000-00004F860000}"/>
    <cellStyle name="Note 4 4 3 2 3 3 3 2 3" xfId="11657" xr:uid="{00000000-0005-0000-0000-000050860000}"/>
    <cellStyle name="Note 4 4 3 2 3 3 3 2 4" xfId="15502" xr:uid="{00000000-0005-0000-0000-000051860000}"/>
    <cellStyle name="Note 4 4 3 2 3 3 3 2 5" xfId="19349" xr:uid="{00000000-0005-0000-0000-000052860000}"/>
    <cellStyle name="Note 4 4 3 2 3 3 3 2 6" xfId="23265" xr:uid="{00000000-0005-0000-0000-000053860000}"/>
    <cellStyle name="Note 4 4 3 2 3 3 3 2 7" xfId="27099" xr:uid="{00000000-0005-0000-0000-000054860000}"/>
    <cellStyle name="Note 4 4 3 2 3 3 3 2 8" xfId="30967" xr:uid="{00000000-0005-0000-0000-000055860000}"/>
    <cellStyle name="Note 4 4 3 2 3 3 3 2 9" xfId="34620" xr:uid="{00000000-0005-0000-0000-000056860000}"/>
    <cellStyle name="Note 4 4 3 2 3 3 3 3" xfId="5298" xr:uid="{00000000-0005-0000-0000-000057860000}"/>
    <cellStyle name="Note 4 4 3 2 3 3 3 4" xfId="9656" xr:uid="{00000000-0005-0000-0000-000058860000}"/>
    <cellStyle name="Note 4 4 3 2 3 3 3 5" xfId="13502" xr:uid="{00000000-0005-0000-0000-000059860000}"/>
    <cellStyle name="Note 4 4 3 2 3 3 3 6" xfId="17331" xr:uid="{00000000-0005-0000-0000-00005A860000}"/>
    <cellStyle name="Note 4 4 3 2 3 3 3 7" xfId="21270" xr:uid="{00000000-0005-0000-0000-00005B860000}"/>
    <cellStyle name="Note 4 4 3 2 3 3 3 8" xfId="25083" xr:uid="{00000000-0005-0000-0000-00005C860000}"/>
    <cellStyle name="Note 4 4 3 2 3 3 3 9" xfId="28970" xr:uid="{00000000-0005-0000-0000-00005D860000}"/>
    <cellStyle name="Note 4 4 3 2 3 3 4" xfId="2612" xr:uid="{00000000-0005-0000-0000-00005E860000}"/>
    <cellStyle name="Note 4 4 3 2 3 3 4 10" xfId="37664" xr:uid="{00000000-0005-0000-0000-00005F860000}"/>
    <cellStyle name="Note 4 4 3 2 3 3 4 11" xfId="41678" xr:uid="{00000000-0005-0000-0000-000060860000}"/>
    <cellStyle name="Note 4 4 3 2 3 3 4 12" xfId="45465" xr:uid="{00000000-0005-0000-0000-000061860000}"/>
    <cellStyle name="Note 4 4 3 2 3 3 4 2" xfId="6502" xr:uid="{00000000-0005-0000-0000-000062860000}"/>
    <cellStyle name="Note 4 4 3 2 3 3 4 3" xfId="10926" xr:uid="{00000000-0005-0000-0000-000063860000}"/>
    <cellStyle name="Note 4 4 3 2 3 3 4 4" xfId="14770" xr:uid="{00000000-0005-0000-0000-000064860000}"/>
    <cellStyle name="Note 4 4 3 2 3 3 4 5" xfId="18606" xr:uid="{00000000-0005-0000-0000-000065860000}"/>
    <cellStyle name="Note 4 4 3 2 3 3 4 6" xfId="22539" xr:uid="{00000000-0005-0000-0000-000066860000}"/>
    <cellStyle name="Note 4 4 3 2 3 3 4 7" xfId="26357" xr:uid="{00000000-0005-0000-0000-000067860000}"/>
    <cellStyle name="Note 4 4 3 2 3 3 4 8" xfId="30236" xr:uid="{00000000-0005-0000-0000-000068860000}"/>
    <cellStyle name="Note 4 4 3 2 3 3 4 9" xfId="33903" xr:uid="{00000000-0005-0000-0000-000069860000}"/>
    <cellStyle name="Note 4 4 3 2 3 3 5" xfId="4578" xr:uid="{00000000-0005-0000-0000-00006A860000}"/>
    <cellStyle name="Note 4 4 3 2 3 3 6" xfId="8918" xr:uid="{00000000-0005-0000-0000-00006B860000}"/>
    <cellStyle name="Note 4 4 3 2 3 3 7" xfId="8690" xr:uid="{00000000-0005-0000-0000-00006C860000}"/>
    <cellStyle name="Note 4 4 3 2 3 3 8" xfId="8486" xr:uid="{00000000-0005-0000-0000-00006D860000}"/>
    <cellStyle name="Note 4 4 3 2 3 3 9" xfId="20522" xr:uid="{00000000-0005-0000-0000-00006E860000}"/>
    <cellStyle name="Note 4 4 3 2 3 30" xfId="47345" xr:uid="{00000000-0005-0000-0000-00006F860000}"/>
    <cellStyle name="Note 4 4 3 2 3 31" xfId="47433" xr:uid="{00000000-0005-0000-0000-000070860000}"/>
    <cellStyle name="Note 4 4 3 2 3 32" xfId="47480" xr:uid="{00000000-0005-0000-0000-000071860000}"/>
    <cellStyle name="Note 4 4 3 2 3 4" xfId="733" xr:uid="{00000000-0005-0000-0000-000072860000}"/>
    <cellStyle name="Note 4 4 3 2 3 4 10" xfId="24466" xr:uid="{00000000-0005-0000-0000-000073860000}"/>
    <cellStyle name="Note 4 4 3 2 3 4 11" xfId="28359" xr:uid="{00000000-0005-0000-0000-000074860000}"/>
    <cellStyle name="Note 4 4 3 2 3 4 12" xfId="8406" xr:uid="{00000000-0005-0000-0000-000075860000}"/>
    <cellStyle name="Note 4 4 3 2 3 4 13" xfId="35804" xr:uid="{00000000-0005-0000-0000-000076860000}"/>
    <cellStyle name="Note 4 4 3 2 3 4 14" xfId="39825" xr:uid="{00000000-0005-0000-0000-000077860000}"/>
    <cellStyle name="Note 4 4 3 2 3 4 15" xfId="43630" xr:uid="{00000000-0005-0000-0000-000078860000}"/>
    <cellStyle name="Note 4 4 3 2 3 4 2" xfId="1112" xr:uid="{00000000-0005-0000-0000-000079860000}"/>
    <cellStyle name="Note 4 4 3 2 3 4 2 10" xfId="28722" xr:uid="{00000000-0005-0000-0000-00007A860000}"/>
    <cellStyle name="Note 4 4 3 2 3 4 2 11" xfId="32409" xr:uid="{00000000-0005-0000-0000-00007B860000}"/>
    <cellStyle name="Note 4 4 3 2 3 4 2 12" xfId="36170" xr:uid="{00000000-0005-0000-0000-00007C860000}"/>
    <cellStyle name="Note 4 4 3 2 3 4 2 13" xfId="40172" xr:uid="{00000000-0005-0000-0000-00007D860000}"/>
    <cellStyle name="Note 4 4 3 2 3 4 2 14" xfId="43996" xr:uid="{00000000-0005-0000-0000-00007E860000}"/>
    <cellStyle name="Note 4 4 3 2 3 4 2 2" xfId="1839" xr:uid="{00000000-0005-0000-0000-00007F860000}"/>
    <cellStyle name="Note 4 4 3 2 3 4 2 2 10" xfId="33126" xr:uid="{00000000-0005-0000-0000-000080860000}"/>
    <cellStyle name="Note 4 4 3 2 3 4 2 2 11" xfId="36896" xr:uid="{00000000-0005-0000-0000-000081860000}"/>
    <cellStyle name="Note 4 4 3 2 3 4 2 2 12" xfId="40887" xr:uid="{00000000-0005-0000-0000-000082860000}"/>
    <cellStyle name="Note 4 4 3 2 3 4 2 2 13" xfId="44718" xr:uid="{00000000-0005-0000-0000-000083860000}"/>
    <cellStyle name="Note 4 4 3 2 3 4 2 2 2" xfId="3829" xr:uid="{00000000-0005-0000-0000-000084860000}"/>
    <cellStyle name="Note 4 4 3 2 3 4 2 2 2 10" xfId="38880" xr:uid="{00000000-0005-0000-0000-000085860000}"/>
    <cellStyle name="Note 4 4 3 2 3 4 2 2 2 11" xfId="42891" xr:uid="{00000000-0005-0000-0000-000086860000}"/>
    <cellStyle name="Note 4 4 3 2 3 4 2 2 2 12" xfId="46656" xr:uid="{00000000-0005-0000-0000-000087860000}"/>
    <cellStyle name="Note 4 4 3 2 3 4 2 2 2 2" xfId="7696" xr:uid="{00000000-0005-0000-0000-000088860000}"/>
    <cellStyle name="Note 4 4 3 2 3 4 2 2 2 3" xfId="12131" xr:uid="{00000000-0005-0000-0000-000089860000}"/>
    <cellStyle name="Note 4 4 3 2 3 4 2 2 2 4" xfId="15976" xr:uid="{00000000-0005-0000-0000-00008A860000}"/>
    <cellStyle name="Note 4 4 3 2 3 4 2 2 2 5" xfId="19823" xr:uid="{00000000-0005-0000-0000-00008B860000}"/>
    <cellStyle name="Note 4 4 3 2 3 4 2 2 2 6" xfId="23739" xr:uid="{00000000-0005-0000-0000-00008C860000}"/>
    <cellStyle name="Note 4 4 3 2 3 4 2 2 2 7" xfId="27573" xr:uid="{00000000-0005-0000-0000-00008D860000}"/>
    <cellStyle name="Note 4 4 3 2 3 4 2 2 2 8" xfId="31437" xr:uid="{00000000-0005-0000-0000-00008E860000}"/>
    <cellStyle name="Note 4 4 3 2 3 4 2 2 2 9" xfId="35094" xr:uid="{00000000-0005-0000-0000-00008F860000}"/>
    <cellStyle name="Note 4 4 3 2 3 4 2 2 3" xfId="5772" xr:uid="{00000000-0005-0000-0000-000090860000}"/>
    <cellStyle name="Note 4 4 3 2 3 4 2 2 4" xfId="10130" xr:uid="{00000000-0005-0000-0000-000091860000}"/>
    <cellStyle name="Note 4 4 3 2 3 4 2 2 5" xfId="13976" xr:uid="{00000000-0005-0000-0000-000092860000}"/>
    <cellStyle name="Note 4 4 3 2 3 4 2 2 6" xfId="17805" xr:uid="{00000000-0005-0000-0000-000093860000}"/>
    <cellStyle name="Note 4 4 3 2 3 4 2 2 7" xfId="21744" xr:uid="{00000000-0005-0000-0000-000094860000}"/>
    <cellStyle name="Note 4 4 3 2 3 4 2 2 8" xfId="25557" xr:uid="{00000000-0005-0000-0000-000095860000}"/>
    <cellStyle name="Note 4 4 3 2 3 4 2 2 9" xfId="29444" xr:uid="{00000000-0005-0000-0000-000096860000}"/>
    <cellStyle name="Note 4 4 3 2 3 4 2 3" xfId="3102" xr:uid="{00000000-0005-0000-0000-000097860000}"/>
    <cellStyle name="Note 4 4 3 2 3 4 2 3 10" xfId="38154" xr:uid="{00000000-0005-0000-0000-000098860000}"/>
    <cellStyle name="Note 4 4 3 2 3 4 2 3 11" xfId="42166" xr:uid="{00000000-0005-0000-0000-000099860000}"/>
    <cellStyle name="Note 4 4 3 2 3 4 2 3 12" xfId="45939" xr:uid="{00000000-0005-0000-0000-00009A860000}"/>
    <cellStyle name="Note 4 4 3 2 3 4 2 3 2" xfId="6978" xr:uid="{00000000-0005-0000-0000-00009B860000}"/>
    <cellStyle name="Note 4 4 3 2 3 4 2 3 3" xfId="11407" xr:uid="{00000000-0005-0000-0000-00009C860000}"/>
    <cellStyle name="Note 4 4 3 2 3 4 2 3 4" xfId="15251" xr:uid="{00000000-0005-0000-0000-00009D860000}"/>
    <cellStyle name="Note 4 4 3 2 3 4 2 3 5" xfId="19096" xr:uid="{00000000-0005-0000-0000-00009E860000}"/>
    <cellStyle name="Note 4 4 3 2 3 4 2 3 6" xfId="23018" xr:uid="{00000000-0005-0000-0000-00009F860000}"/>
    <cellStyle name="Note 4 4 3 2 3 4 2 3 7" xfId="26847" xr:uid="{00000000-0005-0000-0000-0000A0860000}"/>
    <cellStyle name="Note 4 4 3 2 3 4 2 3 8" xfId="30720" xr:uid="{00000000-0005-0000-0000-0000A1860000}"/>
    <cellStyle name="Note 4 4 3 2 3 4 2 3 9" xfId="34377" xr:uid="{00000000-0005-0000-0000-0000A2860000}"/>
    <cellStyle name="Note 4 4 3 2 3 4 2 4" xfId="5054" xr:uid="{00000000-0005-0000-0000-0000A3860000}"/>
    <cellStyle name="Note 4 4 3 2 3 4 2 5" xfId="9410" xr:uid="{00000000-0005-0000-0000-0000A4860000}"/>
    <cellStyle name="Note 4 4 3 2 3 4 2 6" xfId="13250" xr:uid="{00000000-0005-0000-0000-0000A5860000}"/>
    <cellStyle name="Note 4 4 3 2 3 4 2 7" xfId="17078" xr:uid="{00000000-0005-0000-0000-0000A6860000}"/>
    <cellStyle name="Note 4 4 3 2 3 4 2 8" xfId="21020" xr:uid="{00000000-0005-0000-0000-0000A7860000}"/>
    <cellStyle name="Note 4 4 3 2 3 4 2 9" xfId="24834" xr:uid="{00000000-0005-0000-0000-0000A8860000}"/>
    <cellStyle name="Note 4 4 3 2 3 4 3" xfId="1486" xr:uid="{00000000-0005-0000-0000-0000A9860000}"/>
    <cellStyle name="Note 4 4 3 2 3 4 3 10" xfId="32773" xr:uid="{00000000-0005-0000-0000-0000AA860000}"/>
    <cellStyle name="Note 4 4 3 2 3 4 3 11" xfId="36543" xr:uid="{00000000-0005-0000-0000-0000AB860000}"/>
    <cellStyle name="Note 4 4 3 2 3 4 3 12" xfId="40534" xr:uid="{00000000-0005-0000-0000-0000AC860000}"/>
    <cellStyle name="Note 4 4 3 2 3 4 3 13" xfId="44365" xr:uid="{00000000-0005-0000-0000-0000AD860000}"/>
    <cellStyle name="Note 4 4 3 2 3 4 3 2" xfId="3476" xr:uid="{00000000-0005-0000-0000-0000AE860000}"/>
    <cellStyle name="Note 4 4 3 2 3 4 3 2 10" xfId="38527" xr:uid="{00000000-0005-0000-0000-0000AF860000}"/>
    <cellStyle name="Note 4 4 3 2 3 4 3 2 11" xfId="42538" xr:uid="{00000000-0005-0000-0000-0000B0860000}"/>
    <cellStyle name="Note 4 4 3 2 3 4 3 2 12" xfId="46303" xr:uid="{00000000-0005-0000-0000-0000B1860000}"/>
    <cellStyle name="Note 4 4 3 2 3 4 3 2 2" xfId="7343" xr:uid="{00000000-0005-0000-0000-0000B2860000}"/>
    <cellStyle name="Note 4 4 3 2 3 4 3 2 3" xfId="11778" xr:uid="{00000000-0005-0000-0000-0000B3860000}"/>
    <cellStyle name="Note 4 4 3 2 3 4 3 2 4" xfId="15623" xr:uid="{00000000-0005-0000-0000-0000B4860000}"/>
    <cellStyle name="Note 4 4 3 2 3 4 3 2 5" xfId="19470" xr:uid="{00000000-0005-0000-0000-0000B5860000}"/>
    <cellStyle name="Note 4 4 3 2 3 4 3 2 6" xfId="23386" xr:uid="{00000000-0005-0000-0000-0000B6860000}"/>
    <cellStyle name="Note 4 4 3 2 3 4 3 2 7" xfId="27220" xr:uid="{00000000-0005-0000-0000-0000B7860000}"/>
    <cellStyle name="Note 4 4 3 2 3 4 3 2 8" xfId="31087" xr:uid="{00000000-0005-0000-0000-0000B8860000}"/>
    <cellStyle name="Note 4 4 3 2 3 4 3 2 9" xfId="34741" xr:uid="{00000000-0005-0000-0000-0000B9860000}"/>
    <cellStyle name="Note 4 4 3 2 3 4 3 3" xfId="5419" xr:uid="{00000000-0005-0000-0000-0000BA860000}"/>
    <cellStyle name="Note 4 4 3 2 3 4 3 4" xfId="9777" xr:uid="{00000000-0005-0000-0000-0000BB860000}"/>
    <cellStyle name="Note 4 4 3 2 3 4 3 5" xfId="13623" xr:uid="{00000000-0005-0000-0000-0000BC860000}"/>
    <cellStyle name="Note 4 4 3 2 3 4 3 6" xfId="17452" xr:uid="{00000000-0005-0000-0000-0000BD860000}"/>
    <cellStyle name="Note 4 4 3 2 3 4 3 7" xfId="21391" xr:uid="{00000000-0005-0000-0000-0000BE860000}"/>
    <cellStyle name="Note 4 4 3 2 3 4 3 8" xfId="25204" xr:uid="{00000000-0005-0000-0000-0000BF860000}"/>
    <cellStyle name="Note 4 4 3 2 3 4 3 9" xfId="29091" xr:uid="{00000000-0005-0000-0000-0000C0860000}"/>
    <cellStyle name="Note 4 4 3 2 3 4 4" xfId="2736" xr:uid="{00000000-0005-0000-0000-0000C1860000}"/>
    <cellStyle name="Note 4 4 3 2 3 4 4 10" xfId="37788" xr:uid="{00000000-0005-0000-0000-0000C2860000}"/>
    <cellStyle name="Note 4 4 3 2 3 4 4 11" xfId="41802" xr:uid="{00000000-0005-0000-0000-0000C3860000}"/>
    <cellStyle name="Note 4 4 3 2 3 4 4 12" xfId="45586" xr:uid="{00000000-0005-0000-0000-0000C4860000}"/>
    <cellStyle name="Note 4 4 3 2 3 4 4 2" xfId="6623" xr:uid="{00000000-0005-0000-0000-0000C5860000}"/>
    <cellStyle name="Note 4 4 3 2 3 4 4 3" xfId="11047" xr:uid="{00000000-0005-0000-0000-0000C6860000}"/>
    <cellStyle name="Note 4 4 3 2 3 4 4 4" xfId="14892" xr:uid="{00000000-0005-0000-0000-0000C7860000}"/>
    <cellStyle name="Note 4 4 3 2 3 4 4 5" xfId="18730" xr:uid="{00000000-0005-0000-0000-0000C8860000}"/>
    <cellStyle name="Note 4 4 3 2 3 4 4 6" xfId="22661" xr:uid="{00000000-0005-0000-0000-0000C9860000}"/>
    <cellStyle name="Note 4 4 3 2 3 4 4 7" xfId="26481" xr:uid="{00000000-0005-0000-0000-0000CA860000}"/>
    <cellStyle name="Note 4 4 3 2 3 4 4 8" xfId="30360" xr:uid="{00000000-0005-0000-0000-0000CB860000}"/>
    <cellStyle name="Note 4 4 3 2 3 4 4 9" xfId="34024" xr:uid="{00000000-0005-0000-0000-0000CC860000}"/>
    <cellStyle name="Note 4 4 3 2 3 4 5" xfId="4699" xr:uid="{00000000-0005-0000-0000-0000CD860000}"/>
    <cellStyle name="Note 4 4 3 2 3 4 6" xfId="9041" xr:uid="{00000000-0005-0000-0000-0000CE860000}"/>
    <cellStyle name="Note 4 4 3 2 3 4 7" xfId="12879" xr:uid="{00000000-0005-0000-0000-0000CF860000}"/>
    <cellStyle name="Note 4 4 3 2 3 4 8" xfId="16709" xr:uid="{00000000-0005-0000-0000-0000D0860000}"/>
    <cellStyle name="Note 4 4 3 2 3 4 9" xfId="20646" xr:uid="{00000000-0005-0000-0000-0000D1860000}"/>
    <cellStyle name="Note 4 4 3 2 3 5" xfId="870" xr:uid="{00000000-0005-0000-0000-0000D2860000}"/>
    <cellStyle name="Note 4 4 3 2 3 5 10" xfId="24594" xr:uid="{00000000-0005-0000-0000-0000D3860000}"/>
    <cellStyle name="Note 4 4 3 2 3 5 11" xfId="28484" xr:uid="{00000000-0005-0000-0000-0000D4860000}"/>
    <cellStyle name="Note 4 4 3 2 3 5 12" xfId="32171" xr:uid="{00000000-0005-0000-0000-0000D5860000}"/>
    <cellStyle name="Note 4 4 3 2 3 5 13" xfId="35928" xr:uid="{00000000-0005-0000-0000-0000D6860000}"/>
    <cellStyle name="Note 4 4 3 2 3 5 14" xfId="39938" xr:uid="{00000000-0005-0000-0000-0000D7860000}"/>
    <cellStyle name="Note 4 4 3 2 3 5 15" xfId="43754" xr:uid="{00000000-0005-0000-0000-0000D8860000}"/>
    <cellStyle name="Note 4 4 3 2 3 5 2" xfId="1207" xr:uid="{00000000-0005-0000-0000-0000D9860000}"/>
    <cellStyle name="Note 4 4 3 2 3 5 2 10" xfId="28815" xr:uid="{00000000-0005-0000-0000-0000DA860000}"/>
    <cellStyle name="Note 4 4 3 2 3 5 2 11" xfId="32499" xr:uid="{00000000-0005-0000-0000-0000DB860000}"/>
    <cellStyle name="Note 4 4 3 2 3 5 2 12" xfId="36265" xr:uid="{00000000-0005-0000-0000-0000DC860000}"/>
    <cellStyle name="Note 4 4 3 2 3 5 2 13" xfId="40258" xr:uid="{00000000-0005-0000-0000-0000DD860000}"/>
    <cellStyle name="Note 4 4 3 2 3 5 2 14" xfId="44091" xr:uid="{00000000-0005-0000-0000-0000DE860000}"/>
    <cellStyle name="Note 4 4 3 2 3 5 2 2" xfId="1929" xr:uid="{00000000-0005-0000-0000-0000DF860000}"/>
    <cellStyle name="Note 4 4 3 2 3 5 2 2 10" xfId="33216" xr:uid="{00000000-0005-0000-0000-0000E0860000}"/>
    <cellStyle name="Note 4 4 3 2 3 5 2 2 11" xfId="36986" xr:uid="{00000000-0005-0000-0000-0000E1860000}"/>
    <cellStyle name="Note 4 4 3 2 3 5 2 2 12" xfId="40977" xr:uid="{00000000-0005-0000-0000-0000E2860000}"/>
    <cellStyle name="Note 4 4 3 2 3 5 2 2 13" xfId="44808" xr:uid="{00000000-0005-0000-0000-0000E3860000}"/>
    <cellStyle name="Note 4 4 3 2 3 5 2 2 2" xfId="3919" xr:uid="{00000000-0005-0000-0000-0000E4860000}"/>
    <cellStyle name="Note 4 4 3 2 3 5 2 2 2 10" xfId="38970" xr:uid="{00000000-0005-0000-0000-0000E5860000}"/>
    <cellStyle name="Note 4 4 3 2 3 5 2 2 2 11" xfId="42981" xr:uid="{00000000-0005-0000-0000-0000E6860000}"/>
    <cellStyle name="Note 4 4 3 2 3 5 2 2 2 12" xfId="46746" xr:uid="{00000000-0005-0000-0000-0000E7860000}"/>
    <cellStyle name="Note 4 4 3 2 3 5 2 2 2 2" xfId="7786" xr:uid="{00000000-0005-0000-0000-0000E8860000}"/>
    <cellStyle name="Note 4 4 3 2 3 5 2 2 2 3" xfId="12221" xr:uid="{00000000-0005-0000-0000-0000E9860000}"/>
    <cellStyle name="Note 4 4 3 2 3 5 2 2 2 4" xfId="16066" xr:uid="{00000000-0005-0000-0000-0000EA860000}"/>
    <cellStyle name="Note 4 4 3 2 3 5 2 2 2 5" xfId="19913" xr:uid="{00000000-0005-0000-0000-0000EB860000}"/>
    <cellStyle name="Note 4 4 3 2 3 5 2 2 2 6" xfId="23829" xr:uid="{00000000-0005-0000-0000-0000EC860000}"/>
    <cellStyle name="Note 4 4 3 2 3 5 2 2 2 7" xfId="27663" xr:uid="{00000000-0005-0000-0000-0000ED860000}"/>
    <cellStyle name="Note 4 4 3 2 3 5 2 2 2 8" xfId="31524" xr:uid="{00000000-0005-0000-0000-0000EE860000}"/>
    <cellStyle name="Note 4 4 3 2 3 5 2 2 2 9" xfId="35184" xr:uid="{00000000-0005-0000-0000-0000EF860000}"/>
    <cellStyle name="Note 4 4 3 2 3 5 2 2 3" xfId="5862" xr:uid="{00000000-0005-0000-0000-0000F0860000}"/>
    <cellStyle name="Note 4 4 3 2 3 5 2 2 4" xfId="10220" xr:uid="{00000000-0005-0000-0000-0000F1860000}"/>
    <cellStyle name="Note 4 4 3 2 3 5 2 2 5" xfId="14066" xr:uid="{00000000-0005-0000-0000-0000F2860000}"/>
    <cellStyle name="Note 4 4 3 2 3 5 2 2 6" xfId="17895" xr:uid="{00000000-0005-0000-0000-0000F3860000}"/>
    <cellStyle name="Note 4 4 3 2 3 5 2 2 7" xfId="21834" xr:uid="{00000000-0005-0000-0000-0000F4860000}"/>
    <cellStyle name="Note 4 4 3 2 3 5 2 2 8" xfId="25647" xr:uid="{00000000-0005-0000-0000-0000F5860000}"/>
    <cellStyle name="Note 4 4 3 2 3 5 2 2 9" xfId="29534" xr:uid="{00000000-0005-0000-0000-0000F6860000}"/>
    <cellStyle name="Note 4 4 3 2 3 5 2 3" xfId="3197" xr:uid="{00000000-0005-0000-0000-0000F7860000}"/>
    <cellStyle name="Note 4 4 3 2 3 5 2 3 10" xfId="38249" xr:uid="{00000000-0005-0000-0000-0000F8860000}"/>
    <cellStyle name="Note 4 4 3 2 3 5 2 3 11" xfId="42260" xr:uid="{00000000-0005-0000-0000-0000F9860000}"/>
    <cellStyle name="Note 4 4 3 2 3 5 2 3 12" xfId="46029" xr:uid="{00000000-0005-0000-0000-0000FA860000}"/>
    <cellStyle name="Note 4 4 3 2 3 5 2 3 2" xfId="7069" xr:uid="{00000000-0005-0000-0000-0000FB860000}"/>
    <cellStyle name="Note 4 4 3 2 3 5 2 3 3" xfId="11501" xr:uid="{00000000-0005-0000-0000-0000FC860000}"/>
    <cellStyle name="Note 4 4 3 2 3 5 2 3 4" xfId="15345" xr:uid="{00000000-0005-0000-0000-0000FD860000}"/>
    <cellStyle name="Note 4 4 3 2 3 5 2 3 5" xfId="19191" xr:uid="{00000000-0005-0000-0000-0000FE860000}"/>
    <cellStyle name="Note 4 4 3 2 3 5 2 3 6" xfId="23110" xr:uid="{00000000-0005-0000-0000-0000FF860000}"/>
    <cellStyle name="Note 4 4 3 2 3 5 2 3 7" xfId="26942" xr:uid="{00000000-0005-0000-0000-000000870000}"/>
    <cellStyle name="Note 4 4 3 2 3 5 2 3 8" xfId="30812" xr:uid="{00000000-0005-0000-0000-000001870000}"/>
    <cellStyle name="Note 4 4 3 2 3 5 2 3 9" xfId="34467" xr:uid="{00000000-0005-0000-0000-000002870000}"/>
    <cellStyle name="Note 4 4 3 2 3 5 2 4" xfId="5145" xr:uid="{00000000-0005-0000-0000-000003870000}"/>
    <cellStyle name="Note 4 4 3 2 3 5 2 5" xfId="9501" xr:uid="{00000000-0005-0000-0000-000004870000}"/>
    <cellStyle name="Note 4 4 3 2 3 5 2 6" xfId="13345" xr:uid="{00000000-0005-0000-0000-000005870000}"/>
    <cellStyle name="Note 4 4 3 2 3 5 2 7" xfId="17173" xr:uid="{00000000-0005-0000-0000-000006870000}"/>
    <cellStyle name="Note 4 4 3 2 3 5 2 8" xfId="21115" xr:uid="{00000000-0005-0000-0000-000007870000}"/>
    <cellStyle name="Note 4 4 3 2 3 5 2 9" xfId="24926" xr:uid="{00000000-0005-0000-0000-000008870000}"/>
    <cellStyle name="Note 4 4 3 2 3 5 3" xfId="1601" xr:uid="{00000000-0005-0000-0000-000009870000}"/>
    <cellStyle name="Note 4 4 3 2 3 5 3 10" xfId="32888" xr:uid="{00000000-0005-0000-0000-00000A870000}"/>
    <cellStyle name="Note 4 4 3 2 3 5 3 11" xfId="36658" xr:uid="{00000000-0005-0000-0000-00000B870000}"/>
    <cellStyle name="Note 4 4 3 2 3 5 3 12" xfId="40649" xr:uid="{00000000-0005-0000-0000-00000C870000}"/>
    <cellStyle name="Note 4 4 3 2 3 5 3 13" xfId="44480" xr:uid="{00000000-0005-0000-0000-00000D870000}"/>
    <cellStyle name="Note 4 4 3 2 3 5 3 2" xfId="3591" xr:uid="{00000000-0005-0000-0000-00000E870000}"/>
    <cellStyle name="Note 4 4 3 2 3 5 3 2 10" xfId="38642" xr:uid="{00000000-0005-0000-0000-00000F870000}"/>
    <cellStyle name="Note 4 4 3 2 3 5 3 2 11" xfId="42653" xr:uid="{00000000-0005-0000-0000-000010870000}"/>
    <cellStyle name="Note 4 4 3 2 3 5 3 2 12" xfId="46418" xr:uid="{00000000-0005-0000-0000-000011870000}"/>
    <cellStyle name="Note 4 4 3 2 3 5 3 2 2" xfId="7458" xr:uid="{00000000-0005-0000-0000-000012870000}"/>
    <cellStyle name="Note 4 4 3 2 3 5 3 2 3" xfId="11893" xr:uid="{00000000-0005-0000-0000-000013870000}"/>
    <cellStyle name="Note 4 4 3 2 3 5 3 2 4" xfId="15738" xr:uid="{00000000-0005-0000-0000-000014870000}"/>
    <cellStyle name="Note 4 4 3 2 3 5 3 2 5" xfId="19585" xr:uid="{00000000-0005-0000-0000-000015870000}"/>
    <cellStyle name="Note 4 4 3 2 3 5 3 2 6" xfId="23501" xr:uid="{00000000-0005-0000-0000-000016870000}"/>
    <cellStyle name="Note 4 4 3 2 3 5 3 2 7" xfId="27335" xr:uid="{00000000-0005-0000-0000-000017870000}"/>
    <cellStyle name="Note 4 4 3 2 3 5 3 2 8" xfId="31200" xr:uid="{00000000-0005-0000-0000-000018870000}"/>
    <cellStyle name="Note 4 4 3 2 3 5 3 2 9" xfId="34856" xr:uid="{00000000-0005-0000-0000-000019870000}"/>
    <cellStyle name="Note 4 4 3 2 3 5 3 3" xfId="5534" xr:uid="{00000000-0005-0000-0000-00001A870000}"/>
    <cellStyle name="Note 4 4 3 2 3 5 3 4" xfId="9892" xr:uid="{00000000-0005-0000-0000-00001B870000}"/>
    <cellStyle name="Note 4 4 3 2 3 5 3 5" xfId="13738" xr:uid="{00000000-0005-0000-0000-00001C870000}"/>
    <cellStyle name="Note 4 4 3 2 3 5 3 6" xfId="17567" xr:uid="{00000000-0005-0000-0000-00001D870000}"/>
    <cellStyle name="Note 4 4 3 2 3 5 3 7" xfId="21506" xr:uid="{00000000-0005-0000-0000-00001E870000}"/>
    <cellStyle name="Note 4 4 3 2 3 5 3 8" xfId="25319" xr:uid="{00000000-0005-0000-0000-00001F870000}"/>
    <cellStyle name="Note 4 4 3 2 3 5 3 9" xfId="29206" xr:uid="{00000000-0005-0000-0000-000020870000}"/>
    <cellStyle name="Note 4 4 3 2 3 5 4" xfId="2860" xr:uid="{00000000-0005-0000-0000-000021870000}"/>
    <cellStyle name="Note 4 4 3 2 3 5 4 10" xfId="37912" xr:uid="{00000000-0005-0000-0000-000022870000}"/>
    <cellStyle name="Note 4 4 3 2 3 5 4 11" xfId="41924" xr:uid="{00000000-0005-0000-0000-000023870000}"/>
    <cellStyle name="Note 4 4 3 2 3 5 4 12" xfId="45701" xr:uid="{00000000-0005-0000-0000-000024870000}"/>
    <cellStyle name="Note 4 4 3 2 3 5 4 2" xfId="6740" xr:uid="{00000000-0005-0000-0000-000025870000}"/>
    <cellStyle name="Note 4 4 3 2 3 5 4 3" xfId="11167" xr:uid="{00000000-0005-0000-0000-000026870000}"/>
    <cellStyle name="Note 4 4 3 2 3 5 4 4" xfId="15012" xr:uid="{00000000-0005-0000-0000-000027870000}"/>
    <cellStyle name="Note 4 4 3 2 3 5 4 5" xfId="18854" xr:uid="{00000000-0005-0000-0000-000028870000}"/>
    <cellStyle name="Note 4 4 3 2 3 5 4 6" xfId="22780" xr:uid="{00000000-0005-0000-0000-000029870000}"/>
    <cellStyle name="Note 4 4 3 2 3 5 4 7" xfId="26605" xr:uid="{00000000-0005-0000-0000-00002A870000}"/>
    <cellStyle name="Note 4 4 3 2 3 5 4 8" xfId="30481" xr:uid="{00000000-0005-0000-0000-00002B870000}"/>
    <cellStyle name="Note 4 4 3 2 3 5 4 9" xfId="34139" xr:uid="{00000000-0005-0000-0000-00002C870000}"/>
    <cellStyle name="Note 4 4 3 2 3 5 5" xfId="4816" xr:uid="{00000000-0005-0000-0000-00002D870000}"/>
    <cellStyle name="Note 4 4 3 2 3 5 6" xfId="9170" xr:uid="{00000000-0005-0000-0000-00002E870000}"/>
    <cellStyle name="Note 4 4 3 2 3 5 7" xfId="13011" xr:uid="{00000000-0005-0000-0000-00002F870000}"/>
    <cellStyle name="Note 4 4 3 2 3 5 8" xfId="16836" xr:uid="{00000000-0005-0000-0000-000030870000}"/>
    <cellStyle name="Note 4 4 3 2 3 5 9" xfId="20778" xr:uid="{00000000-0005-0000-0000-000031870000}"/>
    <cellStyle name="Note 4 4 3 2 3 6" xfId="916" xr:uid="{00000000-0005-0000-0000-000032870000}"/>
    <cellStyle name="Note 4 4 3 2 3 6 10" xfId="28528" xr:uid="{00000000-0005-0000-0000-000033870000}"/>
    <cellStyle name="Note 4 4 3 2 3 6 11" xfId="32217" xr:uid="{00000000-0005-0000-0000-000034870000}"/>
    <cellStyle name="Note 4 4 3 2 3 6 12" xfId="35974" xr:uid="{00000000-0005-0000-0000-000035870000}"/>
    <cellStyle name="Note 4 4 3 2 3 6 13" xfId="39982" xr:uid="{00000000-0005-0000-0000-000036870000}"/>
    <cellStyle name="Note 4 4 3 2 3 6 14" xfId="43800" xr:uid="{00000000-0005-0000-0000-000037870000}"/>
    <cellStyle name="Note 4 4 3 2 3 6 2" xfId="1647" xr:uid="{00000000-0005-0000-0000-000038870000}"/>
    <cellStyle name="Note 4 4 3 2 3 6 2 10" xfId="32934" xr:uid="{00000000-0005-0000-0000-000039870000}"/>
    <cellStyle name="Note 4 4 3 2 3 6 2 11" xfId="36704" xr:uid="{00000000-0005-0000-0000-00003A870000}"/>
    <cellStyle name="Note 4 4 3 2 3 6 2 12" xfId="40695" xr:uid="{00000000-0005-0000-0000-00003B870000}"/>
    <cellStyle name="Note 4 4 3 2 3 6 2 13" xfId="44526" xr:uid="{00000000-0005-0000-0000-00003C870000}"/>
    <cellStyle name="Note 4 4 3 2 3 6 2 2" xfId="3637" xr:uid="{00000000-0005-0000-0000-00003D870000}"/>
    <cellStyle name="Note 4 4 3 2 3 6 2 2 10" xfId="38688" xr:uid="{00000000-0005-0000-0000-00003E870000}"/>
    <cellStyle name="Note 4 4 3 2 3 6 2 2 11" xfId="42699" xr:uid="{00000000-0005-0000-0000-00003F870000}"/>
    <cellStyle name="Note 4 4 3 2 3 6 2 2 12" xfId="46464" xr:uid="{00000000-0005-0000-0000-000040870000}"/>
    <cellStyle name="Note 4 4 3 2 3 6 2 2 2" xfId="7504" xr:uid="{00000000-0005-0000-0000-000041870000}"/>
    <cellStyle name="Note 4 4 3 2 3 6 2 2 3" xfId="11939" xr:uid="{00000000-0005-0000-0000-000042870000}"/>
    <cellStyle name="Note 4 4 3 2 3 6 2 2 4" xfId="15784" xr:uid="{00000000-0005-0000-0000-000043870000}"/>
    <cellStyle name="Note 4 4 3 2 3 6 2 2 5" xfId="19631" xr:uid="{00000000-0005-0000-0000-000044870000}"/>
    <cellStyle name="Note 4 4 3 2 3 6 2 2 6" xfId="23547" xr:uid="{00000000-0005-0000-0000-000045870000}"/>
    <cellStyle name="Note 4 4 3 2 3 6 2 2 7" xfId="27381" xr:uid="{00000000-0005-0000-0000-000046870000}"/>
    <cellStyle name="Note 4 4 3 2 3 6 2 2 8" xfId="31245" xr:uid="{00000000-0005-0000-0000-000047870000}"/>
    <cellStyle name="Note 4 4 3 2 3 6 2 2 9" xfId="34902" xr:uid="{00000000-0005-0000-0000-000048870000}"/>
    <cellStyle name="Note 4 4 3 2 3 6 2 3" xfId="5580" xr:uid="{00000000-0005-0000-0000-000049870000}"/>
    <cellStyle name="Note 4 4 3 2 3 6 2 4" xfId="9938" xr:uid="{00000000-0005-0000-0000-00004A870000}"/>
    <cellStyle name="Note 4 4 3 2 3 6 2 5" xfId="13784" xr:uid="{00000000-0005-0000-0000-00004B870000}"/>
    <cellStyle name="Note 4 4 3 2 3 6 2 6" xfId="17613" xr:uid="{00000000-0005-0000-0000-00004C870000}"/>
    <cellStyle name="Note 4 4 3 2 3 6 2 7" xfId="21552" xr:uid="{00000000-0005-0000-0000-00004D870000}"/>
    <cellStyle name="Note 4 4 3 2 3 6 2 8" xfId="25365" xr:uid="{00000000-0005-0000-0000-00004E870000}"/>
    <cellStyle name="Note 4 4 3 2 3 6 2 9" xfId="29252" xr:uid="{00000000-0005-0000-0000-00004F870000}"/>
    <cellStyle name="Note 4 4 3 2 3 6 3" xfId="2906" xr:uid="{00000000-0005-0000-0000-000050870000}"/>
    <cellStyle name="Note 4 4 3 2 3 6 3 10" xfId="37958" xr:uid="{00000000-0005-0000-0000-000051870000}"/>
    <cellStyle name="Note 4 4 3 2 3 6 3 11" xfId="41970" xr:uid="{00000000-0005-0000-0000-000052870000}"/>
    <cellStyle name="Note 4 4 3 2 3 6 3 12" xfId="45747" xr:uid="{00000000-0005-0000-0000-000053870000}"/>
    <cellStyle name="Note 4 4 3 2 3 6 3 2" xfId="6786" xr:uid="{00000000-0005-0000-0000-000054870000}"/>
    <cellStyle name="Note 4 4 3 2 3 6 3 3" xfId="11213" xr:uid="{00000000-0005-0000-0000-000055870000}"/>
    <cellStyle name="Note 4 4 3 2 3 6 3 4" xfId="15058" xr:uid="{00000000-0005-0000-0000-000056870000}"/>
    <cellStyle name="Note 4 4 3 2 3 6 3 5" xfId="18900" xr:uid="{00000000-0005-0000-0000-000057870000}"/>
    <cellStyle name="Note 4 4 3 2 3 6 3 6" xfId="22826" xr:uid="{00000000-0005-0000-0000-000058870000}"/>
    <cellStyle name="Note 4 4 3 2 3 6 3 7" xfId="26651" xr:uid="{00000000-0005-0000-0000-000059870000}"/>
    <cellStyle name="Note 4 4 3 2 3 6 3 8" xfId="30526" xr:uid="{00000000-0005-0000-0000-00005A870000}"/>
    <cellStyle name="Note 4 4 3 2 3 6 3 9" xfId="34185" xr:uid="{00000000-0005-0000-0000-00005B870000}"/>
    <cellStyle name="Note 4 4 3 2 3 6 4" xfId="4862" xr:uid="{00000000-0005-0000-0000-00005C870000}"/>
    <cellStyle name="Note 4 4 3 2 3 6 5" xfId="9216" xr:uid="{00000000-0005-0000-0000-00005D870000}"/>
    <cellStyle name="Note 4 4 3 2 3 6 6" xfId="13057" xr:uid="{00000000-0005-0000-0000-00005E870000}"/>
    <cellStyle name="Note 4 4 3 2 3 6 7" xfId="16882" xr:uid="{00000000-0005-0000-0000-00005F870000}"/>
    <cellStyle name="Note 4 4 3 2 3 6 8" xfId="20824" xr:uid="{00000000-0005-0000-0000-000060870000}"/>
    <cellStyle name="Note 4 4 3 2 3 6 9" xfId="24640" xr:uid="{00000000-0005-0000-0000-000061870000}"/>
    <cellStyle name="Note 4 4 3 2 3 7" xfId="1294" xr:uid="{00000000-0005-0000-0000-000062870000}"/>
    <cellStyle name="Note 4 4 3 2 3 7 10" xfId="32581" xr:uid="{00000000-0005-0000-0000-000063870000}"/>
    <cellStyle name="Note 4 4 3 2 3 7 11" xfId="36351" xr:uid="{00000000-0005-0000-0000-000064870000}"/>
    <cellStyle name="Note 4 4 3 2 3 7 12" xfId="40342" xr:uid="{00000000-0005-0000-0000-000065870000}"/>
    <cellStyle name="Note 4 4 3 2 3 7 13" xfId="44173" xr:uid="{00000000-0005-0000-0000-000066870000}"/>
    <cellStyle name="Note 4 4 3 2 3 7 2" xfId="3284" xr:uid="{00000000-0005-0000-0000-000067870000}"/>
    <cellStyle name="Note 4 4 3 2 3 7 2 10" xfId="38335" xr:uid="{00000000-0005-0000-0000-000068870000}"/>
    <cellStyle name="Note 4 4 3 2 3 7 2 11" xfId="42346" xr:uid="{00000000-0005-0000-0000-000069870000}"/>
    <cellStyle name="Note 4 4 3 2 3 7 2 12" xfId="46111" xr:uid="{00000000-0005-0000-0000-00006A870000}"/>
    <cellStyle name="Note 4 4 3 2 3 7 2 2" xfId="7151" xr:uid="{00000000-0005-0000-0000-00006B870000}"/>
    <cellStyle name="Note 4 4 3 2 3 7 2 3" xfId="11586" xr:uid="{00000000-0005-0000-0000-00006C870000}"/>
    <cellStyle name="Note 4 4 3 2 3 7 2 4" xfId="15431" xr:uid="{00000000-0005-0000-0000-00006D870000}"/>
    <cellStyle name="Note 4 4 3 2 3 7 2 5" xfId="19278" xr:uid="{00000000-0005-0000-0000-00006E870000}"/>
    <cellStyle name="Note 4 4 3 2 3 7 2 6" xfId="23194" xr:uid="{00000000-0005-0000-0000-00006F870000}"/>
    <cellStyle name="Note 4 4 3 2 3 7 2 7" xfId="27028" xr:uid="{00000000-0005-0000-0000-000070870000}"/>
    <cellStyle name="Note 4 4 3 2 3 7 2 8" xfId="30897" xr:uid="{00000000-0005-0000-0000-000071870000}"/>
    <cellStyle name="Note 4 4 3 2 3 7 2 9" xfId="34549" xr:uid="{00000000-0005-0000-0000-000072870000}"/>
    <cellStyle name="Note 4 4 3 2 3 7 3" xfId="5227" xr:uid="{00000000-0005-0000-0000-000073870000}"/>
    <cellStyle name="Note 4 4 3 2 3 7 4" xfId="9585" xr:uid="{00000000-0005-0000-0000-000074870000}"/>
    <cellStyle name="Note 4 4 3 2 3 7 5" xfId="13431" xr:uid="{00000000-0005-0000-0000-000075870000}"/>
    <cellStyle name="Note 4 4 3 2 3 7 6" xfId="17260" xr:uid="{00000000-0005-0000-0000-000076870000}"/>
    <cellStyle name="Note 4 4 3 2 3 7 7" xfId="21199" xr:uid="{00000000-0005-0000-0000-000077870000}"/>
    <cellStyle name="Note 4 4 3 2 3 7 8" xfId="25012" xr:uid="{00000000-0005-0000-0000-000078870000}"/>
    <cellStyle name="Note 4 4 3 2 3 7 9" xfId="28899" xr:uid="{00000000-0005-0000-0000-000079870000}"/>
    <cellStyle name="Note 4 4 3 2 3 8" xfId="1989" xr:uid="{00000000-0005-0000-0000-00007A870000}"/>
    <cellStyle name="Note 4 4 3 2 3 8 10" xfId="33276" xr:uid="{00000000-0005-0000-0000-00007B870000}"/>
    <cellStyle name="Note 4 4 3 2 3 8 11" xfId="37045" xr:uid="{00000000-0005-0000-0000-00007C870000}"/>
    <cellStyle name="Note 4 4 3 2 3 8 12" xfId="41037" xr:uid="{00000000-0005-0000-0000-00007D870000}"/>
    <cellStyle name="Note 4 4 3 2 3 8 13" xfId="44867" xr:uid="{00000000-0005-0000-0000-00007E870000}"/>
    <cellStyle name="Note 4 4 3 2 3 8 2" xfId="3978" xr:uid="{00000000-0005-0000-0000-00007F870000}"/>
    <cellStyle name="Note 4 4 3 2 3 8 2 10" xfId="39029" xr:uid="{00000000-0005-0000-0000-000080870000}"/>
    <cellStyle name="Note 4 4 3 2 3 8 2 11" xfId="43040" xr:uid="{00000000-0005-0000-0000-000081870000}"/>
    <cellStyle name="Note 4 4 3 2 3 8 2 12" xfId="46805" xr:uid="{00000000-0005-0000-0000-000082870000}"/>
    <cellStyle name="Note 4 4 3 2 3 8 2 2" xfId="7845" xr:uid="{00000000-0005-0000-0000-000083870000}"/>
    <cellStyle name="Note 4 4 3 2 3 8 2 3" xfId="12280" xr:uid="{00000000-0005-0000-0000-000084870000}"/>
    <cellStyle name="Note 4 4 3 2 3 8 2 4" xfId="16125" xr:uid="{00000000-0005-0000-0000-000085870000}"/>
    <cellStyle name="Note 4 4 3 2 3 8 2 5" xfId="19972" xr:uid="{00000000-0005-0000-0000-000086870000}"/>
    <cellStyle name="Note 4 4 3 2 3 8 2 6" xfId="23888" xr:uid="{00000000-0005-0000-0000-000087870000}"/>
    <cellStyle name="Note 4 4 3 2 3 8 2 7" xfId="27722" xr:uid="{00000000-0005-0000-0000-000088870000}"/>
    <cellStyle name="Note 4 4 3 2 3 8 2 8" xfId="31582" xr:uid="{00000000-0005-0000-0000-000089870000}"/>
    <cellStyle name="Note 4 4 3 2 3 8 2 9" xfId="35243" xr:uid="{00000000-0005-0000-0000-00008A870000}"/>
    <cellStyle name="Note 4 4 3 2 3 8 3" xfId="5921" xr:uid="{00000000-0005-0000-0000-00008B870000}"/>
    <cellStyle name="Note 4 4 3 2 3 8 4" xfId="10279" xr:uid="{00000000-0005-0000-0000-00008C870000}"/>
    <cellStyle name="Note 4 4 3 2 3 8 5" xfId="14126" xr:uid="{00000000-0005-0000-0000-00008D870000}"/>
    <cellStyle name="Note 4 4 3 2 3 8 6" xfId="17955" xr:uid="{00000000-0005-0000-0000-00008E870000}"/>
    <cellStyle name="Note 4 4 3 2 3 8 7" xfId="21894" xr:uid="{00000000-0005-0000-0000-00008F870000}"/>
    <cellStyle name="Note 4 4 3 2 3 8 8" xfId="25707" xr:uid="{00000000-0005-0000-0000-000090870000}"/>
    <cellStyle name="Note 4 4 3 2 3 8 9" xfId="29594" xr:uid="{00000000-0005-0000-0000-000091870000}"/>
    <cellStyle name="Note 4 4 3 2 3 9" xfId="2036" xr:uid="{00000000-0005-0000-0000-000092870000}"/>
    <cellStyle name="Note 4 4 3 2 3 9 10" xfId="33320" xr:uid="{00000000-0005-0000-0000-000093870000}"/>
    <cellStyle name="Note 4 4 3 2 3 9 11" xfId="37092" xr:uid="{00000000-0005-0000-0000-000094870000}"/>
    <cellStyle name="Note 4 4 3 2 3 9 12" xfId="41082" xr:uid="{00000000-0005-0000-0000-000095870000}"/>
    <cellStyle name="Note 4 4 3 2 3 9 13" xfId="44911" xr:uid="{00000000-0005-0000-0000-000096870000}"/>
    <cellStyle name="Note 4 4 3 2 3 9 2" xfId="4025" xr:uid="{00000000-0005-0000-0000-000097870000}"/>
    <cellStyle name="Note 4 4 3 2 3 9 2 10" xfId="39076" xr:uid="{00000000-0005-0000-0000-000098870000}"/>
    <cellStyle name="Note 4 4 3 2 3 9 2 11" xfId="43086" xr:uid="{00000000-0005-0000-0000-000099870000}"/>
    <cellStyle name="Note 4 4 3 2 3 9 2 12" xfId="46849" xr:uid="{00000000-0005-0000-0000-00009A870000}"/>
    <cellStyle name="Note 4 4 3 2 3 9 2 2" xfId="7890" xr:uid="{00000000-0005-0000-0000-00009B870000}"/>
    <cellStyle name="Note 4 4 3 2 3 9 2 3" xfId="12325" xr:uid="{00000000-0005-0000-0000-00009C870000}"/>
    <cellStyle name="Note 4 4 3 2 3 9 2 4" xfId="16171" xr:uid="{00000000-0005-0000-0000-00009D870000}"/>
    <cellStyle name="Note 4 4 3 2 3 9 2 5" xfId="20019" xr:uid="{00000000-0005-0000-0000-00009E870000}"/>
    <cellStyle name="Note 4 4 3 2 3 9 2 6" xfId="23934" xr:uid="{00000000-0005-0000-0000-00009F870000}"/>
    <cellStyle name="Note 4 4 3 2 3 9 2 7" xfId="27769" xr:uid="{00000000-0005-0000-0000-0000A0870000}"/>
    <cellStyle name="Note 4 4 3 2 3 9 2 8" xfId="31628" xr:uid="{00000000-0005-0000-0000-0000A1870000}"/>
    <cellStyle name="Note 4 4 3 2 3 9 2 9" xfId="35287" xr:uid="{00000000-0005-0000-0000-0000A2870000}"/>
    <cellStyle name="Note 4 4 3 2 3 9 3" xfId="5966" xr:uid="{00000000-0005-0000-0000-0000A3870000}"/>
    <cellStyle name="Note 4 4 3 2 3 9 4" xfId="10324" xr:uid="{00000000-0005-0000-0000-0000A4870000}"/>
    <cellStyle name="Note 4 4 3 2 3 9 5" xfId="14172" xr:uid="{00000000-0005-0000-0000-0000A5870000}"/>
    <cellStyle name="Note 4 4 3 2 3 9 6" xfId="18002" xr:uid="{00000000-0005-0000-0000-0000A6870000}"/>
    <cellStyle name="Note 4 4 3 2 3 9 7" xfId="21940" xr:uid="{00000000-0005-0000-0000-0000A7870000}"/>
    <cellStyle name="Note 4 4 3 2 3 9 8" xfId="25754" xr:uid="{00000000-0005-0000-0000-0000A8870000}"/>
    <cellStyle name="Note 4 4 3 2 3 9 9" xfId="29640" xr:uid="{00000000-0005-0000-0000-0000A9870000}"/>
    <cellStyle name="Note 4 4 3 2 30" xfId="47430" xr:uid="{00000000-0005-0000-0000-0000AA870000}"/>
    <cellStyle name="Note 4 4 3 2 31" xfId="47391" xr:uid="{00000000-0005-0000-0000-0000AB870000}"/>
    <cellStyle name="Note 4 4 3 2 4" xfId="667" xr:uid="{00000000-0005-0000-0000-0000AC870000}"/>
    <cellStyle name="Note 4 4 3 2 4 10" xfId="24401" xr:uid="{00000000-0005-0000-0000-0000AD870000}"/>
    <cellStyle name="Note 4 4 3 2 4 11" xfId="28294" xr:uid="{00000000-0005-0000-0000-0000AE870000}"/>
    <cellStyle name="Note 4 4 3 2 4 12" xfId="30937" xr:uid="{00000000-0005-0000-0000-0000AF870000}"/>
    <cellStyle name="Note 4 4 3 2 4 13" xfId="33368" xr:uid="{00000000-0005-0000-0000-0000B0870000}"/>
    <cellStyle name="Note 4 4 3 2 4 14" xfId="39761" xr:uid="{00000000-0005-0000-0000-0000B1870000}"/>
    <cellStyle name="Note 4 4 3 2 4 15" xfId="43564" xr:uid="{00000000-0005-0000-0000-0000B2870000}"/>
    <cellStyle name="Note 4 4 3 2 4 2" xfId="1047" xr:uid="{00000000-0005-0000-0000-0000B3870000}"/>
    <cellStyle name="Note 4 4 3 2 4 2 10" xfId="28658" xr:uid="{00000000-0005-0000-0000-0000B4870000}"/>
    <cellStyle name="Note 4 4 3 2 4 2 11" xfId="32344" xr:uid="{00000000-0005-0000-0000-0000B5870000}"/>
    <cellStyle name="Note 4 4 3 2 4 2 12" xfId="36105" xr:uid="{00000000-0005-0000-0000-0000B6870000}"/>
    <cellStyle name="Note 4 4 3 2 4 2 13" xfId="40108" xr:uid="{00000000-0005-0000-0000-0000B7870000}"/>
    <cellStyle name="Note 4 4 3 2 4 2 14" xfId="43931" xr:uid="{00000000-0005-0000-0000-0000B8870000}"/>
    <cellStyle name="Note 4 4 3 2 4 2 2" xfId="1774" xr:uid="{00000000-0005-0000-0000-0000B9870000}"/>
    <cellStyle name="Note 4 4 3 2 4 2 2 10" xfId="33061" xr:uid="{00000000-0005-0000-0000-0000BA870000}"/>
    <cellStyle name="Note 4 4 3 2 4 2 2 11" xfId="36831" xr:uid="{00000000-0005-0000-0000-0000BB870000}"/>
    <cellStyle name="Note 4 4 3 2 4 2 2 12" xfId="40822" xr:uid="{00000000-0005-0000-0000-0000BC870000}"/>
    <cellStyle name="Note 4 4 3 2 4 2 2 13" xfId="44653" xr:uid="{00000000-0005-0000-0000-0000BD870000}"/>
    <cellStyle name="Note 4 4 3 2 4 2 2 2" xfId="3764" xr:uid="{00000000-0005-0000-0000-0000BE870000}"/>
    <cellStyle name="Note 4 4 3 2 4 2 2 2 10" xfId="38815" xr:uid="{00000000-0005-0000-0000-0000BF870000}"/>
    <cellStyle name="Note 4 4 3 2 4 2 2 2 11" xfId="42826" xr:uid="{00000000-0005-0000-0000-0000C0870000}"/>
    <cellStyle name="Note 4 4 3 2 4 2 2 2 12" xfId="46591" xr:uid="{00000000-0005-0000-0000-0000C1870000}"/>
    <cellStyle name="Note 4 4 3 2 4 2 2 2 2" xfId="7631" xr:uid="{00000000-0005-0000-0000-0000C2870000}"/>
    <cellStyle name="Note 4 4 3 2 4 2 2 2 3" xfId="12066" xr:uid="{00000000-0005-0000-0000-0000C3870000}"/>
    <cellStyle name="Note 4 4 3 2 4 2 2 2 4" xfId="15911" xr:uid="{00000000-0005-0000-0000-0000C4870000}"/>
    <cellStyle name="Note 4 4 3 2 4 2 2 2 5" xfId="19758" xr:uid="{00000000-0005-0000-0000-0000C5870000}"/>
    <cellStyle name="Note 4 4 3 2 4 2 2 2 6" xfId="23674" xr:uid="{00000000-0005-0000-0000-0000C6870000}"/>
    <cellStyle name="Note 4 4 3 2 4 2 2 2 7" xfId="27508" xr:uid="{00000000-0005-0000-0000-0000C7870000}"/>
    <cellStyle name="Note 4 4 3 2 4 2 2 2 8" xfId="31372" xr:uid="{00000000-0005-0000-0000-0000C8870000}"/>
    <cellStyle name="Note 4 4 3 2 4 2 2 2 9" xfId="35029" xr:uid="{00000000-0005-0000-0000-0000C9870000}"/>
    <cellStyle name="Note 4 4 3 2 4 2 2 3" xfId="5707" xr:uid="{00000000-0005-0000-0000-0000CA870000}"/>
    <cellStyle name="Note 4 4 3 2 4 2 2 4" xfId="10065" xr:uid="{00000000-0005-0000-0000-0000CB870000}"/>
    <cellStyle name="Note 4 4 3 2 4 2 2 5" xfId="13911" xr:uid="{00000000-0005-0000-0000-0000CC870000}"/>
    <cellStyle name="Note 4 4 3 2 4 2 2 6" xfId="17740" xr:uid="{00000000-0005-0000-0000-0000CD870000}"/>
    <cellStyle name="Note 4 4 3 2 4 2 2 7" xfId="21679" xr:uid="{00000000-0005-0000-0000-0000CE870000}"/>
    <cellStyle name="Note 4 4 3 2 4 2 2 8" xfId="25492" xr:uid="{00000000-0005-0000-0000-0000CF870000}"/>
    <cellStyle name="Note 4 4 3 2 4 2 2 9" xfId="29379" xr:uid="{00000000-0005-0000-0000-0000D0870000}"/>
    <cellStyle name="Note 4 4 3 2 4 2 3" xfId="3037" xr:uid="{00000000-0005-0000-0000-0000D1870000}"/>
    <cellStyle name="Note 4 4 3 2 4 2 3 10" xfId="38089" xr:uid="{00000000-0005-0000-0000-0000D2870000}"/>
    <cellStyle name="Note 4 4 3 2 4 2 3 11" xfId="42101" xr:uid="{00000000-0005-0000-0000-0000D3870000}"/>
    <cellStyle name="Note 4 4 3 2 4 2 3 12" xfId="45874" xr:uid="{00000000-0005-0000-0000-0000D4870000}"/>
    <cellStyle name="Note 4 4 3 2 4 2 3 2" xfId="6913" xr:uid="{00000000-0005-0000-0000-0000D5870000}"/>
    <cellStyle name="Note 4 4 3 2 4 2 3 3" xfId="11342" xr:uid="{00000000-0005-0000-0000-0000D6870000}"/>
    <cellStyle name="Note 4 4 3 2 4 2 3 4" xfId="15186" xr:uid="{00000000-0005-0000-0000-0000D7870000}"/>
    <cellStyle name="Note 4 4 3 2 4 2 3 5" xfId="19031" xr:uid="{00000000-0005-0000-0000-0000D8870000}"/>
    <cellStyle name="Note 4 4 3 2 4 2 3 6" xfId="22953" xr:uid="{00000000-0005-0000-0000-0000D9870000}"/>
    <cellStyle name="Note 4 4 3 2 4 2 3 7" xfId="26782" xr:uid="{00000000-0005-0000-0000-0000DA870000}"/>
    <cellStyle name="Note 4 4 3 2 4 2 3 8" xfId="30656" xr:uid="{00000000-0005-0000-0000-0000DB870000}"/>
    <cellStyle name="Note 4 4 3 2 4 2 3 9" xfId="34312" xr:uid="{00000000-0005-0000-0000-0000DC870000}"/>
    <cellStyle name="Note 4 4 3 2 4 2 4" xfId="4989" xr:uid="{00000000-0005-0000-0000-0000DD870000}"/>
    <cellStyle name="Note 4 4 3 2 4 2 5" xfId="9345" xr:uid="{00000000-0005-0000-0000-0000DE870000}"/>
    <cellStyle name="Note 4 4 3 2 4 2 6" xfId="13185" xr:uid="{00000000-0005-0000-0000-0000DF870000}"/>
    <cellStyle name="Note 4 4 3 2 4 2 7" xfId="17013" xr:uid="{00000000-0005-0000-0000-0000E0870000}"/>
    <cellStyle name="Note 4 4 3 2 4 2 8" xfId="20955" xr:uid="{00000000-0005-0000-0000-0000E1870000}"/>
    <cellStyle name="Note 4 4 3 2 4 2 9" xfId="24769" xr:uid="{00000000-0005-0000-0000-0000E2870000}"/>
    <cellStyle name="Note 4 4 3 2 4 3" xfId="1421" xr:uid="{00000000-0005-0000-0000-0000E3870000}"/>
    <cellStyle name="Note 4 4 3 2 4 3 10" xfId="32708" xr:uid="{00000000-0005-0000-0000-0000E4870000}"/>
    <cellStyle name="Note 4 4 3 2 4 3 11" xfId="36478" xr:uid="{00000000-0005-0000-0000-0000E5870000}"/>
    <cellStyle name="Note 4 4 3 2 4 3 12" xfId="40469" xr:uid="{00000000-0005-0000-0000-0000E6870000}"/>
    <cellStyle name="Note 4 4 3 2 4 3 13" xfId="44300" xr:uid="{00000000-0005-0000-0000-0000E7870000}"/>
    <cellStyle name="Note 4 4 3 2 4 3 2" xfId="3411" xr:uid="{00000000-0005-0000-0000-0000E8870000}"/>
    <cellStyle name="Note 4 4 3 2 4 3 2 10" xfId="38462" xr:uid="{00000000-0005-0000-0000-0000E9870000}"/>
    <cellStyle name="Note 4 4 3 2 4 3 2 11" xfId="42473" xr:uid="{00000000-0005-0000-0000-0000EA870000}"/>
    <cellStyle name="Note 4 4 3 2 4 3 2 12" xfId="46238" xr:uid="{00000000-0005-0000-0000-0000EB870000}"/>
    <cellStyle name="Note 4 4 3 2 4 3 2 2" xfId="7278" xr:uid="{00000000-0005-0000-0000-0000EC870000}"/>
    <cellStyle name="Note 4 4 3 2 4 3 2 3" xfId="11713" xr:uid="{00000000-0005-0000-0000-0000ED870000}"/>
    <cellStyle name="Note 4 4 3 2 4 3 2 4" xfId="15558" xr:uid="{00000000-0005-0000-0000-0000EE870000}"/>
    <cellStyle name="Note 4 4 3 2 4 3 2 5" xfId="19405" xr:uid="{00000000-0005-0000-0000-0000EF870000}"/>
    <cellStyle name="Note 4 4 3 2 4 3 2 6" xfId="23321" xr:uid="{00000000-0005-0000-0000-0000F0870000}"/>
    <cellStyle name="Note 4 4 3 2 4 3 2 7" xfId="27155" xr:uid="{00000000-0005-0000-0000-0000F1870000}"/>
    <cellStyle name="Note 4 4 3 2 4 3 2 8" xfId="31023" xr:uid="{00000000-0005-0000-0000-0000F2870000}"/>
    <cellStyle name="Note 4 4 3 2 4 3 2 9" xfId="34676" xr:uid="{00000000-0005-0000-0000-0000F3870000}"/>
    <cellStyle name="Note 4 4 3 2 4 3 3" xfId="5354" xr:uid="{00000000-0005-0000-0000-0000F4870000}"/>
    <cellStyle name="Note 4 4 3 2 4 3 4" xfId="9712" xr:uid="{00000000-0005-0000-0000-0000F5870000}"/>
    <cellStyle name="Note 4 4 3 2 4 3 5" xfId="13558" xr:uid="{00000000-0005-0000-0000-0000F6870000}"/>
    <cellStyle name="Note 4 4 3 2 4 3 6" xfId="17387" xr:uid="{00000000-0005-0000-0000-0000F7870000}"/>
    <cellStyle name="Note 4 4 3 2 4 3 7" xfId="21326" xr:uid="{00000000-0005-0000-0000-0000F8870000}"/>
    <cellStyle name="Note 4 4 3 2 4 3 8" xfId="25139" xr:uid="{00000000-0005-0000-0000-0000F9870000}"/>
    <cellStyle name="Note 4 4 3 2 4 3 9" xfId="29026" xr:uid="{00000000-0005-0000-0000-0000FA870000}"/>
    <cellStyle name="Note 4 4 3 2 4 4" xfId="2670" xr:uid="{00000000-0005-0000-0000-0000FB870000}"/>
    <cellStyle name="Note 4 4 3 2 4 4 10" xfId="37722" xr:uid="{00000000-0005-0000-0000-0000FC870000}"/>
    <cellStyle name="Note 4 4 3 2 4 4 11" xfId="41736" xr:uid="{00000000-0005-0000-0000-0000FD870000}"/>
    <cellStyle name="Note 4 4 3 2 4 4 12" xfId="45521" xr:uid="{00000000-0005-0000-0000-0000FE870000}"/>
    <cellStyle name="Note 4 4 3 2 4 4 2" xfId="6558" xr:uid="{00000000-0005-0000-0000-0000FF870000}"/>
    <cellStyle name="Note 4 4 3 2 4 4 3" xfId="10982" xr:uid="{00000000-0005-0000-0000-000000880000}"/>
    <cellStyle name="Note 4 4 3 2 4 4 4" xfId="14826" xr:uid="{00000000-0005-0000-0000-000001880000}"/>
    <cellStyle name="Note 4 4 3 2 4 4 5" xfId="18664" xr:uid="{00000000-0005-0000-0000-000002880000}"/>
    <cellStyle name="Note 4 4 3 2 4 4 6" xfId="22595" xr:uid="{00000000-0005-0000-0000-000003880000}"/>
    <cellStyle name="Note 4 4 3 2 4 4 7" xfId="26415" xr:uid="{00000000-0005-0000-0000-000004880000}"/>
    <cellStyle name="Note 4 4 3 2 4 4 8" xfId="30294" xr:uid="{00000000-0005-0000-0000-000005880000}"/>
    <cellStyle name="Note 4 4 3 2 4 4 9" xfId="33959" xr:uid="{00000000-0005-0000-0000-000006880000}"/>
    <cellStyle name="Note 4 4 3 2 4 5" xfId="4634" xr:uid="{00000000-0005-0000-0000-000007880000}"/>
    <cellStyle name="Note 4 4 3 2 4 6" xfId="8976" xr:uid="{00000000-0005-0000-0000-000008880000}"/>
    <cellStyle name="Note 4 4 3 2 4 7" xfId="12813" xr:uid="{00000000-0005-0000-0000-000009880000}"/>
    <cellStyle name="Note 4 4 3 2 4 8" xfId="16643" xr:uid="{00000000-0005-0000-0000-00000A880000}"/>
    <cellStyle name="Note 4 4 3 2 4 9" xfId="20580" xr:uid="{00000000-0005-0000-0000-00000B880000}"/>
    <cellStyle name="Note 4 4 3 2 5" xfId="604" xr:uid="{00000000-0005-0000-0000-00000C880000}"/>
    <cellStyle name="Note 4 4 3 2 5 10" xfId="16744" xr:uid="{00000000-0005-0000-0000-00000D880000}"/>
    <cellStyle name="Note 4 4 3 2 5 11" xfId="25804" xr:uid="{00000000-0005-0000-0000-00000E880000}"/>
    <cellStyle name="Note 4 4 3 2 5 12" xfId="31243" xr:uid="{00000000-0005-0000-0000-00000F880000}"/>
    <cellStyle name="Note 4 4 3 2 5 13" xfId="33379" xr:uid="{00000000-0005-0000-0000-000010880000}"/>
    <cellStyle name="Note 4 4 3 2 5 14" xfId="39699" xr:uid="{00000000-0005-0000-0000-000011880000}"/>
    <cellStyle name="Note 4 4 3 2 5 15" xfId="39575" xr:uid="{00000000-0005-0000-0000-000012880000}"/>
    <cellStyle name="Note 4 4 3 2 5 2" xfId="984" xr:uid="{00000000-0005-0000-0000-000013880000}"/>
    <cellStyle name="Note 4 4 3 2 5 2 10" xfId="28595" xr:uid="{00000000-0005-0000-0000-000014880000}"/>
    <cellStyle name="Note 4 4 3 2 5 2 11" xfId="32283" xr:uid="{00000000-0005-0000-0000-000015880000}"/>
    <cellStyle name="Note 4 4 3 2 5 2 12" xfId="36042" xr:uid="{00000000-0005-0000-0000-000016880000}"/>
    <cellStyle name="Note 4 4 3 2 5 2 13" xfId="40047" xr:uid="{00000000-0005-0000-0000-000017880000}"/>
    <cellStyle name="Note 4 4 3 2 5 2 14" xfId="43868" xr:uid="{00000000-0005-0000-0000-000018880000}"/>
    <cellStyle name="Note 4 4 3 2 5 2 2" xfId="1713" xr:uid="{00000000-0005-0000-0000-000019880000}"/>
    <cellStyle name="Note 4 4 3 2 5 2 2 10" xfId="33000" xr:uid="{00000000-0005-0000-0000-00001A880000}"/>
    <cellStyle name="Note 4 4 3 2 5 2 2 11" xfId="36770" xr:uid="{00000000-0005-0000-0000-00001B880000}"/>
    <cellStyle name="Note 4 4 3 2 5 2 2 12" xfId="40761" xr:uid="{00000000-0005-0000-0000-00001C880000}"/>
    <cellStyle name="Note 4 4 3 2 5 2 2 13" xfId="44592" xr:uid="{00000000-0005-0000-0000-00001D880000}"/>
    <cellStyle name="Note 4 4 3 2 5 2 2 2" xfId="3703" xr:uid="{00000000-0005-0000-0000-00001E880000}"/>
    <cellStyle name="Note 4 4 3 2 5 2 2 2 10" xfId="38754" xr:uid="{00000000-0005-0000-0000-00001F880000}"/>
    <cellStyle name="Note 4 4 3 2 5 2 2 2 11" xfId="42765" xr:uid="{00000000-0005-0000-0000-000020880000}"/>
    <cellStyle name="Note 4 4 3 2 5 2 2 2 12" xfId="46530" xr:uid="{00000000-0005-0000-0000-000021880000}"/>
    <cellStyle name="Note 4 4 3 2 5 2 2 2 2" xfId="7570" xr:uid="{00000000-0005-0000-0000-000022880000}"/>
    <cellStyle name="Note 4 4 3 2 5 2 2 2 3" xfId="12005" xr:uid="{00000000-0005-0000-0000-000023880000}"/>
    <cellStyle name="Note 4 4 3 2 5 2 2 2 4" xfId="15850" xr:uid="{00000000-0005-0000-0000-000024880000}"/>
    <cellStyle name="Note 4 4 3 2 5 2 2 2 5" xfId="19697" xr:uid="{00000000-0005-0000-0000-000025880000}"/>
    <cellStyle name="Note 4 4 3 2 5 2 2 2 6" xfId="23613" xr:uid="{00000000-0005-0000-0000-000026880000}"/>
    <cellStyle name="Note 4 4 3 2 5 2 2 2 7" xfId="27447" xr:uid="{00000000-0005-0000-0000-000027880000}"/>
    <cellStyle name="Note 4 4 3 2 5 2 2 2 8" xfId="31311" xr:uid="{00000000-0005-0000-0000-000028880000}"/>
    <cellStyle name="Note 4 4 3 2 5 2 2 2 9" xfId="34968" xr:uid="{00000000-0005-0000-0000-000029880000}"/>
    <cellStyle name="Note 4 4 3 2 5 2 2 3" xfId="5646" xr:uid="{00000000-0005-0000-0000-00002A880000}"/>
    <cellStyle name="Note 4 4 3 2 5 2 2 4" xfId="10004" xr:uid="{00000000-0005-0000-0000-00002B880000}"/>
    <cellStyle name="Note 4 4 3 2 5 2 2 5" xfId="13850" xr:uid="{00000000-0005-0000-0000-00002C880000}"/>
    <cellStyle name="Note 4 4 3 2 5 2 2 6" xfId="17679" xr:uid="{00000000-0005-0000-0000-00002D880000}"/>
    <cellStyle name="Note 4 4 3 2 5 2 2 7" xfId="21618" xr:uid="{00000000-0005-0000-0000-00002E880000}"/>
    <cellStyle name="Note 4 4 3 2 5 2 2 8" xfId="25431" xr:uid="{00000000-0005-0000-0000-00002F880000}"/>
    <cellStyle name="Note 4 4 3 2 5 2 2 9" xfId="29318" xr:uid="{00000000-0005-0000-0000-000030880000}"/>
    <cellStyle name="Note 4 4 3 2 5 2 3" xfId="2974" xr:uid="{00000000-0005-0000-0000-000031880000}"/>
    <cellStyle name="Note 4 4 3 2 5 2 3 10" xfId="38026" xr:uid="{00000000-0005-0000-0000-000032880000}"/>
    <cellStyle name="Note 4 4 3 2 5 2 3 11" xfId="42038" xr:uid="{00000000-0005-0000-0000-000033880000}"/>
    <cellStyle name="Note 4 4 3 2 5 2 3 12" xfId="45813" xr:uid="{00000000-0005-0000-0000-000034880000}"/>
    <cellStyle name="Note 4 4 3 2 5 2 3 2" xfId="6852" xr:uid="{00000000-0005-0000-0000-000035880000}"/>
    <cellStyle name="Note 4 4 3 2 5 2 3 3" xfId="11280" xr:uid="{00000000-0005-0000-0000-000036880000}"/>
    <cellStyle name="Note 4 4 3 2 5 2 3 4" xfId="15125" xr:uid="{00000000-0005-0000-0000-000037880000}"/>
    <cellStyle name="Note 4 4 3 2 5 2 3 5" xfId="18968" xr:uid="{00000000-0005-0000-0000-000038880000}"/>
    <cellStyle name="Note 4 4 3 2 5 2 3 6" xfId="22892" xr:uid="{00000000-0005-0000-0000-000039880000}"/>
    <cellStyle name="Note 4 4 3 2 5 2 3 7" xfId="26719" xr:uid="{00000000-0005-0000-0000-00003A880000}"/>
    <cellStyle name="Note 4 4 3 2 5 2 3 8" xfId="30593" xr:uid="{00000000-0005-0000-0000-00003B880000}"/>
    <cellStyle name="Note 4 4 3 2 5 2 3 9" xfId="34251" xr:uid="{00000000-0005-0000-0000-00003C880000}"/>
    <cellStyle name="Note 4 4 3 2 5 2 4" xfId="4928" xr:uid="{00000000-0005-0000-0000-00003D880000}"/>
    <cellStyle name="Note 4 4 3 2 5 2 5" xfId="9283" xr:uid="{00000000-0005-0000-0000-00003E880000}"/>
    <cellStyle name="Note 4 4 3 2 5 2 6" xfId="13124" xr:uid="{00000000-0005-0000-0000-00003F880000}"/>
    <cellStyle name="Note 4 4 3 2 5 2 7" xfId="16950" xr:uid="{00000000-0005-0000-0000-000040880000}"/>
    <cellStyle name="Note 4 4 3 2 5 2 8" xfId="20892" xr:uid="{00000000-0005-0000-0000-000041880000}"/>
    <cellStyle name="Note 4 4 3 2 5 2 9" xfId="24707" xr:uid="{00000000-0005-0000-0000-000042880000}"/>
    <cellStyle name="Note 4 4 3 2 5 3" xfId="1360" xr:uid="{00000000-0005-0000-0000-000043880000}"/>
    <cellStyle name="Note 4 4 3 2 5 3 10" xfId="32647" xr:uid="{00000000-0005-0000-0000-000044880000}"/>
    <cellStyle name="Note 4 4 3 2 5 3 11" xfId="36417" xr:uid="{00000000-0005-0000-0000-000045880000}"/>
    <cellStyle name="Note 4 4 3 2 5 3 12" xfId="40408" xr:uid="{00000000-0005-0000-0000-000046880000}"/>
    <cellStyle name="Note 4 4 3 2 5 3 13" xfId="44239" xr:uid="{00000000-0005-0000-0000-000047880000}"/>
    <cellStyle name="Note 4 4 3 2 5 3 2" xfId="3350" xr:uid="{00000000-0005-0000-0000-000048880000}"/>
    <cellStyle name="Note 4 4 3 2 5 3 2 10" xfId="38401" xr:uid="{00000000-0005-0000-0000-000049880000}"/>
    <cellStyle name="Note 4 4 3 2 5 3 2 11" xfId="42412" xr:uid="{00000000-0005-0000-0000-00004A880000}"/>
    <cellStyle name="Note 4 4 3 2 5 3 2 12" xfId="46177" xr:uid="{00000000-0005-0000-0000-00004B880000}"/>
    <cellStyle name="Note 4 4 3 2 5 3 2 2" xfId="7217" xr:uid="{00000000-0005-0000-0000-00004C880000}"/>
    <cellStyle name="Note 4 4 3 2 5 3 2 3" xfId="11652" xr:uid="{00000000-0005-0000-0000-00004D880000}"/>
    <cellStyle name="Note 4 4 3 2 5 3 2 4" xfId="15497" xr:uid="{00000000-0005-0000-0000-00004E880000}"/>
    <cellStyle name="Note 4 4 3 2 5 3 2 5" xfId="19344" xr:uid="{00000000-0005-0000-0000-00004F880000}"/>
    <cellStyle name="Note 4 4 3 2 5 3 2 6" xfId="23260" xr:uid="{00000000-0005-0000-0000-000050880000}"/>
    <cellStyle name="Note 4 4 3 2 5 3 2 7" xfId="27094" xr:uid="{00000000-0005-0000-0000-000051880000}"/>
    <cellStyle name="Note 4 4 3 2 5 3 2 8" xfId="30962" xr:uid="{00000000-0005-0000-0000-000052880000}"/>
    <cellStyle name="Note 4 4 3 2 5 3 2 9" xfId="34615" xr:uid="{00000000-0005-0000-0000-000053880000}"/>
    <cellStyle name="Note 4 4 3 2 5 3 3" xfId="5293" xr:uid="{00000000-0005-0000-0000-000054880000}"/>
    <cellStyle name="Note 4 4 3 2 5 3 4" xfId="9651" xr:uid="{00000000-0005-0000-0000-000055880000}"/>
    <cellStyle name="Note 4 4 3 2 5 3 5" xfId="13497" xr:uid="{00000000-0005-0000-0000-000056880000}"/>
    <cellStyle name="Note 4 4 3 2 5 3 6" xfId="17326" xr:uid="{00000000-0005-0000-0000-000057880000}"/>
    <cellStyle name="Note 4 4 3 2 5 3 7" xfId="21265" xr:uid="{00000000-0005-0000-0000-000058880000}"/>
    <cellStyle name="Note 4 4 3 2 5 3 8" xfId="25078" xr:uid="{00000000-0005-0000-0000-000059880000}"/>
    <cellStyle name="Note 4 4 3 2 5 3 9" xfId="28965" xr:uid="{00000000-0005-0000-0000-00005A880000}"/>
    <cellStyle name="Note 4 4 3 2 5 4" xfId="2607" xr:uid="{00000000-0005-0000-0000-00005B880000}"/>
    <cellStyle name="Note 4 4 3 2 5 4 10" xfId="37659" xr:uid="{00000000-0005-0000-0000-00005C880000}"/>
    <cellStyle name="Note 4 4 3 2 5 4 11" xfId="41673" xr:uid="{00000000-0005-0000-0000-00005D880000}"/>
    <cellStyle name="Note 4 4 3 2 5 4 12" xfId="45460" xr:uid="{00000000-0005-0000-0000-00005E880000}"/>
    <cellStyle name="Note 4 4 3 2 5 4 2" xfId="6497" xr:uid="{00000000-0005-0000-0000-00005F880000}"/>
    <cellStyle name="Note 4 4 3 2 5 4 3" xfId="10921" xr:uid="{00000000-0005-0000-0000-000060880000}"/>
    <cellStyle name="Note 4 4 3 2 5 4 4" xfId="14765" xr:uid="{00000000-0005-0000-0000-000061880000}"/>
    <cellStyle name="Note 4 4 3 2 5 4 5" xfId="18601" xr:uid="{00000000-0005-0000-0000-000062880000}"/>
    <cellStyle name="Note 4 4 3 2 5 4 6" xfId="22534" xr:uid="{00000000-0005-0000-0000-000063880000}"/>
    <cellStyle name="Note 4 4 3 2 5 4 7" xfId="26352" xr:uid="{00000000-0005-0000-0000-000064880000}"/>
    <cellStyle name="Note 4 4 3 2 5 4 8" xfId="30231" xr:uid="{00000000-0005-0000-0000-000065880000}"/>
    <cellStyle name="Note 4 4 3 2 5 4 9" xfId="33898" xr:uid="{00000000-0005-0000-0000-000066880000}"/>
    <cellStyle name="Note 4 4 3 2 5 5" xfId="4573" xr:uid="{00000000-0005-0000-0000-000067880000}"/>
    <cellStyle name="Note 4 4 3 2 5 6" xfId="8913" xr:uid="{00000000-0005-0000-0000-000068880000}"/>
    <cellStyle name="Note 4 4 3 2 5 7" xfId="10377" xr:uid="{00000000-0005-0000-0000-000069880000}"/>
    <cellStyle name="Note 4 4 3 2 5 8" xfId="14243" xr:uid="{00000000-0005-0000-0000-00006A880000}"/>
    <cellStyle name="Note 4 4 3 2 5 9" xfId="20517" xr:uid="{00000000-0005-0000-0000-00006B880000}"/>
    <cellStyle name="Note 4 4 3 2 6" xfId="741" xr:uid="{00000000-0005-0000-0000-00006C880000}"/>
    <cellStyle name="Note 4 4 3 2 6 10" xfId="24474" xr:uid="{00000000-0005-0000-0000-00006D880000}"/>
    <cellStyle name="Note 4 4 3 2 6 11" xfId="28366" xr:uid="{00000000-0005-0000-0000-00006E880000}"/>
    <cellStyle name="Note 4 4 3 2 6 12" xfId="29699" xr:uid="{00000000-0005-0000-0000-00006F880000}"/>
    <cellStyle name="Note 4 4 3 2 6 13" xfId="35812" xr:uid="{00000000-0005-0000-0000-000070880000}"/>
    <cellStyle name="Note 4 4 3 2 6 14" xfId="39831" xr:uid="{00000000-0005-0000-0000-000071880000}"/>
    <cellStyle name="Note 4 4 3 2 6 15" xfId="43638" xr:uid="{00000000-0005-0000-0000-000072880000}"/>
    <cellStyle name="Note 4 4 3 2 6 2" xfId="1119" xr:uid="{00000000-0005-0000-0000-000073880000}"/>
    <cellStyle name="Note 4 4 3 2 6 2 10" xfId="28728" xr:uid="{00000000-0005-0000-0000-000074880000}"/>
    <cellStyle name="Note 4 4 3 2 6 2 11" xfId="32416" xr:uid="{00000000-0005-0000-0000-000075880000}"/>
    <cellStyle name="Note 4 4 3 2 6 2 12" xfId="36177" xr:uid="{00000000-0005-0000-0000-000076880000}"/>
    <cellStyle name="Note 4 4 3 2 6 2 13" xfId="40178" xr:uid="{00000000-0005-0000-0000-000077880000}"/>
    <cellStyle name="Note 4 4 3 2 6 2 14" xfId="44003" xr:uid="{00000000-0005-0000-0000-000078880000}"/>
    <cellStyle name="Note 4 4 3 2 6 2 2" xfId="1846" xr:uid="{00000000-0005-0000-0000-000079880000}"/>
    <cellStyle name="Note 4 4 3 2 6 2 2 10" xfId="33133" xr:uid="{00000000-0005-0000-0000-00007A880000}"/>
    <cellStyle name="Note 4 4 3 2 6 2 2 11" xfId="36903" xr:uid="{00000000-0005-0000-0000-00007B880000}"/>
    <cellStyle name="Note 4 4 3 2 6 2 2 12" xfId="40894" xr:uid="{00000000-0005-0000-0000-00007C880000}"/>
    <cellStyle name="Note 4 4 3 2 6 2 2 13" xfId="44725" xr:uid="{00000000-0005-0000-0000-00007D880000}"/>
    <cellStyle name="Note 4 4 3 2 6 2 2 2" xfId="3836" xr:uid="{00000000-0005-0000-0000-00007E880000}"/>
    <cellStyle name="Note 4 4 3 2 6 2 2 2 10" xfId="38887" xr:uid="{00000000-0005-0000-0000-00007F880000}"/>
    <cellStyle name="Note 4 4 3 2 6 2 2 2 11" xfId="42898" xr:uid="{00000000-0005-0000-0000-000080880000}"/>
    <cellStyle name="Note 4 4 3 2 6 2 2 2 12" xfId="46663" xr:uid="{00000000-0005-0000-0000-000081880000}"/>
    <cellStyle name="Note 4 4 3 2 6 2 2 2 2" xfId="7703" xr:uid="{00000000-0005-0000-0000-000082880000}"/>
    <cellStyle name="Note 4 4 3 2 6 2 2 2 3" xfId="12138" xr:uid="{00000000-0005-0000-0000-000083880000}"/>
    <cellStyle name="Note 4 4 3 2 6 2 2 2 4" xfId="15983" xr:uid="{00000000-0005-0000-0000-000084880000}"/>
    <cellStyle name="Note 4 4 3 2 6 2 2 2 5" xfId="19830" xr:uid="{00000000-0005-0000-0000-000085880000}"/>
    <cellStyle name="Note 4 4 3 2 6 2 2 2 6" xfId="23746" xr:uid="{00000000-0005-0000-0000-000086880000}"/>
    <cellStyle name="Note 4 4 3 2 6 2 2 2 7" xfId="27580" xr:uid="{00000000-0005-0000-0000-000087880000}"/>
    <cellStyle name="Note 4 4 3 2 6 2 2 2 8" xfId="31443" xr:uid="{00000000-0005-0000-0000-000088880000}"/>
    <cellStyle name="Note 4 4 3 2 6 2 2 2 9" xfId="35101" xr:uid="{00000000-0005-0000-0000-000089880000}"/>
    <cellStyle name="Note 4 4 3 2 6 2 2 3" xfId="5779" xr:uid="{00000000-0005-0000-0000-00008A880000}"/>
    <cellStyle name="Note 4 4 3 2 6 2 2 4" xfId="10137" xr:uid="{00000000-0005-0000-0000-00008B880000}"/>
    <cellStyle name="Note 4 4 3 2 6 2 2 5" xfId="13983" xr:uid="{00000000-0005-0000-0000-00008C880000}"/>
    <cellStyle name="Note 4 4 3 2 6 2 2 6" xfId="17812" xr:uid="{00000000-0005-0000-0000-00008D880000}"/>
    <cellStyle name="Note 4 4 3 2 6 2 2 7" xfId="21751" xr:uid="{00000000-0005-0000-0000-00008E880000}"/>
    <cellStyle name="Note 4 4 3 2 6 2 2 8" xfId="25564" xr:uid="{00000000-0005-0000-0000-00008F880000}"/>
    <cellStyle name="Note 4 4 3 2 6 2 2 9" xfId="29451" xr:uid="{00000000-0005-0000-0000-000090880000}"/>
    <cellStyle name="Note 4 4 3 2 6 2 3" xfId="3109" xr:uid="{00000000-0005-0000-0000-000091880000}"/>
    <cellStyle name="Note 4 4 3 2 6 2 3 10" xfId="38161" xr:uid="{00000000-0005-0000-0000-000092880000}"/>
    <cellStyle name="Note 4 4 3 2 6 2 3 11" xfId="42173" xr:uid="{00000000-0005-0000-0000-000093880000}"/>
    <cellStyle name="Note 4 4 3 2 6 2 3 12" xfId="45946" xr:uid="{00000000-0005-0000-0000-000094880000}"/>
    <cellStyle name="Note 4 4 3 2 6 2 3 2" xfId="6985" xr:uid="{00000000-0005-0000-0000-000095880000}"/>
    <cellStyle name="Note 4 4 3 2 6 2 3 3" xfId="11414" xr:uid="{00000000-0005-0000-0000-000096880000}"/>
    <cellStyle name="Note 4 4 3 2 6 2 3 4" xfId="15258" xr:uid="{00000000-0005-0000-0000-000097880000}"/>
    <cellStyle name="Note 4 4 3 2 6 2 3 5" xfId="19103" xr:uid="{00000000-0005-0000-0000-000098880000}"/>
    <cellStyle name="Note 4 4 3 2 6 2 3 6" xfId="23025" xr:uid="{00000000-0005-0000-0000-000099880000}"/>
    <cellStyle name="Note 4 4 3 2 6 2 3 7" xfId="26854" xr:uid="{00000000-0005-0000-0000-00009A880000}"/>
    <cellStyle name="Note 4 4 3 2 6 2 3 8" xfId="30726" xr:uid="{00000000-0005-0000-0000-00009B880000}"/>
    <cellStyle name="Note 4 4 3 2 6 2 3 9" xfId="34384" xr:uid="{00000000-0005-0000-0000-00009C880000}"/>
    <cellStyle name="Note 4 4 3 2 6 2 4" xfId="5061" xr:uid="{00000000-0005-0000-0000-00009D880000}"/>
    <cellStyle name="Note 4 4 3 2 6 2 5" xfId="9417" xr:uid="{00000000-0005-0000-0000-00009E880000}"/>
    <cellStyle name="Note 4 4 3 2 6 2 6" xfId="13257" xr:uid="{00000000-0005-0000-0000-00009F880000}"/>
    <cellStyle name="Note 4 4 3 2 6 2 7" xfId="17085" xr:uid="{00000000-0005-0000-0000-0000A0880000}"/>
    <cellStyle name="Note 4 4 3 2 6 2 8" xfId="21027" xr:uid="{00000000-0005-0000-0000-0000A1880000}"/>
    <cellStyle name="Note 4 4 3 2 6 2 9" xfId="24841" xr:uid="{00000000-0005-0000-0000-0000A2880000}"/>
    <cellStyle name="Note 4 4 3 2 6 3" xfId="1493" xr:uid="{00000000-0005-0000-0000-0000A3880000}"/>
    <cellStyle name="Note 4 4 3 2 6 3 10" xfId="32780" xr:uid="{00000000-0005-0000-0000-0000A4880000}"/>
    <cellStyle name="Note 4 4 3 2 6 3 11" xfId="36550" xr:uid="{00000000-0005-0000-0000-0000A5880000}"/>
    <cellStyle name="Note 4 4 3 2 6 3 12" xfId="40541" xr:uid="{00000000-0005-0000-0000-0000A6880000}"/>
    <cellStyle name="Note 4 4 3 2 6 3 13" xfId="44372" xr:uid="{00000000-0005-0000-0000-0000A7880000}"/>
    <cellStyle name="Note 4 4 3 2 6 3 2" xfId="3483" xr:uid="{00000000-0005-0000-0000-0000A8880000}"/>
    <cellStyle name="Note 4 4 3 2 6 3 2 10" xfId="38534" xr:uid="{00000000-0005-0000-0000-0000A9880000}"/>
    <cellStyle name="Note 4 4 3 2 6 3 2 11" xfId="42545" xr:uid="{00000000-0005-0000-0000-0000AA880000}"/>
    <cellStyle name="Note 4 4 3 2 6 3 2 12" xfId="46310" xr:uid="{00000000-0005-0000-0000-0000AB880000}"/>
    <cellStyle name="Note 4 4 3 2 6 3 2 2" xfId="7350" xr:uid="{00000000-0005-0000-0000-0000AC880000}"/>
    <cellStyle name="Note 4 4 3 2 6 3 2 3" xfId="11785" xr:uid="{00000000-0005-0000-0000-0000AD880000}"/>
    <cellStyle name="Note 4 4 3 2 6 3 2 4" xfId="15630" xr:uid="{00000000-0005-0000-0000-0000AE880000}"/>
    <cellStyle name="Note 4 4 3 2 6 3 2 5" xfId="19477" xr:uid="{00000000-0005-0000-0000-0000AF880000}"/>
    <cellStyle name="Note 4 4 3 2 6 3 2 6" xfId="23393" xr:uid="{00000000-0005-0000-0000-0000B0880000}"/>
    <cellStyle name="Note 4 4 3 2 6 3 2 7" xfId="27227" xr:uid="{00000000-0005-0000-0000-0000B1880000}"/>
    <cellStyle name="Note 4 4 3 2 6 3 2 8" xfId="31094" xr:uid="{00000000-0005-0000-0000-0000B2880000}"/>
    <cellStyle name="Note 4 4 3 2 6 3 2 9" xfId="34748" xr:uid="{00000000-0005-0000-0000-0000B3880000}"/>
    <cellStyle name="Note 4 4 3 2 6 3 3" xfId="5426" xr:uid="{00000000-0005-0000-0000-0000B4880000}"/>
    <cellStyle name="Note 4 4 3 2 6 3 4" xfId="9784" xr:uid="{00000000-0005-0000-0000-0000B5880000}"/>
    <cellStyle name="Note 4 4 3 2 6 3 5" xfId="13630" xr:uid="{00000000-0005-0000-0000-0000B6880000}"/>
    <cellStyle name="Note 4 4 3 2 6 3 6" xfId="17459" xr:uid="{00000000-0005-0000-0000-0000B7880000}"/>
    <cellStyle name="Note 4 4 3 2 6 3 7" xfId="21398" xr:uid="{00000000-0005-0000-0000-0000B8880000}"/>
    <cellStyle name="Note 4 4 3 2 6 3 8" xfId="25211" xr:uid="{00000000-0005-0000-0000-0000B9880000}"/>
    <cellStyle name="Note 4 4 3 2 6 3 9" xfId="29098" xr:uid="{00000000-0005-0000-0000-0000BA880000}"/>
    <cellStyle name="Note 4 4 3 2 6 4" xfId="2744" xr:uid="{00000000-0005-0000-0000-0000BB880000}"/>
    <cellStyle name="Note 4 4 3 2 6 4 10" xfId="37796" xr:uid="{00000000-0005-0000-0000-0000BC880000}"/>
    <cellStyle name="Note 4 4 3 2 6 4 11" xfId="41809" xr:uid="{00000000-0005-0000-0000-0000BD880000}"/>
    <cellStyle name="Note 4 4 3 2 6 4 12" xfId="45593" xr:uid="{00000000-0005-0000-0000-0000BE880000}"/>
    <cellStyle name="Note 4 4 3 2 6 4 2" xfId="6631" xr:uid="{00000000-0005-0000-0000-0000BF880000}"/>
    <cellStyle name="Note 4 4 3 2 6 4 3" xfId="11054" xr:uid="{00000000-0005-0000-0000-0000C0880000}"/>
    <cellStyle name="Note 4 4 3 2 6 4 4" xfId="14900" xr:uid="{00000000-0005-0000-0000-0000C1880000}"/>
    <cellStyle name="Note 4 4 3 2 6 4 5" xfId="18738" xr:uid="{00000000-0005-0000-0000-0000C2880000}"/>
    <cellStyle name="Note 4 4 3 2 6 4 6" xfId="22669" xr:uid="{00000000-0005-0000-0000-0000C3880000}"/>
    <cellStyle name="Note 4 4 3 2 6 4 7" xfId="26489" xr:uid="{00000000-0005-0000-0000-0000C4880000}"/>
    <cellStyle name="Note 4 4 3 2 6 4 8" xfId="30367" xr:uid="{00000000-0005-0000-0000-0000C5880000}"/>
    <cellStyle name="Note 4 4 3 2 6 4 9" xfId="34031" xr:uid="{00000000-0005-0000-0000-0000C6880000}"/>
    <cellStyle name="Note 4 4 3 2 6 5" xfId="4707" xr:uid="{00000000-0005-0000-0000-0000C7880000}"/>
    <cellStyle name="Note 4 4 3 2 6 6" xfId="9049" xr:uid="{00000000-0005-0000-0000-0000C8880000}"/>
    <cellStyle name="Note 4 4 3 2 6 7" xfId="12887" xr:uid="{00000000-0005-0000-0000-0000C9880000}"/>
    <cellStyle name="Note 4 4 3 2 6 8" xfId="16717" xr:uid="{00000000-0005-0000-0000-0000CA880000}"/>
    <cellStyle name="Note 4 4 3 2 6 9" xfId="20654" xr:uid="{00000000-0005-0000-0000-0000CB880000}"/>
    <cellStyle name="Note 4 4 3 2 7" xfId="863" xr:uid="{00000000-0005-0000-0000-0000CC880000}"/>
    <cellStyle name="Note 4 4 3 2 7 10" xfId="24587" xr:uid="{00000000-0005-0000-0000-0000CD880000}"/>
    <cellStyle name="Note 4 4 3 2 7 11" xfId="28478" xr:uid="{00000000-0005-0000-0000-0000CE880000}"/>
    <cellStyle name="Note 4 4 3 2 7 12" xfId="32164" xr:uid="{00000000-0005-0000-0000-0000CF880000}"/>
    <cellStyle name="Note 4 4 3 2 7 13" xfId="35921" xr:uid="{00000000-0005-0000-0000-0000D0880000}"/>
    <cellStyle name="Note 4 4 3 2 7 14" xfId="39932" xr:uid="{00000000-0005-0000-0000-0000D1880000}"/>
    <cellStyle name="Note 4 4 3 2 7 15" xfId="43747" xr:uid="{00000000-0005-0000-0000-0000D2880000}"/>
    <cellStyle name="Note 4 4 3 2 7 2" xfId="1202" xr:uid="{00000000-0005-0000-0000-0000D3880000}"/>
    <cellStyle name="Note 4 4 3 2 7 2 10" xfId="28811" xr:uid="{00000000-0005-0000-0000-0000D4880000}"/>
    <cellStyle name="Note 4 4 3 2 7 2 11" xfId="32494" xr:uid="{00000000-0005-0000-0000-0000D5880000}"/>
    <cellStyle name="Note 4 4 3 2 7 2 12" xfId="36260" xr:uid="{00000000-0005-0000-0000-0000D6880000}"/>
    <cellStyle name="Note 4 4 3 2 7 2 13" xfId="40254" xr:uid="{00000000-0005-0000-0000-0000D7880000}"/>
    <cellStyle name="Note 4 4 3 2 7 2 14" xfId="44086" xr:uid="{00000000-0005-0000-0000-0000D8880000}"/>
    <cellStyle name="Note 4 4 3 2 7 2 2" xfId="1924" xr:uid="{00000000-0005-0000-0000-0000D9880000}"/>
    <cellStyle name="Note 4 4 3 2 7 2 2 10" xfId="33211" xr:uid="{00000000-0005-0000-0000-0000DA880000}"/>
    <cellStyle name="Note 4 4 3 2 7 2 2 11" xfId="36981" xr:uid="{00000000-0005-0000-0000-0000DB880000}"/>
    <cellStyle name="Note 4 4 3 2 7 2 2 12" xfId="40972" xr:uid="{00000000-0005-0000-0000-0000DC880000}"/>
    <cellStyle name="Note 4 4 3 2 7 2 2 13" xfId="44803" xr:uid="{00000000-0005-0000-0000-0000DD880000}"/>
    <cellStyle name="Note 4 4 3 2 7 2 2 2" xfId="3914" xr:uid="{00000000-0005-0000-0000-0000DE880000}"/>
    <cellStyle name="Note 4 4 3 2 7 2 2 2 10" xfId="38965" xr:uid="{00000000-0005-0000-0000-0000DF880000}"/>
    <cellStyle name="Note 4 4 3 2 7 2 2 2 11" xfId="42976" xr:uid="{00000000-0005-0000-0000-0000E0880000}"/>
    <cellStyle name="Note 4 4 3 2 7 2 2 2 12" xfId="46741" xr:uid="{00000000-0005-0000-0000-0000E1880000}"/>
    <cellStyle name="Note 4 4 3 2 7 2 2 2 2" xfId="7781" xr:uid="{00000000-0005-0000-0000-0000E2880000}"/>
    <cellStyle name="Note 4 4 3 2 7 2 2 2 3" xfId="12216" xr:uid="{00000000-0005-0000-0000-0000E3880000}"/>
    <cellStyle name="Note 4 4 3 2 7 2 2 2 4" xfId="16061" xr:uid="{00000000-0005-0000-0000-0000E4880000}"/>
    <cellStyle name="Note 4 4 3 2 7 2 2 2 5" xfId="19908" xr:uid="{00000000-0005-0000-0000-0000E5880000}"/>
    <cellStyle name="Note 4 4 3 2 7 2 2 2 6" xfId="23824" xr:uid="{00000000-0005-0000-0000-0000E6880000}"/>
    <cellStyle name="Note 4 4 3 2 7 2 2 2 7" xfId="27658" xr:uid="{00000000-0005-0000-0000-0000E7880000}"/>
    <cellStyle name="Note 4 4 3 2 7 2 2 2 8" xfId="31520" xr:uid="{00000000-0005-0000-0000-0000E8880000}"/>
    <cellStyle name="Note 4 4 3 2 7 2 2 2 9" xfId="35179" xr:uid="{00000000-0005-0000-0000-0000E9880000}"/>
    <cellStyle name="Note 4 4 3 2 7 2 2 3" xfId="5857" xr:uid="{00000000-0005-0000-0000-0000EA880000}"/>
    <cellStyle name="Note 4 4 3 2 7 2 2 4" xfId="10215" xr:uid="{00000000-0005-0000-0000-0000EB880000}"/>
    <cellStyle name="Note 4 4 3 2 7 2 2 5" xfId="14061" xr:uid="{00000000-0005-0000-0000-0000EC880000}"/>
    <cellStyle name="Note 4 4 3 2 7 2 2 6" xfId="17890" xr:uid="{00000000-0005-0000-0000-0000ED880000}"/>
    <cellStyle name="Note 4 4 3 2 7 2 2 7" xfId="21829" xr:uid="{00000000-0005-0000-0000-0000EE880000}"/>
    <cellStyle name="Note 4 4 3 2 7 2 2 8" xfId="25642" xr:uid="{00000000-0005-0000-0000-0000EF880000}"/>
    <cellStyle name="Note 4 4 3 2 7 2 2 9" xfId="29529" xr:uid="{00000000-0005-0000-0000-0000F0880000}"/>
    <cellStyle name="Note 4 4 3 2 7 2 3" xfId="3192" xr:uid="{00000000-0005-0000-0000-0000F1880000}"/>
    <cellStyle name="Note 4 4 3 2 7 2 3 10" xfId="38244" xr:uid="{00000000-0005-0000-0000-0000F2880000}"/>
    <cellStyle name="Note 4 4 3 2 7 2 3 11" xfId="42255" xr:uid="{00000000-0005-0000-0000-0000F3880000}"/>
    <cellStyle name="Note 4 4 3 2 7 2 3 12" xfId="46024" xr:uid="{00000000-0005-0000-0000-0000F4880000}"/>
    <cellStyle name="Note 4 4 3 2 7 2 3 2" xfId="7064" xr:uid="{00000000-0005-0000-0000-0000F5880000}"/>
    <cellStyle name="Note 4 4 3 2 7 2 3 3" xfId="11496" xr:uid="{00000000-0005-0000-0000-0000F6880000}"/>
    <cellStyle name="Note 4 4 3 2 7 2 3 4" xfId="15340" xr:uid="{00000000-0005-0000-0000-0000F7880000}"/>
    <cellStyle name="Note 4 4 3 2 7 2 3 5" xfId="19186" xr:uid="{00000000-0005-0000-0000-0000F8880000}"/>
    <cellStyle name="Note 4 4 3 2 7 2 3 6" xfId="23105" xr:uid="{00000000-0005-0000-0000-0000F9880000}"/>
    <cellStyle name="Note 4 4 3 2 7 2 3 7" xfId="26937" xr:uid="{00000000-0005-0000-0000-0000FA880000}"/>
    <cellStyle name="Note 4 4 3 2 7 2 3 8" xfId="30808" xr:uid="{00000000-0005-0000-0000-0000FB880000}"/>
    <cellStyle name="Note 4 4 3 2 7 2 3 9" xfId="34462" xr:uid="{00000000-0005-0000-0000-0000FC880000}"/>
    <cellStyle name="Note 4 4 3 2 7 2 4" xfId="5140" xr:uid="{00000000-0005-0000-0000-0000FD880000}"/>
    <cellStyle name="Note 4 4 3 2 7 2 5" xfId="9496" xr:uid="{00000000-0005-0000-0000-0000FE880000}"/>
    <cellStyle name="Note 4 4 3 2 7 2 6" xfId="13340" xr:uid="{00000000-0005-0000-0000-0000FF880000}"/>
    <cellStyle name="Note 4 4 3 2 7 2 7" xfId="17168" xr:uid="{00000000-0005-0000-0000-000000890000}"/>
    <cellStyle name="Note 4 4 3 2 7 2 8" xfId="21110" xr:uid="{00000000-0005-0000-0000-000001890000}"/>
    <cellStyle name="Note 4 4 3 2 7 2 9" xfId="24921" xr:uid="{00000000-0005-0000-0000-000002890000}"/>
    <cellStyle name="Note 4 4 3 2 7 3" xfId="1594" xr:uid="{00000000-0005-0000-0000-000003890000}"/>
    <cellStyle name="Note 4 4 3 2 7 3 10" xfId="32881" xr:uid="{00000000-0005-0000-0000-000004890000}"/>
    <cellStyle name="Note 4 4 3 2 7 3 11" xfId="36651" xr:uid="{00000000-0005-0000-0000-000005890000}"/>
    <cellStyle name="Note 4 4 3 2 7 3 12" xfId="40642" xr:uid="{00000000-0005-0000-0000-000006890000}"/>
    <cellStyle name="Note 4 4 3 2 7 3 13" xfId="44473" xr:uid="{00000000-0005-0000-0000-000007890000}"/>
    <cellStyle name="Note 4 4 3 2 7 3 2" xfId="3584" xr:uid="{00000000-0005-0000-0000-000008890000}"/>
    <cellStyle name="Note 4 4 3 2 7 3 2 10" xfId="38635" xr:uid="{00000000-0005-0000-0000-000009890000}"/>
    <cellStyle name="Note 4 4 3 2 7 3 2 11" xfId="42646" xr:uid="{00000000-0005-0000-0000-00000A890000}"/>
    <cellStyle name="Note 4 4 3 2 7 3 2 12" xfId="46411" xr:uid="{00000000-0005-0000-0000-00000B890000}"/>
    <cellStyle name="Note 4 4 3 2 7 3 2 2" xfId="7451" xr:uid="{00000000-0005-0000-0000-00000C890000}"/>
    <cellStyle name="Note 4 4 3 2 7 3 2 3" xfId="11886" xr:uid="{00000000-0005-0000-0000-00000D890000}"/>
    <cellStyle name="Note 4 4 3 2 7 3 2 4" xfId="15731" xr:uid="{00000000-0005-0000-0000-00000E890000}"/>
    <cellStyle name="Note 4 4 3 2 7 3 2 5" xfId="19578" xr:uid="{00000000-0005-0000-0000-00000F890000}"/>
    <cellStyle name="Note 4 4 3 2 7 3 2 6" xfId="23494" xr:uid="{00000000-0005-0000-0000-000010890000}"/>
    <cellStyle name="Note 4 4 3 2 7 3 2 7" xfId="27328" xr:uid="{00000000-0005-0000-0000-000011890000}"/>
    <cellStyle name="Note 4 4 3 2 7 3 2 8" xfId="31194" xr:uid="{00000000-0005-0000-0000-000012890000}"/>
    <cellStyle name="Note 4 4 3 2 7 3 2 9" xfId="34849" xr:uid="{00000000-0005-0000-0000-000013890000}"/>
    <cellStyle name="Note 4 4 3 2 7 3 3" xfId="5527" xr:uid="{00000000-0005-0000-0000-000014890000}"/>
    <cellStyle name="Note 4 4 3 2 7 3 4" xfId="9885" xr:uid="{00000000-0005-0000-0000-000015890000}"/>
    <cellStyle name="Note 4 4 3 2 7 3 5" xfId="13731" xr:uid="{00000000-0005-0000-0000-000016890000}"/>
    <cellStyle name="Note 4 4 3 2 7 3 6" xfId="17560" xr:uid="{00000000-0005-0000-0000-000017890000}"/>
    <cellStyle name="Note 4 4 3 2 7 3 7" xfId="21499" xr:uid="{00000000-0005-0000-0000-000018890000}"/>
    <cellStyle name="Note 4 4 3 2 7 3 8" xfId="25312" xr:uid="{00000000-0005-0000-0000-000019890000}"/>
    <cellStyle name="Note 4 4 3 2 7 3 9" xfId="29199" xr:uid="{00000000-0005-0000-0000-00001A890000}"/>
    <cellStyle name="Note 4 4 3 2 7 4" xfId="2853" xr:uid="{00000000-0005-0000-0000-00001B890000}"/>
    <cellStyle name="Note 4 4 3 2 7 4 10" xfId="37905" xr:uid="{00000000-0005-0000-0000-00001C890000}"/>
    <cellStyle name="Note 4 4 3 2 7 4 11" xfId="41917" xr:uid="{00000000-0005-0000-0000-00001D890000}"/>
    <cellStyle name="Note 4 4 3 2 7 4 12" xfId="45694" xr:uid="{00000000-0005-0000-0000-00001E890000}"/>
    <cellStyle name="Note 4 4 3 2 7 4 2" xfId="6733" xr:uid="{00000000-0005-0000-0000-00001F890000}"/>
    <cellStyle name="Note 4 4 3 2 7 4 3" xfId="11160" xr:uid="{00000000-0005-0000-0000-000020890000}"/>
    <cellStyle name="Note 4 4 3 2 7 4 4" xfId="15005" xr:uid="{00000000-0005-0000-0000-000021890000}"/>
    <cellStyle name="Note 4 4 3 2 7 4 5" xfId="18847" xr:uid="{00000000-0005-0000-0000-000022890000}"/>
    <cellStyle name="Note 4 4 3 2 7 4 6" xfId="22773" xr:uid="{00000000-0005-0000-0000-000023890000}"/>
    <cellStyle name="Note 4 4 3 2 7 4 7" xfId="26598" xr:uid="{00000000-0005-0000-0000-000024890000}"/>
    <cellStyle name="Note 4 4 3 2 7 4 8" xfId="30475" xr:uid="{00000000-0005-0000-0000-000025890000}"/>
    <cellStyle name="Note 4 4 3 2 7 4 9" xfId="34132" xr:uid="{00000000-0005-0000-0000-000026890000}"/>
    <cellStyle name="Note 4 4 3 2 7 5" xfId="4809" xr:uid="{00000000-0005-0000-0000-000027890000}"/>
    <cellStyle name="Note 4 4 3 2 7 6" xfId="9163" xr:uid="{00000000-0005-0000-0000-000028890000}"/>
    <cellStyle name="Note 4 4 3 2 7 7" xfId="13004" xr:uid="{00000000-0005-0000-0000-000029890000}"/>
    <cellStyle name="Note 4 4 3 2 7 8" xfId="16829" xr:uid="{00000000-0005-0000-0000-00002A890000}"/>
    <cellStyle name="Note 4 4 3 2 7 9" xfId="20771" xr:uid="{00000000-0005-0000-0000-00002B890000}"/>
    <cellStyle name="Note 4 4 3 2 8" xfId="822" xr:uid="{00000000-0005-0000-0000-00002C890000}"/>
    <cellStyle name="Note 4 4 3 2 8 10" xfId="28437" xr:uid="{00000000-0005-0000-0000-00002D890000}"/>
    <cellStyle name="Note 4 4 3 2 8 11" xfId="32123" xr:uid="{00000000-0005-0000-0000-00002E890000}"/>
    <cellStyle name="Note 4 4 3 2 8 12" xfId="35880" xr:uid="{00000000-0005-0000-0000-00002F890000}"/>
    <cellStyle name="Note 4 4 3 2 8 13" xfId="39891" xr:uid="{00000000-0005-0000-0000-000030890000}"/>
    <cellStyle name="Note 4 4 3 2 8 14" xfId="43706" xr:uid="{00000000-0005-0000-0000-000031890000}"/>
    <cellStyle name="Note 4 4 3 2 8 2" xfId="1553" xr:uid="{00000000-0005-0000-0000-000032890000}"/>
    <cellStyle name="Note 4 4 3 2 8 2 10" xfId="32840" xr:uid="{00000000-0005-0000-0000-000033890000}"/>
    <cellStyle name="Note 4 4 3 2 8 2 11" xfId="36610" xr:uid="{00000000-0005-0000-0000-000034890000}"/>
    <cellStyle name="Note 4 4 3 2 8 2 12" xfId="40601" xr:uid="{00000000-0005-0000-0000-000035890000}"/>
    <cellStyle name="Note 4 4 3 2 8 2 13" xfId="44432" xr:uid="{00000000-0005-0000-0000-000036890000}"/>
    <cellStyle name="Note 4 4 3 2 8 2 2" xfId="3543" xr:uid="{00000000-0005-0000-0000-000037890000}"/>
    <cellStyle name="Note 4 4 3 2 8 2 2 10" xfId="38594" xr:uid="{00000000-0005-0000-0000-000038890000}"/>
    <cellStyle name="Note 4 4 3 2 8 2 2 11" xfId="42605" xr:uid="{00000000-0005-0000-0000-000039890000}"/>
    <cellStyle name="Note 4 4 3 2 8 2 2 12" xfId="46370" xr:uid="{00000000-0005-0000-0000-00003A890000}"/>
    <cellStyle name="Note 4 4 3 2 8 2 2 2" xfId="7410" xr:uid="{00000000-0005-0000-0000-00003B890000}"/>
    <cellStyle name="Note 4 4 3 2 8 2 2 3" xfId="11845" xr:uid="{00000000-0005-0000-0000-00003C890000}"/>
    <cellStyle name="Note 4 4 3 2 8 2 2 4" xfId="15690" xr:uid="{00000000-0005-0000-0000-00003D890000}"/>
    <cellStyle name="Note 4 4 3 2 8 2 2 5" xfId="19537" xr:uid="{00000000-0005-0000-0000-00003E890000}"/>
    <cellStyle name="Note 4 4 3 2 8 2 2 6" xfId="23453" xr:uid="{00000000-0005-0000-0000-00003F890000}"/>
    <cellStyle name="Note 4 4 3 2 8 2 2 7" xfId="27287" xr:uid="{00000000-0005-0000-0000-000040890000}"/>
    <cellStyle name="Note 4 4 3 2 8 2 2 8" xfId="31153" xr:uid="{00000000-0005-0000-0000-000041890000}"/>
    <cellStyle name="Note 4 4 3 2 8 2 2 9" xfId="34808" xr:uid="{00000000-0005-0000-0000-000042890000}"/>
    <cellStyle name="Note 4 4 3 2 8 2 3" xfId="5486" xr:uid="{00000000-0005-0000-0000-000043890000}"/>
    <cellStyle name="Note 4 4 3 2 8 2 4" xfId="9844" xr:uid="{00000000-0005-0000-0000-000044890000}"/>
    <cellStyle name="Note 4 4 3 2 8 2 5" xfId="13690" xr:uid="{00000000-0005-0000-0000-000045890000}"/>
    <cellStyle name="Note 4 4 3 2 8 2 6" xfId="17519" xr:uid="{00000000-0005-0000-0000-000046890000}"/>
    <cellStyle name="Note 4 4 3 2 8 2 7" xfId="21458" xr:uid="{00000000-0005-0000-0000-000047890000}"/>
    <cellStyle name="Note 4 4 3 2 8 2 8" xfId="25271" xr:uid="{00000000-0005-0000-0000-000048890000}"/>
    <cellStyle name="Note 4 4 3 2 8 2 9" xfId="29158" xr:uid="{00000000-0005-0000-0000-000049890000}"/>
    <cellStyle name="Note 4 4 3 2 8 3" xfId="2812" xr:uid="{00000000-0005-0000-0000-00004A890000}"/>
    <cellStyle name="Note 4 4 3 2 8 3 10" xfId="37864" xr:uid="{00000000-0005-0000-0000-00004B890000}"/>
    <cellStyle name="Note 4 4 3 2 8 3 11" xfId="41876" xr:uid="{00000000-0005-0000-0000-00004C890000}"/>
    <cellStyle name="Note 4 4 3 2 8 3 12" xfId="45653" xr:uid="{00000000-0005-0000-0000-00004D890000}"/>
    <cellStyle name="Note 4 4 3 2 8 3 2" xfId="6692" xr:uid="{00000000-0005-0000-0000-00004E890000}"/>
    <cellStyle name="Note 4 4 3 2 8 3 3" xfId="11119" xr:uid="{00000000-0005-0000-0000-00004F890000}"/>
    <cellStyle name="Note 4 4 3 2 8 3 4" xfId="14964" xr:uid="{00000000-0005-0000-0000-000050890000}"/>
    <cellStyle name="Note 4 4 3 2 8 3 5" xfId="18806" xr:uid="{00000000-0005-0000-0000-000051890000}"/>
    <cellStyle name="Note 4 4 3 2 8 3 6" xfId="22732" xr:uid="{00000000-0005-0000-0000-000052890000}"/>
    <cellStyle name="Note 4 4 3 2 8 3 7" xfId="26557" xr:uid="{00000000-0005-0000-0000-000053890000}"/>
    <cellStyle name="Note 4 4 3 2 8 3 8" xfId="30434" xr:uid="{00000000-0005-0000-0000-000054890000}"/>
    <cellStyle name="Note 4 4 3 2 8 3 9" xfId="34091" xr:uid="{00000000-0005-0000-0000-000055890000}"/>
    <cellStyle name="Note 4 4 3 2 8 4" xfId="4768" xr:uid="{00000000-0005-0000-0000-000056890000}"/>
    <cellStyle name="Note 4 4 3 2 8 5" xfId="9122" xr:uid="{00000000-0005-0000-0000-000057890000}"/>
    <cellStyle name="Note 4 4 3 2 8 6" xfId="12963" xr:uid="{00000000-0005-0000-0000-000058890000}"/>
    <cellStyle name="Note 4 4 3 2 8 7" xfId="16788" xr:uid="{00000000-0005-0000-0000-000059890000}"/>
    <cellStyle name="Note 4 4 3 2 8 8" xfId="20730" xr:uid="{00000000-0005-0000-0000-00005A890000}"/>
    <cellStyle name="Note 4 4 3 2 8 9" xfId="24546" xr:uid="{00000000-0005-0000-0000-00005B890000}"/>
    <cellStyle name="Note 4 4 3 2 9" xfId="1289" xr:uid="{00000000-0005-0000-0000-00005C890000}"/>
    <cellStyle name="Note 4 4 3 2 9 10" xfId="32576" xr:uid="{00000000-0005-0000-0000-00005D890000}"/>
    <cellStyle name="Note 4 4 3 2 9 11" xfId="36346" xr:uid="{00000000-0005-0000-0000-00005E890000}"/>
    <cellStyle name="Note 4 4 3 2 9 12" xfId="40338" xr:uid="{00000000-0005-0000-0000-00005F890000}"/>
    <cellStyle name="Note 4 4 3 2 9 13" xfId="44168" xr:uid="{00000000-0005-0000-0000-000060890000}"/>
    <cellStyle name="Note 4 4 3 2 9 2" xfId="3279" xr:uid="{00000000-0005-0000-0000-000061890000}"/>
    <cellStyle name="Note 4 4 3 2 9 2 10" xfId="38330" xr:uid="{00000000-0005-0000-0000-000062890000}"/>
    <cellStyle name="Note 4 4 3 2 9 2 11" xfId="42341" xr:uid="{00000000-0005-0000-0000-000063890000}"/>
    <cellStyle name="Note 4 4 3 2 9 2 12" xfId="46106" xr:uid="{00000000-0005-0000-0000-000064890000}"/>
    <cellStyle name="Note 4 4 3 2 9 2 2" xfId="7146" xr:uid="{00000000-0005-0000-0000-000065890000}"/>
    <cellStyle name="Note 4 4 3 2 9 2 3" xfId="11581" xr:uid="{00000000-0005-0000-0000-000066890000}"/>
    <cellStyle name="Note 4 4 3 2 9 2 4" xfId="15426" xr:uid="{00000000-0005-0000-0000-000067890000}"/>
    <cellStyle name="Note 4 4 3 2 9 2 5" xfId="19273" xr:uid="{00000000-0005-0000-0000-000068890000}"/>
    <cellStyle name="Note 4 4 3 2 9 2 6" xfId="23189" xr:uid="{00000000-0005-0000-0000-000069890000}"/>
    <cellStyle name="Note 4 4 3 2 9 2 7" xfId="27023" xr:uid="{00000000-0005-0000-0000-00006A890000}"/>
    <cellStyle name="Note 4 4 3 2 9 2 8" xfId="30893" xr:uid="{00000000-0005-0000-0000-00006B890000}"/>
    <cellStyle name="Note 4 4 3 2 9 2 9" xfId="34544" xr:uid="{00000000-0005-0000-0000-00006C890000}"/>
    <cellStyle name="Note 4 4 3 2 9 3" xfId="5222" xr:uid="{00000000-0005-0000-0000-00006D890000}"/>
    <cellStyle name="Note 4 4 3 2 9 4" xfId="9580" xr:uid="{00000000-0005-0000-0000-00006E890000}"/>
    <cellStyle name="Note 4 4 3 2 9 5" xfId="13426" xr:uid="{00000000-0005-0000-0000-00006F890000}"/>
    <cellStyle name="Note 4 4 3 2 9 6" xfId="17255" xr:uid="{00000000-0005-0000-0000-000070890000}"/>
    <cellStyle name="Note 4 4 3 2 9 7" xfId="21194" xr:uid="{00000000-0005-0000-0000-000071890000}"/>
    <cellStyle name="Note 4 4 3 2 9 8" xfId="25007" xr:uid="{00000000-0005-0000-0000-000072890000}"/>
    <cellStyle name="Note 4 4 3 2 9 9" xfId="28895" xr:uid="{00000000-0005-0000-0000-000073890000}"/>
    <cellStyle name="Note 4 4 3 20" xfId="8712" xr:uid="{00000000-0005-0000-0000-000074890000}"/>
    <cellStyle name="Note 4 4 3 21" xfId="8804" xr:uid="{00000000-0005-0000-0000-000075890000}"/>
    <cellStyle name="Note 4 4 3 22" xfId="8525" xr:uid="{00000000-0005-0000-0000-000076890000}"/>
    <cellStyle name="Note 4 4 3 23" xfId="8502" xr:uid="{00000000-0005-0000-0000-000077890000}"/>
    <cellStyle name="Note 4 4 3 24" xfId="8504" xr:uid="{00000000-0005-0000-0000-000078890000}"/>
    <cellStyle name="Note 4 4 3 25" xfId="12416" xr:uid="{00000000-0005-0000-0000-000079890000}"/>
    <cellStyle name="Note 4 4 3 26" xfId="11087" xr:uid="{00000000-0005-0000-0000-00007A890000}"/>
    <cellStyle name="Note 4 4 3 27" xfId="8509" xr:uid="{00000000-0005-0000-0000-00007B890000}"/>
    <cellStyle name="Note 4 4 3 28" xfId="39626" xr:uid="{00000000-0005-0000-0000-00007C890000}"/>
    <cellStyle name="Note 4 4 3 29" xfId="39607" xr:uid="{00000000-0005-0000-0000-00007D890000}"/>
    <cellStyle name="Note 4 4 3 3" xfId="570" xr:uid="{00000000-0005-0000-0000-00007E890000}"/>
    <cellStyle name="Note 4 4 3 3 10" xfId="2220" xr:uid="{00000000-0005-0000-0000-00007F890000}"/>
    <cellStyle name="Note 4 4 3 3 10 10" xfId="33521" xr:uid="{00000000-0005-0000-0000-000080890000}"/>
    <cellStyle name="Note 4 4 3 3 10 11" xfId="37272" xr:uid="{00000000-0005-0000-0000-000081890000}"/>
    <cellStyle name="Note 4 4 3 3 10 12" xfId="41288" xr:uid="{00000000-0005-0000-0000-000082890000}"/>
    <cellStyle name="Note 4 4 3 3 10 13" xfId="45083" xr:uid="{00000000-0005-0000-0000-000083890000}"/>
    <cellStyle name="Note 4 4 3 3 10 2" xfId="4203" xr:uid="{00000000-0005-0000-0000-000084890000}"/>
    <cellStyle name="Note 4 4 3 3 10 2 10" xfId="39254" xr:uid="{00000000-0005-0000-0000-000085890000}"/>
    <cellStyle name="Note 4 4 3 3 10 2 11" xfId="43264" xr:uid="{00000000-0005-0000-0000-000086890000}"/>
    <cellStyle name="Note 4 4 3 3 10 2 12" xfId="47021" xr:uid="{00000000-0005-0000-0000-000087890000}"/>
    <cellStyle name="Note 4 4 3 3 10 2 2" xfId="8062" xr:uid="{00000000-0005-0000-0000-000088890000}"/>
    <cellStyle name="Note 4 4 3 3 10 2 3" xfId="12502" xr:uid="{00000000-0005-0000-0000-000089890000}"/>
    <cellStyle name="Note 4 4 3 3 10 2 4" xfId="16347" xr:uid="{00000000-0005-0000-0000-00008A890000}"/>
    <cellStyle name="Note 4 4 3 3 10 2 5" xfId="20197" xr:uid="{00000000-0005-0000-0000-00008B890000}"/>
    <cellStyle name="Note 4 4 3 3 10 2 6" xfId="24109" xr:uid="{00000000-0005-0000-0000-00008C890000}"/>
    <cellStyle name="Note 4 4 3 3 10 2 7" xfId="27947" xr:uid="{00000000-0005-0000-0000-00008D890000}"/>
    <cellStyle name="Note 4 4 3 3 10 2 8" xfId="31806" xr:uid="{00000000-0005-0000-0000-00008E890000}"/>
    <cellStyle name="Note 4 4 3 3 10 2 9" xfId="35459" xr:uid="{00000000-0005-0000-0000-00008F890000}"/>
    <cellStyle name="Note 4 4 3 3 10 3" xfId="6134" xr:uid="{00000000-0005-0000-0000-000090890000}"/>
    <cellStyle name="Note 4 4 3 3 10 4" xfId="10537" xr:uid="{00000000-0005-0000-0000-000091890000}"/>
    <cellStyle name="Note 4 4 3 3 10 5" xfId="14383" xr:uid="{00000000-0005-0000-0000-000092890000}"/>
    <cellStyle name="Note 4 4 3 3 10 6" xfId="18214" xr:uid="{00000000-0005-0000-0000-000093890000}"/>
    <cellStyle name="Note 4 4 3 3 10 7" xfId="22153" xr:uid="{00000000-0005-0000-0000-000094890000}"/>
    <cellStyle name="Note 4 4 3 3 10 8" xfId="25965" xr:uid="{00000000-0005-0000-0000-000095890000}"/>
    <cellStyle name="Note 4 4 3 3 10 9" xfId="29845" xr:uid="{00000000-0005-0000-0000-000096890000}"/>
    <cellStyle name="Note 4 4 3 3 11" xfId="2278" xr:uid="{00000000-0005-0000-0000-000097890000}"/>
    <cellStyle name="Note 4 4 3 3 11 10" xfId="33579" xr:uid="{00000000-0005-0000-0000-000098890000}"/>
    <cellStyle name="Note 4 4 3 3 11 11" xfId="37330" xr:uid="{00000000-0005-0000-0000-000099890000}"/>
    <cellStyle name="Note 4 4 3 3 11 12" xfId="41346" xr:uid="{00000000-0005-0000-0000-00009A890000}"/>
    <cellStyle name="Note 4 4 3 3 11 13" xfId="45141" xr:uid="{00000000-0005-0000-0000-00009B890000}"/>
    <cellStyle name="Note 4 4 3 3 11 2" xfId="4261" xr:uid="{00000000-0005-0000-0000-00009C890000}"/>
    <cellStyle name="Note 4 4 3 3 11 2 10" xfId="39312" xr:uid="{00000000-0005-0000-0000-00009D890000}"/>
    <cellStyle name="Note 4 4 3 3 11 2 11" xfId="43322" xr:uid="{00000000-0005-0000-0000-00009E890000}"/>
    <cellStyle name="Note 4 4 3 3 11 2 12" xfId="47079" xr:uid="{00000000-0005-0000-0000-00009F890000}"/>
    <cellStyle name="Note 4 4 3 3 11 2 2" xfId="8120" xr:uid="{00000000-0005-0000-0000-0000A0890000}"/>
    <cellStyle name="Note 4 4 3 3 11 2 3" xfId="12560" xr:uid="{00000000-0005-0000-0000-0000A1890000}"/>
    <cellStyle name="Note 4 4 3 3 11 2 4" xfId="16405" xr:uid="{00000000-0005-0000-0000-0000A2890000}"/>
    <cellStyle name="Note 4 4 3 3 11 2 5" xfId="20255" xr:uid="{00000000-0005-0000-0000-0000A3890000}"/>
    <cellStyle name="Note 4 4 3 3 11 2 6" xfId="24167" xr:uid="{00000000-0005-0000-0000-0000A4890000}"/>
    <cellStyle name="Note 4 4 3 3 11 2 7" xfId="28005" xr:uid="{00000000-0005-0000-0000-0000A5890000}"/>
    <cellStyle name="Note 4 4 3 3 11 2 8" xfId="31864" xr:uid="{00000000-0005-0000-0000-0000A6890000}"/>
    <cellStyle name="Note 4 4 3 3 11 2 9" xfId="35517" xr:uid="{00000000-0005-0000-0000-0000A7890000}"/>
    <cellStyle name="Note 4 4 3 3 11 3" xfId="6192" xr:uid="{00000000-0005-0000-0000-0000A8890000}"/>
    <cellStyle name="Note 4 4 3 3 11 4" xfId="10595" xr:uid="{00000000-0005-0000-0000-0000A9890000}"/>
    <cellStyle name="Note 4 4 3 3 11 5" xfId="14441" xr:uid="{00000000-0005-0000-0000-0000AA890000}"/>
    <cellStyle name="Note 4 4 3 3 11 6" xfId="18272" xr:uid="{00000000-0005-0000-0000-0000AB890000}"/>
    <cellStyle name="Note 4 4 3 3 11 7" xfId="22211" xr:uid="{00000000-0005-0000-0000-0000AC890000}"/>
    <cellStyle name="Note 4 4 3 3 11 8" xfId="26023" xr:uid="{00000000-0005-0000-0000-0000AD890000}"/>
    <cellStyle name="Note 4 4 3 3 11 9" xfId="29903" xr:uid="{00000000-0005-0000-0000-0000AE890000}"/>
    <cellStyle name="Note 4 4 3 3 12" xfId="2335" xr:uid="{00000000-0005-0000-0000-0000AF890000}"/>
    <cellStyle name="Note 4 4 3 3 12 10" xfId="33634" xr:uid="{00000000-0005-0000-0000-0000B0890000}"/>
    <cellStyle name="Note 4 4 3 3 12 11" xfId="37387" xr:uid="{00000000-0005-0000-0000-0000B1890000}"/>
    <cellStyle name="Note 4 4 3 3 12 12" xfId="41403" xr:uid="{00000000-0005-0000-0000-0000B2890000}"/>
    <cellStyle name="Note 4 4 3 3 12 13" xfId="45196" xr:uid="{00000000-0005-0000-0000-0000B3890000}"/>
    <cellStyle name="Note 4 4 3 3 12 2" xfId="4318" xr:uid="{00000000-0005-0000-0000-0000B4890000}"/>
    <cellStyle name="Note 4 4 3 3 12 2 10" xfId="39369" xr:uid="{00000000-0005-0000-0000-0000B5890000}"/>
    <cellStyle name="Note 4 4 3 3 12 2 11" xfId="43379" xr:uid="{00000000-0005-0000-0000-0000B6890000}"/>
    <cellStyle name="Note 4 4 3 3 12 2 12" xfId="47134" xr:uid="{00000000-0005-0000-0000-0000B7890000}"/>
    <cellStyle name="Note 4 4 3 3 12 2 2" xfId="8175" xr:uid="{00000000-0005-0000-0000-0000B8890000}"/>
    <cellStyle name="Note 4 4 3 3 12 2 3" xfId="12617" xr:uid="{00000000-0005-0000-0000-0000B9890000}"/>
    <cellStyle name="Note 4 4 3 3 12 2 4" xfId="16461" xr:uid="{00000000-0005-0000-0000-0000BA890000}"/>
    <cellStyle name="Note 4 4 3 3 12 2 5" xfId="20312" xr:uid="{00000000-0005-0000-0000-0000BB890000}"/>
    <cellStyle name="Note 4 4 3 3 12 2 6" xfId="24223" xr:uid="{00000000-0005-0000-0000-0000BC890000}"/>
    <cellStyle name="Note 4 4 3 3 12 2 7" xfId="28062" xr:uid="{00000000-0005-0000-0000-0000BD890000}"/>
    <cellStyle name="Note 4 4 3 3 12 2 8" xfId="31921" xr:uid="{00000000-0005-0000-0000-0000BE890000}"/>
    <cellStyle name="Note 4 4 3 3 12 2 9" xfId="35572" xr:uid="{00000000-0005-0000-0000-0000BF890000}"/>
    <cellStyle name="Note 4 4 3 3 12 3" xfId="6247" xr:uid="{00000000-0005-0000-0000-0000C0890000}"/>
    <cellStyle name="Note 4 4 3 3 12 4" xfId="10652" xr:uid="{00000000-0005-0000-0000-0000C1890000}"/>
    <cellStyle name="Note 4 4 3 3 12 5" xfId="14497" xr:uid="{00000000-0005-0000-0000-0000C2890000}"/>
    <cellStyle name="Note 4 4 3 3 12 6" xfId="18329" xr:uid="{00000000-0005-0000-0000-0000C3890000}"/>
    <cellStyle name="Note 4 4 3 3 12 7" xfId="22267" xr:uid="{00000000-0005-0000-0000-0000C4890000}"/>
    <cellStyle name="Note 4 4 3 3 12 8" xfId="26080" xr:uid="{00000000-0005-0000-0000-0000C5890000}"/>
    <cellStyle name="Note 4 4 3 3 12 9" xfId="29960" xr:uid="{00000000-0005-0000-0000-0000C6890000}"/>
    <cellStyle name="Note 4 4 3 3 13" xfId="2400" xr:uid="{00000000-0005-0000-0000-0000C7890000}"/>
    <cellStyle name="Note 4 4 3 3 13 10" xfId="33698" xr:uid="{00000000-0005-0000-0000-0000C8890000}"/>
    <cellStyle name="Note 4 4 3 3 13 11" xfId="37452" xr:uid="{00000000-0005-0000-0000-0000C9890000}"/>
    <cellStyle name="Note 4 4 3 3 13 12" xfId="41467" xr:uid="{00000000-0005-0000-0000-0000CA890000}"/>
    <cellStyle name="Note 4 4 3 3 13 13" xfId="45260" xr:uid="{00000000-0005-0000-0000-0000CB890000}"/>
    <cellStyle name="Note 4 4 3 3 13 2" xfId="4383" xr:uid="{00000000-0005-0000-0000-0000CC890000}"/>
    <cellStyle name="Note 4 4 3 3 13 2 10" xfId="39434" xr:uid="{00000000-0005-0000-0000-0000CD890000}"/>
    <cellStyle name="Note 4 4 3 3 13 2 11" xfId="43443" xr:uid="{00000000-0005-0000-0000-0000CE890000}"/>
    <cellStyle name="Note 4 4 3 3 13 2 12" xfId="47198" xr:uid="{00000000-0005-0000-0000-0000CF890000}"/>
    <cellStyle name="Note 4 4 3 3 13 2 2" xfId="8240" xr:uid="{00000000-0005-0000-0000-0000D0890000}"/>
    <cellStyle name="Note 4 4 3 3 13 2 3" xfId="12681" xr:uid="{00000000-0005-0000-0000-0000D1890000}"/>
    <cellStyle name="Note 4 4 3 3 13 2 4" xfId="16526" xr:uid="{00000000-0005-0000-0000-0000D2890000}"/>
    <cellStyle name="Note 4 4 3 3 13 2 5" xfId="20377" xr:uid="{00000000-0005-0000-0000-0000D3890000}"/>
    <cellStyle name="Note 4 4 3 3 13 2 6" xfId="24288" xr:uid="{00000000-0005-0000-0000-0000D4890000}"/>
    <cellStyle name="Note 4 4 3 3 13 2 7" xfId="28127" xr:uid="{00000000-0005-0000-0000-0000D5890000}"/>
    <cellStyle name="Note 4 4 3 3 13 2 8" xfId="31985" xr:uid="{00000000-0005-0000-0000-0000D6890000}"/>
    <cellStyle name="Note 4 4 3 3 13 2 9" xfId="35636" xr:uid="{00000000-0005-0000-0000-0000D7890000}"/>
    <cellStyle name="Note 4 4 3 3 13 3" xfId="6296" xr:uid="{00000000-0005-0000-0000-0000D8890000}"/>
    <cellStyle name="Note 4 4 3 3 13 4" xfId="10716" xr:uid="{00000000-0005-0000-0000-0000D9890000}"/>
    <cellStyle name="Note 4 4 3 3 13 5" xfId="14562" xr:uid="{00000000-0005-0000-0000-0000DA890000}"/>
    <cellStyle name="Note 4 4 3 3 13 6" xfId="18394" xr:uid="{00000000-0005-0000-0000-0000DB890000}"/>
    <cellStyle name="Note 4 4 3 3 13 7" xfId="22332" xr:uid="{00000000-0005-0000-0000-0000DC890000}"/>
    <cellStyle name="Note 4 4 3 3 13 8" xfId="26145" xr:uid="{00000000-0005-0000-0000-0000DD890000}"/>
    <cellStyle name="Note 4 4 3 3 13 9" xfId="30025" xr:uid="{00000000-0005-0000-0000-0000DE890000}"/>
    <cellStyle name="Note 4 4 3 3 14" xfId="2452" xr:uid="{00000000-0005-0000-0000-0000DF890000}"/>
    <cellStyle name="Note 4 4 3 3 14 10" xfId="33748" xr:uid="{00000000-0005-0000-0000-0000E0890000}"/>
    <cellStyle name="Note 4 4 3 3 14 11" xfId="37504" xr:uid="{00000000-0005-0000-0000-0000E1890000}"/>
    <cellStyle name="Note 4 4 3 3 14 12" xfId="41519" xr:uid="{00000000-0005-0000-0000-0000E2890000}"/>
    <cellStyle name="Note 4 4 3 3 14 13" xfId="45310" xr:uid="{00000000-0005-0000-0000-0000E3890000}"/>
    <cellStyle name="Note 4 4 3 3 14 2" xfId="4435" xr:uid="{00000000-0005-0000-0000-0000E4890000}"/>
    <cellStyle name="Note 4 4 3 3 14 2 10" xfId="39486" xr:uid="{00000000-0005-0000-0000-0000E5890000}"/>
    <cellStyle name="Note 4 4 3 3 14 2 11" xfId="43495" xr:uid="{00000000-0005-0000-0000-0000E6890000}"/>
    <cellStyle name="Note 4 4 3 3 14 2 12" xfId="47248" xr:uid="{00000000-0005-0000-0000-0000E7890000}"/>
    <cellStyle name="Note 4 4 3 3 14 2 2" xfId="8290" xr:uid="{00000000-0005-0000-0000-0000E8890000}"/>
    <cellStyle name="Note 4 4 3 3 14 2 3" xfId="12733" xr:uid="{00000000-0005-0000-0000-0000E9890000}"/>
    <cellStyle name="Note 4 4 3 3 14 2 4" xfId="16576" xr:uid="{00000000-0005-0000-0000-0000EA890000}"/>
    <cellStyle name="Note 4 4 3 3 14 2 5" xfId="20429" xr:uid="{00000000-0005-0000-0000-0000EB890000}"/>
    <cellStyle name="Note 4 4 3 3 14 2 6" xfId="24339" xr:uid="{00000000-0005-0000-0000-0000EC890000}"/>
    <cellStyle name="Note 4 4 3 3 14 2 7" xfId="28179" xr:uid="{00000000-0005-0000-0000-0000ED890000}"/>
    <cellStyle name="Note 4 4 3 3 14 2 8" xfId="32037" xr:uid="{00000000-0005-0000-0000-0000EE890000}"/>
    <cellStyle name="Note 4 4 3 3 14 2 9" xfId="35686" xr:uid="{00000000-0005-0000-0000-0000EF890000}"/>
    <cellStyle name="Note 4 4 3 3 14 3" xfId="6346" xr:uid="{00000000-0005-0000-0000-0000F0890000}"/>
    <cellStyle name="Note 4 4 3 3 14 4" xfId="10768" xr:uid="{00000000-0005-0000-0000-0000F1890000}"/>
    <cellStyle name="Note 4 4 3 3 14 5" xfId="14613" xr:uid="{00000000-0005-0000-0000-0000F2890000}"/>
    <cellStyle name="Note 4 4 3 3 14 6" xfId="18446" xr:uid="{00000000-0005-0000-0000-0000F3890000}"/>
    <cellStyle name="Note 4 4 3 3 14 7" xfId="22383" xr:uid="{00000000-0005-0000-0000-0000F4890000}"/>
    <cellStyle name="Note 4 4 3 3 14 8" xfId="26197" xr:uid="{00000000-0005-0000-0000-0000F5890000}"/>
    <cellStyle name="Note 4 4 3 3 14 9" xfId="30076" xr:uid="{00000000-0005-0000-0000-0000F6890000}"/>
    <cellStyle name="Note 4 4 3 3 15" xfId="2506" xr:uid="{00000000-0005-0000-0000-0000F7890000}"/>
    <cellStyle name="Note 4 4 3 3 15 10" xfId="33799" xr:uid="{00000000-0005-0000-0000-0000F8890000}"/>
    <cellStyle name="Note 4 4 3 3 15 11" xfId="37558" xr:uid="{00000000-0005-0000-0000-0000F9890000}"/>
    <cellStyle name="Note 4 4 3 3 15 12" xfId="41572" xr:uid="{00000000-0005-0000-0000-0000FA890000}"/>
    <cellStyle name="Note 4 4 3 3 15 13" xfId="45361" xr:uid="{00000000-0005-0000-0000-0000FB890000}"/>
    <cellStyle name="Note 4 4 3 3 15 2" xfId="4486" xr:uid="{00000000-0005-0000-0000-0000FC890000}"/>
    <cellStyle name="Note 4 4 3 3 15 2 10" xfId="39537" xr:uid="{00000000-0005-0000-0000-0000FD890000}"/>
    <cellStyle name="Note 4 4 3 3 15 2 11" xfId="43546" xr:uid="{00000000-0005-0000-0000-0000FE890000}"/>
    <cellStyle name="Note 4 4 3 3 15 2 12" xfId="47299" xr:uid="{00000000-0005-0000-0000-0000FF890000}"/>
    <cellStyle name="Note 4 4 3 3 15 2 2" xfId="8341" xr:uid="{00000000-0005-0000-0000-0000008A0000}"/>
    <cellStyle name="Note 4 4 3 3 15 2 3" xfId="12784" xr:uid="{00000000-0005-0000-0000-0000018A0000}"/>
    <cellStyle name="Note 4 4 3 3 15 2 4" xfId="16627" xr:uid="{00000000-0005-0000-0000-0000028A0000}"/>
    <cellStyle name="Note 4 4 3 3 15 2 5" xfId="20480" xr:uid="{00000000-0005-0000-0000-0000038A0000}"/>
    <cellStyle name="Note 4 4 3 3 15 2 6" xfId="24390" xr:uid="{00000000-0005-0000-0000-0000048A0000}"/>
    <cellStyle name="Note 4 4 3 3 15 2 7" xfId="28230" xr:uid="{00000000-0005-0000-0000-0000058A0000}"/>
    <cellStyle name="Note 4 4 3 3 15 2 8" xfId="32088" xr:uid="{00000000-0005-0000-0000-0000068A0000}"/>
    <cellStyle name="Note 4 4 3 3 15 2 9" xfId="35737" xr:uid="{00000000-0005-0000-0000-0000078A0000}"/>
    <cellStyle name="Note 4 4 3 3 15 3" xfId="6398" xr:uid="{00000000-0005-0000-0000-0000088A0000}"/>
    <cellStyle name="Note 4 4 3 3 15 4" xfId="10821" xr:uid="{00000000-0005-0000-0000-0000098A0000}"/>
    <cellStyle name="Note 4 4 3 3 15 5" xfId="14665" xr:uid="{00000000-0005-0000-0000-00000A8A0000}"/>
    <cellStyle name="Note 4 4 3 3 15 6" xfId="18500" xr:uid="{00000000-0005-0000-0000-00000B8A0000}"/>
    <cellStyle name="Note 4 4 3 3 15 7" xfId="22435" xr:uid="{00000000-0005-0000-0000-00000C8A0000}"/>
    <cellStyle name="Note 4 4 3 3 15 8" xfId="26251" xr:uid="{00000000-0005-0000-0000-00000D8A0000}"/>
    <cellStyle name="Note 4 4 3 3 15 9" xfId="30130" xr:uid="{00000000-0005-0000-0000-00000E8A0000}"/>
    <cellStyle name="Note 4 4 3 3 16" xfId="2575" xr:uid="{00000000-0005-0000-0000-00000F8A0000}"/>
    <cellStyle name="Note 4 4 3 3 16 10" xfId="37627" xr:uid="{00000000-0005-0000-0000-0000108A0000}"/>
    <cellStyle name="Note 4 4 3 3 16 11" xfId="41641" xr:uid="{00000000-0005-0000-0000-0000118A0000}"/>
    <cellStyle name="Note 4 4 3 3 16 12" xfId="45430" xr:uid="{00000000-0005-0000-0000-0000128A0000}"/>
    <cellStyle name="Note 4 4 3 3 16 2" xfId="6467" xr:uid="{00000000-0005-0000-0000-0000138A0000}"/>
    <cellStyle name="Note 4 4 3 3 16 3" xfId="10890" xr:uid="{00000000-0005-0000-0000-0000148A0000}"/>
    <cellStyle name="Note 4 4 3 3 16 4" xfId="14734" xr:uid="{00000000-0005-0000-0000-0000158A0000}"/>
    <cellStyle name="Note 4 4 3 3 16 5" xfId="18569" xr:uid="{00000000-0005-0000-0000-0000168A0000}"/>
    <cellStyle name="Note 4 4 3 3 16 6" xfId="22504" xr:uid="{00000000-0005-0000-0000-0000178A0000}"/>
    <cellStyle name="Note 4 4 3 3 16 7" xfId="26320" xr:uid="{00000000-0005-0000-0000-0000188A0000}"/>
    <cellStyle name="Note 4 4 3 3 16 8" xfId="30199" xr:uid="{00000000-0005-0000-0000-0000198A0000}"/>
    <cellStyle name="Note 4 4 3 3 16 9" xfId="33868" xr:uid="{00000000-0005-0000-0000-00001A8A0000}"/>
    <cellStyle name="Note 4 4 3 3 17" xfId="4543" xr:uid="{00000000-0005-0000-0000-00001B8A0000}"/>
    <cellStyle name="Note 4 4 3 3 18" xfId="8364" xr:uid="{00000000-0005-0000-0000-00001C8A0000}"/>
    <cellStyle name="Note 4 4 3 3 19" xfId="8760" xr:uid="{00000000-0005-0000-0000-00001D8A0000}"/>
    <cellStyle name="Note 4 4 3 3 2" xfId="704" xr:uid="{00000000-0005-0000-0000-00001E8A0000}"/>
    <cellStyle name="Note 4 4 3 3 2 10" xfId="24438" xr:uid="{00000000-0005-0000-0000-00001F8A0000}"/>
    <cellStyle name="Note 4 4 3 3 2 11" xfId="28331" xr:uid="{00000000-0005-0000-0000-0000208A0000}"/>
    <cellStyle name="Note 4 4 3 3 2 12" xfId="31883" xr:uid="{00000000-0005-0000-0000-0000218A0000}"/>
    <cellStyle name="Note 4 4 3 3 2 13" xfId="35775" xr:uid="{00000000-0005-0000-0000-0000228A0000}"/>
    <cellStyle name="Note 4 4 3 3 2 14" xfId="39798" xr:uid="{00000000-0005-0000-0000-0000238A0000}"/>
    <cellStyle name="Note 4 4 3 3 2 15" xfId="43601" xr:uid="{00000000-0005-0000-0000-0000248A0000}"/>
    <cellStyle name="Note 4 4 3 3 2 2" xfId="1084" xr:uid="{00000000-0005-0000-0000-0000258A0000}"/>
    <cellStyle name="Note 4 4 3 3 2 2 10" xfId="28695" xr:uid="{00000000-0005-0000-0000-0000268A0000}"/>
    <cellStyle name="Note 4 4 3 3 2 2 11" xfId="32381" xr:uid="{00000000-0005-0000-0000-0000278A0000}"/>
    <cellStyle name="Note 4 4 3 3 2 2 12" xfId="36142" xr:uid="{00000000-0005-0000-0000-0000288A0000}"/>
    <cellStyle name="Note 4 4 3 3 2 2 13" xfId="40145" xr:uid="{00000000-0005-0000-0000-0000298A0000}"/>
    <cellStyle name="Note 4 4 3 3 2 2 14" xfId="43968" xr:uid="{00000000-0005-0000-0000-00002A8A0000}"/>
    <cellStyle name="Note 4 4 3 3 2 2 2" xfId="1811" xr:uid="{00000000-0005-0000-0000-00002B8A0000}"/>
    <cellStyle name="Note 4 4 3 3 2 2 2 10" xfId="33098" xr:uid="{00000000-0005-0000-0000-00002C8A0000}"/>
    <cellStyle name="Note 4 4 3 3 2 2 2 11" xfId="36868" xr:uid="{00000000-0005-0000-0000-00002D8A0000}"/>
    <cellStyle name="Note 4 4 3 3 2 2 2 12" xfId="40859" xr:uid="{00000000-0005-0000-0000-00002E8A0000}"/>
    <cellStyle name="Note 4 4 3 3 2 2 2 13" xfId="44690" xr:uid="{00000000-0005-0000-0000-00002F8A0000}"/>
    <cellStyle name="Note 4 4 3 3 2 2 2 2" xfId="3801" xr:uid="{00000000-0005-0000-0000-0000308A0000}"/>
    <cellStyle name="Note 4 4 3 3 2 2 2 2 10" xfId="38852" xr:uid="{00000000-0005-0000-0000-0000318A0000}"/>
    <cellStyle name="Note 4 4 3 3 2 2 2 2 11" xfId="42863" xr:uid="{00000000-0005-0000-0000-0000328A0000}"/>
    <cellStyle name="Note 4 4 3 3 2 2 2 2 12" xfId="46628" xr:uid="{00000000-0005-0000-0000-0000338A0000}"/>
    <cellStyle name="Note 4 4 3 3 2 2 2 2 2" xfId="7668" xr:uid="{00000000-0005-0000-0000-0000348A0000}"/>
    <cellStyle name="Note 4 4 3 3 2 2 2 2 3" xfId="12103" xr:uid="{00000000-0005-0000-0000-0000358A0000}"/>
    <cellStyle name="Note 4 4 3 3 2 2 2 2 4" xfId="15948" xr:uid="{00000000-0005-0000-0000-0000368A0000}"/>
    <cellStyle name="Note 4 4 3 3 2 2 2 2 5" xfId="19795" xr:uid="{00000000-0005-0000-0000-0000378A0000}"/>
    <cellStyle name="Note 4 4 3 3 2 2 2 2 6" xfId="23711" xr:uid="{00000000-0005-0000-0000-0000388A0000}"/>
    <cellStyle name="Note 4 4 3 3 2 2 2 2 7" xfId="27545" xr:uid="{00000000-0005-0000-0000-0000398A0000}"/>
    <cellStyle name="Note 4 4 3 3 2 2 2 2 8" xfId="31409" xr:uid="{00000000-0005-0000-0000-00003A8A0000}"/>
    <cellStyle name="Note 4 4 3 3 2 2 2 2 9" xfId="35066" xr:uid="{00000000-0005-0000-0000-00003B8A0000}"/>
    <cellStyle name="Note 4 4 3 3 2 2 2 3" xfId="5744" xr:uid="{00000000-0005-0000-0000-00003C8A0000}"/>
    <cellStyle name="Note 4 4 3 3 2 2 2 4" xfId="10102" xr:uid="{00000000-0005-0000-0000-00003D8A0000}"/>
    <cellStyle name="Note 4 4 3 3 2 2 2 5" xfId="13948" xr:uid="{00000000-0005-0000-0000-00003E8A0000}"/>
    <cellStyle name="Note 4 4 3 3 2 2 2 6" xfId="17777" xr:uid="{00000000-0005-0000-0000-00003F8A0000}"/>
    <cellStyle name="Note 4 4 3 3 2 2 2 7" xfId="21716" xr:uid="{00000000-0005-0000-0000-0000408A0000}"/>
    <cellStyle name="Note 4 4 3 3 2 2 2 8" xfId="25529" xr:uid="{00000000-0005-0000-0000-0000418A0000}"/>
    <cellStyle name="Note 4 4 3 3 2 2 2 9" xfId="29416" xr:uid="{00000000-0005-0000-0000-0000428A0000}"/>
    <cellStyle name="Note 4 4 3 3 2 2 3" xfId="3074" xr:uid="{00000000-0005-0000-0000-0000438A0000}"/>
    <cellStyle name="Note 4 4 3 3 2 2 3 10" xfId="38126" xr:uid="{00000000-0005-0000-0000-0000448A0000}"/>
    <cellStyle name="Note 4 4 3 3 2 2 3 11" xfId="42138" xr:uid="{00000000-0005-0000-0000-0000458A0000}"/>
    <cellStyle name="Note 4 4 3 3 2 2 3 12" xfId="45911" xr:uid="{00000000-0005-0000-0000-0000468A0000}"/>
    <cellStyle name="Note 4 4 3 3 2 2 3 2" xfId="6950" xr:uid="{00000000-0005-0000-0000-0000478A0000}"/>
    <cellStyle name="Note 4 4 3 3 2 2 3 3" xfId="11379" xr:uid="{00000000-0005-0000-0000-0000488A0000}"/>
    <cellStyle name="Note 4 4 3 3 2 2 3 4" xfId="15223" xr:uid="{00000000-0005-0000-0000-0000498A0000}"/>
    <cellStyle name="Note 4 4 3 3 2 2 3 5" xfId="19068" xr:uid="{00000000-0005-0000-0000-00004A8A0000}"/>
    <cellStyle name="Note 4 4 3 3 2 2 3 6" xfId="22990" xr:uid="{00000000-0005-0000-0000-00004B8A0000}"/>
    <cellStyle name="Note 4 4 3 3 2 2 3 7" xfId="26819" xr:uid="{00000000-0005-0000-0000-00004C8A0000}"/>
    <cellStyle name="Note 4 4 3 3 2 2 3 8" xfId="30693" xr:uid="{00000000-0005-0000-0000-00004D8A0000}"/>
    <cellStyle name="Note 4 4 3 3 2 2 3 9" xfId="34349" xr:uid="{00000000-0005-0000-0000-00004E8A0000}"/>
    <cellStyle name="Note 4 4 3 3 2 2 4" xfId="5026" xr:uid="{00000000-0005-0000-0000-00004F8A0000}"/>
    <cellStyle name="Note 4 4 3 3 2 2 5" xfId="9382" xr:uid="{00000000-0005-0000-0000-0000508A0000}"/>
    <cellStyle name="Note 4 4 3 3 2 2 6" xfId="13222" xr:uid="{00000000-0005-0000-0000-0000518A0000}"/>
    <cellStyle name="Note 4 4 3 3 2 2 7" xfId="17050" xr:uid="{00000000-0005-0000-0000-0000528A0000}"/>
    <cellStyle name="Note 4 4 3 3 2 2 8" xfId="20992" xr:uid="{00000000-0005-0000-0000-0000538A0000}"/>
    <cellStyle name="Note 4 4 3 3 2 2 9" xfId="24806" xr:uid="{00000000-0005-0000-0000-0000548A0000}"/>
    <cellStyle name="Note 4 4 3 3 2 3" xfId="1458" xr:uid="{00000000-0005-0000-0000-0000558A0000}"/>
    <cellStyle name="Note 4 4 3 3 2 3 10" xfId="32745" xr:uid="{00000000-0005-0000-0000-0000568A0000}"/>
    <cellStyle name="Note 4 4 3 3 2 3 11" xfId="36515" xr:uid="{00000000-0005-0000-0000-0000578A0000}"/>
    <cellStyle name="Note 4 4 3 3 2 3 12" xfId="40506" xr:uid="{00000000-0005-0000-0000-0000588A0000}"/>
    <cellStyle name="Note 4 4 3 3 2 3 13" xfId="44337" xr:uid="{00000000-0005-0000-0000-0000598A0000}"/>
    <cellStyle name="Note 4 4 3 3 2 3 2" xfId="3448" xr:uid="{00000000-0005-0000-0000-00005A8A0000}"/>
    <cellStyle name="Note 4 4 3 3 2 3 2 10" xfId="38499" xr:uid="{00000000-0005-0000-0000-00005B8A0000}"/>
    <cellStyle name="Note 4 4 3 3 2 3 2 11" xfId="42510" xr:uid="{00000000-0005-0000-0000-00005C8A0000}"/>
    <cellStyle name="Note 4 4 3 3 2 3 2 12" xfId="46275" xr:uid="{00000000-0005-0000-0000-00005D8A0000}"/>
    <cellStyle name="Note 4 4 3 3 2 3 2 2" xfId="7315" xr:uid="{00000000-0005-0000-0000-00005E8A0000}"/>
    <cellStyle name="Note 4 4 3 3 2 3 2 3" xfId="11750" xr:uid="{00000000-0005-0000-0000-00005F8A0000}"/>
    <cellStyle name="Note 4 4 3 3 2 3 2 4" xfId="15595" xr:uid="{00000000-0005-0000-0000-0000608A0000}"/>
    <cellStyle name="Note 4 4 3 3 2 3 2 5" xfId="19442" xr:uid="{00000000-0005-0000-0000-0000618A0000}"/>
    <cellStyle name="Note 4 4 3 3 2 3 2 6" xfId="23358" xr:uid="{00000000-0005-0000-0000-0000628A0000}"/>
    <cellStyle name="Note 4 4 3 3 2 3 2 7" xfId="27192" xr:uid="{00000000-0005-0000-0000-0000638A0000}"/>
    <cellStyle name="Note 4 4 3 3 2 3 2 8" xfId="31060" xr:uid="{00000000-0005-0000-0000-0000648A0000}"/>
    <cellStyle name="Note 4 4 3 3 2 3 2 9" xfId="34713" xr:uid="{00000000-0005-0000-0000-0000658A0000}"/>
    <cellStyle name="Note 4 4 3 3 2 3 3" xfId="5391" xr:uid="{00000000-0005-0000-0000-0000668A0000}"/>
    <cellStyle name="Note 4 4 3 3 2 3 4" xfId="9749" xr:uid="{00000000-0005-0000-0000-0000678A0000}"/>
    <cellStyle name="Note 4 4 3 3 2 3 5" xfId="13595" xr:uid="{00000000-0005-0000-0000-0000688A0000}"/>
    <cellStyle name="Note 4 4 3 3 2 3 6" xfId="17424" xr:uid="{00000000-0005-0000-0000-0000698A0000}"/>
    <cellStyle name="Note 4 4 3 3 2 3 7" xfId="21363" xr:uid="{00000000-0005-0000-0000-00006A8A0000}"/>
    <cellStyle name="Note 4 4 3 3 2 3 8" xfId="25176" xr:uid="{00000000-0005-0000-0000-00006B8A0000}"/>
    <cellStyle name="Note 4 4 3 3 2 3 9" xfId="29063" xr:uid="{00000000-0005-0000-0000-00006C8A0000}"/>
    <cellStyle name="Note 4 4 3 3 2 4" xfId="2707" xr:uid="{00000000-0005-0000-0000-00006D8A0000}"/>
    <cellStyle name="Note 4 4 3 3 2 4 10" xfId="37759" xr:uid="{00000000-0005-0000-0000-00006E8A0000}"/>
    <cellStyle name="Note 4 4 3 3 2 4 11" xfId="41773" xr:uid="{00000000-0005-0000-0000-00006F8A0000}"/>
    <cellStyle name="Note 4 4 3 3 2 4 12" xfId="45558" xr:uid="{00000000-0005-0000-0000-0000708A0000}"/>
    <cellStyle name="Note 4 4 3 3 2 4 2" xfId="6595" xr:uid="{00000000-0005-0000-0000-0000718A0000}"/>
    <cellStyle name="Note 4 4 3 3 2 4 3" xfId="11019" xr:uid="{00000000-0005-0000-0000-0000728A0000}"/>
    <cellStyle name="Note 4 4 3 3 2 4 4" xfId="14863" xr:uid="{00000000-0005-0000-0000-0000738A0000}"/>
    <cellStyle name="Note 4 4 3 3 2 4 5" xfId="18701" xr:uid="{00000000-0005-0000-0000-0000748A0000}"/>
    <cellStyle name="Note 4 4 3 3 2 4 6" xfId="22632" xr:uid="{00000000-0005-0000-0000-0000758A0000}"/>
    <cellStyle name="Note 4 4 3 3 2 4 7" xfId="26452" xr:uid="{00000000-0005-0000-0000-0000768A0000}"/>
    <cellStyle name="Note 4 4 3 3 2 4 8" xfId="30331" xr:uid="{00000000-0005-0000-0000-0000778A0000}"/>
    <cellStyle name="Note 4 4 3 3 2 4 9" xfId="33996" xr:uid="{00000000-0005-0000-0000-0000788A0000}"/>
    <cellStyle name="Note 4 4 3 3 2 5" xfId="4671" xr:uid="{00000000-0005-0000-0000-0000798A0000}"/>
    <cellStyle name="Note 4 4 3 3 2 6" xfId="9013" xr:uid="{00000000-0005-0000-0000-00007A8A0000}"/>
    <cellStyle name="Note 4 4 3 3 2 7" xfId="12850" xr:uid="{00000000-0005-0000-0000-00007B8A0000}"/>
    <cellStyle name="Note 4 4 3 3 2 8" xfId="16680" xr:uid="{00000000-0005-0000-0000-00007C8A0000}"/>
    <cellStyle name="Note 4 4 3 3 2 9" xfId="20617" xr:uid="{00000000-0005-0000-0000-00007D8A0000}"/>
    <cellStyle name="Note 4 4 3 3 20" xfId="8880" xr:uid="{00000000-0005-0000-0000-00007E8A0000}"/>
    <cellStyle name="Note 4 4 3 3 21" xfId="8675" xr:uid="{00000000-0005-0000-0000-00007F8A0000}"/>
    <cellStyle name="Note 4 4 3 3 22" xfId="8808" xr:uid="{00000000-0005-0000-0000-0000808A0000}"/>
    <cellStyle name="Note 4 4 3 3 23" xfId="8614" xr:uid="{00000000-0005-0000-0000-0000818A0000}"/>
    <cellStyle name="Note 4 4 3 3 24" xfId="8776" xr:uid="{00000000-0005-0000-0000-0000828A0000}"/>
    <cellStyle name="Note 4 4 3 3 25" xfId="8531" xr:uid="{00000000-0005-0000-0000-0000838A0000}"/>
    <cellStyle name="Note 4 4 3 3 26" xfId="30520" xr:uid="{00000000-0005-0000-0000-0000848A0000}"/>
    <cellStyle name="Note 4 4 3 3 27" xfId="8495" xr:uid="{00000000-0005-0000-0000-0000858A0000}"/>
    <cellStyle name="Note 4 4 3 3 28" xfId="39667" xr:uid="{00000000-0005-0000-0000-0000868A0000}"/>
    <cellStyle name="Note 4 4 3 3 29" xfId="39978" xr:uid="{00000000-0005-0000-0000-0000878A0000}"/>
    <cellStyle name="Note 4 4 3 3 3" xfId="643" xr:uid="{00000000-0005-0000-0000-0000888A0000}"/>
    <cellStyle name="Note 4 4 3 3 3 10" xfId="8441" xr:uid="{00000000-0005-0000-0000-0000898A0000}"/>
    <cellStyle name="Note 4 4 3 3 3 11" xfId="28270" xr:uid="{00000000-0005-0000-0000-00008A8A0000}"/>
    <cellStyle name="Note 4 4 3 3 3 12" xfId="31009" xr:uid="{00000000-0005-0000-0000-00008B8A0000}"/>
    <cellStyle name="Note 4 4 3 3 3 13" xfId="33377" xr:uid="{00000000-0005-0000-0000-00008C8A0000}"/>
    <cellStyle name="Note 4 4 3 3 3 14" xfId="39738" xr:uid="{00000000-0005-0000-0000-00008D8A0000}"/>
    <cellStyle name="Note 4 4 3 3 3 15" xfId="39549" xr:uid="{00000000-0005-0000-0000-00008E8A0000}"/>
    <cellStyle name="Note 4 4 3 3 3 2" xfId="1023" xr:uid="{00000000-0005-0000-0000-00008F8A0000}"/>
    <cellStyle name="Note 4 4 3 3 3 2 10" xfId="28634" xr:uid="{00000000-0005-0000-0000-0000908A0000}"/>
    <cellStyle name="Note 4 4 3 3 3 2 11" xfId="32322" xr:uid="{00000000-0005-0000-0000-0000918A0000}"/>
    <cellStyle name="Note 4 4 3 3 3 2 12" xfId="36081" xr:uid="{00000000-0005-0000-0000-0000928A0000}"/>
    <cellStyle name="Note 4 4 3 3 3 2 13" xfId="40086" xr:uid="{00000000-0005-0000-0000-0000938A0000}"/>
    <cellStyle name="Note 4 4 3 3 3 2 14" xfId="43907" xr:uid="{00000000-0005-0000-0000-0000948A0000}"/>
    <cellStyle name="Note 4 4 3 3 3 2 2" xfId="1752" xr:uid="{00000000-0005-0000-0000-0000958A0000}"/>
    <cellStyle name="Note 4 4 3 3 3 2 2 10" xfId="33039" xr:uid="{00000000-0005-0000-0000-0000968A0000}"/>
    <cellStyle name="Note 4 4 3 3 3 2 2 11" xfId="36809" xr:uid="{00000000-0005-0000-0000-0000978A0000}"/>
    <cellStyle name="Note 4 4 3 3 3 2 2 12" xfId="40800" xr:uid="{00000000-0005-0000-0000-0000988A0000}"/>
    <cellStyle name="Note 4 4 3 3 3 2 2 13" xfId="44631" xr:uid="{00000000-0005-0000-0000-0000998A0000}"/>
    <cellStyle name="Note 4 4 3 3 3 2 2 2" xfId="3742" xr:uid="{00000000-0005-0000-0000-00009A8A0000}"/>
    <cellStyle name="Note 4 4 3 3 3 2 2 2 10" xfId="38793" xr:uid="{00000000-0005-0000-0000-00009B8A0000}"/>
    <cellStyle name="Note 4 4 3 3 3 2 2 2 11" xfId="42804" xr:uid="{00000000-0005-0000-0000-00009C8A0000}"/>
    <cellStyle name="Note 4 4 3 3 3 2 2 2 12" xfId="46569" xr:uid="{00000000-0005-0000-0000-00009D8A0000}"/>
    <cellStyle name="Note 4 4 3 3 3 2 2 2 2" xfId="7609" xr:uid="{00000000-0005-0000-0000-00009E8A0000}"/>
    <cellStyle name="Note 4 4 3 3 3 2 2 2 3" xfId="12044" xr:uid="{00000000-0005-0000-0000-00009F8A0000}"/>
    <cellStyle name="Note 4 4 3 3 3 2 2 2 4" xfId="15889" xr:uid="{00000000-0005-0000-0000-0000A08A0000}"/>
    <cellStyle name="Note 4 4 3 3 3 2 2 2 5" xfId="19736" xr:uid="{00000000-0005-0000-0000-0000A18A0000}"/>
    <cellStyle name="Note 4 4 3 3 3 2 2 2 6" xfId="23652" xr:uid="{00000000-0005-0000-0000-0000A28A0000}"/>
    <cellStyle name="Note 4 4 3 3 3 2 2 2 7" xfId="27486" xr:uid="{00000000-0005-0000-0000-0000A38A0000}"/>
    <cellStyle name="Note 4 4 3 3 3 2 2 2 8" xfId="31350" xr:uid="{00000000-0005-0000-0000-0000A48A0000}"/>
    <cellStyle name="Note 4 4 3 3 3 2 2 2 9" xfId="35007" xr:uid="{00000000-0005-0000-0000-0000A58A0000}"/>
    <cellStyle name="Note 4 4 3 3 3 2 2 3" xfId="5685" xr:uid="{00000000-0005-0000-0000-0000A68A0000}"/>
    <cellStyle name="Note 4 4 3 3 3 2 2 4" xfId="10043" xr:uid="{00000000-0005-0000-0000-0000A78A0000}"/>
    <cellStyle name="Note 4 4 3 3 3 2 2 5" xfId="13889" xr:uid="{00000000-0005-0000-0000-0000A88A0000}"/>
    <cellStyle name="Note 4 4 3 3 3 2 2 6" xfId="17718" xr:uid="{00000000-0005-0000-0000-0000A98A0000}"/>
    <cellStyle name="Note 4 4 3 3 3 2 2 7" xfId="21657" xr:uid="{00000000-0005-0000-0000-0000AA8A0000}"/>
    <cellStyle name="Note 4 4 3 3 3 2 2 8" xfId="25470" xr:uid="{00000000-0005-0000-0000-0000AB8A0000}"/>
    <cellStyle name="Note 4 4 3 3 3 2 2 9" xfId="29357" xr:uid="{00000000-0005-0000-0000-0000AC8A0000}"/>
    <cellStyle name="Note 4 4 3 3 3 2 3" xfId="3013" xr:uid="{00000000-0005-0000-0000-0000AD8A0000}"/>
    <cellStyle name="Note 4 4 3 3 3 2 3 10" xfId="38065" xr:uid="{00000000-0005-0000-0000-0000AE8A0000}"/>
    <cellStyle name="Note 4 4 3 3 3 2 3 11" xfId="42077" xr:uid="{00000000-0005-0000-0000-0000AF8A0000}"/>
    <cellStyle name="Note 4 4 3 3 3 2 3 12" xfId="45852" xr:uid="{00000000-0005-0000-0000-0000B08A0000}"/>
    <cellStyle name="Note 4 4 3 3 3 2 3 2" xfId="6891" xr:uid="{00000000-0005-0000-0000-0000B18A0000}"/>
    <cellStyle name="Note 4 4 3 3 3 2 3 3" xfId="11319" xr:uid="{00000000-0005-0000-0000-0000B28A0000}"/>
    <cellStyle name="Note 4 4 3 3 3 2 3 4" xfId="15164" xr:uid="{00000000-0005-0000-0000-0000B38A0000}"/>
    <cellStyle name="Note 4 4 3 3 3 2 3 5" xfId="19007" xr:uid="{00000000-0005-0000-0000-0000B48A0000}"/>
    <cellStyle name="Note 4 4 3 3 3 2 3 6" xfId="22931" xr:uid="{00000000-0005-0000-0000-0000B58A0000}"/>
    <cellStyle name="Note 4 4 3 3 3 2 3 7" xfId="26758" xr:uid="{00000000-0005-0000-0000-0000B68A0000}"/>
    <cellStyle name="Note 4 4 3 3 3 2 3 8" xfId="30632" xr:uid="{00000000-0005-0000-0000-0000B78A0000}"/>
    <cellStyle name="Note 4 4 3 3 3 2 3 9" xfId="34290" xr:uid="{00000000-0005-0000-0000-0000B88A0000}"/>
    <cellStyle name="Note 4 4 3 3 3 2 4" xfId="4967" xr:uid="{00000000-0005-0000-0000-0000B98A0000}"/>
    <cellStyle name="Note 4 4 3 3 3 2 5" xfId="9322" xr:uid="{00000000-0005-0000-0000-0000BA8A0000}"/>
    <cellStyle name="Note 4 4 3 3 3 2 6" xfId="13163" xr:uid="{00000000-0005-0000-0000-0000BB8A0000}"/>
    <cellStyle name="Note 4 4 3 3 3 2 7" xfId="16989" xr:uid="{00000000-0005-0000-0000-0000BC8A0000}"/>
    <cellStyle name="Note 4 4 3 3 3 2 8" xfId="20931" xr:uid="{00000000-0005-0000-0000-0000BD8A0000}"/>
    <cellStyle name="Note 4 4 3 3 3 2 9" xfId="24746" xr:uid="{00000000-0005-0000-0000-0000BE8A0000}"/>
    <cellStyle name="Note 4 4 3 3 3 3" xfId="1399" xr:uid="{00000000-0005-0000-0000-0000BF8A0000}"/>
    <cellStyle name="Note 4 4 3 3 3 3 10" xfId="32686" xr:uid="{00000000-0005-0000-0000-0000C08A0000}"/>
    <cellStyle name="Note 4 4 3 3 3 3 11" xfId="36456" xr:uid="{00000000-0005-0000-0000-0000C18A0000}"/>
    <cellStyle name="Note 4 4 3 3 3 3 12" xfId="40447" xr:uid="{00000000-0005-0000-0000-0000C28A0000}"/>
    <cellStyle name="Note 4 4 3 3 3 3 13" xfId="44278" xr:uid="{00000000-0005-0000-0000-0000C38A0000}"/>
    <cellStyle name="Note 4 4 3 3 3 3 2" xfId="3389" xr:uid="{00000000-0005-0000-0000-0000C48A0000}"/>
    <cellStyle name="Note 4 4 3 3 3 3 2 10" xfId="38440" xr:uid="{00000000-0005-0000-0000-0000C58A0000}"/>
    <cellStyle name="Note 4 4 3 3 3 3 2 11" xfId="42451" xr:uid="{00000000-0005-0000-0000-0000C68A0000}"/>
    <cellStyle name="Note 4 4 3 3 3 3 2 12" xfId="46216" xr:uid="{00000000-0005-0000-0000-0000C78A0000}"/>
    <cellStyle name="Note 4 4 3 3 3 3 2 2" xfId="7256" xr:uid="{00000000-0005-0000-0000-0000C88A0000}"/>
    <cellStyle name="Note 4 4 3 3 3 3 2 3" xfId="11691" xr:uid="{00000000-0005-0000-0000-0000C98A0000}"/>
    <cellStyle name="Note 4 4 3 3 3 3 2 4" xfId="15536" xr:uid="{00000000-0005-0000-0000-0000CA8A0000}"/>
    <cellStyle name="Note 4 4 3 3 3 3 2 5" xfId="19383" xr:uid="{00000000-0005-0000-0000-0000CB8A0000}"/>
    <cellStyle name="Note 4 4 3 3 3 3 2 6" xfId="23299" xr:uid="{00000000-0005-0000-0000-0000CC8A0000}"/>
    <cellStyle name="Note 4 4 3 3 3 3 2 7" xfId="27133" xr:uid="{00000000-0005-0000-0000-0000CD8A0000}"/>
    <cellStyle name="Note 4 4 3 3 3 3 2 8" xfId="31001" xr:uid="{00000000-0005-0000-0000-0000CE8A0000}"/>
    <cellStyle name="Note 4 4 3 3 3 3 2 9" xfId="34654" xr:uid="{00000000-0005-0000-0000-0000CF8A0000}"/>
    <cellStyle name="Note 4 4 3 3 3 3 3" xfId="5332" xr:uid="{00000000-0005-0000-0000-0000D08A0000}"/>
    <cellStyle name="Note 4 4 3 3 3 3 4" xfId="9690" xr:uid="{00000000-0005-0000-0000-0000D18A0000}"/>
    <cellStyle name="Note 4 4 3 3 3 3 5" xfId="13536" xr:uid="{00000000-0005-0000-0000-0000D28A0000}"/>
    <cellStyle name="Note 4 4 3 3 3 3 6" xfId="17365" xr:uid="{00000000-0005-0000-0000-0000D38A0000}"/>
    <cellStyle name="Note 4 4 3 3 3 3 7" xfId="21304" xr:uid="{00000000-0005-0000-0000-0000D48A0000}"/>
    <cellStyle name="Note 4 4 3 3 3 3 8" xfId="25117" xr:uid="{00000000-0005-0000-0000-0000D58A0000}"/>
    <cellStyle name="Note 4 4 3 3 3 3 9" xfId="29004" xr:uid="{00000000-0005-0000-0000-0000D68A0000}"/>
    <cellStyle name="Note 4 4 3 3 3 4" xfId="2646" xr:uid="{00000000-0005-0000-0000-0000D78A0000}"/>
    <cellStyle name="Note 4 4 3 3 3 4 10" xfId="37698" xr:uid="{00000000-0005-0000-0000-0000D88A0000}"/>
    <cellStyle name="Note 4 4 3 3 3 4 11" xfId="41712" xr:uid="{00000000-0005-0000-0000-0000D98A0000}"/>
    <cellStyle name="Note 4 4 3 3 3 4 12" xfId="45499" xr:uid="{00000000-0005-0000-0000-0000DA8A0000}"/>
    <cellStyle name="Note 4 4 3 3 3 4 2" xfId="6536" xr:uid="{00000000-0005-0000-0000-0000DB8A0000}"/>
    <cellStyle name="Note 4 4 3 3 3 4 3" xfId="10960" xr:uid="{00000000-0005-0000-0000-0000DC8A0000}"/>
    <cellStyle name="Note 4 4 3 3 3 4 4" xfId="14804" xr:uid="{00000000-0005-0000-0000-0000DD8A0000}"/>
    <cellStyle name="Note 4 4 3 3 3 4 5" xfId="18640" xr:uid="{00000000-0005-0000-0000-0000DE8A0000}"/>
    <cellStyle name="Note 4 4 3 3 3 4 6" xfId="22573" xr:uid="{00000000-0005-0000-0000-0000DF8A0000}"/>
    <cellStyle name="Note 4 4 3 3 3 4 7" xfId="26391" xr:uid="{00000000-0005-0000-0000-0000E08A0000}"/>
    <cellStyle name="Note 4 4 3 3 3 4 8" xfId="30270" xr:uid="{00000000-0005-0000-0000-0000E18A0000}"/>
    <cellStyle name="Note 4 4 3 3 3 4 9" xfId="33937" xr:uid="{00000000-0005-0000-0000-0000E28A0000}"/>
    <cellStyle name="Note 4 4 3 3 3 5" xfId="4612" xr:uid="{00000000-0005-0000-0000-0000E38A0000}"/>
    <cellStyle name="Note 4 4 3 3 3 6" xfId="8952" xr:uid="{00000000-0005-0000-0000-0000E48A0000}"/>
    <cellStyle name="Note 4 4 3 3 3 7" xfId="12791" xr:uid="{00000000-0005-0000-0000-0000E58A0000}"/>
    <cellStyle name="Note 4 4 3 3 3 8" xfId="14238" xr:uid="{00000000-0005-0000-0000-0000E68A0000}"/>
    <cellStyle name="Note 4 4 3 3 3 9" xfId="20556" xr:uid="{00000000-0005-0000-0000-0000E78A0000}"/>
    <cellStyle name="Note 4 4 3 3 30" xfId="47381" xr:uid="{00000000-0005-0000-0000-0000E88A0000}"/>
    <cellStyle name="Note 4 4 3 3 31" xfId="47467" xr:uid="{00000000-0005-0000-0000-0000E98A0000}"/>
    <cellStyle name="Note 4 4 3 3 32" xfId="47516" xr:uid="{00000000-0005-0000-0000-0000EA8A0000}"/>
    <cellStyle name="Note 4 4 3 3 4" xfId="812" xr:uid="{00000000-0005-0000-0000-0000EB8A0000}"/>
    <cellStyle name="Note 4 4 3 3 4 10" xfId="24536" xr:uid="{00000000-0005-0000-0000-0000EC8A0000}"/>
    <cellStyle name="Note 4 4 3 3 4 11" xfId="28427" xr:uid="{00000000-0005-0000-0000-0000ED8A0000}"/>
    <cellStyle name="Note 4 4 3 3 4 12" xfId="32113" xr:uid="{00000000-0005-0000-0000-0000EE8A0000}"/>
    <cellStyle name="Note 4 4 3 3 4 13" xfId="35870" xr:uid="{00000000-0005-0000-0000-0000EF8A0000}"/>
    <cellStyle name="Note 4 4 3 3 4 14" xfId="39881" xr:uid="{00000000-0005-0000-0000-0000F08A0000}"/>
    <cellStyle name="Note 4 4 3 3 4 15" xfId="43696" xr:uid="{00000000-0005-0000-0000-0000F18A0000}"/>
    <cellStyle name="Note 4 4 3 3 4 2" xfId="1174" xr:uid="{00000000-0005-0000-0000-0000F28A0000}"/>
    <cellStyle name="Note 4 4 3 3 4 2 10" xfId="28783" xr:uid="{00000000-0005-0000-0000-0000F38A0000}"/>
    <cellStyle name="Note 4 4 3 3 4 2 11" xfId="32466" xr:uid="{00000000-0005-0000-0000-0000F48A0000}"/>
    <cellStyle name="Note 4 4 3 3 4 2 12" xfId="36232" xr:uid="{00000000-0005-0000-0000-0000F58A0000}"/>
    <cellStyle name="Note 4 4 3 3 4 2 13" xfId="40227" xr:uid="{00000000-0005-0000-0000-0000F68A0000}"/>
    <cellStyle name="Note 4 4 3 3 4 2 14" xfId="44058" xr:uid="{00000000-0005-0000-0000-0000F78A0000}"/>
    <cellStyle name="Note 4 4 3 3 4 2 2" xfId="1896" xr:uid="{00000000-0005-0000-0000-0000F88A0000}"/>
    <cellStyle name="Note 4 4 3 3 4 2 2 10" xfId="33183" xr:uid="{00000000-0005-0000-0000-0000F98A0000}"/>
    <cellStyle name="Note 4 4 3 3 4 2 2 11" xfId="36953" xr:uid="{00000000-0005-0000-0000-0000FA8A0000}"/>
    <cellStyle name="Note 4 4 3 3 4 2 2 12" xfId="40944" xr:uid="{00000000-0005-0000-0000-0000FB8A0000}"/>
    <cellStyle name="Note 4 4 3 3 4 2 2 13" xfId="44775" xr:uid="{00000000-0005-0000-0000-0000FC8A0000}"/>
    <cellStyle name="Note 4 4 3 3 4 2 2 2" xfId="3886" xr:uid="{00000000-0005-0000-0000-0000FD8A0000}"/>
    <cellStyle name="Note 4 4 3 3 4 2 2 2 10" xfId="38937" xr:uid="{00000000-0005-0000-0000-0000FE8A0000}"/>
    <cellStyle name="Note 4 4 3 3 4 2 2 2 11" xfId="42948" xr:uid="{00000000-0005-0000-0000-0000FF8A0000}"/>
    <cellStyle name="Note 4 4 3 3 4 2 2 2 12" xfId="46713" xr:uid="{00000000-0005-0000-0000-0000008B0000}"/>
    <cellStyle name="Note 4 4 3 3 4 2 2 2 2" xfId="7753" xr:uid="{00000000-0005-0000-0000-0000018B0000}"/>
    <cellStyle name="Note 4 4 3 3 4 2 2 2 3" xfId="12188" xr:uid="{00000000-0005-0000-0000-0000028B0000}"/>
    <cellStyle name="Note 4 4 3 3 4 2 2 2 4" xfId="16033" xr:uid="{00000000-0005-0000-0000-0000038B0000}"/>
    <cellStyle name="Note 4 4 3 3 4 2 2 2 5" xfId="19880" xr:uid="{00000000-0005-0000-0000-0000048B0000}"/>
    <cellStyle name="Note 4 4 3 3 4 2 2 2 6" xfId="23796" xr:uid="{00000000-0005-0000-0000-0000058B0000}"/>
    <cellStyle name="Note 4 4 3 3 4 2 2 2 7" xfId="27630" xr:uid="{00000000-0005-0000-0000-0000068B0000}"/>
    <cellStyle name="Note 4 4 3 3 4 2 2 2 8" xfId="31493" xr:uid="{00000000-0005-0000-0000-0000078B0000}"/>
    <cellStyle name="Note 4 4 3 3 4 2 2 2 9" xfId="35151" xr:uid="{00000000-0005-0000-0000-0000088B0000}"/>
    <cellStyle name="Note 4 4 3 3 4 2 2 3" xfId="5829" xr:uid="{00000000-0005-0000-0000-0000098B0000}"/>
    <cellStyle name="Note 4 4 3 3 4 2 2 4" xfId="10187" xr:uid="{00000000-0005-0000-0000-00000A8B0000}"/>
    <cellStyle name="Note 4 4 3 3 4 2 2 5" xfId="14033" xr:uid="{00000000-0005-0000-0000-00000B8B0000}"/>
    <cellStyle name="Note 4 4 3 3 4 2 2 6" xfId="17862" xr:uid="{00000000-0005-0000-0000-00000C8B0000}"/>
    <cellStyle name="Note 4 4 3 3 4 2 2 7" xfId="21801" xr:uid="{00000000-0005-0000-0000-00000D8B0000}"/>
    <cellStyle name="Note 4 4 3 3 4 2 2 8" xfId="25614" xr:uid="{00000000-0005-0000-0000-00000E8B0000}"/>
    <cellStyle name="Note 4 4 3 3 4 2 2 9" xfId="29501" xr:uid="{00000000-0005-0000-0000-00000F8B0000}"/>
    <cellStyle name="Note 4 4 3 3 4 2 3" xfId="3164" xr:uid="{00000000-0005-0000-0000-0000108B0000}"/>
    <cellStyle name="Note 4 4 3 3 4 2 3 10" xfId="38216" xr:uid="{00000000-0005-0000-0000-0000118B0000}"/>
    <cellStyle name="Note 4 4 3 3 4 2 3 11" xfId="42227" xr:uid="{00000000-0005-0000-0000-0000128B0000}"/>
    <cellStyle name="Note 4 4 3 3 4 2 3 12" xfId="45996" xr:uid="{00000000-0005-0000-0000-0000138B0000}"/>
    <cellStyle name="Note 4 4 3 3 4 2 3 2" xfId="7036" xr:uid="{00000000-0005-0000-0000-0000148B0000}"/>
    <cellStyle name="Note 4 4 3 3 4 2 3 3" xfId="11468" xr:uid="{00000000-0005-0000-0000-0000158B0000}"/>
    <cellStyle name="Note 4 4 3 3 4 2 3 4" xfId="15312" xr:uid="{00000000-0005-0000-0000-0000168B0000}"/>
    <cellStyle name="Note 4 4 3 3 4 2 3 5" xfId="19158" xr:uid="{00000000-0005-0000-0000-0000178B0000}"/>
    <cellStyle name="Note 4 4 3 3 4 2 3 6" xfId="23077" xr:uid="{00000000-0005-0000-0000-0000188B0000}"/>
    <cellStyle name="Note 4 4 3 3 4 2 3 7" xfId="26909" xr:uid="{00000000-0005-0000-0000-0000198B0000}"/>
    <cellStyle name="Note 4 4 3 3 4 2 3 8" xfId="30781" xr:uid="{00000000-0005-0000-0000-00001A8B0000}"/>
    <cellStyle name="Note 4 4 3 3 4 2 3 9" xfId="34434" xr:uid="{00000000-0005-0000-0000-00001B8B0000}"/>
    <cellStyle name="Note 4 4 3 3 4 2 4" xfId="5112" xr:uid="{00000000-0005-0000-0000-00001C8B0000}"/>
    <cellStyle name="Note 4 4 3 3 4 2 5" xfId="9468" xr:uid="{00000000-0005-0000-0000-00001D8B0000}"/>
    <cellStyle name="Note 4 4 3 3 4 2 6" xfId="13312" xr:uid="{00000000-0005-0000-0000-00001E8B0000}"/>
    <cellStyle name="Note 4 4 3 3 4 2 7" xfId="17140" xr:uid="{00000000-0005-0000-0000-00001F8B0000}"/>
    <cellStyle name="Note 4 4 3 3 4 2 8" xfId="21082" xr:uid="{00000000-0005-0000-0000-0000208B0000}"/>
    <cellStyle name="Note 4 4 3 3 4 2 9" xfId="24893" xr:uid="{00000000-0005-0000-0000-0000218B0000}"/>
    <cellStyle name="Note 4 4 3 3 4 3" xfId="1543" xr:uid="{00000000-0005-0000-0000-0000228B0000}"/>
    <cellStyle name="Note 4 4 3 3 4 3 10" xfId="32830" xr:uid="{00000000-0005-0000-0000-0000238B0000}"/>
    <cellStyle name="Note 4 4 3 3 4 3 11" xfId="36600" xr:uid="{00000000-0005-0000-0000-0000248B0000}"/>
    <cellStyle name="Note 4 4 3 3 4 3 12" xfId="40591" xr:uid="{00000000-0005-0000-0000-0000258B0000}"/>
    <cellStyle name="Note 4 4 3 3 4 3 13" xfId="44422" xr:uid="{00000000-0005-0000-0000-0000268B0000}"/>
    <cellStyle name="Note 4 4 3 3 4 3 2" xfId="3533" xr:uid="{00000000-0005-0000-0000-0000278B0000}"/>
    <cellStyle name="Note 4 4 3 3 4 3 2 10" xfId="38584" xr:uid="{00000000-0005-0000-0000-0000288B0000}"/>
    <cellStyle name="Note 4 4 3 3 4 3 2 11" xfId="42595" xr:uid="{00000000-0005-0000-0000-0000298B0000}"/>
    <cellStyle name="Note 4 4 3 3 4 3 2 12" xfId="46360" xr:uid="{00000000-0005-0000-0000-00002A8B0000}"/>
    <cellStyle name="Note 4 4 3 3 4 3 2 2" xfId="7400" xr:uid="{00000000-0005-0000-0000-00002B8B0000}"/>
    <cellStyle name="Note 4 4 3 3 4 3 2 3" xfId="11835" xr:uid="{00000000-0005-0000-0000-00002C8B0000}"/>
    <cellStyle name="Note 4 4 3 3 4 3 2 4" xfId="15680" xr:uid="{00000000-0005-0000-0000-00002D8B0000}"/>
    <cellStyle name="Note 4 4 3 3 4 3 2 5" xfId="19527" xr:uid="{00000000-0005-0000-0000-00002E8B0000}"/>
    <cellStyle name="Note 4 4 3 3 4 3 2 6" xfId="23443" xr:uid="{00000000-0005-0000-0000-00002F8B0000}"/>
    <cellStyle name="Note 4 4 3 3 4 3 2 7" xfId="27277" xr:uid="{00000000-0005-0000-0000-0000308B0000}"/>
    <cellStyle name="Note 4 4 3 3 4 3 2 8" xfId="31144" xr:uid="{00000000-0005-0000-0000-0000318B0000}"/>
    <cellStyle name="Note 4 4 3 3 4 3 2 9" xfId="34798" xr:uid="{00000000-0005-0000-0000-0000328B0000}"/>
    <cellStyle name="Note 4 4 3 3 4 3 3" xfId="5476" xr:uid="{00000000-0005-0000-0000-0000338B0000}"/>
    <cellStyle name="Note 4 4 3 3 4 3 4" xfId="9834" xr:uid="{00000000-0005-0000-0000-0000348B0000}"/>
    <cellStyle name="Note 4 4 3 3 4 3 5" xfId="13680" xr:uid="{00000000-0005-0000-0000-0000358B0000}"/>
    <cellStyle name="Note 4 4 3 3 4 3 6" xfId="17509" xr:uid="{00000000-0005-0000-0000-0000368B0000}"/>
    <cellStyle name="Note 4 4 3 3 4 3 7" xfId="21448" xr:uid="{00000000-0005-0000-0000-0000378B0000}"/>
    <cellStyle name="Note 4 4 3 3 4 3 8" xfId="25261" xr:uid="{00000000-0005-0000-0000-0000388B0000}"/>
    <cellStyle name="Note 4 4 3 3 4 3 9" xfId="29148" xr:uid="{00000000-0005-0000-0000-0000398B0000}"/>
    <cellStyle name="Note 4 4 3 3 4 4" xfId="2802" xr:uid="{00000000-0005-0000-0000-00003A8B0000}"/>
    <cellStyle name="Note 4 4 3 3 4 4 10" xfId="37854" xr:uid="{00000000-0005-0000-0000-00003B8B0000}"/>
    <cellStyle name="Note 4 4 3 3 4 4 11" xfId="41866" xr:uid="{00000000-0005-0000-0000-00003C8B0000}"/>
    <cellStyle name="Note 4 4 3 3 4 4 12" xfId="45643" xr:uid="{00000000-0005-0000-0000-00003D8B0000}"/>
    <cellStyle name="Note 4 4 3 3 4 4 2" xfId="6682" xr:uid="{00000000-0005-0000-0000-00003E8B0000}"/>
    <cellStyle name="Note 4 4 3 3 4 4 3" xfId="11109" xr:uid="{00000000-0005-0000-0000-00003F8B0000}"/>
    <cellStyle name="Note 4 4 3 3 4 4 4" xfId="14954" xr:uid="{00000000-0005-0000-0000-0000408B0000}"/>
    <cellStyle name="Note 4 4 3 3 4 4 5" xfId="18796" xr:uid="{00000000-0005-0000-0000-0000418B0000}"/>
    <cellStyle name="Note 4 4 3 3 4 4 6" xfId="22722" xr:uid="{00000000-0005-0000-0000-0000428B0000}"/>
    <cellStyle name="Note 4 4 3 3 4 4 7" xfId="26547" xr:uid="{00000000-0005-0000-0000-0000438B0000}"/>
    <cellStyle name="Note 4 4 3 3 4 4 8" xfId="30425" xr:uid="{00000000-0005-0000-0000-0000448B0000}"/>
    <cellStyle name="Note 4 4 3 3 4 4 9" xfId="34081" xr:uid="{00000000-0005-0000-0000-0000458B0000}"/>
    <cellStyle name="Note 4 4 3 3 4 5" xfId="4758" xr:uid="{00000000-0005-0000-0000-0000468B0000}"/>
    <cellStyle name="Note 4 4 3 3 4 6" xfId="9112" xr:uid="{00000000-0005-0000-0000-0000478B0000}"/>
    <cellStyle name="Note 4 4 3 3 4 7" xfId="12953" xr:uid="{00000000-0005-0000-0000-0000488B0000}"/>
    <cellStyle name="Note 4 4 3 3 4 8" xfId="16778" xr:uid="{00000000-0005-0000-0000-0000498B0000}"/>
    <cellStyle name="Note 4 4 3 3 4 9" xfId="20720" xr:uid="{00000000-0005-0000-0000-00004A8B0000}"/>
    <cellStyle name="Note 4 4 3 3 5" xfId="904" xr:uid="{00000000-0005-0000-0000-00004B8B0000}"/>
    <cellStyle name="Note 4 4 3 3 5 10" xfId="24628" xr:uid="{00000000-0005-0000-0000-00004C8B0000}"/>
    <cellStyle name="Note 4 4 3 3 5 11" xfId="28518" xr:uid="{00000000-0005-0000-0000-00004D8B0000}"/>
    <cellStyle name="Note 4 4 3 3 5 12" xfId="32205" xr:uid="{00000000-0005-0000-0000-00004E8B0000}"/>
    <cellStyle name="Note 4 4 3 3 5 13" xfId="35962" xr:uid="{00000000-0005-0000-0000-00004F8B0000}"/>
    <cellStyle name="Note 4 4 3 3 5 14" xfId="39972" xr:uid="{00000000-0005-0000-0000-0000508B0000}"/>
    <cellStyle name="Note 4 4 3 3 5 15" xfId="43788" xr:uid="{00000000-0005-0000-0000-0000518B0000}"/>
    <cellStyle name="Note 4 4 3 3 5 2" xfId="1241" xr:uid="{00000000-0005-0000-0000-0000528B0000}"/>
    <cellStyle name="Note 4 4 3 3 5 2 10" xfId="28849" xr:uid="{00000000-0005-0000-0000-0000538B0000}"/>
    <cellStyle name="Note 4 4 3 3 5 2 11" xfId="32533" xr:uid="{00000000-0005-0000-0000-0000548B0000}"/>
    <cellStyle name="Note 4 4 3 3 5 2 12" xfId="36299" xr:uid="{00000000-0005-0000-0000-0000558B0000}"/>
    <cellStyle name="Note 4 4 3 3 5 2 13" xfId="40292" xr:uid="{00000000-0005-0000-0000-0000568B0000}"/>
    <cellStyle name="Note 4 4 3 3 5 2 14" xfId="44125" xr:uid="{00000000-0005-0000-0000-0000578B0000}"/>
    <cellStyle name="Note 4 4 3 3 5 2 2" xfId="1963" xr:uid="{00000000-0005-0000-0000-0000588B0000}"/>
    <cellStyle name="Note 4 4 3 3 5 2 2 10" xfId="33250" xr:uid="{00000000-0005-0000-0000-0000598B0000}"/>
    <cellStyle name="Note 4 4 3 3 5 2 2 11" xfId="37020" xr:uid="{00000000-0005-0000-0000-00005A8B0000}"/>
    <cellStyle name="Note 4 4 3 3 5 2 2 12" xfId="41011" xr:uid="{00000000-0005-0000-0000-00005B8B0000}"/>
    <cellStyle name="Note 4 4 3 3 5 2 2 13" xfId="44842" xr:uid="{00000000-0005-0000-0000-00005C8B0000}"/>
    <cellStyle name="Note 4 4 3 3 5 2 2 2" xfId="3953" xr:uid="{00000000-0005-0000-0000-00005D8B0000}"/>
    <cellStyle name="Note 4 4 3 3 5 2 2 2 10" xfId="39004" xr:uid="{00000000-0005-0000-0000-00005E8B0000}"/>
    <cellStyle name="Note 4 4 3 3 5 2 2 2 11" xfId="43015" xr:uid="{00000000-0005-0000-0000-00005F8B0000}"/>
    <cellStyle name="Note 4 4 3 3 5 2 2 2 12" xfId="46780" xr:uid="{00000000-0005-0000-0000-0000608B0000}"/>
    <cellStyle name="Note 4 4 3 3 5 2 2 2 2" xfId="7820" xr:uid="{00000000-0005-0000-0000-0000618B0000}"/>
    <cellStyle name="Note 4 4 3 3 5 2 2 2 3" xfId="12255" xr:uid="{00000000-0005-0000-0000-0000628B0000}"/>
    <cellStyle name="Note 4 4 3 3 5 2 2 2 4" xfId="16100" xr:uid="{00000000-0005-0000-0000-0000638B0000}"/>
    <cellStyle name="Note 4 4 3 3 5 2 2 2 5" xfId="19947" xr:uid="{00000000-0005-0000-0000-0000648B0000}"/>
    <cellStyle name="Note 4 4 3 3 5 2 2 2 6" xfId="23863" xr:uid="{00000000-0005-0000-0000-0000658B0000}"/>
    <cellStyle name="Note 4 4 3 3 5 2 2 2 7" xfId="27697" xr:uid="{00000000-0005-0000-0000-0000668B0000}"/>
    <cellStyle name="Note 4 4 3 3 5 2 2 2 8" xfId="31558" xr:uid="{00000000-0005-0000-0000-0000678B0000}"/>
    <cellStyle name="Note 4 4 3 3 5 2 2 2 9" xfId="35218" xr:uid="{00000000-0005-0000-0000-0000688B0000}"/>
    <cellStyle name="Note 4 4 3 3 5 2 2 3" xfId="5896" xr:uid="{00000000-0005-0000-0000-0000698B0000}"/>
    <cellStyle name="Note 4 4 3 3 5 2 2 4" xfId="10254" xr:uid="{00000000-0005-0000-0000-00006A8B0000}"/>
    <cellStyle name="Note 4 4 3 3 5 2 2 5" xfId="14100" xr:uid="{00000000-0005-0000-0000-00006B8B0000}"/>
    <cellStyle name="Note 4 4 3 3 5 2 2 6" xfId="17929" xr:uid="{00000000-0005-0000-0000-00006C8B0000}"/>
    <cellStyle name="Note 4 4 3 3 5 2 2 7" xfId="21868" xr:uid="{00000000-0005-0000-0000-00006D8B0000}"/>
    <cellStyle name="Note 4 4 3 3 5 2 2 8" xfId="25681" xr:uid="{00000000-0005-0000-0000-00006E8B0000}"/>
    <cellStyle name="Note 4 4 3 3 5 2 2 9" xfId="29568" xr:uid="{00000000-0005-0000-0000-00006F8B0000}"/>
    <cellStyle name="Note 4 4 3 3 5 2 3" xfId="3231" xr:uid="{00000000-0005-0000-0000-0000708B0000}"/>
    <cellStyle name="Note 4 4 3 3 5 2 3 10" xfId="38283" xr:uid="{00000000-0005-0000-0000-0000718B0000}"/>
    <cellStyle name="Note 4 4 3 3 5 2 3 11" xfId="42294" xr:uid="{00000000-0005-0000-0000-0000728B0000}"/>
    <cellStyle name="Note 4 4 3 3 5 2 3 12" xfId="46063" xr:uid="{00000000-0005-0000-0000-0000738B0000}"/>
    <cellStyle name="Note 4 4 3 3 5 2 3 2" xfId="7103" xr:uid="{00000000-0005-0000-0000-0000748B0000}"/>
    <cellStyle name="Note 4 4 3 3 5 2 3 3" xfId="11535" xr:uid="{00000000-0005-0000-0000-0000758B0000}"/>
    <cellStyle name="Note 4 4 3 3 5 2 3 4" xfId="15379" xr:uid="{00000000-0005-0000-0000-0000768B0000}"/>
    <cellStyle name="Note 4 4 3 3 5 2 3 5" xfId="19225" xr:uid="{00000000-0005-0000-0000-0000778B0000}"/>
    <cellStyle name="Note 4 4 3 3 5 2 3 6" xfId="23144" xr:uid="{00000000-0005-0000-0000-0000788B0000}"/>
    <cellStyle name="Note 4 4 3 3 5 2 3 7" xfId="26976" xr:uid="{00000000-0005-0000-0000-0000798B0000}"/>
    <cellStyle name="Note 4 4 3 3 5 2 3 8" xfId="30846" xr:uid="{00000000-0005-0000-0000-00007A8B0000}"/>
    <cellStyle name="Note 4 4 3 3 5 2 3 9" xfId="34501" xr:uid="{00000000-0005-0000-0000-00007B8B0000}"/>
    <cellStyle name="Note 4 4 3 3 5 2 4" xfId="5179" xr:uid="{00000000-0005-0000-0000-00007C8B0000}"/>
    <cellStyle name="Note 4 4 3 3 5 2 5" xfId="9535" xr:uid="{00000000-0005-0000-0000-00007D8B0000}"/>
    <cellStyle name="Note 4 4 3 3 5 2 6" xfId="13379" xr:uid="{00000000-0005-0000-0000-00007E8B0000}"/>
    <cellStyle name="Note 4 4 3 3 5 2 7" xfId="17207" xr:uid="{00000000-0005-0000-0000-00007F8B0000}"/>
    <cellStyle name="Note 4 4 3 3 5 2 8" xfId="21149" xr:uid="{00000000-0005-0000-0000-0000808B0000}"/>
    <cellStyle name="Note 4 4 3 3 5 2 9" xfId="24960" xr:uid="{00000000-0005-0000-0000-0000818B0000}"/>
    <cellStyle name="Note 4 4 3 3 5 3" xfId="1635" xr:uid="{00000000-0005-0000-0000-0000828B0000}"/>
    <cellStyle name="Note 4 4 3 3 5 3 10" xfId="32922" xr:uid="{00000000-0005-0000-0000-0000838B0000}"/>
    <cellStyle name="Note 4 4 3 3 5 3 11" xfId="36692" xr:uid="{00000000-0005-0000-0000-0000848B0000}"/>
    <cellStyle name="Note 4 4 3 3 5 3 12" xfId="40683" xr:uid="{00000000-0005-0000-0000-0000858B0000}"/>
    <cellStyle name="Note 4 4 3 3 5 3 13" xfId="44514" xr:uid="{00000000-0005-0000-0000-0000868B0000}"/>
    <cellStyle name="Note 4 4 3 3 5 3 2" xfId="3625" xr:uid="{00000000-0005-0000-0000-0000878B0000}"/>
    <cellStyle name="Note 4 4 3 3 5 3 2 10" xfId="38676" xr:uid="{00000000-0005-0000-0000-0000888B0000}"/>
    <cellStyle name="Note 4 4 3 3 5 3 2 11" xfId="42687" xr:uid="{00000000-0005-0000-0000-0000898B0000}"/>
    <cellStyle name="Note 4 4 3 3 5 3 2 12" xfId="46452" xr:uid="{00000000-0005-0000-0000-00008A8B0000}"/>
    <cellStyle name="Note 4 4 3 3 5 3 2 2" xfId="7492" xr:uid="{00000000-0005-0000-0000-00008B8B0000}"/>
    <cellStyle name="Note 4 4 3 3 5 3 2 3" xfId="11927" xr:uid="{00000000-0005-0000-0000-00008C8B0000}"/>
    <cellStyle name="Note 4 4 3 3 5 3 2 4" xfId="15772" xr:uid="{00000000-0005-0000-0000-00008D8B0000}"/>
    <cellStyle name="Note 4 4 3 3 5 3 2 5" xfId="19619" xr:uid="{00000000-0005-0000-0000-00008E8B0000}"/>
    <cellStyle name="Note 4 4 3 3 5 3 2 6" xfId="23535" xr:uid="{00000000-0005-0000-0000-00008F8B0000}"/>
    <cellStyle name="Note 4 4 3 3 5 3 2 7" xfId="27369" xr:uid="{00000000-0005-0000-0000-0000908B0000}"/>
    <cellStyle name="Note 4 4 3 3 5 3 2 8" xfId="31234" xr:uid="{00000000-0005-0000-0000-0000918B0000}"/>
    <cellStyle name="Note 4 4 3 3 5 3 2 9" xfId="34890" xr:uid="{00000000-0005-0000-0000-0000928B0000}"/>
    <cellStyle name="Note 4 4 3 3 5 3 3" xfId="5568" xr:uid="{00000000-0005-0000-0000-0000938B0000}"/>
    <cellStyle name="Note 4 4 3 3 5 3 4" xfId="9926" xr:uid="{00000000-0005-0000-0000-0000948B0000}"/>
    <cellStyle name="Note 4 4 3 3 5 3 5" xfId="13772" xr:uid="{00000000-0005-0000-0000-0000958B0000}"/>
    <cellStyle name="Note 4 4 3 3 5 3 6" xfId="17601" xr:uid="{00000000-0005-0000-0000-0000968B0000}"/>
    <cellStyle name="Note 4 4 3 3 5 3 7" xfId="21540" xr:uid="{00000000-0005-0000-0000-0000978B0000}"/>
    <cellStyle name="Note 4 4 3 3 5 3 8" xfId="25353" xr:uid="{00000000-0005-0000-0000-0000988B0000}"/>
    <cellStyle name="Note 4 4 3 3 5 3 9" xfId="29240" xr:uid="{00000000-0005-0000-0000-0000998B0000}"/>
    <cellStyle name="Note 4 4 3 3 5 4" xfId="2894" xr:uid="{00000000-0005-0000-0000-00009A8B0000}"/>
    <cellStyle name="Note 4 4 3 3 5 4 10" xfId="37946" xr:uid="{00000000-0005-0000-0000-00009B8B0000}"/>
    <cellStyle name="Note 4 4 3 3 5 4 11" xfId="41958" xr:uid="{00000000-0005-0000-0000-00009C8B0000}"/>
    <cellStyle name="Note 4 4 3 3 5 4 12" xfId="45735" xr:uid="{00000000-0005-0000-0000-00009D8B0000}"/>
    <cellStyle name="Note 4 4 3 3 5 4 2" xfId="6774" xr:uid="{00000000-0005-0000-0000-00009E8B0000}"/>
    <cellStyle name="Note 4 4 3 3 5 4 3" xfId="11201" xr:uid="{00000000-0005-0000-0000-00009F8B0000}"/>
    <cellStyle name="Note 4 4 3 3 5 4 4" xfId="15046" xr:uid="{00000000-0005-0000-0000-0000A08B0000}"/>
    <cellStyle name="Note 4 4 3 3 5 4 5" xfId="18888" xr:uid="{00000000-0005-0000-0000-0000A18B0000}"/>
    <cellStyle name="Note 4 4 3 3 5 4 6" xfId="22814" xr:uid="{00000000-0005-0000-0000-0000A28B0000}"/>
    <cellStyle name="Note 4 4 3 3 5 4 7" xfId="26639" xr:uid="{00000000-0005-0000-0000-0000A38B0000}"/>
    <cellStyle name="Note 4 4 3 3 5 4 8" xfId="30515" xr:uid="{00000000-0005-0000-0000-0000A48B0000}"/>
    <cellStyle name="Note 4 4 3 3 5 4 9" xfId="34173" xr:uid="{00000000-0005-0000-0000-0000A58B0000}"/>
    <cellStyle name="Note 4 4 3 3 5 5" xfId="4850" xr:uid="{00000000-0005-0000-0000-0000A68B0000}"/>
    <cellStyle name="Note 4 4 3 3 5 6" xfId="9204" xr:uid="{00000000-0005-0000-0000-0000A78B0000}"/>
    <cellStyle name="Note 4 4 3 3 5 7" xfId="13045" xr:uid="{00000000-0005-0000-0000-0000A88B0000}"/>
    <cellStyle name="Note 4 4 3 3 5 8" xfId="16870" xr:uid="{00000000-0005-0000-0000-0000A98B0000}"/>
    <cellStyle name="Note 4 4 3 3 5 9" xfId="20812" xr:uid="{00000000-0005-0000-0000-0000AA8B0000}"/>
    <cellStyle name="Note 4 4 3 3 6" xfId="950" xr:uid="{00000000-0005-0000-0000-0000AB8B0000}"/>
    <cellStyle name="Note 4 4 3 3 6 10" xfId="28562" xr:uid="{00000000-0005-0000-0000-0000AC8B0000}"/>
    <cellStyle name="Note 4 4 3 3 6 11" xfId="32251" xr:uid="{00000000-0005-0000-0000-0000AD8B0000}"/>
    <cellStyle name="Note 4 4 3 3 6 12" xfId="36008" xr:uid="{00000000-0005-0000-0000-0000AE8B0000}"/>
    <cellStyle name="Note 4 4 3 3 6 13" xfId="40016" xr:uid="{00000000-0005-0000-0000-0000AF8B0000}"/>
    <cellStyle name="Note 4 4 3 3 6 14" xfId="43834" xr:uid="{00000000-0005-0000-0000-0000B08B0000}"/>
    <cellStyle name="Note 4 4 3 3 6 2" xfId="1681" xr:uid="{00000000-0005-0000-0000-0000B18B0000}"/>
    <cellStyle name="Note 4 4 3 3 6 2 10" xfId="32968" xr:uid="{00000000-0005-0000-0000-0000B28B0000}"/>
    <cellStyle name="Note 4 4 3 3 6 2 11" xfId="36738" xr:uid="{00000000-0005-0000-0000-0000B38B0000}"/>
    <cellStyle name="Note 4 4 3 3 6 2 12" xfId="40729" xr:uid="{00000000-0005-0000-0000-0000B48B0000}"/>
    <cellStyle name="Note 4 4 3 3 6 2 13" xfId="44560" xr:uid="{00000000-0005-0000-0000-0000B58B0000}"/>
    <cellStyle name="Note 4 4 3 3 6 2 2" xfId="3671" xr:uid="{00000000-0005-0000-0000-0000B68B0000}"/>
    <cellStyle name="Note 4 4 3 3 6 2 2 10" xfId="38722" xr:uid="{00000000-0005-0000-0000-0000B78B0000}"/>
    <cellStyle name="Note 4 4 3 3 6 2 2 11" xfId="42733" xr:uid="{00000000-0005-0000-0000-0000B88B0000}"/>
    <cellStyle name="Note 4 4 3 3 6 2 2 12" xfId="46498" xr:uid="{00000000-0005-0000-0000-0000B98B0000}"/>
    <cellStyle name="Note 4 4 3 3 6 2 2 2" xfId="7538" xr:uid="{00000000-0005-0000-0000-0000BA8B0000}"/>
    <cellStyle name="Note 4 4 3 3 6 2 2 3" xfId="11973" xr:uid="{00000000-0005-0000-0000-0000BB8B0000}"/>
    <cellStyle name="Note 4 4 3 3 6 2 2 4" xfId="15818" xr:uid="{00000000-0005-0000-0000-0000BC8B0000}"/>
    <cellStyle name="Note 4 4 3 3 6 2 2 5" xfId="19665" xr:uid="{00000000-0005-0000-0000-0000BD8B0000}"/>
    <cellStyle name="Note 4 4 3 3 6 2 2 6" xfId="23581" xr:uid="{00000000-0005-0000-0000-0000BE8B0000}"/>
    <cellStyle name="Note 4 4 3 3 6 2 2 7" xfId="27415" xr:uid="{00000000-0005-0000-0000-0000BF8B0000}"/>
    <cellStyle name="Note 4 4 3 3 6 2 2 8" xfId="31279" xr:uid="{00000000-0005-0000-0000-0000C08B0000}"/>
    <cellStyle name="Note 4 4 3 3 6 2 2 9" xfId="34936" xr:uid="{00000000-0005-0000-0000-0000C18B0000}"/>
    <cellStyle name="Note 4 4 3 3 6 2 3" xfId="5614" xr:uid="{00000000-0005-0000-0000-0000C28B0000}"/>
    <cellStyle name="Note 4 4 3 3 6 2 4" xfId="9972" xr:uid="{00000000-0005-0000-0000-0000C38B0000}"/>
    <cellStyle name="Note 4 4 3 3 6 2 5" xfId="13818" xr:uid="{00000000-0005-0000-0000-0000C48B0000}"/>
    <cellStyle name="Note 4 4 3 3 6 2 6" xfId="17647" xr:uid="{00000000-0005-0000-0000-0000C58B0000}"/>
    <cellStyle name="Note 4 4 3 3 6 2 7" xfId="21586" xr:uid="{00000000-0005-0000-0000-0000C68B0000}"/>
    <cellStyle name="Note 4 4 3 3 6 2 8" xfId="25399" xr:uid="{00000000-0005-0000-0000-0000C78B0000}"/>
    <cellStyle name="Note 4 4 3 3 6 2 9" xfId="29286" xr:uid="{00000000-0005-0000-0000-0000C88B0000}"/>
    <cellStyle name="Note 4 4 3 3 6 3" xfId="2940" xr:uid="{00000000-0005-0000-0000-0000C98B0000}"/>
    <cellStyle name="Note 4 4 3 3 6 3 10" xfId="37992" xr:uid="{00000000-0005-0000-0000-0000CA8B0000}"/>
    <cellStyle name="Note 4 4 3 3 6 3 11" xfId="42004" xr:uid="{00000000-0005-0000-0000-0000CB8B0000}"/>
    <cellStyle name="Note 4 4 3 3 6 3 12" xfId="45781" xr:uid="{00000000-0005-0000-0000-0000CC8B0000}"/>
    <cellStyle name="Note 4 4 3 3 6 3 2" xfId="6820" xr:uid="{00000000-0005-0000-0000-0000CD8B0000}"/>
    <cellStyle name="Note 4 4 3 3 6 3 3" xfId="11247" xr:uid="{00000000-0005-0000-0000-0000CE8B0000}"/>
    <cellStyle name="Note 4 4 3 3 6 3 4" xfId="15092" xr:uid="{00000000-0005-0000-0000-0000CF8B0000}"/>
    <cellStyle name="Note 4 4 3 3 6 3 5" xfId="18934" xr:uid="{00000000-0005-0000-0000-0000D08B0000}"/>
    <cellStyle name="Note 4 4 3 3 6 3 6" xfId="22860" xr:uid="{00000000-0005-0000-0000-0000D18B0000}"/>
    <cellStyle name="Note 4 4 3 3 6 3 7" xfId="26685" xr:uid="{00000000-0005-0000-0000-0000D28B0000}"/>
    <cellStyle name="Note 4 4 3 3 6 3 8" xfId="30560" xr:uid="{00000000-0005-0000-0000-0000D38B0000}"/>
    <cellStyle name="Note 4 4 3 3 6 3 9" xfId="34219" xr:uid="{00000000-0005-0000-0000-0000D48B0000}"/>
    <cellStyle name="Note 4 4 3 3 6 4" xfId="4896" xr:uid="{00000000-0005-0000-0000-0000D58B0000}"/>
    <cellStyle name="Note 4 4 3 3 6 5" xfId="9250" xr:uid="{00000000-0005-0000-0000-0000D68B0000}"/>
    <cellStyle name="Note 4 4 3 3 6 6" xfId="13091" xr:uid="{00000000-0005-0000-0000-0000D78B0000}"/>
    <cellStyle name="Note 4 4 3 3 6 7" xfId="16916" xr:uid="{00000000-0005-0000-0000-0000D88B0000}"/>
    <cellStyle name="Note 4 4 3 3 6 8" xfId="20858" xr:uid="{00000000-0005-0000-0000-0000D98B0000}"/>
    <cellStyle name="Note 4 4 3 3 6 9" xfId="24674" xr:uid="{00000000-0005-0000-0000-0000DA8B0000}"/>
    <cellStyle name="Note 4 4 3 3 7" xfId="1328" xr:uid="{00000000-0005-0000-0000-0000DB8B0000}"/>
    <cellStyle name="Note 4 4 3 3 7 10" xfId="32615" xr:uid="{00000000-0005-0000-0000-0000DC8B0000}"/>
    <cellStyle name="Note 4 4 3 3 7 11" xfId="36385" xr:uid="{00000000-0005-0000-0000-0000DD8B0000}"/>
    <cellStyle name="Note 4 4 3 3 7 12" xfId="40376" xr:uid="{00000000-0005-0000-0000-0000DE8B0000}"/>
    <cellStyle name="Note 4 4 3 3 7 13" xfId="44207" xr:uid="{00000000-0005-0000-0000-0000DF8B0000}"/>
    <cellStyle name="Note 4 4 3 3 7 2" xfId="3318" xr:uid="{00000000-0005-0000-0000-0000E08B0000}"/>
    <cellStyle name="Note 4 4 3 3 7 2 10" xfId="38369" xr:uid="{00000000-0005-0000-0000-0000E18B0000}"/>
    <cellStyle name="Note 4 4 3 3 7 2 11" xfId="42380" xr:uid="{00000000-0005-0000-0000-0000E28B0000}"/>
    <cellStyle name="Note 4 4 3 3 7 2 12" xfId="46145" xr:uid="{00000000-0005-0000-0000-0000E38B0000}"/>
    <cellStyle name="Note 4 4 3 3 7 2 2" xfId="7185" xr:uid="{00000000-0005-0000-0000-0000E48B0000}"/>
    <cellStyle name="Note 4 4 3 3 7 2 3" xfId="11620" xr:uid="{00000000-0005-0000-0000-0000E58B0000}"/>
    <cellStyle name="Note 4 4 3 3 7 2 4" xfId="15465" xr:uid="{00000000-0005-0000-0000-0000E68B0000}"/>
    <cellStyle name="Note 4 4 3 3 7 2 5" xfId="19312" xr:uid="{00000000-0005-0000-0000-0000E78B0000}"/>
    <cellStyle name="Note 4 4 3 3 7 2 6" xfId="23228" xr:uid="{00000000-0005-0000-0000-0000E88B0000}"/>
    <cellStyle name="Note 4 4 3 3 7 2 7" xfId="27062" xr:uid="{00000000-0005-0000-0000-0000E98B0000}"/>
    <cellStyle name="Note 4 4 3 3 7 2 8" xfId="30931" xr:uid="{00000000-0005-0000-0000-0000EA8B0000}"/>
    <cellStyle name="Note 4 4 3 3 7 2 9" xfId="34583" xr:uid="{00000000-0005-0000-0000-0000EB8B0000}"/>
    <cellStyle name="Note 4 4 3 3 7 3" xfId="5261" xr:uid="{00000000-0005-0000-0000-0000EC8B0000}"/>
    <cellStyle name="Note 4 4 3 3 7 4" xfId="9619" xr:uid="{00000000-0005-0000-0000-0000ED8B0000}"/>
    <cellStyle name="Note 4 4 3 3 7 5" xfId="13465" xr:uid="{00000000-0005-0000-0000-0000EE8B0000}"/>
    <cellStyle name="Note 4 4 3 3 7 6" xfId="17294" xr:uid="{00000000-0005-0000-0000-0000EF8B0000}"/>
    <cellStyle name="Note 4 4 3 3 7 7" xfId="21233" xr:uid="{00000000-0005-0000-0000-0000F08B0000}"/>
    <cellStyle name="Note 4 4 3 3 7 8" xfId="25046" xr:uid="{00000000-0005-0000-0000-0000F18B0000}"/>
    <cellStyle name="Note 4 4 3 3 7 9" xfId="28933" xr:uid="{00000000-0005-0000-0000-0000F28B0000}"/>
    <cellStyle name="Note 4 4 3 3 8" xfId="2025" xr:uid="{00000000-0005-0000-0000-0000F38B0000}"/>
    <cellStyle name="Note 4 4 3 3 8 10" xfId="33310" xr:uid="{00000000-0005-0000-0000-0000F48B0000}"/>
    <cellStyle name="Note 4 4 3 3 8 11" xfId="37081" xr:uid="{00000000-0005-0000-0000-0000F58B0000}"/>
    <cellStyle name="Note 4 4 3 3 8 12" xfId="41073" xr:uid="{00000000-0005-0000-0000-0000F68B0000}"/>
    <cellStyle name="Note 4 4 3 3 8 13" xfId="44901" xr:uid="{00000000-0005-0000-0000-0000F78B0000}"/>
    <cellStyle name="Note 4 4 3 3 8 2" xfId="4014" xr:uid="{00000000-0005-0000-0000-0000F88B0000}"/>
    <cellStyle name="Note 4 4 3 3 8 2 10" xfId="39065" xr:uid="{00000000-0005-0000-0000-0000F98B0000}"/>
    <cellStyle name="Note 4 4 3 3 8 2 11" xfId="43076" xr:uid="{00000000-0005-0000-0000-0000FA8B0000}"/>
    <cellStyle name="Note 4 4 3 3 8 2 12" xfId="46839" xr:uid="{00000000-0005-0000-0000-0000FB8B0000}"/>
    <cellStyle name="Note 4 4 3 3 8 2 2" xfId="7879" xr:uid="{00000000-0005-0000-0000-0000FC8B0000}"/>
    <cellStyle name="Note 4 4 3 3 8 2 3" xfId="12315" xr:uid="{00000000-0005-0000-0000-0000FD8B0000}"/>
    <cellStyle name="Note 4 4 3 3 8 2 4" xfId="16160" xr:uid="{00000000-0005-0000-0000-0000FE8B0000}"/>
    <cellStyle name="Note 4 4 3 3 8 2 5" xfId="20008" xr:uid="{00000000-0005-0000-0000-0000FF8B0000}"/>
    <cellStyle name="Note 4 4 3 3 8 2 6" xfId="23923" xr:uid="{00000000-0005-0000-0000-0000008C0000}"/>
    <cellStyle name="Note 4 4 3 3 8 2 7" xfId="27758" xr:uid="{00000000-0005-0000-0000-0000018C0000}"/>
    <cellStyle name="Note 4 4 3 3 8 2 8" xfId="31618" xr:uid="{00000000-0005-0000-0000-0000028C0000}"/>
    <cellStyle name="Note 4 4 3 3 8 2 9" xfId="35277" xr:uid="{00000000-0005-0000-0000-0000038C0000}"/>
    <cellStyle name="Note 4 4 3 3 8 3" xfId="5955" xr:uid="{00000000-0005-0000-0000-0000048C0000}"/>
    <cellStyle name="Note 4 4 3 3 8 4" xfId="10314" xr:uid="{00000000-0005-0000-0000-0000058C0000}"/>
    <cellStyle name="Note 4 4 3 3 8 5" xfId="14161" xr:uid="{00000000-0005-0000-0000-0000068C0000}"/>
    <cellStyle name="Note 4 4 3 3 8 6" xfId="17991" xr:uid="{00000000-0005-0000-0000-0000078C0000}"/>
    <cellStyle name="Note 4 4 3 3 8 7" xfId="21929" xr:uid="{00000000-0005-0000-0000-0000088C0000}"/>
    <cellStyle name="Note 4 4 3 3 8 8" xfId="25743" xr:uid="{00000000-0005-0000-0000-0000098C0000}"/>
    <cellStyle name="Note 4 4 3 3 8 9" xfId="29630" xr:uid="{00000000-0005-0000-0000-00000A8C0000}"/>
    <cellStyle name="Note 4 4 3 3 9" xfId="2072" xr:uid="{00000000-0005-0000-0000-00000B8C0000}"/>
    <cellStyle name="Note 4 4 3 3 9 10" xfId="33354" xr:uid="{00000000-0005-0000-0000-00000C8C0000}"/>
    <cellStyle name="Note 4 4 3 3 9 11" xfId="37128" xr:uid="{00000000-0005-0000-0000-00000D8C0000}"/>
    <cellStyle name="Note 4 4 3 3 9 12" xfId="41118" xr:uid="{00000000-0005-0000-0000-00000E8C0000}"/>
    <cellStyle name="Note 4 4 3 3 9 13" xfId="44945" xr:uid="{00000000-0005-0000-0000-00000F8C0000}"/>
    <cellStyle name="Note 4 4 3 3 9 2" xfId="4061" xr:uid="{00000000-0005-0000-0000-0000108C0000}"/>
    <cellStyle name="Note 4 4 3 3 9 2 10" xfId="39112" xr:uid="{00000000-0005-0000-0000-0000118C0000}"/>
    <cellStyle name="Note 4 4 3 3 9 2 11" xfId="43122" xr:uid="{00000000-0005-0000-0000-0000128C0000}"/>
    <cellStyle name="Note 4 4 3 3 9 2 12" xfId="46883" xr:uid="{00000000-0005-0000-0000-0000138C0000}"/>
    <cellStyle name="Note 4 4 3 3 9 2 2" xfId="7924" xr:uid="{00000000-0005-0000-0000-0000148C0000}"/>
    <cellStyle name="Note 4 4 3 3 9 2 3" xfId="12361" xr:uid="{00000000-0005-0000-0000-0000158C0000}"/>
    <cellStyle name="Note 4 4 3 3 9 2 4" xfId="16206" xr:uid="{00000000-0005-0000-0000-0000168C0000}"/>
    <cellStyle name="Note 4 4 3 3 9 2 5" xfId="20055" xr:uid="{00000000-0005-0000-0000-0000178C0000}"/>
    <cellStyle name="Note 4 4 3 3 9 2 6" xfId="23969" xr:uid="{00000000-0005-0000-0000-0000188C0000}"/>
    <cellStyle name="Note 4 4 3 3 9 2 7" xfId="27805" xr:uid="{00000000-0005-0000-0000-0000198C0000}"/>
    <cellStyle name="Note 4 4 3 3 9 2 8" xfId="31664" xr:uid="{00000000-0005-0000-0000-00001A8C0000}"/>
    <cellStyle name="Note 4 4 3 3 9 2 9" xfId="35321" xr:uid="{00000000-0005-0000-0000-00001B8C0000}"/>
    <cellStyle name="Note 4 4 3 3 9 3" xfId="6000" xr:uid="{00000000-0005-0000-0000-00001C8C0000}"/>
    <cellStyle name="Note 4 4 3 3 9 4" xfId="10360" xr:uid="{00000000-0005-0000-0000-00001D8C0000}"/>
    <cellStyle name="Note 4 4 3 3 9 5" xfId="14207" xr:uid="{00000000-0005-0000-0000-00001E8C0000}"/>
    <cellStyle name="Note 4 4 3 3 9 6" xfId="18038" xr:uid="{00000000-0005-0000-0000-00001F8C0000}"/>
    <cellStyle name="Note 4 4 3 3 9 7" xfId="21975" xr:uid="{00000000-0005-0000-0000-0000208C0000}"/>
    <cellStyle name="Note 4 4 3 3 9 8" xfId="25790" xr:uid="{00000000-0005-0000-0000-0000218C0000}"/>
    <cellStyle name="Note 4 4 3 3 9 9" xfId="29676" xr:uid="{00000000-0005-0000-0000-0000228C0000}"/>
    <cellStyle name="Note 4 4 3 30" xfId="47340" xr:uid="{00000000-0005-0000-0000-0000238C0000}"/>
    <cellStyle name="Note 4 4 3 31" xfId="47429" xr:uid="{00000000-0005-0000-0000-0000248C0000}"/>
    <cellStyle name="Note 4 4 3 32" xfId="47392" xr:uid="{00000000-0005-0000-0000-0000258C0000}"/>
    <cellStyle name="Note 4 4 3 4" xfId="535" xr:uid="{00000000-0005-0000-0000-0000268C0000}"/>
    <cellStyle name="Note 4 4 3 4 10" xfId="2187" xr:uid="{00000000-0005-0000-0000-0000278C0000}"/>
    <cellStyle name="Note 4 4 3 4 10 10" xfId="33488" xr:uid="{00000000-0005-0000-0000-0000288C0000}"/>
    <cellStyle name="Note 4 4 3 4 10 11" xfId="37239" xr:uid="{00000000-0005-0000-0000-0000298C0000}"/>
    <cellStyle name="Note 4 4 3 4 10 12" xfId="41255" xr:uid="{00000000-0005-0000-0000-00002A8C0000}"/>
    <cellStyle name="Note 4 4 3 4 10 13" xfId="45050" xr:uid="{00000000-0005-0000-0000-00002B8C0000}"/>
    <cellStyle name="Note 4 4 3 4 10 2" xfId="4170" xr:uid="{00000000-0005-0000-0000-00002C8C0000}"/>
    <cellStyle name="Note 4 4 3 4 10 2 10" xfId="39221" xr:uid="{00000000-0005-0000-0000-00002D8C0000}"/>
    <cellStyle name="Note 4 4 3 4 10 2 11" xfId="43231" xr:uid="{00000000-0005-0000-0000-00002E8C0000}"/>
    <cellStyle name="Note 4 4 3 4 10 2 12" xfId="46988" xr:uid="{00000000-0005-0000-0000-00002F8C0000}"/>
    <cellStyle name="Note 4 4 3 4 10 2 2" xfId="8029" xr:uid="{00000000-0005-0000-0000-0000308C0000}"/>
    <cellStyle name="Note 4 4 3 4 10 2 3" xfId="12469" xr:uid="{00000000-0005-0000-0000-0000318C0000}"/>
    <cellStyle name="Note 4 4 3 4 10 2 4" xfId="16314" xr:uid="{00000000-0005-0000-0000-0000328C0000}"/>
    <cellStyle name="Note 4 4 3 4 10 2 5" xfId="20164" xr:uid="{00000000-0005-0000-0000-0000338C0000}"/>
    <cellStyle name="Note 4 4 3 4 10 2 6" xfId="24076" xr:uid="{00000000-0005-0000-0000-0000348C0000}"/>
    <cellStyle name="Note 4 4 3 4 10 2 7" xfId="27914" xr:uid="{00000000-0005-0000-0000-0000358C0000}"/>
    <cellStyle name="Note 4 4 3 4 10 2 8" xfId="31773" xr:uid="{00000000-0005-0000-0000-0000368C0000}"/>
    <cellStyle name="Note 4 4 3 4 10 2 9" xfId="35426" xr:uid="{00000000-0005-0000-0000-0000378C0000}"/>
    <cellStyle name="Note 4 4 3 4 10 3" xfId="6101" xr:uid="{00000000-0005-0000-0000-0000388C0000}"/>
    <cellStyle name="Note 4 4 3 4 10 4" xfId="10504" xr:uid="{00000000-0005-0000-0000-0000398C0000}"/>
    <cellStyle name="Note 4 4 3 4 10 5" xfId="14350" xr:uid="{00000000-0005-0000-0000-00003A8C0000}"/>
    <cellStyle name="Note 4 4 3 4 10 6" xfId="18181" xr:uid="{00000000-0005-0000-0000-00003B8C0000}"/>
    <cellStyle name="Note 4 4 3 4 10 7" xfId="22120" xr:uid="{00000000-0005-0000-0000-00003C8C0000}"/>
    <cellStyle name="Note 4 4 3 4 10 8" xfId="25932" xr:uid="{00000000-0005-0000-0000-00003D8C0000}"/>
    <cellStyle name="Note 4 4 3 4 10 9" xfId="29812" xr:uid="{00000000-0005-0000-0000-00003E8C0000}"/>
    <cellStyle name="Note 4 4 3 4 11" xfId="2245" xr:uid="{00000000-0005-0000-0000-00003F8C0000}"/>
    <cellStyle name="Note 4 4 3 4 11 10" xfId="33546" xr:uid="{00000000-0005-0000-0000-0000408C0000}"/>
    <cellStyle name="Note 4 4 3 4 11 11" xfId="37297" xr:uid="{00000000-0005-0000-0000-0000418C0000}"/>
    <cellStyle name="Note 4 4 3 4 11 12" xfId="41313" xr:uid="{00000000-0005-0000-0000-0000428C0000}"/>
    <cellStyle name="Note 4 4 3 4 11 13" xfId="45108" xr:uid="{00000000-0005-0000-0000-0000438C0000}"/>
    <cellStyle name="Note 4 4 3 4 11 2" xfId="4228" xr:uid="{00000000-0005-0000-0000-0000448C0000}"/>
    <cellStyle name="Note 4 4 3 4 11 2 10" xfId="39279" xr:uid="{00000000-0005-0000-0000-0000458C0000}"/>
    <cellStyle name="Note 4 4 3 4 11 2 11" xfId="43289" xr:uid="{00000000-0005-0000-0000-0000468C0000}"/>
    <cellStyle name="Note 4 4 3 4 11 2 12" xfId="47046" xr:uid="{00000000-0005-0000-0000-0000478C0000}"/>
    <cellStyle name="Note 4 4 3 4 11 2 2" xfId="8087" xr:uid="{00000000-0005-0000-0000-0000488C0000}"/>
    <cellStyle name="Note 4 4 3 4 11 2 3" xfId="12527" xr:uid="{00000000-0005-0000-0000-0000498C0000}"/>
    <cellStyle name="Note 4 4 3 4 11 2 4" xfId="16372" xr:uid="{00000000-0005-0000-0000-00004A8C0000}"/>
    <cellStyle name="Note 4 4 3 4 11 2 5" xfId="20222" xr:uid="{00000000-0005-0000-0000-00004B8C0000}"/>
    <cellStyle name="Note 4 4 3 4 11 2 6" xfId="24134" xr:uid="{00000000-0005-0000-0000-00004C8C0000}"/>
    <cellStyle name="Note 4 4 3 4 11 2 7" xfId="27972" xr:uid="{00000000-0005-0000-0000-00004D8C0000}"/>
    <cellStyle name="Note 4 4 3 4 11 2 8" xfId="31831" xr:uid="{00000000-0005-0000-0000-00004E8C0000}"/>
    <cellStyle name="Note 4 4 3 4 11 2 9" xfId="35484" xr:uid="{00000000-0005-0000-0000-00004F8C0000}"/>
    <cellStyle name="Note 4 4 3 4 11 3" xfId="6159" xr:uid="{00000000-0005-0000-0000-0000508C0000}"/>
    <cellStyle name="Note 4 4 3 4 11 4" xfId="10562" xr:uid="{00000000-0005-0000-0000-0000518C0000}"/>
    <cellStyle name="Note 4 4 3 4 11 5" xfId="14408" xr:uid="{00000000-0005-0000-0000-0000528C0000}"/>
    <cellStyle name="Note 4 4 3 4 11 6" xfId="18239" xr:uid="{00000000-0005-0000-0000-0000538C0000}"/>
    <cellStyle name="Note 4 4 3 4 11 7" xfId="22178" xr:uid="{00000000-0005-0000-0000-0000548C0000}"/>
    <cellStyle name="Note 4 4 3 4 11 8" xfId="25990" xr:uid="{00000000-0005-0000-0000-0000558C0000}"/>
    <cellStyle name="Note 4 4 3 4 11 9" xfId="29870" xr:uid="{00000000-0005-0000-0000-0000568C0000}"/>
    <cellStyle name="Note 4 4 3 4 12" xfId="2300" xr:uid="{00000000-0005-0000-0000-0000578C0000}"/>
    <cellStyle name="Note 4 4 3 4 12 10" xfId="33601" xr:uid="{00000000-0005-0000-0000-0000588C0000}"/>
    <cellStyle name="Note 4 4 3 4 12 11" xfId="37352" xr:uid="{00000000-0005-0000-0000-0000598C0000}"/>
    <cellStyle name="Note 4 4 3 4 12 12" xfId="41368" xr:uid="{00000000-0005-0000-0000-00005A8C0000}"/>
    <cellStyle name="Note 4 4 3 4 12 13" xfId="45163" xr:uid="{00000000-0005-0000-0000-00005B8C0000}"/>
    <cellStyle name="Note 4 4 3 4 12 2" xfId="4283" xr:uid="{00000000-0005-0000-0000-00005C8C0000}"/>
    <cellStyle name="Note 4 4 3 4 12 2 10" xfId="39334" xr:uid="{00000000-0005-0000-0000-00005D8C0000}"/>
    <cellStyle name="Note 4 4 3 4 12 2 11" xfId="43344" xr:uid="{00000000-0005-0000-0000-00005E8C0000}"/>
    <cellStyle name="Note 4 4 3 4 12 2 12" xfId="47101" xr:uid="{00000000-0005-0000-0000-00005F8C0000}"/>
    <cellStyle name="Note 4 4 3 4 12 2 2" xfId="8142" xr:uid="{00000000-0005-0000-0000-0000608C0000}"/>
    <cellStyle name="Note 4 4 3 4 12 2 3" xfId="12582" xr:uid="{00000000-0005-0000-0000-0000618C0000}"/>
    <cellStyle name="Note 4 4 3 4 12 2 4" xfId="16427" xr:uid="{00000000-0005-0000-0000-0000628C0000}"/>
    <cellStyle name="Note 4 4 3 4 12 2 5" xfId="20277" xr:uid="{00000000-0005-0000-0000-0000638C0000}"/>
    <cellStyle name="Note 4 4 3 4 12 2 6" xfId="24189" xr:uid="{00000000-0005-0000-0000-0000648C0000}"/>
    <cellStyle name="Note 4 4 3 4 12 2 7" xfId="28027" xr:uid="{00000000-0005-0000-0000-0000658C0000}"/>
    <cellStyle name="Note 4 4 3 4 12 2 8" xfId="31886" xr:uid="{00000000-0005-0000-0000-0000668C0000}"/>
    <cellStyle name="Note 4 4 3 4 12 2 9" xfId="35539" xr:uid="{00000000-0005-0000-0000-0000678C0000}"/>
    <cellStyle name="Note 4 4 3 4 12 3" xfId="6214" xr:uid="{00000000-0005-0000-0000-0000688C0000}"/>
    <cellStyle name="Note 4 4 3 4 12 4" xfId="10617" xr:uid="{00000000-0005-0000-0000-0000698C0000}"/>
    <cellStyle name="Note 4 4 3 4 12 5" xfId="14463" xr:uid="{00000000-0005-0000-0000-00006A8C0000}"/>
    <cellStyle name="Note 4 4 3 4 12 6" xfId="18294" xr:uid="{00000000-0005-0000-0000-00006B8C0000}"/>
    <cellStyle name="Note 4 4 3 4 12 7" xfId="22233" xr:uid="{00000000-0005-0000-0000-00006C8C0000}"/>
    <cellStyle name="Note 4 4 3 4 12 8" xfId="26045" xr:uid="{00000000-0005-0000-0000-00006D8C0000}"/>
    <cellStyle name="Note 4 4 3 4 12 9" xfId="29925" xr:uid="{00000000-0005-0000-0000-00006E8C0000}"/>
    <cellStyle name="Note 4 4 3 4 13" xfId="2367" xr:uid="{00000000-0005-0000-0000-00006F8C0000}"/>
    <cellStyle name="Note 4 4 3 4 13 10" xfId="33665" xr:uid="{00000000-0005-0000-0000-0000708C0000}"/>
    <cellStyle name="Note 4 4 3 4 13 11" xfId="37419" xr:uid="{00000000-0005-0000-0000-0000718C0000}"/>
    <cellStyle name="Note 4 4 3 4 13 12" xfId="41434" xr:uid="{00000000-0005-0000-0000-0000728C0000}"/>
    <cellStyle name="Note 4 4 3 4 13 13" xfId="45227" xr:uid="{00000000-0005-0000-0000-0000738C0000}"/>
    <cellStyle name="Note 4 4 3 4 13 2" xfId="4350" xr:uid="{00000000-0005-0000-0000-0000748C0000}"/>
    <cellStyle name="Note 4 4 3 4 13 2 10" xfId="39401" xr:uid="{00000000-0005-0000-0000-0000758C0000}"/>
    <cellStyle name="Note 4 4 3 4 13 2 11" xfId="43410" xr:uid="{00000000-0005-0000-0000-0000768C0000}"/>
    <cellStyle name="Note 4 4 3 4 13 2 12" xfId="47165" xr:uid="{00000000-0005-0000-0000-0000778C0000}"/>
    <cellStyle name="Note 4 4 3 4 13 2 2" xfId="8207" xr:uid="{00000000-0005-0000-0000-0000788C0000}"/>
    <cellStyle name="Note 4 4 3 4 13 2 3" xfId="12648" xr:uid="{00000000-0005-0000-0000-0000798C0000}"/>
    <cellStyle name="Note 4 4 3 4 13 2 4" xfId="16493" xr:uid="{00000000-0005-0000-0000-00007A8C0000}"/>
    <cellStyle name="Note 4 4 3 4 13 2 5" xfId="20344" xr:uid="{00000000-0005-0000-0000-00007B8C0000}"/>
    <cellStyle name="Note 4 4 3 4 13 2 6" xfId="24255" xr:uid="{00000000-0005-0000-0000-00007C8C0000}"/>
    <cellStyle name="Note 4 4 3 4 13 2 7" xfId="28094" xr:uid="{00000000-0005-0000-0000-00007D8C0000}"/>
    <cellStyle name="Note 4 4 3 4 13 2 8" xfId="31952" xr:uid="{00000000-0005-0000-0000-00007E8C0000}"/>
    <cellStyle name="Note 4 4 3 4 13 2 9" xfId="35603" xr:uid="{00000000-0005-0000-0000-00007F8C0000}"/>
    <cellStyle name="Note 4 4 3 4 13 3" xfId="6263" xr:uid="{00000000-0005-0000-0000-0000808C0000}"/>
    <cellStyle name="Note 4 4 3 4 13 4" xfId="10683" xr:uid="{00000000-0005-0000-0000-0000818C0000}"/>
    <cellStyle name="Note 4 4 3 4 13 5" xfId="14529" xr:uid="{00000000-0005-0000-0000-0000828C0000}"/>
    <cellStyle name="Note 4 4 3 4 13 6" xfId="18361" xr:uid="{00000000-0005-0000-0000-0000838C0000}"/>
    <cellStyle name="Note 4 4 3 4 13 7" xfId="22299" xr:uid="{00000000-0005-0000-0000-0000848C0000}"/>
    <cellStyle name="Note 4 4 3 4 13 8" xfId="26112" xr:uid="{00000000-0005-0000-0000-0000858C0000}"/>
    <cellStyle name="Note 4 4 3 4 13 9" xfId="29992" xr:uid="{00000000-0005-0000-0000-0000868C0000}"/>
    <cellStyle name="Note 4 4 3 4 14" xfId="2417" xr:uid="{00000000-0005-0000-0000-0000878C0000}"/>
    <cellStyle name="Note 4 4 3 4 14 10" xfId="33715" xr:uid="{00000000-0005-0000-0000-0000888C0000}"/>
    <cellStyle name="Note 4 4 3 4 14 11" xfId="37469" xr:uid="{00000000-0005-0000-0000-0000898C0000}"/>
    <cellStyle name="Note 4 4 3 4 14 12" xfId="41484" xr:uid="{00000000-0005-0000-0000-00008A8C0000}"/>
    <cellStyle name="Note 4 4 3 4 14 13" xfId="45277" xr:uid="{00000000-0005-0000-0000-00008B8C0000}"/>
    <cellStyle name="Note 4 4 3 4 14 2" xfId="4400" xr:uid="{00000000-0005-0000-0000-00008C8C0000}"/>
    <cellStyle name="Note 4 4 3 4 14 2 10" xfId="39451" xr:uid="{00000000-0005-0000-0000-00008D8C0000}"/>
    <cellStyle name="Note 4 4 3 4 14 2 11" xfId="43460" xr:uid="{00000000-0005-0000-0000-00008E8C0000}"/>
    <cellStyle name="Note 4 4 3 4 14 2 12" xfId="47215" xr:uid="{00000000-0005-0000-0000-00008F8C0000}"/>
    <cellStyle name="Note 4 4 3 4 14 2 2" xfId="8257" xr:uid="{00000000-0005-0000-0000-0000908C0000}"/>
    <cellStyle name="Note 4 4 3 4 14 2 3" xfId="12698" xr:uid="{00000000-0005-0000-0000-0000918C0000}"/>
    <cellStyle name="Note 4 4 3 4 14 2 4" xfId="16543" xr:uid="{00000000-0005-0000-0000-0000928C0000}"/>
    <cellStyle name="Note 4 4 3 4 14 2 5" xfId="20394" xr:uid="{00000000-0005-0000-0000-0000938C0000}"/>
    <cellStyle name="Note 4 4 3 4 14 2 6" xfId="24305" xr:uid="{00000000-0005-0000-0000-0000948C0000}"/>
    <cellStyle name="Note 4 4 3 4 14 2 7" xfId="28144" xr:uid="{00000000-0005-0000-0000-0000958C0000}"/>
    <cellStyle name="Note 4 4 3 4 14 2 8" xfId="32002" xr:uid="{00000000-0005-0000-0000-0000968C0000}"/>
    <cellStyle name="Note 4 4 3 4 14 2 9" xfId="35653" xr:uid="{00000000-0005-0000-0000-0000978C0000}"/>
    <cellStyle name="Note 4 4 3 4 14 3" xfId="6313" xr:uid="{00000000-0005-0000-0000-0000988C0000}"/>
    <cellStyle name="Note 4 4 3 4 14 4" xfId="10733" xr:uid="{00000000-0005-0000-0000-0000998C0000}"/>
    <cellStyle name="Note 4 4 3 4 14 5" xfId="14579" xr:uid="{00000000-0005-0000-0000-00009A8C0000}"/>
    <cellStyle name="Note 4 4 3 4 14 6" xfId="18411" xr:uid="{00000000-0005-0000-0000-00009B8C0000}"/>
    <cellStyle name="Note 4 4 3 4 14 7" xfId="22349" xr:uid="{00000000-0005-0000-0000-00009C8C0000}"/>
    <cellStyle name="Note 4 4 3 4 14 8" xfId="26162" xr:uid="{00000000-0005-0000-0000-00009D8C0000}"/>
    <cellStyle name="Note 4 4 3 4 14 9" xfId="30041" xr:uid="{00000000-0005-0000-0000-00009E8C0000}"/>
    <cellStyle name="Note 4 4 3 4 15" xfId="2471" xr:uid="{00000000-0005-0000-0000-00009F8C0000}"/>
    <cellStyle name="Note 4 4 3 4 15 10" xfId="33766" xr:uid="{00000000-0005-0000-0000-0000A08C0000}"/>
    <cellStyle name="Note 4 4 3 4 15 11" xfId="37523" xr:uid="{00000000-0005-0000-0000-0000A18C0000}"/>
    <cellStyle name="Note 4 4 3 4 15 12" xfId="41537" xr:uid="{00000000-0005-0000-0000-0000A28C0000}"/>
    <cellStyle name="Note 4 4 3 4 15 13" xfId="45328" xr:uid="{00000000-0005-0000-0000-0000A38C0000}"/>
    <cellStyle name="Note 4 4 3 4 15 2" xfId="4453" xr:uid="{00000000-0005-0000-0000-0000A48C0000}"/>
    <cellStyle name="Note 4 4 3 4 15 2 10" xfId="39504" xr:uid="{00000000-0005-0000-0000-0000A58C0000}"/>
    <cellStyle name="Note 4 4 3 4 15 2 11" xfId="43513" xr:uid="{00000000-0005-0000-0000-0000A68C0000}"/>
    <cellStyle name="Note 4 4 3 4 15 2 12" xfId="47266" xr:uid="{00000000-0005-0000-0000-0000A78C0000}"/>
    <cellStyle name="Note 4 4 3 4 15 2 2" xfId="8308" xr:uid="{00000000-0005-0000-0000-0000A88C0000}"/>
    <cellStyle name="Note 4 4 3 4 15 2 3" xfId="12751" xr:uid="{00000000-0005-0000-0000-0000A98C0000}"/>
    <cellStyle name="Note 4 4 3 4 15 2 4" xfId="16594" xr:uid="{00000000-0005-0000-0000-0000AA8C0000}"/>
    <cellStyle name="Note 4 4 3 4 15 2 5" xfId="20447" xr:uid="{00000000-0005-0000-0000-0000AB8C0000}"/>
    <cellStyle name="Note 4 4 3 4 15 2 6" xfId="24357" xr:uid="{00000000-0005-0000-0000-0000AC8C0000}"/>
    <cellStyle name="Note 4 4 3 4 15 2 7" xfId="28197" xr:uid="{00000000-0005-0000-0000-0000AD8C0000}"/>
    <cellStyle name="Note 4 4 3 4 15 2 8" xfId="32055" xr:uid="{00000000-0005-0000-0000-0000AE8C0000}"/>
    <cellStyle name="Note 4 4 3 4 15 2 9" xfId="35704" xr:uid="{00000000-0005-0000-0000-0000AF8C0000}"/>
    <cellStyle name="Note 4 4 3 4 15 3" xfId="6365" xr:uid="{00000000-0005-0000-0000-0000B08C0000}"/>
    <cellStyle name="Note 4 4 3 4 15 4" xfId="10786" xr:uid="{00000000-0005-0000-0000-0000B18C0000}"/>
    <cellStyle name="Note 4 4 3 4 15 5" xfId="14632" xr:uid="{00000000-0005-0000-0000-0000B28C0000}"/>
    <cellStyle name="Note 4 4 3 4 15 6" xfId="18465" xr:uid="{00000000-0005-0000-0000-0000B38C0000}"/>
    <cellStyle name="Note 4 4 3 4 15 7" xfId="22402" xr:uid="{00000000-0005-0000-0000-0000B48C0000}"/>
    <cellStyle name="Note 4 4 3 4 15 8" xfId="26216" xr:uid="{00000000-0005-0000-0000-0000B58C0000}"/>
    <cellStyle name="Note 4 4 3 4 15 9" xfId="30095" xr:uid="{00000000-0005-0000-0000-0000B68C0000}"/>
    <cellStyle name="Note 4 4 3 4 16" xfId="2542" xr:uid="{00000000-0005-0000-0000-0000B78C0000}"/>
    <cellStyle name="Note 4 4 3 4 16 10" xfId="37594" xr:uid="{00000000-0005-0000-0000-0000B88C0000}"/>
    <cellStyle name="Note 4 4 3 4 16 11" xfId="41608" xr:uid="{00000000-0005-0000-0000-0000B98C0000}"/>
    <cellStyle name="Note 4 4 3 4 16 12" xfId="45397" xr:uid="{00000000-0005-0000-0000-0000BA8C0000}"/>
    <cellStyle name="Note 4 4 3 4 16 2" xfId="6434" xr:uid="{00000000-0005-0000-0000-0000BB8C0000}"/>
    <cellStyle name="Note 4 4 3 4 16 3" xfId="10857" xr:uid="{00000000-0005-0000-0000-0000BC8C0000}"/>
    <cellStyle name="Note 4 4 3 4 16 4" xfId="14701" xr:uid="{00000000-0005-0000-0000-0000BD8C0000}"/>
    <cellStyle name="Note 4 4 3 4 16 5" xfId="18536" xr:uid="{00000000-0005-0000-0000-0000BE8C0000}"/>
    <cellStyle name="Note 4 4 3 4 16 6" xfId="22471" xr:uid="{00000000-0005-0000-0000-0000BF8C0000}"/>
    <cellStyle name="Note 4 4 3 4 16 7" xfId="26287" xr:uid="{00000000-0005-0000-0000-0000C08C0000}"/>
    <cellStyle name="Note 4 4 3 4 16 8" xfId="30166" xr:uid="{00000000-0005-0000-0000-0000C18C0000}"/>
    <cellStyle name="Note 4 4 3 4 16 9" xfId="33835" xr:uid="{00000000-0005-0000-0000-0000C28C0000}"/>
    <cellStyle name="Note 4 4 3 4 17" xfId="4510" xr:uid="{00000000-0005-0000-0000-0000C38C0000}"/>
    <cellStyle name="Note 4 4 3 4 18" xfId="8386" xr:uid="{00000000-0005-0000-0000-0000C48C0000}"/>
    <cellStyle name="Note 4 4 3 4 19" xfId="8725" xr:uid="{00000000-0005-0000-0000-0000C58C0000}"/>
    <cellStyle name="Note 4 4 3 4 2" xfId="671" xr:uid="{00000000-0005-0000-0000-0000C68C0000}"/>
    <cellStyle name="Note 4 4 3 4 2 10" xfId="24405" xr:uid="{00000000-0005-0000-0000-0000C78C0000}"/>
    <cellStyle name="Note 4 4 3 4 2 11" xfId="28298" xr:uid="{00000000-0005-0000-0000-0000C88C0000}"/>
    <cellStyle name="Note 4 4 3 4 2 12" xfId="30521" xr:uid="{00000000-0005-0000-0000-0000C98C0000}"/>
    <cellStyle name="Note 4 4 3 4 2 13" xfId="35742" xr:uid="{00000000-0005-0000-0000-0000CA8C0000}"/>
    <cellStyle name="Note 4 4 3 4 2 14" xfId="39765" xr:uid="{00000000-0005-0000-0000-0000CB8C0000}"/>
    <cellStyle name="Note 4 4 3 4 2 15" xfId="43568" xr:uid="{00000000-0005-0000-0000-0000CC8C0000}"/>
    <cellStyle name="Note 4 4 3 4 2 2" xfId="1051" xr:uid="{00000000-0005-0000-0000-0000CD8C0000}"/>
    <cellStyle name="Note 4 4 3 4 2 2 10" xfId="28662" xr:uid="{00000000-0005-0000-0000-0000CE8C0000}"/>
    <cellStyle name="Note 4 4 3 4 2 2 11" xfId="32348" xr:uid="{00000000-0005-0000-0000-0000CF8C0000}"/>
    <cellStyle name="Note 4 4 3 4 2 2 12" xfId="36109" xr:uid="{00000000-0005-0000-0000-0000D08C0000}"/>
    <cellStyle name="Note 4 4 3 4 2 2 13" xfId="40112" xr:uid="{00000000-0005-0000-0000-0000D18C0000}"/>
    <cellStyle name="Note 4 4 3 4 2 2 14" xfId="43935" xr:uid="{00000000-0005-0000-0000-0000D28C0000}"/>
    <cellStyle name="Note 4 4 3 4 2 2 2" xfId="1778" xr:uid="{00000000-0005-0000-0000-0000D38C0000}"/>
    <cellStyle name="Note 4 4 3 4 2 2 2 10" xfId="33065" xr:uid="{00000000-0005-0000-0000-0000D48C0000}"/>
    <cellStyle name="Note 4 4 3 4 2 2 2 11" xfId="36835" xr:uid="{00000000-0005-0000-0000-0000D58C0000}"/>
    <cellStyle name="Note 4 4 3 4 2 2 2 12" xfId="40826" xr:uid="{00000000-0005-0000-0000-0000D68C0000}"/>
    <cellStyle name="Note 4 4 3 4 2 2 2 13" xfId="44657" xr:uid="{00000000-0005-0000-0000-0000D78C0000}"/>
    <cellStyle name="Note 4 4 3 4 2 2 2 2" xfId="3768" xr:uid="{00000000-0005-0000-0000-0000D88C0000}"/>
    <cellStyle name="Note 4 4 3 4 2 2 2 2 10" xfId="38819" xr:uid="{00000000-0005-0000-0000-0000D98C0000}"/>
    <cellStyle name="Note 4 4 3 4 2 2 2 2 11" xfId="42830" xr:uid="{00000000-0005-0000-0000-0000DA8C0000}"/>
    <cellStyle name="Note 4 4 3 4 2 2 2 2 12" xfId="46595" xr:uid="{00000000-0005-0000-0000-0000DB8C0000}"/>
    <cellStyle name="Note 4 4 3 4 2 2 2 2 2" xfId="7635" xr:uid="{00000000-0005-0000-0000-0000DC8C0000}"/>
    <cellStyle name="Note 4 4 3 4 2 2 2 2 3" xfId="12070" xr:uid="{00000000-0005-0000-0000-0000DD8C0000}"/>
    <cellStyle name="Note 4 4 3 4 2 2 2 2 4" xfId="15915" xr:uid="{00000000-0005-0000-0000-0000DE8C0000}"/>
    <cellStyle name="Note 4 4 3 4 2 2 2 2 5" xfId="19762" xr:uid="{00000000-0005-0000-0000-0000DF8C0000}"/>
    <cellStyle name="Note 4 4 3 4 2 2 2 2 6" xfId="23678" xr:uid="{00000000-0005-0000-0000-0000E08C0000}"/>
    <cellStyle name="Note 4 4 3 4 2 2 2 2 7" xfId="27512" xr:uid="{00000000-0005-0000-0000-0000E18C0000}"/>
    <cellStyle name="Note 4 4 3 4 2 2 2 2 8" xfId="31376" xr:uid="{00000000-0005-0000-0000-0000E28C0000}"/>
    <cellStyle name="Note 4 4 3 4 2 2 2 2 9" xfId="35033" xr:uid="{00000000-0005-0000-0000-0000E38C0000}"/>
    <cellStyle name="Note 4 4 3 4 2 2 2 3" xfId="5711" xr:uid="{00000000-0005-0000-0000-0000E48C0000}"/>
    <cellStyle name="Note 4 4 3 4 2 2 2 4" xfId="10069" xr:uid="{00000000-0005-0000-0000-0000E58C0000}"/>
    <cellStyle name="Note 4 4 3 4 2 2 2 5" xfId="13915" xr:uid="{00000000-0005-0000-0000-0000E68C0000}"/>
    <cellStyle name="Note 4 4 3 4 2 2 2 6" xfId="17744" xr:uid="{00000000-0005-0000-0000-0000E78C0000}"/>
    <cellStyle name="Note 4 4 3 4 2 2 2 7" xfId="21683" xr:uid="{00000000-0005-0000-0000-0000E88C0000}"/>
    <cellStyle name="Note 4 4 3 4 2 2 2 8" xfId="25496" xr:uid="{00000000-0005-0000-0000-0000E98C0000}"/>
    <cellStyle name="Note 4 4 3 4 2 2 2 9" xfId="29383" xr:uid="{00000000-0005-0000-0000-0000EA8C0000}"/>
    <cellStyle name="Note 4 4 3 4 2 2 3" xfId="3041" xr:uid="{00000000-0005-0000-0000-0000EB8C0000}"/>
    <cellStyle name="Note 4 4 3 4 2 2 3 10" xfId="38093" xr:uid="{00000000-0005-0000-0000-0000EC8C0000}"/>
    <cellStyle name="Note 4 4 3 4 2 2 3 11" xfId="42105" xr:uid="{00000000-0005-0000-0000-0000ED8C0000}"/>
    <cellStyle name="Note 4 4 3 4 2 2 3 12" xfId="45878" xr:uid="{00000000-0005-0000-0000-0000EE8C0000}"/>
    <cellStyle name="Note 4 4 3 4 2 2 3 2" xfId="6917" xr:uid="{00000000-0005-0000-0000-0000EF8C0000}"/>
    <cellStyle name="Note 4 4 3 4 2 2 3 3" xfId="11346" xr:uid="{00000000-0005-0000-0000-0000F08C0000}"/>
    <cellStyle name="Note 4 4 3 4 2 2 3 4" xfId="15190" xr:uid="{00000000-0005-0000-0000-0000F18C0000}"/>
    <cellStyle name="Note 4 4 3 4 2 2 3 5" xfId="19035" xr:uid="{00000000-0005-0000-0000-0000F28C0000}"/>
    <cellStyle name="Note 4 4 3 4 2 2 3 6" xfId="22957" xr:uid="{00000000-0005-0000-0000-0000F38C0000}"/>
    <cellStyle name="Note 4 4 3 4 2 2 3 7" xfId="26786" xr:uid="{00000000-0005-0000-0000-0000F48C0000}"/>
    <cellStyle name="Note 4 4 3 4 2 2 3 8" xfId="30660" xr:uid="{00000000-0005-0000-0000-0000F58C0000}"/>
    <cellStyle name="Note 4 4 3 4 2 2 3 9" xfId="34316" xr:uid="{00000000-0005-0000-0000-0000F68C0000}"/>
    <cellStyle name="Note 4 4 3 4 2 2 4" xfId="4993" xr:uid="{00000000-0005-0000-0000-0000F78C0000}"/>
    <cellStyle name="Note 4 4 3 4 2 2 5" xfId="9349" xr:uid="{00000000-0005-0000-0000-0000F88C0000}"/>
    <cellStyle name="Note 4 4 3 4 2 2 6" xfId="13189" xr:uid="{00000000-0005-0000-0000-0000F98C0000}"/>
    <cellStyle name="Note 4 4 3 4 2 2 7" xfId="17017" xr:uid="{00000000-0005-0000-0000-0000FA8C0000}"/>
    <cellStyle name="Note 4 4 3 4 2 2 8" xfId="20959" xr:uid="{00000000-0005-0000-0000-0000FB8C0000}"/>
    <cellStyle name="Note 4 4 3 4 2 2 9" xfId="24773" xr:uid="{00000000-0005-0000-0000-0000FC8C0000}"/>
    <cellStyle name="Note 4 4 3 4 2 3" xfId="1425" xr:uid="{00000000-0005-0000-0000-0000FD8C0000}"/>
    <cellStyle name="Note 4 4 3 4 2 3 10" xfId="32712" xr:uid="{00000000-0005-0000-0000-0000FE8C0000}"/>
    <cellStyle name="Note 4 4 3 4 2 3 11" xfId="36482" xr:uid="{00000000-0005-0000-0000-0000FF8C0000}"/>
    <cellStyle name="Note 4 4 3 4 2 3 12" xfId="40473" xr:uid="{00000000-0005-0000-0000-0000008D0000}"/>
    <cellStyle name="Note 4 4 3 4 2 3 13" xfId="44304" xr:uid="{00000000-0005-0000-0000-0000018D0000}"/>
    <cellStyle name="Note 4 4 3 4 2 3 2" xfId="3415" xr:uid="{00000000-0005-0000-0000-0000028D0000}"/>
    <cellStyle name="Note 4 4 3 4 2 3 2 10" xfId="38466" xr:uid="{00000000-0005-0000-0000-0000038D0000}"/>
    <cellStyle name="Note 4 4 3 4 2 3 2 11" xfId="42477" xr:uid="{00000000-0005-0000-0000-0000048D0000}"/>
    <cellStyle name="Note 4 4 3 4 2 3 2 12" xfId="46242" xr:uid="{00000000-0005-0000-0000-0000058D0000}"/>
    <cellStyle name="Note 4 4 3 4 2 3 2 2" xfId="7282" xr:uid="{00000000-0005-0000-0000-0000068D0000}"/>
    <cellStyle name="Note 4 4 3 4 2 3 2 3" xfId="11717" xr:uid="{00000000-0005-0000-0000-0000078D0000}"/>
    <cellStyle name="Note 4 4 3 4 2 3 2 4" xfId="15562" xr:uid="{00000000-0005-0000-0000-0000088D0000}"/>
    <cellStyle name="Note 4 4 3 4 2 3 2 5" xfId="19409" xr:uid="{00000000-0005-0000-0000-0000098D0000}"/>
    <cellStyle name="Note 4 4 3 4 2 3 2 6" xfId="23325" xr:uid="{00000000-0005-0000-0000-00000A8D0000}"/>
    <cellStyle name="Note 4 4 3 4 2 3 2 7" xfId="27159" xr:uid="{00000000-0005-0000-0000-00000B8D0000}"/>
    <cellStyle name="Note 4 4 3 4 2 3 2 8" xfId="31027" xr:uid="{00000000-0005-0000-0000-00000C8D0000}"/>
    <cellStyle name="Note 4 4 3 4 2 3 2 9" xfId="34680" xr:uid="{00000000-0005-0000-0000-00000D8D0000}"/>
    <cellStyle name="Note 4 4 3 4 2 3 3" xfId="5358" xr:uid="{00000000-0005-0000-0000-00000E8D0000}"/>
    <cellStyle name="Note 4 4 3 4 2 3 4" xfId="9716" xr:uid="{00000000-0005-0000-0000-00000F8D0000}"/>
    <cellStyle name="Note 4 4 3 4 2 3 5" xfId="13562" xr:uid="{00000000-0005-0000-0000-0000108D0000}"/>
    <cellStyle name="Note 4 4 3 4 2 3 6" xfId="17391" xr:uid="{00000000-0005-0000-0000-0000118D0000}"/>
    <cellStyle name="Note 4 4 3 4 2 3 7" xfId="21330" xr:uid="{00000000-0005-0000-0000-0000128D0000}"/>
    <cellStyle name="Note 4 4 3 4 2 3 8" xfId="25143" xr:uid="{00000000-0005-0000-0000-0000138D0000}"/>
    <cellStyle name="Note 4 4 3 4 2 3 9" xfId="29030" xr:uid="{00000000-0005-0000-0000-0000148D0000}"/>
    <cellStyle name="Note 4 4 3 4 2 4" xfId="2674" xr:uid="{00000000-0005-0000-0000-0000158D0000}"/>
    <cellStyle name="Note 4 4 3 4 2 4 10" xfId="37726" xr:uid="{00000000-0005-0000-0000-0000168D0000}"/>
    <cellStyle name="Note 4 4 3 4 2 4 11" xfId="41740" xr:uid="{00000000-0005-0000-0000-0000178D0000}"/>
    <cellStyle name="Note 4 4 3 4 2 4 12" xfId="45525" xr:uid="{00000000-0005-0000-0000-0000188D0000}"/>
    <cellStyle name="Note 4 4 3 4 2 4 2" xfId="6562" xr:uid="{00000000-0005-0000-0000-0000198D0000}"/>
    <cellStyle name="Note 4 4 3 4 2 4 3" xfId="10986" xr:uid="{00000000-0005-0000-0000-00001A8D0000}"/>
    <cellStyle name="Note 4 4 3 4 2 4 4" xfId="14830" xr:uid="{00000000-0005-0000-0000-00001B8D0000}"/>
    <cellStyle name="Note 4 4 3 4 2 4 5" xfId="18668" xr:uid="{00000000-0005-0000-0000-00001C8D0000}"/>
    <cellStyle name="Note 4 4 3 4 2 4 6" xfId="22599" xr:uid="{00000000-0005-0000-0000-00001D8D0000}"/>
    <cellStyle name="Note 4 4 3 4 2 4 7" xfId="26419" xr:uid="{00000000-0005-0000-0000-00001E8D0000}"/>
    <cellStyle name="Note 4 4 3 4 2 4 8" xfId="30298" xr:uid="{00000000-0005-0000-0000-00001F8D0000}"/>
    <cellStyle name="Note 4 4 3 4 2 4 9" xfId="33963" xr:uid="{00000000-0005-0000-0000-0000208D0000}"/>
    <cellStyle name="Note 4 4 3 4 2 5" xfId="4638" xr:uid="{00000000-0005-0000-0000-0000218D0000}"/>
    <cellStyle name="Note 4 4 3 4 2 6" xfId="8980" xr:uid="{00000000-0005-0000-0000-0000228D0000}"/>
    <cellStyle name="Note 4 4 3 4 2 7" xfId="12817" xr:uid="{00000000-0005-0000-0000-0000238D0000}"/>
    <cellStyle name="Note 4 4 3 4 2 8" xfId="16647" xr:uid="{00000000-0005-0000-0000-0000248D0000}"/>
    <cellStyle name="Note 4 4 3 4 2 9" xfId="20584" xr:uid="{00000000-0005-0000-0000-0000258D0000}"/>
    <cellStyle name="Note 4 4 3 4 20" xfId="8846" xr:uid="{00000000-0005-0000-0000-0000268D0000}"/>
    <cellStyle name="Note 4 4 3 4 21" xfId="8586" xr:uid="{00000000-0005-0000-0000-0000278D0000}"/>
    <cellStyle name="Note 4 4 3 4 22" xfId="8494" xr:uid="{00000000-0005-0000-0000-0000288D0000}"/>
    <cellStyle name="Note 4 4 3 4 23" xfId="18053" xr:uid="{00000000-0005-0000-0000-0000298D0000}"/>
    <cellStyle name="Note 4 4 3 4 24" xfId="10368" xr:uid="{00000000-0005-0000-0000-00002A8D0000}"/>
    <cellStyle name="Note 4 4 3 4 25" xfId="25795" xr:uid="{00000000-0005-0000-0000-00002B8D0000}"/>
    <cellStyle name="Note 4 4 3 4 26" xfId="30406" xr:uid="{00000000-0005-0000-0000-00002C8D0000}"/>
    <cellStyle name="Note 4 4 3 4 27" xfId="8415" xr:uid="{00000000-0005-0000-0000-00002D8D0000}"/>
    <cellStyle name="Note 4 4 3 4 28" xfId="39634" xr:uid="{00000000-0005-0000-0000-00002E8D0000}"/>
    <cellStyle name="Note 4 4 3 4 29" xfId="39804" xr:uid="{00000000-0005-0000-0000-00002F8D0000}"/>
    <cellStyle name="Note 4 4 3 4 3" xfId="610" xr:uid="{00000000-0005-0000-0000-0000308D0000}"/>
    <cellStyle name="Note 4 4 3 4 3 10" xfId="8785" xr:uid="{00000000-0005-0000-0000-0000318D0000}"/>
    <cellStyle name="Note 4 4 3 4 3 11" xfId="28237" xr:uid="{00000000-0005-0000-0000-0000328D0000}"/>
    <cellStyle name="Note 4 4 3 4 3 12" xfId="28813" xr:uid="{00000000-0005-0000-0000-0000338D0000}"/>
    <cellStyle name="Note 4 4 3 4 3 13" xfId="33371" xr:uid="{00000000-0005-0000-0000-0000348D0000}"/>
    <cellStyle name="Note 4 4 3 4 3 14" xfId="39705" xr:uid="{00000000-0005-0000-0000-0000358D0000}"/>
    <cellStyle name="Note 4 4 3 4 3 15" xfId="39571" xr:uid="{00000000-0005-0000-0000-0000368D0000}"/>
    <cellStyle name="Note 4 4 3 4 3 2" xfId="990" xr:uid="{00000000-0005-0000-0000-0000378D0000}"/>
    <cellStyle name="Note 4 4 3 4 3 2 10" xfId="28601" xr:uid="{00000000-0005-0000-0000-0000388D0000}"/>
    <cellStyle name="Note 4 4 3 4 3 2 11" xfId="32289" xr:uid="{00000000-0005-0000-0000-0000398D0000}"/>
    <cellStyle name="Note 4 4 3 4 3 2 12" xfId="36048" xr:uid="{00000000-0005-0000-0000-00003A8D0000}"/>
    <cellStyle name="Note 4 4 3 4 3 2 13" xfId="40053" xr:uid="{00000000-0005-0000-0000-00003B8D0000}"/>
    <cellStyle name="Note 4 4 3 4 3 2 14" xfId="43874" xr:uid="{00000000-0005-0000-0000-00003C8D0000}"/>
    <cellStyle name="Note 4 4 3 4 3 2 2" xfId="1719" xr:uid="{00000000-0005-0000-0000-00003D8D0000}"/>
    <cellStyle name="Note 4 4 3 4 3 2 2 10" xfId="33006" xr:uid="{00000000-0005-0000-0000-00003E8D0000}"/>
    <cellStyle name="Note 4 4 3 4 3 2 2 11" xfId="36776" xr:uid="{00000000-0005-0000-0000-00003F8D0000}"/>
    <cellStyle name="Note 4 4 3 4 3 2 2 12" xfId="40767" xr:uid="{00000000-0005-0000-0000-0000408D0000}"/>
    <cellStyle name="Note 4 4 3 4 3 2 2 13" xfId="44598" xr:uid="{00000000-0005-0000-0000-0000418D0000}"/>
    <cellStyle name="Note 4 4 3 4 3 2 2 2" xfId="3709" xr:uid="{00000000-0005-0000-0000-0000428D0000}"/>
    <cellStyle name="Note 4 4 3 4 3 2 2 2 10" xfId="38760" xr:uid="{00000000-0005-0000-0000-0000438D0000}"/>
    <cellStyle name="Note 4 4 3 4 3 2 2 2 11" xfId="42771" xr:uid="{00000000-0005-0000-0000-0000448D0000}"/>
    <cellStyle name="Note 4 4 3 4 3 2 2 2 12" xfId="46536" xr:uid="{00000000-0005-0000-0000-0000458D0000}"/>
    <cellStyle name="Note 4 4 3 4 3 2 2 2 2" xfId="7576" xr:uid="{00000000-0005-0000-0000-0000468D0000}"/>
    <cellStyle name="Note 4 4 3 4 3 2 2 2 3" xfId="12011" xr:uid="{00000000-0005-0000-0000-0000478D0000}"/>
    <cellStyle name="Note 4 4 3 4 3 2 2 2 4" xfId="15856" xr:uid="{00000000-0005-0000-0000-0000488D0000}"/>
    <cellStyle name="Note 4 4 3 4 3 2 2 2 5" xfId="19703" xr:uid="{00000000-0005-0000-0000-0000498D0000}"/>
    <cellStyle name="Note 4 4 3 4 3 2 2 2 6" xfId="23619" xr:uid="{00000000-0005-0000-0000-00004A8D0000}"/>
    <cellStyle name="Note 4 4 3 4 3 2 2 2 7" xfId="27453" xr:uid="{00000000-0005-0000-0000-00004B8D0000}"/>
    <cellStyle name="Note 4 4 3 4 3 2 2 2 8" xfId="31317" xr:uid="{00000000-0005-0000-0000-00004C8D0000}"/>
    <cellStyle name="Note 4 4 3 4 3 2 2 2 9" xfId="34974" xr:uid="{00000000-0005-0000-0000-00004D8D0000}"/>
    <cellStyle name="Note 4 4 3 4 3 2 2 3" xfId="5652" xr:uid="{00000000-0005-0000-0000-00004E8D0000}"/>
    <cellStyle name="Note 4 4 3 4 3 2 2 4" xfId="10010" xr:uid="{00000000-0005-0000-0000-00004F8D0000}"/>
    <cellStyle name="Note 4 4 3 4 3 2 2 5" xfId="13856" xr:uid="{00000000-0005-0000-0000-0000508D0000}"/>
    <cellStyle name="Note 4 4 3 4 3 2 2 6" xfId="17685" xr:uid="{00000000-0005-0000-0000-0000518D0000}"/>
    <cellStyle name="Note 4 4 3 4 3 2 2 7" xfId="21624" xr:uid="{00000000-0005-0000-0000-0000528D0000}"/>
    <cellStyle name="Note 4 4 3 4 3 2 2 8" xfId="25437" xr:uid="{00000000-0005-0000-0000-0000538D0000}"/>
    <cellStyle name="Note 4 4 3 4 3 2 2 9" xfId="29324" xr:uid="{00000000-0005-0000-0000-0000548D0000}"/>
    <cellStyle name="Note 4 4 3 4 3 2 3" xfId="2980" xr:uid="{00000000-0005-0000-0000-0000558D0000}"/>
    <cellStyle name="Note 4 4 3 4 3 2 3 10" xfId="38032" xr:uid="{00000000-0005-0000-0000-0000568D0000}"/>
    <cellStyle name="Note 4 4 3 4 3 2 3 11" xfId="42044" xr:uid="{00000000-0005-0000-0000-0000578D0000}"/>
    <cellStyle name="Note 4 4 3 4 3 2 3 12" xfId="45819" xr:uid="{00000000-0005-0000-0000-0000588D0000}"/>
    <cellStyle name="Note 4 4 3 4 3 2 3 2" xfId="6858" xr:uid="{00000000-0005-0000-0000-0000598D0000}"/>
    <cellStyle name="Note 4 4 3 4 3 2 3 3" xfId="11286" xr:uid="{00000000-0005-0000-0000-00005A8D0000}"/>
    <cellStyle name="Note 4 4 3 4 3 2 3 4" xfId="15131" xr:uid="{00000000-0005-0000-0000-00005B8D0000}"/>
    <cellStyle name="Note 4 4 3 4 3 2 3 5" xfId="18974" xr:uid="{00000000-0005-0000-0000-00005C8D0000}"/>
    <cellStyle name="Note 4 4 3 4 3 2 3 6" xfId="22898" xr:uid="{00000000-0005-0000-0000-00005D8D0000}"/>
    <cellStyle name="Note 4 4 3 4 3 2 3 7" xfId="26725" xr:uid="{00000000-0005-0000-0000-00005E8D0000}"/>
    <cellStyle name="Note 4 4 3 4 3 2 3 8" xfId="30599" xr:uid="{00000000-0005-0000-0000-00005F8D0000}"/>
    <cellStyle name="Note 4 4 3 4 3 2 3 9" xfId="34257" xr:uid="{00000000-0005-0000-0000-0000608D0000}"/>
    <cellStyle name="Note 4 4 3 4 3 2 4" xfId="4934" xr:uid="{00000000-0005-0000-0000-0000618D0000}"/>
    <cellStyle name="Note 4 4 3 4 3 2 5" xfId="9289" xr:uid="{00000000-0005-0000-0000-0000628D0000}"/>
    <cellStyle name="Note 4 4 3 4 3 2 6" xfId="13130" xr:uid="{00000000-0005-0000-0000-0000638D0000}"/>
    <cellStyle name="Note 4 4 3 4 3 2 7" xfId="16956" xr:uid="{00000000-0005-0000-0000-0000648D0000}"/>
    <cellStyle name="Note 4 4 3 4 3 2 8" xfId="20898" xr:uid="{00000000-0005-0000-0000-0000658D0000}"/>
    <cellStyle name="Note 4 4 3 4 3 2 9" xfId="24713" xr:uid="{00000000-0005-0000-0000-0000668D0000}"/>
    <cellStyle name="Note 4 4 3 4 3 3" xfId="1366" xr:uid="{00000000-0005-0000-0000-0000678D0000}"/>
    <cellStyle name="Note 4 4 3 4 3 3 10" xfId="32653" xr:uid="{00000000-0005-0000-0000-0000688D0000}"/>
    <cellStyle name="Note 4 4 3 4 3 3 11" xfId="36423" xr:uid="{00000000-0005-0000-0000-0000698D0000}"/>
    <cellStyle name="Note 4 4 3 4 3 3 12" xfId="40414" xr:uid="{00000000-0005-0000-0000-00006A8D0000}"/>
    <cellStyle name="Note 4 4 3 4 3 3 13" xfId="44245" xr:uid="{00000000-0005-0000-0000-00006B8D0000}"/>
    <cellStyle name="Note 4 4 3 4 3 3 2" xfId="3356" xr:uid="{00000000-0005-0000-0000-00006C8D0000}"/>
    <cellStyle name="Note 4 4 3 4 3 3 2 10" xfId="38407" xr:uid="{00000000-0005-0000-0000-00006D8D0000}"/>
    <cellStyle name="Note 4 4 3 4 3 3 2 11" xfId="42418" xr:uid="{00000000-0005-0000-0000-00006E8D0000}"/>
    <cellStyle name="Note 4 4 3 4 3 3 2 12" xfId="46183" xr:uid="{00000000-0005-0000-0000-00006F8D0000}"/>
    <cellStyle name="Note 4 4 3 4 3 3 2 2" xfId="7223" xr:uid="{00000000-0005-0000-0000-0000708D0000}"/>
    <cellStyle name="Note 4 4 3 4 3 3 2 3" xfId="11658" xr:uid="{00000000-0005-0000-0000-0000718D0000}"/>
    <cellStyle name="Note 4 4 3 4 3 3 2 4" xfId="15503" xr:uid="{00000000-0005-0000-0000-0000728D0000}"/>
    <cellStyle name="Note 4 4 3 4 3 3 2 5" xfId="19350" xr:uid="{00000000-0005-0000-0000-0000738D0000}"/>
    <cellStyle name="Note 4 4 3 4 3 3 2 6" xfId="23266" xr:uid="{00000000-0005-0000-0000-0000748D0000}"/>
    <cellStyle name="Note 4 4 3 4 3 3 2 7" xfId="27100" xr:uid="{00000000-0005-0000-0000-0000758D0000}"/>
    <cellStyle name="Note 4 4 3 4 3 3 2 8" xfId="30968" xr:uid="{00000000-0005-0000-0000-0000768D0000}"/>
    <cellStyle name="Note 4 4 3 4 3 3 2 9" xfId="34621" xr:uid="{00000000-0005-0000-0000-0000778D0000}"/>
    <cellStyle name="Note 4 4 3 4 3 3 3" xfId="5299" xr:uid="{00000000-0005-0000-0000-0000788D0000}"/>
    <cellStyle name="Note 4 4 3 4 3 3 4" xfId="9657" xr:uid="{00000000-0005-0000-0000-0000798D0000}"/>
    <cellStyle name="Note 4 4 3 4 3 3 5" xfId="13503" xr:uid="{00000000-0005-0000-0000-00007A8D0000}"/>
    <cellStyle name="Note 4 4 3 4 3 3 6" xfId="17332" xr:uid="{00000000-0005-0000-0000-00007B8D0000}"/>
    <cellStyle name="Note 4 4 3 4 3 3 7" xfId="21271" xr:uid="{00000000-0005-0000-0000-00007C8D0000}"/>
    <cellStyle name="Note 4 4 3 4 3 3 8" xfId="25084" xr:uid="{00000000-0005-0000-0000-00007D8D0000}"/>
    <cellStyle name="Note 4 4 3 4 3 3 9" xfId="28971" xr:uid="{00000000-0005-0000-0000-00007E8D0000}"/>
    <cellStyle name="Note 4 4 3 4 3 4" xfId="2613" xr:uid="{00000000-0005-0000-0000-00007F8D0000}"/>
    <cellStyle name="Note 4 4 3 4 3 4 10" xfId="37665" xr:uid="{00000000-0005-0000-0000-0000808D0000}"/>
    <cellStyle name="Note 4 4 3 4 3 4 11" xfId="41679" xr:uid="{00000000-0005-0000-0000-0000818D0000}"/>
    <cellStyle name="Note 4 4 3 4 3 4 12" xfId="45466" xr:uid="{00000000-0005-0000-0000-0000828D0000}"/>
    <cellStyle name="Note 4 4 3 4 3 4 2" xfId="6503" xr:uid="{00000000-0005-0000-0000-0000838D0000}"/>
    <cellStyle name="Note 4 4 3 4 3 4 3" xfId="10927" xr:uid="{00000000-0005-0000-0000-0000848D0000}"/>
    <cellStyle name="Note 4 4 3 4 3 4 4" xfId="14771" xr:uid="{00000000-0005-0000-0000-0000858D0000}"/>
    <cellStyle name="Note 4 4 3 4 3 4 5" xfId="18607" xr:uid="{00000000-0005-0000-0000-0000868D0000}"/>
    <cellStyle name="Note 4 4 3 4 3 4 6" xfId="22540" xr:uid="{00000000-0005-0000-0000-0000878D0000}"/>
    <cellStyle name="Note 4 4 3 4 3 4 7" xfId="26358" xr:uid="{00000000-0005-0000-0000-0000888D0000}"/>
    <cellStyle name="Note 4 4 3 4 3 4 8" xfId="30237" xr:uid="{00000000-0005-0000-0000-0000898D0000}"/>
    <cellStyle name="Note 4 4 3 4 3 4 9" xfId="33904" xr:uid="{00000000-0005-0000-0000-00008A8D0000}"/>
    <cellStyle name="Note 4 4 3 4 3 5" xfId="4579" xr:uid="{00000000-0005-0000-0000-00008B8D0000}"/>
    <cellStyle name="Note 4 4 3 4 3 6" xfId="8919" xr:uid="{00000000-0005-0000-0000-00008C8D0000}"/>
    <cellStyle name="Note 4 4 3 4 3 7" xfId="10392" xr:uid="{00000000-0005-0000-0000-00008D8D0000}"/>
    <cellStyle name="Note 4 4 3 4 3 8" xfId="14236" xr:uid="{00000000-0005-0000-0000-00008E8D0000}"/>
    <cellStyle name="Note 4 4 3 4 3 9" xfId="20523" xr:uid="{00000000-0005-0000-0000-00008F8D0000}"/>
    <cellStyle name="Note 4 4 3 4 30" xfId="47346" xr:uid="{00000000-0005-0000-0000-0000908D0000}"/>
    <cellStyle name="Note 4 4 3 4 31" xfId="47434" xr:uid="{00000000-0005-0000-0000-0000918D0000}"/>
    <cellStyle name="Note 4 4 3 4 32" xfId="47481" xr:uid="{00000000-0005-0000-0000-0000928D0000}"/>
    <cellStyle name="Note 4 4 3 4 4" xfId="732" xr:uid="{00000000-0005-0000-0000-0000938D0000}"/>
    <cellStyle name="Note 4 4 3 4 4 10" xfId="24465" xr:uid="{00000000-0005-0000-0000-0000948D0000}"/>
    <cellStyle name="Note 4 4 3 4 4 11" xfId="28358" xr:uid="{00000000-0005-0000-0000-0000958D0000}"/>
    <cellStyle name="Note 4 4 3 4 4 12" xfId="29687" xr:uid="{00000000-0005-0000-0000-0000968D0000}"/>
    <cellStyle name="Note 4 4 3 4 4 13" xfId="35803" xr:uid="{00000000-0005-0000-0000-0000978D0000}"/>
    <cellStyle name="Note 4 4 3 4 4 14" xfId="39824" xr:uid="{00000000-0005-0000-0000-0000988D0000}"/>
    <cellStyle name="Note 4 4 3 4 4 15" xfId="43629" xr:uid="{00000000-0005-0000-0000-0000998D0000}"/>
    <cellStyle name="Note 4 4 3 4 4 2" xfId="1111" xr:uid="{00000000-0005-0000-0000-00009A8D0000}"/>
    <cellStyle name="Note 4 4 3 4 4 2 10" xfId="28721" xr:uid="{00000000-0005-0000-0000-00009B8D0000}"/>
    <cellStyle name="Note 4 4 3 4 4 2 11" xfId="32408" xr:uid="{00000000-0005-0000-0000-00009C8D0000}"/>
    <cellStyle name="Note 4 4 3 4 4 2 12" xfId="36169" xr:uid="{00000000-0005-0000-0000-00009D8D0000}"/>
    <cellStyle name="Note 4 4 3 4 4 2 13" xfId="40171" xr:uid="{00000000-0005-0000-0000-00009E8D0000}"/>
    <cellStyle name="Note 4 4 3 4 4 2 14" xfId="43995" xr:uid="{00000000-0005-0000-0000-00009F8D0000}"/>
    <cellStyle name="Note 4 4 3 4 4 2 2" xfId="1838" xr:uid="{00000000-0005-0000-0000-0000A08D0000}"/>
    <cellStyle name="Note 4 4 3 4 4 2 2 10" xfId="33125" xr:uid="{00000000-0005-0000-0000-0000A18D0000}"/>
    <cellStyle name="Note 4 4 3 4 4 2 2 11" xfId="36895" xr:uid="{00000000-0005-0000-0000-0000A28D0000}"/>
    <cellStyle name="Note 4 4 3 4 4 2 2 12" xfId="40886" xr:uid="{00000000-0005-0000-0000-0000A38D0000}"/>
    <cellStyle name="Note 4 4 3 4 4 2 2 13" xfId="44717" xr:uid="{00000000-0005-0000-0000-0000A48D0000}"/>
    <cellStyle name="Note 4 4 3 4 4 2 2 2" xfId="3828" xr:uid="{00000000-0005-0000-0000-0000A58D0000}"/>
    <cellStyle name="Note 4 4 3 4 4 2 2 2 10" xfId="38879" xr:uid="{00000000-0005-0000-0000-0000A68D0000}"/>
    <cellStyle name="Note 4 4 3 4 4 2 2 2 11" xfId="42890" xr:uid="{00000000-0005-0000-0000-0000A78D0000}"/>
    <cellStyle name="Note 4 4 3 4 4 2 2 2 12" xfId="46655" xr:uid="{00000000-0005-0000-0000-0000A88D0000}"/>
    <cellStyle name="Note 4 4 3 4 4 2 2 2 2" xfId="7695" xr:uid="{00000000-0005-0000-0000-0000A98D0000}"/>
    <cellStyle name="Note 4 4 3 4 4 2 2 2 3" xfId="12130" xr:uid="{00000000-0005-0000-0000-0000AA8D0000}"/>
    <cellStyle name="Note 4 4 3 4 4 2 2 2 4" xfId="15975" xr:uid="{00000000-0005-0000-0000-0000AB8D0000}"/>
    <cellStyle name="Note 4 4 3 4 4 2 2 2 5" xfId="19822" xr:uid="{00000000-0005-0000-0000-0000AC8D0000}"/>
    <cellStyle name="Note 4 4 3 4 4 2 2 2 6" xfId="23738" xr:uid="{00000000-0005-0000-0000-0000AD8D0000}"/>
    <cellStyle name="Note 4 4 3 4 4 2 2 2 7" xfId="27572" xr:uid="{00000000-0005-0000-0000-0000AE8D0000}"/>
    <cellStyle name="Note 4 4 3 4 4 2 2 2 8" xfId="31436" xr:uid="{00000000-0005-0000-0000-0000AF8D0000}"/>
    <cellStyle name="Note 4 4 3 4 4 2 2 2 9" xfId="35093" xr:uid="{00000000-0005-0000-0000-0000B08D0000}"/>
    <cellStyle name="Note 4 4 3 4 4 2 2 3" xfId="5771" xr:uid="{00000000-0005-0000-0000-0000B18D0000}"/>
    <cellStyle name="Note 4 4 3 4 4 2 2 4" xfId="10129" xr:uid="{00000000-0005-0000-0000-0000B28D0000}"/>
    <cellStyle name="Note 4 4 3 4 4 2 2 5" xfId="13975" xr:uid="{00000000-0005-0000-0000-0000B38D0000}"/>
    <cellStyle name="Note 4 4 3 4 4 2 2 6" xfId="17804" xr:uid="{00000000-0005-0000-0000-0000B48D0000}"/>
    <cellStyle name="Note 4 4 3 4 4 2 2 7" xfId="21743" xr:uid="{00000000-0005-0000-0000-0000B58D0000}"/>
    <cellStyle name="Note 4 4 3 4 4 2 2 8" xfId="25556" xr:uid="{00000000-0005-0000-0000-0000B68D0000}"/>
    <cellStyle name="Note 4 4 3 4 4 2 2 9" xfId="29443" xr:uid="{00000000-0005-0000-0000-0000B78D0000}"/>
    <cellStyle name="Note 4 4 3 4 4 2 3" xfId="3101" xr:uid="{00000000-0005-0000-0000-0000B88D0000}"/>
    <cellStyle name="Note 4 4 3 4 4 2 3 10" xfId="38153" xr:uid="{00000000-0005-0000-0000-0000B98D0000}"/>
    <cellStyle name="Note 4 4 3 4 4 2 3 11" xfId="42165" xr:uid="{00000000-0005-0000-0000-0000BA8D0000}"/>
    <cellStyle name="Note 4 4 3 4 4 2 3 12" xfId="45938" xr:uid="{00000000-0005-0000-0000-0000BB8D0000}"/>
    <cellStyle name="Note 4 4 3 4 4 2 3 2" xfId="6977" xr:uid="{00000000-0005-0000-0000-0000BC8D0000}"/>
    <cellStyle name="Note 4 4 3 4 4 2 3 3" xfId="11406" xr:uid="{00000000-0005-0000-0000-0000BD8D0000}"/>
    <cellStyle name="Note 4 4 3 4 4 2 3 4" xfId="15250" xr:uid="{00000000-0005-0000-0000-0000BE8D0000}"/>
    <cellStyle name="Note 4 4 3 4 4 2 3 5" xfId="19095" xr:uid="{00000000-0005-0000-0000-0000BF8D0000}"/>
    <cellStyle name="Note 4 4 3 4 4 2 3 6" xfId="23017" xr:uid="{00000000-0005-0000-0000-0000C08D0000}"/>
    <cellStyle name="Note 4 4 3 4 4 2 3 7" xfId="26846" xr:uid="{00000000-0005-0000-0000-0000C18D0000}"/>
    <cellStyle name="Note 4 4 3 4 4 2 3 8" xfId="30719" xr:uid="{00000000-0005-0000-0000-0000C28D0000}"/>
    <cellStyle name="Note 4 4 3 4 4 2 3 9" xfId="34376" xr:uid="{00000000-0005-0000-0000-0000C38D0000}"/>
    <cellStyle name="Note 4 4 3 4 4 2 4" xfId="5053" xr:uid="{00000000-0005-0000-0000-0000C48D0000}"/>
    <cellStyle name="Note 4 4 3 4 4 2 5" xfId="9409" xr:uid="{00000000-0005-0000-0000-0000C58D0000}"/>
    <cellStyle name="Note 4 4 3 4 4 2 6" xfId="13249" xr:uid="{00000000-0005-0000-0000-0000C68D0000}"/>
    <cellStyle name="Note 4 4 3 4 4 2 7" xfId="17077" xr:uid="{00000000-0005-0000-0000-0000C78D0000}"/>
    <cellStyle name="Note 4 4 3 4 4 2 8" xfId="21019" xr:uid="{00000000-0005-0000-0000-0000C88D0000}"/>
    <cellStyle name="Note 4 4 3 4 4 2 9" xfId="24833" xr:uid="{00000000-0005-0000-0000-0000C98D0000}"/>
    <cellStyle name="Note 4 4 3 4 4 3" xfId="1485" xr:uid="{00000000-0005-0000-0000-0000CA8D0000}"/>
    <cellStyle name="Note 4 4 3 4 4 3 10" xfId="32772" xr:uid="{00000000-0005-0000-0000-0000CB8D0000}"/>
    <cellStyle name="Note 4 4 3 4 4 3 11" xfId="36542" xr:uid="{00000000-0005-0000-0000-0000CC8D0000}"/>
    <cellStyle name="Note 4 4 3 4 4 3 12" xfId="40533" xr:uid="{00000000-0005-0000-0000-0000CD8D0000}"/>
    <cellStyle name="Note 4 4 3 4 4 3 13" xfId="44364" xr:uid="{00000000-0005-0000-0000-0000CE8D0000}"/>
    <cellStyle name="Note 4 4 3 4 4 3 2" xfId="3475" xr:uid="{00000000-0005-0000-0000-0000CF8D0000}"/>
    <cellStyle name="Note 4 4 3 4 4 3 2 10" xfId="38526" xr:uid="{00000000-0005-0000-0000-0000D08D0000}"/>
    <cellStyle name="Note 4 4 3 4 4 3 2 11" xfId="42537" xr:uid="{00000000-0005-0000-0000-0000D18D0000}"/>
    <cellStyle name="Note 4 4 3 4 4 3 2 12" xfId="46302" xr:uid="{00000000-0005-0000-0000-0000D28D0000}"/>
    <cellStyle name="Note 4 4 3 4 4 3 2 2" xfId="7342" xr:uid="{00000000-0005-0000-0000-0000D38D0000}"/>
    <cellStyle name="Note 4 4 3 4 4 3 2 3" xfId="11777" xr:uid="{00000000-0005-0000-0000-0000D48D0000}"/>
    <cellStyle name="Note 4 4 3 4 4 3 2 4" xfId="15622" xr:uid="{00000000-0005-0000-0000-0000D58D0000}"/>
    <cellStyle name="Note 4 4 3 4 4 3 2 5" xfId="19469" xr:uid="{00000000-0005-0000-0000-0000D68D0000}"/>
    <cellStyle name="Note 4 4 3 4 4 3 2 6" xfId="23385" xr:uid="{00000000-0005-0000-0000-0000D78D0000}"/>
    <cellStyle name="Note 4 4 3 4 4 3 2 7" xfId="27219" xr:uid="{00000000-0005-0000-0000-0000D88D0000}"/>
    <cellStyle name="Note 4 4 3 4 4 3 2 8" xfId="31086" xr:uid="{00000000-0005-0000-0000-0000D98D0000}"/>
    <cellStyle name="Note 4 4 3 4 4 3 2 9" xfId="34740" xr:uid="{00000000-0005-0000-0000-0000DA8D0000}"/>
    <cellStyle name="Note 4 4 3 4 4 3 3" xfId="5418" xr:uid="{00000000-0005-0000-0000-0000DB8D0000}"/>
    <cellStyle name="Note 4 4 3 4 4 3 4" xfId="9776" xr:uid="{00000000-0005-0000-0000-0000DC8D0000}"/>
    <cellStyle name="Note 4 4 3 4 4 3 5" xfId="13622" xr:uid="{00000000-0005-0000-0000-0000DD8D0000}"/>
    <cellStyle name="Note 4 4 3 4 4 3 6" xfId="17451" xr:uid="{00000000-0005-0000-0000-0000DE8D0000}"/>
    <cellStyle name="Note 4 4 3 4 4 3 7" xfId="21390" xr:uid="{00000000-0005-0000-0000-0000DF8D0000}"/>
    <cellStyle name="Note 4 4 3 4 4 3 8" xfId="25203" xr:uid="{00000000-0005-0000-0000-0000E08D0000}"/>
    <cellStyle name="Note 4 4 3 4 4 3 9" xfId="29090" xr:uid="{00000000-0005-0000-0000-0000E18D0000}"/>
    <cellStyle name="Note 4 4 3 4 4 4" xfId="2735" xr:uid="{00000000-0005-0000-0000-0000E28D0000}"/>
    <cellStyle name="Note 4 4 3 4 4 4 10" xfId="37787" xr:uid="{00000000-0005-0000-0000-0000E38D0000}"/>
    <cellStyle name="Note 4 4 3 4 4 4 11" xfId="41801" xr:uid="{00000000-0005-0000-0000-0000E48D0000}"/>
    <cellStyle name="Note 4 4 3 4 4 4 12" xfId="45585" xr:uid="{00000000-0005-0000-0000-0000E58D0000}"/>
    <cellStyle name="Note 4 4 3 4 4 4 2" xfId="6622" xr:uid="{00000000-0005-0000-0000-0000E68D0000}"/>
    <cellStyle name="Note 4 4 3 4 4 4 3" xfId="11046" xr:uid="{00000000-0005-0000-0000-0000E78D0000}"/>
    <cellStyle name="Note 4 4 3 4 4 4 4" xfId="14891" xr:uid="{00000000-0005-0000-0000-0000E88D0000}"/>
    <cellStyle name="Note 4 4 3 4 4 4 5" xfId="18729" xr:uid="{00000000-0005-0000-0000-0000E98D0000}"/>
    <cellStyle name="Note 4 4 3 4 4 4 6" xfId="22660" xr:uid="{00000000-0005-0000-0000-0000EA8D0000}"/>
    <cellStyle name="Note 4 4 3 4 4 4 7" xfId="26480" xr:uid="{00000000-0005-0000-0000-0000EB8D0000}"/>
    <cellStyle name="Note 4 4 3 4 4 4 8" xfId="30359" xr:uid="{00000000-0005-0000-0000-0000EC8D0000}"/>
    <cellStyle name="Note 4 4 3 4 4 4 9" xfId="34023" xr:uid="{00000000-0005-0000-0000-0000ED8D0000}"/>
    <cellStyle name="Note 4 4 3 4 4 5" xfId="4698" xr:uid="{00000000-0005-0000-0000-0000EE8D0000}"/>
    <cellStyle name="Note 4 4 3 4 4 6" xfId="9040" xr:uid="{00000000-0005-0000-0000-0000EF8D0000}"/>
    <cellStyle name="Note 4 4 3 4 4 7" xfId="12878" xr:uid="{00000000-0005-0000-0000-0000F08D0000}"/>
    <cellStyle name="Note 4 4 3 4 4 8" xfId="16708" xr:uid="{00000000-0005-0000-0000-0000F18D0000}"/>
    <cellStyle name="Note 4 4 3 4 4 9" xfId="20645" xr:uid="{00000000-0005-0000-0000-0000F28D0000}"/>
    <cellStyle name="Note 4 4 3 4 5" xfId="871" xr:uid="{00000000-0005-0000-0000-0000F38D0000}"/>
    <cellStyle name="Note 4 4 3 4 5 10" xfId="24595" xr:uid="{00000000-0005-0000-0000-0000F48D0000}"/>
    <cellStyle name="Note 4 4 3 4 5 11" xfId="28485" xr:uid="{00000000-0005-0000-0000-0000F58D0000}"/>
    <cellStyle name="Note 4 4 3 4 5 12" xfId="32172" xr:uid="{00000000-0005-0000-0000-0000F68D0000}"/>
    <cellStyle name="Note 4 4 3 4 5 13" xfId="35929" xr:uid="{00000000-0005-0000-0000-0000F78D0000}"/>
    <cellStyle name="Note 4 4 3 4 5 14" xfId="39939" xr:uid="{00000000-0005-0000-0000-0000F88D0000}"/>
    <cellStyle name="Note 4 4 3 4 5 15" xfId="43755" xr:uid="{00000000-0005-0000-0000-0000F98D0000}"/>
    <cellStyle name="Note 4 4 3 4 5 2" xfId="1208" xr:uid="{00000000-0005-0000-0000-0000FA8D0000}"/>
    <cellStyle name="Note 4 4 3 4 5 2 10" xfId="28816" xr:uid="{00000000-0005-0000-0000-0000FB8D0000}"/>
    <cellStyle name="Note 4 4 3 4 5 2 11" xfId="32500" xr:uid="{00000000-0005-0000-0000-0000FC8D0000}"/>
    <cellStyle name="Note 4 4 3 4 5 2 12" xfId="36266" xr:uid="{00000000-0005-0000-0000-0000FD8D0000}"/>
    <cellStyle name="Note 4 4 3 4 5 2 13" xfId="40259" xr:uid="{00000000-0005-0000-0000-0000FE8D0000}"/>
    <cellStyle name="Note 4 4 3 4 5 2 14" xfId="44092" xr:uid="{00000000-0005-0000-0000-0000FF8D0000}"/>
    <cellStyle name="Note 4 4 3 4 5 2 2" xfId="1930" xr:uid="{00000000-0005-0000-0000-0000008E0000}"/>
    <cellStyle name="Note 4 4 3 4 5 2 2 10" xfId="33217" xr:uid="{00000000-0005-0000-0000-0000018E0000}"/>
    <cellStyle name="Note 4 4 3 4 5 2 2 11" xfId="36987" xr:uid="{00000000-0005-0000-0000-0000028E0000}"/>
    <cellStyle name="Note 4 4 3 4 5 2 2 12" xfId="40978" xr:uid="{00000000-0005-0000-0000-0000038E0000}"/>
    <cellStyle name="Note 4 4 3 4 5 2 2 13" xfId="44809" xr:uid="{00000000-0005-0000-0000-0000048E0000}"/>
    <cellStyle name="Note 4 4 3 4 5 2 2 2" xfId="3920" xr:uid="{00000000-0005-0000-0000-0000058E0000}"/>
    <cellStyle name="Note 4 4 3 4 5 2 2 2 10" xfId="38971" xr:uid="{00000000-0005-0000-0000-0000068E0000}"/>
    <cellStyle name="Note 4 4 3 4 5 2 2 2 11" xfId="42982" xr:uid="{00000000-0005-0000-0000-0000078E0000}"/>
    <cellStyle name="Note 4 4 3 4 5 2 2 2 12" xfId="46747" xr:uid="{00000000-0005-0000-0000-0000088E0000}"/>
    <cellStyle name="Note 4 4 3 4 5 2 2 2 2" xfId="7787" xr:uid="{00000000-0005-0000-0000-0000098E0000}"/>
    <cellStyle name="Note 4 4 3 4 5 2 2 2 3" xfId="12222" xr:uid="{00000000-0005-0000-0000-00000A8E0000}"/>
    <cellStyle name="Note 4 4 3 4 5 2 2 2 4" xfId="16067" xr:uid="{00000000-0005-0000-0000-00000B8E0000}"/>
    <cellStyle name="Note 4 4 3 4 5 2 2 2 5" xfId="19914" xr:uid="{00000000-0005-0000-0000-00000C8E0000}"/>
    <cellStyle name="Note 4 4 3 4 5 2 2 2 6" xfId="23830" xr:uid="{00000000-0005-0000-0000-00000D8E0000}"/>
    <cellStyle name="Note 4 4 3 4 5 2 2 2 7" xfId="27664" xr:uid="{00000000-0005-0000-0000-00000E8E0000}"/>
    <cellStyle name="Note 4 4 3 4 5 2 2 2 8" xfId="31525" xr:uid="{00000000-0005-0000-0000-00000F8E0000}"/>
    <cellStyle name="Note 4 4 3 4 5 2 2 2 9" xfId="35185" xr:uid="{00000000-0005-0000-0000-0000108E0000}"/>
    <cellStyle name="Note 4 4 3 4 5 2 2 3" xfId="5863" xr:uid="{00000000-0005-0000-0000-0000118E0000}"/>
    <cellStyle name="Note 4 4 3 4 5 2 2 4" xfId="10221" xr:uid="{00000000-0005-0000-0000-0000128E0000}"/>
    <cellStyle name="Note 4 4 3 4 5 2 2 5" xfId="14067" xr:uid="{00000000-0005-0000-0000-0000138E0000}"/>
    <cellStyle name="Note 4 4 3 4 5 2 2 6" xfId="17896" xr:uid="{00000000-0005-0000-0000-0000148E0000}"/>
    <cellStyle name="Note 4 4 3 4 5 2 2 7" xfId="21835" xr:uid="{00000000-0005-0000-0000-0000158E0000}"/>
    <cellStyle name="Note 4 4 3 4 5 2 2 8" xfId="25648" xr:uid="{00000000-0005-0000-0000-0000168E0000}"/>
    <cellStyle name="Note 4 4 3 4 5 2 2 9" xfId="29535" xr:uid="{00000000-0005-0000-0000-0000178E0000}"/>
    <cellStyle name="Note 4 4 3 4 5 2 3" xfId="3198" xr:uid="{00000000-0005-0000-0000-0000188E0000}"/>
    <cellStyle name="Note 4 4 3 4 5 2 3 10" xfId="38250" xr:uid="{00000000-0005-0000-0000-0000198E0000}"/>
    <cellStyle name="Note 4 4 3 4 5 2 3 11" xfId="42261" xr:uid="{00000000-0005-0000-0000-00001A8E0000}"/>
    <cellStyle name="Note 4 4 3 4 5 2 3 12" xfId="46030" xr:uid="{00000000-0005-0000-0000-00001B8E0000}"/>
    <cellStyle name="Note 4 4 3 4 5 2 3 2" xfId="7070" xr:uid="{00000000-0005-0000-0000-00001C8E0000}"/>
    <cellStyle name="Note 4 4 3 4 5 2 3 3" xfId="11502" xr:uid="{00000000-0005-0000-0000-00001D8E0000}"/>
    <cellStyle name="Note 4 4 3 4 5 2 3 4" xfId="15346" xr:uid="{00000000-0005-0000-0000-00001E8E0000}"/>
    <cellStyle name="Note 4 4 3 4 5 2 3 5" xfId="19192" xr:uid="{00000000-0005-0000-0000-00001F8E0000}"/>
    <cellStyle name="Note 4 4 3 4 5 2 3 6" xfId="23111" xr:uid="{00000000-0005-0000-0000-0000208E0000}"/>
    <cellStyle name="Note 4 4 3 4 5 2 3 7" xfId="26943" xr:uid="{00000000-0005-0000-0000-0000218E0000}"/>
    <cellStyle name="Note 4 4 3 4 5 2 3 8" xfId="30813" xr:uid="{00000000-0005-0000-0000-0000228E0000}"/>
    <cellStyle name="Note 4 4 3 4 5 2 3 9" xfId="34468" xr:uid="{00000000-0005-0000-0000-0000238E0000}"/>
    <cellStyle name="Note 4 4 3 4 5 2 4" xfId="5146" xr:uid="{00000000-0005-0000-0000-0000248E0000}"/>
    <cellStyle name="Note 4 4 3 4 5 2 5" xfId="9502" xr:uid="{00000000-0005-0000-0000-0000258E0000}"/>
    <cellStyle name="Note 4 4 3 4 5 2 6" xfId="13346" xr:uid="{00000000-0005-0000-0000-0000268E0000}"/>
    <cellStyle name="Note 4 4 3 4 5 2 7" xfId="17174" xr:uid="{00000000-0005-0000-0000-0000278E0000}"/>
    <cellStyle name="Note 4 4 3 4 5 2 8" xfId="21116" xr:uid="{00000000-0005-0000-0000-0000288E0000}"/>
    <cellStyle name="Note 4 4 3 4 5 2 9" xfId="24927" xr:uid="{00000000-0005-0000-0000-0000298E0000}"/>
    <cellStyle name="Note 4 4 3 4 5 3" xfId="1602" xr:uid="{00000000-0005-0000-0000-00002A8E0000}"/>
    <cellStyle name="Note 4 4 3 4 5 3 10" xfId="32889" xr:uid="{00000000-0005-0000-0000-00002B8E0000}"/>
    <cellStyle name="Note 4 4 3 4 5 3 11" xfId="36659" xr:uid="{00000000-0005-0000-0000-00002C8E0000}"/>
    <cellStyle name="Note 4 4 3 4 5 3 12" xfId="40650" xr:uid="{00000000-0005-0000-0000-00002D8E0000}"/>
    <cellStyle name="Note 4 4 3 4 5 3 13" xfId="44481" xr:uid="{00000000-0005-0000-0000-00002E8E0000}"/>
    <cellStyle name="Note 4 4 3 4 5 3 2" xfId="3592" xr:uid="{00000000-0005-0000-0000-00002F8E0000}"/>
    <cellStyle name="Note 4 4 3 4 5 3 2 10" xfId="38643" xr:uid="{00000000-0005-0000-0000-0000308E0000}"/>
    <cellStyle name="Note 4 4 3 4 5 3 2 11" xfId="42654" xr:uid="{00000000-0005-0000-0000-0000318E0000}"/>
    <cellStyle name="Note 4 4 3 4 5 3 2 12" xfId="46419" xr:uid="{00000000-0005-0000-0000-0000328E0000}"/>
    <cellStyle name="Note 4 4 3 4 5 3 2 2" xfId="7459" xr:uid="{00000000-0005-0000-0000-0000338E0000}"/>
    <cellStyle name="Note 4 4 3 4 5 3 2 3" xfId="11894" xr:uid="{00000000-0005-0000-0000-0000348E0000}"/>
    <cellStyle name="Note 4 4 3 4 5 3 2 4" xfId="15739" xr:uid="{00000000-0005-0000-0000-0000358E0000}"/>
    <cellStyle name="Note 4 4 3 4 5 3 2 5" xfId="19586" xr:uid="{00000000-0005-0000-0000-0000368E0000}"/>
    <cellStyle name="Note 4 4 3 4 5 3 2 6" xfId="23502" xr:uid="{00000000-0005-0000-0000-0000378E0000}"/>
    <cellStyle name="Note 4 4 3 4 5 3 2 7" xfId="27336" xr:uid="{00000000-0005-0000-0000-0000388E0000}"/>
    <cellStyle name="Note 4 4 3 4 5 3 2 8" xfId="31201" xr:uid="{00000000-0005-0000-0000-0000398E0000}"/>
    <cellStyle name="Note 4 4 3 4 5 3 2 9" xfId="34857" xr:uid="{00000000-0005-0000-0000-00003A8E0000}"/>
    <cellStyle name="Note 4 4 3 4 5 3 3" xfId="5535" xr:uid="{00000000-0005-0000-0000-00003B8E0000}"/>
    <cellStyle name="Note 4 4 3 4 5 3 4" xfId="9893" xr:uid="{00000000-0005-0000-0000-00003C8E0000}"/>
    <cellStyle name="Note 4 4 3 4 5 3 5" xfId="13739" xr:uid="{00000000-0005-0000-0000-00003D8E0000}"/>
    <cellStyle name="Note 4 4 3 4 5 3 6" xfId="17568" xr:uid="{00000000-0005-0000-0000-00003E8E0000}"/>
    <cellStyle name="Note 4 4 3 4 5 3 7" xfId="21507" xr:uid="{00000000-0005-0000-0000-00003F8E0000}"/>
    <cellStyle name="Note 4 4 3 4 5 3 8" xfId="25320" xr:uid="{00000000-0005-0000-0000-0000408E0000}"/>
    <cellStyle name="Note 4 4 3 4 5 3 9" xfId="29207" xr:uid="{00000000-0005-0000-0000-0000418E0000}"/>
    <cellStyle name="Note 4 4 3 4 5 4" xfId="2861" xr:uid="{00000000-0005-0000-0000-0000428E0000}"/>
    <cellStyle name="Note 4 4 3 4 5 4 10" xfId="37913" xr:uid="{00000000-0005-0000-0000-0000438E0000}"/>
    <cellStyle name="Note 4 4 3 4 5 4 11" xfId="41925" xr:uid="{00000000-0005-0000-0000-0000448E0000}"/>
    <cellStyle name="Note 4 4 3 4 5 4 12" xfId="45702" xr:uid="{00000000-0005-0000-0000-0000458E0000}"/>
    <cellStyle name="Note 4 4 3 4 5 4 2" xfId="6741" xr:uid="{00000000-0005-0000-0000-0000468E0000}"/>
    <cellStyle name="Note 4 4 3 4 5 4 3" xfId="11168" xr:uid="{00000000-0005-0000-0000-0000478E0000}"/>
    <cellStyle name="Note 4 4 3 4 5 4 4" xfId="15013" xr:uid="{00000000-0005-0000-0000-0000488E0000}"/>
    <cellStyle name="Note 4 4 3 4 5 4 5" xfId="18855" xr:uid="{00000000-0005-0000-0000-0000498E0000}"/>
    <cellStyle name="Note 4 4 3 4 5 4 6" xfId="22781" xr:uid="{00000000-0005-0000-0000-00004A8E0000}"/>
    <cellStyle name="Note 4 4 3 4 5 4 7" xfId="26606" xr:uid="{00000000-0005-0000-0000-00004B8E0000}"/>
    <cellStyle name="Note 4 4 3 4 5 4 8" xfId="30482" xr:uid="{00000000-0005-0000-0000-00004C8E0000}"/>
    <cellStyle name="Note 4 4 3 4 5 4 9" xfId="34140" xr:uid="{00000000-0005-0000-0000-00004D8E0000}"/>
    <cellStyle name="Note 4 4 3 4 5 5" xfId="4817" xr:uid="{00000000-0005-0000-0000-00004E8E0000}"/>
    <cellStyle name="Note 4 4 3 4 5 6" xfId="9171" xr:uid="{00000000-0005-0000-0000-00004F8E0000}"/>
    <cellStyle name="Note 4 4 3 4 5 7" xfId="13012" xr:uid="{00000000-0005-0000-0000-0000508E0000}"/>
    <cellStyle name="Note 4 4 3 4 5 8" xfId="16837" xr:uid="{00000000-0005-0000-0000-0000518E0000}"/>
    <cellStyle name="Note 4 4 3 4 5 9" xfId="20779" xr:uid="{00000000-0005-0000-0000-0000528E0000}"/>
    <cellStyle name="Note 4 4 3 4 6" xfId="917" xr:uid="{00000000-0005-0000-0000-0000538E0000}"/>
    <cellStyle name="Note 4 4 3 4 6 10" xfId="28529" xr:uid="{00000000-0005-0000-0000-0000548E0000}"/>
    <cellStyle name="Note 4 4 3 4 6 11" xfId="32218" xr:uid="{00000000-0005-0000-0000-0000558E0000}"/>
    <cellStyle name="Note 4 4 3 4 6 12" xfId="35975" xr:uid="{00000000-0005-0000-0000-0000568E0000}"/>
    <cellStyle name="Note 4 4 3 4 6 13" xfId="39983" xr:uid="{00000000-0005-0000-0000-0000578E0000}"/>
    <cellStyle name="Note 4 4 3 4 6 14" xfId="43801" xr:uid="{00000000-0005-0000-0000-0000588E0000}"/>
    <cellStyle name="Note 4 4 3 4 6 2" xfId="1648" xr:uid="{00000000-0005-0000-0000-0000598E0000}"/>
    <cellStyle name="Note 4 4 3 4 6 2 10" xfId="32935" xr:uid="{00000000-0005-0000-0000-00005A8E0000}"/>
    <cellStyle name="Note 4 4 3 4 6 2 11" xfId="36705" xr:uid="{00000000-0005-0000-0000-00005B8E0000}"/>
    <cellStyle name="Note 4 4 3 4 6 2 12" xfId="40696" xr:uid="{00000000-0005-0000-0000-00005C8E0000}"/>
    <cellStyle name="Note 4 4 3 4 6 2 13" xfId="44527" xr:uid="{00000000-0005-0000-0000-00005D8E0000}"/>
    <cellStyle name="Note 4 4 3 4 6 2 2" xfId="3638" xr:uid="{00000000-0005-0000-0000-00005E8E0000}"/>
    <cellStyle name="Note 4 4 3 4 6 2 2 10" xfId="38689" xr:uid="{00000000-0005-0000-0000-00005F8E0000}"/>
    <cellStyle name="Note 4 4 3 4 6 2 2 11" xfId="42700" xr:uid="{00000000-0005-0000-0000-0000608E0000}"/>
    <cellStyle name="Note 4 4 3 4 6 2 2 12" xfId="46465" xr:uid="{00000000-0005-0000-0000-0000618E0000}"/>
    <cellStyle name="Note 4 4 3 4 6 2 2 2" xfId="7505" xr:uid="{00000000-0005-0000-0000-0000628E0000}"/>
    <cellStyle name="Note 4 4 3 4 6 2 2 3" xfId="11940" xr:uid="{00000000-0005-0000-0000-0000638E0000}"/>
    <cellStyle name="Note 4 4 3 4 6 2 2 4" xfId="15785" xr:uid="{00000000-0005-0000-0000-0000648E0000}"/>
    <cellStyle name="Note 4 4 3 4 6 2 2 5" xfId="19632" xr:uid="{00000000-0005-0000-0000-0000658E0000}"/>
    <cellStyle name="Note 4 4 3 4 6 2 2 6" xfId="23548" xr:uid="{00000000-0005-0000-0000-0000668E0000}"/>
    <cellStyle name="Note 4 4 3 4 6 2 2 7" xfId="27382" xr:uid="{00000000-0005-0000-0000-0000678E0000}"/>
    <cellStyle name="Note 4 4 3 4 6 2 2 8" xfId="31246" xr:uid="{00000000-0005-0000-0000-0000688E0000}"/>
    <cellStyle name="Note 4 4 3 4 6 2 2 9" xfId="34903" xr:uid="{00000000-0005-0000-0000-0000698E0000}"/>
    <cellStyle name="Note 4 4 3 4 6 2 3" xfId="5581" xr:uid="{00000000-0005-0000-0000-00006A8E0000}"/>
    <cellStyle name="Note 4 4 3 4 6 2 4" xfId="9939" xr:uid="{00000000-0005-0000-0000-00006B8E0000}"/>
    <cellStyle name="Note 4 4 3 4 6 2 5" xfId="13785" xr:uid="{00000000-0005-0000-0000-00006C8E0000}"/>
    <cellStyle name="Note 4 4 3 4 6 2 6" xfId="17614" xr:uid="{00000000-0005-0000-0000-00006D8E0000}"/>
    <cellStyle name="Note 4 4 3 4 6 2 7" xfId="21553" xr:uid="{00000000-0005-0000-0000-00006E8E0000}"/>
    <cellStyle name="Note 4 4 3 4 6 2 8" xfId="25366" xr:uid="{00000000-0005-0000-0000-00006F8E0000}"/>
    <cellStyle name="Note 4 4 3 4 6 2 9" xfId="29253" xr:uid="{00000000-0005-0000-0000-0000708E0000}"/>
    <cellStyle name="Note 4 4 3 4 6 3" xfId="2907" xr:uid="{00000000-0005-0000-0000-0000718E0000}"/>
    <cellStyle name="Note 4 4 3 4 6 3 10" xfId="37959" xr:uid="{00000000-0005-0000-0000-0000728E0000}"/>
    <cellStyle name="Note 4 4 3 4 6 3 11" xfId="41971" xr:uid="{00000000-0005-0000-0000-0000738E0000}"/>
    <cellStyle name="Note 4 4 3 4 6 3 12" xfId="45748" xr:uid="{00000000-0005-0000-0000-0000748E0000}"/>
    <cellStyle name="Note 4 4 3 4 6 3 2" xfId="6787" xr:uid="{00000000-0005-0000-0000-0000758E0000}"/>
    <cellStyle name="Note 4 4 3 4 6 3 3" xfId="11214" xr:uid="{00000000-0005-0000-0000-0000768E0000}"/>
    <cellStyle name="Note 4 4 3 4 6 3 4" xfId="15059" xr:uid="{00000000-0005-0000-0000-0000778E0000}"/>
    <cellStyle name="Note 4 4 3 4 6 3 5" xfId="18901" xr:uid="{00000000-0005-0000-0000-0000788E0000}"/>
    <cellStyle name="Note 4 4 3 4 6 3 6" xfId="22827" xr:uid="{00000000-0005-0000-0000-0000798E0000}"/>
    <cellStyle name="Note 4 4 3 4 6 3 7" xfId="26652" xr:uid="{00000000-0005-0000-0000-00007A8E0000}"/>
    <cellStyle name="Note 4 4 3 4 6 3 8" xfId="30527" xr:uid="{00000000-0005-0000-0000-00007B8E0000}"/>
    <cellStyle name="Note 4 4 3 4 6 3 9" xfId="34186" xr:uid="{00000000-0005-0000-0000-00007C8E0000}"/>
    <cellStyle name="Note 4 4 3 4 6 4" xfId="4863" xr:uid="{00000000-0005-0000-0000-00007D8E0000}"/>
    <cellStyle name="Note 4 4 3 4 6 5" xfId="9217" xr:uid="{00000000-0005-0000-0000-00007E8E0000}"/>
    <cellStyle name="Note 4 4 3 4 6 6" xfId="13058" xr:uid="{00000000-0005-0000-0000-00007F8E0000}"/>
    <cellStyle name="Note 4 4 3 4 6 7" xfId="16883" xr:uid="{00000000-0005-0000-0000-0000808E0000}"/>
    <cellStyle name="Note 4 4 3 4 6 8" xfId="20825" xr:uid="{00000000-0005-0000-0000-0000818E0000}"/>
    <cellStyle name="Note 4 4 3 4 6 9" xfId="24641" xr:uid="{00000000-0005-0000-0000-0000828E0000}"/>
    <cellStyle name="Note 4 4 3 4 7" xfId="1295" xr:uid="{00000000-0005-0000-0000-0000838E0000}"/>
    <cellStyle name="Note 4 4 3 4 7 10" xfId="32582" xr:uid="{00000000-0005-0000-0000-0000848E0000}"/>
    <cellStyle name="Note 4 4 3 4 7 11" xfId="36352" xr:uid="{00000000-0005-0000-0000-0000858E0000}"/>
    <cellStyle name="Note 4 4 3 4 7 12" xfId="40343" xr:uid="{00000000-0005-0000-0000-0000868E0000}"/>
    <cellStyle name="Note 4 4 3 4 7 13" xfId="44174" xr:uid="{00000000-0005-0000-0000-0000878E0000}"/>
    <cellStyle name="Note 4 4 3 4 7 2" xfId="3285" xr:uid="{00000000-0005-0000-0000-0000888E0000}"/>
    <cellStyle name="Note 4 4 3 4 7 2 10" xfId="38336" xr:uid="{00000000-0005-0000-0000-0000898E0000}"/>
    <cellStyle name="Note 4 4 3 4 7 2 11" xfId="42347" xr:uid="{00000000-0005-0000-0000-00008A8E0000}"/>
    <cellStyle name="Note 4 4 3 4 7 2 12" xfId="46112" xr:uid="{00000000-0005-0000-0000-00008B8E0000}"/>
    <cellStyle name="Note 4 4 3 4 7 2 2" xfId="7152" xr:uid="{00000000-0005-0000-0000-00008C8E0000}"/>
    <cellStyle name="Note 4 4 3 4 7 2 3" xfId="11587" xr:uid="{00000000-0005-0000-0000-00008D8E0000}"/>
    <cellStyle name="Note 4 4 3 4 7 2 4" xfId="15432" xr:uid="{00000000-0005-0000-0000-00008E8E0000}"/>
    <cellStyle name="Note 4 4 3 4 7 2 5" xfId="19279" xr:uid="{00000000-0005-0000-0000-00008F8E0000}"/>
    <cellStyle name="Note 4 4 3 4 7 2 6" xfId="23195" xr:uid="{00000000-0005-0000-0000-0000908E0000}"/>
    <cellStyle name="Note 4 4 3 4 7 2 7" xfId="27029" xr:uid="{00000000-0005-0000-0000-0000918E0000}"/>
    <cellStyle name="Note 4 4 3 4 7 2 8" xfId="30898" xr:uid="{00000000-0005-0000-0000-0000928E0000}"/>
    <cellStyle name="Note 4 4 3 4 7 2 9" xfId="34550" xr:uid="{00000000-0005-0000-0000-0000938E0000}"/>
    <cellStyle name="Note 4 4 3 4 7 3" xfId="5228" xr:uid="{00000000-0005-0000-0000-0000948E0000}"/>
    <cellStyle name="Note 4 4 3 4 7 4" xfId="9586" xr:uid="{00000000-0005-0000-0000-0000958E0000}"/>
    <cellStyle name="Note 4 4 3 4 7 5" xfId="13432" xr:uid="{00000000-0005-0000-0000-0000968E0000}"/>
    <cellStyle name="Note 4 4 3 4 7 6" xfId="17261" xr:uid="{00000000-0005-0000-0000-0000978E0000}"/>
    <cellStyle name="Note 4 4 3 4 7 7" xfId="21200" xr:uid="{00000000-0005-0000-0000-0000988E0000}"/>
    <cellStyle name="Note 4 4 3 4 7 8" xfId="25013" xr:uid="{00000000-0005-0000-0000-0000998E0000}"/>
    <cellStyle name="Note 4 4 3 4 7 9" xfId="28900" xr:uid="{00000000-0005-0000-0000-00009A8E0000}"/>
    <cellStyle name="Note 4 4 3 4 8" xfId="1990" xr:uid="{00000000-0005-0000-0000-00009B8E0000}"/>
    <cellStyle name="Note 4 4 3 4 8 10" xfId="33277" xr:uid="{00000000-0005-0000-0000-00009C8E0000}"/>
    <cellStyle name="Note 4 4 3 4 8 11" xfId="37046" xr:uid="{00000000-0005-0000-0000-00009D8E0000}"/>
    <cellStyle name="Note 4 4 3 4 8 12" xfId="41038" xr:uid="{00000000-0005-0000-0000-00009E8E0000}"/>
    <cellStyle name="Note 4 4 3 4 8 13" xfId="44868" xr:uid="{00000000-0005-0000-0000-00009F8E0000}"/>
    <cellStyle name="Note 4 4 3 4 8 2" xfId="3979" xr:uid="{00000000-0005-0000-0000-0000A08E0000}"/>
    <cellStyle name="Note 4 4 3 4 8 2 10" xfId="39030" xr:uid="{00000000-0005-0000-0000-0000A18E0000}"/>
    <cellStyle name="Note 4 4 3 4 8 2 11" xfId="43041" xr:uid="{00000000-0005-0000-0000-0000A28E0000}"/>
    <cellStyle name="Note 4 4 3 4 8 2 12" xfId="46806" xr:uid="{00000000-0005-0000-0000-0000A38E0000}"/>
    <cellStyle name="Note 4 4 3 4 8 2 2" xfId="7846" xr:uid="{00000000-0005-0000-0000-0000A48E0000}"/>
    <cellStyle name="Note 4 4 3 4 8 2 3" xfId="12281" xr:uid="{00000000-0005-0000-0000-0000A58E0000}"/>
    <cellStyle name="Note 4 4 3 4 8 2 4" xfId="16126" xr:uid="{00000000-0005-0000-0000-0000A68E0000}"/>
    <cellStyle name="Note 4 4 3 4 8 2 5" xfId="19973" xr:uid="{00000000-0005-0000-0000-0000A78E0000}"/>
    <cellStyle name="Note 4 4 3 4 8 2 6" xfId="23889" xr:uid="{00000000-0005-0000-0000-0000A88E0000}"/>
    <cellStyle name="Note 4 4 3 4 8 2 7" xfId="27723" xr:uid="{00000000-0005-0000-0000-0000A98E0000}"/>
    <cellStyle name="Note 4 4 3 4 8 2 8" xfId="31583" xr:uid="{00000000-0005-0000-0000-0000AA8E0000}"/>
    <cellStyle name="Note 4 4 3 4 8 2 9" xfId="35244" xr:uid="{00000000-0005-0000-0000-0000AB8E0000}"/>
    <cellStyle name="Note 4 4 3 4 8 3" xfId="5922" xr:uid="{00000000-0005-0000-0000-0000AC8E0000}"/>
    <cellStyle name="Note 4 4 3 4 8 4" xfId="10280" xr:uid="{00000000-0005-0000-0000-0000AD8E0000}"/>
    <cellStyle name="Note 4 4 3 4 8 5" xfId="14127" xr:uid="{00000000-0005-0000-0000-0000AE8E0000}"/>
    <cellStyle name="Note 4 4 3 4 8 6" xfId="17956" xr:uid="{00000000-0005-0000-0000-0000AF8E0000}"/>
    <cellStyle name="Note 4 4 3 4 8 7" xfId="21895" xr:uid="{00000000-0005-0000-0000-0000B08E0000}"/>
    <cellStyle name="Note 4 4 3 4 8 8" xfId="25708" xr:uid="{00000000-0005-0000-0000-0000B18E0000}"/>
    <cellStyle name="Note 4 4 3 4 8 9" xfId="29595" xr:uid="{00000000-0005-0000-0000-0000B28E0000}"/>
    <cellStyle name="Note 4 4 3 4 9" xfId="2037" xr:uid="{00000000-0005-0000-0000-0000B38E0000}"/>
    <cellStyle name="Note 4 4 3 4 9 10" xfId="33321" xr:uid="{00000000-0005-0000-0000-0000B48E0000}"/>
    <cellStyle name="Note 4 4 3 4 9 11" xfId="37093" xr:uid="{00000000-0005-0000-0000-0000B58E0000}"/>
    <cellStyle name="Note 4 4 3 4 9 12" xfId="41083" xr:uid="{00000000-0005-0000-0000-0000B68E0000}"/>
    <cellStyle name="Note 4 4 3 4 9 13" xfId="44912" xr:uid="{00000000-0005-0000-0000-0000B78E0000}"/>
    <cellStyle name="Note 4 4 3 4 9 2" xfId="4026" xr:uid="{00000000-0005-0000-0000-0000B88E0000}"/>
    <cellStyle name="Note 4 4 3 4 9 2 10" xfId="39077" xr:uid="{00000000-0005-0000-0000-0000B98E0000}"/>
    <cellStyle name="Note 4 4 3 4 9 2 11" xfId="43087" xr:uid="{00000000-0005-0000-0000-0000BA8E0000}"/>
    <cellStyle name="Note 4 4 3 4 9 2 12" xfId="46850" xr:uid="{00000000-0005-0000-0000-0000BB8E0000}"/>
    <cellStyle name="Note 4 4 3 4 9 2 2" xfId="7891" xr:uid="{00000000-0005-0000-0000-0000BC8E0000}"/>
    <cellStyle name="Note 4 4 3 4 9 2 3" xfId="12326" xr:uid="{00000000-0005-0000-0000-0000BD8E0000}"/>
    <cellStyle name="Note 4 4 3 4 9 2 4" xfId="16172" xr:uid="{00000000-0005-0000-0000-0000BE8E0000}"/>
    <cellStyle name="Note 4 4 3 4 9 2 5" xfId="20020" xr:uid="{00000000-0005-0000-0000-0000BF8E0000}"/>
    <cellStyle name="Note 4 4 3 4 9 2 6" xfId="23935" xr:uid="{00000000-0005-0000-0000-0000C08E0000}"/>
    <cellStyle name="Note 4 4 3 4 9 2 7" xfId="27770" xr:uid="{00000000-0005-0000-0000-0000C18E0000}"/>
    <cellStyle name="Note 4 4 3 4 9 2 8" xfId="31629" xr:uid="{00000000-0005-0000-0000-0000C28E0000}"/>
    <cellStyle name="Note 4 4 3 4 9 2 9" xfId="35288" xr:uid="{00000000-0005-0000-0000-0000C38E0000}"/>
    <cellStyle name="Note 4 4 3 4 9 3" xfId="5967" xr:uid="{00000000-0005-0000-0000-0000C48E0000}"/>
    <cellStyle name="Note 4 4 3 4 9 4" xfId="10325" xr:uid="{00000000-0005-0000-0000-0000C58E0000}"/>
    <cellStyle name="Note 4 4 3 4 9 5" xfId="14173" xr:uid="{00000000-0005-0000-0000-0000C68E0000}"/>
    <cellStyle name="Note 4 4 3 4 9 6" xfId="18003" xr:uid="{00000000-0005-0000-0000-0000C78E0000}"/>
    <cellStyle name="Note 4 4 3 4 9 7" xfId="21941" xr:uid="{00000000-0005-0000-0000-0000C88E0000}"/>
    <cellStyle name="Note 4 4 3 4 9 8" xfId="25755" xr:uid="{00000000-0005-0000-0000-0000C98E0000}"/>
    <cellStyle name="Note 4 4 3 4 9 9" xfId="29641" xr:uid="{00000000-0005-0000-0000-0000CA8E0000}"/>
    <cellStyle name="Note 4 4 3 5" xfId="666" xr:uid="{00000000-0005-0000-0000-0000CB8E0000}"/>
    <cellStyle name="Note 4 4 3 5 10" xfId="24400" xr:uid="{00000000-0005-0000-0000-0000CC8E0000}"/>
    <cellStyle name="Note 4 4 3 5 11" xfId="28293" xr:uid="{00000000-0005-0000-0000-0000CD8E0000}"/>
    <cellStyle name="Note 4 4 3 5 12" xfId="29636" xr:uid="{00000000-0005-0000-0000-0000CE8E0000}"/>
    <cellStyle name="Note 4 4 3 5 13" xfId="24326" xr:uid="{00000000-0005-0000-0000-0000CF8E0000}"/>
    <cellStyle name="Note 4 4 3 5 14" xfId="39760" xr:uid="{00000000-0005-0000-0000-0000D08E0000}"/>
    <cellStyle name="Note 4 4 3 5 15" xfId="43563" xr:uid="{00000000-0005-0000-0000-0000D18E0000}"/>
    <cellStyle name="Note 4 4 3 5 2" xfId="1046" xr:uid="{00000000-0005-0000-0000-0000D28E0000}"/>
    <cellStyle name="Note 4 4 3 5 2 10" xfId="28657" xr:uid="{00000000-0005-0000-0000-0000D38E0000}"/>
    <cellStyle name="Note 4 4 3 5 2 11" xfId="32343" xr:uid="{00000000-0005-0000-0000-0000D48E0000}"/>
    <cellStyle name="Note 4 4 3 5 2 12" xfId="36104" xr:uid="{00000000-0005-0000-0000-0000D58E0000}"/>
    <cellStyle name="Note 4 4 3 5 2 13" xfId="40107" xr:uid="{00000000-0005-0000-0000-0000D68E0000}"/>
    <cellStyle name="Note 4 4 3 5 2 14" xfId="43930" xr:uid="{00000000-0005-0000-0000-0000D78E0000}"/>
    <cellStyle name="Note 4 4 3 5 2 2" xfId="1773" xr:uid="{00000000-0005-0000-0000-0000D88E0000}"/>
    <cellStyle name="Note 4 4 3 5 2 2 10" xfId="33060" xr:uid="{00000000-0005-0000-0000-0000D98E0000}"/>
    <cellStyle name="Note 4 4 3 5 2 2 11" xfId="36830" xr:uid="{00000000-0005-0000-0000-0000DA8E0000}"/>
    <cellStyle name="Note 4 4 3 5 2 2 12" xfId="40821" xr:uid="{00000000-0005-0000-0000-0000DB8E0000}"/>
    <cellStyle name="Note 4 4 3 5 2 2 13" xfId="44652" xr:uid="{00000000-0005-0000-0000-0000DC8E0000}"/>
    <cellStyle name="Note 4 4 3 5 2 2 2" xfId="3763" xr:uid="{00000000-0005-0000-0000-0000DD8E0000}"/>
    <cellStyle name="Note 4 4 3 5 2 2 2 10" xfId="38814" xr:uid="{00000000-0005-0000-0000-0000DE8E0000}"/>
    <cellStyle name="Note 4 4 3 5 2 2 2 11" xfId="42825" xr:uid="{00000000-0005-0000-0000-0000DF8E0000}"/>
    <cellStyle name="Note 4 4 3 5 2 2 2 12" xfId="46590" xr:uid="{00000000-0005-0000-0000-0000E08E0000}"/>
    <cellStyle name="Note 4 4 3 5 2 2 2 2" xfId="7630" xr:uid="{00000000-0005-0000-0000-0000E18E0000}"/>
    <cellStyle name="Note 4 4 3 5 2 2 2 3" xfId="12065" xr:uid="{00000000-0005-0000-0000-0000E28E0000}"/>
    <cellStyle name="Note 4 4 3 5 2 2 2 4" xfId="15910" xr:uid="{00000000-0005-0000-0000-0000E38E0000}"/>
    <cellStyle name="Note 4 4 3 5 2 2 2 5" xfId="19757" xr:uid="{00000000-0005-0000-0000-0000E48E0000}"/>
    <cellStyle name="Note 4 4 3 5 2 2 2 6" xfId="23673" xr:uid="{00000000-0005-0000-0000-0000E58E0000}"/>
    <cellStyle name="Note 4 4 3 5 2 2 2 7" xfId="27507" xr:uid="{00000000-0005-0000-0000-0000E68E0000}"/>
    <cellStyle name="Note 4 4 3 5 2 2 2 8" xfId="31371" xr:uid="{00000000-0005-0000-0000-0000E78E0000}"/>
    <cellStyle name="Note 4 4 3 5 2 2 2 9" xfId="35028" xr:uid="{00000000-0005-0000-0000-0000E88E0000}"/>
    <cellStyle name="Note 4 4 3 5 2 2 3" xfId="5706" xr:uid="{00000000-0005-0000-0000-0000E98E0000}"/>
    <cellStyle name="Note 4 4 3 5 2 2 4" xfId="10064" xr:uid="{00000000-0005-0000-0000-0000EA8E0000}"/>
    <cellStyle name="Note 4 4 3 5 2 2 5" xfId="13910" xr:uid="{00000000-0005-0000-0000-0000EB8E0000}"/>
    <cellStyle name="Note 4 4 3 5 2 2 6" xfId="17739" xr:uid="{00000000-0005-0000-0000-0000EC8E0000}"/>
    <cellStyle name="Note 4 4 3 5 2 2 7" xfId="21678" xr:uid="{00000000-0005-0000-0000-0000ED8E0000}"/>
    <cellStyle name="Note 4 4 3 5 2 2 8" xfId="25491" xr:uid="{00000000-0005-0000-0000-0000EE8E0000}"/>
    <cellStyle name="Note 4 4 3 5 2 2 9" xfId="29378" xr:uid="{00000000-0005-0000-0000-0000EF8E0000}"/>
    <cellStyle name="Note 4 4 3 5 2 3" xfId="3036" xr:uid="{00000000-0005-0000-0000-0000F08E0000}"/>
    <cellStyle name="Note 4 4 3 5 2 3 10" xfId="38088" xr:uid="{00000000-0005-0000-0000-0000F18E0000}"/>
    <cellStyle name="Note 4 4 3 5 2 3 11" xfId="42100" xr:uid="{00000000-0005-0000-0000-0000F28E0000}"/>
    <cellStyle name="Note 4 4 3 5 2 3 12" xfId="45873" xr:uid="{00000000-0005-0000-0000-0000F38E0000}"/>
    <cellStyle name="Note 4 4 3 5 2 3 2" xfId="6912" xr:uid="{00000000-0005-0000-0000-0000F48E0000}"/>
    <cellStyle name="Note 4 4 3 5 2 3 3" xfId="11341" xr:uid="{00000000-0005-0000-0000-0000F58E0000}"/>
    <cellStyle name="Note 4 4 3 5 2 3 4" xfId="15185" xr:uid="{00000000-0005-0000-0000-0000F68E0000}"/>
    <cellStyle name="Note 4 4 3 5 2 3 5" xfId="19030" xr:uid="{00000000-0005-0000-0000-0000F78E0000}"/>
    <cellStyle name="Note 4 4 3 5 2 3 6" xfId="22952" xr:uid="{00000000-0005-0000-0000-0000F88E0000}"/>
    <cellStyle name="Note 4 4 3 5 2 3 7" xfId="26781" xr:uid="{00000000-0005-0000-0000-0000F98E0000}"/>
    <cellStyle name="Note 4 4 3 5 2 3 8" xfId="30655" xr:uid="{00000000-0005-0000-0000-0000FA8E0000}"/>
    <cellStyle name="Note 4 4 3 5 2 3 9" xfId="34311" xr:uid="{00000000-0005-0000-0000-0000FB8E0000}"/>
    <cellStyle name="Note 4 4 3 5 2 4" xfId="4988" xr:uid="{00000000-0005-0000-0000-0000FC8E0000}"/>
    <cellStyle name="Note 4 4 3 5 2 5" xfId="9344" xr:uid="{00000000-0005-0000-0000-0000FD8E0000}"/>
    <cellStyle name="Note 4 4 3 5 2 6" xfId="13184" xr:uid="{00000000-0005-0000-0000-0000FE8E0000}"/>
    <cellStyle name="Note 4 4 3 5 2 7" xfId="17012" xr:uid="{00000000-0005-0000-0000-0000FF8E0000}"/>
    <cellStyle name="Note 4 4 3 5 2 8" xfId="20954" xr:uid="{00000000-0005-0000-0000-0000008F0000}"/>
    <cellStyle name="Note 4 4 3 5 2 9" xfId="24768" xr:uid="{00000000-0005-0000-0000-0000018F0000}"/>
    <cellStyle name="Note 4 4 3 5 3" xfId="1420" xr:uid="{00000000-0005-0000-0000-0000028F0000}"/>
    <cellStyle name="Note 4 4 3 5 3 10" xfId="32707" xr:uid="{00000000-0005-0000-0000-0000038F0000}"/>
    <cellStyle name="Note 4 4 3 5 3 11" xfId="36477" xr:uid="{00000000-0005-0000-0000-0000048F0000}"/>
    <cellStyle name="Note 4 4 3 5 3 12" xfId="40468" xr:uid="{00000000-0005-0000-0000-0000058F0000}"/>
    <cellStyle name="Note 4 4 3 5 3 13" xfId="44299" xr:uid="{00000000-0005-0000-0000-0000068F0000}"/>
    <cellStyle name="Note 4 4 3 5 3 2" xfId="3410" xr:uid="{00000000-0005-0000-0000-0000078F0000}"/>
    <cellStyle name="Note 4 4 3 5 3 2 10" xfId="38461" xr:uid="{00000000-0005-0000-0000-0000088F0000}"/>
    <cellStyle name="Note 4 4 3 5 3 2 11" xfId="42472" xr:uid="{00000000-0005-0000-0000-0000098F0000}"/>
    <cellStyle name="Note 4 4 3 5 3 2 12" xfId="46237" xr:uid="{00000000-0005-0000-0000-00000A8F0000}"/>
    <cellStyle name="Note 4 4 3 5 3 2 2" xfId="7277" xr:uid="{00000000-0005-0000-0000-00000B8F0000}"/>
    <cellStyle name="Note 4 4 3 5 3 2 3" xfId="11712" xr:uid="{00000000-0005-0000-0000-00000C8F0000}"/>
    <cellStyle name="Note 4 4 3 5 3 2 4" xfId="15557" xr:uid="{00000000-0005-0000-0000-00000D8F0000}"/>
    <cellStyle name="Note 4 4 3 5 3 2 5" xfId="19404" xr:uid="{00000000-0005-0000-0000-00000E8F0000}"/>
    <cellStyle name="Note 4 4 3 5 3 2 6" xfId="23320" xr:uid="{00000000-0005-0000-0000-00000F8F0000}"/>
    <cellStyle name="Note 4 4 3 5 3 2 7" xfId="27154" xr:uid="{00000000-0005-0000-0000-0000108F0000}"/>
    <cellStyle name="Note 4 4 3 5 3 2 8" xfId="31022" xr:uid="{00000000-0005-0000-0000-0000118F0000}"/>
    <cellStyle name="Note 4 4 3 5 3 2 9" xfId="34675" xr:uid="{00000000-0005-0000-0000-0000128F0000}"/>
    <cellStyle name="Note 4 4 3 5 3 3" xfId="5353" xr:uid="{00000000-0005-0000-0000-0000138F0000}"/>
    <cellStyle name="Note 4 4 3 5 3 4" xfId="9711" xr:uid="{00000000-0005-0000-0000-0000148F0000}"/>
    <cellStyle name="Note 4 4 3 5 3 5" xfId="13557" xr:uid="{00000000-0005-0000-0000-0000158F0000}"/>
    <cellStyle name="Note 4 4 3 5 3 6" xfId="17386" xr:uid="{00000000-0005-0000-0000-0000168F0000}"/>
    <cellStyle name="Note 4 4 3 5 3 7" xfId="21325" xr:uid="{00000000-0005-0000-0000-0000178F0000}"/>
    <cellStyle name="Note 4 4 3 5 3 8" xfId="25138" xr:uid="{00000000-0005-0000-0000-0000188F0000}"/>
    <cellStyle name="Note 4 4 3 5 3 9" xfId="29025" xr:uid="{00000000-0005-0000-0000-0000198F0000}"/>
    <cellStyle name="Note 4 4 3 5 4" xfId="2669" xr:uid="{00000000-0005-0000-0000-00001A8F0000}"/>
    <cellStyle name="Note 4 4 3 5 4 10" xfId="37721" xr:uid="{00000000-0005-0000-0000-00001B8F0000}"/>
    <cellStyle name="Note 4 4 3 5 4 11" xfId="41735" xr:uid="{00000000-0005-0000-0000-00001C8F0000}"/>
    <cellStyle name="Note 4 4 3 5 4 12" xfId="45520" xr:uid="{00000000-0005-0000-0000-00001D8F0000}"/>
    <cellStyle name="Note 4 4 3 5 4 2" xfId="6557" xr:uid="{00000000-0005-0000-0000-00001E8F0000}"/>
    <cellStyle name="Note 4 4 3 5 4 3" xfId="10981" xr:uid="{00000000-0005-0000-0000-00001F8F0000}"/>
    <cellStyle name="Note 4 4 3 5 4 4" xfId="14825" xr:uid="{00000000-0005-0000-0000-0000208F0000}"/>
    <cellStyle name="Note 4 4 3 5 4 5" xfId="18663" xr:uid="{00000000-0005-0000-0000-0000218F0000}"/>
    <cellStyle name="Note 4 4 3 5 4 6" xfId="22594" xr:uid="{00000000-0005-0000-0000-0000228F0000}"/>
    <cellStyle name="Note 4 4 3 5 4 7" xfId="26414" xr:uid="{00000000-0005-0000-0000-0000238F0000}"/>
    <cellStyle name="Note 4 4 3 5 4 8" xfId="30293" xr:uid="{00000000-0005-0000-0000-0000248F0000}"/>
    <cellStyle name="Note 4 4 3 5 4 9" xfId="33958" xr:uid="{00000000-0005-0000-0000-0000258F0000}"/>
    <cellStyle name="Note 4 4 3 5 5" xfId="4633" xr:uid="{00000000-0005-0000-0000-0000268F0000}"/>
    <cellStyle name="Note 4 4 3 5 6" xfId="8975" xr:uid="{00000000-0005-0000-0000-0000278F0000}"/>
    <cellStyle name="Note 4 4 3 5 7" xfId="12812" xr:uid="{00000000-0005-0000-0000-0000288F0000}"/>
    <cellStyle name="Note 4 4 3 5 8" xfId="16642" xr:uid="{00000000-0005-0000-0000-0000298F0000}"/>
    <cellStyle name="Note 4 4 3 5 9" xfId="20579" xr:uid="{00000000-0005-0000-0000-00002A8F0000}"/>
    <cellStyle name="Note 4 4 3 6" xfId="603" xr:uid="{00000000-0005-0000-0000-00002B8F0000}"/>
    <cellStyle name="Note 4 4 3 6 10" xfId="21995" xr:uid="{00000000-0005-0000-0000-00002C8F0000}"/>
    <cellStyle name="Note 4 4 3 6 11" xfId="8424" xr:uid="{00000000-0005-0000-0000-00002D8F0000}"/>
    <cellStyle name="Note 4 4 3 6 12" xfId="30524" xr:uid="{00000000-0005-0000-0000-00002E8F0000}"/>
    <cellStyle name="Note 4 4 3 6 13" xfId="15284" xr:uid="{00000000-0005-0000-0000-00002F8F0000}"/>
    <cellStyle name="Note 4 4 3 6 14" xfId="39698" xr:uid="{00000000-0005-0000-0000-0000308F0000}"/>
    <cellStyle name="Note 4 4 3 6 15" xfId="41147" xr:uid="{00000000-0005-0000-0000-0000318F0000}"/>
    <cellStyle name="Note 4 4 3 6 2" xfId="983" xr:uid="{00000000-0005-0000-0000-0000328F0000}"/>
    <cellStyle name="Note 4 4 3 6 2 10" xfId="28594" xr:uid="{00000000-0005-0000-0000-0000338F0000}"/>
    <cellStyle name="Note 4 4 3 6 2 11" xfId="32282" xr:uid="{00000000-0005-0000-0000-0000348F0000}"/>
    <cellStyle name="Note 4 4 3 6 2 12" xfId="36041" xr:uid="{00000000-0005-0000-0000-0000358F0000}"/>
    <cellStyle name="Note 4 4 3 6 2 13" xfId="40046" xr:uid="{00000000-0005-0000-0000-0000368F0000}"/>
    <cellStyle name="Note 4 4 3 6 2 14" xfId="43867" xr:uid="{00000000-0005-0000-0000-0000378F0000}"/>
    <cellStyle name="Note 4 4 3 6 2 2" xfId="1712" xr:uid="{00000000-0005-0000-0000-0000388F0000}"/>
    <cellStyle name="Note 4 4 3 6 2 2 10" xfId="32999" xr:uid="{00000000-0005-0000-0000-0000398F0000}"/>
    <cellStyle name="Note 4 4 3 6 2 2 11" xfId="36769" xr:uid="{00000000-0005-0000-0000-00003A8F0000}"/>
    <cellStyle name="Note 4 4 3 6 2 2 12" xfId="40760" xr:uid="{00000000-0005-0000-0000-00003B8F0000}"/>
    <cellStyle name="Note 4 4 3 6 2 2 13" xfId="44591" xr:uid="{00000000-0005-0000-0000-00003C8F0000}"/>
    <cellStyle name="Note 4 4 3 6 2 2 2" xfId="3702" xr:uid="{00000000-0005-0000-0000-00003D8F0000}"/>
    <cellStyle name="Note 4 4 3 6 2 2 2 10" xfId="38753" xr:uid="{00000000-0005-0000-0000-00003E8F0000}"/>
    <cellStyle name="Note 4 4 3 6 2 2 2 11" xfId="42764" xr:uid="{00000000-0005-0000-0000-00003F8F0000}"/>
    <cellStyle name="Note 4 4 3 6 2 2 2 12" xfId="46529" xr:uid="{00000000-0005-0000-0000-0000408F0000}"/>
    <cellStyle name="Note 4 4 3 6 2 2 2 2" xfId="7569" xr:uid="{00000000-0005-0000-0000-0000418F0000}"/>
    <cellStyle name="Note 4 4 3 6 2 2 2 3" xfId="12004" xr:uid="{00000000-0005-0000-0000-0000428F0000}"/>
    <cellStyle name="Note 4 4 3 6 2 2 2 4" xfId="15849" xr:uid="{00000000-0005-0000-0000-0000438F0000}"/>
    <cellStyle name="Note 4 4 3 6 2 2 2 5" xfId="19696" xr:uid="{00000000-0005-0000-0000-0000448F0000}"/>
    <cellStyle name="Note 4 4 3 6 2 2 2 6" xfId="23612" xr:uid="{00000000-0005-0000-0000-0000458F0000}"/>
    <cellStyle name="Note 4 4 3 6 2 2 2 7" xfId="27446" xr:uid="{00000000-0005-0000-0000-0000468F0000}"/>
    <cellStyle name="Note 4 4 3 6 2 2 2 8" xfId="31310" xr:uid="{00000000-0005-0000-0000-0000478F0000}"/>
    <cellStyle name="Note 4 4 3 6 2 2 2 9" xfId="34967" xr:uid="{00000000-0005-0000-0000-0000488F0000}"/>
    <cellStyle name="Note 4 4 3 6 2 2 3" xfId="5645" xr:uid="{00000000-0005-0000-0000-0000498F0000}"/>
    <cellStyle name="Note 4 4 3 6 2 2 4" xfId="10003" xr:uid="{00000000-0005-0000-0000-00004A8F0000}"/>
    <cellStyle name="Note 4 4 3 6 2 2 5" xfId="13849" xr:uid="{00000000-0005-0000-0000-00004B8F0000}"/>
    <cellStyle name="Note 4 4 3 6 2 2 6" xfId="17678" xr:uid="{00000000-0005-0000-0000-00004C8F0000}"/>
    <cellStyle name="Note 4 4 3 6 2 2 7" xfId="21617" xr:uid="{00000000-0005-0000-0000-00004D8F0000}"/>
    <cellStyle name="Note 4 4 3 6 2 2 8" xfId="25430" xr:uid="{00000000-0005-0000-0000-00004E8F0000}"/>
    <cellStyle name="Note 4 4 3 6 2 2 9" xfId="29317" xr:uid="{00000000-0005-0000-0000-00004F8F0000}"/>
    <cellStyle name="Note 4 4 3 6 2 3" xfId="2973" xr:uid="{00000000-0005-0000-0000-0000508F0000}"/>
    <cellStyle name="Note 4 4 3 6 2 3 10" xfId="38025" xr:uid="{00000000-0005-0000-0000-0000518F0000}"/>
    <cellStyle name="Note 4 4 3 6 2 3 11" xfId="42037" xr:uid="{00000000-0005-0000-0000-0000528F0000}"/>
    <cellStyle name="Note 4 4 3 6 2 3 12" xfId="45812" xr:uid="{00000000-0005-0000-0000-0000538F0000}"/>
    <cellStyle name="Note 4 4 3 6 2 3 2" xfId="6851" xr:uid="{00000000-0005-0000-0000-0000548F0000}"/>
    <cellStyle name="Note 4 4 3 6 2 3 3" xfId="11279" xr:uid="{00000000-0005-0000-0000-0000558F0000}"/>
    <cellStyle name="Note 4 4 3 6 2 3 4" xfId="15124" xr:uid="{00000000-0005-0000-0000-0000568F0000}"/>
    <cellStyle name="Note 4 4 3 6 2 3 5" xfId="18967" xr:uid="{00000000-0005-0000-0000-0000578F0000}"/>
    <cellStyle name="Note 4 4 3 6 2 3 6" xfId="22891" xr:uid="{00000000-0005-0000-0000-0000588F0000}"/>
    <cellStyle name="Note 4 4 3 6 2 3 7" xfId="26718" xr:uid="{00000000-0005-0000-0000-0000598F0000}"/>
    <cellStyle name="Note 4 4 3 6 2 3 8" xfId="30592" xr:uid="{00000000-0005-0000-0000-00005A8F0000}"/>
    <cellStyle name="Note 4 4 3 6 2 3 9" xfId="34250" xr:uid="{00000000-0005-0000-0000-00005B8F0000}"/>
    <cellStyle name="Note 4 4 3 6 2 4" xfId="4927" xr:uid="{00000000-0005-0000-0000-00005C8F0000}"/>
    <cellStyle name="Note 4 4 3 6 2 5" xfId="9282" xr:uid="{00000000-0005-0000-0000-00005D8F0000}"/>
    <cellStyle name="Note 4 4 3 6 2 6" xfId="13123" xr:uid="{00000000-0005-0000-0000-00005E8F0000}"/>
    <cellStyle name="Note 4 4 3 6 2 7" xfId="16949" xr:uid="{00000000-0005-0000-0000-00005F8F0000}"/>
    <cellStyle name="Note 4 4 3 6 2 8" xfId="20891" xr:uid="{00000000-0005-0000-0000-0000608F0000}"/>
    <cellStyle name="Note 4 4 3 6 2 9" xfId="24706" xr:uid="{00000000-0005-0000-0000-0000618F0000}"/>
    <cellStyle name="Note 4 4 3 6 3" xfId="1359" xr:uid="{00000000-0005-0000-0000-0000628F0000}"/>
    <cellStyle name="Note 4 4 3 6 3 10" xfId="32646" xr:uid="{00000000-0005-0000-0000-0000638F0000}"/>
    <cellStyle name="Note 4 4 3 6 3 11" xfId="36416" xr:uid="{00000000-0005-0000-0000-0000648F0000}"/>
    <cellStyle name="Note 4 4 3 6 3 12" xfId="40407" xr:uid="{00000000-0005-0000-0000-0000658F0000}"/>
    <cellStyle name="Note 4 4 3 6 3 13" xfId="44238" xr:uid="{00000000-0005-0000-0000-0000668F0000}"/>
    <cellStyle name="Note 4 4 3 6 3 2" xfId="3349" xr:uid="{00000000-0005-0000-0000-0000678F0000}"/>
    <cellStyle name="Note 4 4 3 6 3 2 10" xfId="38400" xr:uid="{00000000-0005-0000-0000-0000688F0000}"/>
    <cellStyle name="Note 4 4 3 6 3 2 11" xfId="42411" xr:uid="{00000000-0005-0000-0000-0000698F0000}"/>
    <cellStyle name="Note 4 4 3 6 3 2 12" xfId="46176" xr:uid="{00000000-0005-0000-0000-00006A8F0000}"/>
    <cellStyle name="Note 4 4 3 6 3 2 2" xfId="7216" xr:uid="{00000000-0005-0000-0000-00006B8F0000}"/>
    <cellStyle name="Note 4 4 3 6 3 2 3" xfId="11651" xr:uid="{00000000-0005-0000-0000-00006C8F0000}"/>
    <cellStyle name="Note 4 4 3 6 3 2 4" xfId="15496" xr:uid="{00000000-0005-0000-0000-00006D8F0000}"/>
    <cellStyle name="Note 4 4 3 6 3 2 5" xfId="19343" xr:uid="{00000000-0005-0000-0000-00006E8F0000}"/>
    <cellStyle name="Note 4 4 3 6 3 2 6" xfId="23259" xr:uid="{00000000-0005-0000-0000-00006F8F0000}"/>
    <cellStyle name="Note 4 4 3 6 3 2 7" xfId="27093" xr:uid="{00000000-0005-0000-0000-0000708F0000}"/>
    <cellStyle name="Note 4 4 3 6 3 2 8" xfId="30961" xr:uid="{00000000-0005-0000-0000-0000718F0000}"/>
    <cellStyle name="Note 4 4 3 6 3 2 9" xfId="34614" xr:uid="{00000000-0005-0000-0000-0000728F0000}"/>
    <cellStyle name="Note 4 4 3 6 3 3" xfId="5292" xr:uid="{00000000-0005-0000-0000-0000738F0000}"/>
    <cellStyle name="Note 4 4 3 6 3 4" xfId="9650" xr:uid="{00000000-0005-0000-0000-0000748F0000}"/>
    <cellStyle name="Note 4 4 3 6 3 5" xfId="13496" xr:uid="{00000000-0005-0000-0000-0000758F0000}"/>
    <cellStyle name="Note 4 4 3 6 3 6" xfId="17325" xr:uid="{00000000-0005-0000-0000-0000768F0000}"/>
    <cellStyle name="Note 4 4 3 6 3 7" xfId="21264" xr:uid="{00000000-0005-0000-0000-0000778F0000}"/>
    <cellStyle name="Note 4 4 3 6 3 8" xfId="25077" xr:uid="{00000000-0005-0000-0000-0000788F0000}"/>
    <cellStyle name="Note 4 4 3 6 3 9" xfId="28964" xr:uid="{00000000-0005-0000-0000-0000798F0000}"/>
    <cellStyle name="Note 4 4 3 6 4" xfId="2606" xr:uid="{00000000-0005-0000-0000-00007A8F0000}"/>
    <cellStyle name="Note 4 4 3 6 4 10" xfId="37658" xr:uid="{00000000-0005-0000-0000-00007B8F0000}"/>
    <cellStyle name="Note 4 4 3 6 4 11" xfId="41672" xr:uid="{00000000-0005-0000-0000-00007C8F0000}"/>
    <cellStyle name="Note 4 4 3 6 4 12" xfId="45459" xr:uid="{00000000-0005-0000-0000-00007D8F0000}"/>
    <cellStyle name="Note 4 4 3 6 4 2" xfId="6496" xr:uid="{00000000-0005-0000-0000-00007E8F0000}"/>
    <cellStyle name="Note 4 4 3 6 4 3" xfId="10920" xr:uid="{00000000-0005-0000-0000-00007F8F0000}"/>
    <cellStyle name="Note 4 4 3 6 4 4" xfId="14764" xr:uid="{00000000-0005-0000-0000-0000808F0000}"/>
    <cellStyle name="Note 4 4 3 6 4 5" xfId="18600" xr:uid="{00000000-0005-0000-0000-0000818F0000}"/>
    <cellStyle name="Note 4 4 3 6 4 6" xfId="22533" xr:uid="{00000000-0005-0000-0000-0000828F0000}"/>
    <cellStyle name="Note 4 4 3 6 4 7" xfId="26351" xr:uid="{00000000-0005-0000-0000-0000838F0000}"/>
    <cellStyle name="Note 4 4 3 6 4 8" xfId="30230" xr:uid="{00000000-0005-0000-0000-0000848F0000}"/>
    <cellStyle name="Note 4 4 3 6 4 9" xfId="33897" xr:uid="{00000000-0005-0000-0000-0000858F0000}"/>
    <cellStyle name="Note 4 4 3 6 5" xfId="4572" xr:uid="{00000000-0005-0000-0000-0000868F0000}"/>
    <cellStyle name="Note 4 4 3 6 6" xfId="8912" xr:uid="{00000000-0005-0000-0000-0000878F0000}"/>
    <cellStyle name="Note 4 4 3 6 7" xfId="8542" xr:uid="{00000000-0005-0000-0000-0000888F0000}"/>
    <cellStyle name="Note 4 4 3 6 8" xfId="8470" xr:uid="{00000000-0005-0000-0000-0000898F0000}"/>
    <cellStyle name="Note 4 4 3 6 9" xfId="20516" xr:uid="{00000000-0005-0000-0000-00008A8F0000}"/>
    <cellStyle name="Note 4 4 3 7" xfId="742" xr:uid="{00000000-0005-0000-0000-00008B8F0000}"/>
    <cellStyle name="Note 4 4 3 7 10" xfId="24475" xr:uid="{00000000-0005-0000-0000-00008C8F0000}"/>
    <cellStyle name="Note 4 4 3 7 11" xfId="28367" xr:uid="{00000000-0005-0000-0000-00008D8F0000}"/>
    <cellStyle name="Note 4 4 3 7 12" xfId="14244" xr:uid="{00000000-0005-0000-0000-00008E8F0000}"/>
    <cellStyle name="Note 4 4 3 7 13" xfId="35813" xr:uid="{00000000-0005-0000-0000-00008F8F0000}"/>
    <cellStyle name="Note 4 4 3 7 14" xfId="39832" xr:uid="{00000000-0005-0000-0000-0000908F0000}"/>
    <cellStyle name="Note 4 4 3 7 15" xfId="43639" xr:uid="{00000000-0005-0000-0000-0000918F0000}"/>
    <cellStyle name="Note 4 4 3 7 2" xfId="1120" xr:uid="{00000000-0005-0000-0000-0000928F0000}"/>
    <cellStyle name="Note 4 4 3 7 2 10" xfId="28729" xr:uid="{00000000-0005-0000-0000-0000938F0000}"/>
    <cellStyle name="Note 4 4 3 7 2 11" xfId="32417" xr:uid="{00000000-0005-0000-0000-0000948F0000}"/>
    <cellStyle name="Note 4 4 3 7 2 12" xfId="36178" xr:uid="{00000000-0005-0000-0000-0000958F0000}"/>
    <cellStyle name="Note 4 4 3 7 2 13" xfId="40179" xr:uid="{00000000-0005-0000-0000-0000968F0000}"/>
    <cellStyle name="Note 4 4 3 7 2 14" xfId="44004" xr:uid="{00000000-0005-0000-0000-0000978F0000}"/>
    <cellStyle name="Note 4 4 3 7 2 2" xfId="1847" xr:uid="{00000000-0005-0000-0000-0000988F0000}"/>
    <cellStyle name="Note 4 4 3 7 2 2 10" xfId="33134" xr:uid="{00000000-0005-0000-0000-0000998F0000}"/>
    <cellStyle name="Note 4 4 3 7 2 2 11" xfId="36904" xr:uid="{00000000-0005-0000-0000-00009A8F0000}"/>
    <cellStyle name="Note 4 4 3 7 2 2 12" xfId="40895" xr:uid="{00000000-0005-0000-0000-00009B8F0000}"/>
    <cellStyle name="Note 4 4 3 7 2 2 13" xfId="44726" xr:uid="{00000000-0005-0000-0000-00009C8F0000}"/>
    <cellStyle name="Note 4 4 3 7 2 2 2" xfId="3837" xr:uid="{00000000-0005-0000-0000-00009D8F0000}"/>
    <cellStyle name="Note 4 4 3 7 2 2 2 10" xfId="38888" xr:uid="{00000000-0005-0000-0000-00009E8F0000}"/>
    <cellStyle name="Note 4 4 3 7 2 2 2 11" xfId="42899" xr:uid="{00000000-0005-0000-0000-00009F8F0000}"/>
    <cellStyle name="Note 4 4 3 7 2 2 2 12" xfId="46664" xr:uid="{00000000-0005-0000-0000-0000A08F0000}"/>
    <cellStyle name="Note 4 4 3 7 2 2 2 2" xfId="7704" xr:uid="{00000000-0005-0000-0000-0000A18F0000}"/>
    <cellStyle name="Note 4 4 3 7 2 2 2 3" xfId="12139" xr:uid="{00000000-0005-0000-0000-0000A28F0000}"/>
    <cellStyle name="Note 4 4 3 7 2 2 2 4" xfId="15984" xr:uid="{00000000-0005-0000-0000-0000A38F0000}"/>
    <cellStyle name="Note 4 4 3 7 2 2 2 5" xfId="19831" xr:uid="{00000000-0005-0000-0000-0000A48F0000}"/>
    <cellStyle name="Note 4 4 3 7 2 2 2 6" xfId="23747" xr:uid="{00000000-0005-0000-0000-0000A58F0000}"/>
    <cellStyle name="Note 4 4 3 7 2 2 2 7" xfId="27581" xr:uid="{00000000-0005-0000-0000-0000A68F0000}"/>
    <cellStyle name="Note 4 4 3 7 2 2 2 8" xfId="31444" xr:uid="{00000000-0005-0000-0000-0000A78F0000}"/>
    <cellStyle name="Note 4 4 3 7 2 2 2 9" xfId="35102" xr:uid="{00000000-0005-0000-0000-0000A88F0000}"/>
    <cellStyle name="Note 4 4 3 7 2 2 3" xfId="5780" xr:uid="{00000000-0005-0000-0000-0000A98F0000}"/>
    <cellStyle name="Note 4 4 3 7 2 2 4" xfId="10138" xr:uid="{00000000-0005-0000-0000-0000AA8F0000}"/>
    <cellStyle name="Note 4 4 3 7 2 2 5" xfId="13984" xr:uid="{00000000-0005-0000-0000-0000AB8F0000}"/>
    <cellStyle name="Note 4 4 3 7 2 2 6" xfId="17813" xr:uid="{00000000-0005-0000-0000-0000AC8F0000}"/>
    <cellStyle name="Note 4 4 3 7 2 2 7" xfId="21752" xr:uid="{00000000-0005-0000-0000-0000AD8F0000}"/>
    <cellStyle name="Note 4 4 3 7 2 2 8" xfId="25565" xr:uid="{00000000-0005-0000-0000-0000AE8F0000}"/>
    <cellStyle name="Note 4 4 3 7 2 2 9" xfId="29452" xr:uid="{00000000-0005-0000-0000-0000AF8F0000}"/>
    <cellStyle name="Note 4 4 3 7 2 3" xfId="3110" xr:uid="{00000000-0005-0000-0000-0000B08F0000}"/>
    <cellStyle name="Note 4 4 3 7 2 3 10" xfId="38162" xr:uid="{00000000-0005-0000-0000-0000B18F0000}"/>
    <cellStyle name="Note 4 4 3 7 2 3 11" xfId="42174" xr:uid="{00000000-0005-0000-0000-0000B28F0000}"/>
    <cellStyle name="Note 4 4 3 7 2 3 12" xfId="45947" xr:uid="{00000000-0005-0000-0000-0000B38F0000}"/>
    <cellStyle name="Note 4 4 3 7 2 3 2" xfId="6986" xr:uid="{00000000-0005-0000-0000-0000B48F0000}"/>
    <cellStyle name="Note 4 4 3 7 2 3 3" xfId="11415" xr:uid="{00000000-0005-0000-0000-0000B58F0000}"/>
    <cellStyle name="Note 4 4 3 7 2 3 4" xfId="15259" xr:uid="{00000000-0005-0000-0000-0000B68F0000}"/>
    <cellStyle name="Note 4 4 3 7 2 3 5" xfId="19104" xr:uid="{00000000-0005-0000-0000-0000B78F0000}"/>
    <cellStyle name="Note 4 4 3 7 2 3 6" xfId="23026" xr:uid="{00000000-0005-0000-0000-0000B88F0000}"/>
    <cellStyle name="Note 4 4 3 7 2 3 7" xfId="26855" xr:uid="{00000000-0005-0000-0000-0000B98F0000}"/>
    <cellStyle name="Note 4 4 3 7 2 3 8" xfId="30727" xr:uid="{00000000-0005-0000-0000-0000BA8F0000}"/>
    <cellStyle name="Note 4 4 3 7 2 3 9" xfId="34385" xr:uid="{00000000-0005-0000-0000-0000BB8F0000}"/>
    <cellStyle name="Note 4 4 3 7 2 4" xfId="5062" xr:uid="{00000000-0005-0000-0000-0000BC8F0000}"/>
    <cellStyle name="Note 4 4 3 7 2 5" xfId="9418" xr:uid="{00000000-0005-0000-0000-0000BD8F0000}"/>
    <cellStyle name="Note 4 4 3 7 2 6" xfId="13258" xr:uid="{00000000-0005-0000-0000-0000BE8F0000}"/>
    <cellStyle name="Note 4 4 3 7 2 7" xfId="17086" xr:uid="{00000000-0005-0000-0000-0000BF8F0000}"/>
    <cellStyle name="Note 4 4 3 7 2 8" xfId="21028" xr:uid="{00000000-0005-0000-0000-0000C08F0000}"/>
    <cellStyle name="Note 4 4 3 7 2 9" xfId="24842" xr:uid="{00000000-0005-0000-0000-0000C18F0000}"/>
    <cellStyle name="Note 4 4 3 7 3" xfId="1494" xr:uid="{00000000-0005-0000-0000-0000C28F0000}"/>
    <cellStyle name="Note 4 4 3 7 3 10" xfId="32781" xr:uid="{00000000-0005-0000-0000-0000C38F0000}"/>
    <cellStyle name="Note 4 4 3 7 3 11" xfId="36551" xr:uid="{00000000-0005-0000-0000-0000C48F0000}"/>
    <cellStyle name="Note 4 4 3 7 3 12" xfId="40542" xr:uid="{00000000-0005-0000-0000-0000C58F0000}"/>
    <cellStyle name="Note 4 4 3 7 3 13" xfId="44373" xr:uid="{00000000-0005-0000-0000-0000C68F0000}"/>
    <cellStyle name="Note 4 4 3 7 3 2" xfId="3484" xr:uid="{00000000-0005-0000-0000-0000C78F0000}"/>
    <cellStyle name="Note 4 4 3 7 3 2 10" xfId="38535" xr:uid="{00000000-0005-0000-0000-0000C88F0000}"/>
    <cellStyle name="Note 4 4 3 7 3 2 11" xfId="42546" xr:uid="{00000000-0005-0000-0000-0000C98F0000}"/>
    <cellStyle name="Note 4 4 3 7 3 2 12" xfId="46311" xr:uid="{00000000-0005-0000-0000-0000CA8F0000}"/>
    <cellStyle name="Note 4 4 3 7 3 2 2" xfId="7351" xr:uid="{00000000-0005-0000-0000-0000CB8F0000}"/>
    <cellStyle name="Note 4 4 3 7 3 2 3" xfId="11786" xr:uid="{00000000-0005-0000-0000-0000CC8F0000}"/>
    <cellStyle name="Note 4 4 3 7 3 2 4" xfId="15631" xr:uid="{00000000-0005-0000-0000-0000CD8F0000}"/>
    <cellStyle name="Note 4 4 3 7 3 2 5" xfId="19478" xr:uid="{00000000-0005-0000-0000-0000CE8F0000}"/>
    <cellStyle name="Note 4 4 3 7 3 2 6" xfId="23394" xr:uid="{00000000-0005-0000-0000-0000CF8F0000}"/>
    <cellStyle name="Note 4 4 3 7 3 2 7" xfId="27228" xr:uid="{00000000-0005-0000-0000-0000D08F0000}"/>
    <cellStyle name="Note 4 4 3 7 3 2 8" xfId="31095" xr:uid="{00000000-0005-0000-0000-0000D18F0000}"/>
    <cellStyle name="Note 4 4 3 7 3 2 9" xfId="34749" xr:uid="{00000000-0005-0000-0000-0000D28F0000}"/>
    <cellStyle name="Note 4 4 3 7 3 3" xfId="5427" xr:uid="{00000000-0005-0000-0000-0000D38F0000}"/>
    <cellStyle name="Note 4 4 3 7 3 4" xfId="9785" xr:uid="{00000000-0005-0000-0000-0000D48F0000}"/>
    <cellStyle name="Note 4 4 3 7 3 5" xfId="13631" xr:uid="{00000000-0005-0000-0000-0000D58F0000}"/>
    <cellStyle name="Note 4 4 3 7 3 6" xfId="17460" xr:uid="{00000000-0005-0000-0000-0000D68F0000}"/>
    <cellStyle name="Note 4 4 3 7 3 7" xfId="21399" xr:uid="{00000000-0005-0000-0000-0000D78F0000}"/>
    <cellStyle name="Note 4 4 3 7 3 8" xfId="25212" xr:uid="{00000000-0005-0000-0000-0000D88F0000}"/>
    <cellStyle name="Note 4 4 3 7 3 9" xfId="29099" xr:uid="{00000000-0005-0000-0000-0000D98F0000}"/>
    <cellStyle name="Note 4 4 3 7 4" xfId="2745" xr:uid="{00000000-0005-0000-0000-0000DA8F0000}"/>
    <cellStyle name="Note 4 4 3 7 4 10" xfId="37797" xr:uid="{00000000-0005-0000-0000-0000DB8F0000}"/>
    <cellStyle name="Note 4 4 3 7 4 11" xfId="41810" xr:uid="{00000000-0005-0000-0000-0000DC8F0000}"/>
    <cellStyle name="Note 4 4 3 7 4 12" xfId="45594" xr:uid="{00000000-0005-0000-0000-0000DD8F0000}"/>
    <cellStyle name="Note 4 4 3 7 4 2" xfId="6632" xr:uid="{00000000-0005-0000-0000-0000DE8F0000}"/>
    <cellStyle name="Note 4 4 3 7 4 3" xfId="11055" xr:uid="{00000000-0005-0000-0000-0000DF8F0000}"/>
    <cellStyle name="Note 4 4 3 7 4 4" xfId="14901" xr:uid="{00000000-0005-0000-0000-0000E08F0000}"/>
    <cellStyle name="Note 4 4 3 7 4 5" xfId="18739" xr:uid="{00000000-0005-0000-0000-0000E18F0000}"/>
    <cellStyle name="Note 4 4 3 7 4 6" xfId="22670" xr:uid="{00000000-0005-0000-0000-0000E28F0000}"/>
    <cellStyle name="Note 4 4 3 7 4 7" xfId="26490" xr:uid="{00000000-0005-0000-0000-0000E38F0000}"/>
    <cellStyle name="Note 4 4 3 7 4 8" xfId="30368" xr:uid="{00000000-0005-0000-0000-0000E48F0000}"/>
    <cellStyle name="Note 4 4 3 7 4 9" xfId="34032" xr:uid="{00000000-0005-0000-0000-0000E58F0000}"/>
    <cellStyle name="Note 4 4 3 7 5" xfId="4708" xr:uid="{00000000-0005-0000-0000-0000E68F0000}"/>
    <cellStyle name="Note 4 4 3 7 6" xfId="9050" xr:uid="{00000000-0005-0000-0000-0000E78F0000}"/>
    <cellStyle name="Note 4 4 3 7 7" xfId="12888" xr:uid="{00000000-0005-0000-0000-0000E88F0000}"/>
    <cellStyle name="Note 4 4 3 7 8" xfId="16718" xr:uid="{00000000-0005-0000-0000-0000E98F0000}"/>
    <cellStyle name="Note 4 4 3 7 9" xfId="20655" xr:uid="{00000000-0005-0000-0000-0000EA8F0000}"/>
    <cellStyle name="Note 4 4 3 8" xfId="862" xr:uid="{00000000-0005-0000-0000-0000EB8F0000}"/>
    <cellStyle name="Note 4 4 3 8 10" xfId="24586" xr:uid="{00000000-0005-0000-0000-0000EC8F0000}"/>
    <cellStyle name="Note 4 4 3 8 11" xfId="28477" xr:uid="{00000000-0005-0000-0000-0000ED8F0000}"/>
    <cellStyle name="Note 4 4 3 8 12" xfId="32163" xr:uid="{00000000-0005-0000-0000-0000EE8F0000}"/>
    <cellStyle name="Note 4 4 3 8 13" xfId="35920" xr:uid="{00000000-0005-0000-0000-0000EF8F0000}"/>
    <cellStyle name="Note 4 4 3 8 14" xfId="39931" xr:uid="{00000000-0005-0000-0000-0000F08F0000}"/>
    <cellStyle name="Note 4 4 3 8 15" xfId="43746" xr:uid="{00000000-0005-0000-0000-0000F18F0000}"/>
    <cellStyle name="Note 4 4 3 8 2" xfId="1201" xr:uid="{00000000-0005-0000-0000-0000F28F0000}"/>
    <cellStyle name="Note 4 4 3 8 2 10" xfId="28810" xr:uid="{00000000-0005-0000-0000-0000F38F0000}"/>
    <cellStyle name="Note 4 4 3 8 2 11" xfId="32493" xr:uid="{00000000-0005-0000-0000-0000F48F0000}"/>
    <cellStyle name="Note 4 4 3 8 2 12" xfId="36259" xr:uid="{00000000-0005-0000-0000-0000F58F0000}"/>
    <cellStyle name="Note 4 4 3 8 2 13" xfId="40253" xr:uid="{00000000-0005-0000-0000-0000F68F0000}"/>
    <cellStyle name="Note 4 4 3 8 2 14" xfId="44085" xr:uid="{00000000-0005-0000-0000-0000F78F0000}"/>
    <cellStyle name="Note 4 4 3 8 2 2" xfId="1923" xr:uid="{00000000-0005-0000-0000-0000F88F0000}"/>
    <cellStyle name="Note 4 4 3 8 2 2 10" xfId="33210" xr:uid="{00000000-0005-0000-0000-0000F98F0000}"/>
    <cellStyle name="Note 4 4 3 8 2 2 11" xfId="36980" xr:uid="{00000000-0005-0000-0000-0000FA8F0000}"/>
    <cellStyle name="Note 4 4 3 8 2 2 12" xfId="40971" xr:uid="{00000000-0005-0000-0000-0000FB8F0000}"/>
    <cellStyle name="Note 4 4 3 8 2 2 13" xfId="44802" xr:uid="{00000000-0005-0000-0000-0000FC8F0000}"/>
    <cellStyle name="Note 4 4 3 8 2 2 2" xfId="3913" xr:uid="{00000000-0005-0000-0000-0000FD8F0000}"/>
    <cellStyle name="Note 4 4 3 8 2 2 2 10" xfId="38964" xr:uid="{00000000-0005-0000-0000-0000FE8F0000}"/>
    <cellStyle name="Note 4 4 3 8 2 2 2 11" xfId="42975" xr:uid="{00000000-0005-0000-0000-0000FF8F0000}"/>
    <cellStyle name="Note 4 4 3 8 2 2 2 12" xfId="46740" xr:uid="{00000000-0005-0000-0000-000000900000}"/>
    <cellStyle name="Note 4 4 3 8 2 2 2 2" xfId="7780" xr:uid="{00000000-0005-0000-0000-000001900000}"/>
    <cellStyle name="Note 4 4 3 8 2 2 2 3" xfId="12215" xr:uid="{00000000-0005-0000-0000-000002900000}"/>
    <cellStyle name="Note 4 4 3 8 2 2 2 4" xfId="16060" xr:uid="{00000000-0005-0000-0000-000003900000}"/>
    <cellStyle name="Note 4 4 3 8 2 2 2 5" xfId="19907" xr:uid="{00000000-0005-0000-0000-000004900000}"/>
    <cellStyle name="Note 4 4 3 8 2 2 2 6" xfId="23823" xr:uid="{00000000-0005-0000-0000-000005900000}"/>
    <cellStyle name="Note 4 4 3 8 2 2 2 7" xfId="27657" xr:uid="{00000000-0005-0000-0000-000006900000}"/>
    <cellStyle name="Note 4 4 3 8 2 2 2 8" xfId="31519" xr:uid="{00000000-0005-0000-0000-000007900000}"/>
    <cellStyle name="Note 4 4 3 8 2 2 2 9" xfId="35178" xr:uid="{00000000-0005-0000-0000-000008900000}"/>
    <cellStyle name="Note 4 4 3 8 2 2 3" xfId="5856" xr:uid="{00000000-0005-0000-0000-000009900000}"/>
    <cellStyle name="Note 4 4 3 8 2 2 4" xfId="10214" xr:uid="{00000000-0005-0000-0000-00000A900000}"/>
    <cellStyle name="Note 4 4 3 8 2 2 5" xfId="14060" xr:uid="{00000000-0005-0000-0000-00000B900000}"/>
    <cellStyle name="Note 4 4 3 8 2 2 6" xfId="17889" xr:uid="{00000000-0005-0000-0000-00000C900000}"/>
    <cellStyle name="Note 4 4 3 8 2 2 7" xfId="21828" xr:uid="{00000000-0005-0000-0000-00000D900000}"/>
    <cellStyle name="Note 4 4 3 8 2 2 8" xfId="25641" xr:uid="{00000000-0005-0000-0000-00000E900000}"/>
    <cellStyle name="Note 4 4 3 8 2 2 9" xfId="29528" xr:uid="{00000000-0005-0000-0000-00000F900000}"/>
    <cellStyle name="Note 4 4 3 8 2 3" xfId="3191" xr:uid="{00000000-0005-0000-0000-000010900000}"/>
    <cellStyle name="Note 4 4 3 8 2 3 10" xfId="38243" xr:uid="{00000000-0005-0000-0000-000011900000}"/>
    <cellStyle name="Note 4 4 3 8 2 3 11" xfId="42254" xr:uid="{00000000-0005-0000-0000-000012900000}"/>
    <cellStyle name="Note 4 4 3 8 2 3 12" xfId="46023" xr:uid="{00000000-0005-0000-0000-000013900000}"/>
    <cellStyle name="Note 4 4 3 8 2 3 2" xfId="7063" xr:uid="{00000000-0005-0000-0000-000014900000}"/>
    <cellStyle name="Note 4 4 3 8 2 3 3" xfId="11495" xr:uid="{00000000-0005-0000-0000-000015900000}"/>
    <cellStyle name="Note 4 4 3 8 2 3 4" xfId="15339" xr:uid="{00000000-0005-0000-0000-000016900000}"/>
    <cellStyle name="Note 4 4 3 8 2 3 5" xfId="19185" xr:uid="{00000000-0005-0000-0000-000017900000}"/>
    <cellStyle name="Note 4 4 3 8 2 3 6" xfId="23104" xr:uid="{00000000-0005-0000-0000-000018900000}"/>
    <cellStyle name="Note 4 4 3 8 2 3 7" xfId="26936" xr:uid="{00000000-0005-0000-0000-000019900000}"/>
    <cellStyle name="Note 4 4 3 8 2 3 8" xfId="30807" xr:uid="{00000000-0005-0000-0000-00001A900000}"/>
    <cellStyle name="Note 4 4 3 8 2 3 9" xfId="34461" xr:uid="{00000000-0005-0000-0000-00001B900000}"/>
    <cellStyle name="Note 4 4 3 8 2 4" xfId="5139" xr:uid="{00000000-0005-0000-0000-00001C900000}"/>
    <cellStyle name="Note 4 4 3 8 2 5" xfId="9495" xr:uid="{00000000-0005-0000-0000-00001D900000}"/>
    <cellStyle name="Note 4 4 3 8 2 6" xfId="13339" xr:uid="{00000000-0005-0000-0000-00001E900000}"/>
    <cellStyle name="Note 4 4 3 8 2 7" xfId="17167" xr:uid="{00000000-0005-0000-0000-00001F900000}"/>
    <cellStyle name="Note 4 4 3 8 2 8" xfId="21109" xr:uid="{00000000-0005-0000-0000-000020900000}"/>
    <cellStyle name="Note 4 4 3 8 2 9" xfId="24920" xr:uid="{00000000-0005-0000-0000-000021900000}"/>
    <cellStyle name="Note 4 4 3 8 3" xfId="1593" xr:uid="{00000000-0005-0000-0000-000022900000}"/>
    <cellStyle name="Note 4 4 3 8 3 10" xfId="32880" xr:uid="{00000000-0005-0000-0000-000023900000}"/>
    <cellStyle name="Note 4 4 3 8 3 11" xfId="36650" xr:uid="{00000000-0005-0000-0000-000024900000}"/>
    <cellStyle name="Note 4 4 3 8 3 12" xfId="40641" xr:uid="{00000000-0005-0000-0000-000025900000}"/>
    <cellStyle name="Note 4 4 3 8 3 13" xfId="44472" xr:uid="{00000000-0005-0000-0000-000026900000}"/>
    <cellStyle name="Note 4 4 3 8 3 2" xfId="3583" xr:uid="{00000000-0005-0000-0000-000027900000}"/>
    <cellStyle name="Note 4 4 3 8 3 2 10" xfId="38634" xr:uid="{00000000-0005-0000-0000-000028900000}"/>
    <cellStyle name="Note 4 4 3 8 3 2 11" xfId="42645" xr:uid="{00000000-0005-0000-0000-000029900000}"/>
    <cellStyle name="Note 4 4 3 8 3 2 12" xfId="46410" xr:uid="{00000000-0005-0000-0000-00002A900000}"/>
    <cellStyle name="Note 4 4 3 8 3 2 2" xfId="7450" xr:uid="{00000000-0005-0000-0000-00002B900000}"/>
    <cellStyle name="Note 4 4 3 8 3 2 3" xfId="11885" xr:uid="{00000000-0005-0000-0000-00002C900000}"/>
    <cellStyle name="Note 4 4 3 8 3 2 4" xfId="15730" xr:uid="{00000000-0005-0000-0000-00002D900000}"/>
    <cellStyle name="Note 4 4 3 8 3 2 5" xfId="19577" xr:uid="{00000000-0005-0000-0000-00002E900000}"/>
    <cellStyle name="Note 4 4 3 8 3 2 6" xfId="23493" xr:uid="{00000000-0005-0000-0000-00002F900000}"/>
    <cellStyle name="Note 4 4 3 8 3 2 7" xfId="27327" xr:uid="{00000000-0005-0000-0000-000030900000}"/>
    <cellStyle name="Note 4 4 3 8 3 2 8" xfId="31193" xr:uid="{00000000-0005-0000-0000-000031900000}"/>
    <cellStyle name="Note 4 4 3 8 3 2 9" xfId="34848" xr:uid="{00000000-0005-0000-0000-000032900000}"/>
    <cellStyle name="Note 4 4 3 8 3 3" xfId="5526" xr:uid="{00000000-0005-0000-0000-000033900000}"/>
    <cellStyle name="Note 4 4 3 8 3 4" xfId="9884" xr:uid="{00000000-0005-0000-0000-000034900000}"/>
    <cellStyle name="Note 4 4 3 8 3 5" xfId="13730" xr:uid="{00000000-0005-0000-0000-000035900000}"/>
    <cellStyle name="Note 4 4 3 8 3 6" xfId="17559" xr:uid="{00000000-0005-0000-0000-000036900000}"/>
    <cellStyle name="Note 4 4 3 8 3 7" xfId="21498" xr:uid="{00000000-0005-0000-0000-000037900000}"/>
    <cellStyle name="Note 4 4 3 8 3 8" xfId="25311" xr:uid="{00000000-0005-0000-0000-000038900000}"/>
    <cellStyle name="Note 4 4 3 8 3 9" xfId="29198" xr:uid="{00000000-0005-0000-0000-000039900000}"/>
    <cellStyle name="Note 4 4 3 8 4" xfId="2852" xr:uid="{00000000-0005-0000-0000-00003A900000}"/>
    <cellStyle name="Note 4 4 3 8 4 10" xfId="37904" xr:uid="{00000000-0005-0000-0000-00003B900000}"/>
    <cellStyle name="Note 4 4 3 8 4 11" xfId="41916" xr:uid="{00000000-0005-0000-0000-00003C900000}"/>
    <cellStyle name="Note 4 4 3 8 4 12" xfId="45693" xr:uid="{00000000-0005-0000-0000-00003D900000}"/>
    <cellStyle name="Note 4 4 3 8 4 2" xfId="6732" xr:uid="{00000000-0005-0000-0000-00003E900000}"/>
    <cellStyle name="Note 4 4 3 8 4 3" xfId="11159" xr:uid="{00000000-0005-0000-0000-00003F900000}"/>
    <cellStyle name="Note 4 4 3 8 4 4" xfId="15004" xr:uid="{00000000-0005-0000-0000-000040900000}"/>
    <cellStyle name="Note 4 4 3 8 4 5" xfId="18846" xr:uid="{00000000-0005-0000-0000-000041900000}"/>
    <cellStyle name="Note 4 4 3 8 4 6" xfId="22772" xr:uid="{00000000-0005-0000-0000-000042900000}"/>
    <cellStyle name="Note 4 4 3 8 4 7" xfId="26597" xr:uid="{00000000-0005-0000-0000-000043900000}"/>
    <cellStyle name="Note 4 4 3 8 4 8" xfId="30474" xr:uid="{00000000-0005-0000-0000-000044900000}"/>
    <cellStyle name="Note 4 4 3 8 4 9" xfId="34131" xr:uid="{00000000-0005-0000-0000-000045900000}"/>
    <cellStyle name="Note 4 4 3 8 5" xfId="4808" xr:uid="{00000000-0005-0000-0000-000046900000}"/>
    <cellStyle name="Note 4 4 3 8 6" xfId="9162" xr:uid="{00000000-0005-0000-0000-000047900000}"/>
    <cellStyle name="Note 4 4 3 8 7" xfId="13003" xr:uid="{00000000-0005-0000-0000-000048900000}"/>
    <cellStyle name="Note 4 4 3 8 8" xfId="16828" xr:uid="{00000000-0005-0000-0000-000049900000}"/>
    <cellStyle name="Note 4 4 3 8 9" xfId="20770" xr:uid="{00000000-0005-0000-0000-00004A900000}"/>
    <cellStyle name="Note 4 4 3 9" xfId="823" xr:uid="{00000000-0005-0000-0000-00004B900000}"/>
    <cellStyle name="Note 4 4 3 9 10" xfId="28438" xr:uid="{00000000-0005-0000-0000-00004C900000}"/>
    <cellStyle name="Note 4 4 3 9 11" xfId="32124" xr:uid="{00000000-0005-0000-0000-00004D900000}"/>
    <cellStyle name="Note 4 4 3 9 12" xfId="35881" xr:uid="{00000000-0005-0000-0000-00004E900000}"/>
    <cellStyle name="Note 4 4 3 9 13" xfId="39892" xr:uid="{00000000-0005-0000-0000-00004F900000}"/>
    <cellStyle name="Note 4 4 3 9 14" xfId="43707" xr:uid="{00000000-0005-0000-0000-000050900000}"/>
    <cellStyle name="Note 4 4 3 9 2" xfId="1554" xr:uid="{00000000-0005-0000-0000-000051900000}"/>
    <cellStyle name="Note 4 4 3 9 2 10" xfId="32841" xr:uid="{00000000-0005-0000-0000-000052900000}"/>
    <cellStyle name="Note 4 4 3 9 2 11" xfId="36611" xr:uid="{00000000-0005-0000-0000-000053900000}"/>
    <cellStyle name="Note 4 4 3 9 2 12" xfId="40602" xr:uid="{00000000-0005-0000-0000-000054900000}"/>
    <cellStyle name="Note 4 4 3 9 2 13" xfId="44433" xr:uid="{00000000-0005-0000-0000-000055900000}"/>
    <cellStyle name="Note 4 4 3 9 2 2" xfId="3544" xr:uid="{00000000-0005-0000-0000-000056900000}"/>
    <cellStyle name="Note 4 4 3 9 2 2 10" xfId="38595" xr:uid="{00000000-0005-0000-0000-000057900000}"/>
    <cellStyle name="Note 4 4 3 9 2 2 11" xfId="42606" xr:uid="{00000000-0005-0000-0000-000058900000}"/>
    <cellStyle name="Note 4 4 3 9 2 2 12" xfId="46371" xr:uid="{00000000-0005-0000-0000-000059900000}"/>
    <cellStyle name="Note 4 4 3 9 2 2 2" xfId="7411" xr:uid="{00000000-0005-0000-0000-00005A900000}"/>
    <cellStyle name="Note 4 4 3 9 2 2 3" xfId="11846" xr:uid="{00000000-0005-0000-0000-00005B900000}"/>
    <cellStyle name="Note 4 4 3 9 2 2 4" xfId="15691" xr:uid="{00000000-0005-0000-0000-00005C900000}"/>
    <cellStyle name="Note 4 4 3 9 2 2 5" xfId="19538" xr:uid="{00000000-0005-0000-0000-00005D900000}"/>
    <cellStyle name="Note 4 4 3 9 2 2 6" xfId="23454" xr:uid="{00000000-0005-0000-0000-00005E900000}"/>
    <cellStyle name="Note 4 4 3 9 2 2 7" xfId="27288" xr:uid="{00000000-0005-0000-0000-00005F900000}"/>
    <cellStyle name="Note 4 4 3 9 2 2 8" xfId="31154" xr:uid="{00000000-0005-0000-0000-000060900000}"/>
    <cellStyle name="Note 4 4 3 9 2 2 9" xfId="34809" xr:uid="{00000000-0005-0000-0000-000061900000}"/>
    <cellStyle name="Note 4 4 3 9 2 3" xfId="5487" xr:uid="{00000000-0005-0000-0000-000062900000}"/>
    <cellStyle name="Note 4 4 3 9 2 4" xfId="9845" xr:uid="{00000000-0005-0000-0000-000063900000}"/>
    <cellStyle name="Note 4 4 3 9 2 5" xfId="13691" xr:uid="{00000000-0005-0000-0000-000064900000}"/>
    <cellStyle name="Note 4 4 3 9 2 6" xfId="17520" xr:uid="{00000000-0005-0000-0000-000065900000}"/>
    <cellStyle name="Note 4 4 3 9 2 7" xfId="21459" xr:uid="{00000000-0005-0000-0000-000066900000}"/>
    <cellStyle name="Note 4 4 3 9 2 8" xfId="25272" xr:uid="{00000000-0005-0000-0000-000067900000}"/>
    <cellStyle name="Note 4 4 3 9 2 9" xfId="29159" xr:uid="{00000000-0005-0000-0000-000068900000}"/>
    <cellStyle name="Note 4 4 3 9 3" xfId="2813" xr:uid="{00000000-0005-0000-0000-000069900000}"/>
    <cellStyle name="Note 4 4 3 9 3 10" xfId="37865" xr:uid="{00000000-0005-0000-0000-00006A900000}"/>
    <cellStyle name="Note 4 4 3 9 3 11" xfId="41877" xr:uid="{00000000-0005-0000-0000-00006B900000}"/>
    <cellStyle name="Note 4 4 3 9 3 12" xfId="45654" xr:uid="{00000000-0005-0000-0000-00006C900000}"/>
    <cellStyle name="Note 4 4 3 9 3 2" xfId="6693" xr:uid="{00000000-0005-0000-0000-00006D900000}"/>
    <cellStyle name="Note 4 4 3 9 3 3" xfId="11120" xr:uid="{00000000-0005-0000-0000-00006E900000}"/>
    <cellStyle name="Note 4 4 3 9 3 4" xfId="14965" xr:uid="{00000000-0005-0000-0000-00006F900000}"/>
    <cellStyle name="Note 4 4 3 9 3 5" xfId="18807" xr:uid="{00000000-0005-0000-0000-000070900000}"/>
    <cellStyle name="Note 4 4 3 9 3 6" xfId="22733" xr:uid="{00000000-0005-0000-0000-000071900000}"/>
    <cellStyle name="Note 4 4 3 9 3 7" xfId="26558" xr:uid="{00000000-0005-0000-0000-000072900000}"/>
    <cellStyle name="Note 4 4 3 9 3 8" xfId="30435" xr:uid="{00000000-0005-0000-0000-000073900000}"/>
    <cellStyle name="Note 4 4 3 9 3 9" xfId="34092" xr:uid="{00000000-0005-0000-0000-000074900000}"/>
    <cellStyle name="Note 4 4 3 9 4" xfId="4769" xr:uid="{00000000-0005-0000-0000-000075900000}"/>
    <cellStyle name="Note 4 4 3 9 5" xfId="9123" xr:uid="{00000000-0005-0000-0000-000076900000}"/>
    <cellStyle name="Note 4 4 3 9 6" xfId="12964" xr:uid="{00000000-0005-0000-0000-000077900000}"/>
    <cellStyle name="Note 4 4 3 9 7" xfId="16789" xr:uid="{00000000-0005-0000-0000-000078900000}"/>
    <cellStyle name="Note 4 4 3 9 8" xfId="20731" xr:uid="{00000000-0005-0000-0000-000079900000}"/>
    <cellStyle name="Note 4 4 3 9 9" xfId="24547" xr:uid="{00000000-0005-0000-0000-00007A900000}"/>
    <cellStyle name="Note 4 4 30" xfId="39608" xr:uid="{00000000-0005-0000-0000-00007B900000}"/>
    <cellStyle name="Note 4 4 31" xfId="47338" xr:uid="{00000000-0005-0000-0000-00007C900000}"/>
    <cellStyle name="Note 4 4 32" xfId="47427" xr:uid="{00000000-0005-0000-0000-00007D900000}"/>
    <cellStyle name="Note 4 4 33" xfId="47394" xr:uid="{00000000-0005-0000-0000-00007E900000}"/>
    <cellStyle name="Note 4 4 4" xfId="568" xr:uid="{00000000-0005-0000-0000-00007F900000}"/>
    <cellStyle name="Note 4 4 4 10" xfId="2218" xr:uid="{00000000-0005-0000-0000-000080900000}"/>
    <cellStyle name="Note 4 4 4 10 10" xfId="33519" xr:uid="{00000000-0005-0000-0000-000081900000}"/>
    <cellStyle name="Note 4 4 4 10 11" xfId="37270" xr:uid="{00000000-0005-0000-0000-000082900000}"/>
    <cellStyle name="Note 4 4 4 10 12" xfId="41286" xr:uid="{00000000-0005-0000-0000-000083900000}"/>
    <cellStyle name="Note 4 4 4 10 13" xfId="45081" xr:uid="{00000000-0005-0000-0000-000084900000}"/>
    <cellStyle name="Note 4 4 4 10 2" xfId="4201" xr:uid="{00000000-0005-0000-0000-000085900000}"/>
    <cellStyle name="Note 4 4 4 10 2 10" xfId="39252" xr:uid="{00000000-0005-0000-0000-000086900000}"/>
    <cellStyle name="Note 4 4 4 10 2 11" xfId="43262" xr:uid="{00000000-0005-0000-0000-000087900000}"/>
    <cellStyle name="Note 4 4 4 10 2 12" xfId="47019" xr:uid="{00000000-0005-0000-0000-000088900000}"/>
    <cellStyle name="Note 4 4 4 10 2 2" xfId="8060" xr:uid="{00000000-0005-0000-0000-000089900000}"/>
    <cellStyle name="Note 4 4 4 10 2 3" xfId="12500" xr:uid="{00000000-0005-0000-0000-00008A900000}"/>
    <cellStyle name="Note 4 4 4 10 2 4" xfId="16345" xr:uid="{00000000-0005-0000-0000-00008B900000}"/>
    <cellStyle name="Note 4 4 4 10 2 5" xfId="20195" xr:uid="{00000000-0005-0000-0000-00008C900000}"/>
    <cellStyle name="Note 4 4 4 10 2 6" xfId="24107" xr:uid="{00000000-0005-0000-0000-00008D900000}"/>
    <cellStyle name="Note 4 4 4 10 2 7" xfId="27945" xr:uid="{00000000-0005-0000-0000-00008E900000}"/>
    <cellStyle name="Note 4 4 4 10 2 8" xfId="31804" xr:uid="{00000000-0005-0000-0000-00008F900000}"/>
    <cellStyle name="Note 4 4 4 10 2 9" xfId="35457" xr:uid="{00000000-0005-0000-0000-000090900000}"/>
    <cellStyle name="Note 4 4 4 10 3" xfId="6132" xr:uid="{00000000-0005-0000-0000-000091900000}"/>
    <cellStyle name="Note 4 4 4 10 4" xfId="10535" xr:uid="{00000000-0005-0000-0000-000092900000}"/>
    <cellStyle name="Note 4 4 4 10 5" xfId="14381" xr:uid="{00000000-0005-0000-0000-000093900000}"/>
    <cellStyle name="Note 4 4 4 10 6" xfId="18212" xr:uid="{00000000-0005-0000-0000-000094900000}"/>
    <cellStyle name="Note 4 4 4 10 7" xfId="22151" xr:uid="{00000000-0005-0000-0000-000095900000}"/>
    <cellStyle name="Note 4 4 4 10 8" xfId="25963" xr:uid="{00000000-0005-0000-0000-000096900000}"/>
    <cellStyle name="Note 4 4 4 10 9" xfId="29843" xr:uid="{00000000-0005-0000-0000-000097900000}"/>
    <cellStyle name="Note 4 4 4 11" xfId="2276" xr:uid="{00000000-0005-0000-0000-000098900000}"/>
    <cellStyle name="Note 4 4 4 11 10" xfId="33577" xr:uid="{00000000-0005-0000-0000-000099900000}"/>
    <cellStyle name="Note 4 4 4 11 11" xfId="37328" xr:uid="{00000000-0005-0000-0000-00009A900000}"/>
    <cellStyle name="Note 4 4 4 11 12" xfId="41344" xr:uid="{00000000-0005-0000-0000-00009B900000}"/>
    <cellStyle name="Note 4 4 4 11 13" xfId="45139" xr:uid="{00000000-0005-0000-0000-00009C900000}"/>
    <cellStyle name="Note 4 4 4 11 2" xfId="4259" xr:uid="{00000000-0005-0000-0000-00009D900000}"/>
    <cellStyle name="Note 4 4 4 11 2 10" xfId="39310" xr:uid="{00000000-0005-0000-0000-00009E900000}"/>
    <cellStyle name="Note 4 4 4 11 2 11" xfId="43320" xr:uid="{00000000-0005-0000-0000-00009F900000}"/>
    <cellStyle name="Note 4 4 4 11 2 12" xfId="47077" xr:uid="{00000000-0005-0000-0000-0000A0900000}"/>
    <cellStyle name="Note 4 4 4 11 2 2" xfId="8118" xr:uid="{00000000-0005-0000-0000-0000A1900000}"/>
    <cellStyle name="Note 4 4 4 11 2 3" xfId="12558" xr:uid="{00000000-0005-0000-0000-0000A2900000}"/>
    <cellStyle name="Note 4 4 4 11 2 4" xfId="16403" xr:uid="{00000000-0005-0000-0000-0000A3900000}"/>
    <cellStyle name="Note 4 4 4 11 2 5" xfId="20253" xr:uid="{00000000-0005-0000-0000-0000A4900000}"/>
    <cellStyle name="Note 4 4 4 11 2 6" xfId="24165" xr:uid="{00000000-0005-0000-0000-0000A5900000}"/>
    <cellStyle name="Note 4 4 4 11 2 7" xfId="28003" xr:uid="{00000000-0005-0000-0000-0000A6900000}"/>
    <cellStyle name="Note 4 4 4 11 2 8" xfId="31862" xr:uid="{00000000-0005-0000-0000-0000A7900000}"/>
    <cellStyle name="Note 4 4 4 11 2 9" xfId="35515" xr:uid="{00000000-0005-0000-0000-0000A8900000}"/>
    <cellStyle name="Note 4 4 4 11 3" xfId="6190" xr:uid="{00000000-0005-0000-0000-0000A9900000}"/>
    <cellStyle name="Note 4 4 4 11 4" xfId="10593" xr:uid="{00000000-0005-0000-0000-0000AA900000}"/>
    <cellStyle name="Note 4 4 4 11 5" xfId="14439" xr:uid="{00000000-0005-0000-0000-0000AB900000}"/>
    <cellStyle name="Note 4 4 4 11 6" xfId="18270" xr:uid="{00000000-0005-0000-0000-0000AC900000}"/>
    <cellStyle name="Note 4 4 4 11 7" xfId="22209" xr:uid="{00000000-0005-0000-0000-0000AD900000}"/>
    <cellStyle name="Note 4 4 4 11 8" xfId="26021" xr:uid="{00000000-0005-0000-0000-0000AE900000}"/>
    <cellStyle name="Note 4 4 4 11 9" xfId="29901" xr:uid="{00000000-0005-0000-0000-0000AF900000}"/>
    <cellStyle name="Note 4 4 4 12" xfId="2333" xr:uid="{00000000-0005-0000-0000-0000B0900000}"/>
    <cellStyle name="Note 4 4 4 12 10" xfId="33632" xr:uid="{00000000-0005-0000-0000-0000B1900000}"/>
    <cellStyle name="Note 4 4 4 12 11" xfId="37385" xr:uid="{00000000-0005-0000-0000-0000B2900000}"/>
    <cellStyle name="Note 4 4 4 12 12" xfId="41401" xr:uid="{00000000-0005-0000-0000-0000B3900000}"/>
    <cellStyle name="Note 4 4 4 12 13" xfId="45194" xr:uid="{00000000-0005-0000-0000-0000B4900000}"/>
    <cellStyle name="Note 4 4 4 12 2" xfId="4316" xr:uid="{00000000-0005-0000-0000-0000B5900000}"/>
    <cellStyle name="Note 4 4 4 12 2 10" xfId="39367" xr:uid="{00000000-0005-0000-0000-0000B6900000}"/>
    <cellStyle name="Note 4 4 4 12 2 11" xfId="43377" xr:uid="{00000000-0005-0000-0000-0000B7900000}"/>
    <cellStyle name="Note 4 4 4 12 2 12" xfId="47132" xr:uid="{00000000-0005-0000-0000-0000B8900000}"/>
    <cellStyle name="Note 4 4 4 12 2 2" xfId="8173" xr:uid="{00000000-0005-0000-0000-0000B9900000}"/>
    <cellStyle name="Note 4 4 4 12 2 3" xfId="12615" xr:uid="{00000000-0005-0000-0000-0000BA900000}"/>
    <cellStyle name="Note 4 4 4 12 2 4" xfId="16459" xr:uid="{00000000-0005-0000-0000-0000BB900000}"/>
    <cellStyle name="Note 4 4 4 12 2 5" xfId="20310" xr:uid="{00000000-0005-0000-0000-0000BC900000}"/>
    <cellStyle name="Note 4 4 4 12 2 6" xfId="24221" xr:uid="{00000000-0005-0000-0000-0000BD900000}"/>
    <cellStyle name="Note 4 4 4 12 2 7" xfId="28060" xr:uid="{00000000-0005-0000-0000-0000BE900000}"/>
    <cellStyle name="Note 4 4 4 12 2 8" xfId="31919" xr:uid="{00000000-0005-0000-0000-0000BF900000}"/>
    <cellStyle name="Note 4 4 4 12 2 9" xfId="35570" xr:uid="{00000000-0005-0000-0000-0000C0900000}"/>
    <cellStyle name="Note 4 4 4 12 3" xfId="6245" xr:uid="{00000000-0005-0000-0000-0000C1900000}"/>
    <cellStyle name="Note 4 4 4 12 4" xfId="10650" xr:uid="{00000000-0005-0000-0000-0000C2900000}"/>
    <cellStyle name="Note 4 4 4 12 5" xfId="14495" xr:uid="{00000000-0005-0000-0000-0000C3900000}"/>
    <cellStyle name="Note 4 4 4 12 6" xfId="18327" xr:uid="{00000000-0005-0000-0000-0000C4900000}"/>
    <cellStyle name="Note 4 4 4 12 7" xfId="22265" xr:uid="{00000000-0005-0000-0000-0000C5900000}"/>
    <cellStyle name="Note 4 4 4 12 8" xfId="26078" xr:uid="{00000000-0005-0000-0000-0000C6900000}"/>
    <cellStyle name="Note 4 4 4 12 9" xfId="29958" xr:uid="{00000000-0005-0000-0000-0000C7900000}"/>
    <cellStyle name="Note 4 4 4 13" xfId="2398" xr:uid="{00000000-0005-0000-0000-0000C8900000}"/>
    <cellStyle name="Note 4 4 4 13 10" xfId="33696" xr:uid="{00000000-0005-0000-0000-0000C9900000}"/>
    <cellStyle name="Note 4 4 4 13 11" xfId="37450" xr:uid="{00000000-0005-0000-0000-0000CA900000}"/>
    <cellStyle name="Note 4 4 4 13 12" xfId="41465" xr:uid="{00000000-0005-0000-0000-0000CB900000}"/>
    <cellStyle name="Note 4 4 4 13 13" xfId="45258" xr:uid="{00000000-0005-0000-0000-0000CC900000}"/>
    <cellStyle name="Note 4 4 4 13 2" xfId="4381" xr:uid="{00000000-0005-0000-0000-0000CD900000}"/>
    <cellStyle name="Note 4 4 4 13 2 10" xfId="39432" xr:uid="{00000000-0005-0000-0000-0000CE900000}"/>
    <cellStyle name="Note 4 4 4 13 2 11" xfId="43441" xr:uid="{00000000-0005-0000-0000-0000CF900000}"/>
    <cellStyle name="Note 4 4 4 13 2 12" xfId="47196" xr:uid="{00000000-0005-0000-0000-0000D0900000}"/>
    <cellStyle name="Note 4 4 4 13 2 2" xfId="8238" xr:uid="{00000000-0005-0000-0000-0000D1900000}"/>
    <cellStyle name="Note 4 4 4 13 2 3" xfId="12679" xr:uid="{00000000-0005-0000-0000-0000D2900000}"/>
    <cellStyle name="Note 4 4 4 13 2 4" xfId="16524" xr:uid="{00000000-0005-0000-0000-0000D3900000}"/>
    <cellStyle name="Note 4 4 4 13 2 5" xfId="20375" xr:uid="{00000000-0005-0000-0000-0000D4900000}"/>
    <cellStyle name="Note 4 4 4 13 2 6" xfId="24286" xr:uid="{00000000-0005-0000-0000-0000D5900000}"/>
    <cellStyle name="Note 4 4 4 13 2 7" xfId="28125" xr:uid="{00000000-0005-0000-0000-0000D6900000}"/>
    <cellStyle name="Note 4 4 4 13 2 8" xfId="31983" xr:uid="{00000000-0005-0000-0000-0000D7900000}"/>
    <cellStyle name="Note 4 4 4 13 2 9" xfId="35634" xr:uid="{00000000-0005-0000-0000-0000D8900000}"/>
    <cellStyle name="Note 4 4 4 13 3" xfId="6294" xr:uid="{00000000-0005-0000-0000-0000D9900000}"/>
    <cellStyle name="Note 4 4 4 13 4" xfId="10714" xr:uid="{00000000-0005-0000-0000-0000DA900000}"/>
    <cellStyle name="Note 4 4 4 13 5" xfId="14560" xr:uid="{00000000-0005-0000-0000-0000DB900000}"/>
    <cellStyle name="Note 4 4 4 13 6" xfId="18392" xr:uid="{00000000-0005-0000-0000-0000DC900000}"/>
    <cellStyle name="Note 4 4 4 13 7" xfId="22330" xr:uid="{00000000-0005-0000-0000-0000DD900000}"/>
    <cellStyle name="Note 4 4 4 13 8" xfId="26143" xr:uid="{00000000-0005-0000-0000-0000DE900000}"/>
    <cellStyle name="Note 4 4 4 13 9" xfId="30023" xr:uid="{00000000-0005-0000-0000-0000DF900000}"/>
    <cellStyle name="Note 4 4 4 14" xfId="2450" xr:uid="{00000000-0005-0000-0000-0000E0900000}"/>
    <cellStyle name="Note 4 4 4 14 10" xfId="33746" xr:uid="{00000000-0005-0000-0000-0000E1900000}"/>
    <cellStyle name="Note 4 4 4 14 11" xfId="37502" xr:uid="{00000000-0005-0000-0000-0000E2900000}"/>
    <cellStyle name="Note 4 4 4 14 12" xfId="41517" xr:uid="{00000000-0005-0000-0000-0000E3900000}"/>
    <cellStyle name="Note 4 4 4 14 13" xfId="45308" xr:uid="{00000000-0005-0000-0000-0000E4900000}"/>
    <cellStyle name="Note 4 4 4 14 2" xfId="4433" xr:uid="{00000000-0005-0000-0000-0000E5900000}"/>
    <cellStyle name="Note 4 4 4 14 2 10" xfId="39484" xr:uid="{00000000-0005-0000-0000-0000E6900000}"/>
    <cellStyle name="Note 4 4 4 14 2 11" xfId="43493" xr:uid="{00000000-0005-0000-0000-0000E7900000}"/>
    <cellStyle name="Note 4 4 4 14 2 12" xfId="47246" xr:uid="{00000000-0005-0000-0000-0000E8900000}"/>
    <cellStyle name="Note 4 4 4 14 2 2" xfId="8288" xr:uid="{00000000-0005-0000-0000-0000E9900000}"/>
    <cellStyle name="Note 4 4 4 14 2 3" xfId="12731" xr:uid="{00000000-0005-0000-0000-0000EA900000}"/>
    <cellStyle name="Note 4 4 4 14 2 4" xfId="16574" xr:uid="{00000000-0005-0000-0000-0000EB900000}"/>
    <cellStyle name="Note 4 4 4 14 2 5" xfId="20427" xr:uid="{00000000-0005-0000-0000-0000EC900000}"/>
    <cellStyle name="Note 4 4 4 14 2 6" xfId="24337" xr:uid="{00000000-0005-0000-0000-0000ED900000}"/>
    <cellStyle name="Note 4 4 4 14 2 7" xfId="28177" xr:uid="{00000000-0005-0000-0000-0000EE900000}"/>
    <cellStyle name="Note 4 4 4 14 2 8" xfId="32035" xr:uid="{00000000-0005-0000-0000-0000EF900000}"/>
    <cellStyle name="Note 4 4 4 14 2 9" xfId="35684" xr:uid="{00000000-0005-0000-0000-0000F0900000}"/>
    <cellStyle name="Note 4 4 4 14 3" xfId="6344" xr:uid="{00000000-0005-0000-0000-0000F1900000}"/>
    <cellStyle name="Note 4 4 4 14 4" xfId="10766" xr:uid="{00000000-0005-0000-0000-0000F2900000}"/>
    <cellStyle name="Note 4 4 4 14 5" xfId="14611" xr:uid="{00000000-0005-0000-0000-0000F3900000}"/>
    <cellStyle name="Note 4 4 4 14 6" xfId="18444" xr:uid="{00000000-0005-0000-0000-0000F4900000}"/>
    <cellStyle name="Note 4 4 4 14 7" xfId="22381" xr:uid="{00000000-0005-0000-0000-0000F5900000}"/>
    <cellStyle name="Note 4 4 4 14 8" xfId="26195" xr:uid="{00000000-0005-0000-0000-0000F6900000}"/>
    <cellStyle name="Note 4 4 4 14 9" xfId="30074" xr:uid="{00000000-0005-0000-0000-0000F7900000}"/>
    <cellStyle name="Note 4 4 4 15" xfId="2504" xr:uid="{00000000-0005-0000-0000-0000F8900000}"/>
    <cellStyle name="Note 4 4 4 15 10" xfId="33797" xr:uid="{00000000-0005-0000-0000-0000F9900000}"/>
    <cellStyle name="Note 4 4 4 15 11" xfId="37556" xr:uid="{00000000-0005-0000-0000-0000FA900000}"/>
    <cellStyle name="Note 4 4 4 15 12" xfId="41570" xr:uid="{00000000-0005-0000-0000-0000FB900000}"/>
    <cellStyle name="Note 4 4 4 15 13" xfId="45359" xr:uid="{00000000-0005-0000-0000-0000FC900000}"/>
    <cellStyle name="Note 4 4 4 15 2" xfId="4484" xr:uid="{00000000-0005-0000-0000-0000FD900000}"/>
    <cellStyle name="Note 4 4 4 15 2 10" xfId="39535" xr:uid="{00000000-0005-0000-0000-0000FE900000}"/>
    <cellStyle name="Note 4 4 4 15 2 11" xfId="43544" xr:uid="{00000000-0005-0000-0000-0000FF900000}"/>
    <cellStyle name="Note 4 4 4 15 2 12" xfId="47297" xr:uid="{00000000-0005-0000-0000-000000910000}"/>
    <cellStyle name="Note 4 4 4 15 2 2" xfId="8339" xr:uid="{00000000-0005-0000-0000-000001910000}"/>
    <cellStyle name="Note 4 4 4 15 2 3" xfId="12782" xr:uid="{00000000-0005-0000-0000-000002910000}"/>
    <cellStyle name="Note 4 4 4 15 2 4" xfId="16625" xr:uid="{00000000-0005-0000-0000-000003910000}"/>
    <cellStyle name="Note 4 4 4 15 2 5" xfId="20478" xr:uid="{00000000-0005-0000-0000-000004910000}"/>
    <cellStyle name="Note 4 4 4 15 2 6" xfId="24388" xr:uid="{00000000-0005-0000-0000-000005910000}"/>
    <cellStyle name="Note 4 4 4 15 2 7" xfId="28228" xr:uid="{00000000-0005-0000-0000-000006910000}"/>
    <cellStyle name="Note 4 4 4 15 2 8" xfId="32086" xr:uid="{00000000-0005-0000-0000-000007910000}"/>
    <cellStyle name="Note 4 4 4 15 2 9" xfId="35735" xr:uid="{00000000-0005-0000-0000-000008910000}"/>
    <cellStyle name="Note 4 4 4 15 3" xfId="6396" xr:uid="{00000000-0005-0000-0000-000009910000}"/>
    <cellStyle name="Note 4 4 4 15 4" xfId="10819" xr:uid="{00000000-0005-0000-0000-00000A910000}"/>
    <cellStyle name="Note 4 4 4 15 5" xfId="14663" xr:uid="{00000000-0005-0000-0000-00000B910000}"/>
    <cellStyle name="Note 4 4 4 15 6" xfId="18498" xr:uid="{00000000-0005-0000-0000-00000C910000}"/>
    <cellStyle name="Note 4 4 4 15 7" xfId="22433" xr:uid="{00000000-0005-0000-0000-00000D910000}"/>
    <cellStyle name="Note 4 4 4 15 8" xfId="26249" xr:uid="{00000000-0005-0000-0000-00000E910000}"/>
    <cellStyle name="Note 4 4 4 15 9" xfId="30128" xr:uid="{00000000-0005-0000-0000-00000F910000}"/>
    <cellStyle name="Note 4 4 4 16" xfId="2573" xr:uid="{00000000-0005-0000-0000-000010910000}"/>
    <cellStyle name="Note 4 4 4 16 10" xfId="37625" xr:uid="{00000000-0005-0000-0000-000011910000}"/>
    <cellStyle name="Note 4 4 4 16 11" xfId="41639" xr:uid="{00000000-0005-0000-0000-000012910000}"/>
    <cellStyle name="Note 4 4 4 16 12" xfId="45428" xr:uid="{00000000-0005-0000-0000-000013910000}"/>
    <cellStyle name="Note 4 4 4 16 2" xfId="6465" xr:uid="{00000000-0005-0000-0000-000014910000}"/>
    <cellStyle name="Note 4 4 4 16 3" xfId="10888" xr:uid="{00000000-0005-0000-0000-000015910000}"/>
    <cellStyle name="Note 4 4 4 16 4" xfId="14732" xr:uid="{00000000-0005-0000-0000-000016910000}"/>
    <cellStyle name="Note 4 4 4 16 5" xfId="18567" xr:uid="{00000000-0005-0000-0000-000017910000}"/>
    <cellStyle name="Note 4 4 4 16 6" xfId="22502" xr:uid="{00000000-0005-0000-0000-000018910000}"/>
    <cellStyle name="Note 4 4 4 16 7" xfId="26318" xr:uid="{00000000-0005-0000-0000-000019910000}"/>
    <cellStyle name="Note 4 4 4 16 8" xfId="30197" xr:uid="{00000000-0005-0000-0000-00001A910000}"/>
    <cellStyle name="Note 4 4 4 16 9" xfId="33866" xr:uid="{00000000-0005-0000-0000-00001B910000}"/>
    <cellStyle name="Note 4 4 4 17" xfId="4541" xr:uid="{00000000-0005-0000-0000-00001C910000}"/>
    <cellStyle name="Note 4 4 4 18" xfId="8378" xr:uid="{00000000-0005-0000-0000-00001D910000}"/>
    <cellStyle name="Note 4 4 4 19" xfId="8758" xr:uid="{00000000-0005-0000-0000-00001E910000}"/>
    <cellStyle name="Note 4 4 4 2" xfId="702" xr:uid="{00000000-0005-0000-0000-00001F910000}"/>
    <cellStyle name="Note 4 4 4 2 10" xfId="24436" xr:uid="{00000000-0005-0000-0000-000020910000}"/>
    <cellStyle name="Note 4 4 4 2 11" xfId="28329" xr:uid="{00000000-0005-0000-0000-000021910000}"/>
    <cellStyle name="Note 4 4 4 2 12" xfId="32052" xr:uid="{00000000-0005-0000-0000-000022910000}"/>
    <cellStyle name="Note 4 4 4 2 13" xfId="35773" xr:uid="{00000000-0005-0000-0000-000023910000}"/>
    <cellStyle name="Note 4 4 4 2 14" xfId="39796" xr:uid="{00000000-0005-0000-0000-000024910000}"/>
    <cellStyle name="Note 4 4 4 2 15" xfId="43599" xr:uid="{00000000-0005-0000-0000-000025910000}"/>
    <cellStyle name="Note 4 4 4 2 2" xfId="1082" xr:uid="{00000000-0005-0000-0000-000026910000}"/>
    <cellStyle name="Note 4 4 4 2 2 10" xfId="28693" xr:uid="{00000000-0005-0000-0000-000027910000}"/>
    <cellStyle name="Note 4 4 4 2 2 11" xfId="32379" xr:uid="{00000000-0005-0000-0000-000028910000}"/>
    <cellStyle name="Note 4 4 4 2 2 12" xfId="36140" xr:uid="{00000000-0005-0000-0000-000029910000}"/>
    <cellStyle name="Note 4 4 4 2 2 13" xfId="40143" xr:uid="{00000000-0005-0000-0000-00002A910000}"/>
    <cellStyle name="Note 4 4 4 2 2 14" xfId="43966" xr:uid="{00000000-0005-0000-0000-00002B910000}"/>
    <cellStyle name="Note 4 4 4 2 2 2" xfId="1809" xr:uid="{00000000-0005-0000-0000-00002C910000}"/>
    <cellStyle name="Note 4 4 4 2 2 2 10" xfId="33096" xr:uid="{00000000-0005-0000-0000-00002D910000}"/>
    <cellStyle name="Note 4 4 4 2 2 2 11" xfId="36866" xr:uid="{00000000-0005-0000-0000-00002E910000}"/>
    <cellStyle name="Note 4 4 4 2 2 2 12" xfId="40857" xr:uid="{00000000-0005-0000-0000-00002F910000}"/>
    <cellStyle name="Note 4 4 4 2 2 2 13" xfId="44688" xr:uid="{00000000-0005-0000-0000-000030910000}"/>
    <cellStyle name="Note 4 4 4 2 2 2 2" xfId="3799" xr:uid="{00000000-0005-0000-0000-000031910000}"/>
    <cellStyle name="Note 4 4 4 2 2 2 2 10" xfId="38850" xr:uid="{00000000-0005-0000-0000-000032910000}"/>
    <cellStyle name="Note 4 4 4 2 2 2 2 11" xfId="42861" xr:uid="{00000000-0005-0000-0000-000033910000}"/>
    <cellStyle name="Note 4 4 4 2 2 2 2 12" xfId="46626" xr:uid="{00000000-0005-0000-0000-000034910000}"/>
    <cellStyle name="Note 4 4 4 2 2 2 2 2" xfId="7666" xr:uid="{00000000-0005-0000-0000-000035910000}"/>
    <cellStyle name="Note 4 4 4 2 2 2 2 3" xfId="12101" xr:uid="{00000000-0005-0000-0000-000036910000}"/>
    <cellStyle name="Note 4 4 4 2 2 2 2 4" xfId="15946" xr:uid="{00000000-0005-0000-0000-000037910000}"/>
    <cellStyle name="Note 4 4 4 2 2 2 2 5" xfId="19793" xr:uid="{00000000-0005-0000-0000-000038910000}"/>
    <cellStyle name="Note 4 4 4 2 2 2 2 6" xfId="23709" xr:uid="{00000000-0005-0000-0000-000039910000}"/>
    <cellStyle name="Note 4 4 4 2 2 2 2 7" xfId="27543" xr:uid="{00000000-0005-0000-0000-00003A910000}"/>
    <cellStyle name="Note 4 4 4 2 2 2 2 8" xfId="31407" xr:uid="{00000000-0005-0000-0000-00003B910000}"/>
    <cellStyle name="Note 4 4 4 2 2 2 2 9" xfId="35064" xr:uid="{00000000-0005-0000-0000-00003C910000}"/>
    <cellStyle name="Note 4 4 4 2 2 2 3" xfId="5742" xr:uid="{00000000-0005-0000-0000-00003D910000}"/>
    <cellStyle name="Note 4 4 4 2 2 2 4" xfId="10100" xr:uid="{00000000-0005-0000-0000-00003E910000}"/>
    <cellStyle name="Note 4 4 4 2 2 2 5" xfId="13946" xr:uid="{00000000-0005-0000-0000-00003F910000}"/>
    <cellStyle name="Note 4 4 4 2 2 2 6" xfId="17775" xr:uid="{00000000-0005-0000-0000-000040910000}"/>
    <cellStyle name="Note 4 4 4 2 2 2 7" xfId="21714" xr:uid="{00000000-0005-0000-0000-000041910000}"/>
    <cellStyle name="Note 4 4 4 2 2 2 8" xfId="25527" xr:uid="{00000000-0005-0000-0000-000042910000}"/>
    <cellStyle name="Note 4 4 4 2 2 2 9" xfId="29414" xr:uid="{00000000-0005-0000-0000-000043910000}"/>
    <cellStyle name="Note 4 4 4 2 2 3" xfId="3072" xr:uid="{00000000-0005-0000-0000-000044910000}"/>
    <cellStyle name="Note 4 4 4 2 2 3 10" xfId="38124" xr:uid="{00000000-0005-0000-0000-000045910000}"/>
    <cellStyle name="Note 4 4 4 2 2 3 11" xfId="42136" xr:uid="{00000000-0005-0000-0000-000046910000}"/>
    <cellStyle name="Note 4 4 4 2 2 3 12" xfId="45909" xr:uid="{00000000-0005-0000-0000-000047910000}"/>
    <cellStyle name="Note 4 4 4 2 2 3 2" xfId="6948" xr:uid="{00000000-0005-0000-0000-000048910000}"/>
    <cellStyle name="Note 4 4 4 2 2 3 3" xfId="11377" xr:uid="{00000000-0005-0000-0000-000049910000}"/>
    <cellStyle name="Note 4 4 4 2 2 3 4" xfId="15221" xr:uid="{00000000-0005-0000-0000-00004A910000}"/>
    <cellStyle name="Note 4 4 4 2 2 3 5" xfId="19066" xr:uid="{00000000-0005-0000-0000-00004B910000}"/>
    <cellStyle name="Note 4 4 4 2 2 3 6" xfId="22988" xr:uid="{00000000-0005-0000-0000-00004C910000}"/>
    <cellStyle name="Note 4 4 4 2 2 3 7" xfId="26817" xr:uid="{00000000-0005-0000-0000-00004D910000}"/>
    <cellStyle name="Note 4 4 4 2 2 3 8" xfId="30691" xr:uid="{00000000-0005-0000-0000-00004E910000}"/>
    <cellStyle name="Note 4 4 4 2 2 3 9" xfId="34347" xr:uid="{00000000-0005-0000-0000-00004F910000}"/>
    <cellStyle name="Note 4 4 4 2 2 4" xfId="5024" xr:uid="{00000000-0005-0000-0000-000050910000}"/>
    <cellStyle name="Note 4 4 4 2 2 5" xfId="9380" xr:uid="{00000000-0005-0000-0000-000051910000}"/>
    <cellStyle name="Note 4 4 4 2 2 6" xfId="13220" xr:uid="{00000000-0005-0000-0000-000052910000}"/>
    <cellStyle name="Note 4 4 4 2 2 7" xfId="17048" xr:uid="{00000000-0005-0000-0000-000053910000}"/>
    <cellStyle name="Note 4 4 4 2 2 8" xfId="20990" xr:uid="{00000000-0005-0000-0000-000054910000}"/>
    <cellStyle name="Note 4 4 4 2 2 9" xfId="24804" xr:uid="{00000000-0005-0000-0000-000055910000}"/>
    <cellStyle name="Note 4 4 4 2 3" xfId="1456" xr:uid="{00000000-0005-0000-0000-000056910000}"/>
    <cellStyle name="Note 4 4 4 2 3 10" xfId="32743" xr:uid="{00000000-0005-0000-0000-000057910000}"/>
    <cellStyle name="Note 4 4 4 2 3 11" xfId="36513" xr:uid="{00000000-0005-0000-0000-000058910000}"/>
    <cellStyle name="Note 4 4 4 2 3 12" xfId="40504" xr:uid="{00000000-0005-0000-0000-000059910000}"/>
    <cellStyle name="Note 4 4 4 2 3 13" xfId="44335" xr:uid="{00000000-0005-0000-0000-00005A910000}"/>
    <cellStyle name="Note 4 4 4 2 3 2" xfId="3446" xr:uid="{00000000-0005-0000-0000-00005B910000}"/>
    <cellStyle name="Note 4 4 4 2 3 2 10" xfId="38497" xr:uid="{00000000-0005-0000-0000-00005C910000}"/>
    <cellStyle name="Note 4 4 4 2 3 2 11" xfId="42508" xr:uid="{00000000-0005-0000-0000-00005D910000}"/>
    <cellStyle name="Note 4 4 4 2 3 2 12" xfId="46273" xr:uid="{00000000-0005-0000-0000-00005E910000}"/>
    <cellStyle name="Note 4 4 4 2 3 2 2" xfId="7313" xr:uid="{00000000-0005-0000-0000-00005F910000}"/>
    <cellStyle name="Note 4 4 4 2 3 2 3" xfId="11748" xr:uid="{00000000-0005-0000-0000-000060910000}"/>
    <cellStyle name="Note 4 4 4 2 3 2 4" xfId="15593" xr:uid="{00000000-0005-0000-0000-000061910000}"/>
    <cellStyle name="Note 4 4 4 2 3 2 5" xfId="19440" xr:uid="{00000000-0005-0000-0000-000062910000}"/>
    <cellStyle name="Note 4 4 4 2 3 2 6" xfId="23356" xr:uid="{00000000-0005-0000-0000-000063910000}"/>
    <cellStyle name="Note 4 4 4 2 3 2 7" xfId="27190" xr:uid="{00000000-0005-0000-0000-000064910000}"/>
    <cellStyle name="Note 4 4 4 2 3 2 8" xfId="31058" xr:uid="{00000000-0005-0000-0000-000065910000}"/>
    <cellStyle name="Note 4 4 4 2 3 2 9" xfId="34711" xr:uid="{00000000-0005-0000-0000-000066910000}"/>
    <cellStyle name="Note 4 4 4 2 3 3" xfId="5389" xr:uid="{00000000-0005-0000-0000-000067910000}"/>
    <cellStyle name="Note 4 4 4 2 3 4" xfId="9747" xr:uid="{00000000-0005-0000-0000-000068910000}"/>
    <cellStyle name="Note 4 4 4 2 3 5" xfId="13593" xr:uid="{00000000-0005-0000-0000-000069910000}"/>
    <cellStyle name="Note 4 4 4 2 3 6" xfId="17422" xr:uid="{00000000-0005-0000-0000-00006A910000}"/>
    <cellStyle name="Note 4 4 4 2 3 7" xfId="21361" xr:uid="{00000000-0005-0000-0000-00006B910000}"/>
    <cellStyle name="Note 4 4 4 2 3 8" xfId="25174" xr:uid="{00000000-0005-0000-0000-00006C910000}"/>
    <cellStyle name="Note 4 4 4 2 3 9" xfId="29061" xr:uid="{00000000-0005-0000-0000-00006D910000}"/>
    <cellStyle name="Note 4 4 4 2 4" xfId="2705" xr:uid="{00000000-0005-0000-0000-00006E910000}"/>
    <cellStyle name="Note 4 4 4 2 4 10" xfId="37757" xr:uid="{00000000-0005-0000-0000-00006F910000}"/>
    <cellStyle name="Note 4 4 4 2 4 11" xfId="41771" xr:uid="{00000000-0005-0000-0000-000070910000}"/>
    <cellStyle name="Note 4 4 4 2 4 12" xfId="45556" xr:uid="{00000000-0005-0000-0000-000071910000}"/>
    <cellStyle name="Note 4 4 4 2 4 2" xfId="6593" xr:uid="{00000000-0005-0000-0000-000072910000}"/>
    <cellStyle name="Note 4 4 4 2 4 3" xfId="11017" xr:uid="{00000000-0005-0000-0000-000073910000}"/>
    <cellStyle name="Note 4 4 4 2 4 4" xfId="14861" xr:uid="{00000000-0005-0000-0000-000074910000}"/>
    <cellStyle name="Note 4 4 4 2 4 5" xfId="18699" xr:uid="{00000000-0005-0000-0000-000075910000}"/>
    <cellStyle name="Note 4 4 4 2 4 6" xfId="22630" xr:uid="{00000000-0005-0000-0000-000076910000}"/>
    <cellStyle name="Note 4 4 4 2 4 7" xfId="26450" xr:uid="{00000000-0005-0000-0000-000077910000}"/>
    <cellStyle name="Note 4 4 4 2 4 8" xfId="30329" xr:uid="{00000000-0005-0000-0000-000078910000}"/>
    <cellStyle name="Note 4 4 4 2 4 9" xfId="33994" xr:uid="{00000000-0005-0000-0000-000079910000}"/>
    <cellStyle name="Note 4 4 4 2 5" xfId="4669" xr:uid="{00000000-0005-0000-0000-00007A910000}"/>
    <cellStyle name="Note 4 4 4 2 6" xfId="9011" xr:uid="{00000000-0005-0000-0000-00007B910000}"/>
    <cellStyle name="Note 4 4 4 2 7" xfId="12848" xr:uid="{00000000-0005-0000-0000-00007C910000}"/>
    <cellStyle name="Note 4 4 4 2 8" xfId="16678" xr:uid="{00000000-0005-0000-0000-00007D910000}"/>
    <cellStyle name="Note 4 4 4 2 9" xfId="20615" xr:uid="{00000000-0005-0000-0000-00007E910000}"/>
    <cellStyle name="Note 4 4 4 20" xfId="8878" xr:uid="{00000000-0005-0000-0000-00007F910000}"/>
    <cellStyle name="Note 4 4 4 21" xfId="10367" xr:uid="{00000000-0005-0000-0000-000080910000}"/>
    <cellStyle name="Note 4 4 4 22" xfId="8467" xr:uid="{00000000-0005-0000-0000-000081910000}"/>
    <cellStyle name="Note 4 4 4 23" xfId="18055" xr:uid="{00000000-0005-0000-0000-000082910000}"/>
    <cellStyle name="Note 4 4 4 24" xfId="8774" xr:uid="{00000000-0005-0000-0000-000083910000}"/>
    <cellStyle name="Note 4 4 4 25" xfId="25806" xr:uid="{00000000-0005-0000-0000-000084910000}"/>
    <cellStyle name="Note 4 4 4 26" xfId="31284" xr:uid="{00000000-0005-0000-0000-000085910000}"/>
    <cellStyle name="Note 4 4 4 27" xfId="11448" xr:uid="{00000000-0005-0000-0000-000086910000}"/>
    <cellStyle name="Note 4 4 4 28" xfId="39665" xr:uid="{00000000-0005-0000-0000-000087910000}"/>
    <cellStyle name="Note 4 4 4 29" xfId="40022" xr:uid="{00000000-0005-0000-0000-000088910000}"/>
    <cellStyle name="Note 4 4 4 3" xfId="641" xr:uid="{00000000-0005-0000-0000-000089910000}"/>
    <cellStyle name="Note 4 4 4 3 10" xfId="10469" xr:uid="{00000000-0005-0000-0000-00008A910000}"/>
    <cellStyle name="Note 4 4 4 3 11" xfId="28268" xr:uid="{00000000-0005-0000-0000-00008B910000}"/>
    <cellStyle name="Note 4 4 4 3 12" xfId="28409" xr:uid="{00000000-0005-0000-0000-00008C910000}"/>
    <cellStyle name="Note 4 4 4 3 13" xfId="18062" xr:uid="{00000000-0005-0000-0000-00008D910000}"/>
    <cellStyle name="Note 4 4 4 3 14" xfId="39736" xr:uid="{00000000-0005-0000-0000-00008E910000}"/>
    <cellStyle name="Note 4 4 4 3 15" xfId="39550" xr:uid="{00000000-0005-0000-0000-00008F910000}"/>
    <cellStyle name="Note 4 4 4 3 2" xfId="1021" xr:uid="{00000000-0005-0000-0000-000090910000}"/>
    <cellStyle name="Note 4 4 4 3 2 10" xfId="28632" xr:uid="{00000000-0005-0000-0000-000091910000}"/>
    <cellStyle name="Note 4 4 4 3 2 11" xfId="32320" xr:uid="{00000000-0005-0000-0000-000092910000}"/>
    <cellStyle name="Note 4 4 4 3 2 12" xfId="36079" xr:uid="{00000000-0005-0000-0000-000093910000}"/>
    <cellStyle name="Note 4 4 4 3 2 13" xfId="40084" xr:uid="{00000000-0005-0000-0000-000094910000}"/>
    <cellStyle name="Note 4 4 4 3 2 14" xfId="43905" xr:uid="{00000000-0005-0000-0000-000095910000}"/>
    <cellStyle name="Note 4 4 4 3 2 2" xfId="1750" xr:uid="{00000000-0005-0000-0000-000096910000}"/>
    <cellStyle name="Note 4 4 4 3 2 2 10" xfId="33037" xr:uid="{00000000-0005-0000-0000-000097910000}"/>
    <cellStyle name="Note 4 4 4 3 2 2 11" xfId="36807" xr:uid="{00000000-0005-0000-0000-000098910000}"/>
    <cellStyle name="Note 4 4 4 3 2 2 12" xfId="40798" xr:uid="{00000000-0005-0000-0000-000099910000}"/>
    <cellStyle name="Note 4 4 4 3 2 2 13" xfId="44629" xr:uid="{00000000-0005-0000-0000-00009A910000}"/>
    <cellStyle name="Note 4 4 4 3 2 2 2" xfId="3740" xr:uid="{00000000-0005-0000-0000-00009B910000}"/>
    <cellStyle name="Note 4 4 4 3 2 2 2 10" xfId="38791" xr:uid="{00000000-0005-0000-0000-00009C910000}"/>
    <cellStyle name="Note 4 4 4 3 2 2 2 11" xfId="42802" xr:uid="{00000000-0005-0000-0000-00009D910000}"/>
    <cellStyle name="Note 4 4 4 3 2 2 2 12" xfId="46567" xr:uid="{00000000-0005-0000-0000-00009E910000}"/>
    <cellStyle name="Note 4 4 4 3 2 2 2 2" xfId="7607" xr:uid="{00000000-0005-0000-0000-00009F910000}"/>
    <cellStyle name="Note 4 4 4 3 2 2 2 3" xfId="12042" xr:uid="{00000000-0005-0000-0000-0000A0910000}"/>
    <cellStyle name="Note 4 4 4 3 2 2 2 4" xfId="15887" xr:uid="{00000000-0005-0000-0000-0000A1910000}"/>
    <cellStyle name="Note 4 4 4 3 2 2 2 5" xfId="19734" xr:uid="{00000000-0005-0000-0000-0000A2910000}"/>
    <cellStyle name="Note 4 4 4 3 2 2 2 6" xfId="23650" xr:uid="{00000000-0005-0000-0000-0000A3910000}"/>
    <cellStyle name="Note 4 4 4 3 2 2 2 7" xfId="27484" xr:uid="{00000000-0005-0000-0000-0000A4910000}"/>
    <cellStyle name="Note 4 4 4 3 2 2 2 8" xfId="31348" xr:uid="{00000000-0005-0000-0000-0000A5910000}"/>
    <cellStyle name="Note 4 4 4 3 2 2 2 9" xfId="35005" xr:uid="{00000000-0005-0000-0000-0000A6910000}"/>
    <cellStyle name="Note 4 4 4 3 2 2 3" xfId="5683" xr:uid="{00000000-0005-0000-0000-0000A7910000}"/>
    <cellStyle name="Note 4 4 4 3 2 2 4" xfId="10041" xr:uid="{00000000-0005-0000-0000-0000A8910000}"/>
    <cellStyle name="Note 4 4 4 3 2 2 5" xfId="13887" xr:uid="{00000000-0005-0000-0000-0000A9910000}"/>
    <cellStyle name="Note 4 4 4 3 2 2 6" xfId="17716" xr:uid="{00000000-0005-0000-0000-0000AA910000}"/>
    <cellStyle name="Note 4 4 4 3 2 2 7" xfId="21655" xr:uid="{00000000-0005-0000-0000-0000AB910000}"/>
    <cellStyle name="Note 4 4 4 3 2 2 8" xfId="25468" xr:uid="{00000000-0005-0000-0000-0000AC910000}"/>
    <cellStyle name="Note 4 4 4 3 2 2 9" xfId="29355" xr:uid="{00000000-0005-0000-0000-0000AD910000}"/>
    <cellStyle name="Note 4 4 4 3 2 3" xfId="3011" xr:uid="{00000000-0005-0000-0000-0000AE910000}"/>
    <cellStyle name="Note 4 4 4 3 2 3 10" xfId="38063" xr:uid="{00000000-0005-0000-0000-0000AF910000}"/>
    <cellStyle name="Note 4 4 4 3 2 3 11" xfId="42075" xr:uid="{00000000-0005-0000-0000-0000B0910000}"/>
    <cellStyle name="Note 4 4 4 3 2 3 12" xfId="45850" xr:uid="{00000000-0005-0000-0000-0000B1910000}"/>
    <cellStyle name="Note 4 4 4 3 2 3 2" xfId="6889" xr:uid="{00000000-0005-0000-0000-0000B2910000}"/>
    <cellStyle name="Note 4 4 4 3 2 3 3" xfId="11317" xr:uid="{00000000-0005-0000-0000-0000B3910000}"/>
    <cellStyle name="Note 4 4 4 3 2 3 4" xfId="15162" xr:uid="{00000000-0005-0000-0000-0000B4910000}"/>
    <cellStyle name="Note 4 4 4 3 2 3 5" xfId="19005" xr:uid="{00000000-0005-0000-0000-0000B5910000}"/>
    <cellStyle name="Note 4 4 4 3 2 3 6" xfId="22929" xr:uid="{00000000-0005-0000-0000-0000B6910000}"/>
    <cellStyle name="Note 4 4 4 3 2 3 7" xfId="26756" xr:uid="{00000000-0005-0000-0000-0000B7910000}"/>
    <cellStyle name="Note 4 4 4 3 2 3 8" xfId="30630" xr:uid="{00000000-0005-0000-0000-0000B8910000}"/>
    <cellStyle name="Note 4 4 4 3 2 3 9" xfId="34288" xr:uid="{00000000-0005-0000-0000-0000B9910000}"/>
    <cellStyle name="Note 4 4 4 3 2 4" xfId="4965" xr:uid="{00000000-0005-0000-0000-0000BA910000}"/>
    <cellStyle name="Note 4 4 4 3 2 5" xfId="9320" xr:uid="{00000000-0005-0000-0000-0000BB910000}"/>
    <cellStyle name="Note 4 4 4 3 2 6" xfId="13161" xr:uid="{00000000-0005-0000-0000-0000BC910000}"/>
    <cellStyle name="Note 4 4 4 3 2 7" xfId="16987" xr:uid="{00000000-0005-0000-0000-0000BD910000}"/>
    <cellStyle name="Note 4 4 4 3 2 8" xfId="20929" xr:uid="{00000000-0005-0000-0000-0000BE910000}"/>
    <cellStyle name="Note 4 4 4 3 2 9" xfId="24744" xr:uid="{00000000-0005-0000-0000-0000BF910000}"/>
    <cellStyle name="Note 4 4 4 3 3" xfId="1397" xr:uid="{00000000-0005-0000-0000-0000C0910000}"/>
    <cellStyle name="Note 4 4 4 3 3 10" xfId="32684" xr:uid="{00000000-0005-0000-0000-0000C1910000}"/>
    <cellStyle name="Note 4 4 4 3 3 11" xfId="36454" xr:uid="{00000000-0005-0000-0000-0000C2910000}"/>
    <cellStyle name="Note 4 4 4 3 3 12" xfId="40445" xr:uid="{00000000-0005-0000-0000-0000C3910000}"/>
    <cellStyle name="Note 4 4 4 3 3 13" xfId="44276" xr:uid="{00000000-0005-0000-0000-0000C4910000}"/>
    <cellStyle name="Note 4 4 4 3 3 2" xfId="3387" xr:uid="{00000000-0005-0000-0000-0000C5910000}"/>
    <cellStyle name="Note 4 4 4 3 3 2 10" xfId="38438" xr:uid="{00000000-0005-0000-0000-0000C6910000}"/>
    <cellStyle name="Note 4 4 4 3 3 2 11" xfId="42449" xr:uid="{00000000-0005-0000-0000-0000C7910000}"/>
    <cellStyle name="Note 4 4 4 3 3 2 12" xfId="46214" xr:uid="{00000000-0005-0000-0000-0000C8910000}"/>
    <cellStyle name="Note 4 4 4 3 3 2 2" xfId="7254" xr:uid="{00000000-0005-0000-0000-0000C9910000}"/>
    <cellStyle name="Note 4 4 4 3 3 2 3" xfId="11689" xr:uid="{00000000-0005-0000-0000-0000CA910000}"/>
    <cellStyle name="Note 4 4 4 3 3 2 4" xfId="15534" xr:uid="{00000000-0005-0000-0000-0000CB910000}"/>
    <cellStyle name="Note 4 4 4 3 3 2 5" xfId="19381" xr:uid="{00000000-0005-0000-0000-0000CC910000}"/>
    <cellStyle name="Note 4 4 4 3 3 2 6" xfId="23297" xr:uid="{00000000-0005-0000-0000-0000CD910000}"/>
    <cellStyle name="Note 4 4 4 3 3 2 7" xfId="27131" xr:uid="{00000000-0005-0000-0000-0000CE910000}"/>
    <cellStyle name="Note 4 4 4 3 3 2 8" xfId="30999" xr:uid="{00000000-0005-0000-0000-0000CF910000}"/>
    <cellStyle name="Note 4 4 4 3 3 2 9" xfId="34652" xr:uid="{00000000-0005-0000-0000-0000D0910000}"/>
    <cellStyle name="Note 4 4 4 3 3 3" xfId="5330" xr:uid="{00000000-0005-0000-0000-0000D1910000}"/>
    <cellStyle name="Note 4 4 4 3 3 4" xfId="9688" xr:uid="{00000000-0005-0000-0000-0000D2910000}"/>
    <cellStyle name="Note 4 4 4 3 3 5" xfId="13534" xr:uid="{00000000-0005-0000-0000-0000D3910000}"/>
    <cellStyle name="Note 4 4 4 3 3 6" xfId="17363" xr:uid="{00000000-0005-0000-0000-0000D4910000}"/>
    <cellStyle name="Note 4 4 4 3 3 7" xfId="21302" xr:uid="{00000000-0005-0000-0000-0000D5910000}"/>
    <cellStyle name="Note 4 4 4 3 3 8" xfId="25115" xr:uid="{00000000-0005-0000-0000-0000D6910000}"/>
    <cellStyle name="Note 4 4 4 3 3 9" xfId="29002" xr:uid="{00000000-0005-0000-0000-0000D7910000}"/>
    <cellStyle name="Note 4 4 4 3 4" xfId="2644" xr:uid="{00000000-0005-0000-0000-0000D8910000}"/>
    <cellStyle name="Note 4 4 4 3 4 10" xfId="37696" xr:uid="{00000000-0005-0000-0000-0000D9910000}"/>
    <cellStyle name="Note 4 4 4 3 4 11" xfId="41710" xr:uid="{00000000-0005-0000-0000-0000DA910000}"/>
    <cellStyle name="Note 4 4 4 3 4 12" xfId="45497" xr:uid="{00000000-0005-0000-0000-0000DB910000}"/>
    <cellStyle name="Note 4 4 4 3 4 2" xfId="6534" xr:uid="{00000000-0005-0000-0000-0000DC910000}"/>
    <cellStyle name="Note 4 4 4 3 4 3" xfId="10958" xr:uid="{00000000-0005-0000-0000-0000DD910000}"/>
    <cellStyle name="Note 4 4 4 3 4 4" xfId="14802" xr:uid="{00000000-0005-0000-0000-0000DE910000}"/>
    <cellStyle name="Note 4 4 4 3 4 5" xfId="18638" xr:uid="{00000000-0005-0000-0000-0000DF910000}"/>
    <cellStyle name="Note 4 4 4 3 4 6" xfId="22571" xr:uid="{00000000-0005-0000-0000-0000E0910000}"/>
    <cellStyle name="Note 4 4 4 3 4 7" xfId="26389" xr:uid="{00000000-0005-0000-0000-0000E1910000}"/>
    <cellStyle name="Note 4 4 4 3 4 8" xfId="30268" xr:uid="{00000000-0005-0000-0000-0000E2910000}"/>
    <cellStyle name="Note 4 4 4 3 4 9" xfId="33935" xr:uid="{00000000-0005-0000-0000-0000E3910000}"/>
    <cellStyle name="Note 4 4 4 3 5" xfId="4610" xr:uid="{00000000-0005-0000-0000-0000E4910000}"/>
    <cellStyle name="Note 4 4 4 3 6" xfId="8950" xr:uid="{00000000-0005-0000-0000-0000E5910000}"/>
    <cellStyle name="Note 4 4 4 3 7" xfId="12789" xr:uid="{00000000-0005-0000-0000-0000E6910000}"/>
    <cellStyle name="Note 4 4 4 3 8" xfId="8603" xr:uid="{00000000-0005-0000-0000-0000E7910000}"/>
    <cellStyle name="Note 4 4 4 3 9" xfId="20554" xr:uid="{00000000-0005-0000-0000-0000E8910000}"/>
    <cellStyle name="Note 4 4 4 30" xfId="47379" xr:uid="{00000000-0005-0000-0000-0000E9910000}"/>
    <cellStyle name="Note 4 4 4 31" xfId="47465" xr:uid="{00000000-0005-0000-0000-0000EA910000}"/>
    <cellStyle name="Note 4 4 4 32" xfId="47514" xr:uid="{00000000-0005-0000-0000-0000EB910000}"/>
    <cellStyle name="Note 4 4 4 4" xfId="810" xr:uid="{00000000-0005-0000-0000-0000EC910000}"/>
    <cellStyle name="Note 4 4 4 4 10" xfId="24534" xr:uid="{00000000-0005-0000-0000-0000ED910000}"/>
    <cellStyle name="Note 4 4 4 4 11" xfId="28425" xr:uid="{00000000-0005-0000-0000-0000EE910000}"/>
    <cellStyle name="Note 4 4 4 4 12" xfId="32111" xr:uid="{00000000-0005-0000-0000-0000EF910000}"/>
    <cellStyle name="Note 4 4 4 4 13" xfId="35868" xr:uid="{00000000-0005-0000-0000-0000F0910000}"/>
    <cellStyle name="Note 4 4 4 4 14" xfId="39879" xr:uid="{00000000-0005-0000-0000-0000F1910000}"/>
    <cellStyle name="Note 4 4 4 4 15" xfId="43694" xr:uid="{00000000-0005-0000-0000-0000F2910000}"/>
    <cellStyle name="Note 4 4 4 4 2" xfId="1172" xr:uid="{00000000-0005-0000-0000-0000F3910000}"/>
    <cellStyle name="Note 4 4 4 4 2 10" xfId="28781" xr:uid="{00000000-0005-0000-0000-0000F4910000}"/>
    <cellStyle name="Note 4 4 4 4 2 11" xfId="32464" xr:uid="{00000000-0005-0000-0000-0000F5910000}"/>
    <cellStyle name="Note 4 4 4 4 2 12" xfId="36230" xr:uid="{00000000-0005-0000-0000-0000F6910000}"/>
    <cellStyle name="Note 4 4 4 4 2 13" xfId="40225" xr:uid="{00000000-0005-0000-0000-0000F7910000}"/>
    <cellStyle name="Note 4 4 4 4 2 14" xfId="44056" xr:uid="{00000000-0005-0000-0000-0000F8910000}"/>
    <cellStyle name="Note 4 4 4 4 2 2" xfId="1894" xr:uid="{00000000-0005-0000-0000-0000F9910000}"/>
    <cellStyle name="Note 4 4 4 4 2 2 10" xfId="33181" xr:uid="{00000000-0005-0000-0000-0000FA910000}"/>
    <cellStyle name="Note 4 4 4 4 2 2 11" xfId="36951" xr:uid="{00000000-0005-0000-0000-0000FB910000}"/>
    <cellStyle name="Note 4 4 4 4 2 2 12" xfId="40942" xr:uid="{00000000-0005-0000-0000-0000FC910000}"/>
    <cellStyle name="Note 4 4 4 4 2 2 13" xfId="44773" xr:uid="{00000000-0005-0000-0000-0000FD910000}"/>
    <cellStyle name="Note 4 4 4 4 2 2 2" xfId="3884" xr:uid="{00000000-0005-0000-0000-0000FE910000}"/>
    <cellStyle name="Note 4 4 4 4 2 2 2 10" xfId="38935" xr:uid="{00000000-0005-0000-0000-0000FF910000}"/>
    <cellStyle name="Note 4 4 4 4 2 2 2 11" xfId="42946" xr:uid="{00000000-0005-0000-0000-000000920000}"/>
    <cellStyle name="Note 4 4 4 4 2 2 2 12" xfId="46711" xr:uid="{00000000-0005-0000-0000-000001920000}"/>
    <cellStyle name="Note 4 4 4 4 2 2 2 2" xfId="7751" xr:uid="{00000000-0005-0000-0000-000002920000}"/>
    <cellStyle name="Note 4 4 4 4 2 2 2 3" xfId="12186" xr:uid="{00000000-0005-0000-0000-000003920000}"/>
    <cellStyle name="Note 4 4 4 4 2 2 2 4" xfId="16031" xr:uid="{00000000-0005-0000-0000-000004920000}"/>
    <cellStyle name="Note 4 4 4 4 2 2 2 5" xfId="19878" xr:uid="{00000000-0005-0000-0000-000005920000}"/>
    <cellStyle name="Note 4 4 4 4 2 2 2 6" xfId="23794" xr:uid="{00000000-0005-0000-0000-000006920000}"/>
    <cellStyle name="Note 4 4 4 4 2 2 2 7" xfId="27628" xr:uid="{00000000-0005-0000-0000-000007920000}"/>
    <cellStyle name="Note 4 4 4 4 2 2 2 8" xfId="31491" xr:uid="{00000000-0005-0000-0000-000008920000}"/>
    <cellStyle name="Note 4 4 4 4 2 2 2 9" xfId="35149" xr:uid="{00000000-0005-0000-0000-000009920000}"/>
    <cellStyle name="Note 4 4 4 4 2 2 3" xfId="5827" xr:uid="{00000000-0005-0000-0000-00000A920000}"/>
    <cellStyle name="Note 4 4 4 4 2 2 4" xfId="10185" xr:uid="{00000000-0005-0000-0000-00000B920000}"/>
    <cellStyle name="Note 4 4 4 4 2 2 5" xfId="14031" xr:uid="{00000000-0005-0000-0000-00000C920000}"/>
    <cellStyle name="Note 4 4 4 4 2 2 6" xfId="17860" xr:uid="{00000000-0005-0000-0000-00000D920000}"/>
    <cellStyle name="Note 4 4 4 4 2 2 7" xfId="21799" xr:uid="{00000000-0005-0000-0000-00000E920000}"/>
    <cellStyle name="Note 4 4 4 4 2 2 8" xfId="25612" xr:uid="{00000000-0005-0000-0000-00000F920000}"/>
    <cellStyle name="Note 4 4 4 4 2 2 9" xfId="29499" xr:uid="{00000000-0005-0000-0000-000010920000}"/>
    <cellStyle name="Note 4 4 4 4 2 3" xfId="3162" xr:uid="{00000000-0005-0000-0000-000011920000}"/>
    <cellStyle name="Note 4 4 4 4 2 3 10" xfId="38214" xr:uid="{00000000-0005-0000-0000-000012920000}"/>
    <cellStyle name="Note 4 4 4 4 2 3 11" xfId="42225" xr:uid="{00000000-0005-0000-0000-000013920000}"/>
    <cellStyle name="Note 4 4 4 4 2 3 12" xfId="45994" xr:uid="{00000000-0005-0000-0000-000014920000}"/>
    <cellStyle name="Note 4 4 4 4 2 3 2" xfId="7034" xr:uid="{00000000-0005-0000-0000-000015920000}"/>
    <cellStyle name="Note 4 4 4 4 2 3 3" xfId="11466" xr:uid="{00000000-0005-0000-0000-000016920000}"/>
    <cellStyle name="Note 4 4 4 4 2 3 4" xfId="15310" xr:uid="{00000000-0005-0000-0000-000017920000}"/>
    <cellStyle name="Note 4 4 4 4 2 3 5" xfId="19156" xr:uid="{00000000-0005-0000-0000-000018920000}"/>
    <cellStyle name="Note 4 4 4 4 2 3 6" xfId="23075" xr:uid="{00000000-0005-0000-0000-000019920000}"/>
    <cellStyle name="Note 4 4 4 4 2 3 7" xfId="26907" xr:uid="{00000000-0005-0000-0000-00001A920000}"/>
    <cellStyle name="Note 4 4 4 4 2 3 8" xfId="30779" xr:uid="{00000000-0005-0000-0000-00001B920000}"/>
    <cellStyle name="Note 4 4 4 4 2 3 9" xfId="34432" xr:uid="{00000000-0005-0000-0000-00001C920000}"/>
    <cellStyle name="Note 4 4 4 4 2 4" xfId="5110" xr:uid="{00000000-0005-0000-0000-00001D920000}"/>
    <cellStyle name="Note 4 4 4 4 2 5" xfId="9466" xr:uid="{00000000-0005-0000-0000-00001E920000}"/>
    <cellStyle name="Note 4 4 4 4 2 6" xfId="13310" xr:uid="{00000000-0005-0000-0000-00001F920000}"/>
    <cellStyle name="Note 4 4 4 4 2 7" xfId="17138" xr:uid="{00000000-0005-0000-0000-000020920000}"/>
    <cellStyle name="Note 4 4 4 4 2 8" xfId="21080" xr:uid="{00000000-0005-0000-0000-000021920000}"/>
    <cellStyle name="Note 4 4 4 4 2 9" xfId="24891" xr:uid="{00000000-0005-0000-0000-000022920000}"/>
    <cellStyle name="Note 4 4 4 4 3" xfId="1541" xr:uid="{00000000-0005-0000-0000-000023920000}"/>
    <cellStyle name="Note 4 4 4 4 3 10" xfId="32828" xr:uid="{00000000-0005-0000-0000-000024920000}"/>
    <cellStyle name="Note 4 4 4 4 3 11" xfId="36598" xr:uid="{00000000-0005-0000-0000-000025920000}"/>
    <cellStyle name="Note 4 4 4 4 3 12" xfId="40589" xr:uid="{00000000-0005-0000-0000-000026920000}"/>
    <cellStyle name="Note 4 4 4 4 3 13" xfId="44420" xr:uid="{00000000-0005-0000-0000-000027920000}"/>
    <cellStyle name="Note 4 4 4 4 3 2" xfId="3531" xr:uid="{00000000-0005-0000-0000-000028920000}"/>
    <cellStyle name="Note 4 4 4 4 3 2 10" xfId="38582" xr:uid="{00000000-0005-0000-0000-000029920000}"/>
    <cellStyle name="Note 4 4 4 4 3 2 11" xfId="42593" xr:uid="{00000000-0005-0000-0000-00002A920000}"/>
    <cellStyle name="Note 4 4 4 4 3 2 12" xfId="46358" xr:uid="{00000000-0005-0000-0000-00002B920000}"/>
    <cellStyle name="Note 4 4 4 4 3 2 2" xfId="7398" xr:uid="{00000000-0005-0000-0000-00002C920000}"/>
    <cellStyle name="Note 4 4 4 4 3 2 3" xfId="11833" xr:uid="{00000000-0005-0000-0000-00002D920000}"/>
    <cellStyle name="Note 4 4 4 4 3 2 4" xfId="15678" xr:uid="{00000000-0005-0000-0000-00002E920000}"/>
    <cellStyle name="Note 4 4 4 4 3 2 5" xfId="19525" xr:uid="{00000000-0005-0000-0000-00002F920000}"/>
    <cellStyle name="Note 4 4 4 4 3 2 6" xfId="23441" xr:uid="{00000000-0005-0000-0000-000030920000}"/>
    <cellStyle name="Note 4 4 4 4 3 2 7" xfId="27275" xr:uid="{00000000-0005-0000-0000-000031920000}"/>
    <cellStyle name="Note 4 4 4 4 3 2 8" xfId="31142" xr:uid="{00000000-0005-0000-0000-000032920000}"/>
    <cellStyle name="Note 4 4 4 4 3 2 9" xfId="34796" xr:uid="{00000000-0005-0000-0000-000033920000}"/>
    <cellStyle name="Note 4 4 4 4 3 3" xfId="5474" xr:uid="{00000000-0005-0000-0000-000034920000}"/>
    <cellStyle name="Note 4 4 4 4 3 4" xfId="9832" xr:uid="{00000000-0005-0000-0000-000035920000}"/>
    <cellStyle name="Note 4 4 4 4 3 5" xfId="13678" xr:uid="{00000000-0005-0000-0000-000036920000}"/>
    <cellStyle name="Note 4 4 4 4 3 6" xfId="17507" xr:uid="{00000000-0005-0000-0000-000037920000}"/>
    <cellStyle name="Note 4 4 4 4 3 7" xfId="21446" xr:uid="{00000000-0005-0000-0000-000038920000}"/>
    <cellStyle name="Note 4 4 4 4 3 8" xfId="25259" xr:uid="{00000000-0005-0000-0000-000039920000}"/>
    <cellStyle name="Note 4 4 4 4 3 9" xfId="29146" xr:uid="{00000000-0005-0000-0000-00003A920000}"/>
    <cellStyle name="Note 4 4 4 4 4" xfId="2800" xr:uid="{00000000-0005-0000-0000-00003B920000}"/>
    <cellStyle name="Note 4 4 4 4 4 10" xfId="37852" xr:uid="{00000000-0005-0000-0000-00003C920000}"/>
    <cellStyle name="Note 4 4 4 4 4 11" xfId="41864" xr:uid="{00000000-0005-0000-0000-00003D920000}"/>
    <cellStyle name="Note 4 4 4 4 4 12" xfId="45641" xr:uid="{00000000-0005-0000-0000-00003E920000}"/>
    <cellStyle name="Note 4 4 4 4 4 2" xfId="6680" xr:uid="{00000000-0005-0000-0000-00003F920000}"/>
    <cellStyle name="Note 4 4 4 4 4 3" xfId="11107" xr:uid="{00000000-0005-0000-0000-000040920000}"/>
    <cellStyle name="Note 4 4 4 4 4 4" xfId="14952" xr:uid="{00000000-0005-0000-0000-000041920000}"/>
    <cellStyle name="Note 4 4 4 4 4 5" xfId="18794" xr:uid="{00000000-0005-0000-0000-000042920000}"/>
    <cellStyle name="Note 4 4 4 4 4 6" xfId="22720" xr:uid="{00000000-0005-0000-0000-000043920000}"/>
    <cellStyle name="Note 4 4 4 4 4 7" xfId="26545" xr:uid="{00000000-0005-0000-0000-000044920000}"/>
    <cellStyle name="Note 4 4 4 4 4 8" xfId="30423" xr:uid="{00000000-0005-0000-0000-000045920000}"/>
    <cellStyle name="Note 4 4 4 4 4 9" xfId="34079" xr:uid="{00000000-0005-0000-0000-000046920000}"/>
    <cellStyle name="Note 4 4 4 4 5" xfId="4756" xr:uid="{00000000-0005-0000-0000-000047920000}"/>
    <cellStyle name="Note 4 4 4 4 6" xfId="9110" xr:uid="{00000000-0005-0000-0000-000048920000}"/>
    <cellStyle name="Note 4 4 4 4 7" xfId="12951" xr:uid="{00000000-0005-0000-0000-000049920000}"/>
    <cellStyle name="Note 4 4 4 4 8" xfId="16776" xr:uid="{00000000-0005-0000-0000-00004A920000}"/>
    <cellStyle name="Note 4 4 4 4 9" xfId="20718" xr:uid="{00000000-0005-0000-0000-00004B920000}"/>
    <cellStyle name="Note 4 4 4 5" xfId="902" xr:uid="{00000000-0005-0000-0000-00004C920000}"/>
    <cellStyle name="Note 4 4 4 5 10" xfId="24626" xr:uid="{00000000-0005-0000-0000-00004D920000}"/>
    <cellStyle name="Note 4 4 4 5 11" xfId="28516" xr:uid="{00000000-0005-0000-0000-00004E920000}"/>
    <cellStyle name="Note 4 4 4 5 12" xfId="32203" xr:uid="{00000000-0005-0000-0000-00004F920000}"/>
    <cellStyle name="Note 4 4 4 5 13" xfId="35960" xr:uid="{00000000-0005-0000-0000-000050920000}"/>
    <cellStyle name="Note 4 4 4 5 14" xfId="39970" xr:uid="{00000000-0005-0000-0000-000051920000}"/>
    <cellStyle name="Note 4 4 4 5 15" xfId="43786" xr:uid="{00000000-0005-0000-0000-000052920000}"/>
    <cellStyle name="Note 4 4 4 5 2" xfId="1239" xr:uid="{00000000-0005-0000-0000-000053920000}"/>
    <cellStyle name="Note 4 4 4 5 2 10" xfId="28847" xr:uid="{00000000-0005-0000-0000-000054920000}"/>
    <cellStyle name="Note 4 4 4 5 2 11" xfId="32531" xr:uid="{00000000-0005-0000-0000-000055920000}"/>
    <cellStyle name="Note 4 4 4 5 2 12" xfId="36297" xr:uid="{00000000-0005-0000-0000-000056920000}"/>
    <cellStyle name="Note 4 4 4 5 2 13" xfId="40290" xr:uid="{00000000-0005-0000-0000-000057920000}"/>
    <cellStyle name="Note 4 4 4 5 2 14" xfId="44123" xr:uid="{00000000-0005-0000-0000-000058920000}"/>
    <cellStyle name="Note 4 4 4 5 2 2" xfId="1961" xr:uid="{00000000-0005-0000-0000-000059920000}"/>
    <cellStyle name="Note 4 4 4 5 2 2 10" xfId="33248" xr:uid="{00000000-0005-0000-0000-00005A920000}"/>
    <cellStyle name="Note 4 4 4 5 2 2 11" xfId="37018" xr:uid="{00000000-0005-0000-0000-00005B920000}"/>
    <cellStyle name="Note 4 4 4 5 2 2 12" xfId="41009" xr:uid="{00000000-0005-0000-0000-00005C920000}"/>
    <cellStyle name="Note 4 4 4 5 2 2 13" xfId="44840" xr:uid="{00000000-0005-0000-0000-00005D920000}"/>
    <cellStyle name="Note 4 4 4 5 2 2 2" xfId="3951" xr:uid="{00000000-0005-0000-0000-00005E920000}"/>
    <cellStyle name="Note 4 4 4 5 2 2 2 10" xfId="39002" xr:uid="{00000000-0005-0000-0000-00005F920000}"/>
    <cellStyle name="Note 4 4 4 5 2 2 2 11" xfId="43013" xr:uid="{00000000-0005-0000-0000-000060920000}"/>
    <cellStyle name="Note 4 4 4 5 2 2 2 12" xfId="46778" xr:uid="{00000000-0005-0000-0000-000061920000}"/>
    <cellStyle name="Note 4 4 4 5 2 2 2 2" xfId="7818" xr:uid="{00000000-0005-0000-0000-000062920000}"/>
    <cellStyle name="Note 4 4 4 5 2 2 2 3" xfId="12253" xr:uid="{00000000-0005-0000-0000-000063920000}"/>
    <cellStyle name="Note 4 4 4 5 2 2 2 4" xfId="16098" xr:uid="{00000000-0005-0000-0000-000064920000}"/>
    <cellStyle name="Note 4 4 4 5 2 2 2 5" xfId="19945" xr:uid="{00000000-0005-0000-0000-000065920000}"/>
    <cellStyle name="Note 4 4 4 5 2 2 2 6" xfId="23861" xr:uid="{00000000-0005-0000-0000-000066920000}"/>
    <cellStyle name="Note 4 4 4 5 2 2 2 7" xfId="27695" xr:uid="{00000000-0005-0000-0000-000067920000}"/>
    <cellStyle name="Note 4 4 4 5 2 2 2 8" xfId="31556" xr:uid="{00000000-0005-0000-0000-000068920000}"/>
    <cellStyle name="Note 4 4 4 5 2 2 2 9" xfId="35216" xr:uid="{00000000-0005-0000-0000-000069920000}"/>
    <cellStyle name="Note 4 4 4 5 2 2 3" xfId="5894" xr:uid="{00000000-0005-0000-0000-00006A920000}"/>
    <cellStyle name="Note 4 4 4 5 2 2 4" xfId="10252" xr:uid="{00000000-0005-0000-0000-00006B920000}"/>
    <cellStyle name="Note 4 4 4 5 2 2 5" xfId="14098" xr:uid="{00000000-0005-0000-0000-00006C920000}"/>
    <cellStyle name="Note 4 4 4 5 2 2 6" xfId="17927" xr:uid="{00000000-0005-0000-0000-00006D920000}"/>
    <cellStyle name="Note 4 4 4 5 2 2 7" xfId="21866" xr:uid="{00000000-0005-0000-0000-00006E920000}"/>
    <cellStyle name="Note 4 4 4 5 2 2 8" xfId="25679" xr:uid="{00000000-0005-0000-0000-00006F920000}"/>
    <cellStyle name="Note 4 4 4 5 2 2 9" xfId="29566" xr:uid="{00000000-0005-0000-0000-000070920000}"/>
    <cellStyle name="Note 4 4 4 5 2 3" xfId="3229" xr:uid="{00000000-0005-0000-0000-000071920000}"/>
    <cellStyle name="Note 4 4 4 5 2 3 10" xfId="38281" xr:uid="{00000000-0005-0000-0000-000072920000}"/>
    <cellStyle name="Note 4 4 4 5 2 3 11" xfId="42292" xr:uid="{00000000-0005-0000-0000-000073920000}"/>
    <cellStyle name="Note 4 4 4 5 2 3 12" xfId="46061" xr:uid="{00000000-0005-0000-0000-000074920000}"/>
    <cellStyle name="Note 4 4 4 5 2 3 2" xfId="7101" xr:uid="{00000000-0005-0000-0000-000075920000}"/>
    <cellStyle name="Note 4 4 4 5 2 3 3" xfId="11533" xr:uid="{00000000-0005-0000-0000-000076920000}"/>
    <cellStyle name="Note 4 4 4 5 2 3 4" xfId="15377" xr:uid="{00000000-0005-0000-0000-000077920000}"/>
    <cellStyle name="Note 4 4 4 5 2 3 5" xfId="19223" xr:uid="{00000000-0005-0000-0000-000078920000}"/>
    <cellStyle name="Note 4 4 4 5 2 3 6" xfId="23142" xr:uid="{00000000-0005-0000-0000-000079920000}"/>
    <cellStyle name="Note 4 4 4 5 2 3 7" xfId="26974" xr:uid="{00000000-0005-0000-0000-00007A920000}"/>
    <cellStyle name="Note 4 4 4 5 2 3 8" xfId="30844" xr:uid="{00000000-0005-0000-0000-00007B920000}"/>
    <cellStyle name="Note 4 4 4 5 2 3 9" xfId="34499" xr:uid="{00000000-0005-0000-0000-00007C920000}"/>
    <cellStyle name="Note 4 4 4 5 2 4" xfId="5177" xr:uid="{00000000-0005-0000-0000-00007D920000}"/>
    <cellStyle name="Note 4 4 4 5 2 5" xfId="9533" xr:uid="{00000000-0005-0000-0000-00007E920000}"/>
    <cellStyle name="Note 4 4 4 5 2 6" xfId="13377" xr:uid="{00000000-0005-0000-0000-00007F920000}"/>
    <cellStyle name="Note 4 4 4 5 2 7" xfId="17205" xr:uid="{00000000-0005-0000-0000-000080920000}"/>
    <cellStyle name="Note 4 4 4 5 2 8" xfId="21147" xr:uid="{00000000-0005-0000-0000-000081920000}"/>
    <cellStyle name="Note 4 4 4 5 2 9" xfId="24958" xr:uid="{00000000-0005-0000-0000-000082920000}"/>
    <cellStyle name="Note 4 4 4 5 3" xfId="1633" xr:uid="{00000000-0005-0000-0000-000083920000}"/>
    <cellStyle name="Note 4 4 4 5 3 10" xfId="32920" xr:uid="{00000000-0005-0000-0000-000084920000}"/>
    <cellStyle name="Note 4 4 4 5 3 11" xfId="36690" xr:uid="{00000000-0005-0000-0000-000085920000}"/>
    <cellStyle name="Note 4 4 4 5 3 12" xfId="40681" xr:uid="{00000000-0005-0000-0000-000086920000}"/>
    <cellStyle name="Note 4 4 4 5 3 13" xfId="44512" xr:uid="{00000000-0005-0000-0000-000087920000}"/>
    <cellStyle name="Note 4 4 4 5 3 2" xfId="3623" xr:uid="{00000000-0005-0000-0000-000088920000}"/>
    <cellStyle name="Note 4 4 4 5 3 2 10" xfId="38674" xr:uid="{00000000-0005-0000-0000-000089920000}"/>
    <cellStyle name="Note 4 4 4 5 3 2 11" xfId="42685" xr:uid="{00000000-0005-0000-0000-00008A920000}"/>
    <cellStyle name="Note 4 4 4 5 3 2 12" xfId="46450" xr:uid="{00000000-0005-0000-0000-00008B920000}"/>
    <cellStyle name="Note 4 4 4 5 3 2 2" xfId="7490" xr:uid="{00000000-0005-0000-0000-00008C920000}"/>
    <cellStyle name="Note 4 4 4 5 3 2 3" xfId="11925" xr:uid="{00000000-0005-0000-0000-00008D920000}"/>
    <cellStyle name="Note 4 4 4 5 3 2 4" xfId="15770" xr:uid="{00000000-0005-0000-0000-00008E920000}"/>
    <cellStyle name="Note 4 4 4 5 3 2 5" xfId="19617" xr:uid="{00000000-0005-0000-0000-00008F920000}"/>
    <cellStyle name="Note 4 4 4 5 3 2 6" xfId="23533" xr:uid="{00000000-0005-0000-0000-000090920000}"/>
    <cellStyle name="Note 4 4 4 5 3 2 7" xfId="27367" xr:uid="{00000000-0005-0000-0000-000091920000}"/>
    <cellStyle name="Note 4 4 4 5 3 2 8" xfId="31232" xr:uid="{00000000-0005-0000-0000-000092920000}"/>
    <cellStyle name="Note 4 4 4 5 3 2 9" xfId="34888" xr:uid="{00000000-0005-0000-0000-000093920000}"/>
    <cellStyle name="Note 4 4 4 5 3 3" xfId="5566" xr:uid="{00000000-0005-0000-0000-000094920000}"/>
    <cellStyle name="Note 4 4 4 5 3 4" xfId="9924" xr:uid="{00000000-0005-0000-0000-000095920000}"/>
    <cellStyle name="Note 4 4 4 5 3 5" xfId="13770" xr:uid="{00000000-0005-0000-0000-000096920000}"/>
    <cellStyle name="Note 4 4 4 5 3 6" xfId="17599" xr:uid="{00000000-0005-0000-0000-000097920000}"/>
    <cellStyle name="Note 4 4 4 5 3 7" xfId="21538" xr:uid="{00000000-0005-0000-0000-000098920000}"/>
    <cellStyle name="Note 4 4 4 5 3 8" xfId="25351" xr:uid="{00000000-0005-0000-0000-000099920000}"/>
    <cellStyle name="Note 4 4 4 5 3 9" xfId="29238" xr:uid="{00000000-0005-0000-0000-00009A920000}"/>
    <cellStyle name="Note 4 4 4 5 4" xfId="2892" xr:uid="{00000000-0005-0000-0000-00009B920000}"/>
    <cellStyle name="Note 4 4 4 5 4 10" xfId="37944" xr:uid="{00000000-0005-0000-0000-00009C920000}"/>
    <cellStyle name="Note 4 4 4 5 4 11" xfId="41956" xr:uid="{00000000-0005-0000-0000-00009D920000}"/>
    <cellStyle name="Note 4 4 4 5 4 12" xfId="45733" xr:uid="{00000000-0005-0000-0000-00009E920000}"/>
    <cellStyle name="Note 4 4 4 5 4 2" xfId="6772" xr:uid="{00000000-0005-0000-0000-00009F920000}"/>
    <cellStyle name="Note 4 4 4 5 4 3" xfId="11199" xr:uid="{00000000-0005-0000-0000-0000A0920000}"/>
    <cellStyle name="Note 4 4 4 5 4 4" xfId="15044" xr:uid="{00000000-0005-0000-0000-0000A1920000}"/>
    <cellStyle name="Note 4 4 4 5 4 5" xfId="18886" xr:uid="{00000000-0005-0000-0000-0000A2920000}"/>
    <cellStyle name="Note 4 4 4 5 4 6" xfId="22812" xr:uid="{00000000-0005-0000-0000-0000A3920000}"/>
    <cellStyle name="Note 4 4 4 5 4 7" xfId="26637" xr:uid="{00000000-0005-0000-0000-0000A4920000}"/>
    <cellStyle name="Note 4 4 4 5 4 8" xfId="30513" xr:uid="{00000000-0005-0000-0000-0000A5920000}"/>
    <cellStyle name="Note 4 4 4 5 4 9" xfId="34171" xr:uid="{00000000-0005-0000-0000-0000A6920000}"/>
    <cellStyle name="Note 4 4 4 5 5" xfId="4848" xr:uid="{00000000-0005-0000-0000-0000A7920000}"/>
    <cellStyle name="Note 4 4 4 5 6" xfId="9202" xr:uid="{00000000-0005-0000-0000-0000A8920000}"/>
    <cellStyle name="Note 4 4 4 5 7" xfId="13043" xr:uid="{00000000-0005-0000-0000-0000A9920000}"/>
    <cellStyle name="Note 4 4 4 5 8" xfId="16868" xr:uid="{00000000-0005-0000-0000-0000AA920000}"/>
    <cellStyle name="Note 4 4 4 5 9" xfId="20810" xr:uid="{00000000-0005-0000-0000-0000AB920000}"/>
    <cellStyle name="Note 4 4 4 6" xfId="948" xr:uid="{00000000-0005-0000-0000-0000AC920000}"/>
    <cellStyle name="Note 4 4 4 6 10" xfId="28560" xr:uid="{00000000-0005-0000-0000-0000AD920000}"/>
    <cellStyle name="Note 4 4 4 6 11" xfId="32249" xr:uid="{00000000-0005-0000-0000-0000AE920000}"/>
    <cellStyle name="Note 4 4 4 6 12" xfId="36006" xr:uid="{00000000-0005-0000-0000-0000AF920000}"/>
    <cellStyle name="Note 4 4 4 6 13" xfId="40014" xr:uid="{00000000-0005-0000-0000-0000B0920000}"/>
    <cellStyle name="Note 4 4 4 6 14" xfId="43832" xr:uid="{00000000-0005-0000-0000-0000B1920000}"/>
    <cellStyle name="Note 4 4 4 6 2" xfId="1679" xr:uid="{00000000-0005-0000-0000-0000B2920000}"/>
    <cellStyle name="Note 4 4 4 6 2 10" xfId="32966" xr:uid="{00000000-0005-0000-0000-0000B3920000}"/>
    <cellStyle name="Note 4 4 4 6 2 11" xfId="36736" xr:uid="{00000000-0005-0000-0000-0000B4920000}"/>
    <cellStyle name="Note 4 4 4 6 2 12" xfId="40727" xr:uid="{00000000-0005-0000-0000-0000B5920000}"/>
    <cellStyle name="Note 4 4 4 6 2 13" xfId="44558" xr:uid="{00000000-0005-0000-0000-0000B6920000}"/>
    <cellStyle name="Note 4 4 4 6 2 2" xfId="3669" xr:uid="{00000000-0005-0000-0000-0000B7920000}"/>
    <cellStyle name="Note 4 4 4 6 2 2 10" xfId="38720" xr:uid="{00000000-0005-0000-0000-0000B8920000}"/>
    <cellStyle name="Note 4 4 4 6 2 2 11" xfId="42731" xr:uid="{00000000-0005-0000-0000-0000B9920000}"/>
    <cellStyle name="Note 4 4 4 6 2 2 12" xfId="46496" xr:uid="{00000000-0005-0000-0000-0000BA920000}"/>
    <cellStyle name="Note 4 4 4 6 2 2 2" xfId="7536" xr:uid="{00000000-0005-0000-0000-0000BB920000}"/>
    <cellStyle name="Note 4 4 4 6 2 2 3" xfId="11971" xr:uid="{00000000-0005-0000-0000-0000BC920000}"/>
    <cellStyle name="Note 4 4 4 6 2 2 4" xfId="15816" xr:uid="{00000000-0005-0000-0000-0000BD920000}"/>
    <cellStyle name="Note 4 4 4 6 2 2 5" xfId="19663" xr:uid="{00000000-0005-0000-0000-0000BE920000}"/>
    <cellStyle name="Note 4 4 4 6 2 2 6" xfId="23579" xr:uid="{00000000-0005-0000-0000-0000BF920000}"/>
    <cellStyle name="Note 4 4 4 6 2 2 7" xfId="27413" xr:uid="{00000000-0005-0000-0000-0000C0920000}"/>
    <cellStyle name="Note 4 4 4 6 2 2 8" xfId="31277" xr:uid="{00000000-0005-0000-0000-0000C1920000}"/>
    <cellStyle name="Note 4 4 4 6 2 2 9" xfId="34934" xr:uid="{00000000-0005-0000-0000-0000C2920000}"/>
    <cellStyle name="Note 4 4 4 6 2 3" xfId="5612" xr:uid="{00000000-0005-0000-0000-0000C3920000}"/>
    <cellStyle name="Note 4 4 4 6 2 4" xfId="9970" xr:uid="{00000000-0005-0000-0000-0000C4920000}"/>
    <cellStyle name="Note 4 4 4 6 2 5" xfId="13816" xr:uid="{00000000-0005-0000-0000-0000C5920000}"/>
    <cellStyle name="Note 4 4 4 6 2 6" xfId="17645" xr:uid="{00000000-0005-0000-0000-0000C6920000}"/>
    <cellStyle name="Note 4 4 4 6 2 7" xfId="21584" xr:uid="{00000000-0005-0000-0000-0000C7920000}"/>
    <cellStyle name="Note 4 4 4 6 2 8" xfId="25397" xr:uid="{00000000-0005-0000-0000-0000C8920000}"/>
    <cellStyle name="Note 4 4 4 6 2 9" xfId="29284" xr:uid="{00000000-0005-0000-0000-0000C9920000}"/>
    <cellStyle name="Note 4 4 4 6 3" xfId="2938" xr:uid="{00000000-0005-0000-0000-0000CA920000}"/>
    <cellStyle name="Note 4 4 4 6 3 10" xfId="37990" xr:uid="{00000000-0005-0000-0000-0000CB920000}"/>
    <cellStyle name="Note 4 4 4 6 3 11" xfId="42002" xr:uid="{00000000-0005-0000-0000-0000CC920000}"/>
    <cellStyle name="Note 4 4 4 6 3 12" xfId="45779" xr:uid="{00000000-0005-0000-0000-0000CD920000}"/>
    <cellStyle name="Note 4 4 4 6 3 2" xfId="6818" xr:uid="{00000000-0005-0000-0000-0000CE920000}"/>
    <cellStyle name="Note 4 4 4 6 3 3" xfId="11245" xr:uid="{00000000-0005-0000-0000-0000CF920000}"/>
    <cellStyle name="Note 4 4 4 6 3 4" xfId="15090" xr:uid="{00000000-0005-0000-0000-0000D0920000}"/>
    <cellStyle name="Note 4 4 4 6 3 5" xfId="18932" xr:uid="{00000000-0005-0000-0000-0000D1920000}"/>
    <cellStyle name="Note 4 4 4 6 3 6" xfId="22858" xr:uid="{00000000-0005-0000-0000-0000D2920000}"/>
    <cellStyle name="Note 4 4 4 6 3 7" xfId="26683" xr:uid="{00000000-0005-0000-0000-0000D3920000}"/>
    <cellStyle name="Note 4 4 4 6 3 8" xfId="30558" xr:uid="{00000000-0005-0000-0000-0000D4920000}"/>
    <cellStyle name="Note 4 4 4 6 3 9" xfId="34217" xr:uid="{00000000-0005-0000-0000-0000D5920000}"/>
    <cellStyle name="Note 4 4 4 6 4" xfId="4894" xr:uid="{00000000-0005-0000-0000-0000D6920000}"/>
    <cellStyle name="Note 4 4 4 6 5" xfId="9248" xr:uid="{00000000-0005-0000-0000-0000D7920000}"/>
    <cellStyle name="Note 4 4 4 6 6" xfId="13089" xr:uid="{00000000-0005-0000-0000-0000D8920000}"/>
    <cellStyle name="Note 4 4 4 6 7" xfId="16914" xr:uid="{00000000-0005-0000-0000-0000D9920000}"/>
    <cellStyle name="Note 4 4 4 6 8" xfId="20856" xr:uid="{00000000-0005-0000-0000-0000DA920000}"/>
    <cellStyle name="Note 4 4 4 6 9" xfId="24672" xr:uid="{00000000-0005-0000-0000-0000DB920000}"/>
    <cellStyle name="Note 4 4 4 7" xfId="1326" xr:uid="{00000000-0005-0000-0000-0000DC920000}"/>
    <cellStyle name="Note 4 4 4 7 10" xfId="32613" xr:uid="{00000000-0005-0000-0000-0000DD920000}"/>
    <cellStyle name="Note 4 4 4 7 11" xfId="36383" xr:uid="{00000000-0005-0000-0000-0000DE920000}"/>
    <cellStyle name="Note 4 4 4 7 12" xfId="40374" xr:uid="{00000000-0005-0000-0000-0000DF920000}"/>
    <cellStyle name="Note 4 4 4 7 13" xfId="44205" xr:uid="{00000000-0005-0000-0000-0000E0920000}"/>
    <cellStyle name="Note 4 4 4 7 2" xfId="3316" xr:uid="{00000000-0005-0000-0000-0000E1920000}"/>
    <cellStyle name="Note 4 4 4 7 2 10" xfId="38367" xr:uid="{00000000-0005-0000-0000-0000E2920000}"/>
    <cellStyle name="Note 4 4 4 7 2 11" xfId="42378" xr:uid="{00000000-0005-0000-0000-0000E3920000}"/>
    <cellStyle name="Note 4 4 4 7 2 12" xfId="46143" xr:uid="{00000000-0005-0000-0000-0000E4920000}"/>
    <cellStyle name="Note 4 4 4 7 2 2" xfId="7183" xr:uid="{00000000-0005-0000-0000-0000E5920000}"/>
    <cellStyle name="Note 4 4 4 7 2 3" xfId="11618" xr:uid="{00000000-0005-0000-0000-0000E6920000}"/>
    <cellStyle name="Note 4 4 4 7 2 4" xfId="15463" xr:uid="{00000000-0005-0000-0000-0000E7920000}"/>
    <cellStyle name="Note 4 4 4 7 2 5" xfId="19310" xr:uid="{00000000-0005-0000-0000-0000E8920000}"/>
    <cellStyle name="Note 4 4 4 7 2 6" xfId="23226" xr:uid="{00000000-0005-0000-0000-0000E9920000}"/>
    <cellStyle name="Note 4 4 4 7 2 7" xfId="27060" xr:uid="{00000000-0005-0000-0000-0000EA920000}"/>
    <cellStyle name="Note 4 4 4 7 2 8" xfId="30929" xr:uid="{00000000-0005-0000-0000-0000EB920000}"/>
    <cellStyle name="Note 4 4 4 7 2 9" xfId="34581" xr:uid="{00000000-0005-0000-0000-0000EC920000}"/>
    <cellStyle name="Note 4 4 4 7 3" xfId="5259" xr:uid="{00000000-0005-0000-0000-0000ED920000}"/>
    <cellStyle name="Note 4 4 4 7 4" xfId="9617" xr:uid="{00000000-0005-0000-0000-0000EE920000}"/>
    <cellStyle name="Note 4 4 4 7 5" xfId="13463" xr:uid="{00000000-0005-0000-0000-0000EF920000}"/>
    <cellStyle name="Note 4 4 4 7 6" xfId="17292" xr:uid="{00000000-0005-0000-0000-0000F0920000}"/>
    <cellStyle name="Note 4 4 4 7 7" xfId="21231" xr:uid="{00000000-0005-0000-0000-0000F1920000}"/>
    <cellStyle name="Note 4 4 4 7 8" xfId="25044" xr:uid="{00000000-0005-0000-0000-0000F2920000}"/>
    <cellStyle name="Note 4 4 4 7 9" xfId="28931" xr:uid="{00000000-0005-0000-0000-0000F3920000}"/>
    <cellStyle name="Note 4 4 4 8" xfId="2023" xr:uid="{00000000-0005-0000-0000-0000F4920000}"/>
    <cellStyle name="Note 4 4 4 8 10" xfId="33308" xr:uid="{00000000-0005-0000-0000-0000F5920000}"/>
    <cellStyle name="Note 4 4 4 8 11" xfId="37079" xr:uid="{00000000-0005-0000-0000-0000F6920000}"/>
    <cellStyle name="Note 4 4 4 8 12" xfId="41071" xr:uid="{00000000-0005-0000-0000-0000F7920000}"/>
    <cellStyle name="Note 4 4 4 8 13" xfId="44899" xr:uid="{00000000-0005-0000-0000-0000F8920000}"/>
    <cellStyle name="Note 4 4 4 8 2" xfId="4012" xr:uid="{00000000-0005-0000-0000-0000F9920000}"/>
    <cellStyle name="Note 4 4 4 8 2 10" xfId="39063" xr:uid="{00000000-0005-0000-0000-0000FA920000}"/>
    <cellStyle name="Note 4 4 4 8 2 11" xfId="43074" xr:uid="{00000000-0005-0000-0000-0000FB920000}"/>
    <cellStyle name="Note 4 4 4 8 2 12" xfId="46837" xr:uid="{00000000-0005-0000-0000-0000FC920000}"/>
    <cellStyle name="Note 4 4 4 8 2 2" xfId="7877" xr:uid="{00000000-0005-0000-0000-0000FD920000}"/>
    <cellStyle name="Note 4 4 4 8 2 3" xfId="12313" xr:uid="{00000000-0005-0000-0000-0000FE920000}"/>
    <cellStyle name="Note 4 4 4 8 2 4" xfId="16158" xr:uid="{00000000-0005-0000-0000-0000FF920000}"/>
    <cellStyle name="Note 4 4 4 8 2 5" xfId="20006" xr:uid="{00000000-0005-0000-0000-000000930000}"/>
    <cellStyle name="Note 4 4 4 8 2 6" xfId="23921" xr:uid="{00000000-0005-0000-0000-000001930000}"/>
    <cellStyle name="Note 4 4 4 8 2 7" xfId="27756" xr:uid="{00000000-0005-0000-0000-000002930000}"/>
    <cellStyle name="Note 4 4 4 8 2 8" xfId="31616" xr:uid="{00000000-0005-0000-0000-000003930000}"/>
    <cellStyle name="Note 4 4 4 8 2 9" xfId="35275" xr:uid="{00000000-0005-0000-0000-000004930000}"/>
    <cellStyle name="Note 4 4 4 8 3" xfId="5953" xr:uid="{00000000-0005-0000-0000-000005930000}"/>
    <cellStyle name="Note 4 4 4 8 4" xfId="10312" xr:uid="{00000000-0005-0000-0000-000006930000}"/>
    <cellStyle name="Note 4 4 4 8 5" xfId="14159" xr:uid="{00000000-0005-0000-0000-000007930000}"/>
    <cellStyle name="Note 4 4 4 8 6" xfId="17989" xr:uid="{00000000-0005-0000-0000-000008930000}"/>
    <cellStyle name="Note 4 4 4 8 7" xfId="21927" xr:uid="{00000000-0005-0000-0000-000009930000}"/>
    <cellStyle name="Note 4 4 4 8 8" xfId="25741" xr:uid="{00000000-0005-0000-0000-00000A930000}"/>
    <cellStyle name="Note 4 4 4 8 9" xfId="29628" xr:uid="{00000000-0005-0000-0000-00000B930000}"/>
    <cellStyle name="Note 4 4 4 9" xfId="2070" xr:uid="{00000000-0005-0000-0000-00000C930000}"/>
    <cellStyle name="Note 4 4 4 9 10" xfId="33352" xr:uid="{00000000-0005-0000-0000-00000D930000}"/>
    <cellStyle name="Note 4 4 4 9 11" xfId="37126" xr:uid="{00000000-0005-0000-0000-00000E930000}"/>
    <cellStyle name="Note 4 4 4 9 12" xfId="41116" xr:uid="{00000000-0005-0000-0000-00000F930000}"/>
    <cellStyle name="Note 4 4 4 9 13" xfId="44943" xr:uid="{00000000-0005-0000-0000-000010930000}"/>
    <cellStyle name="Note 4 4 4 9 2" xfId="4059" xr:uid="{00000000-0005-0000-0000-000011930000}"/>
    <cellStyle name="Note 4 4 4 9 2 10" xfId="39110" xr:uid="{00000000-0005-0000-0000-000012930000}"/>
    <cellStyle name="Note 4 4 4 9 2 11" xfId="43120" xr:uid="{00000000-0005-0000-0000-000013930000}"/>
    <cellStyle name="Note 4 4 4 9 2 12" xfId="46881" xr:uid="{00000000-0005-0000-0000-000014930000}"/>
    <cellStyle name="Note 4 4 4 9 2 2" xfId="7922" xr:uid="{00000000-0005-0000-0000-000015930000}"/>
    <cellStyle name="Note 4 4 4 9 2 3" xfId="12359" xr:uid="{00000000-0005-0000-0000-000016930000}"/>
    <cellStyle name="Note 4 4 4 9 2 4" xfId="16204" xr:uid="{00000000-0005-0000-0000-000017930000}"/>
    <cellStyle name="Note 4 4 4 9 2 5" xfId="20053" xr:uid="{00000000-0005-0000-0000-000018930000}"/>
    <cellStyle name="Note 4 4 4 9 2 6" xfId="23967" xr:uid="{00000000-0005-0000-0000-000019930000}"/>
    <cellStyle name="Note 4 4 4 9 2 7" xfId="27803" xr:uid="{00000000-0005-0000-0000-00001A930000}"/>
    <cellStyle name="Note 4 4 4 9 2 8" xfId="31662" xr:uid="{00000000-0005-0000-0000-00001B930000}"/>
    <cellStyle name="Note 4 4 4 9 2 9" xfId="35319" xr:uid="{00000000-0005-0000-0000-00001C930000}"/>
    <cellStyle name="Note 4 4 4 9 3" xfId="5998" xr:uid="{00000000-0005-0000-0000-00001D930000}"/>
    <cellStyle name="Note 4 4 4 9 4" xfId="10358" xr:uid="{00000000-0005-0000-0000-00001E930000}"/>
    <cellStyle name="Note 4 4 4 9 5" xfId="14205" xr:uid="{00000000-0005-0000-0000-00001F930000}"/>
    <cellStyle name="Note 4 4 4 9 6" xfId="18036" xr:uid="{00000000-0005-0000-0000-000020930000}"/>
    <cellStyle name="Note 4 4 4 9 7" xfId="21973" xr:uid="{00000000-0005-0000-0000-000021930000}"/>
    <cellStyle name="Note 4 4 4 9 8" xfId="25788" xr:uid="{00000000-0005-0000-0000-000022930000}"/>
    <cellStyle name="Note 4 4 4 9 9" xfId="29674" xr:uid="{00000000-0005-0000-0000-000023930000}"/>
    <cellStyle name="Note 4 4 5" xfId="537" xr:uid="{00000000-0005-0000-0000-000024930000}"/>
    <cellStyle name="Note 4 4 5 10" xfId="2189" xr:uid="{00000000-0005-0000-0000-000025930000}"/>
    <cellStyle name="Note 4 4 5 10 10" xfId="33490" xr:uid="{00000000-0005-0000-0000-000026930000}"/>
    <cellStyle name="Note 4 4 5 10 11" xfId="37241" xr:uid="{00000000-0005-0000-0000-000027930000}"/>
    <cellStyle name="Note 4 4 5 10 12" xfId="41257" xr:uid="{00000000-0005-0000-0000-000028930000}"/>
    <cellStyle name="Note 4 4 5 10 13" xfId="45052" xr:uid="{00000000-0005-0000-0000-000029930000}"/>
    <cellStyle name="Note 4 4 5 10 2" xfId="4172" xr:uid="{00000000-0005-0000-0000-00002A930000}"/>
    <cellStyle name="Note 4 4 5 10 2 10" xfId="39223" xr:uid="{00000000-0005-0000-0000-00002B930000}"/>
    <cellStyle name="Note 4 4 5 10 2 11" xfId="43233" xr:uid="{00000000-0005-0000-0000-00002C930000}"/>
    <cellStyle name="Note 4 4 5 10 2 12" xfId="46990" xr:uid="{00000000-0005-0000-0000-00002D930000}"/>
    <cellStyle name="Note 4 4 5 10 2 2" xfId="8031" xr:uid="{00000000-0005-0000-0000-00002E930000}"/>
    <cellStyle name="Note 4 4 5 10 2 3" xfId="12471" xr:uid="{00000000-0005-0000-0000-00002F930000}"/>
    <cellStyle name="Note 4 4 5 10 2 4" xfId="16316" xr:uid="{00000000-0005-0000-0000-000030930000}"/>
    <cellStyle name="Note 4 4 5 10 2 5" xfId="20166" xr:uid="{00000000-0005-0000-0000-000031930000}"/>
    <cellStyle name="Note 4 4 5 10 2 6" xfId="24078" xr:uid="{00000000-0005-0000-0000-000032930000}"/>
    <cellStyle name="Note 4 4 5 10 2 7" xfId="27916" xr:uid="{00000000-0005-0000-0000-000033930000}"/>
    <cellStyle name="Note 4 4 5 10 2 8" xfId="31775" xr:uid="{00000000-0005-0000-0000-000034930000}"/>
    <cellStyle name="Note 4 4 5 10 2 9" xfId="35428" xr:uid="{00000000-0005-0000-0000-000035930000}"/>
    <cellStyle name="Note 4 4 5 10 3" xfId="6103" xr:uid="{00000000-0005-0000-0000-000036930000}"/>
    <cellStyle name="Note 4 4 5 10 4" xfId="10506" xr:uid="{00000000-0005-0000-0000-000037930000}"/>
    <cellStyle name="Note 4 4 5 10 5" xfId="14352" xr:uid="{00000000-0005-0000-0000-000038930000}"/>
    <cellStyle name="Note 4 4 5 10 6" xfId="18183" xr:uid="{00000000-0005-0000-0000-000039930000}"/>
    <cellStyle name="Note 4 4 5 10 7" xfId="22122" xr:uid="{00000000-0005-0000-0000-00003A930000}"/>
    <cellStyle name="Note 4 4 5 10 8" xfId="25934" xr:uid="{00000000-0005-0000-0000-00003B930000}"/>
    <cellStyle name="Note 4 4 5 10 9" xfId="29814" xr:uid="{00000000-0005-0000-0000-00003C930000}"/>
    <cellStyle name="Note 4 4 5 11" xfId="2247" xr:uid="{00000000-0005-0000-0000-00003D930000}"/>
    <cellStyle name="Note 4 4 5 11 10" xfId="33548" xr:uid="{00000000-0005-0000-0000-00003E930000}"/>
    <cellStyle name="Note 4 4 5 11 11" xfId="37299" xr:uid="{00000000-0005-0000-0000-00003F930000}"/>
    <cellStyle name="Note 4 4 5 11 12" xfId="41315" xr:uid="{00000000-0005-0000-0000-000040930000}"/>
    <cellStyle name="Note 4 4 5 11 13" xfId="45110" xr:uid="{00000000-0005-0000-0000-000041930000}"/>
    <cellStyle name="Note 4 4 5 11 2" xfId="4230" xr:uid="{00000000-0005-0000-0000-000042930000}"/>
    <cellStyle name="Note 4 4 5 11 2 10" xfId="39281" xr:uid="{00000000-0005-0000-0000-000043930000}"/>
    <cellStyle name="Note 4 4 5 11 2 11" xfId="43291" xr:uid="{00000000-0005-0000-0000-000044930000}"/>
    <cellStyle name="Note 4 4 5 11 2 12" xfId="47048" xr:uid="{00000000-0005-0000-0000-000045930000}"/>
    <cellStyle name="Note 4 4 5 11 2 2" xfId="8089" xr:uid="{00000000-0005-0000-0000-000046930000}"/>
    <cellStyle name="Note 4 4 5 11 2 3" xfId="12529" xr:uid="{00000000-0005-0000-0000-000047930000}"/>
    <cellStyle name="Note 4 4 5 11 2 4" xfId="16374" xr:uid="{00000000-0005-0000-0000-000048930000}"/>
    <cellStyle name="Note 4 4 5 11 2 5" xfId="20224" xr:uid="{00000000-0005-0000-0000-000049930000}"/>
    <cellStyle name="Note 4 4 5 11 2 6" xfId="24136" xr:uid="{00000000-0005-0000-0000-00004A930000}"/>
    <cellStyle name="Note 4 4 5 11 2 7" xfId="27974" xr:uid="{00000000-0005-0000-0000-00004B930000}"/>
    <cellStyle name="Note 4 4 5 11 2 8" xfId="31833" xr:uid="{00000000-0005-0000-0000-00004C930000}"/>
    <cellStyle name="Note 4 4 5 11 2 9" xfId="35486" xr:uid="{00000000-0005-0000-0000-00004D930000}"/>
    <cellStyle name="Note 4 4 5 11 3" xfId="6161" xr:uid="{00000000-0005-0000-0000-00004E930000}"/>
    <cellStyle name="Note 4 4 5 11 4" xfId="10564" xr:uid="{00000000-0005-0000-0000-00004F930000}"/>
    <cellStyle name="Note 4 4 5 11 5" xfId="14410" xr:uid="{00000000-0005-0000-0000-000050930000}"/>
    <cellStyle name="Note 4 4 5 11 6" xfId="18241" xr:uid="{00000000-0005-0000-0000-000051930000}"/>
    <cellStyle name="Note 4 4 5 11 7" xfId="22180" xr:uid="{00000000-0005-0000-0000-000052930000}"/>
    <cellStyle name="Note 4 4 5 11 8" xfId="25992" xr:uid="{00000000-0005-0000-0000-000053930000}"/>
    <cellStyle name="Note 4 4 5 11 9" xfId="29872" xr:uid="{00000000-0005-0000-0000-000054930000}"/>
    <cellStyle name="Note 4 4 5 12" xfId="2302" xr:uid="{00000000-0005-0000-0000-000055930000}"/>
    <cellStyle name="Note 4 4 5 12 10" xfId="33603" xr:uid="{00000000-0005-0000-0000-000056930000}"/>
    <cellStyle name="Note 4 4 5 12 11" xfId="37354" xr:uid="{00000000-0005-0000-0000-000057930000}"/>
    <cellStyle name="Note 4 4 5 12 12" xfId="41370" xr:uid="{00000000-0005-0000-0000-000058930000}"/>
    <cellStyle name="Note 4 4 5 12 13" xfId="45165" xr:uid="{00000000-0005-0000-0000-000059930000}"/>
    <cellStyle name="Note 4 4 5 12 2" xfId="4285" xr:uid="{00000000-0005-0000-0000-00005A930000}"/>
    <cellStyle name="Note 4 4 5 12 2 10" xfId="39336" xr:uid="{00000000-0005-0000-0000-00005B930000}"/>
    <cellStyle name="Note 4 4 5 12 2 11" xfId="43346" xr:uid="{00000000-0005-0000-0000-00005C930000}"/>
    <cellStyle name="Note 4 4 5 12 2 12" xfId="47103" xr:uid="{00000000-0005-0000-0000-00005D930000}"/>
    <cellStyle name="Note 4 4 5 12 2 2" xfId="8144" xr:uid="{00000000-0005-0000-0000-00005E930000}"/>
    <cellStyle name="Note 4 4 5 12 2 3" xfId="12584" xr:uid="{00000000-0005-0000-0000-00005F930000}"/>
    <cellStyle name="Note 4 4 5 12 2 4" xfId="16429" xr:uid="{00000000-0005-0000-0000-000060930000}"/>
    <cellStyle name="Note 4 4 5 12 2 5" xfId="20279" xr:uid="{00000000-0005-0000-0000-000061930000}"/>
    <cellStyle name="Note 4 4 5 12 2 6" xfId="24191" xr:uid="{00000000-0005-0000-0000-000062930000}"/>
    <cellStyle name="Note 4 4 5 12 2 7" xfId="28029" xr:uid="{00000000-0005-0000-0000-000063930000}"/>
    <cellStyle name="Note 4 4 5 12 2 8" xfId="31888" xr:uid="{00000000-0005-0000-0000-000064930000}"/>
    <cellStyle name="Note 4 4 5 12 2 9" xfId="35541" xr:uid="{00000000-0005-0000-0000-000065930000}"/>
    <cellStyle name="Note 4 4 5 12 3" xfId="6216" xr:uid="{00000000-0005-0000-0000-000066930000}"/>
    <cellStyle name="Note 4 4 5 12 4" xfId="10619" xr:uid="{00000000-0005-0000-0000-000067930000}"/>
    <cellStyle name="Note 4 4 5 12 5" xfId="14465" xr:uid="{00000000-0005-0000-0000-000068930000}"/>
    <cellStyle name="Note 4 4 5 12 6" xfId="18296" xr:uid="{00000000-0005-0000-0000-000069930000}"/>
    <cellStyle name="Note 4 4 5 12 7" xfId="22235" xr:uid="{00000000-0005-0000-0000-00006A930000}"/>
    <cellStyle name="Note 4 4 5 12 8" xfId="26047" xr:uid="{00000000-0005-0000-0000-00006B930000}"/>
    <cellStyle name="Note 4 4 5 12 9" xfId="29927" xr:uid="{00000000-0005-0000-0000-00006C930000}"/>
    <cellStyle name="Note 4 4 5 13" xfId="2369" xr:uid="{00000000-0005-0000-0000-00006D930000}"/>
    <cellStyle name="Note 4 4 5 13 10" xfId="33667" xr:uid="{00000000-0005-0000-0000-00006E930000}"/>
    <cellStyle name="Note 4 4 5 13 11" xfId="37421" xr:uid="{00000000-0005-0000-0000-00006F930000}"/>
    <cellStyle name="Note 4 4 5 13 12" xfId="41436" xr:uid="{00000000-0005-0000-0000-000070930000}"/>
    <cellStyle name="Note 4 4 5 13 13" xfId="45229" xr:uid="{00000000-0005-0000-0000-000071930000}"/>
    <cellStyle name="Note 4 4 5 13 2" xfId="4352" xr:uid="{00000000-0005-0000-0000-000072930000}"/>
    <cellStyle name="Note 4 4 5 13 2 10" xfId="39403" xr:uid="{00000000-0005-0000-0000-000073930000}"/>
    <cellStyle name="Note 4 4 5 13 2 11" xfId="43412" xr:uid="{00000000-0005-0000-0000-000074930000}"/>
    <cellStyle name="Note 4 4 5 13 2 12" xfId="47167" xr:uid="{00000000-0005-0000-0000-000075930000}"/>
    <cellStyle name="Note 4 4 5 13 2 2" xfId="8209" xr:uid="{00000000-0005-0000-0000-000076930000}"/>
    <cellStyle name="Note 4 4 5 13 2 3" xfId="12650" xr:uid="{00000000-0005-0000-0000-000077930000}"/>
    <cellStyle name="Note 4 4 5 13 2 4" xfId="16495" xr:uid="{00000000-0005-0000-0000-000078930000}"/>
    <cellStyle name="Note 4 4 5 13 2 5" xfId="20346" xr:uid="{00000000-0005-0000-0000-000079930000}"/>
    <cellStyle name="Note 4 4 5 13 2 6" xfId="24257" xr:uid="{00000000-0005-0000-0000-00007A930000}"/>
    <cellStyle name="Note 4 4 5 13 2 7" xfId="28096" xr:uid="{00000000-0005-0000-0000-00007B930000}"/>
    <cellStyle name="Note 4 4 5 13 2 8" xfId="31954" xr:uid="{00000000-0005-0000-0000-00007C930000}"/>
    <cellStyle name="Note 4 4 5 13 2 9" xfId="35605" xr:uid="{00000000-0005-0000-0000-00007D930000}"/>
    <cellStyle name="Note 4 4 5 13 3" xfId="6265" xr:uid="{00000000-0005-0000-0000-00007E930000}"/>
    <cellStyle name="Note 4 4 5 13 4" xfId="10685" xr:uid="{00000000-0005-0000-0000-00007F930000}"/>
    <cellStyle name="Note 4 4 5 13 5" xfId="14531" xr:uid="{00000000-0005-0000-0000-000080930000}"/>
    <cellStyle name="Note 4 4 5 13 6" xfId="18363" xr:uid="{00000000-0005-0000-0000-000081930000}"/>
    <cellStyle name="Note 4 4 5 13 7" xfId="22301" xr:uid="{00000000-0005-0000-0000-000082930000}"/>
    <cellStyle name="Note 4 4 5 13 8" xfId="26114" xr:uid="{00000000-0005-0000-0000-000083930000}"/>
    <cellStyle name="Note 4 4 5 13 9" xfId="29994" xr:uid="{00000000-0005-0000-0000-000084930000}"/>
    <cellStyle name="Note 4 4 5 14" xfId="2419" xr:uid="{00000000-0005-0000-0000-000085930000}"/>
    <cellStyle name="Note 4 4 5 14 10" xfId="33717" xr:uid="{00000000-0005-0000-0000-000086930000}"/>
    <cellStyle name="Note 4 4 5 14 11" xfId="37471" xr:uid="{00000000-0005-0000-0000-000087930000}"/>
    <cellStyle name="Note 4 4 5 14 12" xfId="41486" xr:uid="{00000000-0005-0000-0000-000088930000}"/>
    <cellStyle name="Note 4 4 5 14 13" xfId="45279" xr:uid="{00000000-0005-0000-0000-000089930000}"/>
    <cellStyle name="Note 4 4 5 14 2" xfId="4402" xr:uid="{00000000-0005-0000-0000-00008A930000}"/>
    <cellStyle name="Note 4 4 5 14 2 10" xfId="39453" xr:uid="{00000000-0005-0000-0000-00008B930000}"/>
    <cellStyle name="Note 4 4 5 14 2 11" xfId="43462" xr:uid="{00000000-0005-0000-0000-00008C930000}"/>
    <cellStyle name="Note 4 4 5 14 2 12" xfId="47217" xr:uid="{00000000-0005-0000-0000-00008D930000}"/>
    <cellStyle name="Note 4 4 5 14 2 2" xfId="8259" xr:uid="{00000000-0005-0000-0000-00008E930000}"/>
    <cellStyle name="Note 4 4 5 14 2 3" xfId="12700" xr:uid="{00000000-0005-0000-0000-00008F930000}"/>
    <cellStyle name="Note 4 4 5 14 2 4" xfId="16545" xr:uid="{00000000-0005-0000-0000-000090930000}"/>
    <cellStyle name="Note 4 4 5 14 2 5" xfId="20396" xr:uid="{00000000-0005-0000-0000-000091930000}"/>
    <cellStyle name="Note 4 4 5 14 2 6" xfId="24307" xr:uid="{00000000-0005-0000-0000-000092930000}"/>
    <cellStyle name="Note 4 4 5 14 2 7" xfId="28146" xr:uid="{00000000-0005-0000-0000-000093930000}"/>
    <cellStyle name="Note 4 4 5 14 2 8" xfId="32004" xr:uid="{00000000-0005-0000-0000-000094930000}"/>
    <cellStyle name="Note 4 4 5 14 2 9" xfId="35655" xr:uid="{00000000-0005-0000-0000-000095930000}"/>
    <cellStyle name="Note 4 4 5 14 3" xfId="6315" xr:uid="{00000000-0005-0000-0000-000096930000}"/>
    <cellStyle name="Note 4 4 5 14 4" xfId="10735" xr:uid="{00000000-0005-0000-0000-000097930000}"/>
    <cellStyle name="Note 4 4 5 14 5" xfId="14581" xr:uid="{00000000-0005-0000-0000-000098930000}"/>
    <cellStyle name="Note 4 4 5 14 6" xfId="18413" xr:uid="{00000000-0005-0000-0000-000099930000}"/>
    <cellStyle name="Note 4 4 5 14 7" xfId="22351" xr:uid="{00000000-0005-0000-0000-00009A930000}"/>
    <cellStyle name="Note 4 4 5 14 8" xfId="26164" xr:uid="{00000000-0005-0000-0000-00009B930000}"/>
    <cellStyle name="Note 4 4 5 14 9" xfId="30043" xr:uid="{00000000-0005-0000-0000-00009C930000}"/>
    <cellStyle name="Note 4 4 5 15" xfId="2473" xr:uid="{00000000-0005-0000-0000-00009D930000}"/>
    <cellStyle name="Note 4 4 5 15 10" xfId="33768" xr:uid="{00000000-0005-0000-0000-00009E930000}"/>
    <cellStyle name="Note 4 4 5 15 11" xfId="37525" xr:uid="{00000000-0005-0000-0000-00009F930000}"/>
    <cellStyle name="Note 4 4 5 15 12" xfId="41539" xr:uid="{00000000-0005-0000-0000-0000A0930000}"/>
    <cellStyle name="Note 4 4 5 15 13" xfId="45330" xr:uid="{00000000-0005-0000-0000-0000A1930000}"/>
    <cellStyle name="Note 4 4 5 15 2" xfId="4455" xr:uid="{00000000-0005-0000-0000-0000A2930000}"/>
    <cellStyle name="Note 4 4 5 15 2 10" xfId="39506" xr:uid="{00000000-0005-0000-0000-0000A3930000}"/>
    <cellStyle name="Note 4 4 5 15 2 11" xfId="43515" xr:uid="{00000000-0005-0000-0000-0000A4930000}"/>
    <cellStyle name="Note 4 4 5 15 2 12" xfId="47268" xr:uid="{00000000-0005-0000-0000-0000A5930000}"/>
    <cellStyle name="Note 4 4 5 15 2 2" xfId="8310" xr:uid="{00000000-0005-0000-0000-0000A6930000}"/>
    <cellStyle name="Note 4 4 5 15 2 3" xfId="12753" xr:uid="{00000000-0005-0000-0000-0000A7930000}"/>
    <cellStyle name="Note 4 4 5 15 2 4" xfId="16596" xr:uid="{00000000-0005-0000-0000-0000A8930000}"/>
    <cellStyle name="Note 4 4 5 15 2 5" xfId="20449" xr:uid="{00000000-0005-0000-0000-0000A9930000}"/>
    <cellStyle name="Note 4 4 5 15 2 6" xfId="24359" xr:uid="{00000000-0005-0000-0000-0000AA930000}"/>
    <cellStyle name="Note 4 4 5 15 2 7" xfId="28199" xr:uid="{00000000-0005-0000-0000-0000AB930000}"/>
    <cellStyle name="Note 4 4 5 15 2 8" xfId="32057" xr:uid="{00000000-0005-0000-0000-0000AC930000}"/>
    <cellStyle name="Note 4 4 5 15 2 9" xfId="35706" xr:uid="{00000000-0005-0000-0000-0000AD930000}"/>
    <cellStyle name="Note 4 4 5 15 3" xfId="6367" xr:uid="{00000000-0005-0000-0000-0000AE930000}"/>
    <cellStyle name="Note 4 4 5 15 4" xfId="10788" xr:uid="{00000000-0005-0000-0000-0000AF930000}"/>
    <cellStyle name="Note 4 4 5 15 5" xfId="14634" xr:uid="{00000000-0005-0000-0000-0000B0930000}"/>
    <cellStyle name="Note 4 4 5 15 6" xfId="18467" xr:uid="{00000000-0005-0000-0000-0000B1930000}"/>
    <cellStyle name="Note 4 4 5 15 7" xfId="22404" xr:uid="{00000000-0005-0000-0000-0000B2930000}"/>
    <cellStyle name="Note 4 4 5 15 8" xfId="26218" xr:uid="{00000000-0005-0000-0000-0000B3930000}"/>
    <cellStyle name="Note 4 4 5 15 9" xfId="30097" xr:uid="{00000000-0005-0000-0000-0000B4930000}"/>
    <cellStyle name="Note 4 4 5 16" xfId="2544" xr:uid="{00000000-0005-0000-0000-0000B5930000}"/>
    <cellStyle name="Note 4 4 5 16 10" xfId="37596" xr:uid="{00000000-0005-0000-0000-0000B6930000}"/>
    <cellStyle name="Note 4 4 5 16 11" xfId="41610" xr:uid="{00000000-0005-0000-0000-0000B7930000}"/>
    <cellStyle name="Note 4 4 5 16 12" xfId="45399" xr:uid="{00000000-0005-0000-0000-0000B8930000}"/>
    <cellStyle name="Note 4 4 5 16 2" xfId="6436" xr:uid="{00000000-0005-0000-0000-0000B9930000}"/>
    <cellStyle name="Note 4 4 5 16 3" xfId="10859" xr:uid="{00000000-0005-0000-0000-0000BA930000}"/>
    <cellStyle name="Note 4 4 5 16 4" xfId="14703" xr:uid="{00000000-0005-0000-0000-0000BB930000}"/>
    <cellStyle name="Note 4 4 5 16 5" xfId="18538" xr:uid="{00000000-0005-0000-0000-0000BC930000}"/>
    <cellStyle name="Note 4 4 5 16 6" xfId="22473" xr:uid="{00000000-0005-0000-0000-0000BD930000}"/>
    <cellStyle name="Note 4 4 5 16 7" xfId="26289" xr:uid="{00000000-0005-0000-0000-0000BE930000}"/>
    <cellStyle name="Note 4 4 5 16 8" xfId="30168" xr:uid="{00000000-0005-0000-0000-0000BF930000}"/>
    <cellStyle name="Note 4 4 5 16 9" xfId="33837" xr:uid="{00000000-0005-0000-0000-0000C0930000}"/>
    <cellStyle name="Note 4 4 5 17" xfId="4512" xr:uid="{00000000-0005-0000-0000-0000C1930000}"/>
    <cellStyle name="Note 4 4 5 18" xfId="8349" xr:uid="{00000000-0005-0000-0000-0000C2930000}"/>
    <cellStyle name="Note 4 4 5 19" xfId="8727" xr:uid="{00000000-0005-0000-0000-0000C3930000}"/>
    <cellStyle name="Note 4 4 5 2" xfId="673" xr:uid="{00000000-0005-0000-0000-0000C4930000}"/>
    <cellStyle name="Note 4 4 5 2 10" xfId="24407" xr:uid="{00000000-0005-0000-0000-0000C5930000}"/>
    <cellStyle name="Note 4 4 5 2 11" xfId="28300" xr:uid="{00000000-0005-0000-0000-0000C6930000}"/>
    <cellStyle name="Note 4 4 5 2 12" xfId="30852" xr:uid="{00000000-0005-0000-0000-0000C7930000}"/>
    <cellStyle name="Note 4 4 5 2 13" xfId="35744" xr:uid="{00000000-0005-0000-0000-0000C8930000}"/>
    <cellStyle name="Note 4 4 5 2 14" xfId="39767" xr:uid="{00000000-0005-0000-0000-0000C9930000}"/>
    <cellStyle name="Note 4 4 5 2 15" xfId="43570" xr:uid="{00000000-0005-0000-0000-0000CA930000}"/>
    <cellStyle name="Note 4 4 5 2 2" xfId="1053" xr:uid="{00000000-0005-0000-0000-0000CB930000}"/>
    <cellStyle name="Note 4 4 5 2 2 10" xfId="28664" xr:uid="{00000000-0005-0000-0000-0000CC930000}"/>
    <cellStyle name="Note 4 4 5 2 2 11" xfId="32350" xr:uid="{00000000-0005-0000-0000-0000CD930000}"/>
    <cellStyle name="Note 4 4 5 2 2 12" xfId="36111" xr:uid="{00000000-0005-0000-0000-0000CE930000}"/>
    <cellStyle name="Note 4 4 5 2 2 13" xfId="40114" xr:uid="{00000000-0005-0000-0000-0000CF930000}"/>
    <cellStyle name="Note 4 4 5 2 2 14" xfId="43937" xr:uid="{00000000-0005-0000-0000-0000D0930000}"/>
    <cellStyle name="Note 4 4 5 2 2 2" xfId="1780" xr:uid="{00000000-0005-0000-0000-0000D1930000}"/>
    <cellStyle name="Note 4 4 5 2 2 2 10" xfId="33067" xr:uid="{00000000-0005-0000-0000-0000D2930000}"/>
    <cellStyle name="Note 4 4 5 2 2 2 11" xfId="36837" xr:uid="{00000000-0005-0000-0000-0000D3930000}"/>
    <cellStyle name="Note 4 4 5 2 2 2 12" xfId="40828" xr:uid="{00000000-0005-0000-0000-0000D4930000}"/>
    <cellStyle name="Note 4 4 5 2 2 2 13" xfId="44659" xr:uid="{00000000-0005-0000-0000-0000D5930000}"/>
    <cellStyle name="Note 4 4 5 2 2 2 2" xfId="3770" xr:uid="{00000000-0005-0000-0000-0000D6930000}"/>
    <cellStyle name="Note 4 4 5 2 2 2 2 10" xfId="38821" xr:uid="{00000000-0005-0000-0000-0000D7930000}"/>
    <cellStyle name="Note 4 4 5 2 2 2 2 11" xfId="42832" xr:uid="{00000000-0005-0000-0000-0000D8930000}"/>
    <cellStyle name="Note 4 4 5 2 2 2 2 12" xfId="46597" xr:uid="{00000000-0005-0000-0000-0000D9930000}"/>
    <cellStyle name="Note 4 4 5 2 2 2 2 2" xfId="7637" xr:uid="{00000000-0005-0000-0000-0000DA930000}"/>
    <cellStyle name="Note 4 4 5 2 2 2 2 3" xfId="12072" xr:uid="{00000000-0005-0000-0000-0000DB930000}"/>
    <cellStyle name="Note 4 4 5 2 2 2 2 4" xfId="15917" xr:uid="{00000000-0005-0000-0000-0000DC930000}"/>
    <cellStyle name="Note 4 4 5 2 2 2 2 5" xfId="19764" xr:uid="{00000000-0005-0000-0000-0000DD930000}"/>
    <cellStyle name="Note 4 4 5 2 2 2 2 6" xfId="23680" xr:uid="{00000000-0005-0000-0000-0000DE930000}"/>
    <cellStyle name="Note 4 4 5 2 2 2 2 7" xfId="27514" xr:uid="{00000000-0005-0000-0000-0000DF930000}"/>
    <cellStyle name="Note 4 4 5 2 2 2 2 8" xfId="31378" xr:uid="{00000000-0005-0000-0000-0000E0930000}"/>
    <cellStyle name="Note 4 4 5 2 2 2 2 9" xfId="35035" xr:uid="{00000000-0005-0000-0000-0000E1930000}"/>
    <cellStyle name="Note 4 4 5 2 2 2 3" xfId="5713" xr:uid="{00000000-0005-0000-0000-0000E2930000}"/>
    <cellStyle name="Note 4 4 5 2 2 2 4" xfId="10071" xr:uid="{00000000-0005-0000-0000-0000E3930000}"/>
    <cellStyle name="Note 4 4 5 2 2 2 5" xfId="13917" xr:uid="{00000000-0005-0000-0000-0000E4930000}"/>
    <cellStyle name="Note 4 4 5 2 2 2 6" xfId="17746" xr:uid="{00000000-0005-0000-0000-0000E5930000}"/>
    <cellStyle name="Note 4 4 5 2 2 2 7" xfId="21685" xr:uid="{00000000-0005-0000-0000-0000E6930000}"/>
    <cellStyle name="Note 4 4 5 2 2 2 8" xfId="25498" xr:uid="{00000000-0005-0000-0000-0000E7930000}"/>
    <cellStyle name="Note 4 4 5 2 2 2 9" xfId="29385" xr:uid="{00000000-0005-0000-0000-0000E8930000}"/>
    <cellStyle name="Note 4 4 5 2 2 3" xfId="3043" xr:uid="{00000000-0005-0000-0000-0000E9930000}"/>
    <cellStyle name="Note 4 4 5 2 2 3 10" xfId="38095" xr:uid="{00000000-0005-0000-0000-0000EA930000}"/>
    <cellStyle name="Note 4 4 5 2 2 3 11" xfId="42107" xr:uid="{00000000-0005-0000-0000-0000EB930000}"/>
    <cellStyle name="Note 4 4 5 2 2 3 12" xfId="45880" xr:uid="{00000000-0005-0000-0000-0000EC930000}"/>
    <cellStyle name="Note 4 4 5 2 2 3 2" xfId="6919" xr:uid="{00000000-0005-0000-0000-0000ED930000}"/>
    <cellStyle name="Note 4 4 5 2 2 3 3" xfId="11348" xr:uid="{00000000-0005-0000-0000-0000EE930000}"/>
    <cellStyle name="Note 4 4 5 2 2 3 4" xfId="15192" xr:uid="{00000000-0005-0000-0000-0000EF930000}"/>
    <cellStyle name="Note 4 4 5 2 2 3 5" xfId="19037" xr:uid="{00000000-0005-0000-0000-0000F0930000}"/>
    <cellStyle name="Note 4 4 5 2 2 3 6" xfId="22959" xr:uid="{00000000-0005-0000-0000-0000F1930000}"/>
    <cellStyle name="Note 4 4 5 2 2 3 7" xfId="26788" xr:uid="{00000000-0005-0000-0000-0000F2930000}"/>
    <cellStyle name="Note 4 4 5 2 2 3 8" xfId="30662" xr:uid="{00000000-0005-0000-0000-0000F3930000}"/>
    <cellStyle name="Note 4 4 5 2 2 3 9" xfId="34318" xr:uid="{00000000-0005-0000-0000-0000F4930000}"/>
    <cellStyle name="Note 4 4 5 2 2 4" xfId="4995" xr:uid="{00000000-0005-0000-0000-0000F5930000}"/>
    <cellStyle name="Note 4 4 5 2 2 5" xfId="9351" xr:uid="{00000000-0005-0000-0000-0000F6930000}"/>
    <cellStyle name="Note 4 4 5 2 2 6" xfId="13191" xr:uid="{00000000-0005-0000-0000-0000F7930000}"/>
    <cellStyle name="Note 4 4 5 2 2 7" xfId="17019" xr:uid="{00000000-0005-0000-0000-0000F8930000}"/>
    <cellStyle name="Note 4 4 5 2 2 8" xfId="20961" xr:uid="{00000000-0005-0000-0000-0000F9930000}"/>
    <cellStyle name="Note 4 4 5 2 2 9" xfId="24775" xr:uid="{00000000-0005-0000-0000-0000FA930000}"/>
    <cellStyle name="Note 4 4 5 2 3" xfId="1427" xr:uid="{00000000-0005-0000-0000-0000FB930000}"/>
    <cellStyle name="Note 4 4 5 2 3 10" xfId="32714" xr:uid="{00000000-0005-0000-0000-0000FC930000}"/>
    <cellStyle name="Note 4 4 5 2 3 11" xfId="36484" xr:uid="{00000000-0005-0000-0000-0000FD930000}"/>
    <cellStyle name="Note 4 4 5 2 3 12" xfId="40475" xr:uid="{00000000-0005-0000-0000-0000FE930000}"/>
    <cellStyle name="Note 4 4 5 2 3 13" xfId="44306" xr:uid="{00000000-0005-0000-0000-0000FF930000}"/>
    <cellStyle name="Note 4 4 5 2 3 2" xfId="3417" xr:uid="{00000000-0005-0000-0000-000000940000}"/>
    <cellStyle name="Note 4 4 5 2 3 2 10" xfId="38468" xr:uid="{00000000-0005-0000-0000-000001940000}"/>
    <cellStyle name="Note 4 4 5 2 3 2 11" xfId="42479" xr:uid="{00000000-0005-0000-0000-000002940000}"/>
    <cellStyle name="Note 4 4 5 2 3 2 12" xfId="46244" xr:uid="{00000000-0005-0000-0000-000003940000}"/>
    <cellStyle name="Note 4 4 5 2 3 2 2" xfId="7284" xr:uid="{00000000-0005-0000-0000-000004940000}"/>
    <cellStyle name="Note 4 4 5 2 3 2 3" xfId="11719" xr:uid="{00000000-0005-0000-0000-000005940000}"/>
    <cellStyle name="Note 4 4 5 2 3 2 4" xfId="15564" xr:uid="{00000000-0005-0000-0000-000006940000}"/>
    <cellStyle name="Note 4 4 5 2 3 2 5" xfId="19411" xr:uid="{00000000-0005-0000-0000-000007940000}"/>
    <cellStyle name="Note 4 4 5 2 3 2 6" xfId="23327" xr:uid="{00000000-0005-0000-0000-000008940000}"/>
    <cellStyle name="Note 4 4 5 2 3 2 7" xfId="27161" xr:uid="{00000000-0005-0000-0000-000009940000}"/>
    <cellStyle name="Note 4 4 5 2 3 2 8" xfId="31029" xr:uid="{00000000-0005-0000-0000-00000A940000}"/>
    <cellStyle name="Note 4 4 5 2 3 2 9" xfId="34682" xr:uid="{00000000-0005-0000-0000-00000B940000}"/>
    <cellStyle name="Note 4 4 5 2 3 3" xfId="5360" xr:uid="{00000000-0005-0000-0000-00000C940000}"/>
    <cellStyle name="Note 4 4 5 2 3 4" xfId="9718" xr:uid="{00000000-0005-0000-0000-00000D940000}"/>
    <cellStyle name="Note 4 4 5 2 3 5" xfId="13564" xr:uid="{00000000-0005-0000-0000-00000E940000}"/>
    <cellStyle name="Note 4 4 5 2 3 6" xfId="17393" xr:uid="{00000000-0005-0000-0000-00000F940000}"/>
    <cellStyle name="Note 4 4 5 2 3 7" xfId="21332" xr:uid="{00000000-0005-0000-0000-000010940000}"/>
    <cellStyle name="Note 4 4 5 2 3 8" xfId="25145" xr:uid="{00000000-0005-0000-0000-000011940000}"/>
    <cellStyle name="Note 4 4 5 2 3 9" xfId="29032" xr:uid="{00000000-0005-0000-0000-000012940000}"/>
    <cellStyle name="Note 4 4 5 2 4" xfId="2676" xr:uid="{00000000-0005-0000-0000-000013940000}"/>
    <cellStyle name="Note 4 4 5 2 4 10" xfId="37728" xr:uid="{00000000-0005-0000-0000-000014940000}"/>
    <cellStyle name="Note 4 4 5 2 4 11" xfId="41742" xr:uid="{00000000-0005-0000-0000-000015940000}"/>
    <cellStyle name="Note 4 4 5 2 4 12" xfId="45527" xr:uid="{00000000-0005-0000-0000-000016940000}"/>
    <cellStyle name="Note 4 4 5 2 4 2" xfId="6564" xr:uid="{00000000-0005-0000-0000-000017940000}"/>
    <cellStyle name="Note 4 4 5 2 4 3" xfId="10988" xr:uid="{00000000-0005-0000-0000-000018940000}"/>
    <cellStyle name="Note 4 4 5 2 4 4" xfId="14832" xr:uid="{00000000-0005-0000-0000-000019940000}"/>
    <cellStyle name="Note 4 4 5 2 4 5" xfId="18670" xr:uid="{00000000-0005-0000-0000-00001A940000}"/>
    <cellStyle name="Note 4 4 5 2 4 6" xfId="22601" xr:uid="{00000000-0005-0000-0000-00001B940000}"/>
    <cellStyle name="Note 4 4 5 2 4 7" xfId="26421" xr:uid="{00000000-0005-0000-0000-00001C940000}"/>
    <cellStyle name="Note 4 4 5 2 4 8" xfId="30300" xr:uid="{00000000-0005-0000-0000-00001D940000}"/>
    <cellStyle name="Note 4 4 5 2 4 9" xfId="33965" xr:uid="{00000000-0005-0000-0000-00001E940000}"/>
    <cellStyle name="Note 4 4 5 2 5" xfId="4640" xr:uid="{00000000-0005-0000-0000-00001F940000}"/>
    <cellStyle name="Note 4 4 5 2 6" xfId="8982" xr:uid="{00000000-0005-0000-0000-000020940000}"/>
    <cellStyle name="Note 4 4 5 2 7" xfId="12819" xr:uid="{00000000-0005-0000-0000-000021940000}"/>
    <cellStyle name="Note 4 4 5 2 8" xfId="16649" xr:uid="{00000000-0005-0000-0000-000022940000}"/>
    <cellStyle name="Note 4 4 5 2 9" xfId="20586" xr:uid="{00000000-0005-0000-0000-000023940000}"/>
    <cellStyle name="Note 4 4 5 20" xfId="8848" xr:uid="{00000000-0005-0000-0000-000024940000}"/>
    <cellStyle name="Note 4 4 5 21" xfId="8588" xr:uid="{00000000-0005-0000-0000-000025940000}"/>
    <cellStyle name="Note 4 4 5 22" xfId="12918" xr:uid="{00000000-0005-0000-0000-000026940000}"/>
    <cellStyle name="Note 4 4 5 23" xfId="8515" xr:uid="{00000000-0005-0000-0000-000027940000}"/>
    <cellStyle name="Note 4 4 5 24" xfId="22016" xr:uid="{00000000-0005-0000-0000-000028940000}"/>
    <cellStyle name="Note 4 4 5 25" xfId="8570" xr:uid="{00000000-0005-0000-0000-000029940000}"/>
    <cellStyle name="Note 4 4 5 26" xfId="30764" xr:uid="{00000000-0005-0000-0000-00002A940000}"/>
    <cellStyle name="Note 4 4 5 27" xfId="16752" xr:uid="{00000000-0005-0000-0000-00002B940000}"/>
    <cellStyle name="Note 4 4 5 28" xfId="39636" xr:uid="{00000000-0005-0000-0000-00002C940000}"/>
    <cellStyle name="Note 4 4 5 29" xfId="41078" xr:uid="{00000000-0005-0000-0000-00002D940000}"/>
    <cellStyle name="Note 4 4 5 3" xfId="612" xr:uid="{00000000-0005-0000-0000-00002E940000}"/>
    <cellStyle name="Note 4 4 5 3 10" xfId="22010" xr:uid="{00000000-0005-0000-0000-00002F940000}"/>
    <cellStyle name="Note 4 4 5 3 11" xfId="28239" xr:uid="{00000000-0005-0000-0000-000030940000}"/>
    <cellStyle name="Note 4 4 5 3 12" xfId="30363" xr:uid="{00000000-0005-0000-0000-000031940000}"/>
    <cellStyle name="Note 4 4 5 3 13" xfId="22045" xr:uid="{00000000-0005-0000-0000-000032940000}"/>
    <cellStyle name="Note 4 4 5 3 14" xfId="39707" xr:uid="{00000000-0005-0000-0000-000033940000}"/>
    <cellStyle name="Note 4 4 5 3 15" xfId="41135" xr:uid="{00000000-0005-0000-0000-000034940000}"/>
    <cellStyle name="Note 4 4 5 3 2" xfId="992" xr:uid="{00000000-0005-0000-0000-000035940000}"/>
    <cellStyle name="Note 4 4 5 3 2 10" xfId="28603" xr:uid="{00000000-0005-0000-0000-000036940000}"/>
    <cellStyle name="Note 4 4 5 3 2 11" xfId="32291" xr:uid="{00000000-0005-0000-0000-000037940000}"/>
    <cellStyle name="Note 4 4 5 3 2 12" xfId="36050" xr:uid="{00000000-0005-0000-0000-000038940000}"/>
    <cellStyle name="Note 4 4 5 3 2 13" xfId="40055" xr:uid="{00000000-0005-0000-0000-000039940000}"/>
    <cellStyle name="Note 4 4 5 3 2 14" xfId="43876" xr:uid="{00000000-0005-0000-0000-00003A940000}"/>
    <cellStyle name="Note 4 4 5 3 2 2" xfId="1721" xr:uid="{00000000-0005-0000-0000-00003B940000}"/>
    <cellStyle name="Note 4 4 5 3 2 2 10" xfId="33008" xr:uid="{00000000-0005-0000-0000-00003C940000}"/>
    <cellStyle name="Note 4 4 5 3 2 2 11" xfId="36778" xr:uid="{00000000-0005-0000-0000-00003D940000}"/>
    <cellStyle name="Note 4 4 5 3 2 2 12" xfId="40769" xr:uid="{00000000-0005-0000-0000-00003E940000}"/>
    <cellStyle name="Note 4 4 5 3 2 2 13" xfId="44600" xr:uid="{00000000-0005-0000-0000-00003F940000}"/>
    <cellStyle name="Note 4 4 5 3 2 2 2" xfId="3711" xr:uid="{00000000-0005-0000-0000-000040940000}"/>
    <cellStyle name="Note 4 4 5 3 2 2 2 10" xfId="38762" xr:uid="{00000000-0005-0000-0000-000041940000}"/>
    <cellStyle name="Note 4 4 5 3 2 2 2 11" xfId="42773" xr:uid="{00000000-0005-0000-0000-000042940000}"/>
    <cellStyle name="Note 4 4 5 3 2 2 2 12" xfId="46538" xr:uid="{00000000-0005-0000-0000-000043940000}"/>
    <cellStyle name="Note 4 4 5 3 2 2 2 2" xfId="7578" xr:uid="{00000000-0005-0000-0000-000044940000}"/>
    <cellStyle name="Note 4 4 5 3 2 2 2 3" xfId="12013" xr:uid="{00000000-0005-0000-0000-000045940000}"/>
    <cellStyle name="Note 4 4 5 3 2 2 2 4" xfId="15858" xr:uid="{00000000-0005-0000-0000-000046940000}"/>
    <cellStyle name="Note 4 4 5 3 2 2 2 5" xfId="19705" xr:uid="{00000000-0005-0000-0000-000047940000}"/>
    <cellStyle name="Note 4 4 5 3 2 2 2 6" xfId="23621" xr:uid="{00000000-0005-0000-0000-000048940000}"/>
    <cellStyle name="Note 4 4 5 3 2 2 2 7" xfId="27455" xr:uid="{00000000-0005-0000-0000-000049940000}"/>
    <cellStyle name="Note 4 4 5 3 2 2 2 8" xfId="31319" xr:uid="{00000000-0005-0000-0000-00004A940000}"/>
    <cellStyle name="Note 4 4 5 3 2 2 2 9" xfId="34976" xr:uid="{00000000-0005-0000-0000-00004B940000}"/>
    <cellStyle name="Note 4 4 5 3 2 2 3" xfId="5654" xr:uid="{00000000-0005-0000-0000-00004C940000}"/>
    <cellStyle name="Note 4 4 5 3 2 2 4" xfId="10012" xr:uid="{00000000-0005-0000-0000-00004D940000}"/>
    <cellStyle name="Note 4 4 5 3 2 2 5" xfId="13858" xr:uid="{00000000-0005-0000-0000-00004E940000}"/>
    <cellStyle name="Note 4 4 5 3 2 2 6" xfId="17687" xr:uid="{00000000-0005-0000-0000-00004F940000}"/>
    <cellStyle name="Note 4 4 5 3 2 2 7" xfId="21626" xr:uid="{00000000-0005-0000-0000-000050940000}"/>
    <cellStyle name="Note 4 4 5 3 2 2 8" xfId="25439" xr:uid="{00000000-0005-0000-0000-000051940000}"/>
    <cellStyle name="Note 4 4 5 3 2 2 9" xfId="29326" xr:uid="{00000000-0005-0000-0000-000052940000}"/>
    <cellStyle name="Note 4 4 5 3 2 3" xfId="2982" xr:uid="{00000000-0005-0000-0000-000053940000}"/>
    <cellStyle name="Note 4 4 5 3 2 3 10" xfId="38034" xr:uid="{00000000-0005-0000-0000-000054940000}"/>
    <cellStyle name="Note 4 4 5 3 2 3 11" xfId="42046" xr:uid="{00000000-0005-0000-0000-000055940000}"/>
    <cellStyle name="Note 4 4 5 3 2 3 12" xfId="45821" xr:uid="{00000000-0005-0000-0000-000056940000}"/>
    <cellStyle name="Note 4 4 5 3 2 3 2" xfId="6860" xr:uid="{00000000-0005-0000-0000-000057940000}"/>
    <cellStyle name="Note 4 4 5 3 2 3 3" xfId="11288" xr:uid="{00000000-0005-0000-0000-000058940000}"/>
    <cellStyle name="Note 4 4 5 3 2 3 4" xfId="15133" xr:uid="{00000000-0005-0000-0000-000059940000}"/>
    <cellStyle name="Note 4 4 5 3 2 3 5" xfId="18976" xr:uid="{00000000-0005-0000-0000-00005A940000}"/>
    <cellStyle name="Note 4 4 5 3 2 3 6" xfId="22900" xr:uid="{00000000-0005-0000-0000-00005B940000}"/>
    <cellStyle name="Note 4 4 5 3 2 3 7" xfId="26727" xr:uid="{00000000-0005-0000-0000-00005C940000}"/>
    <cellStyle name="Note 4 4 5 3 2 3 8" xfId="30601" xr:uid="{00000000-0005-0000-0000-00005D940000}"/>
    <cellStyle name="Note 4 4 5 3 2 3 9" xfId="34259" xr:uid="{00000000-0005-0000-0000-00005E940000}"/>
    <cellStyle name="Note 4 4 5 3 2 4" xfId="4936" xr:uid="{00000000-0005-0000-0000-00005F940000}"/>
    <cellStyle name="Note 4 4 5 3 2 5" xfId="9291" xr:uid="{00000000-0005-0000-0000-000060940000}"/>
    <cellStyle name="Note 4 4 5 3 2 6" xfId="13132" xr:uid="{00000000-0005-0000-0000-000061940000}"/>
    <cellStyle name="Note 4 4 5 3 2 7" xfId="16958" xr:uid="{00000000-0005-0000-0000-000062940000}"/>
    <cellStyle name="Note 4 4 5 3 2 8" xfId="20900" xr:uid="{00000000-0005-0000-0000-000063940000}"/>
    <cellStyle name="Note 4 4 5 3 2 9" xfId="24715" xr:uid="{00000000-0005-0000-0000-000064940000}"/>
    <cellStyle name="Note 4 4 5 3 3" xfId="1368" xr:uid="{00000000-0005-0000-0000-000065940000}"/>
    <cellStyle name="Note 4 4 5 3 3 10" xfId="32655" xr:uid="{00000000-0005-0000-0000-000066940000}"/>
    <cellStyle name="Note 4 4 5 3 3 11" xfId="36425" xr:uid="{00000000-0005-0000-0000-000067940000}"/>
    <cellStyle name="Note 4 4 5 3 3 12" xfId="40416" xr:uid="{00000000-0005-0000-0000-000068940000}"/>
    <cellStyle name="Note 4 4 5 3 3 13" xfId="44247" xr:uid="{00000000-0005-0000-0000-000069940000}"/>
    <cellStyle name="Note 4 4 5 3 3 2" xfId="3358" xr:uid="{00000000-0005-0000-0000-00006A940000}"/>
    <cellStyle name="Note 4 4 5 3 3 2 10" xfId="38409" xr:uid="{00000000-0005-0000-0000-00006B940000}"/>
    <cellStyle name="Note 4 4 5 3 3 2 11" xfId="42420" xr:uid="{00000000-0005-0000-0000-00006C940000}"/>
    <cellStyle name="Note 4 4 5 3 3 2 12" xfId="46185" xr:uid="{00000000-0005-0000-0000-00006D940000}"/>
    <cellStyle name="Note 4 4 5 3 3 2 2" xfId="7225" xr:uid="{00000000-0005-0000-0000-00006E940000}"/>
    <cellStyle name="Note 4 4 5 3 3 2 3" xfId="11660" xr:uid="{00000000-0005-0000-0000-00006F940000}"/>
    <cellStyle name="Note 4 4 5 3 3 2 4" xfId="15505" xr:uid="{00000000-0005-0000-0000-000070940000}"/>
    <cellStyle name="Note 4 4 5 3 3 2 5" xfId="19352" xr:uid="{00000000-0005-0000-0000-000071940000}"/>
    <cellStyle name="Note 4 4 5 3 3 2 6" xfId="23268" xr:uid="{00000000-0005-0000-0000-000072940000}"/>
    <cellStyle name="Note 4 4 5 3 3 2 7" xfId="27102" xr:uid="{00000000-0005-0000-0000-000073940000}"/>
    <cellStyle name="Note 4 4 5 3 3 2 8" xfId="30970" xr:uid="{00000000-0005-0000-0000-000074940000}"/>
    <cellStyle name="Note 4 4 5 3 3 2 9" xfId="34623" xr:uid="{00000000-0005-0000-0000-000075940000}"/>
    <cellStyle name="Note 4 4 5 3 3 3" xfId="5301" xr:uid="{00000000-0005-0000-0000-000076940000}"/>
    <cellStyle name="Note 4 4 5 3 3 4" xfId="9659" xr:uid="{00000000-0005-0000-0000-000077940000}"/>
    <cellStyle name="Note 4 4 5 3 3 5" xfId="13505" xr:uid="{00000000-0005-0000-0000-000078940000}"/>
    <cellStyle name="Note 4 4 5 3 3 6" xfId="17334" xr:uid="{00000000-0005-0000-0000-000079940000}"/>
    <cellStyle name="Note 4 4 5 3 3 7" xfId="21273" xr:uid="{00000000-0005-0000-0000-00007A940000}"/>
    <cellStyle name="Note 4 4 5 3 3 8" xfId="25086" xr:uid="{00000000-0005-0000-0000-00007B940000}"/>
    <cellStyle name="Note 4 4 5 3 3 9" xfId="28973" xr:uid="{00000000-0005-0000-0000-00007C940000}"/>
    <cellStyle name="Note 4 4 5 3 4" xfId="2615" xr:uid="{00000000-0005-0000-0000-00007D940000}"/>
    <cellStyle name="Note 4 4 5 3 4 10" xfId="37667" xr:uid="{00000000-0005-0000-0000-00007E940000}"/>
    <cellStyle name="Note 4 4 5 3 4 11" xfId="41681" xr:uid="{00000000-0005-0000-0000-00007F940000}"/>
    <cellStyle name="Note 4 4 5 3 4 12" xfId="45468" xr:uid="{00000000-0005-0000-0000-000080940000}"/>
    <cellStyle name="Note 4 4 5 3 4 2" xfId="6505" xr:uid="{00000000-0005-0000-0000-000081940000}"/>
    <cellStyle name="Note 4 4 5 3 4 3" xfId="10929" xr:uid="{00000000-0005-0000-0000-000082940000}"/>
    <cellStyle name="Note 4 4 5 3 4 4" xfId="14773" xr:uid="{00000000-0005-0000-0000-000083940000}"/>
    <cellStyle name="Note 4 4 5 3 4 5" xfId="18609" xr:uid="{00000000-0005-0000-0000-000084940000}"/>
    <cellStyle name="Note 4 4 5 3 4 6" xfId="22542" xr:uid="{00000000-0005-0000-0000-000085940000}"/>
    <cellStyle name="Note 4 4 5 3 4 7" xfId="26360" xr:uid="{00000000-0005-0000-0000-000086940000}"/>
    <cellStyle name="Note 4 4 5 3 4 8" xfId="30239" xr:uid="{00000000-0005-0000-0000-000087940000}"/>
    <cellStyle name="Note 4 4 5 3 4 9" xfId="33906" xr:uid="{00000000-0005-0000-0000-000088940000}"/>
    <cellStyle name="Note 4 4 5 3 5" xfId="4581" xr:uid="{00000000-0005-0000-0000-000089940000}"/>
    <cellStyle name="Note 4 4 5 3 6" xfId="8921" xr:uid="{00000000-0005-0000-0000-00008A940000}"/>
    <cellStyle name="Note 4 4 5 3 7" xfId="8692" xr:uid="{00000000-0005-0000-0000-00008B940000}"/>
    <cellStyle name="Note 4 4 5 3 8" xfId="8828" xr:uid="{00000000-0005-0000-0000-00008C940000}"/>
    <cellStyle name="Note 4 4 5 3 9" xfId="20525" xr:uid="{00000000-0005-0000-0000-00008D940000}"/>
    <cellStyle name="Note 4 4 5 30" xfId="47348" xr:uid="{00000000-0005-0000-0000-00008E940000}"/>
    <cellStyle name="Note 4 4 5 31" xfId="47436" xr:uid="{00000000-0005-0000-0000-00008F940000}"/>
    <cellStyle name="Note 4 4 5 32" xfId="47483" xr:uid="{00000000-0005-0000-0000-000090940000}"/>
    <cellStyle name="Note 4 4 5 4" xfId="730" xr:uid="{00000000-0005-0000-0000-000091940000}"/>
    <cellStyle name="Note 4 4 5 4 10" xfId="24463" xr:uid="{00000000-0005-0000-0000-000092940000}"/>
    <cellStyle name="Note 4 4 5 4 11" xfId="28356" xr:uid="{00000000-0005-0000-0000-000093940000}"/>
    <cellStyle name="Note 4 4 5 4 12" xfId="8408" xr:uid="{00000000-0005-0000-0000-000094940000}"/>
    <cellStyle name="Note 4 4 5 4 13" xfId="35801" xr:uid="{00000000-0005-0000-0000-000095940000}"/>
    <cellStyle name="Note 4 4 5 4 14" xfId="39822" xr:uid="{00000000-0005-0000-0000-000096940000}"/>
    <cellStyle name="Note 4 4 5 4 15" xfId="43627" xr:uid="{00000000-0005-0000-0000-000097940000}"/>
    <cellStyle name="Note 4 4 5 4 2" xfId="1109" xr:uid="{00000000-0005-0000-0000-000098940000}"/>
    <cellStyle name="Note 4 4 5 4 2 10" xfId="28719" xr:uid="{00000000-0005-0000-0000-000099940000}"/>
    <cellStyle name="Note 4 4 5 4 2 11" xfId="32406" xr:uid="{00000000-0005-0000-0000-00009A940000}"/>
    <cellStyle name="Note 4 4 5 4 2 12" xfId="36167" xr:uid="{00000000-0005-0000-0000-00009B940000}"/>
    <cellStyle name="Note 4 4 5 4 2 13" xfId="40169" xr:uid="{00000000-0005-0000-0000-00009C940000}"/>
    <cellStyle name="Note 4 4 5 4 2 14" xfId="43993" xr:uid="{00000000-0005-0000-0000-00009D940000}"/>
    <cellStyle name="Note 4 4 5 4 2 2" xfId="1836" xr:uid="{00000000-0005-0000-0000-00009E940000}"/>
    <cellStyle name="Note 4 4 5 4 2 2 10" xfId="33123" xr:uid="{00000000-0005-0000-0000-00009F940000}"/>
    <cellStyle name="Note 4 4 5 4 2 2 11" xfId="36893" xr:uid="{00000000-0005-0000-0000-0000A0940000}"/>
    <cellStyle name="Note 4 4 5 4 2 2 12" xfId="40884" xr:uid="{00000000-0005-0000-0000-0000A1940000}"/>
    <cellStyle name="Note 4 4 5 4 2 2 13" xfId="44715" xr:uid="{00000000-0005-0000-0000-0000A2940000}"/>
    <cellStyle name="Note 4 4 5 4 2 2 2" xfId="3826" xr:uid="{00000000-0005-0000-0000-0000A3940000}"/>
    <cellStyle name="Note 4 4 5 4 2 2 2 10" xfId="38877" xr:uid="{00000000-0005-0000-0000-0000A4940000}"/>
    <cellStyle name="Note 4 4 5 4 2 2 2 11" xfId="42888" xr:uid="{00000000-0005-0000-0000-0000A5940000}"/>
    <cellStyle name="Note 4 4 5 4 2 2 2 12" xfId="46653" xr:uid="{00000000-0005-0000-0000-0000A6940000}"/>
    <cellStyle name="Note 4 4 5 4 2 2 2 2" xfId="7693" xr:uid="{00000000-0005-0000-0000-0000A7940000}"/>
    <cellStyle name="Note 4 4 5 4 2 2 2 3" xfId="12128" xr:uid="{00000000-0005-0000-0000-0000A8940000}"/>
    <cellStyle name="Note 4 4 5 4 2 2 2 4" xfId="15973" xr:uid="{00000000-0005-0000-0000-0000A9940000}"/>
    <cellStyle name="Note 4 4 5 4 2 2 2 5" xfId="19820" xr:uid="{00000000-0005-0000-0000-0000AA940000}"/>
    <cellStyle name="Note 4 4 5 4 2 2 2 6" xfId="23736" xr:uid="{00000000-0005-0000-0000-0000AB940000}"/>
    <cellStyle name="Note 4 4 5 4 2 2 2 7" xfId="27570" xr:uid="{00000000-0005-0000-0000-0000AC940000}"/>
    <cellStyle name="Note 4 4 5 4 2 2 2 8" xfId="31434" xr:uid="{00000000-0005-0000-0000-0000AD940000}"/>
    <cellStyle name="Note 4 4 5 4 2 2 2 9" xfId="35091" xr:uid="{00000000-0005-0000-0000-0000AE940000}"/>
    <cellStyle name="Note 4 4 5 4 2 2 3" xfId="5769" xr:uid="{00000000-0005-0000-0000-0000AF940000}"/>
    <cellStyle name="Note 4 4 5 4 2 2 4" xfId="10127" xr:uid="{00000000-0005-0000-0000-0000B0940000}"/>
    <cellStyle name="Note 4 4 5 4 2 2 5" xfId="13973" xr:uid="{00000000-0005-0000-0000-0000B1940000}"/>
    <cellStyle name="Note 4 4 5 4 2 2 6" xfId="17802" xr:uid="{00000000-0005-0000-0000-0000B2940000}"/>
    <cellStyle name="Note 4 4 5 4 2 2 7" xfId="21741" xr:uid="{00000000-0005-0000-0000-0000B3940000}"/>
    <cellStyle name="Note 4 4 5 4 2 2 8" xfId="25554" xr:uid="{00000000-0005-0000-0000-0000B4940000}"/>
    <cellStyle name="Note 4 4 5 4 2 2 9" xfId="29441" xr:uid="{00000000-0005-0000-0000-0000B5940000}"/>
    <cellStyle name="Note 4 4 5 4 2 3" xfId="3099" xr:uid="{00000000-0005-0000-0000-0000B6940000}"/>
    <cellStyle name="Note 4 4 5 4 2 3 10" xfId="38151" xr:uid="{00000000-0005-0000-0000-0000B7940000}"/>
    <cellStyle name="Note 4 4 5 4 2 3 11" xfId="42163" xr:uid="{00000000-0005-0000-0000-0000B8940000}"/>
    <cellStyle name="Note 4 4 5 4 2 3 12" xfId="45936" xr:uid="{00000000-0005-0000-0000-0000B9940000}"/>
    <cellStyle name="Note 4 4 5 4 2 3 2" xfId="6975" xr:uid="{00000000-0005-0000-0000-0000BA940000}"/>
    <cellStyle name="Note 4 4 5 4 2 3 3" xfId="11404" xr:uid="{00000000-0005-0000-0000-0000BB940000}"/>
    <cellStyle name="Note 4 4 5 4 2 3 4" xfId="15248" xr:uid="{00000000-0005-0000-0000-0000BC940000}"/>
    <cellStyle name="Note 4 4 5 4 2 3 5" xfId="19093" xr:uid="{00000000-0005-0000-0000-0000BD940000}"/>
    <cellStyle name="Note 4 4 5 4 2 3 6" xfId="23015" xr:uid="{00000000-0005-0000-0000-0000BE940000}"/>
    <cellStyle name="Note 4 4 5 4 2 3 7" xfId="26844" xr:uid="{00000000-0005-0000-0000-0000BF940000}"/>
    <cellStyle name="Note 4 4 5 4 2 3 8" xfId="30717" xr:uid="{00000000-0005-0000-0000-0000C0940000}"/>
    <cellStyle name="Note 4 4 5 4 2 3 9" xfId="34374" xr:uid="{00000000-0005-0000-0000-0000C1940000}"/>
    <cellStyle name="Note 4 4 5 4 2 4" xfId="5051" xr:uid="{00000000-0005-0000-0000-0000C2940000}"/>
    <cellStyle name="Note 4 4 5 4 2 5" xfId="9407" xr:uid="{00000000-0005-0000-0000-0000C3940000}"/>
    <cellStyle name="Note 4 4 5 4 2 6" xfId="13247" xr:uid="{00000000-0005-0000-0000-0000C4940000}"/>
    <cellStyle name="Note 4 4 5 4 2 7" xfId="17075" xr:uid="{00000000-0005-0000-0000-0000C5940000}"/>
    <cellStyle name="Note 4 4 5 4 2 8" xfId="21017" xr:uid="{00000000-0005-0000-0000-0000C6940000}"/>
    <cellStyle name="Note 4 4 5 4 2 9" xfId="24831" xr:uid="{00000000-0005-0000-0000-0000C7940000}"/>
    <cellStyle name="Note 4 4 5 4 3" xfId="1483" xr:uid="{00000000-0005-0000-0000-0000C8940000}"/>
    <cellStyle name="Note 4 4 5 4 3 10" xfId="32770" xr:uid="{00000000-0005-0000-0000-0000C9940000}"/>
    <cellStyle name="Note 4 4 5 4 3 11" xfId="36540" xr:uid="{00000000-0005-0000-0000-0000CA940000}"/>
    <cellStyle name="Note 4 4 5 4 3 12" xfId="40531" xr:uid="{00000000-0005-0000-0000-0000CB940000}"/>
    <cellStyle name="Note 4 4 5 4 3 13" xfId="44362" xr:uid="{00000000-0005-0000-0000-0000CC940000}"/>
    <cellStyle name="Note 4 4 5 4 3 2" xfId="3473" xr:uid="{00000000-0005-0000-0000-0000CD940000}"/>
    <cellStyle name="Note 4 4 5 4 3 2 10" xfId="38524" xr:uid="{00000000-0005-0000-0000-0000CE940000}"/>
    <cellStyle name="Note 4 4 5 4 3 2 11" xfId="42535" xr:uid="{00000000-0005-0000-0000-0000CF940000}"/>
    <cellStyle name="Note 4 4 5 4 3 2 12" xfId="46300" xr:uid="{00000000-0005-0000-0000-0000D0940000}"/>
    <cellStyle name="Note 4 4 5 4 3 2 2" xfId="7340" xr:uid="{00000000-0005-0000-0000-0000D1940000}"/>
    <cellStyle name="Note 4 4 5 4 3 2 3" xfId="11775" xr:uid="{00000000-0005-0000-0000-0000D2940000}"/>
    <cellStyle name="Note 4 4 5 4 3 2 4" xfId="15620" xr:uid="{00000000-0005-0000-0000-0000D3940000}"/>
    <cellStyle name="Note 4 4 5 4 3 2 5" xfId="19467" xr:uid="{00000000-0005-0000-0000-0000D4940000}"/>
    <cellStyle name="Note 4 4 5 4 3 2 6" xfId="23383" xr:uid="{00000000-0005-0000-0000-0000D5940000}"/>
    <cellStyle name="Note 4 4 5 4 3 2 7" xfId="27217" xr:uid="{00000000-0005-0000-0000-0000D6940000}"/>
    <cellStyle name="Note 4 4 5 4 3 2 8" xfId="31084" xr:uid="{00000000-0005-0000-0000-0000D7940000}"/>
    <cellStyle name="Note 4 4 5 4 3 2 9" xfId="34738" xr:uid="{00000000-0005-0000-0000-0000D8940000}"/>
    <cellStyle name="Note 4 4 5 4 3 3" xfId="5416" xr:uid="{00000000-0005-0000-0000-0000D9940000}"/>
    <cellStyle name="Note 4 4 5 4 3 4" xfId="9774" xr:uid="{00000000-0005-0000-0000-0000DA940000}"/>
    <cellStyle name="Note 4 4 5 4 3 5" xfId="13620" xr:uid="{00000000-0005-0000-0000-0000DB940000}"/>
    <cellStyle name="Note 4 4 5 4 3 6" xfId="17449" xr:uid="{00000000-0005-0000-0000-0000DC940000}"/>
    <cellStyle name="Note 4 4 5 4 3 7" xfId="21388" xr:uid="{00000000-0005-0000-0000-0000DD940000}"/>
    <cellStyle name="Note 4 4 5 4 3 8" xfId="25201" xr:uid="{00000000-0005-0000-0000-0000DE940000}"/>
    <cellStyle name="Note 4 4 5 4 3 9" xfId="29088" xr:uid="{00000000-0005-0000-0000-0000DF940000}"/>
    <cellStyle name="Note 4 4 5 4 4" xfId="2733" xr:uid="{00000000-0005-0000-0000-0000E0940000}"/>
    <cellStyle name="Note 4 4 5 4 4 10" xfId="37785" xr:uid="{00000000-0005-0000-0000-0000E1940000}"/>
    <cellStyle name="Note 4 4 5 4 4 11" xfId="41799" xr:uid="{00000000-0005-0000-0000-0000E2940000}"/>
    <cellStyle name="Note 4 4 5 4 4 12" xfId="45583" xr:uid="{00000000-0005-0000-0000-0000E3940000}"/>
    <cellStyle name="Note 4 4 5 4 4 2" xfId="6620" xr:uid="{00000000-0005-0000-0000-0000E4940000}"/>
    <cellStyle name="Note 4 4 5 4 4 3" xfId="11044" xr:uid="{00000000-0005-0000-0000-0000E5940000}"/>
    <cellStyle name="Note 4 4 5 4 4 4" xfId="14889" xr:uid="{00000000-0005-0000-0000-0000E6940000}"/>
    <cellStyle name="Note 4 4 5 4 4 5" xfId="18727" xr:uid="{00000000-0005-0000-0000-0000E7940000}"/>
    <cellStyle name="Note 4 4 5 4 4 6" xfId="22658" xr:uid="{00000000-0005-0000-0000-0000E8940000}"/>
    <cellStyle name="Note 4 4 5 4 4 7" xfId="26478" xr:uid="{00000000-0005-0000-0000-0000E9940000}"/>
    <cellStyle name="Note 4 4 5 4 4 8" xfId="30357" xr:uid="{00000000-0005-0000-0000-0000EA940000}"/>
    <cellStyle name="Note 4 4 5 4 4 9" xfId="34021" xr:uid="{00000000-0005-0000-0000-0000EB940000}"/>
    <cellStyle name="Note 4 4 5 4 5" xfId="4696" xr:uid="{00000000-0005-0000-0000-0000EC940000}"/>
    <cellStyle name="Note 4 4 5 4 6" xfId="9038" xr:uid="{00000000-0005-0000-0000-0000ED940000}"/>
    <cellStyle name="Note 4 4 5 4 7" xfId="12876" xr:uid="{00000000-0005-0000-0000-0000EE940000}"/>
    <cellStyle name="Note 4 4 5 4 8" xfId="16706" xr:uid="{00000000-0005-0000-0000-0000EF940000}"/>
    <cellStyle name="Note 4 4 5 4 9" xfId="20643" xr:uid="{00000000-0005-0000-0000-0000F0940000}"/>
    <cellStyle name="Note 4 4 5 5" xfId="873" xr:uid="{00000000-0005-0000-0000-0000F1940000}"/>
    <cellStyle name="Note 4 4 5 5 10" xfId="24597" xr:uid="{00000000-0005-0000-0000-0000F2940000}"/>
    <cellStyle name="Note 4 4 5 5 11" xfId="28487" xr:uid="{00000000-0005-0000-0000-0000F3940000}"/>
    <cellStyle name="Note 4 4 5 5 12" xfId="32174" xr:uid="{00000000-0005-0000-0000-0000F4940000}"/>
    <cellStyle name="Note 4 4 5 5 13" xfId="35931" xr:uid="{00000000-0005-0000-0000-0000F5940000}"/>
    <cellStyle name="Note 4 4 5 5 14" xfId="39941" xr:uid="{00000000-0005-0000-0000-0000F6940000}"/>
    <cellStyle name="Note 4 4 5 5 15" xfId="43757" xr:uid="{00000000-0005-0000-0000-0000F7940000}"/>
    <cellStyle name="Note 4 4 5 5 2" xfId="1210" xr:uid="{00000000-0005-0000-0000-0000F8940000}"/>
    <cellStyle name="Note 4 4 5 5 2 10" xfId="28818" xr:uid="{00000000-0005-0000-0000-0000F9940000}"/>
    <cellStyle name="Note 4 4 5 5 2 11" xfId="32502" xr:uid="{00000000-0005-0000-0000-0000FA940000}"/>
    <cellStyle name="Note 4 4 5 5 2 12" xfId="36268" xr:uid="{00000000-0005-0000-0000-0000FB940000}"/>
    <cellStyle name="Note 4 4 5 5 2 13" xfId="40261" xr:uid="{00000000-0005-0000-0000-0000FC940000}"/>
    <cellStyle name="Note 4 4 5 5 2 14" xfId="44094" xr:uid="{00000000-0005-0000-0000-0000FD940000}"/>
    <cellStyle name="Note 4 4 5 5 2 2" xfId="1932" xr:uid="{00000000-0005-0000-0000-0000FE940000}"/>
    <cellStyle name="Note 4 4 5 5 2 2 10" xfId="33219" xr:uid="{00000000-0005-0000-0000-0000FF940000}"/>
    <cellStyle name="Note 4 4 5 5 2 2 11" xfId="36989" xr:uid="{00000000-0005-0000-0000-000000950000}"/>
    <cellStyle name="Note 4 4 5 5 2 2 12" xfId="40980" xr:uid="{00000000-0005-0000-0000-000001950000}"/>
    <cellStyle name="Note 4 4 5 5 2 2 13" xfId="44811" xr:uid="{00000000-0005-0000-0000-000002950000}"/>
    <cellStyle name="Note 4 4 5 5 2 2 2" xfId="3922" xr:uid="{00000000-0005-0000-0000-000003950000}"/>
    <cellStyle name="Note 4 4 5 5 2 2 2 10" xfId="38973" xr:uid="{00000000-0005-0000-0000-000004950000}"/>
    <cellStyle name="Note 4 4 5 5 2 2 2 11" xfId="42984" xr:uid="{00000000-0005-0000-0000-000005950000}"/>
    <cellStyle name="Note 4 4 5 5 2 2 2 12" xfId="46749" xr:uid="{00000000-0005-0000-0000-000006950000}"/>
    <cellStyle name="Note 4 4 5 5 2 2 2 2" xfId="7789" xr:uid="{00000000-0005-0000-0000-000007950000}"/>
    <cellStyle name="Note 4 4 5 5 2 2 2 3" xfId="12224" xr:uid="{00000000-0005-0000-0000-000008950000}"/>
    <cellStyle name="Note 4 4 5 5 2 2 2 4" xfId="16069" xr:uid="{00000000-0005-0000-0000-000009950000}"/>
    <cellStyle name="Note 4 4 5 5 2 2 2 5" xfId="19916" xr:uid="{00000000-0005-0000-0000-00000A950000}"/>
    <cellStyle name="Note 4 4 5 5 2 2 2 6" xfId="23832" xr:uid="{00000000-0005-0000-0000-00000B950000}"/>
    <cellStyle name="Note 4 4 5 5 2 2 2 7" xfId="27666" xr:uid="{00000000-0005-0000-0000-00000C950000}"/>
    <cellStyle name="Note 4 4 5 5 2 2 2 8" xfId="31527" xr:uid="{00000000-0005-0000-0000-00000D950000}"/>
    <cellStyle name="Note 4 4 5 5 2 2 2 9" xfId="35187" xr:uid="{00000000-0005-0000-0000-00000E950000}"/>
    <cellStyle name="Note 4 4 5 5 2 2 3" xfId="5865" xr:uid="{00000000-0005-0000-0000-00000F950000}"/>
    <cellStyle name="Note 4 4 5 5 2 2 4" xfId="10223" xr:uid="{00000000-0005-0000-0000-000010950000}"/>
    <cellStyle name="Note 4 4 5 5 2 2 5" xfId="14069" xr:uid="{00000000-0005-0000-0000-000011950000}"/>
    <cellStyle name="Note 4 4 5 5 2 2 6" xfId="17898" xr:uid="{00000000-0005-0000-0000-000012950000}"/>
    <cellStyle name="Note 4 4 5 5 2 2 7" xfId="21837" xr:uid="{00000000-0005-0000-0000-000013950000}"/>
    <cellStyle name="Note 4 4 5 5 2 2 8" xfId="25650" xr:uid="{00000000-0005-0000-0000-000014950000}"/>
    <cellStyle name="Note 4 4 5 5 2 2 9" xfId="29537" xr:uid="{00000000-0005-0000-0000-000015950000}"/>
    <cellStyle name="Note 4 4 5 5 2 3" xfId="3200" xr:uid="{00000000-0005-0000-0000-000016950000}"/>
    <cellStyle name="Note 4 4 5 5 2 3 10" xfId="38252" xr:uid="{00000000-0005-0000-0000-000017950000}"/>
    <cellStyle name="Note 4 4 5 5 2 3 11" xfId="42263" xr:uid="{00000000-0005-0000-0000-000018950000}"/>
    <cellStyle name="Note 4 4 5 5 2 3 12" xfId="46032" xr:uid="{00000000-0005-0000-0000-000019950000}"/>
    <cellStyle name="Note 4 4 5 5 2 3 2" xfId="7072" xr:uid="{00000000-0005-0000-0000-00001A950000}"/>
    <cellStyle name="Note 4 4 5 5 2 3 3" xfId="11504" xr:uid="{00000000-0005-0000-0000-00001B950000}"/>
    <cellStyle name="Note 4 4 5 5 2 3 4" xfId="15348" xr:uid="{00000000-0005-0000-0000-00001C950000}"/>
    <cellStyle name="Note 4 4 5 5 2 3 5" xfId="19194" xr:uid="{00000000-0005-0000-0000-00001D950000}"/>
    <cellStyle name="Note 4 4 5 5 2 3 6" xfId="23113" xr:uid="{00000000-0005-0000-0000-00001E950000}"/>
    <cellStyle name="Note 4 4 5 5 2 3 7" xfId="26945" xr:uid="{00000000-0005-0000-0000-00001F950000}"/>
    <cellStyle name="Note 4 4 5 5 2 3 8" xfId="30815" xr:uid="{00000000-0005-0000-0000-000020950000}"/>
    <cellStyle name="Note 4 4 5 5 2 3 9" xfId="34470" xr:uid="{00000000-0005-0000-0000-000021950000}"/>
    <cellStyle name="Note 4 4 5 5 2 4" xfId="5148" xr:uid="{00000000-0005-0000-0000-000022950000}"/>
    <cellStyle name="Note 4 4 5 5 2 5" xfId="9504" xr:uid="{00000000-0005-0000-0000-000023950000}"/>
    <cellStyle name="Note 4 4 5 5 2 6" xfId="13348" xr:uid="{00000000-0005-0000-0000-000024950000}"/>
    <cellStyle name="Note 4 4 5 5 2 7" xfId="17176" xr:uid="{00000000-0005-0000-0000-000025950000}"/>
    <cellStyle name="Note 4 4 5 5 2 8" xfId="21118" xr:uid="{00000000-0005-0000-0000-000026950000}"/>
    <cellStyle name="Note 4 4 5 5 2 9" xfId="24929" xr:uid="{00000000-0005-0000-0000-000027950000}"/>
    <cellStyle name="Note 4 4 5 5 3" xfId="1604" xr:uid="{00000000-0005-0000-0000-000028950000}"/>
    <cellStyle name="Note 4 4 5 5 3 10" xfId="32891" xr:uid="{00000000-0005-0000-0000-000029950000}"/>
    <cellStyle name="Note 4 4 5 5 3 11" xfId="36661" xr:uid="{00000000-0005-0000-0000-00002A950000}"/>
    <cellStyle name="Note 4 4 5 5 3 12" xfId="40652" xr:uid="{00000000-0005-0000-0000-00002B950000}"/>
    <cellStyle name="Note 4 4 5 5 3 13" xfId="44483" xr:uid="{00000000-0005-0000-0000-00002C950000}"/>
    <cellStyle name="Note 4 4 5 5 3 2" xfId="3594" xr:uid="{00000000-0005-0000-0000-00002D950000}"/>
    <cellStyle name="Note 4 4 5 5 3 2 10" xfId="38645" xr:uid="{00000000-0005-0000-0000-00002E950000}"/>
    <cellStyle name="Note 4 4 5 5 3 2 11" xfId="42656" xr:uid="{00000000-0005-0000-0000-00002F950000}"/>
    <cellStyle name="Note 4 4 5 5 3 2 12" xfId="46421" xr:uid="{00000000-0005-0000-0000-000030950000}"/>
    <cellStyle name="Note 4 4 5 5 3 2 2" xfId="7461" xr:uid="{00000000-0005-0000-0000-000031950000}"/>
    <cellStyle name="Note 4 4 5 5 3 2 3" xfId="11896" xr:uid="{00000000-0005-0000-0000-000032950000}"/>
    <cellStyle name="Note 4 4 5 5 3 2 4" xfId="15741" xr:uid="{00000000-0005-0000-0000-000033950000}"/>
    <cellStyle name="Note 4 4 5 5 3 2 5" xfId="19588" xr:uid="{00000000-0005-0000-0000-000034950000}"/>
    <cellStyle name="Note 4 4 5 5 3 2 6" xfId="23504" xr:uid="{00000000-0005-0000-0000-000035950000}"/>
    <cellStyle name="Note 4 4 5 5 3 2 7" xfId="27338" xr:uid="{00000000-0005-0000-0000-000036950000}"/>
    <cellStyle name="Note 4 4 5 5 3 2 8" xfId="31203" xr:uid="{00000000-0005-0000-0000-000037950000}"/>
    <cellStyle name="Note 4 4 5 5 3 2 9" xfId="34859" xr:uid="{00000000-0005-0000-0000-000038950000}"/>
    <cellStyle name="Note 4 4 5 5 3 3" xfId="5537" xr:uid="{00000000-0005-0000-0000-000039950000}"/>
    <cellStyle name="Note 4 4 5 5 3 4" xfId="9895" xr:uid="{00000000-0005-0000-0000-00003A950000}"/>
    <cellStyle name="Note 4 4 5 5 3 5" xfId="13741" xr:uid="{00000000-0005-0000-0000-00003B950000}"/>
    <cellStyle name="Note 4 4 5 5 3 6" xfId="17570" xr:uid="{00000000-0005-0000-0000-00003C950000}"/>
    <cellStyle name="Note 4 4 5 5 3 7" xfId="21509" xr:uid="{00000000-0005-0000-0000-00003D950000}"/>
    <cellStyle name="Note 4 4 5 5 3 8" xfId="25322" xr:uid="{00000000-0005-0000-0000-00003E950000}"/>
    <cellStyle name="Note 4 4 5 5 3 9" xfId="29209" xr:uid="{00000000-0005-0000-0000-00003F950000}"/>
    <cellStyle name="Note 4 4 5 5 4" xfId="2863" xr:uid="{00000000-0005-0000-0000-000040950000}"/>
    <cellStyle name="Note 4 4 5 5 4 10" xfId="37915" xr:uid="{00000000-0005-0000-0000-000041950000}"/>
    <cellStyle name="Note 4 4 5 5 4 11" xfId="41927" xr:uid="{00000000-0005-0000-0000-000042950000}"/>
    <cellStyle name="Note 4 4 5 5 4 12" xfId="45704" xr:uid="{00000000-0005-0000-0000-000043950000}"/>
    <cellStyle name="Note 4 4 5 5 4 2" xfId="6743" xr:uid="{00000000-0005-0000-0000-000044950000}"/>
    <cellStyle name="Note 4 4 5 5 4 3" xfId="11170" xr:uid="{00000000-0005-0000-0000-000045950000}"/>
    <cellStyle name="Note 4 4 5 5 4 4" xfId="15015" xr:uid="{00000000-0005-0000-0000-000046950000}"/>
    <cellStyle name="Note 4 4 5 5 4 5" xfId="18857" xr:uid="{00000000-0005-0000-0000-000047950000}"/>
    <cellStyle name="Note 4 4 5 5 4 6" xfId="22783" xr:uid="{00000000-0005-0000-0000-000048950000}"/>
    <cellStyle name="Note 4 4 5 5 4 7" xfId="26608" xr:uid="{00000000-0005-0000-0000-000049950000}"/>
    <cellStyle name="Note 4 4 5 5 4 8" xfId="30484" xr:uid="{00000000-0005-0000-0000-00004A950000}"/>
    <cellStyle name="Note 4 4 5 5 4 9" xfId="34142" xr:uid="{00000000-0005-0000-0000-00004B950000}"/>
    <cellStyle name="Note 4 4 5 5 5" xfId="4819" xr:uid="{00000000-0005-0000-0000-00004C950000}"/>
    <cellStyle name="Note 4 4 5 5 6" xfId="9173" xr:uid="{00000000-0005-0000-0000-00004D950000}"/>
    <cellStyle name="Note 4 4 5 5 7" xfId="13014" xr:uid="{00000000-0005-0000-0000-00004E950000}"/>
    <cellStyle name="Note 4 4 5 5 8" xfId="16839" xr:uid="{00000000-0005-0000-0000-00004F950000}"/>
    <cellStyle name="Note 4 4 5 5 9" xfId="20781" xr:uid="{00000000-0005-0000-0000-000050950000}"/>
    <cellStyle name="Note 4 4 5 6" xfId="919" xr:uid="{00000000-0005-0000-0000-000051950000}"/>
    <cellStyle name="Note 4 4 5 6 10" xfId="28531" xr:uid="{00000000-0005-0000-0000-000052950000}"/>
    <cellStyle name="Note 4 4 5 6 11" xfId="32220" xr:uid="{00000000-0005-0000-0000-000053950000}"/>
    <cellStyle name="Note 4 4 5 6 12" xfId="35977" xr:uid="{00000000-0005-0000-0000-000054950000}"/>
    <cellStyle name="Note 4 4 5 6 13" xfId="39985" xr:uid="{00000000-0005-0000-0000-000055950000}"/>
    <cellStyle name="Note 4 4 5 6 14" xfId="43803" xr:uid="{00000000-0005-0000-0000-000056950000}"/>
    <cellStyle name="Note 4 4 5 6 2" xfId="1650" xr:uid="{00000000-0005-0000-0000-000057950000}"/>
    <cellStyle name="Note 4 4 5 6 2 10" xfId="32937" xr:uid="{00000000-0005-0000-0000-000058950000}"/>
    <cellStyle name="Note 4 4 5 6 2 11" xfId="36707" xr:uid="{00000000-0005-0000-0000-000059950000}"/>
    <cellStyle name="Note 4 4 5 6 2 12" xfId="40698" xr:uid="{00000000-0005-0000-0000-00005A950000}"/>
    <cellStyle name="Note 4 4 5 6 2 13" xfId="44529" xr:uid="{00000000-0005-0000-0000-00005B950000}"/>
    <cellStyle name="Note 4 4 5 6 2 2" xfId="3640" xr:uid="{00000000-0005-0000-0000-00005C950000}"/>
    <cellStyle name="Note 4 4 5 6 2 2 10" xfId="38691" xr:uid="{00000000-0005-0000-0000-00005D950000}"/>
    <cellStyle name="Note 4 4 5 6 2 2 11" xfId="42702" xr:uid="{00000000-0005-0000-0000-00005E950000}"/>
    <cellStyle name="Note 4 4 5 6 2 2 12" xfId="46467" xr:uid="{00000000-0005-0000-0000-00005F950000}"/>
    <cellStyle name="Note 4 4 5 6 2 2 2" xfId="7507" xr:uid="{00000000-0005-0000-0000-000060950000}"/>
    <cellStyle name="Note 4 4 5 6 2 2 3" xfId="11942" xr:uid="{00000000-0005-0000-0000-000061950000}"/>
    <cellStyle name="Note 4 4 5 6 2 2 4" xfId="15787" xr:uid="{00000000-0005-0000-0000-000062950000}"/>
    <cellStyle name="Note 4 4 5 6 2 2 5" xfId="19634" xr:uid="{00000000-0005-0000-0000-000063950000}"/>
    <cellStyle name="Note 4 4 5 6 2 2 6" xfId="23550" xr:uid="{00000000-0005-0000-0000-000064950000}"/>
    <cellStyle name="Note 4 4 5 6 2 2 7" xfId="27384" xr:uid="{00000000-0005-0000-0000-000065950000}"/>
    <cellStyle name="Note 4 4 5 6 2 2 8" xfId="31248" xr:uid="{00000000-0005-0000-0000-000066950000}"/>
    <cellStyle name="Note 4 4 5 6 2 2 9" xfId="34905" xr:uid="{00000000-0005-0000-0000-000067950000}"/>
    <cellStyle name="Note 4 4 5 6 2 3" xfId="5583" xr:uid="{00000000-0005-0000-0000-000068950000}"/>
    <cellStyle name="Note 4 4 5 6 2 4" xfId="9941" xr:uid="{00000000-0005-0000-0000-000069950000}"/>
    <cellStyle name="Note 4 4 5 6 2 5" xfId="13787" xr:uid="{00000000-0005-0000-0000-00006A950000}"/>
    <cellStyle name="Note 4 4 5 6 2 6" xfId="17616" xr:uid="{00000000-0005-0000-0000-00006B950000}"/>
    <cellStyle name="Note 4 4 5 6 2 7" xfId="21555" xr:uid="{00000000-0005-0000-0000-00006C950000}"/>
    <cellStyle name="Note 4 4 5 6 2 8" xfId="25368" xr:uid="{00000000-0005-0000-0000-00006D950000}"/>
    <cellStyle name="Note 4 4 5 6 2 9" xfId="29255" xr:uid="{00000000-0005-0000-0000-00006E950000}"/>
    <cellStyle name="Note 4 4 5 6 3" xfId="2909" xr:uid="{00000000-0005-0000-0000-00006F950000}"/>
    <cellStyle name="Note 4 4 5 6 3 10" xfId="37961" xr:uid="{00000000-0005-0000-0000-000070950000}"/>
    <cellStyle name="Note 4 4 5 6 3 11" xfId="41973" xr:uid="{00000000-0005-0000-0000-000071950000}"/>
    <cellStyle name="Note 4 4 5 6 3 12" xfId="45750" xr:uid="{00000000-0005-0000-0000-000072950000}"/>
    <cellStyle name="Note 4 4 5 6 3 2" xfId="6789" xr:uid="{00000000-0005-0000-0000-000073950000}"/>
    <cellStyle name="Note 4 4 5 6 3 3" xfId="11216" xr:uid="{00000000-0005-0000-0000-000074950000}"/>
    <cellStyle name="Note 4 4 5 6 3 4" xfId="15061" xr:uid="{00000000-0005-0000-0000-000075950000}"/>
    <cellStyle name="Note 4 4 5 6 3 5" xfId="18903" xr:uid="{00000000-0005-0000-0000-000076950000}"/>
    <cellStyle name="Note 4 4 5 6 3 6" xfId="22829" xr:uid="{00000000-0005-0000-0000-000077950000}"/>
    <cellStyle name="Note 4 4 5 6 3 7" xfId="26654" xr:uid="{00000000-0005-0000-0000-000078950000}"/>
    <cellStyle name="Note 4 4 5 6 3 8" xfId="30529" xr:uid="{00000000-0005-0000-0000-000079950000}"/>
    <cellStyle name="Note 4 4 5 6 3 9" xfId="34188" xr:uid="{00000000-0005-0000-0000-00007A950000}"/>
    <cellStyle name="Note 4 4 5 6 4" xfId="4865" xr:uid="{00000000-0005-0000-0000-00007B950000}"/>
    <cellStyle name="Note 4 4 5 6 5" xfId="9219" xr:uid="{00000000-0005-0000-0000-00007C950000}"/>
    <cellStyle name="Note 4 4 5 6 6" xfId="13060" xr:uid="{00000000-0005-0000-0000-00007D950000}"/>
    <cellStyle name="Note 4 4 5 6 7" xfId="16885" xr:uid="{00000000-0005-0000-0000-00007E950000}"/>
    <cellStyle name="Note 4 4 5 6 8" xfId="20827" xr:uid="{00000000-0005-0000-0000-00007F950000}"/>
    <cellStyle name="Note 4 4 5 6 9" xfId="24643" xr:uid="{00000000-0005-0000-0000-000080950000}"/>
    <cellStyle name="Note 4 4 5 7" xfId="1297" xr:uid="{00000000-0005-0000-0000-000081950000}"/>
    <cellStyle name="Note 4 4 5 7 10" xfId="32584" xr:uid="{00000000-0005-0000-0000-000082950000}"/>
    <cellStyle name="Note 4 4 5 7 11" xfId="36354" xr:uid="{00000000-0005-0000-0000-000083950000}"/>
    <cellStyle name="Note 4 4 5 7 12" xfId="40345" xr:uid="{00000000-0005-0000-0000-000084950000}"/>
    <cellStyle name="Note 4 4 5 7 13" xfId="44176" xr:uid="{00000000-0005-0000-0000-000085950000}"/>
    <cellStyle name="Note 4 4 5 7 2" xfId="3287" xr:uid="{00000000-0005-0000-0000-000086950000}"/>
    <cellStyle name="Note 4 4 5 7 2 10" xfId="38338" xr:uid="{00000000-0005-0000-0000-000087950000}"/>
    <cellStyle name="Note 4 4 5 7 2 11" xfId="42349" xr:uid="{00000000-0005-0000-0000-000088950000}"/>
    <cellStyle name="Note 4 4 5 7 2 12" xfId="46114" xr:uid="{00000000-0005-0000-0000-000089950000}"/>
    <cellStyle name="Note 4 4 5 7 2 2" xfId="7154" xr:uid="{00000000-0005-0000-0000-00008A950000}"/>
    <cellStyle name="Note 4 4 5 7 2 3" xfId="11589" xr:uid="{00000000-0005-0000-0000-00008B950000}"/>
    <cellStyle name="Note 4 4 5 7 2 4" xfId="15434" xr:uid="{00000000-0005-0000-0000-00008C950000}"/>
    <cellStyle name="Note 4 4 5 7 2 5" xfId="19281" xr:uid="{00000000-0005-0000-0000-00008D950000}"/>
    <cellStyle name="Note 4 4 5 7 2 6" xfId="23197" xr:uid="{00000000-0005-0000-0000-00008E950000}"/>
    <cellStyle name="Note 4 4 5 7 2 7" xfId="27031" xr:uid="{00000000-0005-0000-0000-00008F950000}"/>
    <cellStyle name="Note 4 4 5 7 2 8" xfId="30900" xr:uid="{00000000-0005-0000-0000-000090950000}"/>
    <cellStyle name="Note 4 4 5 7 2 9" xfId="34552" xr:uid="{00000000-0005-0000-0000-000091950000}"/>
    <cellStyle name="Note 4 4 5 7 3" xfId="5230" xr:uid="{00000000-0005-0000-0000-000092950000}"/>
    <cellStyle name="Note 4 4 5 7 4" xfId="9588" xr:uid="{00000000-0005-0000-0000-000093950000}"/>
    <cellStyle name="Note 4 4 5 7 5" xfId="13434" xr:uid="{00000000-0005-0000-0000-000094950000}"/>
    <cellStyle name="Note 4 4 5 7 6" xfId="17263" xr:uid="{00000000-0005-0000-0000-000095950000}"/>
    <cellStyle name="Note 4 4 5 7 7" xfId="21202" xr:uid="{00000000-0005-0000-0000-000096950000}"/>
    <cellStyle name="Note 4 4 5 7 8" xfId="25015" xr:uid="{00000000-0005-0000-0000-000097950000}"/>
    <cellStyle name="Note 4 4 5 7 9" xfId="28902" xr:uid="{00000000-0005-0000-0000-000098950000}"/>
    <cellStyle name="Note 4 4 5 8" xfId="1992" xr:uid="{00000000-0005-0000-0000-000099950000}"/>
    <cellStyle name="Note 4 4 5 8 10" xfId="33279" xr:uid="{00000000-0005-0000-0000-00009A950000}"/>
    <cellStyle name="Note 4 4 5 8 11" xfId="37048" xr:uid="{00000000-0005-0000-0000-00009B950000}"/>
    <cellStyle name="Note 4 4 5 8 12" xfId="41040" xr:uid="{00000000-0005-0000-0000-00009C950000}"/>
    <cellStyle name="Note 4 4 5 8 13" xfId="44870" xr:uid="{00000000-0005-0000-0000-00009D950000}"/>
    <cellStyle name="Note 4 4 5 8 2" xfId="3981" xr:uid="{00000000-0005-0000-0000-00009E950000}"/>
    <cellStyle name="Note 4 4 5 8 2 10" xfId="39032" xr:uid="{00000000-0005-0000-0000-00009F950000}"/>
    <cellStyle name="Note 4 4 5 8 2 11" xfId="43043" xr:uid="{00000000-0005-0000-0000-0000A0950000}"/>
    <cellStyle name="Note 4 4 5 8 2 12" xfId="46808" xr:uid="{00000000-0005-0000-0000-0000A1950000}"/>
    <cellStyle name="Note 4 4 5 8 2 2" xfId="7848" xr:uid="{00000000-0005-0000-0000-0000A2950000}"/>
    <cellStyle name="Note 4 4 5 8 2 3" xfId="12283" xr:uid="{00000000-0005-0000-0000-0000A3950000}"/>
    <cellStyle name="Note 4 4 5 8 2 4" xfId="16128" xr:uid="{00000000-0005-0000-0000-0000A4950000}"/>
    <cellStyle name="Note 4 4 5 8 2 5" xfId="19975" xr:uid="{00000000-0005-0000-0000-0000A5950000}"/>
    <cellStyle name="Note 4 4 5 8 2 6" xfId="23891" xr:uid="{00000000-0005-0000-0000-0000A6950000}"/>
    <cellStyle name="Note 4 4 5 8 2 7" xfId="27725" xr:uid="{00000000-0005-0000-0000-0000A7950000}"/>
    <cellStyle name="Note 4 4 5 8 2 8" xfId="31585" xr:uid="{00000000-0005-0000-0000-0000A8950000}"/>
    <cellStyle name="Note 4 4 5 8 2 9" xfId="35246" xr:uid="{00000000-0005-0000-0000-0000A9950000}"/>
    <cellStyle name="Note 4 4 5 8 3" xfId="5924" xr:uid="{00000000-0005-0000-0000-0000AA950000}"/>
    <cellStyle name="Note 4 4 5 8 4" xfId="10282" xr:uid="{00000000-0005-0000-0000-0000AB950000}"/>
    <cellStyle name="Note 4 4 5 8 5" xfId="14129" xr:uid="{00000000-0005-0000-0000-0000AC950000}"/>
    <cellStyle name="Note 4 4 5 8 6" xfId="17958" xr:uid="{00000000-0005-0000-0000-0000AD950000}"/>
    <cellStyle name="Note 4 4 5 8 7" xfId="21897" xr:uid="{00000000-0005-0000-0000-0000AE950000}"/>
    <cellStyle name="Note 4 4 5 8 8" xfId="25710" xr:uid="{00000000-0005-0000-0000-0000AF950000}"/>
    <cellStyle name="Note 4 4 5 8 9" xfId="29597" xr:uid="{00000000-0005-0000-0000-0000B0950000}"/>
    <cellStyle name="Note 4 4 5 9" xfId="2039" xr:uid="{00000000-0005-0000-0000-0000B1950000}"/>
    <cellStyle name="Note 4 4 5 9 10" xfId="33323" xr:uid="{00000000-0005-0000-0000-0000B2950000}"/>
    <cellStyle name="Note 4 4 5 9 11" xfId="37095" xr:uid="{00000000-0005-0000-0000-0000B3950000}"/>
    <cellStyle name="Note 4 4 5 9 12" xfId="41085" xr:uid="{00000000-0005-0000-0000-0000B4950000}"/>
    <cellStyle name="Note 4 4 5 9 13" xfId="44914" xr:uid="{00000000-0005-0000-0000-0000B5950000}"/>
    <cellStyle name="Note 4 4 5 9 2" xfId="4028" xr:uid="{00000000-0005-0000-0000-0000B6950000}"/>
    <cellStyle name="Note 4 4 5 9 2 10" xfId="39079" xr:uid="{00000000-0005-0000-0000-0000B7950000}"/>
    <cellStyle name="Note 4 4 5 9 2 11" xfId="43089" xr:uid="{00000000-0005-0000-0000-0000B8950000}"/>
    <cellStyle name="Note 4 4 5 9 2 12" xfId="46852" xr:uid="{00000000-0005-0000-0000-0000B9950000}"/>
    <cellStyle name="Note 4 4 5 9 2 2" xfId="7893" xr:uid="{00000000-0005-0000-0000-0000BA950000}"/>
    <cellStyle name="Note 4 4 5 9 2 3" xfId="12328" xr:uid="{00000000-0005-0000-0000-0000BB950000}"/>
    <cellStyle name="Note 4 4 5 9 2 4" xfId="16174" xr:uid="{00000000-0005-0000-0000-0000BC950000}"/>
    <cellStyle name="Note 4 4 5 9 2 5" xfId="20022" xr:uid="{00000000-0005-0000-0000-0000BD950000}"/>
    <cellStyle name="Note 4 4 5 9 2 6" xfId="23937" xr:uid="{00000000-0005-0000-0000-0000BE950000}"/>
    <cellStyle name="Note 4 4 5 9 2 7" xfId="27772" xr:uid="{00000000-0005-0000-0000-0000BF950000}"/>
    <cellStyle name="Note 4 4 5 9 2 8" xfId="31631" xr:uid="{00000000-0005-0000-0000-0000C0950000}"/>
    <cellStyle name="Note 4 4 5 9 2 9" xfId="35290" xr:uid="{00000000-0005-0000-0000-0000C1950000}"/>
    <cellStyle name="Note 4 4 5 9 3" xfId="5969" xr:uid="{00000000-0005-0000-0000-0000C2950000}"/>
    <cellStyle name="Note 4 4 5 9 4" xfId="10327" xr:uid="{00000000-0005-0000-0000-0000C3950000}"/>
    <cellStyle name="Note 4 4 5 9 5" xfId="14175" xr:uid="{00000000-0005-0000-0000-0000C4950000}"/>
    <cellStyle name="Note 4 4 5 9 6" xfId="18005" xr:uid="{00000000-0005-0000-0000-0000C5950000}"/>
    <cellStyle name="Note 4 4 5 9 7" xfId="21943" xr:uid="{00000000-0005-0000-0000-0000C6950000}"/>
    <cellStyle name="Note 4 4 5 9 8" xfId="25757" xr:uid="{00000000-0005-0000-0000-0000C7950000}"/>
    <cellStyle name="Note 4 4 5 9 9" xfId="29643" xr:uid="{00000000-0005-0000-0000-0000C8950000}"/>
    <cellStyle name="Note 4 4 6" xfId="664" xr:uid="{00000000-0005-0000-0000-0000C9950000}"/>
    <cellStyle name="Note 4 4 6 10" xfId="24398" xr:uid="{00000000-0005-0000-0000-0000CA950000}"/>
    <cellStyle name="Note 4 4 6 11" xfId="28291" xr:uid="{00000000-0005-0000-0000-0000CB950000}"/>
    <cellStyle name="Note 4 4 6 12" xfId="18065" xr:uid="{00000000-0005-0000-0000-0000CC950000}"/>
    <cellStyle name="Note 4 4 6 13" xfId="33372" xr:uid="{00000000-0005-0000-0000-0000CD950000}"/>
    <cellStyle name="Note 4 4 6 14" xfId="39758" xr:uid="{00000000-0005-0000-0000-0000CE950000}"/>
    <cellStyle name="Note 4 4 6 15" xfId="43561" xr:uid="{00000000-0005-0000-0000-0000CF950000}"/>
    <cellStyle name="Note 4 4 6 2" xfId="1044" xr:uid="{00000000-0005-0000-0000-0000D0950000}"/>
    <cellStyle name="Note 4 4 6 2 10" xfId="28655" xr:uid="{00000000-0005-0000-0000-0000D1950000}"/>
    <cellStyle name="Note 4 4 6 2 11" xfId="32341" xr:uid="{00000000-0005-0000-0000-0000D2950000}"/>
    <cellStyle name="Note 4 4 6 2 12" xfId="36102" xr:uid="{00000000-0005-0000-0000-0000D3950000}"/>
    <cellStyle name="Note 4 4 6 2 13" xfId="40105" xr:uid="{00000000-0005-0000-0000-0000D4950000}"/>
    <cellStyle name="Note 4 4 6 2 14" xfId="43928" xr:uid="{00000000-0005-0000-0000-0000D5950000}"/>
    <cellStyle name="Note 4 4 6 2 2" xfId="1771" xr:uid="{00000000-0005-0000-0000-0000D6950000}"/>
    <cellStyle name="Note 4 4 6 2 2 10" xfId="33058" xr:uid="{00000000-0005-0000-0000-0000D7950000}"/>
    <cellStyle name="Note 4 4 6 2 2 11" xfId="36828" xr:uid="{00000000-0005-0000-0000-0000D8950000}"/>
    <cellStyle name="Note 4 4 6 2 2 12" xfId="40819" xr:uid="{00000000-0005-0000-0000-0000D9950000}"/>
    <cellStyle name="Note 4 4 6 2 2 13" xfId="44650" xr:uid="{00000000-0005-0000-0000-0000DA950000}"/>
    <cellStyle name="Note 4 4 6 2 2 2" xfId="3761" xr:uid="{00000000-0005-0000-0000-0000DB950000}"/>
    <cellStyle name="Note 4 4 6 2 2 2 10" xfId="38812" xr:uid="{00000000-0005-0000-0000-0000DC950000}"/>
    <cellStyle name="Note 4 4 6 2 2 2 11" xfId="42823" xr:uid="{00000000-0005-0000-0000-0000DD950000}"/>
    <cellStyle name="Note 4 4 6 2 2 2 12" xfId="46588" xr:uid="{00000000-0005-0000-0000-0000DE950000}"/>
    <cellStyle name="Note 4 4 6 2 2 2 2" xfId="7628" xr:uid="{00000000-0005-0000-0000-0000DF950000}"/>
    <cellStyle name="Note 4 4 6 2 2 2 3" xfId="12063" xr:uid="{00000000-0005-0000-0000-0000E0950000}"/>
    <cellStyle name="Note 4 4 6 2 2 2 4" xfId="15908" xr:uid="{00000000-0005-0000-0000-0000E1950000}"/>
    <cellStyle name="Note 4 4 6 2 2 2 5" xfId="19755" xr:uid="{00000000-0005-0000-0000-0000E2950000}"/>
    <cellStyle name="Note 4 4 6 2 2 2 6" xfId="23671" xr:uid="{00000000-0005-0000-0000-0000E3950000}"/>
    <cellStyle name="Note 4 4 6 2 2 2 7" xfId="27505" xr:uid="{00000000-0005-0000-0000-0000E4950000}"/>
    <cellStyle name="Note 4 4 6 2 2 2 8" xfId="31369" xr:uid="{00000000-0005-0000-0000-0000E5950000}"/>
    <cellStyle name="Note 4 4 6 2 2 2 9" xfId="35026" xr:uid="{00000000-0005-0000-0000-0000E6950000}"/>
    <cellStyle name="Note 4 4 6 2 2 3" xfId="5704" xr:uid="{00000000-0005-0000-0000-0000E7950000}"/>
    <cellStyle name="Note 4 4 6 2 2 4" xfId="10062" xr:uid="{00000000-0005-0000-0000-0000E8950000}"/>
    <cellStyle name="Note 4 4 6 2 2 5" xfId="13908" xr:uid="{00000000-0005-0000-0000-0000E9950000}"/>
    <cellStyle name="Note 4 4 6 2 2 6" xfId="17737" xr:uid="{00000000-0005-0000-0000-0000EA950000}"/>
    <cellStyle name="Note 4 4 6 2 2 7" xfId="21676" xr:uid="{00000000-0005-0000-0000-0000EB950000}"/>
    <cellStyle name="Note 4 4 6 2 2 8" xfId="25489" xr:uid="{00000000-0005-0000-0000-0000EC950000}"/>
    <cellStyle name="Note 4 4 6 2 2 9" xfId="29376" xr:uid="{00000000-0005-0000-0000-0000ED950000}"/>
    <cellStyle name="Note 4 4 6 2 3" xfId="3034" xr:uid="{00000000-0005-0000-0000-0000EE950000}"/>
    <cellStyle name="Note 4 4 6 2 3 10" xfId="38086" xr:uid="{00000000-0005-0000-0000-0000EF950000}"/>
    <cellStyle name="Note 4 4 6 2 3 11" xfId="42098" xr:uid="{00000000-0005-0000-0000-0000F0950000}"/>
    <cellStyle name="Note 4 4 6 2 3 12" xfId="45871" xr:uid="{00000000-0005-0000-0000-0000F1950000}"/>
    <cellStyle name="Note 4 4 6 2 3 2" xfId="6910" xr:uid="{00000000-0005-0000-0000-0000F2950000}"/>
    <cellStyle name="Note 4 4 6 2 3 3" xfId="11339" xr:uid="{00000000-0005-0000-0000-0000F3950000}"/>
    <cellStyle name="Note 4 4 6 2 3 4" xfId="15183" xr:uid="{00000000-0005-0000-0000-0000F4950000}"/>
    <cellStyle name="Note 4 4 6 2 3 5" xfId="19028" xr:uid="{00000000-0005-0000-0000-0000F5950000}"/>
    <cellStyle name="Note 4 4 6 2 3 6" xfId="22950" xr:uid="{00000000-0005-0000-0000-0000F6950000}"/>
    <cellStyle name="Note 4 4 6 2 3 7" xfId="26779" xr:uid="{00000000-0005-0000-0000-0000F7950000}"/>
    <cellStyle name="Note 4 4 6 2 3 8" xfId="30653" xr:uid="{00000000-0005-0000-0000-0000F8950000}"/>
    <cellStyle name="Note 4 4 6 2 3 9" xfId="34309" xr:uid="{00000000-0005-0000-0000-0000F9950000}"/>
    <cellStyle name="Note 4 4 6 2 4" xfId="4986" xr:uid="{00000000-0005-0000-0000-0000FA950000}"/>
    <cellStyle name="Note 4 4 6 2 5" xfId="9342" xr:uid="{00000000-0005-0000-0000-0000FB950000}"/>
    <cellStyle name="Note 4 4 6 2 6" xfId="13182" xr:uid="{00000000-0005-0000-0000-0000FC950000}"/>
    <cellStyle name="Note 4 4 6 2 7" xfId="17010" xr:uid="{00000000-0005-0000-0000-0000FD950000}"/>
    <cellStyle name="Note 4 4 6 2 8" xfId="20952" xr:uid="{00000000-0005-0000-0000-0000FE950000}"/>
    <cellStyle name="Note 4 4 6 2 9" xfId="24766" xr:uid="{00000000-0005-0000-0000-0000FF950000}"/>
    <cellStyle name="Note 4 4 6 3" xfId="1418" xr:uid="{00000000-0005-0000-0000-000000960000}"/>
    <cellStyle name="Note 4 4 6 3 10" xfId="32705" xr:uid="{00000000-0005-0000-0000-000001960000}"/>
    <cellStyle name="Note 4 4 6 3 11" xfId="36475" xr:uid="{00000000-0005-0000-0000-000002960000}"/>
    <cellStyle name="Note 4 4 6 3 12" xfId="40466" xr:uid="{00000000-0005-0000-0000-000003960000}"/>
    <cellStyle name="Note 4 4 6 3 13" xfId="44297" xr:uid="{00000000-0005-0000-0000-000004960000}"/>
    <cellStyle name="Note 4 4 6 3 2" xfId="3408" xr:uid="{00000000-0005-0000-0000-000005960000}"/>
    <cellStyle name="Note 4 4 6 3 2 10" xfId="38459" xr:uid="{00000000-0005-0000-0000-000006960000}"/>
    <cellStyle name="Note 4 4 6 3 2 11" xfId="42470" xr:uid="{00000000-0005-0000-0000-000007960000}"/>
    <cellStyle name="Note 4 4 6 3 2 12" xfId="46235" xr:uid="{00000000-0005-0000-0000-000008960000}"/>
    <cellStyle name="Note 4 4 6 3 2 2" xfId="7275" xr:uid="{00000000-0005-0000-0000-000009960000}"/>
    <cellStyle name="Note 4 4 6 3 2 3" xfId="11710" xr:uid="{00000000-0005-0000-0000-00000A960000}"/>
    <cellStyle name="Note 4 4 6 3 2 4" xfId="15555" xr:uid="{00000000-0005-0000-0000-00000B960000}"/>
    <cellStyle name="Note 4 4 6 3 2 5" xfId="19402" xr:uid="{00000000-0005-0000-0000-00000C960000}"/>
    <cellStyle name="Note 4 4 6 3 2 6" xfId="23318" xr:uid="{00000000-0005-0000-0000-00000D960000}"/>
    <cellStyle name="Note 4 4 6 3 2 7" xfId="27152" xr:uid="{00000000-0005-0000-0000-00000E960000}"/>
    <cellStyle name="Note 4 4 6 3 2 8" xfId="31020" xr:uid="{00000000-0005-0000-0000-00000F960000}"/>
    <cellStyle name="Note 4 4 6 3 2 9" xfId="34673" xr:uid="{00000000-0005-0000-0000-000010960000}"/>
    <cellStyle name="Note 4 4 6 3 3" xfId="5351" xr:uid="{00000000-0005-0000-0000-000011960000}"/>
    <cellStyle name="Note 4 4 6 3 4" xfId="9709" xr:uid="{00000000-0005-0000-0000-000012960000}"/>
    <cellStyle name="Note 4 4 6 3 5" xfId="13555" xr:uid="{00000000-0005-0000-0000-000013960000}"/>
    <cellStyle name="Note 4 4 6 3 6" xfId="17384" xr:uid="{00000000-0005-0000-0000-000014960000}"/>
    <cellStyle name="Note 4 4 6 3 7" xfId="21323" xr:uid="{00000000-0005-0000-0000-000015960000}"/>
    <cellStyle name="Note 4 4 6 3 8" xfId="25136" xr:uid="{00000000-0005-0000-0000-000016960000}"/>
    <cellStyle name="Note 4 4 6 3 9" xfId="29023" xr:uid="{00000000-0005-0000-0000-000017960000}"/>
    <cellStyle name="Note 4 4 6 4" xfId="2667" xr:uid="{00000000-0005-0000-0000-000018960000}"/>
    <cellStyle name="Note 4 4 6 4 10" xfId="37719" xr:uid="{00000000-0005-0000-0000-000019960000}"/>
    <cellStyle name="Note 4 4 6 4 11" xfId="41733" xr:uid="{00000000-0005-0000-0000-00001A960000}"/>
    <cellStyle name="Note 4 4 6 4 12" xfId="45518" xr:uid="{00000000-0005-0000-0000-00001B960000}"/>
    <cellStyle name="Note 4 4 6 4 2" xfId="6555" xr:uid="{00000000-0005-0000-0000-00001C960000}"/>
    <cellStyle name="Note 4 4 6 4 3" xfId="10979" xr:uid="{00000000-0005-0000-0000-00001D960000}"/>
    <cellStyle name="Note 4 4 6 4 4" xfId="14823" xr:uid="{00000000-0005-0000-0000-00001E960000}"/>
    <cellStyle name="Note 4 4 6 4 5" xfId="18661" xr:uid="{00000000-0005-0000-0000-00001F960000}"/>
    <cellStyle name="Note 4 4 6 4 6" xfId="22592" xr:uid="{00000000-0005-0000-0000-000020960000}"/>
    <cellStyle name="Note 4 4 6 4 7" xfId="26412" xr:uid="{00000000-0005-0000-0000-000021960000}"/>
    <cellStyle name="Note 4 4 6 4 8" xfId="30291" xr:uid="{00000000-0005-0000-0000-000022960000}"/>
    <cellStyle name="Note 4 4 6 4 9" xfId="33956" xr:uid="{00000000-0005-0000-0000-000023960000}"/>
    <cellStyle name="Note 4 4 6 5" xfId="4631" xr:uid="{00000000-0005-0000-0000-000024960000}"/>
    <cellStyle name="Note 4 4 6 6" xfId="8973" xr:uid="{00000000-0005-0000-0000-000025960000}"/>
    <cellStyle name="Note 4 4 6 7" xfId="12810" xr:uid="{00000000-0005-0000-0000-000026960000}"/>
    <cellStyle name="Note 4 4 6 8" xfId="16640" xr:uid="{00000000-0005-0000-0000-000027960000}"/>
    <cellStyle name="Note 4 4 6 9" xfId="20577" xr:uid="{00000000-0005-0000-0000-000028960000}"/>
    <cellStyle name="Note 4 4 7" xfId="601" xr:uid="{00000000-0005-0000-0000-000029960000}"/>
    <cellStyle name="Note 4 4 7 10" xfId="11266" xr:uid="{00000000-0005-0000-0000-00002A960000}"/>
    <cellStyle name="Note 4 4 7 11" xfId="25808" xr:uid="{00000000-0005-0000-0000-00002B960000}"/>
    <cellStyle name="Note 4 4 7 12" xfId="30895" xr:uid="{00000000-0005-0000-0000-00002C960000}"/>
    <cellStyle name="Note 4 4 7 13" xfId="33383" xr:uid="{00000000-0005-0000-0000-00002D960000}"/>
    <cellStyle name="Note 4 4 7 14" xfId="39696" xr:uid="{00000000-0005-0000-0000-00002E960000}"/>
    <cellStyle name="Note 4 4 7 15" xfId="39577" xr:uid="{00000000-0005-0000-0000-00002F960000}"/>
    <cellStyle name="Note 4 4 7 2" xfId="981" xr:uid="{00000000-0005-0000-0000-000030960000}"/>
    <cellStyle name="Note 4 4 7 2 10" xfId="28592" xr:uid="{00000000-0005-0000-0000-000031960000}"/>
    <cellStyle name="Note 4 4 7 2 11" xfId="32280" xr:uid="{00000000-0005-0000-0000-000032960000}"/>
    <cellStyle name="Note 4 4 7 2 12" xfId="36039" xr:uid="{00000000-0005-0000-0000-000033960000}"/>
    <cellStyle name="Note 4 4 7 2 13" xfId="40044" xr:uid="{00000000-0005-0000-0000-000034960000}"/>
    <cellStyle name="Note 4 4 7 2 14" xfId="43865" xr:uid="{00000000-0005-0000-0000-000035960000}"/>
    <cellStyle name="Note 4 4 7 2 2" xfId="1710" xr:uid="{00000000-0005-0000-0000-000036960000}"/>
    <cellStyle name="Note 4 4 7 2 2 10" xfId="32997" xr:uid="{00000000-0005-0000-0000-000037960000}"/>
    <cellStyle name="Note 4 4 7 2 2 11" xfId="36767" xr:uid="{00000000-0005-0000-0000-000038960000}"/>
    <cellStyle name="Note 4 4 7 2 2 12" xfId="40758" xr:uid="{00000000-0005-0000-0000-000039960000}"/>
    <cellStyle name="Note 4 4 7 2 2 13" xfId="44589" xr:uid="{00000000-0005-0000-0000-00003A960000}"/>
    <cellStyle name="Note 4 4 7 2 2 2" xfId="3700" xr:uid="{00000000-0005-0000-0000-00003B960000}"/>
    <cellStyle name="Note 4 4 7 2 2 2 10" xfId="38751" xr:uid="{00000000-0005-0000-0000-00003C960000}"/>
    <cellStyle name="Note 4 4 7 2 2 2 11" xfId="42762" xr:uid="{00000000-0005-0000-0000-00003D960000}"/>
    <cellStyle name="Note 4 4 7 2 2 2 12" xfId="46527" xr:uid="{00000000-0005-0000-0000-00003E960000}"/>
    <cellStyle name="Note 4 4 7 2 2 2 2" xfId="7567" xr:uid="{00000000-0005-0000-0000-00003F960000}"/>
    <cellStyle name="Note 4 4 7 2 2 2 3" xfId="12002" xr:uid="{00000000-0005-0000-0000-000040960000}"/>
    <cellStyle name="Note 4 4 7 2 2 2 4" xfId="15847" xr:uid="{00000000-0005-0000-0000-000041960000}"/>
    <cellStyle name="Note 4 4 7 2 2 2 5" xfId="19694" xr:uid="{00000000-0005-0000-0000-000042960000}"/>
    <cellStyle name="Note 4 4 7 2 2 2 6" xfId="23610" xr:uid="{00000000-0005-0000-0000-000043960000}"/>
    <cellStyle name="Note 4 4 7 2 2 2 7" xfId="27444" xr:uid="{00000000-0005-0000-0000-000044960000}"/>
    <cellStyle name="Note 4 4 7 2 2 2 8" xfId="31308" xr:uid="{00000000-0005-0000-0000-000045960000}"/>
    <cellStyle name="Note 4 4 7 2 2 2 9" xfId="34965" xr:uid="{00000000-0005-0000-0000-000046960000}"/>
    <cellStyle name="Note 4 4 7 2 2 3" xfId="5643" xr:uid="{00000000-0005-0000-0000-000047960000}"/>
    <cellStyle name="Note 4 4 7 2 2 4" xfId="10001" xr:uid="{00000000-0005-0000-0000-000048960000}"/>
    <cellStyle name="Note 4 4 7 2 2 5" xfId="13847" xr:uid="{00000000-0005-0000-0000-000049960000}"/>
    <cellStyle name="Note 4 4 7 2 2 6" xfId="17676" xr:uid="{00000000-0005-0000-0000-00004A960000}"/>
    <cellStyle name="Note 4 4 7 2 2 7" xfId="21615" xr:uid="{00000000-0005-0000-0000-00004B960000}"/>
    <cellStyle name="Note 4 4 7 2 2 8" xfId="25428" xr:uid="{00000000-0005-0000-0000-00004C960000}"/>
    <cellStyle name="Note 4 4 7 2 2 9" xfId="29315" xr:uid="{00000000-0005-0000-0000-00004D960000}"/>
    <cellStyle name="Note 4 4 7 2 3" xfId="2971" xr:uid="{00000000-0005-0000-0000-00004E960000}"/>
    <cellStyle name="Note 4 4 7 2 3 10" xfId="38023" xr:uid="{00000000-0005-0000-0000-00004F960000}"/>
    <cellStyle name="Note 4 4 7 2 3 11" xfId="42035" xr:uid="{00000000-0005-0000-0000-000050960000}"/>
    <cellStyle name="Note 4 4 7 2 3 12" xfId="45810" xr:uid="{00000000-0005-0000-0000-000051960000}"/>
    <cellStyle name="Note 4 4 7 2 3 2" xfId="6849" xr:uid="{00000000-0005-0000-0000-000052960000}"/>
    <cellStyle name="Note 4 4 7 2 3 3" xfId="11277" xr:uid="{00000000-0005-0000-0000-000053960000}"/>
    <cellStyle name="Note 4 4 7 2 3 4" xfId="15122" xr:uid="{00000000-0005-0000-0000-000054960000}"/>
    <cellStyle name="Note 4 4 7 2 3 5" xfId="18965" xr:uid="{00000000-0005-0000-0000-000055960000}"/>
    <cellStyle name="Note 4 4 7 2 3 6" xfId="22889" xr:uid="{00000000-0005-0000-0000-000056960000}"/>
    <cellStyle name="Note 4 4 7 2 3 7" xfId="26716" xr:uid="{00000000-0005-0000-0000-000057960000}"/>
    <cellStyle name="Note 4 4 7 2 3 8" xfId="30590" xr:uid="{00000000-0005-0000-0000-000058960000}"/>
    <cellStyle name="Note 4 4 7 2 3 9" xfId="34248" xr:uid="{00000000-0005-0000-0000-000059960000}"/>
    <cellStyle name="Note 4 4 7 2 4" xfId="4925" xr:uid="{00000000-0005-0000-0000-00005A960000}"/>
    <cellStyle name="Note 4 4 7 2 5" xfId="9280" xr:uid="{00000000-0005-0000-0000-00005B960000}"/>
    <cellStyle name="Note 4 4 7 2 6" xfId="13121" xr:uid="{00000000-0005-0000-0000-00005C960000}"/>
    <cellStyle name="Note 4 4 7 2 7" xfId="16947" xr:uid="{00000000-0005-0000-0000-00005D960000}"/>
    <cellStyle name="Note 4 4 7 2 8" xfId="20889" xr:uid="{00000000-0005-0000-0000-00005E960000}"/>
    <cellStyle name="Note 4 4 7 2 9" xfId="24704" xr:uid="{00000000-0005-0000-0000-00005F960000}"/>
    <cellStyle name="Note 4 4 7 3" xfId="1357" xr:uid="{00000000-0005-0000-0000-000060960000}"/>
    <cellStyle name="Note 4 4 7 3 10" xfId="32644" xr:uid="{00000000-0005-0000-0000-000061960000}"/>
    <cellStyle name="Note 4 4 7 3 11" xfId="36414" xr:uid="{00000000-0005-0000-0000-000062960000}"/>
    <cellStyle name="Note 4 4 7 3 12" xfId="40405" xr:uid="{00000000-0005-0000-0000-000063960000}"/>
    <cellStyle name="Note 4 4 7 3 13" xfId="44236" xr:uid="{00000000-0005-0000-0000-000064960000}"/>
    <cellStyle name="Note 4 4 7 3 2" xfId="3347" xr:uid="{00000000-0005-0000-0000-000065960000}"/>
    <cellStyle name="Note 4 4 7 3 2 10" xfId="38398" xr:uid="{00000000-0005-0000-0000-000066960000}"/>
    <cellStyle name="Note 4 4 7 3 2 11" xfId="42409" xr:uid="{00000000-0005-0000-0000-000067960000}"/>
    <cellStyle name="Note 4 4 7 3 2 12" xfId="46174" xr:uid="{00000000-0005-0000-0000-000068960000}"/>
    <cellStyle name="Note 4 4 7 3 2 2" xfId="7214" xr:uid="{00000000-0005-0000-0000-000069960000}"/>
    <cellStyle name="Note 4 4 7 3 2 3" xfId="11649" xr:uid="{00000000-0005-0000-0000-00006A960000}"/>
    <cellStyle name="Note 4 4 7 3 2 4" xfId="15494" xr:uid="{00000000-0005-0000-0000-00006B960000}"/>
    <cellStyle name="Note 4 4 7 3 2 5" xfId="19341" xr:uid="{00000000-0005-0000-0000-00006C960000}"/>
    <cellStyle name="Note 4 4 7 3 2 6" xfId="23257" xr:uid="{00000000-0005-0000-0000-00006D960000}"/>
    <cellStyle name="Note 4 4 7 3 2 7" xfId="27091" xr:uid="{00000000-0005-0000-0000-00006E960000}"/>
    <cellStyle name="Note 4 4 7 3 2 8" xfId="30959" xr:uid="{00000000-0005-0000-0000-00006F960000}"/>
    <cellStyle name="Note 4 4 7 3 2 9" xfId="34612" xr:uid="{00000000-0005-0000-0000-000070960000}"/>
    <cellStyle name="Note 4 4 7 3 3" xfId="5290" xr:uid="{00000000-0005-0000-0000-000071960000}"/>
    <cellStyle name="Note 4 4 7 3 4" xfId="9648" xr:uid="{00000000-0005-0000-0000-000072960000}"/>
    <cellStyle name="Note 4 4 7 3 5" xfId="13494" xr:uid="{00000000-0005-0000-0000-000073960000}"/>
    <cellStyle name="Note 4 4 7 3 6" xfId="17323" xr:uid="{00000000-0005-0000-0000-000074960000}"/>
    <cellStyle name="Note 4 4 7 3 7" xfId="21262" xr:uid="{00000000-0005-0000-0000-000075960000}"/>
    <cellStyle name="Note 4 4 7 3 8" xfId="25075" xr:uid="{00000000-0005-0000-0000-000076960000}"/>
    <cellStyle name="Note 4 4 7 3 9" xfId="28962" xr:uid="{00000000-0005-0000-0000-000077960000}"/>
    <cellStyle name="Note 4 4 7 4" xfId="2604" xr:uid="{00000000-0005-0000-0000-000078960000}"/>
    <cellStyle name="Note 4 4 7 4 10" xfId="37656" xr:uid="{00000000-0005-0000-0000-000079960000}"/>
    <cellStyle name="Note 4 4 7 4 11" xfId="41670" xr:uid="{00000000-0005-0000-0000-00007A960000}"/>
    <cellStyle name="Note 4 4 7 4 12" xfId="45457" xr:uid="{00000000-0005-0000-0000-00007B960000}"/>
    <cellStyle name="Note 4 4 7 4 2" xfId="6494" xr:uid="{00000000-0005-0000-0000-00007C960000}"/>
    <cellStyle name="Note 4 4 7 4 3" xfId="10918" xr:uid="{00000000-0005-0000-0000-00007D960000}"/>
    <cellStyle name="Note 4 4 7 4 4" xfId="14762" xr:uid="{00000000-0005-0000-0000-00007E960000}"/>
    <cellStyle name="Note 4 4 7 4 5" xfId="18598" xr:uid="{00000000-0005-0000-0000-00007F960000}"/>
    <cellStyle name="Note 4 4 7 4 6" xfId="22531" xr:uid="{00000000-0005-0000-0000-000080960000}"/>
    <cellStyle name="Note 4 4 7 4 7" xfId="26349" xr:uid="{00000000-0005-0000-0000-000081960000}"/>
    <cellStyle name="Note 4 4 7 4 8" xfId="30228" xr:uid="{00000000-0005-0000-0000-000082960000}"/>
    <cellStyle name="Note 4 4 7 4 9" xfId="33895" xr:uid="{00000000-0005-0000-0000-000083960000}"/>
    <cellStyle name="Note 4 4 7 5" xfId="4570" xr:uid="{00000000-0005-0000-0000-000084960000}"/>
    <cellStyle name="Note 4 4 7 6" xfId="8910" xr:uid="{00000000-0005-0000-0000-000085960000}"/>
    <cellStyle name="Note 4 4 7 7" xfId="10381" xr:uid="{00000000-0005-0000-0000-000086960000}"/>
    <cellStyle name="Note 4 4 7 8" xfId="14221" xr:uid="{00000000-0005-0000-0000-000087960000}"/>
    <cellStyle name="Note 4 4 7 9" xfId="20514" xr:uid="{00000000-0005-0000-0000-000088960000}"/>
    <cellStyle name="Note 4 4 8" xfId="761" xr:uid="{00000000-0005-0000-0000-000089960000}"/>
    <cellStyle name="Note 4 4 8 10" xfId="24490" xr:uid="{00000000-0005-0000-0000-00008A960000}"/>
    <cellStyle name="Note 4 4 8 11" xfId="28380" xr:uid="{00000000-0005-0000-0000-00008B960000}"/>
    <cellStyle name="Note 4 4 8 12" xfId="24873" xr:uid="{00000000-0005-0000-0000-00008C960000}"/>
    <cellStyle name="Note 4 4 8 13" xfId="35825" xr:uid="{00000000-0005-0000-0000-00008D960000}"/>
    <cellStyle name="Note 4 4 8 14" xfId="39844" xr:uid="{00000000-0005-0000-0000-00008E960000}"/>
    <cellStyle name="Note 4 4 8 15" xfId="43651" xr:uid="{00000000-0005-0000-0000-00008F960000}"/>
    <cellStyle name="Note 4 4 8 2" xfId="1131" xr:uid="{00000000-0005-0000-0000-000090960000}"/>
    <cellStyle name="Note 4 4 8 2 10" xfId="28740" xr:uid="{00000000-0005-0000-0000-000091960000}"/>
    <cellStyle name="Note 4 4 8 2 11" xfId="32428" xr:uid="{00000000-0005-0000-0000-000092960000}"/>
    <cellStyle name="Note 4 4 8 2 12" xfId="36189" xr:uid="{00000000-0005-0000-0000-000093960000}"/>
    <cellStyle name="Note 4 4 8 2 13" xfId="40190" xr:uid="{00000000-0005-0000-0000-000094960000}"/>
    <cellStyle name="Note 4 4 8 2 14" xfId="44015" xr:uid="{00000000-0005-0000-0000-000095960000}"/>
    <cellStyle name="Note 4 4 8 2 2" xfId="1858" xr:uid="{00000000-0005-0000-0000-000096960000}"/>
    <cellStyle name="Note 4 4 8 2 2 10" xfId="33145" xr:uid="{00000000-0005-0000-0000-000097960000}"/>
    <cellStyle name="Note 4 4 8 2 2 11" xfId="36915" xr:uid="{00000000-0005-0000-0000-000098960000}"/>
    <cellStyle name="Note 4 4 8 2 2 12" xfId="40906" xr:uid="{00000000-0005-0000-0000-000099960000}"/>
    <cellStyle name="Note 4 4 8 2 2 13" xfId="44737" xr:uid="{00000000-0005-0000-0000-00009A960000}"/>
    <cellStyle name="Note 4 4 8 2 2 2" xfId="3848" xr:uid="{00000000-0005-0000-0000-00009B960000}"/>
    <cellStyle name="Note 4 4 8 2 2 2 10" xfId="38899" xr:uid="{00000000-0005-0000-0000-00009C960000}"/>
    <cellStyle name="Note 4 4 8 2 2 2 11" xfId="42910" xr:uid="{00000000-0005-0000-0000-00009D960000}"/>
    <cellStyle name="Note 4 4 8 2 2 2 12" xfId="46675" xr:uid="{00000000-0005-0000-0000-00009E960000}"/>
    <cellStyle name="Note 4 4 8 2 2 2 2" xfId="7715" xr:uid="{00000000-0005-0000-0000-00009F960000}"/>
    <cellStyle name="Note 4 4 8 2 2 2 3" xfId="12150" xr:uid="{00000000-0005-0000-0000-0000A0960000}"/>
    <cellStyle name="Note 4 4 8 2 2 2 4" xfId="15995" xr:uid="{00000000-0005-0000-0000-0000A1960000}"/>
    <cellStyle name="Note 4 4 8 2 2 2 5" xfId="19842" xr:uid="{00000000-0005-0000-0000-0000A2960000}"/>
    <cellStyle name="Note 4 4 8 2 2 2 6" xfId="23758" xr:uid="{00000000-0005-0000-0000-0000A3960000}"/>
    <cellStyle name="Note 4 4 8 2 2 2 7" xfId="27592" xr:uid="{00000000-0005-0000-0000-0000A4960000}"/>
    <cellStyle name="Note 4 4 8 2 2 2 8" xfId="31455" xr:uid="{00000000-0005-0000-0000-0000A5960000}"/>
    <cellStyle name="Note 4 4 8 2 2 2 9" xfId="35113" xr:uid="{00000000-0005-0000-0000-0000A6960000}"/>
    <cellStyle name="Note 4 4 8 2 2 3" xfId="5791" xr:uid="{00000000-0005-0000-0000-0000A7960000}"/>
    <cellStyle name="Note 4 4 8 2 2 4" xfId="10149" xr:uid="{00000000-0005-0000-0000-0000A8960000}"/>
    <cellStyle name="Note 4 4 8 2 2 5" xfId="13995" xr:uid="{00000000-0005-0000-0000-0000A9960000}"/>
    <cellStyle name="Note 4 4 8 2 2 6" xfId="17824" xr:uid="{00000000-0005-0000-0000-0000AA960000}"/>
    <cellStyle name="Note 4 4 8 2 2 7" xfId="21763" xr:uid="{00000000-0005-0000-0000-0000AB960000}"/>
    <cellStyle name="Note 4 4 8 2 2 8" xfId="25576" xr:uid="{00000000-0005-0000-0000-0000AC960000}"/>
    <cellStyle name="Note 4 4 8 2 2 9" xfId="29463" xr:uid="{00000000-0005-0000-0000-0000AD960000}"/>
    <cellStyle name="Note 4 4 8 2 3" xfId="3121" xr:uid="{00000000-0005-0000-0000-0000AE960000}"/>
    <cellStyle name="Note 4 4 8 2 3 10" xfId="38173" xr:uid="{00000000-0005-0000-0000-0000AF960000}"/>
    <cellStyle name="Note 4 4 8 2 3 11" xfId="42185" xr:uid="{00000000-0005-0000-0000-0000B0960000}"/>
    <cellStyle name="Note 4 4 8 2 3 12" xfId="45958" xr:uid="{00000000-0005-0000-0000-0000B1960000}"/>
    <cellStyle name="Note 4 4 8 2 3 2" xfId="6997" xr:uid="{00000000-0005-0000-0000-0000B2960000}"/>
    <cellStyle name="Note 4 4 8 2 3 3" xfId="11426" xr:uid="{00000000-0005-0000-0000-0000B3960000}"/>
    <cellStyle name="Note 4 4 8 2 3 4" xfId="15270" xr:uid="{00000000-0005-0000-0000-0000B4960000}"/>
    <cellStyle name="Note 4 4 8 2 3 5" xfId="19115" xr:uid="{00000000-0005-0000-0000-0000B5960000}"/>
    <cellStyle name="Note 4 4 8 2 3 6" xfId="23037" xr:uid="{00000000-0005-0000-0000-0000B6960000}"/>
    <cellStyle name="Note 4 4 8 2 3 7" xfId="26866" xr:uid="{00000000-0005-0000-0000-0000B7960000}"/>
    <cellStyle name="Note 4 4 8 2 3 8" xfId="30738" xr:uid="{00000000-0005-0000-0000-0000B8960000}"/>
    <cellStyle name="Note 4 4 8 2 3 9" xfId="34396" xr:uid="{00000000-0005-0000-0000-0000B9960000}"/>
    <cellStyle name="Note 4 4 8 2 4" xfId="5073" xr:uid="{00000000-0005-0000-0000-0000BA960000}"/>
    <cellStyle name="Note 4 4 8 2 5" xfId="9429" xr:uid="{00000000-0005-0000-0000-0000BB960000}"/>
    <cellStyle name="Note 4 4 8 2 6" xfId="13269" xr:uid="{00000000-0005-0000-0000-0000BC960000}"/>
    <cellStyle name="Note 4 4 8 2 7" xfId="17097" xr:uid="{00000000-0005-0000-0000-0000BD960000}"/>
    <cellStyle name="Note 4 4 8 2 8" xfId="21039" xr:uid="{00000000-0005-0000-0000-0000BE960000}"/>
    <cellStyle name="Note 4 4 8 2 9" xfId="24853" xr:uid="{00000000-0005-0000-0000-0000BF960000}"/>
    <cellStyle name="Note 4 4 8 3" xfId="1505" xr:uid="{00000000-0005-0000-0000-0000C0960000}"/>
    <cellStyle name="Note 4 4 8 3 10" xfId="32792" xr:uid="{00000000-0005-0000-0000-0000C1960000}"/>
    <cellStyle name="Note 4 4 8 3 11" xfId="36562" xr:uid="{00000000-0005-0000-0000-0000C2960000}"/>
    <cellStyle name="Note 4 4 8 3 12" xfId="40553" xr:uid="{00000000-0005-0000-0000-0000C3960000}"/>
    <cellStyle name="Note 4 4 8 3 13" xfId="44384" xr:uid="{00000000-0005-0000-0000-0000C4960000}"/>
    <cellStyle name="Note 4 4 8 3 2" xfId="3495" xr:uid="{00000000-0005-0000-0000-0000C5960000}"/>
    <cellStyle name="Note 4 4 8 3 2 10" xfId="38546" xr:uid="{00000000-0005-0000-0000-0000C6960000}"/>
    <cellStyle name="Note 4 4 8 3 2 11" xfId="42557" xr:uid="{00000000-0005-0000-0000-0000C7960000}"/>
    <cellStyle name="Note 4 4 8 3 2 12" xfId="46322" xr:uid="{00000000-0005-0000-0000-0000C8960000}"/>
    <cellStyle name="Note 4 4 8 3 2 2" xfId="7362" xr:uid="{00000000-0005-0000-0000-0000C9960000}"/>
    <cellStyle name="Note 4 4 8 3 2 3" xfId="11797" xr:uid="{00000000-0005-0000-0000-0000CA960000}"/>
    <cellStyle name="Note 4 4 8 3 2 4" xfId="15642" xr:uid="{00000000-0005-0000-0000-0000CB960000}"/>
    <cellStyle name="Note 4 4 8 3 2 5" xfId="19489" xr:uid="{00000000-0005-0000-0000-0000CC960000}"/>
    <cellStyle name="Note 4 4 8 3 2 6" xfId="23405" xr:uid="{00000000-0005-0000-0000-0000CD960000}"/>
    <cellStyle name="Note 4 4 8 3 2 7" xfId="27239" xr:uid="{00000000-0005-0000-0000-0000CE960000}"/>
    <cellStyle name="Note 4 4 8 3 2 8" xfId="31106" xr:uid="{00000000-0005-0000-0000-0000CF960000}"/>
    <cellStyle name="Note 4 4 8 3 2 9" xfId="34760" xr:uid="{00000000-0005-0000-0000-0000D0960000}"/>
    <cellStyle name="Note 4 4 8 3 3" xfId="5438" xr:uid="{00000000-0005-0000-0000-0000D1960000}"/>
    <cellStyle name="Note 4 4 8 3 4" xfId="9796" xr:uid="{00000000-0005-0000-0000-0000D2960000}"/>
    <cellStyle name="Note 4 4 8 3 5" xfId="13642" xr:uid="{00000000-0005-0000-0000-0000D3960000}"/>
    <cellStyle name="Note 4 4 8 3 6" xfId="17471" xr:uid="{00000000-0005-0000-0000-0000D4960000}"/>
    <cellStyle name="Note 4 4 8 3 7" xfId="21410" xr:uid="{00000000-0005-0000-0000-0000D5960000}"/>
    <cellStyle name="Note 4 4 8 3 8" xfId="25223" xr:uid="{00000000-0005-0000-0000-0000D6960000}"/>
    <cellStyle name="Note 4 4 8 3 9" xfId="29110" xr:uid="{00000000-0005-0000-0000-0000D7960000}"/>
    <cellStyle name="Note 4 4 8 4" xfId="2757" xr:uid="{00000000-0005-0000-0000-0000D8960000}"/>
    <cellStyle name="Note 4 4 8 4 10" xfId="37809" xr:uid="{00000000-0005-0000-0000-0000D9960000}"/>
    <cellStyle name="Note 4 4 8 4 11" xfId="41822" xr:uid="{00000000-0005-0000-0000-0000DA960000}"/>
    <cellStyle name="Note 4 4 8 4 12" xfId="45605" xr:uid="{00000000-0005-0000-0000-0000DB960000}"/>
    <cellStyle name="Note 4 4 8 4 2" xfId="6643" xr:uid="{00000000-0005-0000-0000-0000DC960000}"/>
    <cellStyle name="Note 4 4 8 4 3" xfId="11067" xr:uid="{00000000-0005-0000-0000-0000DD960000}"/>
    <cellStyle name="Note 4 4 8 4 4" xfId="14912" xr:uid="{00000000-0005-0000-0000-0000DE960000}"/>
    <cellStyle name="Note 4 4 8 4 5" xfId="18751" xr:uid="{00000000-0005-0000-0000-0000DF960000}"/>
    <cellStyle name="Note 4 4 8 4 6" xfId="22681" xr:uid="{00000000-0005-0000-0000-0000E0960000}"/>
    <cellStyle name="Note 4 4 8 4 7" xfId="26502" xr:uid="{00000000-0005-0000-0000-0000E1960000}"/>
    <cellStyle name="Note 4 4 8 4 8" xfId="30380" xr:uid="{00000000-0005-0000-0000-0000E2960000}"/>
    <cellStyle name="Note 4 4 8 4 9" xfId="34043" xr:uid="{00000000-0005-0000-0000-0000E3960000}"/>
    <cellStyle name="Note 4 4 8 5" xfId="4719" xr:uid="{00000000-0005-0000-0000-0000E4960000}"/>
    <cellStyle name="Note 4 4 8 6" xfId="9066" xr:uid="{00000000-0005-0000-0000-0000E5960000}"/>
    <cellStyle name="Note 4 4 8 7" xfId="12905" xr:uid="{00000000-0005-0000-0000-0000E6960000}"/>
    <cellStyle name="Note 4 4 8 8" xfId="16731" xr:uid="{00000000-0005-0000-0000-0000E7960000}"/>
    <cellStyle name="Note 4 4 8 9" xfId="20670" xr:uid="{00000000-0005-0000-0000-0000E8960000}"/>
    <cellStyle name="Note 4 4 9" xfId="860" xr:uid="{00000000-0005-0000-0000-0000E9960000}"/>
    <cellStyle name="Note 4 4 9 10" xfId="24584" xr:uid="{00000000-0005-0000-0000-0000EA960000}"/>
    <cellStyle name="Note 4 4 9 11" xfId="28475" xr:uid="{00000000-0005-0000-0000-0000EB960000}"/>
    <cellStyle name="Note 4 4 9 12" xfId="32161" xr:uid="{00000000-0005-0000-0000-0000EC960000}"/>
    <cellStyle name="Note 4 4 9 13" xfId="35918" xr:uid="{00000000-0005-0000-0000-0000ED960000}"/>
    <cellStyle name="Note 4 4 9 14" xfId="39929" xr:uid="{00000000-0005-0000-0000-0000EE960000}"/>
    <cellStyle name="Note 4 4 9 15" xfId="43744" xr:uid="{00000000-0005-0000-0000-0000EF960000}"/>
    <cellStyle name="Note 4 4 9 2" xfId="1199" xr:uid="{00000000-0005-0000-0000-0000F0960000}"/>
    <cellStyle name="Note 4 4 9 2 10" xfId="28808" xr:uid="{00000000-0005-0000-0000-0000F1960000}"/>
    <cellStyle name="Note 4 4 9 2 11" xfId="32491" xr:uid="{00000000-0005-0000-0000-0000F2960000}"/>
    <cellStyle name="Note 4 4 9 2 12" xfId="36257" xr:uid="{00000000-0005-0000-0000-0000F3960000}"/>
    <cellStyle name="Note 4 4 9 2 13" xfId="40251" xr:uid="{00000000-0005-0000-0000-0000F4960000}"/>
    <cellStyle name="Note 4 4 9 2 14" xfId="44083" xr:uid="{00000000-0005-0000-0000-0000F5960000}"/>
    <cellStyle name="Note 4 4 9 2 2" xfId="1921" xr:uid="{00000000-0005-0000-0000-0000F6960000}"/>
    <cellStyle name="Note 4 4 9 2 2 10" xfId="33208" xr:uid="{00000000-0005-0000-0000-0000F7960000}"/>
    <cellStyle name="Note 4 4 9 2 2 11" xfId="36978" xr:uid="{00000000-0005-0000-0000-0000F8960000}"/>
    <cellStyle name="Note 4 4 9 2 2 12" xfId="40969" xr:uid="{00000000-0005-0000-0000-0000F9960000}"/>
    <cellStyle name="Note 4 4 9 2 2 13" xfId="44800" xr:uid="{00000000-0005-0000-0000-0000FA960000}"/>
    <cellStyle name="Note 4 4 9 2 2 2" xfId="3911" xr:uid="{00000000-0005-0000-0000-0000FB960000}"/>
    <cellStyle name="Note 4 4 9 2 2 2 10" xfId="38962" xr:uid="{00000000-0005-0000-0000-0000FC960000}"/>
    <cellStyle name="Note 4 4 9 2 2 2 11" xfId="42973" xr:uid="{00000000-0005-0000-0000-0000FD960000}"/>
    <cellStyle name="Note 4 4 9 2 2 2 12" xfId="46738" xr:uid="{00000000-0005-0000-0000-0000FE960000}"/>
    <cellStyle name="Note 4 4 9 2 2 2 2" xfId="7778" xr:uid="{00000000-0005-0000-0000-0000FF960000}"/>
    <cellStyle name="Note 4 4 9 2 2 2 3" xfId="12213" xr:uid="{00000000-0005-0000-0000-000000970000}"/>
    <cellStyle name="Note 4 4 9 2 2 2 4" xfId="16058" xr:uid="{00000000-0005-0000-0000-000001970000}"/>
    <cellStyle name="Note 4 4 9 2 2 2 5" xfId="19905" xr:uid="{00000000-0005-0000-0000-000002970000}"/>
    <cellStyle name="Note 4 4 9 2 2 2 6" xfId="23821" xr:uid="{00000000-0005-0000-0000-000003970000}"/>
    <cellStyle name="Note 4 4 9 2 2 2 7" xfId="27655" xr:uid="{00000000-0005-0000-0000-000004970000}"/>
    <cellStyle name="Note 4 4 9 2 2 2 8" xfId="31517" xr:uid="{00000000-0005-0000-0000-000005970000}"/>
    <cellStyle name="Note 4 4 9 2 2 2 9" xfId="35176" xr:uid="{00000000-0005-0000-0000-000006970000}"/>
    <cellStyle name="Note 4 4 9 2 2 3" xfId="5854" xr:uid="{00000000-0005-0000-0000-000007970000}"/>
    <cellStyle name="Note 4 4 9 2 2 4" xfId="10212" xr:uid="{00000000-0005-0000-0000-000008970000}"/>
    <cellStyle name="Note 4 4 9 2 2 5" xfId="14058" xr:uid="{00000000-0005-0000-0000-000009970000}"/>
    <cellStyle name="Note 4 4 9 2 2 6" xfId="17887" xr:uid="{00000000-0005-0000-0000-00000A970000}"/>
    <cellStyle name="Note 4 4 9 2 2 7" xfId="21826" xr:uid="{00000000-0005-0000-0000-00000B970000}"/>
    <cellStyle name="Note 4 4 9 2 2 8" xfId="25639" xr:uid="{00000000-0005-0000-0000-00000C970000}"/>
    <cellStyle name="Note 4 4 9 2 2 9" xfId="29526" xr:uid="{00000000-0005-0000-0000-00000D970000}"/>
    <cellStyle name="Note 4 4 9 2 3" xfId="3189" xr:uid="{00000000-0005-0000-0000-00000E970000}"/>
    <cellStyle name="Note 4 4 9 2 3 10" xfId="38241" xr:uid="{00000000-0005-0000-0000-00000F970000}"/>
    <cellStyle name="Note 4 4 9 2 3 11" xfId="42252" xr:uid="{00000000-0005-0000-0000-000010970000}"/>
    <cellStyle name="Note 4 4 9 2 3 12" xfId="46021" xr:uid="{00000000-0005-0000-0000-000011970000}"/>
    <cellStyle name="Note 4 4 9 2 3 2" xfId="7061" xr:uid="{00000000-0005-0000-0000-000012970000}"/>
    <cellStyle name="Note 4 4 9 2 3 3" xfId="11493" xr:uid="{00000000-0005-0000-0000-000013970000}"/>
    <cellStyle name="Note 4 4 9 2 3 4" xfId="15337" xr:uid="{00000000-0005-0000-0000-000014970000}"/>
    <cellStyle name="Note 4 4 9 2 3 5" xfId="19183" xr:uid="{00000000-0005-0000-0000-000015970000}"/>
    <cellStyle name="Note 4 4 9 2 3 6" xfId="23102" xr:uid="{00000000-0005-0000-0000-000016970000}"/>
    <cellStyle name="Note 4 4 9 2 3 7" xfId="26934" xr:uid="{00000000-0005-0000-0000-000017970000}"/>
    <cellStyle name="Note 4 4 9 2 3 8" xfId="30805" xr:uid="{00000000-0005-0000-0000-000018970000}"/>
    <cellStyle name="Note 4 4 9 2 3 9" xfId="34459" xr:uid="{00000000-0005-0000-0000-000019970000}"/>
    <cellStyle name="Note 4 4 9 2 4" xfId="5137" xr:uid="{00000000-0005-0000-0000-00001A970000}"/>
    <cellStyle name="Note 4 4 9 2 5" xfId="9493" xr:uid="{00000000-0005-0000-0000-00001B970000}"/>
    <cellStyle name="Note 4 4 9 2 6" xfId="13337" xr:uid="{00000000-0005-0000-0000-00001C970000}"/>
    <cellStyle name="Note 4 4 9 2 7" xfId="17165" xr:uid="{00000000-0005-0000-0000-00001D970000}"/>
    <cellStyle name="Note 4 4 9 2 8" xfId="21107" xr:uid="{00000000-0005-0000-0000-00001E970000}"/>
    <cellStyle name="Note 4 4 9 2 9" xfId="24918" xr:uid="{00000000-0005-0000-0000-00001F970000}"/>
    <cellStyle name="Note 4 4 9 3" xfId="1591" xr:uid="{00000000-0005-0000-0000-000020970000}"/>
    <cellStyle name="Note 4 4 9 3 10" xfId="32878" xr:uid="{00000000-0005-0000-0000-000021970000}"/>
    <cellStyle name="Note 4 4 9 3 11" xfId="36648" xr:uid="{00000000-0005-0000-0000-000022970000}"/>
    <cellStyle name="Note 4 4 9 3 12" xfId="40639" xr:uid="{00000000-0005-0000-0000-000023970000}"/>
    <cellStyle name="Note 4 4 9 3 13" xfId="44470" xr:uid="{00000000-0005-0000-0000-000024970000}"/>
    <cellStyle name="Note 4 4 9 3 2" xfId="3581" xr:uid="{00000000-0005-0000-0000-000025970000}"/>
    <cellStyle name="Note 4 4 9 3 2 10" xfId="38632" xr:uid="{00000000-0005-0000-0000-000026970000}"/>
    <cellStyle name="Note 4 4 9 3 2 11" xfId="42643" xr:uid="{00000000-0005-0000-0000-000027970000}"/>
    <cellStyle name="Note 4 4 9 3 2 12" xfId="46408" xr:uid="{00000000-0005-0000-0000-000028970000}"/>
    <cellStyle name="Note 4 4 9 3 2 2" xfId="7448" xr:uid="{00000000-0005-0000-0000-000029970000}"/>
    <cellStyle name="Note 4 4 9 3 2 3" xfId="11883" xr:uid="{00000000-0005-0000-0000-00002A970000}"/>
    <cellStyle name="Note 4 4 9 3 2 4" xfId="15728" xr:uid="{00000000-0005-0000-0000-00002B970000}"/>
    <cellStyle name="Note 4 4 9 3 2 5" xfId="19575" xr:uid="{00000000-0005-0000-0000-00002C970000}"/>
    <cellStyle name="Note 4 4 9 3 2 6" xfId="23491" xr:uid="{00000000-0005-0000-0000-00002D970000}"/>
    <cellStyle name="Note 4 4 9 3 2 7" xfId="27325" xr:uid="{00000000-0005-0000-0000-00002E970000}"/>
    <cellStyle name="Note 4 4 9 3 2 8" xfId="31191" xr:uid="{00000000-0005-0000-0000-00002F970000}"/>
    <cellStyle name="Note 4 4 9 3 2 9" xfId="34846" xr:uid="{00000000-0005-0000-0000-000030970000}"/>
    <cellStyle name="Note 4 4 9 3 3" xfId="5524" xr:uid="{00000000-0005-0000-0000-000031970000}"/>
    <cellStyle name="Note 4 4 9 3 4" xfId="9882" xr:uid="{00000000-0005-0000-0000-000032970000}"/>
    <cellStyle name="Note 4 4 9 3 5" xfId="13728" xr:uid="{00000000-0005-0000-0000-000033970000}"/>
    <cellStyle name="Note 4 4 9 3 6" xfId="17557" xr:uid="{00000000-0005-0000-0000-000034970000}"/>
    <cellStyle name="Note 4 4 9 3 7" xfId="21496" xr:uid="{00000000-0005-0000-0000-000035970000}"/>
    <cellStyle name="Note 4 4 9 3 8" xfId="25309" xr:uid="{00000000-0005-0000-0000-000036970000}"/>
    <cellStyle name="Note 4 4 9 3 9" xfId="29196" xr:uid="{00000000-0005-0000-0000-000037970000}"/>
    <cellStyle name="Note 4 4 9 4" xfId="2850" xr:uid="{00000000-0005-0000-0000-000038970000}"/>
    <cellStyle name="Note 4 4 9 4 10" xfId="37902" xr:uid="{00000000-0005-0000-0000-000039970000}"/>
    <cellStyle name="Note 4 4 9 4 11" xfId="41914" xr:uid="{00000000-0005-0000-0000-00003A970000}"/>
    <cellStyle name="Note 4 4 9 4 12" xfId="45691" xr:uid="{00000000-0005-0000-0000-00003B970000}"/>
    <cellStyle name="Note 4 4 9 4 2" xfId="6730" xr:uid="{00000000-0005-0000-0000-00003C970000}"/>
    <cellStyle name="Note 4 4 9 4 3" xfId="11157" xr:uid="{00000000-0005-0000-0000-00003D970000}"/>
    <cellStyle name="Note 4 4 9 4 4" xfId="15002" xr:uid="{00000000-0005-0000-0000-00003E970000}"/>
    <cellStyle name="Note 4 4 9 4 5" xfId="18844" xr:uid="{00000000-0005-0000-0000-00003F970000}"/>
    <cellStyle name="Note 4 4 9 4 6" xfId="22770" xr:uid="{00000000-0005-0000-0000-000040970000}"/>
    <cellStyle name="Note 4 4 9 4 7" xfId="26595" xr:uid="{00000000-0005-0000-0000-000041970000}"/>
    <cellStyle name="Note 4 4 9 4 8" xfId="30472" xr:uid="{00000000-0005-0000-0000-000042970000}"/>
    <cellStyle name="Note 4 4 9 4 9" xfId="34129" xr:uid="{00000000-0005-0000-0000-000043970000}"/>
    <cellStyle name="Note 4 4 9 5" xfId="4806" xr:uid="{00000000-0005-0000-0000-000044970000}"/>
    <cellStyle name="Note 4 4 9 6" xfId="9160" xr:uid="{00000000-0005-0000-0000-000045970000}"/>
    <cellStyle name="Note 4 4 9 7" xfId="13001" xr:uid="{00000000-0005-0000-0000-000046970000}"/>
    <cellStyle name="Note 4 4 9 8" xfId="16826" xr:uid="{00000000-0005-0000-0000-000047970000}"/>
    <cellStyle name="Note 4 4 9 9" xfId="20768" xr:uid="{00000000-0005-0000-0000-000048970000}"/>
    <cellStyle name="Note 4 5" xfId="492" xr:uid="{00000000-0005-0000-0000-000049970000}"/>
    <cellStyle name="Note 4 5 10" xfId="1986" xr:uid="{00000000-0005-0000-0000-00004A970000}"/>
    <cellStyle name="Note 4 5 10 10" xfId="33273" xr:uid="{00000000-0005-0000-0000-00004B970000}"/>
    <cellStyle name="Note 4 5 10 11" xfId="37043" xr:uid="{00000000-0005-0000-0000-00004C970000}"/>
    <cellStyle name="Note 4 5 10 12" xfId="41034" xr:uid="{00000000-0005-0000-0000-00004D970000}"/>
    <cellStyle name="Note 4 5 10 13" xfId="44865" xr:uid="{00000000-0005-0000-0000-00004E970000}"/>
    <cellStyle name="Note 4 5 10 2" xfId="3976" xr:uid="{00000000-0005-0000-0000-00004F970000}"/>
    <cellStyle name="Note 4 5 10 2 10" xfId="39027" xr:uid="{00000000-0005-0000-0000-000050970000}"/>
    <cellStyle name="Note 4 5 10 2 11" xfId="43038" xr:uid="{00000000-0005-0000-0000-000051970000}"/>
    <cellStyle name="Note 4 5 10 2 12" xfId="46803" xr:uid="{00000000-0005-0000-0000-000052970000}"/>
    <cellStyle name="Note 4 5 10 2 2" xfId="7843" xr:uid="{00000000-0005-0000-0000-000053970000}"/>
    <cellStyle name="Note 4 5 10 2 3" xfId="12278" xr:uid="{00000000-0005-0000-0000-000054970000}"/>
    <cellStyle name="Note 4 5 10 2 4" xfId="16123" xr:uid="{00000000-0005-0000-0000-000055970000}"/>
    <cellStyle name="Note 4 5 10 2 5" xfId="19970" xr:uid="{00000000-0005-0000-0000-000056970000}"/>
    <cellStyle name="Note 4 5 10 2 6" xfId="23886" xr:uid="{00000000-0005-0000-0000-000057970000}"/>
    <cellStyle name="Note 4 5 10 2 7" xfId="27720" xr:uid="{00000000-0005-0000-0000-000058970000}"/>
    <cellStyle name="Note 4 5 10 2 8" xfId="31580" xr:uid="{00000000-0005-0000-0000-000059970000}"/>
    <cellStyle name="Note 4 5 10 2 9" xfId="35241" xr:uid="{00000000-0005-0000-0000-00005A970000}"/>
    <cellStyle name="Note 4 5 10 3" xfId="5919" xr:uid="{00000000-0005-0000-0000-00005B970000}"/>
    <cellStyle name="Note 4 5 10 4" xfId="10277" xr:uid="{00000000-0005-0000-0000-00005C970000}"/>
    <cellStyle name="Note 4 5 10 5" xfId="14123" xr:uid="{00000000-0005-0000-0000-00005D970000}"/>
    <cellStyle name="Note 4 5 10 6" xfId="17952" xr:uid="{00000000-0005-0000-0000-00005E970000}"/>
    <cellStyle name="Note 4 5 10 7" xfId="21891" xr:uid="{00000000-0005-0000-0000-00005F970000}"/>
    <cellStyle name="Note 4 5 10 8" xfId="25704" xr:uid="{00000000-0005-0000-0000-000060970000}"/>
    <cellStyle name="Note 4 5 10 9" xfId="29591" xr:uid="{00000000-0005-0000-0000-000061970000}"/>
    <cellStyle name="Note 4 5 11" xfId="1256" xr:uid="{00000000-0005-0000-0000-000062970000}"/>
    <cellStyle name="Note 4 5 11 10" xfId="32543" xr:uid="{00000000-0005-0000-0000-000063970000}"/>
    <cellStyle name="Note 4 5 11 11" xfId="36313" xr:uid="{00000000-0005-0000-0000-000064970000}"/>
    <cellStyle name="Note 4 5 11 12" xfId="40305" xr:uid="{00000000-0005-0000-0000-000065970000}"/>
    <cellStyle name="Note 4 5 11 13" xfId="44135" xr:uid="{00000000-0005-0000-0000-000066970000}"/>
    <cellStyle name="Note 4 5 11 2" xfId="3246" xr:uid="{00000000-0005-0000-0000-000067970000}"/>
    <cellStyle name="Note 4 5 11 2 10" xfId="38297" xr:uid="{00000000-0005-0000-0000-000068970000}"/>
    <cellStyle name="Note 4 5 11 2 11" xfId="42308" xr:uid="{00000000-0005-0000-0000-000069970000}"/>
    <cellStyle name="Note 4 5 11 2 12" xfId="46073" xr:uid="{00000000-0005-0000-0000-00006A970000}"/>
    <cellStyle name="Note 4 5 11 2 2" xfId="7113" xr:uid="{00000000-0005-0000-0000-00006B970000}"/>
    <cellStyle name="Note 4 5 11 2 3" xfId="11548" xr:uid="{00000000-0005-0000-0000-00006C970000}"/>
    <cellStyle name="Note 4 5 11 2 4" xfId="15393" xr:uid="{00000000-0005-0000-0000-00006D970000}"/>
    <cellStyle name="Note 4 5 11 2 5" xfId="19240" xr:uid="{00000000-0005-0000-0000-00006E970000}"/>
    <cellStyle name="Note 4 5 11 2 6" xfId="23156" xr:uid="{00000000-0005-0000-0000-00006F970000}"/>
    <cellStyle name="Note 4 5 11 2 7" xfId="26990" xr:uid="{00000000-0005-0000-0000-000070970000}"/>
    <cellStyle name="Note 4 5 11 2 8" xfId="30860" xr:uid="{00000000-0005-0000-0000-000071970000}"/>
    <cellStyle name="Note 4 5 11 2 9" xfId="34511" xr:uid="{00000000-0005-0000-0000-000072970000}"/>
    <cellStyle name="Note 4 5 11 3" xfId="5189" xr:uid="{00000000-0005-0000-0000-000073970000}"/>
    <cellStyle name="Note 4 5 11 4" xfId="9547" xr:uid="{00000000-0005-0000-0000-000074970000}"/>
    <cellStyle name="Note 4 5 11 5" xfId="13393" xr:uid="{00000000-0005-0000-0000-000075970000}"/>
    <cellStyle name="Note 4 5 11 6" xfId="17222" xr:uid="{00000000-0005-0000-0000-000076970000}"/>
    <cellStyle name="Note 4 5 11 7" xfId="21161" xr:uid="{00000000-0005-0000-0000-000077970000}"/>
    <cellStyle name="Note 4 5 11 8" xfId="24974" xr:uid="{00000000-0005-0000-0000-000078970000}"/>
    <cellStyle name="Note 4 5 11 9" xfId="28862" xr:uid="{00000000-0005-0000-0000-000079970000}"/>
    <cellStyle name="Note 4 5 12" xfId="2171" xr:uid="{00000000-0005-0000-0000-00007A970000}"/>
    <cellStyle name="Note 4 5 12 10" xfId="33472" xr:uid="{00000000-0005-0000-0000-00007B970000}"/>
    <cellStyle name="Note 4 5 12 11" xfId="37223" xr:uid="{00000000-0005-0000-0000-00007C970000}"/>
    <cellStyle name="Note 4 5 12 12" xfId="41239" xr:uid="{00000000-0005-0000-0000-00007D970000}"/>
    <cellStyle name="Note 4 5 12 13" xfId="45034" xr:uid="{00000000-0005-0000-0000-00007E970000}"/>
    <cellStyle name="Note 4 5 12 2" xfId="4154" xr:uid="{00000000-0005-0000-0000-00007F970000}"/>
    <cellStyle name="Note 4 5 12 2 10" xfId="39205" xr:uid="{00000000-0005-0000-0000-000080970000}"/>
    <cellStyle name="Note 4 5 12 2 11" xfId="43215" xr:uid="{00000000-0005-0000-0000-000081970000}"/>
    <cellStyle name="Note 4 5 12 2 12" xfId="46972" xr:uid="{00000000-0005-0000-0000-000082970000}"/>
    <cellStyle name="Note 4 5 12 2 2" xfId="8013" xr:uid="{00000000-0005-0000-0000-000083970000}"/>
    <cellStyle name="Note 4 5 12 2 3" xfId="12453" xr:uid="{00000000-0005-0000-0000-000084970000}"/>
    <cellStyle name="Note 4 5 12 2 4" xfId="16298" xr:uid="{00000000-0005-0000-0000-000085970000}"/>
    <cellStyle name="Note 4 5 12 2 5" xfId="20148" xr:uid="{00000000-0005-0000-0000-000086970000}"/>
    <cellStyle name="Note 4 5 12 2 6" xfId="24060" xr:uid="{00000000-0005-0000-0000-000087970000}"/>
    <cellStyle name="Note 4 5 12 2 7" xfId="27898" xr:uid="{00000000-0005-0000-0000-000088970000}"/>
    <cellStyle name="Note 4 5 12 2 8" xfId="31757" xr:uid="{00000000-0005-0000-0000-000089970000}"/>
    <cellStyle name="Note 4 5 12 2 9" xfId="35410" xr:uid="{00000000-0005-0000-0000-00008A970000}"/>
    <cellStyle name="Note 4 5 12 3" xfId="6087" xr:uid="{00000000-0005-0000-0000-00008B970000}"/>
    <cellStyle name="Note 4 5 12 4" xfId="10488" xr:uid="{00000000-0005-0000-0000-00008C970000}"/>
    <cellStyle name="Note 4 5 12 5" xfId="14334" xr:uid="{00000000-0005-0000-0000-00008D970000}"/>
    <cellStyle name="Note 4 5 12 6" xfId="18165" xr:uid="{00000000-0005-0000-0000-00008E970000}"/>
    <cellStyle name="Note 4 5 12 7" xfId="22104" xr:uid="{00000000-0005-0000-0000-00008F970000}"/>
    <cellStyle name="Note 4 5 12 8" xfId="25916" xr:uid="{00000000-0005-0000-0000-000090970000}"/>
    <cellStyle name="Note 4 5 12 9" xfId="29796" xr:uid="{00000000-0005-0000-0000-000091970000}"/>
    <cellStyle name="Note 4 5 13" xfId="2241" xr:uid="{00000000-0005-0000-0000-000092970000}"/>
    <cellStyle name="Note 4 5 13 10" xfId="33542" xr:uid="{00000000-0005-0000-0000-000093970000}"/>
    <cellStyle name="Note 4 5 13 11" xfId="37293" xr:uid="{00000000-0005-0000-0000-000094970000}"/>
    <cellStyle name="Note 4 5 13 12" xfId="41309" xr:uid="{00000000-0005-0000-0000-000095970000}"/>
    <cellStyle name="Note 4 5 13 13" xfId="45104" xr:uid="{00000000-0005-0000-0000-000096970000}"/>
    <cellStyle name="Note 4 5 13 2" xfId="4224" xr:uid="{00000000-0005-0000-0000-000097970000}"/>
    <cellStyle name="Note 4 5 13 2 10" xfId="39275" xr:uid="{00000000-0005-0000-0000-000098970000}"/>
    <cellStyle name="Note 4 5 13 2 11" xfId="43285" xr:uid="{00000000-0005-0000-0000-000099970000}"/>
    <cellStyle name="Note 4 5 13 2 12" xfId="47042" xr:uid="{00000000-0005-0000-0000-00009A970000}"/>
    <cellStyle name="Note 4 5 13 2 2" xfId="8083" xr:uid="{00000000-0005-0000-0000-00009B970000}"/>
    <cellStyle name="Note 4 5 13 2 3" xfId="12523" xr:uid="{00000000-0005-0000-0000-00009C970000}"/>
    <cellStyle name="Note 4 5 13 2 4" xfId="16368" xr:uid="{00000000-0005-0000-0000-00009D970000}"/>
    <cellStyle name="Note 4 5 13 2 5" xfId="20218" xr:uid="{00000000-0005-0000-0000-00009E970000}"/>
    <cellStyle name="Note 4 5 13 2 6" xfId="24130" xr:uid="{00000000-0005-0000-0000-00009F970000}"/>
    <cellStyle name="Note 4 5 13 2 7" xfId="27968" xr:uid="{00000000-0005-0000-0000-0000A0970000}"/>
    <cellStyle name="Note 4 5 13 2 8" xfId="31827" xr:uid="{00000000-0005-0000-0000-0000A1970000}"/>
    <cellStyle name="Note 4 5 13 2 9" xfId="35480" xr:uid="{00000000-0005-0000-0000-0000A2970000}"/>
    <cellStyle name="Note 4 5 13 3" xfId="6155" xr:uid="{00000000-0005-0000-0000-0000A3970000}"/>
    <cellStyle name="Note 4 5 13 4" xfId="10558" xr:uid="{00000000-0005-0000-0000-0000A4970000}"/>
    <cellStyle name="Note 4 5 13 5" xfId="14404" xr:uid="{00000000-0005-0000-0000-0000A5970000}"/>
    <cellStyle name="Note 4 5 13 6" xfId="18235" xr:uid="{00000000-0005-0000-0000-0000A6970000}"/>
    <cellStyle name="Note 4 5 13 7" xfId="22174" xr:uid="{00000000-0005-0000-0000-0000A7970000}"/>
    <cellStyle name="Note 4 5 13 8" xfId="25986" xr:uid="{00000000-0005-0000-0000-0000A8970000}"/>
    <cellStyle name="Note 4 5 13 9" xfId="29866" xr:uid="{00000000-0005-0000-0000-0000A9970000}"/>
    <cellStyle name="Note 4 5 14" xfId="2289" xr:uid="{00000000-0005-0000-0000-0000AA970000}"/>
    <cellStyle name="Note 4 5 14 10" xfId="33590" xr:uid="{00000000-0005-0000-0000-0000AB970000}"/>
    <cellStyle name="Note 4 5 14 11" xfId="37341" xr:uid="{00000000-0005-0000-0000-0000AC970000}"/>
    <cellStyle name="Note 4 5 14 12" xfId="41357" xr:uid="{00000000-0005-0000-0000-0000AD970000}"/>
    <cellStyle name="Note 4 5 14 13" xfId="45152" xr:uid="{00000000-0005-0000-0000-0000AE970000}"/>
    <cellStyle name="Note 4 5 14 2" xfId="4272" xr:uid="{00000000-0005-0000-0000-0000AF970000}"/>
    <cellStyle name="Note 4 5 14 2 10" xfId="39323" xr:uid="{00000000-0005-0000-0000-0000B0970000}"/>
    <cellStyle name="Note 4 5 14 2 11" xfId="43333" xr:uid="{00000000-0005-0000-0000-0000B1970000}"/>
    <cellStyle name="Note 4 5 14 2 12" xfId="47090" xr:uid="{00000000-0005-0000-0000-0000B2970000}"/>
    <cellStyle name="Note 4 5 14 2 2" xfId="8131" xr:uid="{00000000-0005-0000-0000-0000B3970000}"/>
    <cellStyle name="Note 4 5 14 2 3" xfId="12571" xr:uid="{00000000-0005-0000-0000-0000B4970000}"/>
    <cellStyle name="Note 4 5 14 2 4" xfId="16416" xr:uid="{00000000-0005-0000-0000-0000B5970000}"/>
    <cellStyle name="Note 4 5 14 2 5" xfId="20266" xr:uid="{00000000-0005-0000-0000-0000B6970000}"/>
    <cellStyle name="Note 4 5 14 2 6" xfId="24178" xr:uid="{00000000-0005-0000-0000-0000B7970000}"/>
    <cellStyle name="Note 4 5 14 2 7" xfId="28016" xr:uid="{00000000-0005-0000-0000-0000B8970000}"/>
    <cellStyle name="Note 4 5 14 2 8" xfId="31875" xr:uid="{00000000-0005-0000-0000-0000B9970000}"/>
    <cellStyle name="Note 4 5 14 2 9" xfId="35528" xr:uid="{00000000-0005-0000-0000-0000BA970000}"/>
    <cellStyle name="Note 4 5 14 3" xfId="6203" xr:uid="{00000000-0005-0000-0000-0000BB970000}"/>
    <cellStyle name="Note 4 5 14 4" xfId="10606" xr:uid="{00000000-0005-0000-0000-0000BC970000}"/>
    <cellStyle name="Note 4 5 14 5" xfId="14452" xr:uid="{00000000-0005-0000-0000-0000BD970000}"/>
    <cellStyle name="Note 4 5 14 6" xfId="18283" xr:uid="{00000000-0005-0000-0000-0000BE970000}"/>
    <cellStyle name="Note 4 5 14 7" xfId="22222" xr:uid="{00000000-0005-0000-0000-0000BF970000}"/>
    <cellStyle name="Note 4 5 14 8" xfId="26034" xr:uid="{00000000-0005-0000-0000-0000C0970000}"/>
    <cellStyle name="Note 4 5 14 9" xfId="29914" xr:uid="{00000000-0005-0000-0000-0000C1970000}"/>
    <cellStyle name="Note 4 5 15" xfId="2357" xr:uid="{00000000-0005-0000-0000-0000C2970000}"/>
    <cellStyle name="Note 4 5 15 10" xfId="37409" xr:uid="{00000000-0005-0000-0000-0000C3970000}"/>
    <cellStyle name="Note 4 5 15 11" xfId="41425" xr:uid="{00000000-0005-0000-0000-0000C4970000}"/>
    <cellStyle name="Note 4 5 15 12" xfId="45218" xr:uid="{00000000-0005-0000-0000-0000C5970000}"/>
    <cellStyle name="Note 4 5 15 2" xfId="4340" xr:uid="{00000000-0005-0000-0000-0000C6970000}"/>
    <cellStyle name="Note 4 5 15 2 10" xfId="39391" xr:uid="{00000000-0005-0000-0000-0000C7970000}"/>
    <cellStyle name="Note 4 5 15 2 11" xfId="43401" xr:uid="{00000000-0005-0000-0000-0000C8970000}"/>
    <cellStyle name="Note 4 5 15 2 12" xfId="47156" xr:uid="{00000000-0005-0000-0000-0000C9970000}"/>
    <cellStyle name="Note 4 5 15 2 2" xfId="8197" xr:uid="{00000000-0005-0000-0000-0000CA970000}"/>
    <cellStyle name="Note 4 5 15 2 3" xfId="12639" xr:uid="{00000000-0005-0000-0000-0000CB970000}"/>
    <cellStyle name="Note 4 5 15 2 4" xfId="16483" xr:uid="{00000000-0005-0000-0000-0000CC970000}"/>
    <cellStyle name="Note 4 5 15 2 5" xfId="20334" xr:uid="{00000000-0005-0000-0000-0000CD970000}"/>
    <cellStyle name="Note 4 5 15 2 6" xfId="24245" xr:uid="{00000000-0005-0000-0000-0000CE970000}"/>
    <cellStyle name="Note 4 5 15 2 7" xfId="28084" xr:uid="{00000000-0005-0000-0000-0000CF970000}"/>
    <cellStyle name="Note 4 5 15 2 8" xfId="31942" xr:uid="{00000000-0005-0000-0000-0000D0970000}"/>
    <cellStyle name="Note 4 5 15 2 9" xfId="35594" xr:uid="{00000000-0005-0000-0000-0000D1970000}"/>
    <cellStyle name="Note 4 5 15 3" xfId="10674" xr:uid="{00000000-0005-0000-0000-0000D2970000}"/>
    <cellStyle name="Note 4 5 15 4" xfId="14519" xr:uid="{00000000-0005-0000-0000-0000D3970000}"/>
    <cellStyle name="Note 4 5 15 5" xfId="18351" xr:uid="{00000000-0005-0000-0000-0000D4970000}"/>
    <cellStyle name="Note 4 5 15 6" xfId="22289" xr:uid="{00000000-0005-0000-0000-0000D5970000}"/>
    <cellStyle name="Note 4 5 15 7" xfId="26102" xr:uid="{00000000-0005-0000-0000-0000D6970000}"/>
    <cellStyle name="Note 4 5 15 8" xfId="29982" xr:uid="{00000000-0005-0000-0000-0000D7970000}"/>
    <cellStyle name="Note 4 5 15 9" xfId="33656" xr:uid="{00000000-0005-0000-0000-0000D8970000}"/>
    <cellStyle name="Note 4 5 16" xfId="2414" xr:uid="{00000000-0005-0000-0000-0000D9970000}"/>
    <cellStyle name="Note 4 5 16 10" xfId="33712" xr:uid="{00000000-0005-0000-0000-0000DA970000}"/>
    <cellStyle name="Note 4 5 16 11" xfId="37466" xr:uid="{00000000-0005-0000-0000-0000DB970000}"/>
    <cellStyle name="Note 4 5 16 12" xfId="41481" xr:uid="{00000000-0005-0000-0000-0000DC970000}"/>
    <cellStyle name="Note 4 5 16 13" xfId="45274" xr:uid="{00000000-0005-0000-0000-0000DD970000}"/>
    <cellStyle name="Note 4 5 16 2" xfId="4397" xr:uid="{00000000-0005-0000-0000-0000DE970000}"/>
    <cellStyle name="Note 4 5 16 2 10" xfId="39448" xr:uid="{00000000-0005-0000-0000-0000DF970000}"/>
    <cellStyle name="Note 4 5 16 2 11" xfId="43457" xr:uid="{00000000-0005-0000-0000-0000E0970000}"/>
    <cellStyle name="Note 4 5 16 2 12" xfId="47212" xr:uid="{00000000-0005-0000-0000-0000E1970000}"/>
    <cellStyle name="Note 4 5 16 2 2" xfId="8254" xr:uid="{00000000-0005-0000-0000-0000E2970000}"/>
    <cellStyle name="Note 4 5 16 2 3" xfId="12695" xr:uid="{00000000-0005-0000-0000-0000E3970000}"/>
    <cellStyle name="Note 4 5 16 2 4" xfId="16540" xr:uid="{00000000-0005-0000-0000-0000E4970000}"/>
    <cellStyle name="Note 4 5 16 2 5" xfId="20391" xr:uid="{00000000-0005-0000-0000-0000E5970000}"/>
    <cellStyle name="Note 4 5 16 2 6" xfId="24302" xr:uid="{00000000-0005-0000-0000-0000E6970000}"/>
    <cellStyle name="Note 4 5 16 2 7" xfId="28141" xr:uid="{00000000-0005-0000-0000-0000E7970000}"/>
    <cellStyle name="Note 4 5 16 2 8" xfId="31999" xr:uid="{00000000-0005-0000-0000-0000E8970000}"/>
    <cellStyle name="Note 4 5 16 2 9" xfId="35650" xr:uid="{00000000-0005-0000-0000-0000E9970000}"/>
    <cellStyle name="Note 4 5 16 3" xfId="6310" xr:uid="{00000000-0005-0000-0000-0000EA970000}"/>
    <cellStyle name="Note 4 5 16 4" xfId="10730" xr:uid="{00000000-0005-0000-0000-0000EB970000}"/>
    <cellStyle name="Note 4 5 16 5" xfId="14576" xr:uid="{00000000-0005-0000-0000-0000EC970000}"/>
    <cellStyle name="Note 4 5 16 6" xfId="18408" xr:uid="{00000000-0005-0000-0000-0000ED970000}"/>
    <cellStyle name="Note 4 5 16 7" xfId="22346" xr:uid="{00000000-0005-0000-0000-0000EE970000}"/>
    <cellStyle name="Note 4 5 16 8" xfId="26159" xr:uid="{00000000-0005-0000-0000-0000EF970000}"/>
    <cellStyle name="Note 4 5 16 9" xfId="30038" xr:uid="{00000000-0005-0000-0000-0000F0970000}"/>
    <cellStyle name="Note 4 5 17" xfId="2465" xr:uid="{00000000-0005-0000-0000-0000F1970000}"/>
    <cellStyle name="Note 4 5 17 10" xfId="33761" xr:uid="{00000000-0005-0000-0000-0000F2970000}"/>
    <cellStyle name="Note 4 5 17 11" xfId="37517" xr:uid="{00000000-0005-0000-0000-0000F3970000}"/>
    <cellStyle name="Note 4 5 17 12" xfId="41532" xr:uid="{00000000-0005-0000-0000-0000F4970000}"/>
    <cellStyle name="Note 4 5 17 13" xfId="45323" xr:uid="{00000000-0005-0000-0000-0000F5970000}"/>
    <cellStyle name="Note 4 5 17 2" xfId="4448" xr:uid="{00000000-0005-0000-0000-0000F6970000}"/>
    <cellStyle name="Note 4 5 17 2 10" xfId="39499" xr:uid="{00000000-0005-0000-0000-0000F7970000}"/>
    <cellStyle name="Note 4 5 17 2 11" xfId="43508" xr:uid="{00000000-0005-0000-0000-0000F8970000}"/>
    <cellStyle name="Note 4 5 17 2 12" xfId="47261" xr:uid="{00000000-0005-0000-0000-0000F9970000}"/>
    <cellStyle name="Note 4 5 17 2 2" xfId="8303" xr:uid="{00000000-0005-0000-0000-0000FA970000}"/>
    <cellStyle name="Note 4 5 17 2 3" xfId="12746" xr:uid="{00000000-0005-0000-0000-0000FB970000}"/>
    <cellStyle name="Note 4 5 17 2 4" xfId="16589" xr:uid="{00000000-0005-0000-0000-0000FC970000}"/>
    <cellStyle name="Note 4 5 17 2 5" xfId="20442" xr:uid="{00000000-0005-0000-0000-0000FD970000}"/>
    <cellStyle name="Note 4 5 17 2 6" xfId="24352" xr:uid="{00000000-0005-0000-0000-0000FE970000}"/>
    <cellStyle name="Note 4 5 17 2 7" xfId="28192" xr:uid="{00000000-0005-0000-0000-0000FF970000}"/>
    <cellStyle name="Note 4 5 17 2 8" xfId="32050" xr:uid="{00000000-0005-0000-0000-000000980000}"/>
    <cellStyle name="Note 4 5 17 2 9" xfId="35699" xr:uid="{00000000-0005-0000-0000-000001980000}"/>
    <cellStyle name="Note 4 5 17 3" xfId="6359" xr:uid="{00000000-0005-0000-0000-000002980000}"/>
    <cellStyle name="Note 4 5 17 4" xfId="10781" xr:uid="{00000000-0005-0000-0000-000003980000}"/>
    <cellStyle name="Note 4 5 17 5" xfId="14626" xr:uid="{00000000-0005-0000-0000-000004980000}"/>
    <cellStyle name="Note 4 5 17 6" xfId="18459" xr:uid="{00000000-0005-0000-0000-000005980000}"/>
    <cellStyle name="Note 4 5 17 7" xfId="22396" xr:uid="{00000000-0005-0000-0000-000006980000}"/>
    <cellStyle name="Note 4 5 17 8" xfId="26210" xr:uid="{00000000-0005-0000-0000-000007980000}"/>
    <cellStyle name="Note 4 5 17 9" xfId="30089" xr:uid="{00000000-0005-0000-0000-000008980000}"/>
    <cellStyle name="Note 4 5 18" xfId="2539" xr:uid="{00000000-0005-0000-0000-000009980000}"/>
    <cellStyle name="Note 4 5 18 10" xfId="37591" xr:uid="{00000000-0005-0000-0000-00000A980000}"/>
    <cellStyle name="Note 4 5 18 11" xfId="41605" xr:uid="{00000000-0005-0000-0000-00000B980000}"/>
    <cellStyle name="Note 4 5 18 12" xfId="45394" xr:uid="{00000000-0005-0000-0000-00000C980000}"/>
    <cellStyle name="Note 4 5 18 2" xfId="6431" xr:uid="{00000000-0005-0000-0000-00000D980000}"/>
    <cellStyle name="Note 4 5 18 3" xfId="10854" xr:uid="{00000000-0005-0000-0000-00000E980000}"/>
    <cellStyle name="Note 4 5 18 4" xfId="14698" xr:uid="{00000000-0005-0000-0000-00000F980000}"/>
    <cellStyle name="Note 4 5 18 5" xfId="18533" xr:uid="{00000000-0005-0000-0000-000010980000}"/>
    <cellStyle name="Note 4 5 18 6" xfId="22468" xr:uid="{00000000-0005-0000-0000-000011980000}"/>
    <cellStyle name="Note 4 5 18 7" xfId="26284" xr:uid="{00000000-0005-0000-0000-000012980000}"/>
    <cellStyle name="Note 4 5 18 8" xfId="30163" xr:uid="{00000000-0005-0000-0000-000013980000}"/>
    <cellStyle name="Note 4 5 18 9" xfId="33832" xr:uid="{00000000-0005-0000-0000-000014980000}"/>
    <cellStyle name="Note 4 5 19" xfId="8714" xr:uid="{00000000-0005-0000-0000-000015980000}"/>
    <cellStyle name="Note 4 5 2" xfId="572" xr:uid="{00000000-0005-0000-0000-000016980000}"/>
    <cellStyle name="Note 4 5 2 10" xfId="2222" xr:uid="{00000000-0005-0000-0000-000017980000}"/>
    <cellStyle name="Note 4 5 2 10 10" xfId="33523" xr:uid="{00000000-0005-0000-0000-000018980000}"/>
    <cellStyle name="Note 4 5 2 10 11" xfId="37274" xr:uid="{00000000-0005-0000-0000-000019980000}"/>
    <cellStyle name="Note 4 5 2 10 12" xfId="41290" xr:uid="{00000000-0005-0000-0000-00001A980000}"/>
    <cellStyle name="Note 4 5 2 10 13" xfId="45085" xr:uid="{00000000-0005-0000-0000-00001B980000}"/>
    <cellStyle name="Note 4 5 2 10 2" xfId="4205" xr:uid="{00000000-0005-0000-0000-00001C980000}"/>
    <cellStyle name="Note 4 5 2 10 2 10" xfId="39256" xr:uid="{00000000-0005-0000-0000-00001D980000}"/>
    <cellStyle name="Note 4 5 2 10 2 11" xfId="43266" xr:uid="{00000000-0005-0000-0000-00001E980000}"/>
    <cellStyle name="Note 4 5 2 10 2 12" xfId="47023" xr:uid="{00000000-0005-0000-0000-00001F980000}"/>
    <cellStyle name="Note 4 5 2 10 2 2" xfId="8064" xr:uid="{00000000-0005-0000-0000-000020980000}"/>
    <cellStyle name="Note 4 5 2 10 2 3" xfId="12504" xr:uid="{00000000-0005-0000-0000-000021980000}"/>
    <cellStyle name="Note 4 5 2 10 2 4" xfId="16349" xr:uid="{00000000-0005-0000-0000-000022980000}"/>
    <cellStyle name="Note 4 5 2 10 2 5" xfId="20199" xr:uid="{00000000-0005-0000-0000-000023980000}"/>
    <cellStyle name="Note 4 5 2 10 2 6" xfId="24111" xr:uid="{00000000-0005-0000-0000-000024980000}"/>
    <cellStyle name="Note 4 5 2 10 2 7" xfId="27949" xr:uid="{00000000-0005-0000-0000-000025980000}"/>
    <cellStyle name="Note 4 5 2 10 2 8" xfId="31808" xr:uid="{00000000-0005-0000-0000-000026980000}"/>
    <cellStyle name="Note 4 5 2 10 2 9" xfId="35461" xr:uid="{00000000-0005-0000-0000-000027980000}"/>
    <cellStyle name="Note 4 5 2 10 3" xfId="6136" xr:uid="{00000000-0005-0000-0000-000028980000}"/>
    <cellStyle name="Note 4 5 2 10 4" xfId="10539" xr:uid="{00000000-0005-0000-0000-000029980000}"/>
    <cellStyle name="Note 4 5 2 10 5" xfId="14385" xr:uid="{00000000-0005-0000-0000-00002A980000}"/>
    <cellStyle name="Note 4 5 2 10 6" xfId="18216" xr:uid="{00000000-0005-0000-0000-00002B980000}"/>
    <cellStyle name="Note 4 5 2 10 7" xfId="22155" xr:uid="{00000000-0005-0000-0000-00002C980000}"/>
    <cellStyle name="Note 4 5 2 10 8" xfId="25967" xr:uid="{00000000-0005-0000-0000-00002D980000}"/>
    <cellStyle name="Note 4 5 2 10 9" xfId="29847" xr:uid="{00000000-0005-0000-0000-00002E980000}"/>
    <cellStyle name="Note 4 5 2 11" xfId="2280" xr:uid="{00000000-0005-0000-0000-00002F980000}"/>
    <cellStyle name="Note 4 5 2 11 10" xfId="33581" xr:uid="{00000000-0005-0000-0000-000030980000}"/>
    <cellStyle name="Note 4 5 2 11 11" xfId="37332" xr:uid="{00000000-0005-0000-0000-000031980000}"/>
    <cellStyle name="Note 4 5 2 11 12" xfId="41348" xr:uid="{00000000-0005-0000-0000-000032980000}"/>
    <cellStyle name="Note 4 5 2 11 13" xfId="45143" xr:uid="{00000000-0005-0000-0000-000033980000}"/>
    <cellStyle name="Note 4 5 2 11 2" xfId="4263" xr:uid="{00000000-0005-0000-0000-000034980000}"/>
    <cellStyle name="Note 4 5 2 11 2 10" xfId="39314" xr:uid="{00000000-0005-0000-0000-000035980000}"/>
    <cellStyle name="Note 4 5 2 11 2 11" xfId="43324" xr:uid="{00000000-0005-0000-0000-000036980000}"/>
    <cellStyle name="Note 4 5 2 11 2 12" xfId="47081" xr:uid="{00000000-0005-0000-0000-000037980000}"/>
    <cellStyle name="Note 4 5 2 11 2 2" xfId="8122" xr:uid="{00000000-0005-0000-0000-000038980000}"/>
    <cellStyle name="Note 4 5 2 11 2 3" xfId="12562" xr:uid="{00000000-0005-0000-0000-000039980000}"/>
    <cellStyle name="Note 4 5 2 11 2 4" xfId="16407" xr:uid="{00000000-0005-0000-0000-00003A980000}"/>
    <cellStyle name="Note 4 5 2 11 2 5" xfId="20257" xr:uid="{00000000-0005-0000-0000-00003B980000}"/>
    <cellStyle name="Note 4 5 2 11 2 6" xfId="24169" xr:uid="{00000000-0005-0000-0000-00003C980000}"/>
    <cellStyle name="Note 4 5 2 11 2 7" xfId="28007" xr:uid="{00000000-0005-0000-0000-00003D980000}"/>
    <cellStyle name="Note 4 5 2 11 2 8" xfId="31866" xr:uid="{00000000-0005-0000-0000-00003E980000}"/>
    <cellStyle name="Note 4 5 2 11 2 9" xfId="35519" xr:uid="{00000000-0005-0000-0000-00003F980000}"/>
    <cellStyle name="Note 4 5 2 11 3" xfId="6194" xr:uid="{00000000-0005-0000-0000-000040980000}"/>
    <cellStyle name="Note 4 5 2 11 4" xfId="10597" xr:uid="{00000000-0005-0000-0000-000041980000}"/>
    <cellStyle name="Note 4 5 2 11 5" xfId="14443" xr:uid="{00000000-0005-0000-0000-000042980000}"/>
    <cellStyle name="Note 4 5 2 11 6" xfId="18274" xr:uid="{00000000-0005-0000-0000-000043980000}"/>
    <cellStyle name="Note 4 5 2 11 7" xfId="22213" xr:uid="{00000000-0005-0000-0000-000044980000}"/>
    <cellStyle name="Note 4 5 2 11 8" xfId="26025" xr:uid="{00000000-0005-0000-0000-000045980000}"/>
    <cellStyle name="Note 4 5 2 11 9" xfId="29905" xr:uid="{00000000-0005-0000-0000-000046980000}"/>
    <cellStyle name="Note 4 5 2 12" xfId="2337" xr:uid="{00000000-0005-0000-0000-000047980000}"/>
    <cellStyle name="Note 4 5 2 12 10" xfId="33636" xr:uid="{00000000-0005-0000-0000-000048980000}"/>
    <cellStyle name="Note 4 5 2 12 11" xfId="37389" xr:uid="{00000000-0005-0000-0000-000049980000}"/>
    <cellStyle name="Note 4 5 2 12 12" xfId="41405" xr:uid="{00000000-0005-0000-0000-00004A980000}"/>
    <cellStyle name="Note 4 5 2 12 13" xfId="45198" xr:uid="{00000000-0005-0000-0000-00004B980000}"/>
    <cellStyle name="Note 4 5 2 12 2" xfId="4320" xr:uid="{00000000-0005-0000-0000-00004C980000}"/>
    <cellStyle name="Note 4 5 2 12 2 10" xfId="39371" xr:uid="{00000000-0005-0000-0000-00004D980000}"/>
    <cellStyle name="Note 4 5 2 12 2 11" xfId="43381" xr:uid="{00000000-0005-0000-0000-00004E980000}"/>
    <cellStyle name="Note 4 5 2 12 2 12" xfId="47136" xr:uid="{00000000-0005-0000-0000-00004F980000}"/>
    <cellStyle name="Note 4 5 2 12 2 2" xfId="8177" xr:uid="{00000000-0005-0000-0000-000050980000}"/>
    <cellStyle name="Note 4 5 2 12 2 3" xfId="12619" xr:uid="{00000000-0005-0000-0000-000051980000}"/>
    <cellStyle name="Note 4 5 2 12 2 4" xfId="16463" xr:uid="{00000000-0005-0000-0000-000052980000}"/>
    <cellStyle name="Note 4 5 2 12 2 5" xfId="20314" xr:uid="{00000000-0005-0000-0000-000053980000}"/>
    <cellStyle name="Note 4 5 2 12 2 6" xfId="24225" xr:uid="{00000000-0005-0000-0000-000054980000}"/>
    <cellStyle name="Note 4 5 2 12 2 7" xfId="28064" xr:uid="{00000000-0005-0000-0000-000055980000}"/>
    <cellStyle name="Note 4 5 2 12 2 8" xfId="31923" xr:uid="{00000000-0005-0000-0000-000056980000}"/>
    <cellStyle name="Note 4 5 2 12 2 9" xfId="35574" xr:uid="{00000000-0005-0000-0000-000057980000}"/>
    <cellStyle name="Note 4 5 2 12 3" xfId="6249" xr:uid="{00000000-0005-0000-0000-000058980000}"/>
    <cellStyle name="Note 4 5 2 12 4" xfId="10654" xr:uid="{00000000-0005-0000-0000-000059980000}"/>
    <cellStyle name="Note 4 5 2 12 5" xfId="14499" xr:uid="{00000000-0005-0000-0000-00005A980000}"/>
    <cellStyle name="Note 4 5 2 12 6" xfId="18331" xr:uid="{00000000-0005-0000-0000-00005B980000}"/>
    <cellStyle name="Note 4 5 2 12 7" xfId="22269" xr:uid="{00000000-0005-0000-0000-00005C980000}"/>
    <cellStyle name="Note 4 5 2 12 8" xfId="26082" xr:uid="{00000000-0005-0000-0000-00005D980000}"/>
    <cellStyle name="Note 4 5 2 12 9" xfId="29962" xr:uid="{00000000-0005-0000-0000-00005E980000}"/>
    <cellStyle name="Note 4 5 2 13" xfId="2402" xr:uid="{00000000-0005-0000-0000-00005F980000}"/>
    <cellStyle name="Note 4 5 2 13 10" xfId="33700" xr:uid="{00000000-0005-0000-0000-000060980000}"/>
    <cellStyle name="Note 4 5 2 13 11" xfId="37454" xr:uid="{00000000-0005-0000-0000-000061980000}"/>
    <cellStyle name="Note 4 5 2 13 12" xfId="41469" xr:uid="{00000000-0005-0000-0000-000062980000}"/>
    <cellStyle name="Note 4 5 2 13 13" xfId="45262" xr:uid="{00000000-0005-0000-0000-000063980000}"/>
    <cellStyle name="Note 4 5 2 13 2" xfId="4385" xr:uid="{00000000-0005-0000-0000-000064980000}"/>
    <cellStyle name="Note 4 5 2 13 2 10" xfId="39436" xr:uid="{00000000-0005-0000-0000-000065980000}"/>
    <cellStyle name="Note 4 5 2 13 2 11" xfId="43445" xr:uid="{00000000-0005-0000-0000-000066980000}"/>
    <cellStyle name="Note 4 5 2 13 2 12" xfId="47200" xr:uid="{00000000-0005-0000-0000-000067980000}"/>
    <cellStyle name="Note 4 5 2 13 2 2" xfId="8242" xr:uid="{00000000-0005-0000-0000-000068980000}"/>
    <cellStyle name="Note 4 5 2 13 2 3" xfId="12683" xr:uid="{00000000-0005-0000-0000-000069980000}"/>
    <cellStyle name="Note 4 5 2 13 2 4" xfId="16528" xr:uid="{00000000-0005-0000-0000-00006A980000}"/>
    <cellStyle name="Note 4 5 2 13 2 5" xfId="20379" xr:uid="{00000000-0005-0000-0000-00006B980000}"/>
    <cellStyle name="Note 4 5 2 13 2 6" xfId="24290" xr:uid="{00000000-0005-0000-0000-00006C980000}"/>
    <cellStyle name="Note 4 5 2 13 2 7" xfId="28129" xr:uid="{00000000-0005-0000-0000-00006D980000}"/>
    <cellStyle name="Note 4 5 2 13 2 8" xfId="31987" xr:uid="{00000000-0005-0000-0000-00006E980000}"/>
    <cellStyle name="Note 4 5 2 13 2 9" xfId="35638" xr:uid="{00000000-0005-0000-0000-00006F980000}"/>
    <cellStyle name="Note 4 5 2 13 3" xfId="6298" xr:uid="{00000000-0005-0000-0000-000070980000}"/>
    <cellStyle name="Note 4 5 2 13 4" xfId="10718" xr:uid="{00000000-0005-0000-0000-000071980000}"/>
    <cellStyle name="Note 4 5 2 13 5" xfId="14564" xr:uid="{00000000-0005-0000-0000-000072980000}"/>
    <cellStyle name="Note 4 5 2 13 6" xfId="18396" xr:uid="{00000000-0005-0000-0000-000073980000}"/>
    <cellStyle name="Note 4 5 2 13 7" xfId="22334" xr:uid="{00000000-0005-0000-0000-000074980000}"/>
    <cellStyle name="Note 4 5 2 13 8" xfId="26147" xr:uid="{00000000-0005-0000-0000-000075980000}"/>
    <cellStyle name="Note 4 5 2 13 9" xfId="30027" xr:uid="{00000000-0005-0000-0000-000076980000}"/>
    <cellStyle name="Note 4 5 2 14" xfId="2454" xr:uid="{00000000-0005-0000-0000-000077980000}"/>
    <cellStyle name="Note 4 5 2 14 10" xfId="33750" xr:uid="{00000000-0005-0000-0000-000078980000}"/>
    <cellStyle name="Note 4 5 2 14 11" xfId="37506" xr:uid="{00000000-0005-0000-0000-000079980000}"/>
    <cellStyle name="Note 4 5 2 14 12" xfId="41521" xr:uid="{00000000-0005-0000-0000-00007A980000}"/>
    <cellStyle name="Note 4 5 2 14 13" xfId="45312" xr:uid="{00000000-0005-0000-0000-00007B980000}"/>
    <cellStyle name="Note 4 5 2 14 2" xfId="4437" xr:uid="{00000000-0005-0000-0000-00007C980000}"/>
    <cellStyle name="Note 4 5 2 14 2 10" xfId="39488" xr:uid="{00000000-0005-0000-0000-00007D980000}"/>
    <cellStyle name="Note 4 5 2 14 2 11" xfId="43497" xr:uid="{00000000-0005-0000-0000-00007E980000}"/>
    <cellStyle name="Note 4 5 2 14 2 12" xfId="47250" xr:uid="{00000000-0005-0000-0000-00007F980000}"/>
    <cellStyle name="Note 4 5 2 14 2 2" xfId="8292" xr:uid="{00000000-0005-0000-0000-000080980000}"/>
    <cellStyle name="Note 4 5 2 14 2 3" xfId="12735" xr:uid="{00000000-0005-0000-0000-000081980000}"/>
    <cellStyle name="Note 4 5 2 14 2 4" xfId="16578" xr:uid="{00000000-0005-0000-0000-000082980000}"/>
    <cellStyle name="Note 4 5 2 14 2 5" xfId="20431" xr:uid="{00000000-0005-0000-0000-000083980000}"/>
    <cellStyle name="Note 4 5 2 14 2 6" xfId="24341" xr:uid="{00000000-0005-0000-0000-000084980000}"/>
    <cellStyle name="Note 4 5 2 14 2 7" xfId="28181" xr:uid="{00000000-0005-0000-0000-000085980000}"/>
    <cellStyle name="Note 4 5 2 14 2 8" xfId="32039" xr:uid="{00000000-0005-0000-0000-000086980000}"/>
    <cellStyle name="Note 4 5 2 14 2 9" xfId="35688" xr:uid="{00000000-0005-0000-0000-000087980000}"/>
    <cellStyle name="Note 4 5 2 14 3" xfId="6348" xr:uid="{00000000-0005-0000-0000-000088980000}"/>
    <cellStyle name="Note 4 5 2 14 4" xfId="10770" xr:uid="{00000000-0005-0000-0000-000089980000}"/>
    <cellStyle name="Note 4 5 2 14 5" xfId="14615" xr:uid="{00000000-0005-0000-0000-00008A980000}"/>
    <cellStyle name="Note 4 5 2 14 6" xfId="18448" xr:uid="{00000000-0005-0000-0000-00008B980000}"/>
    <cellStyle name="Note 4 5 2 14 7" xfId="22385" xr:uid="{00000000-0005-0000-0000-00008C980000}"/>
    <cellStyle name="Note 4 5 2 14 8" xfId="26199" xr:uid="{00000000-0005-0000-0000-00008D980000}"/>
    <cellStyle name="Note 4 5 2 14 9" xfId="30078" xr:uid="{00000000-0005-0000-0000-00008E980000}"/>
    <cellStyle name="Note 4 5 2 15" xfId="2508" xr:uid="{00000000-0005-0000-0000-00008F980000}"/>
    <cellStyle name="Note 4 5 2 15 10" xfId="33801" xr:uid="{00000000-0005-0000-0000-000090980000}"/>
    <cellStyle name="Note 4 5 2 15 11" xfId="37560" xr:uid="{00000000-0005-0000-0000-000091980000}"/>
    <cellStyle name="Note 4 5 2 15 12" xfId="41574" xr:uid="{00000000-0005-0000-0000-000092980000}"/>
    <cellStyle name="Note 4 5 2 15 13" xfId="45363" xr:uid="{00000000-0005-0000-0000-000093980000}"/>
    <cellStyle name="Note 4 5 2 15 2" xfId="4488" xr:uid="{00000000-0005-0000-0000-000094980000}"/>
    <cellStyle name="Note 4 5 2 15 2 10" xfId="39539" xr:uid="{00000000-0005-0000-0000-000095980000}"/>
    <cellStyle name="Note 4 5 2 15 2 11" xfId="43548" xr:uid="{00000000-0005-0000-0000-000096980000}"/>
    <cellStyle name="Note 4 5 2 15 2 12" xfId="47301" xr:uid="{00000000-0005-0000-0000-000097980000}"/>
    <cellStyle name="Note 4 5 2 15 2 2" xfId="8343" xr:uid="{00000000-0005-0000-0000-000098980000}"/>
    <cellStyle name="Note 4 5 2 15 2 3" xfId="12786" xr:uid="{00000000-0005-0000-0000-000099980000}"/>
    <cellStyle name="Note 4 5 2 15 2 4" xfId="16629" xr:uid="{00000000-0005-0000-0000-00009A980000}"/>
    <cellStyle name="Note 4 5 2 15 2 5" xfId="20482" xr:uid="{00000000-0005-0000-0000-00009B980000}"/>
    <cellStyle name="Note 4 5 2 15 2 6" xfId="24392" xr:uid="{00000000-0005-0000-0000-00009C980000}"/>
    <cellStyle name="Note 4 5 2 15 2 7" xfId="28232" xr:uid="{00000000-0005-0000-0000-00009D980000}"/>
    <cellStyle name="Note 4 5 2 15 2 8" xfId="32090" xr:uid="{00000000-0005-0000-0000-00009E980000}"/>
    <cellStyle name="Note 4 5 2 15 2 9" xfId="35739" xr:uid="{00000000-0005-0000-0000-00009F980000}"/>
    <cellStyle name="Note 4 5 2 15 3" xfId="6400" xr:uid="{00000000-0005-0000-0000-0000A0980000}"/>
    <cellStyle name="Note 4 5 2 15 4" xfId="10823" xr:uid="{00000000-0005-0000-0000-0000A1980000}"/>
    <cellStyle name="Note 4 5 2 15 5" xfId="14667" xr:uid="{00000000-0005-0000-0000-0000A2980000}"/>
    <cellStyle name="Note 4 5 2 15 6" xfId="18502" xr:uid="{00000000-0005-0000-0000-0000A3980000}"/>
    <cellStyle name="Note 4 5 2 15 7" xfId="22437" xr:uid="{00000000-0005-0000-0000-0000A4980000}"/>
    <cellStyle name="Note 4 5 2 15 8" xfId="26253" xr:uid="{00000000-0005-0000-0000-0000A5980000}"/>
    <cellStyle name="Note 4 5 2 15 9" xfId="30132" xr:uid="{00000000-0005-0000-0000-0000A6980000}"/>
    <cellStyle name="Note 4 5 2 16" xfId="2577" xr:uid="{00000000-0005-0000-0000-0000A7980000}"/>
    <cellStyle name="Note 4 5 2 16 10" xfId="37629" xr:uid="{00000000-0005-0000-0000-0000A8980000}"/>
    <cellStyle name="Note 4 5 2 16 11" xfId="41643" xr:uid="{00000000-0005-0000-0000-0000A9980000}"/>
    <cellStyle name="Note 4 5 2 16 12" xfId="45432" xr:uid="{00000000-0005-0000-0000-0000AA980000}"/>
    <cellStyle name="Note 4 5 2 16 2" xfId="6469" xr:uid="{00000000-0005-0000-0000-0000AB980000}"/>
    <cellStyle name="Note 4 5 2 16 3" xfId="10892" xr:uid="{00000000-0005-0000-0000-0000AC980000}"/>
    <cellStyle name="Note 4 5 2 16 4" xfId="14736" xr:uid="{00000000-0005-0000-0000-0000AD980000}"/>
    <cellStyle name="Note 4 5 2 16 5" xfId="18571" xr:uid="{00000000-0005-0000-0000-0000AE980000}"/>
    <cellStyle name="Note 4 5 2 16 6" xfId="22506" xr:uid="{00000000-0005-0000-0000-0000AF980000}"/>
    <cellStyle name="Note 4 5 2 16 7" xfId="26322" xr:uid="{00000000-0005-0000-0000-0000B0980000}"/>
    <cellStyle name="Note 4 5 2 16 8" xfId="30201" xr:uid="{00000000-0005-0000-0000-0000B1980000}"/>
    <cellStyle name="Note 4 5 2 16 9" xfId="33870" xr:uid="{00000000-0005-0000-0000-0000B2980000}"/>
    <cellStyle name="Note 4 5 2 17" xfId="4545" xr:uid="{00000000-0005-0000-0000-0000B3980000}"/>
    <cellStyle name="Note 4 5 2 18" xfId="8347" xr:uid="{00000000-0005-0000-0000-0000B4980000}"/>
    <cellStyle name="Note 4 5 2 19" xfId="8762" xr:uid="{00000000-0005-0000-0000-0000B5980000}"/>
    <cellStyle name="Note 4 5 2 2" xfId="706" xr:uid="{00000000-0005-0000-0000-0000B6980000}"/>
    <cellStyle name="Note 4 5 2 2 10" xfId="24440" xr:uid="{00000000-0005-0000-0000-0000B7980000}"/>
    <cellStyle name="Note 4 5 2 2 11" xfId="28333" xr:uid="{00000000-0005-0000-0000-0000B8980000}"/>
    <cellStyle name="Note 4 5 2 2 12" xfId="21991" xr:uid="{00000000-0005-0000-0000-0000B9980000}"/>
    <cellStyle name="Note 4 5 2 2 13" xfId="35777" xr:uid="{00000000-0005-0000-0000-0000BA980000}"/>
    <cellStyle name="Note 4 5 2 2 14" xfId="39800" xr:uid="{00000000-0005-0000-0000-0000BB980000}"/>
    <cellStyle name="Note 4 5 2 2 15" xfId="43603" xr:uid="{00000000-0005-0000-0000-0000BC980000}"/>
    <cellStyle name="Note 4 5 2 2 2" xfId="1086" xr:uid="{00000000-0005-0000-0000-0000BD980000}"/>
    <cellStyle name="Note 4 5 2 2 2 10" xfId="28697" xr:uid="{00000000-0005-0000-0000-0000BE980000}"/>
    <cellStyle name="Note 4 5 2 2 2 11" xfId="32383" xr:uid="{00000000-0005-0000-0000-0000BF980000}"/>
    <cellStyle name="Note 4 5 2 2 2 12" xfId="36144" xr:uid="{00000000-0005-0000-0000-0000C0980000}"/>
    <cellStyle name="Note 4 5 2 2 2 13" xfId="40147" xr:uid="{00000000-0005-0000-0000-0000C1980000}"/>
    <cellStyle name="Note 4 5 2 2 2 14" xfId="43970" xr:uid="{00000000-0005-0000-0000-0000C2980000}"/>
    <cellStyle name="Note 4 5 2 2 2 2" xfId="1813" xr:uid="{00000000-0005-0000-0000-0000C3980000}"/>
    <cellStyle name="Note 4 5 2 2 2 2 10" xfId="33100" xr:uid="{00000000-0005-0000-0000-0000C4980000}"/>
    <cellStyle name="Note 4 5 2 2 2 2 11" xfId="36870" xr:uid="{00000000-0005-0000-0000-0000C5980000}"/>
    <cellStyle name="Note 4 5 2 2 2 2 12" xfId="40861" xr:uid="{00000000-0005-0000-0000-0000C6980000}"/>
    <cellStyle name="Note 4 5 2 2 2 2 13" xfId="44692" xr:uid="{00000000-0005-0000-0000-0000C7980000}"/>
    <cellStyle name="Note 4 5 2 2 2 2 2" xfId="3803" xr:uid="{00000000-0005-0000-0000-0000C8980000}"/>
    <cellStyle name="Note 4 5 2 2 2 2 2 10" xfId="38854" xr:uid="{00000000-0005-0000-0000-0000C9980000}"/>
    <cellStyle name="Note 4 5 2 2 2 2 2 11" xfId="42865" xr:uid="{00000000-0005-0000-0000-0000CA980000}"/>
    <cellStyle name="Note 4 5 2 2 2 2 2 12" xfId="46630" xr:uid="{00000000-0005-0000-0000-0000CB980000}"/>
    <cellStyle name="Note 4 5 2 2 2 2 2 2" xfId="7670" xr:uid="{00000000-0005-0000-0000-0000CC980000}"/>
    <cellStyle name="Note 4 5 2 2 2 2 2 3" xfId="12105" xr:uid="{00000000-0005-0000-0000-0000CD980000}"/>
    <cellStyle name="Note 4 5 2 2 2 2 2 4" xfId="15950" xr:uid="{00000000-0005-0000-0000-0000CE980000}"/>
    <cellStyle name="Note 4 5 2 2 2 2 2 5" xfId="19797" xr:uid="{00000000-0005-0000-0000-0000CF980000}"/>
    <cellStyle name="Note 4 5 2 2 2 2 2 6" xfId="23713" xr:uid="{00000000-0005-0000-0000-0000D0980000}"/>
    <cellStyle name="Note 4 5 2 2 2 2 2 7" xfId="27547" xr:uid="{00000000-0005-0000-0000-0000D1980000}"/>
    <cellStyle name="Note 4 5 2 2 2 2 2 8" xfId="31411" xr:uid="{00000000-0005-0000-0000-0000D2980000}"/>
    <cellStyle name="Note 4 5 2 2 2 2 2 9" xfId="35068" xr:uid="{00000000-0005-0000-0000-0000D3980000}"/>
    <cellStyle name="Note 4 5 2 2 2 2 3" xfId="5746" xr:uid="{00000000-0005-0000-0000-0000D4980000}"/>
    <cellStyle name="Note 4 5 2 2 2 2 4" xfId="10104" xr:uid="{00000000-0005-0000-0000-0000D5980000}"/>
    <cellStyle name="Note 4 5 2 2 2 2 5" xfId="13950" xr:uid="{00000000-0005-0000-0000-0000D6980000}"/>
    <cellStyle name="Note 4 5 2 2 2 2 6" xfId="17779" xr:uid="{00000000-0005-0000-0000-0000D7980000}"/>
    <cellStyle name="Note 4 5 2 2 2 2 7" xfId="21718" xr:uid="{00000000-0005-0000-0000-0000D8980000}"/>
    <cellStyle name="Note 4 5 2 2 2 2 8" xfId="25531" xr:uid="{00000000-0005-0000-0000-0000D9980000}"/>
    <cellStyle name="Note 4 5 2 2 2 2 9" xfId="29418" xr:uid="{00000000-0005-0000-0000-0000DA980000}"/>
    <cellStyle name="Note 4 5 2 2 2 3" xfId="3076" xr:uid="{00000000-0005-0000-0000-0000DB980000}"/>
    <cellStyle name="Note 4 5 2 2 2 3 10" xfId="38128" xr:uid="{00000000-0005-0000-0000-0000DC980000}"/>
    <cellStyle name="Note 4 5 2 2 2 3 11" xfId="42140" xr:uid="{00000000-0005-0000-0000-0000DD980000}"/>
    <cellStyle name="Note 4 5 2 2 2 3 12" xfId="45913" xr:uid="{00000000-0005-0000-0000-0000DE980000}"/>
    <cellStyle name="Note 4 5 2 2 2 3 2" xfId="6952" xr:uid="{00000000-0005-0000-0000-0000DF980000}"/>
    <cellStyle name="Note 4 5 2 2 2 3 3" xfId="11381" xr:uid="{00000000-0005-0000-0000-0000E0980000}"/>
    <cellStyle name="Note 4 5 2 2 2 3 4" xfId="15225" xr:uid="{00000000-0005-0000-0000-0000E1980000}"/>
    <cellStyle name="Note 4 5 2 2 2 3 5" xfId="19070" xr:uid="{00000000-0005-0000-0000-0000E2980000}"/>
    <cellStyle name="Note 4 5 2 2 2 3 6" xfId="22992" xr:uid="{00000000-0005-0000-0000-0000E3980000}"/>
    <cellStyle name="Note 4 5 2 2 2 3 7" xfId="26821" xr:uid="{00000000-0005-0000-0000-0000E4980000}"/>
    <cellStyle name="Note 4 5 2 2 2 3 8" xfId="30695" xr:uid="{00000000-0005-0000-0000-0000E5980000}"/>
    <cellStyle name="Note 4 5 2 2 2 3 9" xfId="34351" xr:uid="{00000000-0005-0000-0000-0000E6980000}"/>
    <cellStyle name="Note 4 5 2 2 2 4" xfId="5028" xr:uid="{00000000-0005-0000-0000-0000E7980000}"/>
    <cellStyle name="Note 4 5 2 2 2 5" xfId="9384" xr:uid="{00000000-0005-0000-0000-0000E8980000}"/>
    <cellStyle name="Note 4 5 2 2 2 6" xfId="13224" xr:uid="{00000000-0005-0000-0000-0000E9980000}"/>
    <cellStyle name="Note 4 5 2 2 2 7" xfId="17052" xr:uid="{00000000-0005-0000-0000-0000EA980000}"/>
    <cellStyle name="Note 4 5 2 2 2 8" xfId="20994" xr:uid="{00000000-0005-0000-0000-0000EB980000}"/>
    <cellStyle name="Note 4 5 2 2 2 9" xfId="24808" xr:uid="{00000000-0005-0000-0000-0000EC980000}"/>
    <cellStyle name="Note 4 5 2 2 3" xfId="1460" xr:uid="{00000000-0005-0000-0000-0000ED980000}"/>
    <cellStyle name="Note 4 5 2 2 3 10" xfId="32747" xr:uid="{00000000-0005-0000-0000-0000EE980000}"/>
    <cellStyle name="Note 4 5 2 2 3 11" xfId="36517" xr:uid="{00000000-0005-0000-0000-0000EF980000}"/>
    <cellStyle name="Note 4 5 2 2 3 12" xfId="40508" xr:uid="{00000000-0005-0000-0000-0000F0980000}"/>
    <cellStyle name="Note 4 5 2 2 3 13" xfId="44339" xr:uid="{00000000-0005-0000-0000-0000F1980000}"/>
    <cellStyle name="Note 4 5 2 2 3 2" xfId="3450" xr:uid="{00000000-0005-0000-0000-0000F2980000}"/>
    <cellStyle name="Note 4 5 2 2 3 2 10" xfId="38501" xr:uid="{00000000-0005-0000-0000-0000F3980000}"/>
    <cellStyle name="Note 4 5 2 2 3 2 11" xfId="42512" xr:uid="{00000000-0005-0000-0000-0000F4980000}"/>
    <cellStyle name="Note 4 5 2 2 3 2 12" xfId="46277" xr:uid="{00000000-0005-0000-0000-0000F5980000}"/>
    <cellStyle name="Note 4 5 2 2 3 2 2" xfId="7317" xr:uid="{00000000-0005-0000-0000-0000F6980000}"/>
    <cellStyle name="Note 4 5 2 2 3 2 3" xfId="11752" xr:uid="{00000000-0005-0000-0000-0000F7980000}"/>
    <cellStyle name="Note 4 5 2 2 3 2 4" xfId="15597" xr:uid="{00000000-0005-0000-0000-0000F8980000}"/>
    <cellStyle name="Note 4 5 2 2 3 2 5" xfId="19444" xr:uid="{00000000-0005-0000-0000-0000F9980000}"/>
    <cellStyle name="Note 4 5 2 2 3 2 6" xfId="23360" xr:uid="{00000000-0005-0000-0000-0000FA980000}"/>
    <cellStyle name="Note 4 5 2 2 3 2 7" xfId="27194" xr:uid="{00000000-0005-0000-0000-0000FB980000}"/>
    <cellStyle name="Note 4 5 2 2 3 2 8" xfId="31062" xr:uid="{00000000-0005-0000-0000-0000FC980000}"/>
    <cellStyle name="Note 4 5 2 2 3 2 9" xfId="34715" xr:uid="{00000000-0005-0000-0000-0000FD980000}"/>
    <cellStyle name="Note 4 5 2 2 3 3" xfId="5393" xr:uid="{00000000-0005-0000-0000-0000FE980000}"/>
    <cellStyle name="Note 4 5 2 2 3 4" xfId="9751" xr:uid="{00000000-0005-0000-0000-0000FF980000}"/>
    <cellStyle name="Note 4 5 2 2 3 5" xfId="13597" xr:uid="{00000000-0005-0000-0000-000000990000}"/>
    <cellStyle name="Note 4 5 2 2 3 6" xfId="17426" xr:uid="{00000000-0005-0000-0000-000001990000}"/>
    <cellStyle name="Note 4 5 2 2 3 7" xfId="21365" xr:uid="{00000000-0005-0000-0000-000002990000}"/>
    <cellStyle name="Note 4 5 2 2 3 8" xfId="25178" xr:uid="{00000000-0005-0000-0000-000003990000}"/>
    <cellStyle name="Note 4 5 2 2 3 9" xfId="29065" xr:uid="{00000000-0005-0000-0000-000004990000}"/>
    <cellStyle name="Note 4 5 2 2 4" xfId="2709" xr:uid="{00000000-0005-0000-0000-000005990000}"/>
    <cellStyle name="Note 4 5 2 2 4 10" xfId="37761" xr:uid="{00000000-0005-0000-0000-000006990000}"/>
    <cellStyle name="Note 4 5 2 2 4 11" xfId="41775" xr:uid="{00000000-0005-0000-0000-000007990000}"/>
    <cellStyle name="Note 4 5 2 2 4 12" xfId="45560" xr:uid="{00000000-0005-0000-0000-000008990000}"/>
    <cellStyle name="Note 4 5 2 2 4 2" xfId="6597" xr:uid="{00000000-0005-0000-0000-000009990000}"/>
    <cellStyle name="Note 4 5 2 2 4 3" xfId="11021" xr:uid="{00000000-0005-0000-0000-00000A990000}"/>
    <cellStyle name="Note 4 5 2 2 4 4" xfId="14865" xr:uid="{00000000-0005-0000-0000-00000B990000}"/>
    <cellStyle name="Note 4 5 2 2 4 5" xfId="18703" xr:uid="{00000000-0005-0000-0000-00000C990000}"/>
    <cellStyle name="Note 4 5 2 2 4 6" xfId="22634" xr:uid="{00000000-0005-0000-0000-00000D990000}"/>
    <cellStyle name="Note 4 5 2 2 4 7" xfId="26454" xr:uid="{00000000-0005-0000-0000-00000E990000}"/>
    <cellStyle name="Note 4 5 2 2 4 8" xfId="30333" xr:uid="{00000000-0005-0000-0000-00000F990000}"/>
    <cellStyle name="Note 4 5 2 2 4 9" xfId="33998" xr:uid="{00000000-0005-0000-0000-000010990000}"/>
    <cellStyle name="Note 4 5 2 2 5" xfId="4673" xr:uid="{00000000-0005-0000-0000-000011990000}"/>
    <cellStyle name="Note 4 5 2 2 6" xfId="9015" xr:uid="{00000000-0005-0000-0000-000012990000}"/>
    <cellStyle name="Note 4 5 2 2 7" xfId="12852" xr:uid="{00000000-0005-0000-0000-000013990000}"/>
    <cellStyle name="Note 4 5 2 2 8" xfId="16682" xr:uid="{00000000-0005-0000-0000-000014990000}"/>
    <cellStyle name="Note 4 5 2 2 9" xfId="20619" xr:uid="{00000000-0005-0000-0000-000015990000}"/>
    <cellStyle name="Note 4 5 2 20" xfId="8882" xr:uid="{00000000-0005-0000-0000-000016990000}"/>
    <cellStyle name="Note 4 5 2 21" xfId="8676" xr:uid="{00000000-0005-0000-0000-000017990000}"/>
    <cellStyle name="Note 4 5 2 22" xfId="8810" xr:uid="{00000000-0005-0000-0000-000018990000}"/>
    <cellStyle name="Note 4 5 2 23" xfId="20485" xr:uid="{00000000-0005-0000-0000-000019990000}"/>
    <cellStyle name="Note 4 5 2 24" xfId="8777" xr:uid="{00000000-0005-0000-0000-00001A990000}"/>
    <cellStyle name="Note 4 5 2 25" xfId="18072" xr:uid="{00000000-0005-0000-0000-00001B990000}"/>
    <cellStyle name="Note 4 5 2 26" xfId="30851" xr:uid="{00000000-0005-0000-0000-00001C990000}"/>
    <cellStyle name="Note 4 5 2 27" xfId="8437" xr:uid="{00000000-0005-0000-0000-00001D990000}"/>
    <cellStyle name="Note 4 5 2 28" xfId="39669" xr:uid="{00000000-0005-0000-0000-00001E990000}"/>
    <cellStyle name="Note 4 5 2 29" xfId="39887" xr:uid="{00000000-0005-0000-0000-00001F990000}"/>
    <cellStyle name="Note 4 5 2 3" xfId="645" xr:uid="{00000000-0005-0000-0000-000020990000}"/>
    <cellStyle name="Note 4 5 2 3 10" xfId="22012" xr:uid="{00000000-0005-0000-0000-000021990000}"/>
    <cellStyle name="Note 4 5 2 3 11" xfId="28272" xr:uid="{00000000-0005-0000-0000-000022990000}"/>
    <cellStyle name="Note 4 5 2 3 12" xfId="31358" xr:uid="{00000000-0005-0000-0000-000023990000}"/>
    <cellStyle name="Note 4 5 2 3 13" xfId="8426" xr:uid="{00000000-0005-0000-0000-000024990000}"/>
    <cellStyle name="Note 4 5 2 3 14" xfId="39740" xr:uid="{00000000-0005-0000-0000-000025990000}"/>
    <cellStyle name="Note 4 5 2 3 15" xfId="41137" xr:uid="{00000000-0005-0000-0000-000026990000}"/>
    <cellStyle name="Note 4 5 2 3 2" xfId="1025" xr:uid="{00000000-0005-0000-0000-000027990000}"/>
    <cellStyle name="Note 4 5 2 3 2 10" xfId="28636" xr:uid="{00000000-0005-0000-0000-000028990000}"/>
    <cellStyle name="Note 4 5 2 3 2 11" xfId="32324" xr:uid="{00000000-0005-0000-0000-000029990000}"/>
    <cellStyle name="Note 4 5 2 3 2 12" xfId="36083" xr:uid="{00000000-0005-0000-0000-00002A990000}"/>
    <cellStyle name="Note 4 5 2 3 2 13" xfId="40088" xr:uid="{00000000-0005-0000-0000-00002B990000}"/>
    <cellStyle name="Note 4 5 2 3 2 14" xfId="43909" xr:uid="{00000000-0005-0000-0000-00002C990000}"/>
    <cellStyle name="Note 4 5 2 3 2 2" xfId="1754" xr:uid="{00000000-0005-0000-0000-00002D990000}"/>
    <cellStyle name="Note 4 5 2 3 2 2 10" xfId="33041" xr:uid="{00000000-0005-0000-0000-00002E990000}"/>
    <cellStyle name="Note 4 5 2 3 2 2 11" xfId="36811" xr:uid="{00000000-0005-0000-0000-00002F990000}"/>
    <cellStyle name="Note 4 5 2 3 2 2 12" xfId="40802" xr:uid="{00000000-0005-0000-0000-000030990000}"/>
    <cellStyle name="Note 4 5 2 3 2 2 13" xfId="44633" xr:uid="{00000000-0005-0000-0000-000031990000}"/>
    <cellStyle name="Note 4 5 2 3 2 2 2" xfId="3744" xr:uid="{00000000-0005-0000-0000-000032990000}"/>
    <cellStyle name="Note 4 5 2 3 2 2 2 10" xfId="38795" xr:uid="{00000000-0005-0000-0000-000033990000}"/>
    <cellStyle name="Note 4 5 2 3 2 2 2 11" xfId="42806" xr:uid="{00000000-0005-0000-0000-000034990000}"/>
    <cellStyle name="Note 4 5 2 3 2 2 2 12" xfId="46571" xr:uid="{00000000-0005-0000-0000-000035990000}"/>
    <cellStyle name="Note 4 5 2 3 2 2 2 2" xfId="7611" xr:uid="{00000000-0005-0000-0000-000036990000}"/>
    <cellStyle name="Note 4 5 2 3 2 2 2 3" xfId="12046" xr:uid="{00000000-0005-0000-0000-000037990000}"/>
    <cellStyle name="Note 4 5 2 3 2 2 2 4" xfId="15891" xr:uid="{00000000-0005-0000-0000-000038990000}"/>
    <cellStyle name="Note 4 5 2 3 2 2 2 5" xfId="19738" xr:uid="{00000000-0005-0000-0000-000039990000}"/>
    <cellStyle name="Note 4 5 2 3 2 2 2 6" xfId="23654" xr:uid="{00000000-0005-0000-0000-00003A990000}"/>
    <cellStyle name="Note 4 5 2 3 2 2 2 7" xfId="27488" xr:uid="{00000000-0005-0000-0000-00003B990000}"/>
    <cellStyle name="Note 4 5 2 3 2 2 2 8" xfId="31352" xr:uid="{00000000-0005-0000-0000-00003C990000}"/>
    <cellStyle name="Note 4 5 2 3 2 2 2 9" xfId="35009" xr:uid="{00000000-0005-0000-0000-00003D990000}"/>
    <cellStyle name="Note 4 5 2 3 2 2 3" xfId="5687" xr:uid="{00000000-0005-0000-0000-00003E990000}"/>
    <cellStyle name="Note 4 5 2 3 2 2 4" xfId="10045" xr:uid="{00000000-0005-0000-0000-00003F990000}"/>
    <cellStyle name="Note 4 5 2 3 2 2 5" xfId="13891" xr:uid="{00000000-0005-0000-0000-000040990000}"/>
    <cellStyle name="Note 4 5 2 3 2 2 6" xfId="17720" xr:uid="{00000000-0005-0000-0000-000041990000}"/>
    <cellStyle name="Note 4 5 2 3 2 2 7" xfId="21659" xr:uid="{00000000-0005-0000-0000-000042990000}"/>
    <cellStyle name="Note 4 5 2 3 2 2 8" xfId="25472" xr:uid="{00000000-0005-0000-0000-000043990000}"/>
    <cellStyle name="Note 4 5 2 3 2 2 9" xfId="29359" xr:uid="{00000000-0005-0000-0000-000044990000}"/>
    <cellStyle name="Note 4 5 2 3 2 3" xfId="3015" xr:uid="{00000000-0005-0000-0000-000045990000}"/>
    <cellStyle name="Note 4 5 2 3 2 3 10" xfId="38067" xr:uid="{00000000-0005-0000-0000-000046990000}"/>
    <cellStyle name="Note 4 5 2 3 2 3 11" xfId="42079" xr:uid="{00000000-0005-0000-0000-000047990000}"/>
    <cellStyle name="Note 4 5 2 3 2 3 12" xfId="45854" xr:uid="{00000000-0005-0000-0000-000048990000}"/>
    <cellStyle name="Note 4 5 2 3 2 3 2" xfId="6893" xr:uid="{00000000-0005-0000-0000-000049990000}"/>
    <cellStyle name="Note 4 5 2 3 2 3 3" xfId="11321" xr:uid="{00000000-0005-0000-0000-00004A990000}"/>
    <cellStyle name="Note 4 5 2 3 2 3 4" xfId="15166" xr:uid="{00000000-0005-0000-0000-00004B990000}"/>
    <cellStyle name="Note 4 5 2 3 2 3 5" xfId="19009" xr:uid="{00000000-0005-0000-0000-00004C990000}"/>
    <cellStyle name="Note 4 5 2 3 2 3 6" xfId="22933" xr:uid="{00000000-0005-0000-0000-00004D990000}"/>
    <cellStyle name="Note 4 5 2 3 2 3 7" xfId="26760" xr:uid="{00000000-0005-0000-0000-00004E990000}"/>
    <cellStyle name="Note 4 5 2 3 2 3 8" xfId="30634" xr:uid="{00000000-0005-0000-0000-00004F990000}"/>
    <cellStyle name="Note 4 5 2 3 2 3 9" xfId="34292" xr:uid="{00000000-0005-0000-0000-000050990000}"/>
    <cellStyle name="Note 4 5 2 3 2 4" xfId="4969" xr:uid="{00000000-0005-0000-0000-000051990000}"/>
    <cellStyle name="Note 4 5 2 3 2 5" xfId="9324" xr:uid="{00000000-0005-0000-0000-000052990000}"/>
    <cellStyle name="Note 4 5 2 3 2 6" xfId="13165" xr:uid="{00000000-0005-0000-0000-000053990000}"/>
    <cellStyle name="Note 4 5 2 3 2 7" xfId="16991" xr:uid="{00000000-0005-0000-0000-000054990000}"/>
    <cellStyle name="Note 4 5 2 3 2 8" xfId="20933" xr:uid="{00000000-0005-0000-0000-000055990000}"/>
    <cellStyle name="Note 4 5 2 3 2 9" xfId="24748" xr:uid="{00000000-0005-0000-0000-000056990000}"/>
    <cellStyle name="Note 4 5 2 3 3" xfId="1401" xr:uid="{00000000-0005-0000-0000-000057990000}"/>
    <cellStyle name="Note 4 5 2 3 3 10" xfId="32688" xr:uid="{00000000-0005-0000-0000-000058990000}"/>
    <cellStyle name="Note 4 5 2 3 3 11" xfId="36458" xr:uid="{00000000-0005-0000-0000-000059990000}"/>
    <cellStyle name="Note 4 5 2 3 3 12" xfId="40449" xr:uid="{00000000-0005-0000-0000-00005A990000}"/>
    <cellStyle name="Note 4 5 2 3 3 13" xfId="44280" xr:uid="{00000000-0005-0000-0000-00005B990000}"/>
    <cellStyle name="Note 4 5 2 3 3 2" xfId="3391" xr:uid="{00000000-0005-0000-0000-00005C990000}"/>
    <cellStyle name="Note 4 5 2 3 3 2 10" xfId="38442" xr:uid="{00000000-0005-0000-0000-00005D990000}"/>
    <cellStyle name="Note 4 5 2 3 3 2 11" xfId="42453" xr:uid="{00000000-0005-0000-0000-00005E990000}"/>
    <cellStyle name="Note 4 5 2 3 3 2 12" xfId="46218" xr:uid="{00000000-0005-0000-0000-00005F990000}"/>
    <cellStyle name="Note 4 5 2 3 3 2 2" xfId="7258" xr:uid="{00000000-0005-0000-0000-000060990000}"/>
    <cellStyle name="Note 4 5 2 3 3 2 3" xfId="11693" xr:uid="{00000000-0005-0000-0000-000061990000}"/>
    <cellStyle name="Note 4 5 2 3 3 2 4" xfId="15538" xr:uid="{00000000-0005-0000-0000-000062990000}"/>
    <cellStyle name="Note 4 5 2 3 3 2 5" xfId="19385" xr:uid="{00000000-0005-0000-0000-000063990000}"/>
    <cellStyle name="Note 4 5 2 3 3 2 6" xfId="23301" xr:uid="{00000000-0005-0000-0000-000064990000}"/>
    <cellStyle name="Note 4 5 2 3 3 2 7" xfId="27135" xr:uid="{00000000-0005-0000-0000-000065990000}"/>
    <cellStyle name="Note 4 5 2 3 3 2 8" xfId="31003" xr:uid="{00000000-0005-0000-0000-000066990000}"/>
    <cellStyle name="Note 4 5 2 3 3 2 9" xfId="34656" xr:uid="{00000000-0005-0000-0000-000067990000}"/>
    <cellStyle name="Note 4 5 2 3 3 3" xfId="5334" xr:uid="{00000000-0005-0000-0000-000068990000}"/>
    <cellStyle name="Note 4 5 2 3 3 4" xfId="9692" xr:uid="{00000000-0005-0000-0000-000069990000}"/>
    <cellStyle name="Note 4 5 2 3 3 5" xfId="13538" xr:uid="{00000000-0005-0000-0000-00006A990000}"/>
    <cellStyle name="Note 4 5 2 3 3 6" xfId="17367" xr:uid="{00000000-0005-0000-0000-00006B990000}"/>
    <cellStyle name="Note 4 5 2 3 3 7" xfId="21306" xr:uid="{00000000-0005-0000-0000-00006C990000}"/>
    <cellStyle name="Note 4 5 2 3 3 8" xfId="25119" xr:uid="{00000000-0005-0000-0000-00006D990000}"/>
    <cellStyle name="Note 4 5 2 3 3 9" xfId="29006" xr:uid="{00000000-0005-0000-0000-00006E990000}"/>
    <cellStyle name="Note 4 5 2 3 4" xfId="2648" xr:uid="{00000000-0005-0000-0000-00006F990000}"/>
    <cellStyle name="Note 4 5 2 3 4 10" xfId="37700" xr:uid="{00000000-0005-0000-0000-000070990000}"/>
    <cellStyle name="Note 4 5 2 3 4 11" xfId="41714" xr:uid="{00000000-0005-0000-0000-000071990000}"/>
    <cellStyle name="Note 4 5 2 3 4 12" xfId="45501" xr:uid="{00000000-0005-0000-0000-000072990000}"/>
    <cellStyle name="Note 4 5 2 3 4 2" xfId="6538" xr:uid="{00000000-0005-0000-0000-000073990000}"/>
    <cellStyle name="Note 4 5 2 3 4 3" xfId="10962" xr:uid="{00000000-0005-0000-0000-000074990000}"/>
    <cellStyle name="Note 4 5 2 3 4 4" xfId="14806" xr:uid="{00000000-0005-0000-0000-000075990000}"/>
    <cellStyle name="Note 4 5 2 3 4 5" xfId="18642" xr:uid="{00000000-0005-0000-0000-000076990000}"/>
    <cellStyle name="Note 4 5 2 3 4 6" xfId="22575" xr:uid="{00000000-0005-0000-0000-000077990000}"/>
    <cellStyle name="Note 4 5 2 3 4 7" xfId="26393" xr:uid="{00000000-0005-0000-0000-000078990000}"/>
    <cellStyle name="Note 4 5 2 3 4 8" xfId="30272" xr:uid="{00000000-0005-0000-0000-000079990000}"/>
    <cellStyle name="Note 4 5 2 3 4 9" xfId="33939" xr:uid="{00000000-0005-0000-0000-00007A990000}"/>
    <cellStyle name="Note 4 5 2 3 5" xfId="4614" xr:uid="{00000000-0005-0000-0000-00007B990000}"/>
    <cellStyle name="Note 4 5 2 3 6" xfId="8954" xr:uid="{00000000-0005-0000-0000-00007C990000}"/>
    <cellStyle name="Note 4 5 2 3 7" xfId="12793" xr:uid="{00000000-0005-0000-0000-00007D990000}"/>
    <cellStyle name="Note 4 5 2 3 8" xfId="8475" xr:uid="{00000000-0005-0000-0000-00007E990000}"/>
    <cellStyle name="Note 4 5 2 3 9" xfId="20558" xr:uid="{00000000-0005-0000-0000-00007F990000}"/>
    <cellStyle name="Note 4 5 2 30" xfId="47383" xr:uid="{00000000-0005-0000-0000-000080990000}"/>
    <cellStyle name="Note 4 5 2 31" xfId="47469" xr:uid="{00000000-0005-0000-0000-000081990000}"/>
    <cellStyle name="Note 4 5 2 32" xfId="47518" xr:uid="{00000000-0005-0000-0000-000082990000}"/>
    <cellStyle name="Note 4 5 2 4" xfId="814" xr:uid="{00000000-0005-0000-0000-000083990000}"/>
    <cellStyle name="Note 4 5 2 4 10" xfId="24538" xr:uid="{00000000-0005-0000-0000-000084990000}"/>
    <cellStyle name="Note 4 5 2 4 11" xfId="28429" xr:uid="{00000000-0005-0000-0000-000085990000}"/>
    <cellStyle name="Note 4 5 2 4 12" xfId="32115" xr:uid="{00000000-0005-0000-0000-000086990000}"/>
    <cellStyle name="Note 4 5 2 4 13" xfId="35872" xr:uid="{00000000-0005-0000-0000-000087990000}"/>
    <cellStyle name="Note 4 5 2 4 14" xfId="39883" xr:uid="{00000000-0005-0000-0000-000088990000}"/>
    <cellStyle name="Note 4 5 2 4 15" xfId="43698" xr:uid="{00000000-0005-0000-0000-000089990000}"/>
    <cellStyle name="Note 4 5 2 4 2" xfId="1176" xr:uid="{00000000-0005-0000-0000-00008A990000}"/>
    <cellStyle name="Note 4 5 2 4 2 10" xfId="28785" xr:uid="{00000000-0005-0000-0000-00008B990000}"/>
    <cellStyle name="Note 4 5 2 4 2 11" xfId="32468" xr:uid="{00000000-0005-0000-0000-00008C990000}"/>
    <cellStyle name="Note 4 5 2 4 2 12" xfId="36234" xr:uid="{00000000-0005-0000-0000-00008D990000}"/>
    <cellStyle name="Note 4 5 2 4 2 13" xfId="40229" xr:uid="{00000000-0005-0000-0000-00008E990000}"/>
    <cellStyle name="Note 4 5 2 4 2 14" xfId="44060" xr:uid="{00000000-0005-0000-0000-00008F990000}"/>
    <cellStyle name="Note 4 5 2 4 2 2" xfId="1898" xr:uid="{00000000-0005-0000-0000-000090990000}"/>
    <cellStyle name="Note 4 5 2 4 2 2 10" xfId="33185" xr:uid="{00000000-0005-0000-0000-000091990000}"/>
    <cellStyle name="Note 4 5 2 4 2 2 11" xfId="36955" xr:uid="{00000000-0005-0000-0000-000092990000}"/>
    <cellStyle name="Note 4 5 2 4 2 2 12" xfId="40946" xr:uid="{00000000-0005-0000-0000-000093990000}"/>
    <cellStyle name="Note 4 5 2 4 2 2 13" xfId="44777" xr:uid="{00000000-0005-0000-0000-000094990000}"/>
    <cellStyle name="Note 4 5 2 4 2 2 2" xfId="3888" xr:uid="{00000000-0005-0000-0000-000095990000}"/>
    <cellStyle name="Note 4 5 2 4 2 2 2 10" xfId="38939" xr:uid="{00000000-0005-0000-0000-000096990000}"/>
    <cellStyle name="Note 4 5 2 4 2 2 2 11" xfId="42950" xr:uid="{00000000-0005-0000-0000-000097990000}"/>
    <cellStyle name="Note 4 5 2 4 2 2 2 12" xfId="46715" xr:uid="{00000000-0005-0000-0000-000098990000}"/>
    <cellStyle name="Note 4 5 2 4 2 2 2 2" xfId="7755" xr:uid="{00000000-0005-0000-0000-000099990000}"/>
    <cellStyle name="Note 4 5 2 4 2 2 2 3" xfId="12190" xr:uid="{00000000-0005-0000-0000-00009A990000}"/>
    <cellStyle name="Note 4 5 2 4 2 2 2 4" xfId="16035" xr:uid="{00000000-0005-0000-0000-00009B990000}"/>
    <cellStyle name="Note 4 5 2 4 2 2 2 5" xfId="19882" xr:uid="{00000000-0005-0000-0000-00009C990000}"/>
    <cellStyle name="Note 4 5 2 4 2 2 2 6" xfId="23798" xr:uid="{00000000-0005-0000-0000-00009D990000}"/>
    <cellStyle name="Note 4 5 2 4 2 2 2 7" xfId="27632" xr:uid="{00000000-0005-0000-0000-00009E990000}"/>
    <cellStyle name="Note 4 5 2 4 2 2 2 8" xfId="31495" xr:uid="{00000000-0005-0000-0000-00009F990000}"/>
    <cellStyle name="Note 4 5 2 4 2 2 2 9" xfId="35153" xr:uid="{00000000-0005-0000-0000-0000A0990000}"/>
    <cellStyle name="Note 4 5 2 4 2 2 3" xfId="5831" xr:uid="{00000000-0005-0000-0000-0000A1990000}"/>
    <cellStyle name="Note 4 5 2 4 2 2 4" xfId="10189" xr:uid="{00000000-0005-0000-0000-0000A2990000}"/>
    <cellStyle name="Note 4 5 2 4 2 2 5" xfId="14035" xr:uid="{00000000-0005-0000-0000-0000A3990000}"/>
    <cellStyle name="Note 4 5 2 4 2 2 6" xfId="17864" xr:uid="{00000000-0005-0000-0000-0000A4990000}"/>
    <cellStyle name="Note 4 5 2 4 2 2 7" xfId="21803" xr:uid="{00000000-0005-0000-0000-0000A5990000}"/>
    <cellStyle name="Note 4 5 2 4 2 2 8" xfId="25616" xr:uid="{00000000-0005-0000-0000-0000A6990000}"/>
    <cellStyle name="Note 4 5 2 4 2 2 9" xfId="29503" xr:uid="{00000000-0005-0000-0000-0000A7990000}"/>
    <cellStyle name="Note 4 5 2 4 2 3" xfId="3166" xr:uid="{00000000-0005-0000-0000-0000A8990000}"/>
    <cellStyle name="Note 4 5 2 4 2 3 10" xfId="38218" xr:uid="{00000000-0005-0000-0000-0000A9990000}"/>
    <cellStyle name="Note 4 5 2 4 2 3 11" xfId="42229" xr:uid="{00000000-0005-0000-0000-0000AA990000}"/>
    <cellStyle name="Note 4 5 2 4 2 3 12" xfId="45998" xr:uid="{00000000-0005-0000-0000-0000AB990000}"/>
    <cellStyle name="Note 4 5 2 4 2 3 2" xfId="7038" xr:uid="{00000000-0005-0000-0000-0000AC990000}"/>
    <cellStyle name="Note 4 5 2 4 2 3 3" xfId="11470" xr:uid="{00000000-0005-0000-0000-0000AD990000}"/>
    <cellStyle name="Note 4 5 2 4 2 3 4" xfId="15314" xr:uid="{00000000-0005-0000-0000-0000AE990000}"/>
    <cellStyle name="Note 4 5 2 4 2 3 5" xfId="19160" xr:uid="{00000000-0005-0000-0000-0000AF990000}"/>
    <cellStyle name="Note 4 5 2 4 2 3 6" xfId="23079" xr:uid="{00000000-0005-0000-0000-0000B0990000}"/>
    <cellStyle name="Note 4 5 2 4 2 3 7" xfId="26911" xr:uid="{00000000-0005-0000-0000-0000B1990000}"/>
    <cellStyle name="Note 4 5 2 4 2 3 8" xfId="30783" xr:uid="{00000000-0005-0000-0000-0000B2990000}"/>
    <cellStyle name="Note 4 5 2 4 2 3 9" xfId="34436" xr:uid="{00000000-0005-0000-0000-0000B3990000}"/>
    <cellStyle name="Note 4 5 2 4 2 4" xfId="5114" xr:uid="{00000000-0005-0000-0000-0000B4990000}"/>
    <cellStyle name="Note 4 5 2 4 2 5" xfId="9470" xr:uid="{00000000-0005-0000-0000-0000B5990000}"/>
    <cellStyle name="Note 4 5 2 4 2 6" xfId="13314" xr:uid="{00000000-0005-0000-0000-0000B6990000}"/>
    <cellStyle name="Note 4 5 2 4 2 7" xfId="17142" xr:uid="{00000000-0005-0000-0000-0000B7990000}"/>
    <cellStyle name="Note 4 5 2 4 2 8" xfId="21084" xr:uid="{00000000-0005-0000-0000-0000B8990000}"/>
    <cellStyle name="Note 4 5 2 4 2 9" xfId="24895" xr:uid="{00000000-0005-0000-0000-0000B9990000}"/>
    <cellStyle name="Note 4 5 2 4 3" xfId="1545" xr:uid="{00000000-0005-0000-0000-0000BA990000}"/>
    <cellStyle name="Note 4 5 2 4 3 10" xfId="32832" xr:uid="{00000000-0005-0000-0000-0000BB990000}"/>
    <cellStyle name="Note 4 5 2 4 3 11" xfId="36602" xr:uid="{00000000-0005-0000-0000-0000BC990000}"/>
    <cellStyle name="Note 4 5 2 4 3 12" xfId="40593" xr:uid="{00000000-0005-0000-0000-0000BD990000}"/>
    <cellStyle name="Note 4 5 2 4 3 13" xfId="44424" xr:uid="{00000000-0005-0000-0000-0000BE990000}"/>
    <cellStyle name="Note 4 5 2 4 3 2" xfId="3535" xr:uid="{00000000-0005-0000-0000-0000BF990000}"/>
    <cellStyle name="Note 4 5 2 4 3 2 10" xfId="38586" xr:uid="{00000000-0005-0000-0000-0000C0990000}"/>
    <cellStyle name="Note 4 5 2 4 3 2 11" xfId="42597" xr:uid="{00000000-0005-0000-0000-0000C1990000}"/>
    <cellStyle name="Note 4 5 2 4 3 2 12" xfId="46362" xr:uid="{00000000-0005-0000-0000-0000C2990000}"/>
    <cellStyle name="Note 4 5 2 4 3 2 2" xfId="7402" xr:uid="{00000000-0005-0000-0000-0000C3990000}"/>
    <cellStyle name="Note 4 5 2 4 3 2 3" xfId="11837" xr:uid="{00000000-0005-0000-0000-0000C4990000}"/>
    <cellStyle name="Note 4 5 2 4 3 2 4" xfId="15682" xr:uid="{00000000-0005-0000-0000-0000C5990000}"/>
    <cellStyle name="Note 4 5 2 4 3 2 5" xfId="19529" xr:uid="{00000000-0005-0000-0000-0000C6990000}"/>
    <cellStyle name="Note 4 5 2 4 3 2 6" xfId="23445" xr:uid="{00000000-0005-0000-0000-0000C7990000}"/>
    <cellStyle name="Note 4 5 2 4 3 2 7" xfId="27279" xr:uid="{00000000-0005-0000-0000-0000C8990000}"/>
    <cellStyle name="Note 4 5 2 4 3 2 8" xfId="31146" xr:uid="{00000000-0005-0000-0000-0000C9990000}"/>
    <cellStyle name="Note 4 5 2 4 3 2 9" xfId="34800" xr:uid="{00000000-0005-0000-0000-0000CA990000}"/>
    <cellStyle name="Note 4 5 2 4 3 3" xfId="5478" xr:uid="{00000000-0005-0000-0000-0000CB990000}"/>
    <cellStyle name="Note 4 5 2 4 3 4" xfId="9836" xr:uid="{00000000-0005-0000-0000-0000CC990000}"/>
    <cellStyle name="Note 4 5 2 4 3 5" xfId="13682" xr:uid="{00000000-0005-0000-0000-0000CD990000}"/>
    <cellStyle name="Note 4 5 2 4 3 6" xfId="17511" xr:uid="{00000000-0005-0000-0000-0000CE990000}"/>
    <cellStyle name="Note 4 5 2 4 3 7" xfId="21450" xr:uid="{00000000-0005-0000-0000-0000CF990000}"/>
    <cellStyle name="Note 4 5 2 4 3 8" xfId="25263" xr:uid="{00000000-0005-0000-0000-0000D0990000}"/>
    <cellStyle name="Note 4 5 2 4 3 9" xfId="29150" xr:uid="{00000000-0005-0000-0000-0000D1990000}"/>
    <cellStyle name="Note 4 5 2 4 4" xfId="2804" xr:uid="{00000000-0005-0000-0000-0000D2990000}"/>
    <cellStyle name="Note 4 5 2 4 4 10" xfId="37856" xr:uid="{00000000-0005-0000-0000-0000D3990000}"/>
    <cellStyle name="Note 4 5 2 4 4 11" xfId="41868" xr:uid="{00000000-0005-0000-0000-0000D4990000}"/>
    <cellStyle name="Note 4 5 2 4 4 12" xfId="45645" xr:uid="{00000000-0005-0000-0000-0000D5990000}"/>
    <cellStyle name="Note 4 5 2 4 4 2" xfId="6684" xr:uid="{00000000-0005-0000-0000-0000D6990000}"/>
    <cellStyle name="Note 4 5 2 4 4 3" xfId="11111" xr:uid="{00000000-0005-0000-0000-0000D7990000}"/>
    <cellStyle name="Note 4 5 2 4 4 4" xfId="14956" xr:uid="{00000000-0005-0000-0000-0000D8990000}"/>
    <cellStyle name="Note 4 5 2 4 4 5" xfId="18798" xr:uid="{00000000-0005-0000-0000-0000D9990000}"/>
    <cellStyle name="Note 4 5 2 4 4 6" xfId="22724" xr:uid="{00000000-0005-0000-0000-0000DA990000}"/>
    <cellStyle name="Note 4 5 2 4 4 7" xfId="26549" xr:uid="{00000000-0005-0000-0000-0000DB990000}"/>
    <cellStyle name="Note 4 5 2 4 4 8" xfId="30427" xr:uid="{00000000-0005-0000-0000-0000DC990000}"/>
    <cellStyle name="Note 4 5 2 4 4 9" xfId="34083" xr:uid="{00000000-0005-0000-0000-0000DD990000}"/>
    <cellStyle name="Note 4 5 2 4 5" xfId="4760" xr:uid="{00000000-0005-0000-0000-0000DE990000}"/>
    <cellStyle name="Note 4 5 2 4 6" xfId="9114" xr:uid="{00000000-0005-0000-0000-0000DF990000}"/>
    <cellStyle name="Note 4 5 2 4 7" xfId="12955" xr:uid="{00000000-0005-0000-0000-0000E0990000}"/>
    <cellStyle name="Note 4 5 2 4 8" xfId="16780" xr:uid="{00000000-0005-0000-0000-0000E1990000}"/>
    <cellStyle name="Note 4 5 2 4 9" xfId="20722" xr:uid="{00000000-0005-0000-0000-0000E2990000}"/>
    <cellStyle name="Note 4 5 2 5" xfId="906" xr:uid="{00000000-0005-0000-0000-0000E3990000}"/>
    <cellStyle name="Note 4 5 2 5 10" xfId="24630" xr:uid="{00000000-0005-0000-0000-0000E4990000}"/>
    <cellStyle name="Note 4 5 2 5 11" xfId="28520" xr:uid="{00000000-0005-0000-0000-0000E5990000}"/>
    <cellStyle name="Note 4 5 2 5 12" xfId="32207" xr:uid="{00000000-0005-0000-0000-0000E6990000}"/>
    <cellStyle name="Note 4 5 2 5 13" xfId="35964" xr:uid="{00000000-0005-0000-0000-0000E7990000}"/>
    <cellStyle name="Note 4 5 2 5 14" xfId="39974" xr:uid="{00000000-0005-0000-0000-0000E8990000}"/>
    <cellStyle name="Note 4 5 2 5 15" xfId="43790" xr:uid="{00000000-0005-0000-0000-0000E9990000}"/>
    <cellStyle name="Note 4 5 2 5 2" xfId="1243" xr:uid="{00000000-0005-0000-0000-0000EA990000}"/>
    <cellStyle name="Note 4 5 2 5 2 10" xfId="28851" xr:uid="{00000000-0005-0000-0000-0000EB990000}"/>
    <cellStyle name="Note 4 5 2 5 2 11" xfId="32535" xr:uid="{00000000-0005-0000-0000-0000EC990000}"/>
    <cellStyle name="Note 4 5 2 5 2 12" xfId="36301" xr:uid="{00000000-0005-0000-0000-0000ED990000}"/>
    <cellStyle name="Note 4 5 2 5 2 13" xfId="40294" xr:uid="{00000000-0005-0000-0000-0000EE990000}"/>
    <cellStyle name="Note 4 5 2 5 2 14" xfId="44127" xr:uid="{00000000-0005-0000-0000-0000EF990000}"/>
    <cellStyle name="Note 4 5 2 5 2 2" xfId="1965" xr:uid="{00000000-0005-0000-0000-0000F0990000}"/>
    <cellStyle name="Note 4 5 2 5 2 2 10" xfId="33252" xr:uid="{00000000-0005-0000-0000-0000F1990000}"/>
    <cellStyle name="Note 4 5 2 5 2 2 11" xfId="37022" xr:uid="{00000000-0005-0000-0000-0000F2990000}"/>
    <cellStyle name="Note 4 5 2 5 2 2 12" xfId="41013" xr:uid="{00000000-0005-0000-0000-0000F3990000}"/>
    <cellStyle name="Note 4 5 2 5 2 2 13" xfId="44844" xr:uid="{00000000-0005-0000-0000-0000F4990000}"/>
    <cellStyle name="Note 4 5 2 5 2 2 2" xfId="3955" xr:uid="{00000000-0005-0000-0000-0000F5990000}"/>
    <cellStyle name="Note 4 5 2 5 2 2 2 10" xfId="39006" xr:uid="{00000000-0005-0000-0000-0000F6990000}"/>
    <cellStyle name="Note 4 5 2 5 2 2 2 11" xfId="43017" xr:uid="{00000000-0005-0000-0000-0000F7990000}"/>
    <cellStyle name="Note 4 5 2 5 2 2 2 12" xfId="46782" xr:uid="{00000000-0005-0000-0000-0000F8990000}"/>
    <cellStyle name="Note 4 5 2 5 2 2 2 2" xfId="7822" xr:uid="{00000000-0005-0000-0000-0000F9990000}"/>
    <cellStyle name="Note 4 5 2 5 2 2 2 3" xfId="12257" xr:uid="{00000000-0005-0000-0000-0000FA990000}"/>
    <cellStyle name="Note 4 5 2 5 2 2 2 4" xfId="16102" xr:uid="{00000000-0005-0000-0000-0000FB990000}"/>
    <cellStyle name="Note 4 5 2 5 2 2 2 5" xfId="19949" xr:uid="{00000000-0005-0000-0000-0000FC990000}"/>
    <cellStyle name="Note 4 5 2 5 2 2 2 6" xfId="23865" xr:uid="{00000000-0005-0000-0000-0000FD990000}"/>
    <cellStyle name="Note 4 5 2 5 2 2 2 7" xfId="27699" xr:uid="{00000000-0005-0000-0000-0000FE990000}"/>
    <cellStyle name="Note 4 5 2 5 2 2 2 8" xfId="31560" xr:uid="{00000000-0005-0000-0000-0000FF990000}"/>
    <cellStyle name="Note 4 5 2 5 2 2 2 9" xfId="35220" xr:uid="{00000000-0005-0000-0000-0000009A0000}"/>
    <cellStyle name="Note 4 5 2 5 2 2 3" xfId="5898" xr:uid="{00000000-0005-0000-0000-0000019A0000}"/>
    <cellStyle name="Note 4 5 2 5 2 2 4" xfId="10256" xr:uid="{00000000-0005-0000-0000-0000029A0000}"/>
    <cellStyle name="Note 4 5 2 5 2 2 5" xfId="14102" xr:uid="{00000000-0005-0000-0000-0000039A0000}"/>
    <cellStyle name="Note 4 5 2 5 2 2 6" xfId="17931" xr:uid="{00000000-0005-0000-0000-0000049A0000}"/>
    <cellStyle name="Note 4 5 2 5 2 2 7" xfId="21870" xr:uid="{00000000-0005-0000-0000-0000059A0000}"/>
    <cellStyle name="Note 4 5 2 5 2 2 8" xfId="25683" xr:uid="{00000000-0005-0000-0000-0000069A0000}"/>
    <cellStyle name="Note 4 5 2 5 2 2 9" xfId="29570" xr:uid="{00000000-0005-0000-0000-0000079A0000}"/>
    <cellStyle name="Note 4 5 2 5 2 3" xfId="3233" xr:uid="{00000000-0005-0000-0000-0000089A0000}"/>
    <cellStyle name="Note 4 5 2 5 2 3 10" xfId="38285" xr:uid="{00000000-0005-0000-0000-0000099A0000}"/>
    <cellStyle name="Note 4 5 2 5 2 3 11" xfId="42296" xr:uid="{00000000-0005-0000-0000-00000A9A0000}"/>
    <cellStyle name="Note 4 5 2 5 2 3 12" xfId="46065" xr:uid="{00000000-0005-0000-0000-00000B9A0000}"/>
    <cellStyle name="Note 4 5 2 5 2 3 2" xfId="7105" xr:uid="{00000000-0005-0000-0000-00000C9A0000}"/>
    <cellStyle name="Note 4 5 2 5 2 3 3" xfId="11537" xr:uid="{00000000-0005-0000-0000-00000D9A0000}"/>
    <cellStyle name="Note 4 5 2 5 2 3 4" xfId="15381" xr:uid="{00000000-0005-0000-0000-00000E9A0000}"/>
    <cellStyle name="Note 4 5 2 5 2 3 5" xfId="19227" xr:uid="{00000000-0005-0000-0000-00000F9A0000}"/>
    <cellStyle name="Note 4 5 2 5 2 3 6" xfId="23146" xr:uid="{00000000-0005-0000-0000-0000109A0000}"/>
    <cellStyle name="Note 4 5 2 5 2 3 7" xfId="26978" xr:uid="{00000000-0005-0000-0000-0000119A0000}"/>
    <cellStyle name="Note 4 5 2 5 2 3 8" xfId="30848" xr:uid="{00000000-0005-0000-0000-0000129A0000}"/>
    <cellStyle name="Note 4 5 2 5 2 3 9" xfId="34503" xr:uid="{00000000-0005-0000-0000-0000139A0000}"/>
    <cellStyle name="Note 4 5 2 5 2 4" xfId="5181" xr:uid="{00000000-0005-0000-0000-0000149A0000}"/>
    <cellStyle name="Note 4 5 2 5 2 5" xfId="9537" xr:uid="{00000000-0005-0000-0000-0000159A0000}"/>
    <cellStyle name="Note 4 5 2 5 2 6" xfId="13381" xr:uid="{00000000-0005-0000-0000-0000169A0000}"/>
    <cellStyle name="Note 4 5 2 5 2 7" xfId="17209" xr:uid="{00000000-0005-0000-0000-0000179A0000}"/>
    <cellStyle name="Note 4 5 2 5 2 8" xfId="21151" xr:uid="{00000000-0005-0000-0000-0000189A0000}"/>
    <cellStyle name="Note 4 5 2 5 2 9" xfId="24962" xr:uid="{00000000-0005-0000-0000-0000199A0000}"/>
    <cellStyle name="Note 4 5 2 5 3" xfId="1637" xr:uid="{00000000-0005-0000-0000-00001A9A0000}"/>
    <cellStyle name="Note 4 5 2 5 3 10" xfId="32924" xr:uid="{00000000-0005-0000-0000-00001B9A0000}"/>
    <cellStyle name="Note 4 5 2 5 3 11" xfId="36694" xr:uid="{00000000-0005-0000-0000-00001C9A0000}"/>
    <cellStyle name="Note 4 5 2 5 3 12" xfId="40685" xr:uid="{00000000-0005-0000-0000-00001D9A0000}"/>
    <cellStyle name="Note 4 5 2 5 3 13" xfId="44516" xr:uid="{00000000-0005-0000-0000-00001E9A0000}"/>
    <cellStyle name="Note 4 5 2 5 3 2" xfId="3627" xr:uid="{00000000-0005-0000-0000-00001F9A0000}"/>
    <cellStyle name="Note 4 5 2 5 3 2 10" xfId="38678" xr:uid="{00000000-0005-0000-0000-0000209A0000}"/>
    <cellStyle name="Note 4 5 2 5 3 2 11" xfId="42689" xr:uid="{00000000-0005-0000-0000-0000219A0000}"/>
    <cellStyle name="Note 4 5 2 5 3 2 12" xfId="46454" xr:uid="{00000000-0005-0000-0000-0000229A0000}"/>
    <cellStyle name="Note 4 5 2 5 3 2 2" xfId="7494" xr:uid="{00000000-0005-0000-0000-0000239A0000}"/>
    <cellStyle name="Note 4 5 2 5 3 2 3" xfId="11929" xr:uid="{00000000-0005-0000-0000-0000249A0000}"/>
    <cellStyle name="Note 4 5 2 5 3 2 4" xfId="15774" xr:uid="{00000000-0005-0000-0000-0000259A0000}"/>
    <cellStyle name="Note 4 5 2 5 3 2 5" xfId="19621" xr:uid="{00000000-0005-0000-0000-0000269A0000}"/>
    <cellStyle name="Note 4 5 2 5 3 2 6" xfId="23537" xr:uid="{00000000-0005-0000-0000-0000279A0000}"/>
    <cellStyle name="Note 4 5 2 5 3 2 7" xfId="27371" xr:uid="{00000000-0005-0000-0000-0000289A0000}"/>
    <cellStyle name="Note 4 5 2 5 3 2 8" xfId="31236" xr:uid="{00000000-0005-0000-0000-0000299A0000}"/>
    <cellStyle name="Note 4 5 2 5 3 2 9" xfId="34892" xr:uid="{00000000-0005-0000-0000-00002A9A0000}"/>
    <cellStyle name="Note 4 5 2 5 3 3" xfId="5570" xr:uid="{00000000-0005-0000-0000-00002B9A0000}"/>
    <cellStyle name="Note 4 5 2 5 3 4" xfId="9928" xr:uid="{00000000-0005-0000-0000-00002C9A0000}"/>
    <cellStyle name="Note 4 5 2 5 3 5" xfId="13774" xr:uid="{00000000-0005-0000-0000-00002D9A0000}"/>
    <cellStyle name="Note 4 5 2 5 3 6" xfId="17603" xr:uid="{00000000-0005-0000-0000-00002E9A0000}"/>
    <cellStyle name="Note 4 5 2 5 3 7" xfId="21542" xr:uid="{00000000-0005-0000-0000-00002F9A0000}"/>
    <cellStyle name="Note 4 5 2 5 3 8" xfId="25355" xr:uid="{00000000-0005-0000-0000-0000309A0000}"/>
    <cellStyle name="Note 4 5 2 5 3 9" xfId="29242" xr:uid="{00000000-0005-0000-0000-0000319A0000}"/>
    <cellStyle name="Note 4 5 2 5 4" xfId="2896" xr:uid="{00000000-0005-0000-0000-0000329A0000}"/>
    <cellStyle name="Note 4 5 2 5 4 10" xfId="37948" xr:uid="{00000000-0005-0000-0000-0000339A0000}"/>
    <cellStyle name="Note 4 5 2 5 4 11" xfId="41960" xr:uid="{00000000-0005-0000-0000-0000349A0000}"/>
    <cellStyle name="Note 4 5 2 5 4 12" xfId="45737" xr:uid="{00000000-0005-0000-0000-0000359A0000}"/>
    <cellStyle name="Note 4 5 2 5 4 2" xfId="6776" xr:uid="{00000000-0005-0000-0000-0000369A0000}"/>
    <cellStyle name="Note 4 5 2 5 4 3" xfId="11203" xr:uid="{00000000-0005-0000-0000-0000379A0000}"/>
    <cellStyle name="Note 4 5 2 5 4 4" xfId="15048" xr:uid="{00000000-0005-0000-0000-0000389A0000}"/>
    <cellStyle name="Note 4 5 2 5 4 5" xfId="18890" xr:uid="{00000000-0005-0000-0000-0000399A0000}"/>
    <cellStyle name="Note 4 5 2 5 4 6" xfId="22816" xr:uid="{00000000-0005-0000-0000-00003A9A0000}"/>
    <cellStyle name="Note 4 5 2 5 4 7" xfId="26641" xr:uid="{00000000-0005-0000-0000-00003B9A0000}"/>
    <cellStyle name="Note 4 5 2 5 4 8" xfId="30517" xr:uid="{00000000-0005-0000-0000-00003C9A0000}"/>
    <cellStyle name="Note 4 5 2 5 4 9" xfId="34175" xr:uid="{00000000-0005-0000-0000-00003D9A0000}"/>
    <cellStyle name="Note 4 5 2 5 5" xfId="4852" xr:uid="{00000000-0005-0000-0000-00003E9A0000}"/>
    <cellStyle name="Note 4 5 2 5 6" xfId="9206" xr:uid="{00000000-0005-0000-0000-00003F9A0000}"/>
    <cellStyle name="Note 4 5 2 5 7" xfId="13047" xr:uid="{00000000-0005-0000-0000-0000409A0000}"/>
    <cellStyle name="Note 4 5 2 5 8" xfId="16872" xr:uid="{00000000-0005-0000-0000-0000419A0000}"/>
    <cellStyle name="Note 4 5 2 5 9" xfId="20814" xr:uid="{00000000-0005-0000-0000-0000429A0000}"/>
    <cellStyle name="Note 4 5 2 6" xfId="952" xr:uid="{00000000-0005-0000-0000-0000439A0000}"/>
    <cellStyle name="Note 4 5 2 6 10" xfId="28564" xr:uid="{00000000-0005-0000-0000-0000449A0000}"/>
    <cellStyle name="Note 4 5 2 6 11" xfId="32253" xr:uid="{00000000-0005-0000-0000-0000459A0000}"/>
    <cellStyle name="Note 4 5 2 6 12" xfId="36010" xr:uid="{00000000-0005-0000-0000-0000469A0000}"/>
    <cellStyle name="Note 4 5 2 6 13" xfId="40018" xr:uid="{00000000-0005-0000-0000-0000479A0000}"/>
    <cellStyle name="Note 4 5 2 6 14" xfId="43836" xr:uid="{00000000-0005-0000-0000-0000489A0000}"/>
    <cellStyle name="Note 4 5 2 6 2" xfId="1683" xr:uid="{00000000-0005-0000-0000-0000499A0000}"/>
    <cellStyle name="Note 4 5 2 6 2 10" xfId="32970" xr:uid="{00000000-0005-0000-0000-00004A9A0000}"/>
    <cellStyle name="Note 4 5 2 6 2 11" xfId="36740" xr:uid="{00000000-0005-0000-0000-00004B9A0000}"/>
    <cellStyle name="Note 4 5 2 6 2 12" xfId="40731" xr:uid="{00000000-0005-0000-0000-00004C9A0000}"/>
    <cellStyle name="Note 4 5 2 6 2 13" xfId="44562" xr:uid="{00000000-0005-0000-0000-00004D9A0000}"/>
    <cellStyle name="Note 4 5 2 6 2 2" xfId="3673" xr:uid="{00000000-0005-0000-0000-00004E9A0000}"/>
    <cellStyle name="Note 4 5 2 6 2 2 10" xfId="38724" xr:uid="{00000000-0005-0000-0000-00004F9A0000}"/>
    <cellStyle name="Note 4 5 2 6 2 2 11" xfId="42735" xr:uid="{00000000-0005-0000-0000-0000509A0000}"/>
    <cellStyle name="Note 4 5 2 6 2 2 12" xfId="46500" xr:uid="{00000000-0005-0000-0000-0000519A0000}"/>
    <cellStyle name="Note 4 5 2 6 2 2 2" xfId="7540" xr:uid="{00000000-0005-0000-0000-0000529A0000}"/>
    <cellStyle name="Note 4 5 2 6 2 2 3" xfId="11975" xr:uid="{00000000-0005-0000-0000-0000539A0000}"/>
    <cellStyle name="Note 4 5 2 6 2 2 4" xfId="15820" xr:uid="{00000000-0005-0000-0000-0000549A0000}"/>
    <cellStyle name="Note 4 5 2 6 2 2 5" xfId="19667" xr:uid="{00000000-0005-0000-0000-0000559A0000}"/>
    <cellStyle name="Note 4 5 2 6 2 2 6" xfId="23583" xr:uid="{00000000-0005-0000-0000-0000569A0000}"/>
    <cellStyle name="Note 4 5 2 6 2 2 7" xfId="27417" xr:uid="{00000000-0005-0000-0000-0000579A0000}"/>
    <cellStyle name="Note 4 5 2 6 2 2 8" xfId="31281" xr:uid="{00000000-0005-0000-0000-0000589A0000}"/>
    <cellStyle name="Note 4 5 2 6 2 2 9" xfId="34938" xr:uid="{00000000-0005-0000-0000-0000599A0000}"/>
    <cellStyle name="Note 4 5 2 6 2 3" xfId="5616" xr:uid="{00000000-0005-0000-0000-00005A9A0000}"/>
    <cellStyle name="Note 4 5 2 6 2 4" xfId="9974" xr:uid="{00000000-0005-0000-0000-00005B9A0000}"/>
    <cellStyle name="Note 4 5 2 6 2 5" xfId="13820" xr:uid="{00000000-0005-0000-0000-00005C9A0000}"/>
    <cellStyle name="Note 4 5 2 6 2 6" xfId="17649" xr:uid="{00000000-0005-0000-0000-00005D9A0000}"/>
    <cellStyle name="Note 4 5 2 6 2 7" xfId="21588" xr:uid="{00000000-0005-0000-0000-00005E9A0000}"/>
    <cellStyle name="Note 4 5 2 6 2 8" xfId="25401" xr:uid="{00000000-0005-0000-0000-00005F9A0000}"/>
    <cellStyle name="Note 4 5 2 6 2 9" xfId="29288" xr:uid="{00000000-0005-0000-0000-0000609A0000}"/>
    <cellStyle name="Note 4 5 2 6 3" xfId="2942" xr:uid="{00000000-0005-0000-0000-0000619A0000}"/>
    <cellStyle name="Note 4 5 2 6 3 10" xfId="37994" xr:uid="{00000000-0005-0000-0000-0000629A0000}"/>
    <cellStyle name="Note 4 5 2 6 3 11" xfId="42006" xr:uid="{00000000-0005-0000-0000-0000639A0000}"/>
    <cellStyle name="Note 4 5 2 6 3 12" xfId="45783" xr:uid="{00000000-0005-0000-0000-0000649A0000}"/>
    <cellStyle name="Note 4 5 2 6 3 2" xfId="6822" xr:uid="{00000000-0005-0000-0000-0000659A0000}"/>
    <cellStyle name="Note 4 5 2 6 3 3" xfId="11249" xr:uid="{00000000-0005-0000-0000-0000669A0000}"/>
    <cellStyle name="Note 4 5 2 6 3 4" xfId="15094" xr:uid="{00000000-0005-0000-0000-0000679A0000}"/>
    <cellStyle name="Note 4 5 2 6 3 5" xfId="18936" xr:uid="{00000000-0005-0000-0000-0000689A0000}"/>
    <cellStyle name="Note 4 5 2 6 3 6" xfId="22862" xr:uid="{00000000-0005-0000-0000-0000699A0000}"/>
    <cellStyle name="Note 4 5 2 6 3 7" xfId="26687" xr:uid="{00000000-0005-0000-0000-00006A9A0000}"/>
    <cellStyle name="Note 4 5 2 6 3 8" xfId="30562" xr:uid="{00000000-0005-0000-0000-00006B9A0000}"/>
    <cellStyle name="Note 4 5 2 6 3 9" xfId="34221" xr:uid="{00000000-0005-0000-0000-00006C9A0000}"/>
    <cellStyle name="Note 4 5 2 6 4" xfId="4898" xr:uid="{00000000-0005-0000-0000-00006D9A0000}"/>
    <cellStyle name="Note 4 5 2 6 5" xfId="9252" xr:uid="{00000000-0005-0000-0000-00006E9A0000}"/>
    <cellStyle name="Note 4 5 2 6 6" xfId="13093" xr:uid="{00000000-0005-0000-0000-00006F9A0000}"/>
    <cellStyle name="Note 4 5 2 6 7" xfId="16918" xr:uid="{00000000-0005-0000-0000-0000709A0000}"/>
    <cellStyle name="Note 4 5 2 6 8" xfId="20860" xr:uid="{00000000-0005-0000-0000-0000719A0000}"/>
    <cellStyle name="Note 4 5 2 6 9" xfId="24676" xr:uid="{00000000-0005-0000-0000-0000729A0000}"/>
    <cellStyle name="Note 4 5 2 7" xfId="1330" xr:uid="{00000000-0005-0000-0000-0000739A0000}"/>
    <cellStyle name="Note 4 5 2 7 10" xfId="32617" xr:uid="{00000000-0005-0000-0000-0000749A0000}"/>
    <cellStyle name="Note 4 5 2 7 11" xfId="36387" xr:uid="{00000000-0005-0000-0000-0000759A0000}"/>
    <cellStyle name="Note 4 5 2 7 12" xfId="40378" xr:uid="{00000000-0005-0000-0000-0000769A0000}"/>
    <cellStyle name="Note 4 5 2 7 13" xfId="44209" xr:uid="{00000000-0005-0000-0000-0000779A0000}"/>
    <cellStyle name="Note 4 5 2 7 2" xfId="3320" xr:uid="{00000000-0005-0000-0000-0000789A0000}"/>
    <cellStyle name="Note 4 5 2 7 2 10" xfId="38371" xr:uid="{00000000-0005-0000-0000-0000799A0000}"/>
    <cellStyle name="Note 4 5 2 7 2 11" xfId="42382" xr:uid="{00000000-0005-0000-0000-00007A9A0000}"/>
    <cellStyle name="Note 4 5 2 7 2 12" xfId="46147" xr:uid="{00000000-0005-0000-0000-00007B9A0000}"/>
    <cellStyle name="Note 4 5 2 7 2 2" xfId="7187" xr:uid="{00000000-0005-0000-0000-00007C9A0000}"/>
    <cellStyle name="Note 4 5 2 7 2 3" xfId="11622" xr:uid="{00000000-0005-0000-0000-00007D9A0000}"/>
    <cellStyle name="Note 4 5 2 7 2 4" xfId="15467" xr:uid="{00000000-0005-0000-0000-00007E9A0000}"/>
    <cellStyle name="Note 4 5 2 7 2 5" xfId="19314" xr:uid="{00000000-0005-0000-0000-00007F9A0000}"/>
    <cellStyle name="Note 4 5 2 7 2 6" xfId="23230" xr:uid="{00000000-0005-0000-0000-0000809A0000}"/>
    <cellStyle name="Note 4 5 2 7 2 7" xfId="27064" xr:uid="{00000000-0005-0000-0000-0000819A0000}"/>
    <cellStyle name="Note 4 5 2 7 2 8" xfId="30933" xr:uid="{00000000-0005-0000-0000-0000829A0000}"/>
    <cellStyle name="Note 4 5 2 7 2 9" xfId="34585" xr:uid="{00000000-0005-0000-0000-0000839A0000}"/>
    <cellStyle name="Note 4 5 2 7 3" xfId="5263" xr:uid="{00000000-0005-0000-0000-0000849A0000}"/>
    <cellStyle name="Note 4 5 2 7 4" xfId="9621" xr:uid="{00000000-0005-0000-0000-0000859A0000}"/>
    <cellStyle name="Note 4 5 2 7 5" xfId="13467" xr:uid="{00000000-0005-0000-0000-0000869A0000}"/>
    <cellStyle name="Note 4 5 2 7 6" xfId="17296" xr:uid="{00000000-0005-0000-0000-0000879A0000}"/>
    <cellStyle name="Note 4 5 2 7 7" xfId="21235" xr:uid="{00000000-0005-0000-0000-0000889A0000}"/>
    <cellStyle name="Note 4 5 2 7 8" xfId="25048" xr:uid="{00000000-0005-0000-0000-0000899A0000}"/>
    <cellStyle name="Note 4 5 2 7 9" xfId="28935" xr:uid="{00000000-0005-0000-0000-00008A9A0000}"/>
    <cellStyle name="Note 4 5 2 8" xfId="2027" xr:uid="{00000000-0005-0000-0000-00008B9A0000}"/>
    <cellStyle name="Note 4 5 2 8 10" xfId="33312" xr:uid="{00000000-0005-0000-0000-00008C9A0000}"/>
    <cellStyle name="Note 4 5 2 8 11" xfId="37083" xr:uid="{00000000-0005-0000-0000-00008D9A0000}"/>
    <cellStyle name="Note 4 5 2 8 12" xfId="41075" xr:uid="{00000000-0005-0000-0000-00008E9A0000}"/>
    <cellStyle name="Note 4 5 2 8 13" xfId="44903" xr:uid="{00000000-0005-0000-0000-00008F9A0000}"/>
    <cellStyle name="Note 4 5 2 8 2" xfId="4016" xr:uid="{00000000-0005-0000-0000-0000909A0000}"/>
    <cellStyle name="Note 4 5 2 8 2 10" xfId="39067" xr:uid="{00000000-0005-0000-0000-0000919A0000}"/>
    <cellStyle name="Note 4 5 2 8 2 11" xfId="43078" xr:uid="{00000000-0005-0000-0000-0000929A0000}"/>
    <cellStyle name="Note 4 5 2 8 2 12" xfId="46841" xr:uid="{00000000-0005-0000-0000-0000939A0000}"/>
    <cellStyle name="Note 4 5 2 8 2 2" xfId="7881" xr:uid="{00000000-0005-0000-0000-0000949A0000}"/>
    <cellStyle name="Note 4 5 2 8 2 3" xfId="12317" xr:uid="{00000000-0005-0000-0000-0000959A0000}"/>
    <cellStyle name="Note 4 5 2 8 2 4" xfId="16162" xr:uid="{00000000-0005-0000-0000-0000969A0000}"/>
    <cellStyle name="Note 4 5 2 8 2 5" xfId="20010" xr:uid="{00000000-0005-0000-0000-0000979A0000}"/>
    <cellStyle name="Note 4 5 2 8 2 6" xfId="23925" xr:uid="{00000000-0005-0000-0000-0000989A0000}"/>
    <cellStyle name="Note 4 5 2 8 2 7" xfId="27760" xr:uid="{00000000-0005-0000-0000-0000999A0000}"/>
    <cellStyle name="Note 4 5 2 8 2 8" xfId="31620" xr:uid="{00000000-0005-0000-0000-00009A9A0000}"/>
    <cellStyle name="Note 4 5 2 8 2 9" xfId="35279" xr:uid="{00000000-0005-0000-0000-00009B9A0000}"/>
    <cellStyle name="Note 4 5 2 8 3" xfId="5957" xr:uid="{00000000-0005-0000-0000-00009C9A0000}"/>
    <cellStyle name="Note 4 5 2 8 4" xfId="10316" xr:uid="{00000000-0005-0000-0000-00009D9A0000}"/>
    <cellStyle name="Note 4 5 2 8 5" xfId="14163" xr:uid="{00000000-0005-0000-0000-00009E9A0000}"/>
    <cellStyle name="Note 4 5 2 8 6" xfId="17993" xr:uid="{00000000-0005-0000-0000-00009F9A0000}"/>
    <cellStyle name="Note 4 5 2 8 7" xfId="21931" xr:uid="{00000000-0005-0000-0000-0000A09A0000}"/>
    <cellStyle name="Note 4 5 2 8 8" xfId="25745" xr:uid="{00000000-0005-0000-0000-0000A19A0000}"/>
    <cellStyle name="Note 4 5 2 8 9" xfId="29632" xr:uid="{00000000-0005-0000-0000-0000A29A0000}"/>
    <cellStyle name="Note 4 5 2 9" xfId="2074" xr:uid="{00000000-0005-0000-0000-0000A39A0000}"/>
    <cellStyle name="Note 4 5 2 9 10" xfId="33356" xr:uid="{00000000-0005-0000-0000-0000A49A0000}"/>
    <cellStyle name="Note 4 5 2 9 11" xfId="37130" xr:uid="{00000000-0005-0000-0000-0000A59A0000}"/>
    <cellStyle name="Note 4 5 2 9 12" xfId="41120" xr:uid="{00000000-0005-0000-0000-0000A69A0000}"/>
    <cellStyle name="Note 4 5 2 9 13" xfId="44947" xr:uid="{00000000-0005-0000-0000-0000A79A0000}"/>
    <cellStyle name="Note 4 5 2 9 2" xfId="4063" xr:uid="{00000000-0005-0000-0000-0000A89A0000}"/>
    <cellStyle name="Note 4 5 2 9 2 10" xfId="39114" xr:uid="{00000000-0005-0000-0000-0000A99A0000}"/>
    <cellStyle name="Note 4 5 2 9 2 11" xfId="43124" xr:uid="{00000000-0005-0000-0000-0000AA9A0000}"/>
    <cellStyle name="Note 4 5 2 9 2 12" xfId="46885" xr:uid="{00000000-0005-0000-0000-0000AB9A0000}"/>
    <cellStyle name="Note 4 5 2 9 2 2" xfId="7926" xr:uid="{00000000-0005-0000-0000-0000AC9A0000}"/>
    <cellStyle name="Note 4 5 2 9 2 3" xfId="12363" xr:uid="{00000000-0005-0000-0000-0000AD9A0000}"/>
    <cellStyle name="Note 4 5 2 9 2 4" xfId="16208" xr:uid="{00000000-0005-0000-0000-0000AE9A0000}"/>
    <cellStyle name="Note 4 5 2 9 2 5" xfId="20057" xr:uid="{00000000-0005-0000-0000-0000AF9A0000}"/>
    <cellStyle name="Note 4 5 2 9 2 6" xfId="23971" xr:uid="{00000000-0005-0000-0000-0000B09A0000}"/>
    <cellStyle name="Note 4 5 2 9 2 7" xfId="27807" xr:uid="{00000000-0005-0000-0000-0000B19A0000}"/>
    <cellStyle name="Note 4 5 2 9 2 8" xfId="31666" xr:uid="{00000000-0005-0000-0000-0000B29A0000}"/>
    <cellStyle name="Note 4 5 2 9 2 9" xfId="35323" xr:uid="{00000000-0005-0000-0000-0000B39A0000}"/>
    <cellStyle name="Note 4 5 2 9 3" xfId="6002" xr:uid="{00000000-0005-0000-0000-0000B49A0000}"/>
    <cellStyle name="Note 4 5 2 9 4" xfId="10362" xr:uid="{00000000-0005-0000-0000-0000B59A0000}"/>
    <cellStyle name="Note 4 5 2 9 5" xfId="14209" xr:uid="{00000000-0005-0000-0000-0000B69A0000}"/>
    <cellStyle name="Note 4 5 2 9 6" xfId="18040" xr:uid="{00000000-0005-0000-0000-0000B79A0000}"/>
    <cellStyle name="Note 4 5 2 9 7" xfId="21977" xr:uid="{00000000-0005-0000-0000-0000B89A0000}"/>
    <cellStyle name="Note 4 5 2 9 8" xfId="25792" xr:uid="{00000000-0005-0000-0000-0000B99A0000}"/>
    <cellStyle name="Note 4 5 2 9 9" xfId="29678" xr:uid="{00000000-0005-0000-0000-0000BA9A0000}"/>
    <cellStyle name="Note 4 5 20" xfId="8806" xr:uid="{00000000-0005-0000-0000-0000BB9A0000}"/>
    <cellStyle name="Note 4 5 21" xfId="8527" xr:uid="{00000000-0005-0000-0000-0000BC9A0000}"/>
    <cellStyle name="Note 4 5 22" xfId="8637" xr:uid="{00000000-0005-0000-0000-0000BD9A0000}"/>
    <cellStyle name="Note 4 5 23" xfId="18073" xr:uid="{00000000-0005-0000-0000-0000BE9A0000}"/>
    <cellStyle name="Note 4 5 24" xfId="8419" xr:uid="{00000000-0005-0000-0000-0000BF9A0000}"/>
    <cellStyle name="Note 4 5 25" xfId="8462" xr:uid="{00000000-0005-0000-0000-0000C09A0000}"/>
    <cellStyle name="Note 4 5 26" xfId="14215" xr:uid="{00000000-0005-0000-0000-0000C19A0000}"/>
    <cellStyle name="Note 4 5 27" xfId="39628" xr:uid="{00000000-0005-0000-0000-0000C29A0000}"/>
    <cellStyle name="Note 4 5 28" xfId="39605" xr:uid="{00000000-0005-0000-0000-0000C39A0000}"/>
    <cellStyle name="Note 4 5 29" xfId="47342" xr:uid="{00000000-0005-0000-0000-0000C49A0000}"/>
    <cellStyle name="Note 4 5 3" xfId="533" xr:uid="{00000000-0005-0000-0000-0000C59A0000}"/>
    <cellStyle name="Note 4 5 3 10" xfId="2185" xr:uid="{00000000-0005-0000-0000-0000C69A0000}"/>
    <cellStyle name="Note 4 5 3 10 10" xfId="33486" xr:uid="{00000000-0005-0000-0000-0000C79A0000}"/>
    <cellStyle name="Note 4 5 3 10 11" xfId="37237" xr:uid="{00000000-0005-0000-0000-0000C89A0000}"/>
    <cellStyle name="Note 4 5 3 10 12" xfId="41253" xr:uid="{00000000-0005-0000-0000-0000C99A0000}"/>
    <cellStyle name="Note 4 5 3 10 13" xfId="45048" xr:uid="{00000000-0005-0000-0000-0000CA9A0000}"/>
    <cellStyle name="Note 4 5 3 10 2" xfId="4168" xr:uid="{00000000-0005-0000-0000-0000CB9A0000}"/>
    <cellStyle name="Note 4 5 3 10 2 10" xfId="39219" xr:uid="{00000000-0005-0000-0000-0000CC9A0000}"/>
    <cellStyle name="Note 4 5 3 10 2 11" xfId="43229" xr:uid="{00000000-0005-0000-0000-0000CD9A0000}"/>
    <cellStyle name="Note 4 5 3 10 2 12" xfId="46986" xr:uid="{00000000-0005-0000-0000-0000CE9A0000}"/>
    <cellStyle name="Note 4 5 3 10 2 2" xfId="8027" xr:uid="{00000000-0005-0000-0000-0000CF9A0000}"/>
    <cellStyle name="Note 4 5 3 10 2 3" xfId="12467" xr:uid="{00000000-0005-0000-0000-0000D09A0000}"/>
    <cellStyle name="Note 4 5 3 10 2 4" xfId="16312" xr:uid="{00000000-0005-0000-0000-0000D19A0000}"/>
    <cellStyle name="Note 4 5 3 10 2 5" xfId="20162" xr:uid="{00000000-0005-0000-0000-0000D29A0000}"/>
    <cellStyle name="Note 4 5 3 10 2 6" xfId="24074" xr:uid="{00000000-0005-0000-0000-0000D39A0000}"/>
    <cellStyle name="Note 4 5 3 10 2 7" xfId="27912" xr:uid="{00000000-0005-0000-0000-0000D49A0000}"/>
    <cellStyle name="Note 4 5 3 10 2 8" xfId="31771" xr:uid="{00000000-0005-0000-0000-0000D59A0000}"/>
    <cellStyle name="Note 4 5 3 10 2 9" xfId="35424" xr:uid="{00000000-0005-0000-0000-0000D69A0000}"/>
    <cellStyle name="Note 4 5 3 10 3" xfId="6099" xr:uid="{00000000-0005-0000-0000-0000D79A0000}"/>
    <cellStyle name="Note 4 5 3 10 4" xfId="10502" xr:uid="{00000000-0005-0000-0000-0000D89A0000}"/>
    <cellStyle name="Note 4 5 3 10 5" xfId="14348" xr:uid="{00000000-0005-0000-0000-0000D99A0000}"/>
    <cellStyle name="Note 4 5 3 10 6" xfId="18179" xr:uid="{00000000-0005-0000-0000-0000DA9A0000}"/>
    <cellStyle name="Note 4 5 3 10 7" xfId="22118" xr:uid="{00000000-0005-0000-0000-0000DB9A0000}"/>
    <cellStyle name="Note 4 5 3 10 8" xfId="25930" xr:uid="{00000000-0005-0000-0000-0000DC9A0000}"/>
    <cellStyle name="Note 4 5 3 10 9" xfId="29810" xr:uid="{00000000-0005-0000-0000-0000DD9A0000}"/>
    <cellStyle name="Note 4 5 3 11" xfId="2243" xr:uid="{00000000-0005-0000-0000-0000DE9A0000}"/>
    <cellStyle name="Note 4 5 3 11 10" xfId="33544" xr:uid="{00000000-0005-0000-0000-0000DF9A0000}"/>
    <cellStyle name="Note 4 5 3 11 11" xfId="37295" xr:uid="{00000000-0005-0000-0000-0000E09A0000}"/>
    <cellStyle name="Note 4 5 3 11 12" xfId="41311" xr:uid="{00000000-0005-0000-0000-0000E19A0000}"/>
    <cellStyle name="Note 4 5 3 11 13" xfId="45106" xr:uid="{00000000-0005-0000-0000-0000E29A0000}"/>
    <cellStyle name="Note 4 5 3 11 2" xfId="4226" xr:uid="{00000000-0005-0000-0000-0000E39A0000}"/>
    <cellStyle name="Note 4 5 3 11 2 10" xfId="39277" xr:uid="{00000000-0005-0000-0000-0000E49A0000}"/>
    <cellStyle name="Note 4 5 3 11 2 11" xfId="43287" xr:uid="{00000000-0005-0000-0000-0000E59A0000}"/>
    <cellStyle name="Note 4 5 3 11 2 12" xfId="47044" xr:uid="{00000000-0005-0000-0000-0000E69A0000}"/>
    <cellStyle name="Note 4 5 3 11 2 2" xfId="8085" xr:uid="{00000000-0005-0000-0000-0000E79A0000}"/>
    <cellStyle name="Note 4 5 3 11 2 3" xfId="12525" xr:uid="{00000000-0005-0000-0000-0000E89A0000}"/>
    <cellStyle name="Note 4 5 3 11 2 4" xfId="16370" xr:uid="{00000000-0005-0000-0000-0000E99A0000}"/>
    <cellStyle name="Note 4 5 3 11 2 5" xfId="20220" xr:uid="{00000000-0005-0000-0000-0000EA9A0000}"/>
    <cellStyle name="Note 4 5 3 11 2 6" xfId="24132" xr:uid="{00000000-0005-0000-0000-0000EB9A0000}"/>
    <cellStyle name="Note 4 5 3 11 2 7" xfId="27970" xr:uid="{00000000-0005-0000-0000-0000EC9A0000}"/>
    <cellStyle name="Note 4 5 3 11 2 8" xfId="31829" xr:uid="{00000000-0005-0000-0000-0000ED9A0000}"/>
    <cellStyle name="Note 4 5 3 11 2 9" xfId="35482" xr:uid="{00000000-0005-0000-0000-0000EE9A0000}"/>
    <cellStyle name="Note 4 5 3 11 3" xfId="6157" xr:uid="{00000000-0005-0000-0000-0000EF9A0000}"/>
    <cellStyle name="Note 4 5 3 11 4" xfId="10560" xr:uid="{00000000-0005-0000-0000-0000F09A0000}"/>
    <cellStyle name="Note 4 5 3 11 5" xfId="14406" xr:uid="{00000000-0005-0000-0000-0000F19A0000}"/>
    <cellStyle name="Note 4 5 3 11 6" xfId="18237" xr:uid="{00000000-0005-0000-0000-0000F29A0000}"/>
    <cellStyle name="Note 4 5 3 11 7" xfId="22176" xr:uid="{00000000-0005-0000-0000-0000F39A0000}"/>
    <cellStyle name="Note 4 5 3 11 8" xfId="25988" xr:uid="{00000000-0005-0000-0000-0000F49A0000}"/>
    <cellStyle name="Note 4 5 3 11 9" xfId="29868" xr:uid="{00000000-0005-0000-0000-0000F59A0000}"/>
    <cellStyle name="Note 4 5 3 12" xfId="2298" xr:uid="{00000000-0005-0000-0000-0000F69A0000}"/>
    <cellStyle name="Note 4 5 3 12 10" xfId="33599" xr:uid="{00000000-0005-0000-0000-0000F79A0000}"/>
    <cellStyle name="Note 4 5 3 12 11" xfId="37350" xr:uid="{00000000-0005-0000-0000-0000F89A0000}"/>
    <cellStyle name="Note 4 5 3 12 12" xfId="41366" xr:uid="{00000000-0005-0000-0000-0000F99A0000}"/>
    <cellStyle name="Note 4 5 3 12 13" xfId="45161" xr:uid="{00000000-0005-0000-0000-0000FA9A0000}"/>
    <cellStyle name="Note 4 5 3 12 2" xfId="4281" xr:uid="{00000000-0005-0000-0000-0000FB9A0000}"/>
    <cellStyle name="Note 4 5 3 12 2 10" xfId="39332" xr:uid="{00000000-0005-0000-0000-0000FC9A0000}"/>
    <cellStyle name="Note 4 5 3 12 2 11" xfId="43342" xr:uid="{00000000-0005-0000-0000-0000FD9A0000}"/>
    <cellStyle name="Note 4 5 3 12 2 12" xfId="47099" xr:uid="{00000000-0005-0000-0000-0000FE9A0000}"/>
    <cellStyle name="Note 4 5 3 12 2 2" xfId="8140" xr:uid="{00000000-0005-0000-0000-0000FF9A0000}"/>
    <cellStyle name="Note 4 5 3 12 2 3" xfId="12580" xr:uid="{00000000-0005-0000-0000-0000009B0000}"/>
    <cellStyle name="Note 4 5 3 12 2 4" xfId="16425" xr:uid="{00000000-0005-0000-0000-0000019B0000}"/>
    <cellStyle name="Note 4 5 3 12 2 5" xfId="20275" xr:uid="{00000000-0005-0000-0000-0000029B0000}"/>
    <cellStyle name="Note 4 5 3 12 2 6" xfId="24187" xr:uid="{00000000-0005-0000-0000-0000039B0000}"/>
    <cellStyle name="Note 4 5 3 12 2 7" xfId="28025" xr:uid="{00000000-0005-0000-0000-0000049B0000}"/>
    <cellStyle name="Note 4 5 3 12 2 8" xfId="31884" xr:uid="{00000000-0005-0000-0000-0000059B0000}"/>
    <cellStyle name="Note 4 5 3 12 2 9" xfId="35537" xr:uid="{00000000-0005-0000-0000-0000069B0000}"/>
    <cellStyle name="Note 4 5 3 12 3" xfId="6212" xr:uid="{00000000-0005-0000-0000-0000079B0000}"/>
    <cellStyle name="Note 4 5 3 12 4" xfId="10615" xr:uid="{00000000-0005-0000-0000-0000089B0000}"/>
    <cellStyle name="Note 4 5 3 12 5" xfId="14461" xr:uid="{00000000-0005-0000-0000-0000099B0000}"/>
    <cellStyle name="Note 4 5 3 12 6" xfId="18292" xr:uid="{00000000-0005-0000-0000-00000A9B0000}"/>
    <cellStyle name="Note 4 5 3 12 7" xfId="22231" xr:uid="{00000000-0005-0000-0000-00000B9B0000}"/>
    <cellStyle name="Note 4 5 3 12 8" xfId="26043" xr:uid="{00000000-0005-0000-0000-00000C9B0000}"/>
    <cellStyle name="Note 4 5 3 12 9" xfId="29923" xr:uid="{00000000-0005-0000-0000-00000D9B0000}"/>
    <cellStyle name="Note 4 5 3 13" xfId="2365" xr:uid="{00000000-0005-0000-0000-00000E9B0000}"/>
    <cellStyle name="Note 4 5 3 13 10" xfId="33663" xr:uid="{00000000-0005-0000-0000-00000F9B0000}"/>
    <cellStyle name="Note 4 5 3 13 11" xfId="37417" xr:uid="{00000000-0005-0000-0000-0000109B0000}"/>
    <cellStyle name="Note 4 5 3 13 12" xfId="41432" xr:uid="{00000000-0005-0000-0000-0000119B0000}"/>
    <cellStyle name="Note 4 5 3 13 13" xfId="45225" xr:uid="{00000000-0005-0000-0000-0000129B0000}"/>
    <cellStyle name="Note 4 5 3 13 2" xfId="4348" xr:uid="{00000000-0005-0000-0000-0000139B0000}"/>
    <cellStyle name="Note 4 5 3 13 2 10" xfId="39399" xr:uid="{00000000-0005-0000-0000-0000149B0000}"/>
    <cellStyle name="Note 4 5 3 13 2 11" xfId="43408" xr:uid="{00000000-0005-0000-0000-0000159B0000}"/>
    <cellStyle name="Note 4 5 3 13 2 12" xfId="47163" xr:uid="{00000000-0005-0000-0000-0000169B0000}"/>
    <cellStyle name="Note 4 5 3 13 2 2" xfId="8205" xr:uid="{00000000-0005-0000-0000-0000179B0000}"/>
    <cellStyle name="Note 4 5 3 13 2 3" xfId="12646" xr:uid="{00000000-0005-0000-0000-0000189B0000}"/>
    <cellStyle name="Note 4 5 3 13 2 4" xfId="16491" xr:uid="{00000000-0005-0000-0000-0000199B0000}"/>
    <cellStyle name="Note 4 5 3 13 2 5" xfId="20342" xr:uid="{00000000-0005-0000-0000-00001A9B0000}"/>
    <cellStyle name="Note 4 5 3 13 2 6" xfId="24253" xr:uid="{00000000-0005-0000-0000-00001B9B0000}"/>
    <cellStyle name="Note 4 5 3 13 2 7" xfId="28092" xr:uid="{00000000-0005-0000-0000-00001C9B0000}"/>
    <cellStyle name="Note 4 5 3 13 2 8" xfId="31950" xr:uid="{00000000-0005-0000-0000-00001D9B0000}"/>
    <cellStyle name="Note 4 5 3 13 2 9" xfId="35601" xr:uid="{00000000-0005-0000-0000-00001E9B0000}"/>
    <cellStyle name="Note 4 5 3 13 3" xfId="6261" xr:uid="{00000000-0005-0000-0000-00001F9B0000}"/>
    <cellStyle name="Note 4 5 3 13 4" xfId="10681" xr:uid="{00000000-0005-0000-0000-0000209B0000}"/>
    <cellStyle name="Note 4 5 3 13 5" xfId="14527" xr:uid="{00000000-0005-0000-0000-0000219B0000}"/>
    <cellStyle name="Note 4 5 3 13 6" xfId="18359" xr:uid="{00000000-0005-0000-0000-0000229B0000}"/>
    <cellStyle name="Note 4 5 3 13 7" xfId="22297" xr:uid="{00000000-0005-0000-0000-0000239B0000}"/>
    <cellStyle name="Note 4 5 3 13 8" xfId="26110" xr:uid="{00000000-0005-0000-0000-0000249B0000}"/>
    <cellStyle name="Note 4 5 3 13 9" xfId="29990" xr:uid="{00000000-0005-0000-0000-0000259B0000}"/>
    <cellStyle name="Note 4 5 3 14" xfId="2415" xr:uid="{00000000-0005-0000-0000-0000269B0000}"/>
    <cellStyle name="Note 4 5 3 14 10" xfId="33713" xr:uid="{00000000-0005-0000-0000-0000279B0000}"/>
    <cellStyle name="Note 4 5 3 14 11" xfId="37467" xr:uid="{00000000-0005-0000-0000-0000289B0000}"/>
    <cellStyle name="Note 4 5 3 14 12" xfId="41482" xr:uid="{00000000-0005-0000-0000-0000299B0000}"/>
    <cellStyle name="Note 4 5 3 14 13" xfId="45275" xr:uid="{00000000-0005-0000-0000-00002A9B0000}"/>
    <cellStyle name="Note 4 5 3 14 2" xfId="4398" xr:uid="{00000000-0005-0000-0000-00002B9B0000}"/>
    <cellStyle name="Note 4 5 3 14 2 10" xfId="39449" xr:uid="{00000000-0005-0000-0000-00002C9B0000}"/>
    <cellStyle name="Note 4 5 3 14 2 11" xfId="43458" xr:uid="{00000000-0005-0000-0000-00002D9B0000}"/>
    <cellStyle name="Note 4 5 3 14 2 12" xfId="47213" xr:uid="{00000000-0005-0000-0000-00002E9B0000}"/>
    <cellStyle name="Note 4 5 3 14 2 2" xfId="8255" xr:uid="{00000000-0005-0000-0000-00002F9B0000}"/>
    <cellStyle name="Note 4 5 3 14 2 3" xfId="12696" xr:uid="{00000000-0005-0000-0000-0000309B0000}"/>
    <cellStyle name="Note 4 5 3 14 2 4" xfId="16541" xr:uid="{00000000-0005-0000-0000-0000319B0000}"/>
    <cellStyle name="Note 4 5 3 14 2 5" xfId="20392" xr:uid="{00000000-0005-0000-0000-0000329B0000}"/>
    <cellStyle name="Note 4 5 3 14 2 6" xfId="24303" xr:uid="{00000000-0005-0000-0000-0000339B0000}"/>
    <cellStyle name="Note 4 5 3 14 2 7" xfId="28142" xr:uid="{00000000-0005-0000-0000-0000349B0000}"/>
    <cellStyle name="Note 4 5 3 14 2 8" xfId="32000" xr:uid="{00000000-0005-0000-0000-0000359B0000}"/>
    <cellStyle name="Note 4 5 3 14 2 9" xfId="35651" xr:uid="{00000000-0005-0000-0000-0000369B0000}"/>
    <cellStyle name="Note 4 5 3 14 3" xfId="6311" xr:uid="{00000000-0005-0000-0000-0000379B0000}"/>
    <cellStyle name="Note 4 5 3 14 4" xfId="10731" xr:uid="{00000000-0005-0000-0000-0000389B0000}"/>
    <cellStyle name="Note 4 5 3 14 5" xfId="14577" xr:uid="{00000000-0005-0000-0000-0000399B0000}"/>
    <cellStyle name="Note 4 5 3 14 6" xfId="18409" xr:uid="{00000000-0005-0000-0000-00003A9B0000}"/>
    <cellStyle name="Note 4 5 3 14 7" xfId="22347" xr:uid="{00000000-0005-0000-0000-00003B9B0000}"/>
    <cellStyle name="Note 4 5 3 14 8" xfId="26160" xr:uid="{00000000-0005-0000-0000-00003C9B0000}"/>
    <cellStyle name="Note 4 5 3 14 9" xfId="30039" xr:uid="{00000000-0005-0000-0000-00003D9B0000}"/>
    <cellStyle name="Note 4 5 3 15" xfId="2469" xr:uid="{00000000-0005-0000-0000-00003E9B0000}"/>
    <cellStyle name="Note 4 5 3 15 10" xfId="33764" xr:uid="{00000000-0005-0000-0000-00003F9B0000}"/>
    <cellStyle name="Note 4 5 3 15 11" xfId="37521" xr:uid="{00000000-0005-0000-0000-0000409B0000}"/>
    <cellStyle name="Note 4 5 3 15 12" xfId="41535" xr:uid="{00000000-0005-0000-0000-0000419B0000}"/>
    <cellStyle name="Note 4 5 3 15 13" xfId="45326" xr:uid="{00000000-0005-0000-0000-0000429B0000}"/>
    <cellStyle name="Note 4 5 3 15 2" xfId="4451" xr:uid="{00000000-0005-0000-0000-0000439B0000}"/>
    <cellStyle name="Note 4 5 3 15 2 10" xfId="39502" xr:uid="{00000000-0005-0000-0000-0000449B0000}"/>
    <cellStyle name="Note 4 5 3 15 2 11" xfId="43511" xr:uid="{00000000-0005-0000-0000-0000459B0000}"/>
    <cellStyle name="Note 4 5 3 15 2 12" xfId="47264" xr:uid="{00000000-0005-0000-0000-0000469B0000}"/>
    <cellStyle name="Note 4 5 3 15 2 2" xfId="8306" xr:uid="{00000000-0005-0000-0000-0000479B0000}"/>
    <cellStyle name="Note 4 5 3 15 2 3" xfId="12749" xr:uid="{00000000-0005-0000-0000-0000489B0000}"/>
    <cellStyle name="Note 4 5 3 15 2 4" xfId="16592" xr:uid="{00000000-0005-0000-0000-0000499B0000}"/>
    <cellStyle name="Note 4 5 3 15 2 5" xfId="20445" xr:uid="{00000000-0005-0000-0000-00004A9B0000}"/>
    <cellStyle name="Note 4 5 3 15 2 6" xfId="24355" xr:uid="{00000000-0005-0000-0000-00004B9B0000}"/>
    <cellStyle name="Note 4 5 3 15 2 7" xfId="28195" xr:uid="{00000000-0005-0000-0000-00004C9B0000}"/>
    <cellStyle name="Note 4 5 3 15 2 8" xfId="32053" xr:uid="{00000000-0005-0000-0000-00004D9B0000}"/>
    <cellStyle name="Note 4 5 3 15 2 9" xfId="35702" xr:uid="{00000000-0005-0000-0000-00004E9B0000}"/>
    <cellStyle name="Note 4 5 3 15 3" xfId="6363" xr:uid="{00000000-0005-0000-0000-00004F9B0000}"/>
    <cellStyle name="Note 4 5 3 15 4" xfId="10784" xr:uid="{00000000-0005-0000-0000-0000509B0000}"/>
    <cellStyle name="Note 4 5 3 15 5" xfId="14630" xr:uid="{00000000-0005-0000-0000-0000519B0000}"/>
    <cellStyle name="Note 4 5 3 15 6" xfId="18463" xr:uid="{00000000-0005-0000-0000-0000529B0000}"/>
    <cellStyle name="Note 4 5 3 15 7" xfId="22400" xr:uid="{00000000-0005-0000-0000-0000539B0000}"/>
    <cellStyle name="Note 4 5 3 15 8" xfId="26214" xr:uid="{00000000-0005-0000-0000-0000549B0000}"/>
    <cellStyle name="Note 4 5 3 15 9" xfId="30093" xr:uid="{00000000-0005-0000-0000-0000559B0000}"/>
    <cellStyle name="Note 4 5 3 16" xfId="2540" xr:uid="{00000000-0005-0000-0000-0000569B0000}"/>
    <cellStyle name="Note 4 5 3 16 10" xfId="37592" xr:uid="{00000000-0005-0000-0000-0000579B0000}"/>
    <cellStyle name="Note 4 5 3 16 11" xfId="41606" xr:uid="{00000000-0005-0000-0000-0000589B0000}"/>
    <cellStyle name="Note 4 5 3 16 12" xfId="45395" xr:uid="{00000000-0005-0000-0000-0000599B0000}"/>
    <cellStyle name="Note 4 5 3 16 2" xfId="6432" xr:uid="{00000000-0005-0000-0000-00005A9B0000}"/>
    <cellStyle name="Note 4 5 3 16 3" xfId="10855" xr:uid="{00000000-0005-0000-0000-00005B9B0000}"/>
    <cellStyle name="Note 4 5 3 16 4" xfId="14699" xr:uid="{00000000-0005-0000-0000-00005C9B0000}"/>
    <cellStyle name="Note 4 5 3 16 5" xfId="18534" xr:uid="{00000000-0005-0000-0000-00005D9B0000}"/>
    <cellStyle name="Note 4 5 3 16 6" xfId="22469" xr:uid="{00000000-0005-0000-0000-00005E9B0000}"/>
    <cellStyle name="Note 4 5 3 16 7" xfId="26285" xr:uid="{00000000-0005-0000-0000-00005F9B0000}"/>
    <cellStyle name="Note 4 5 3 16 8" xfId="30164" xr:uid="{00000000-0005-0000-0000-0000609B0000}"/>
    <cellStyle name="Note 4 5 3 16 9" xfId="33833" xr:uid="{00000000-0005-0000-0000-0000619B0000}"/>
    <cellStyle name="Note 4 5 3 17" xfId="4508" xr:uid="{00000000-0005-0000-0000-0000629B0000}"/>
    <cellStyle name="Note 4 5 3 18" xfId="8355" xr:uid="{00000000-0005-0000-0000-0000639B0000}"/>
    <cellStyle name="Note 4 5 3 19" xfId="8723" xr:uid="{00000000-0005-0000-0000-0000649B0000}"/>
    <cellStyle name="Note 4 5 3 2" xfId="669" xr:uid="{00000000-0005-0000-0000-0000659B0000}"/>
    <cellStyle name="Note 4 5 3 2 10" xfId="24403" xr:uid="{00000000-0005-0000-0000-0000669B0000}"/>
    <cellStyle name="Note 4 5 3 2 11" xfId="28296" xr:uid="{00000000-0005-0000-0000-0000679B0000}"/>
    <cellStyle name="Note 4 5 3 2 12" xfId="31285" xr:uid="{00000000-0005-0000-0000-0000689B0000}"/>
    <cellStyle name="Note 4 5 3 2 13" xfId="8528" xr:uid="{00000000-0005-0000-0000-0000699B0000}"/>
    <cellStyle name="Note 4 5 3 2 14" xfId="39763" xr:uid="{00000000-0005-0000-0000-00006A9B0000}"/>
    <cellStyle name="Note 4 5 3 2 15" xfId="43566" xr:uid="{00000000-0005-0000-0000-00006B9B0000}"/>
    <cellStyle name="Note 4 5 3 2 2" xfId="1049" xr:uid="{00000000-0005-0000-0000-00006C9B0000}"/>
    <cellStyle name="Note 4 5 3 2 2 10" xfId="28660" xr:uid="{00000000-0005-0000-0000-00006D9B0000}"/>
    <cellStyle name="Note 4 5 3 2 2 11" xfId="32346" xr:uid="{00000000-0005-0000-0000-00006E9B0000}"/>
    <cellStyle name="Note 4 5 3 2 2 12" xfId="36107" xr:uid="{00000000-0005-0000-0000-00006F9B0000}"/>
    <cellStyle name="Note 4 5 3 2 2 13" xfId="40110" xr:uid="{00000000-0005-0000-0000-0000709B0000}"/>
    <cellStyle name="Note 4 5 3 2 2 14" xfId="43933" xr:uid="{00000000-0005-0000-0000-0000719B0000}"/>
    <cellStyle name="Note 4 5 3 2 2 2" xfId="1776" xr:uid="{00000000-0005-0000-0000-0000729B0000}"/>
    <cellStyle name="Note 4 5 3 2 2 2 10" xfId="33063" xr:uid="{00000000-0005-0000-0000-0000739B0000}"/>
    <cellStyle name="Note 4 5 3 2 2 2 11" xfId="36833" xr:uid="{00000000-0005-0000-0000-0000749B0000}"/>
    <cellStyle name="Note 4 5 3 2 2 2 12" xfId="40824" xr:uid="{00000000-0005-0000-0000-0000759B0000}"/>
    <cellStyle name="Note 4 5 3 2 2 2 13" xfId="44655" xr:uid="{00000000-0005-0000-0000-0000769B0000}"/>
    <cellStyle name="Note 4 5 3 2 2 2 2" xfId="3766" xr:uid="{00000000-0005-0000-0000-0000779B0000}"/>
    <cellStyle name="Note 4 5 3 2 2 2 2 10" xfId="38817" xr:uid="{00000000-0005-0000-0000-0000789B0000}"/>
    <cellStyle name="Note 4 5 3 2 2 2 2 11" xfId="42828" xr:uid="{00000000-0005-0000-0000-0000799B0000}"/>
    <cellStyle name="Note 4 5 3 2 2 2 2 12" xfId="46593" xr:uid="{00000000-0005-0000-0000-00007A9B0000}"/>
    <cellStyle name="Note 4 5 3 2 2 2 2 2" xfId="7633" xr:uid="{00000000-0005-0000-0000-00007B9B0000}"/>
    <cellStyle name="Note 4 5 3 2 2 2 2 3" xfId="12068" xr:uid="{00000000-0005-0000-0000-00007C9B0000}"/>
    <cellStyle name="Note 4 5 3 2 2 2 2 4" xfId="15913" xr:uid="{00000000-0005-0000-0000-00007D9B0000}"/>
    <cellStyle name="Note 4 5 3 2 2 2 2 5" xfId="19760" xr:uid="{00000000-0005-0000-0000-00007E9B0000}"/>
    <cellStyle name="Note 4 5 3 2 2 2 2 6" xfId="23676" xr:uid="{00000000-0005-0000-0000-00007F9B0000}"/>
    <cellStyle name="Note 4 5 3 2 2 2 2 7" xfId="27510" xr:uid="{00000000-0005-0000-0000-0000809B0000}"/>
    <cellStyle name="Note 4 5 3 2 2 2 2 8" xfId="31374" xr:uid="{00000000-0005-0000-0000-0000819B0000}"/>
    <cellStyle name="Note 4 5 3 2 2 2 2 9" xfId="35031" xr:uid="{00000000-0005-0000-0000-0000829B0000}"/>
    <cellStyle name="Note 4 5 3 2 2 2 3" xfId="5709" xr:uid="{00000000-0005-0000-0000-0000839B0000}"/>
    <cellStyle name="Note 4 5 3 2 2 2 4" xfId="10067" xr:uid="{00000000-0005-0000-0000-0000849B0000}"/>
    <cellStyle name="Note 4 5 3 2 2 2 5" xfId="13913" xr:uid="{00000000-0005-0000-0000-0000859B0000}"/>
    <cellStyle name="Note 4 5 3 2 2 2 6" xfId="17742" xr:uid="{00000000-0005-0000-0000-0000869B0000}"/>
    <cellStyle name="Note 4 5 3 2 2 2 7" xfId="21681" xr:uid="{00000000-0005-0000-0000-0000879B0000}"/>
    <cellStyle name="Note 4 5 3 2 2 2 8" xfId="25494" xr:uid="{00000000-0005-0000-0000-0000889B0000}"/>
    <cellStyle name="Note 4 5 3 2 2 2 9" xfId="29381" xr:uid="{00000000-0005-0000-0000-0000899B0000}"/>
    <cellStyle name="Note 4 5 3 2 2 3" xfId="3039" xr:uid="{00000000-0005-0000-0000-00008A9B0000}"/>
    <cellStyle name="Note 4 5 3 2 2 3 10" xfId="38091" xr:uid="{00000000-0005-0000-0000-00008B9B0000}"/>
    <cellStyle name="Note 4 5 3 2 2 3 11" xfId="42103" xr:uid="{00000000-0005-0000-0000-00008C9B0000}"/>
    <cellStyle name="Note 4 5 3 2 2 3 12" xfId="45876" xr:uid="{00000000-0005-0000-0000-00008D9B0000}"/>
    <cellStyle name="Note 4 5 3 2 2 3 2" xfId="6915" xr:uid="{00000000-0005-0000-0000-00008E9B0000}"/>
    <cellStyle name="Note 4 5 3 2 2 3 3" xfId="11344" xr:uid="{00000000-0005-0000-0000-00008F9B0000}"/>
    <cellStyle name="Note 4 5 3 2 2 3 4" xfId="15188" xr:uid="{00000000-0005-0000-0000-0000909B0000}"/>
    <cellStyle name="Note 4 5 3 2 2 3 5" xfId="19033" xr:uid="{00000000-0005-0000-0000-0000919B0000}"/>
    <cellStyle name="Note 4 5 3 2 2 3 6" xfId="22955" xr:uid="{00000000-0005-0000-0000-0000929B0000}"/>
    <cellStyle name="Note 4 5 3 2 2 3 7" xfId="26784" xr:uid="{00000000-0005-0000-0000-0000939B0000}"/>
    <cellStyle name="Note 4 5 3 2 2 3 8" xfId="30658" xr:uid="{00000000-0005-0000-0000-0000949B0000}"/>
    <cellStyle name="Note 4 5 3 2 2 3 9" xfId="34314" xr:uid="{00000000-0005-0000-0000-0000959B0000}"/>
    <cellStyle name="Note 4 5 3 2 2 4" xfId="4991" xr:uid="{00000000-0005-0000-0000-0000969B0000}"/>
    <cellStyle name="Note 4 5 3 2 2 5" xfId="9347" xr:uid="{00000000-0005-0000-0000-0000979B0000}"/>
    <cellStyle name="Note 4 5 3 2 2 6" xfId="13187" xr:uid="{00000000-0005-0000-0000-0000989B0000}"/>
    <cellStyle name="Note 4 5 3 2 2 7" xfId="17015" xr:uid="{00000000-0005-0000-0000-0000999B0000}"/>
    <cellStyle name="Note 4 5 3 2 2 8" xfId="20957" xr:uid="{00000000-0005-0000-0000-00009A9B0000}"/>
    <cellStyle name="Note 4 5 3 2 2 9" xfId="24771" xr:uid="{00000000-0005-0000-0000-00009B9B0000}"/>
    <cellStyle name="Note 4 5 3 2 3" xfId="1423" xr:uid="{00000000-0005-0000-0000-00009C9B0000}"/>
    <cellStyle name="Note 4 5 3 2 3 10" xfId="32710" xr:uid="{00000000-0005-0000-0000-00009D9B0000}"/>
    <cellStyle name="Note 4 5 3 2 3 11" xfId="36480" xr:uid="{00000000-0005-0000-0000-00009E9B0000}"/>
    <cellStyle name="Note 4 5 3 2 3 12" xfId="40471" xr:uid="{00000000-0005-0000-0000-00009F9B0000}"/>
    <cellStyle name="Note 4 5 3 2 3 13" xfId="44302" xr:uid="{00000000-0005-0000-0000-0000A09B0000}"/>
    <cellStyle name="Note 4 5 3 2 3 2" xfId="3413" xr:uid="{00000000-0005-0000-0000-0000A19B0000}"/>
    <cellStyle name="Note 4 5 3 2 3 2 10" xfId="38464" xr:uid="{00000000-0005-0000-0000-0000A29B0000}"/>
    <cellStyle name="Note 4 5 3 2 3 2 11" xfId="42475" xr:uid="{00000000-0005-0000-0000-0000A39B0000}"/>
    <cellStyle name="Note 4 5 3 2 3 2 12" xfId="46240" xr:uid="{00000000-0005-0000-0000-0000A49B0000}"/>
    <cellStyle name="Note 4 5 3 2 3 2 2" xfId="7280" xr:uid="{00000000-0005-0000-0000-0000A59B0000}"/>
    <cellStyle name="Note 4 5 3 2 3 2 3" xfId="11715" xr:uid="{00000000-0005-0000-0000-0000A69B0000}"/>
    <cellStyle name="Note 4 5 3 2 3 2 4" xfId="15560" xr:uid="{00000000-0005-0000-0000-0000A79B0000}"/>
    <cellStyle name="Note 4 5 3 2 3 2 5" xfId="19407" xr:uid="{00000000-0005-0000-0000-0000A89B0000}"/>
    <cellStyle name="Note 4 5 3 2 3 2 6" xfId="23323" xr:uid="{00000000-0005-0000-0000-0000A99B0000}"/>
    <cellStyle name="Note 4 5 3 2 3 2 7" xfId="27157" xr:uid="{00000000-0005-0000-0000-0000AA9B0000}"/>
    <cellStyle name="Note 4 5 3 2 3 2 8" xfId="31025" xr:uid="{00000000-0005-0000-0000-0000AB9B0000}"/>
    <cellStyle name="Note 4 5 3 2 3 2 9" xfId="34678" xr:uid="{00000000-0005-0000-0000-0000AC9B0000}"/>
    <cellStyle name="Note 4 5 3 2 3 3" xfId="5356" xr:uid="{00000000-0005-0000-0000-0000AD9B0000}"/>
    <cellStyle name="Note 4 5 3 2 3 4" xfId="9714" xr:uid="{00000000-0005-0000-0000-0000AE9B0000}"/>
    <cellStyle name="Note 4 5 3 2 3 5" xfId="13560" xr:uid="{00000000-0005-0000-0000-0000AF9B0000}"/>
    <cellStyle name="Note 4 5 3 2 3 6" xfId="17389" xr:uid="{00000000-0005-0000-0000-0000B09B0000}"/>
    <cellStyle name="Note 4 5 3 2 3 7" xfId="21328" xr:uid="{00000000-0005-0000-0000-0000B19B0000}"/>
    <cellStyle name="Note 4 5 3 2 3 8" xfId="25141" xr:uid="{00000000-0005-0000-0000-0000B29B0000}"/>
    <cellStyle name="Note 4 5 3 2 3 9" xfId="29028" xr:uid="{00000000-0005-0000-0000-0000B39B0000}"/>
    <cellStyle name="Note 4 5 3 2 4" xfId="2672" xr:uid="{00000000-0005-0000-0000-0000B49B0000}"/>
    <cellStyle name="Note 4 5 3 2 4 10" xfId="37724" xr:uid="{00000000-0005-0000-0000-0000B59B0000}"/>
    <cellStyle name="Note 4 5 3 2 4 11" xfId="41738" xr:uid="{00000000-0005-0000-0000-0000B69B0000}"/>
    <cellStyle name="Note 4 5 3 2 4 12" xfId="45523" xr:uid="{00000000-0005-0000-0000-0000B79B0000}"/>
    <cellStyle name="Note 4 5 3 2 4 2" xfId="6560" xr:uid="{00000000-0005-0000-0000-0000B89B0000}"/>
    <cellStyle name="Note 4 5 3 2 4 3" xfId="10984" xr:uid="{00000000-0005-0000-0000-0000B99B0000}"/>
    <cellStyle name="Note 4 5 3 2 4 4" xfId="14828" xr:uid="{00000000-0005-0000-0000-0000BA9B0000}"/>
    <cellStyle name="Note 4 5 3 2 4 5" xfId="18666" xr:uid="{00000000-0005-0000-0000-0000BB9B0000}"/>
    <cellStyle name="Note 4 5 3 2 4 6" xfId="22597" xr:uid="{00000000-0005-0000-0000-0000BC9B0000}"/>
    <cellStyle name="Note 4 5 3 2 4 7" xfId="26417" xr:uid="{00000000-0005-0000-0000-0000BD9B0000}"/>
    <cellStyle name="Note 4 5 3 2 4 8" xfId="30296" xr:uid="{00000000-0005-0000-0000-0000BE9B0000}"/>
    <cellStyle name="Note 4 5 3 2 4 9" xfId="33961" xr:uid="{00000000-0005-0000-0000-0000BF9B0000}"/>
    <cellStyle name="Note 4 5 3 2 5" xfId="4636" xr:uid="{00000000-0005-0000-0000-0000C09B0000}"/>
    <cellStyle name="Note 4 5 3 2 6" xfId="8978" xr:uid="{00000000-0005-0000-0000-0000C19B0000}"/>
    <cellStyle name="Note 4 5 3 2 7" xfId="12815" xr:uid="{00000000-0005-0000-0000-0000C29B0000}"/>
    <cellStyle name="Note 4 5 3 2 8" xfId="16645" xr:uid="{00000000-0005-0000-0000-0000C39B0000}"/>
    <cellStyle name="Note 4 5 3 2 9" xfId="20582" xr:uid="{00000000-0005-0000-0000-0000C49B0000}"/>
    <cellStyle name="Note 4 5 3 20" xfId="8844" xr:uid="{00000000-0005-0000-0000-0000C59B0000}"/>
    <cellStyle name="Note 4 5 3 21" xfId="8585" xr:uid="{00000000-0005-0000-0000-0000C69B0000}"/>
    <cellStyle name="Note 4 5 3 22" xfId="8635" xr:uid="{00000000-0005-0000-0000-0000C79B0000}"/>
    <cellStyle name="Note 4 5 3 23" xfId="9079" xr:uid="{00000000-0005-0000-0000-0000C89B0000}"/>
    <cellStyle name="Note 4 5 3 24" xfId="8652" xr:uid="{00000000-0005-0000-0000-0000C99B0000}"/>
    <cellStyle name="Note 4 5 3 25" xfId="8836" xr:uid="{00000000-0005-0000-0000-0000CA9B0000}"/>
    <cellStyle name="Note 4 5 3 26" xfId="28790" xr:uid="{00000000-0005-0000-0000-0000CB9B0000}"/>
    <cellStyle name="Note 4 5 3 27" xfId="12932" xr:uid="{00000000-0005-0000-0000-0000CC9B0000}"/>
    <cellStyle name="Note 4 5 3 28" xfId="39632" xr:uid="{00000000-0005-0000-0000-0000CD9B0000}"/>
    <cellStyle name="Note 4 5 3 29" xfId="39745" xr:uid="{00000000-0005-0000-0000-0000CE9B0000}"/>
    <cellStyle name="Note 4 5 3 3" xfId="608" xr:uid="{00000000-0005-0000-0000-0000CF9B0000}"/>
    <cellStyle name="Note 4 5 3 3 10" xfId="11096" xr:uid="{00000000-0005-0000-0000-0000D09B0000}"/>
    <cellStyle name="Note 4 5 3 3 11" xfId="28235" xr:uid="{00000000-0005-0000-0000-0000D19B0000}"/>
    <cellStyle name="Note 4 5 3 3 12" xfId="30810" xr:uid="{00000000-0005-0000-0000-0000D29B0000}"/>
    <cellStyle name="Note 4 5 3 3 13" xfId="13284" xr:uid="{00000000-0005-0000-0000-0000D39B0000}"/>
    <cellStyle name="Note 4 5 3 3 14" xfId="39703" xr:uid="{00000000-0005-0000-0000-0000D49B0000}"/>
    <cellStyle name="Note 4 5 3 3 15" xfId="39572" xr:uid="{00000000-0005-0000-0000-0000D59B0000}"/>
    <cellStyle name="Note 4 5 3 3 2" xfId="988" xr:uid="{00000000-0005-0000-0000-0000D69B0000}"/>
    <cellStyle name="Note 4 5 3 3 2 10" xfId="28599" xr:uid="{00000000-0005-0000-0000-0000D79B0000}"/>
    <cellStyle name="Note 4 5 3 3 2 11" xfId="32287" xr:uid="{00000000-0005-0000-0000-0000D89B0000}"/>
    <cellStyle name="Note 4 5 3 3 2 12" xfId="36046" xr:uid="{00000000-0005-0000-0000-0000D99B0000}"/>
    <cellStyle name="Note 4 5 3 3 2 13" xfId="40051" xr:uid="{00000000-0005-0000-0000-0000DA9B0000}"/>
    <cellStyle name="Note 4 5 3 3 2 14" xfId="43872" xr:uid="{00000000-0005-0000-0000-0000DB9B0000}"/>
    <cellStyle name="Note 4 5 3 3 2 2" xfId="1717" xr:uid="{00000000-0005-0000-0000-0000DC9B0000}"/>
    <cellStyle name="Note 4 5 3 3 2 2 10" xfId="33004" xr:uid="{00000000-0005-0000-0000-0000DD9B0000}"/>
    <cellStyle name="Note 4 5 3 3 2 2 11" xfId="36774" xr:uid="{00000000-0005-0000-0000-0000DE9B0000}"/>
    <cellStyle name="Note 4 5 3 3 2 2 12" xfId="40765" xr:uid="{00000000-0005-0000-0000-0000DF9B0000}"/>
    <cellStyle name="Note 4 5 3 3 2 2 13" xfId="44596" xr:uid="{00000000-0005-0000-0000-0000E09B0000}"/>
    <cellStyle name="Note 4 5 3 3 2 2 2" xfId="3707" xr:uid="{00000000-0005-0000-0000-0000E19B0000}"/>
    <cellStyle name="Note 4 5 3 3 2 2 2 10" xfId="38758" xr:uid="{00000000-0005-0000-0000-0000E29B0000}"/>
    <cellStyle name="Note 4 5 3 3 2 2 2 11" xfId="42769" xr:uid="{00000000-0005-0000-0000-0000E39B0000}"/>
    <cellStyle name="Note 4 5 3 3 2 2 2 12" xfId="46534" xr:uid="{00000000-0005-0000-0000-0000E49B0000}"/>
    <cellStyle name="Note 4 5 3 3 2 2 2 2" xfId="7574" xr:uid="{00000000-0005-0000-0000-0000E59B0000}"/>
    <cellStyle name="Note 4 5 3 3 2 2 2 3" xfId="12009" xr:uid="{00000000-0005-0000-0000-0000E69B0000}"/>
    <cellStyle name="Note 4 5 3 3 2 2 2 4" xfId="15854" xr:uid="{00000000-0005-0000-0000-0000E79B0000}"/>
    <cellStyle name="Note 4 5 3 3 2 2 2 5" xfId="19701" xr:uid="{00000000-0005-0000-0000-0000E89B0000}"/>
    <cellStyle name="Note 4 5 3 3 2 2 2 6" xfId="23617" xr:uid="{00000000-0005-0000-0000-0000E99B0000}"/>
    <cellStyle name="Note 4 5 3 3 2 2 2 7" xfId="27451" xr:uid="{00000000-0005-0000-0000-0000EA9B0000}"/>
    <cellStyle name="Note 4 5 3 3 2 2 2 8" xfId="31315" xr:uid="{00000000-0005-0000-0000-0000EB9B0000}"/>
    <cellStyle name="Note 4 5 3 3 2 2 2 9" xfId="34972" xr:uid="{00000000-0005-0000-0000-0000EC9B0000}"/>
    <cellStyle name="Note 4 5 3 3 2 2 3" xfId="5650" xr:uid="{00000000-0005-0000-0000-0000ED9B0000}"/>
    <cellStyle name="Note 4 5 3 3 2 2 4" xfId="10008" xr:uid="{00000000-0005-0000-0000-0000EE9B0000}"/>
    <cellStyle name="Note 4 5 3 3 2 2 5" xfId="13854" xr:uid="{00000000-0005-0000-0000-0000EF9B0000}"/>
    <cellStyle name="Note 4 5 3 3 2 2 6" xfId="17683" xr:uid="{00000000-0005-0000-0000-0000F09B0000}"/>
    <cellStyle name="Note 4 5 3 3 2 2 7" xfId="21622" xr:uid="{00000000-0005-0000-0000-0000F19B0000}"/>
    <cellStyle name="Note 4 5 3 3 2 2 8" xfId="25435" xr:uid="{00000000-0005-0000-0000-0000F29B0000}"/>
    <cellStyle name="Note 4 5 3 3 2 2 9" xfId="29322" xr:uid="{00000000-0005-0000-0000-0000F39B0000}"/>
    <cellStyle name="Note 4 5 3 3 2 3" xfId="2978" xr:uid="{00000000-0005-0000-0000-0000F49B0000}"/>
    <cellStyle name="Note 4 5 3 3 2 3 10" xfId="38030" xr:uid="{00000000-0005-0000-0000-0000F59B0000}"/>
    <cellStyle name="Note 4 5 3 3 2 3 11" xfId="42042" xr:uid="{00000000-0005-0000-0000-0000F69B0000}"/>
    <cellStyle name="Note 4 5 3 3 2 3 12" xfId="45817" xr:uid="{00000000-0005-0000-0000-0000F79B0000}"/>
    <cellStyle name="Note 4 5 3 3 2 3 2" xfId="6856" xr:uid="{00000000-0005-0000-0000-0000F89B0000}"/>
    <cellStyle name="Note 4 5 3 3 2 3 3" xfId="11284" xr:uid="{00000000-0005-0000-0000-0000F99B0000}"/>
    <cellStyle name="Note 4 5 3 3 2 3 4" xfId="15129" xr:uid="{00000000-0005-0000-0000-0000FA9B0000}"/>
    <cellStyle name="Note 4 5 3 3 2 3 5" xfId="18972" xr:uid="{00000000-0005-0000-0000-0000FB9B0000}"/>
    <cellStyle name="Note 4 5 3 3 2 3 6" xfId="22896" xr:uid="{00000000-0005-0000-0000-0000FC9B0000}"/>
    <cellStyle name="Note 4 5 3 3 2 3 7" xfId="26723" xr:uid="{00000000-0005-0000-0000-0000FD9B0000}"/>
    <cellStyle name="Note 4 5 3 3 2 3 8" xfId="30597" xr:uid="{00000000-0005-0000-0000-0000FE9B0000}"/>
    <cellStyle name="Note 4 5 3 3 2 3 9" xfId="34255" xr:uid="{00000000-0005-0000-0000-0000FF9B0000}"/>
    <cellStyle name="Note 4 5 3 3 2 4" xfId="4932" xr:uid="{00000000-0005-0000-0000-0000009C0000}"/>
    <cellStyle name="Note 4 5 3 3 2 5" xfId="9287" xr:uid="{00000000-0005-0000-0000-0000019C0000}"/>
    <cellStyle name="Note 4 5 3 3 2 6" xfId="13128" xr:uid="{00000000-0005-0000-0000-0000029C0000}"/>
    <cellStyle name="Note 4 5 3 3 2 7" xfId="16954" xr:uid="{00000000-0005-0000-0000-0000039C0000}"/>
    <cellStyle name="Note 4 5 3 3 2 8" xfId="20896" xr:uid="{00000000-0005-0000-0000-0000049C0000}"/>
    <cellStyle name="Note 4 5 3 3 2 9" xfId="24711" xr:uid="{00000000-0005-0000-0000-0000059C0000}"/>
    <cellStyle name="Note 4 5 3 3 3" xfId="1364" xr:uid="{00000000-0005-0000-0000-0000069C0000}"/>
    <cellStyle name="Note 4 5 3 3 3 10" xfId="32651" xr:uid="{00000000-0005-0000-0000-0000079C0000}"/>
    <cellStyle name="Note 4 5 3 3 3 11" xfId="36421" xr:uid="{00000000-0005-0000-0000-0000089C0000}"/>
    <cellStyle name="Note 4 5 3 3 3 12" xfId="40412" xr:uid="{00000000-0005-0000-0000-0000099C0000}"/>
    <cellStyle name="Note 4 5 3 3 3 13" xfId="44243" xr:uid="{00000000-0005-0000-0000-00000A9C0000}"/>
    <cellStyle name="Note 4 5 3 3 3 2" xfId="3354" xr:uid="{00000000-0005-0000-0000-00000B9C0000}"/>
    <cellStyle name="Note 4 5 3 3 3 2 10" xfId="38405" xr:uid="{00000000-0005-0000-0000-00000C9C0000}"/>
    <cellStyle name="Note 4 5 3 3 3 2 11" xfId="42416" xr:uid="{00000000-0005-0000-0000-00000D9C0000}"/>
    <cellStyle name="Note 4 5 3 3 3 2 12" xfId="46181" xr:uid="{00000000-0005-0000-0000-00000E9C0000}"/>
    <cellStyle name="Note 4 5 3 3 3 2 2" xfId="7221" xr:uid="{00000000-0005-0000-0000-00000F9C0000}"/>
    <cellStyle name="Note 4 5 3 3 3 2 3" xfId="11656" xr:uid="{00000000-0005-0000-0000-0000109C0000}"/>
    <cellStyle name="Note 4 5 3 3 3 2 4" xfId="15501" xr:uid="{00000000-0005-0000-0000-0000119C0000}"/>
    <cellStyle name="Note 4 5 3 3 3 2 5" xfId="19348" xr:uid="{00000000-0005-0000-0000-0000129C0000}"/>
    <cellStyle name="Note 4 5 3 3 3 2 6" xfId="23264" xr:uid="{00000000-0005-0000-0000-0000139C0000}"/>
    <cellStyle name="Note 4 5 3 3 3 2 7" xfId="27098" xr:uid="{00000000-0005-0000-0000-0000149C0000}"/>
    <cellStyle name="Note 4 5 3 3 3 2 8" xfId="30966" xr:uid="{00000000-0005-0000-0000-0000159C0000}"/>
    <cellStyle name="Note 4 5 3 3 3 2 9" xfId="34619" xr:uid="{00000000-0005-0000-0000-0000169C0000}"/>
    <cellStyle name="Note 4 5 3 3 3 3" xfId="5297" xr:uid="{00000000-0005-0000-0000-0000179C0000}"/>
    <cellStyle name="Note 4 5 3 3 3 4" xfId="9655" xr:uid="{00000000-0005-0000-0000-0000189C0000}"/>
    <cellStyle name="Note 4 5 3 3 3 5" xfId="13501" xr:uid="{00000000-0005-0000-0000-0000199C0000}"/>
    <cellStyle name="Note 4 5 3 3 3 6" xfId="17330" xr:uid="{00000000-0005-0000-0000-00001A9C0000}"/>
    <cellStyle name="Note 4 5 3 3 3 7" xfId="21269" xr:uid="{00000000-0005-0000-0000-00001B9C0000}"/>
    <cellStyle name="Note 4 5 3 3 3 8" xfId="25082" xr:uid="{00000000-0005-0000-0000-00001C9C0000}"/>
    <cellStyle name="Note 4 5 3 3 3 9" xfId="28969" xr:uid="{00000000-0005-0000-0000-00001D9C0000}"/>
    <cellStyle name="Note 4 5 3 3 4" xfId="2611" xr:uid="{00000000-0005-0000-0000-00001E9C0000}"/>
    <cellStyle name="Note 4 5 3 3 4 10" xfId="37663" xr:uid="{00000000-0005-0000-0000-00001F9C0000}"/>
    <cellStyle name="Note 4 5 3 3 4 11" xfId="41677" xr:uid="{00000000-0005-0000-0000-0000209C0000}"/>
    <cellStyle name="Note 4 5 3 3 4 12" xfId="45464" xr:uid="{00000000-0005-0000-0000-0000219C0000}"/>
    <cellStyle name="Note 4 5 3 3 4 2" xfId="6501" xr:uid="{00000000-0005-0000-0000-0000229C0000}"/>
    <cellStyle name="Note 4 5 3 3 4 3" xfId="10925" xr:uid="{00000000-0005-0000-0000-0000239C0000}"/>
    <cellStyle name="Note 4 5 3 3 4 4" xfId="14769" xr:uid="{00000000-0005-0000-0000-0000249C0000}"/>
    <cellStyle name="Note 4 5 3 3 4 5" xfId="18605" xr:uid="{00000000-0005-0000-0000-0000259C0000}"/>
    <cellStyle name="Note 4 5 3 3 4 6" xfId="22538" xr:uid="{00000000-0005-0000-0000-0000269C0000}"/>
    <cellStyle name="Note 4 5 3 3 4 7" xfId="26356" xr:uid="{00000000-0005-0000-0000-0000279C0000}"/>
    <cellStyle name="Note 4 5 3 3 4 8" xfId="30235" xr:uid="{00000000-0005-0000-0000-0000289C0000}"/>
    <cellStyle name="Note 4 5 3 3 4 9" xfId="33902" xr:uid="{00000000-0005-0000-0000-0000299C0000}"/>
    <cellStyle name="Note 4 5 3 3 5" xfId="4577" xr:uid="{00000000-0005-0000-0000-00002A9C0000}"/>
    <cellStyle name="Note 4 5 3 3 6" xfId="8917" xr:uid="{00000000-0005-0000-0000-00002B9C0000}"/>
    <cellStyle name="Note 4 5 3 3 7" xfId="8689" xr:uid="{00000000-0005-0000-0000-00002C9C0000}"/>
    <cellStyle name="Note 4 5 3 3 8" xfId="8827" xr:uid="{00000000-0005-0000-0000-00002D9C0000}"/>
    <cellStyle name="Note 4 5 3 3 9" xfId="20521" xr:uid="{00000000-0005-0000-0000-00002E9C0000}"/>
    <cellStyle name="Note 4 5 3 30" xfId="47344" xr:uid="{00000000-0005-0000-0000-00002F9C0000}"/>
    <cellStyle name="Note 4 5 3 31" xfId="47432" xr:uid="{00000000-0005-0000-0000-0000309C0000}"/>
    <cellStyle name="Note 4 5 3 32" xfId="47479" xr:uid="{00000000-0005-0000-0000-0000319C0000}"/>
    <cellStyle name="Note 4 5 3 4" xfId="734" xr:uid="{00000000-0005-0000-0000-0000329C0000}"/>
    <cellStyle name="Note 4 5 3 4 10" xfId="24467" xr:uid="{00000000-0005-0000-0000-0000339C0000}"/>
    <cellStyle name="Note 4 5 3 4 11" xfId="28360" xr:uid="{00000000-0005-0000-0000-0000349C0000}"/>
    <cellStyle name="Note 4 5 3 4 12" xfId="8405" xr:uid="{00000000-0005-0000-0000-0000359C0000}"/>
    <cellStyle name="Note 4 5 3 4 13" xfId="35805" xr:uid="{00000000-0005-0000-0000-0000369C0000}"/>
    <cellStyle name="Note 4 5 3 4 14" xfId="39826" xr:uid="{00000000-0005-0000-0000-0000379C0000}"/>
    <cellStyle name="Note 4 5 3 4 15" xfId="43631" xr:uid="{00000000-0005-0000-0000-0000389C0000}"/>
    <cellStyle name="Note 4 5 3 4 2" xfId="1113" xr:uid="{00000000-0005-0000-0000-0000399C0000}"/>
    <cellStyle name="Note 4 5 3 4 2 10" xfId="28723" xr:uid="{00000000-0005-0000-0000-00003A9C0000}"/>
    <cellStyle name="Note 4 5 3 4 2 11" xfId="32410" xr:uid="{00000000-0005-0000-0000-00003B9C0000}"/>
    <cellStyle name="Note 4 5 3 4 2 12" xfId="36171" xr:uid="{00000000-0005-0000-0000-00003C9C0000}"/>
    <cellStyle name="Note 4 5 3 4 2 13" xfId="40173" xr:uid="{00000000-0005-0000-0000-00003D9C0000}"/>
    <cellStyle name="Note 4 5 3 4 2 14" xfId="43997" xr:uid="{00000000-0005-0000-0000-00003E9C0000}"/>
    <cellStyle name="Note 4 5 3 4 2 2" xfId="1840" xr:uid="{00000000-0005-0000-0000-00003F9C0000}"/>
    <cellStyle name="Note 4 5 3 4 2 2 10" xfId="33127" xr:uid="{00000000-0005-0000-0000-0000409C0000}"/>
    <cellStyle name="Note 4 5 3 4 2 2 11" xfId="36897" xr:uid="{00000000-0005-0000-0000-0000419C0000}"/>
    <cellStyle name="Note 4 5 3 4 2 2 12" xfId="40888" xr:uid="{00000000-0005-0000-0000-0000429C0000}"/>
    <cellStyle name="Note 4 5 3 4 2 2 13" xfId="44719" xr:uid="{00000000-0005-0000-0000-0000439C0000}"/>
    <cellStyle name="Note 4 5 3 4 2 2 2" xfId="3830" xr:uid="{00000000-0005-0000-0000-0000449C0000}"/>
    <cellStyle name="Note 4 5 3 4 2 2 2 10" xfId="38881" xr:uid="{00000000-0005-0000-0000-0000459C0000}"/>
    <cellStyle name="Note 4 5 3 4 2 2 2 11" xfId="42892" xr:uid="{00000000-0005-0000-0000-0000469C0000}"/>
    <cellStyle name="Note 4 5 3 4 2 2 2 12" xfId="46657" xr:uid="{00000000-0005-0000-0000-0000479C0000}"/>
    <cellStyle name="Note 4 5 3 4 2 2 2 2" xfId="7697" xr:uid="{00000000-0005-0000-0000-0000489C0000}"/>
    <cellStyle name="Note 4 5 3 4 2 2 2 3" xfId="12132" xr:uid="{00000000-0005-0000-0000-0000499C0000}"/>
    <cellStyle name="Note 4 5 3 4 2 2 2 4" xfId="15977" xr:uid="{00000000-0005-0000-0000-00004A9C0000}"/>
    <cellStyle name="Note 4 5 3 4 2 2 2 5" xfId="19824" xr:uid="{00000000-0005-0000-0000-00004B9C0000}"/>
    <cellStyle name="Note 4 5 3 4 2 2 2 6" xfId="23740" xr:uid="{00000000-0005-0000-0000-00004C9C0000}"/>
    <cellStyle name="Note 4 5 3 4 2 2 2 7" xfId="27574" xr:uid="{00000000-0005-0000-0000-00004D9C0000}"/>
    <cellStyle name="Note 4 5 3 4 2 2 2 8" xfId="31438" xr:uid="{00000000-0005-0000-0000-00004E9C0000}"/>
    <cellStyle name="Note 4 5 3 4 2 2 2 9" xfId="35095" xr:uid="{00000000-0005-0000-0000-00004F9C0000}"/>
    <cellStyle name="Note 4 5 3 4 2 2 3" xfId="5773" xr:uid="{00000000-0005-0000-0000-0000509C0000}"/>
    <cellStyle name="Note 4 5 3 4 2 2 4" xfId="10131" xr:uid="{00000000-0005-0000-0000-0000519C0000}"/>
    <cellStyle name="Note 4 5 3 4 2 2 5" xfId="13977" xr:uid="{00000000-0005-0000-0000-0000529C0000}"/>
    <cellStyle name="Note 4 5 3 4 2 2 6" xfId="17806" xr:uid="{00000000-0005-0000-0000-0000539C0000}"/>
    <cellStyle name="Note 4 5 3 4 2 2 7" xfId="21745" xr:uid="{00000000-0005-0000-0000-0000549C0000}"/>
    <cellStyle name="Note 4 5 3 4 2 2 8" xfId="25558" xr:uid="{00000000-0005-0000-0000-0000559C0000}"/>
    <cellStyle name="Note 4 5 3 4 2 2 9" xfId="29445" xr:uid="{00000000-0005-0000-0000-0000569C0000}"/>
    <cellStyle name="Note 4 5 3 4 2 3" xfId="3103" xr:uid="{00000000-0005-0000-0000-0000579C0000}"/>
    <cellStyle name="Note 4 5 3 4 2 3 10" xfId="38155" xr:uid="{00000000-0005-0000-0000-0000589C0000}"/>
    <cellStyle name="Note 4 5 3 4 2 3 11" xfId="42167" xr:uid="{00000000-0005-0000-0000-0000599C0000}"/>
    <cellStyle name="Note 4 5 3 4 2 3 12" xfId="45940" xr:uid="{00000000-0005-0000-0000-00005A9C0000}"/>
    <cellStyle name="Note 4 5 3 4 2 3 2" xfId="6979" xr:uid="{00000000-0005-0000-0000-00005B9C0000}"/>
    <cellStyle name="Note 4 5 3 4 2 3 3" xfId="11408" xr:uid="{00000000-0005-0000-0000-00005C9C0000}"/>
    <cellStyle name="Note 4 5 3 4 2 3 4" xfId="15252" xr:uid="{00000000-0005-0000-0000-00005D9C0000}"/>
    <cellStyle name="Note 4 5 3 4 2 3 5" xfId="19097" xr:uid="{00000000-0005-0000-0000-00005E9C0000}"/>
    <cellStyle name="Note 4 5 3 4 2 3 6" xfId="23019" xr:uid="{00000000-0005-0000-0000-00005F9C0000}"/>
    <cellStyle name="Note 4 5 3 4 2 3 7" xfId="26848" xr:uid="{00000000-0005-0000-0000-0000609C0000}"/>
    <cellStyle name="Note 4 5 3 4 2 3 8" xfId="30721" xr:uid="{00000000-0005-0000-0000-0000619C0000}"/>
    <cellStyle name="Note 4 5 3 4 2 3 9" xfId="34378" xr:uid="{00000000-0005-0000-0000-0000629C0000}"/>
    <cellStyle name="Note 4 5 3 4 2 4" xfId="5055" xr:uid="{00000000-0005-0000-0000-0000639C0000}"/>
    <cellStyle name="Note 4 5 3 4 2 5" xfId="9411" xr:uid="{00000000-0005-0000-0000-0000649C0000}"/>
    <cellStyle name="Note 4 5 3 4 2 6" xfId="13251" xr:uid="{00000000-0005-0000-0000-0000659C0000}"/>
    <cellStyle name="Note 4 5 3 4 2 7" xfId="17079" xr:uid="{00000000-0005-0000-0000-0000669C0000}"/>
    <cellStyle name="Note 4 5 3 4 2 8" xfId="21021" xr:uid="{00000000-0005-0000-0000-0000679C0000}"/>
    <cellStyle name="Note 4 5 3 4 2 9" xfId="24835" xr:uid="{00000000-0005-0000-0000-0000689C0000}"/>
    <cellStyle name="Note 4 5 3 4 3" xfId="1487" xr:uid="{00000000-0005-0000-0000-0000699C0000}"/>
    <cellStyle name="Note 4 5 3 4 3 10" xfId="32774" xr:uid="{00000000-0005-0000-0000-00006A9C0000}"/>
    <cellStyle name="Note 4 5 3 4 3 11" xfId="36544" xr:uid="{00000000-0005-0000-0000-00006B9C0000}"/>
    <cellStyle name="Note 4 5 3 4 3 12" xfId="40535" xr:uid="{00000000-0005-0000-0000-00006C9C0000}"/>
    <cellStyle name="Note 4 5 3 4 3 13" xfId="44366" xr:uid="{00000000-0005-0000-0000-00006D9C0000}"/>
    <cellStyle name="Note 4 5 3 4 3 2" xfId="3477" xr:uid="{00000000-0005-0000-0000-00006E9C0000}"/>
    <cellStyle name="Note 4 5 3 4 3 2 10" xfId="38528" xr:uid="{00000000-0005-0000-0000-00006F9C0000}"/>
    <cellStyle name="Note 4 5 3 4 3 2 11" xfId="42539" xr:uid="{00000000-0005-0000-0000-0000709C0000}"/>
    <cellStyle name="Note 4 5 3 4 3 2 12" xfId="46304" xr:uid="{00000000-0005-0000-0000-0000719C0000}"/>
    <cellStyle name="Note 4 5 3 4 3 2 2" xfId="7344" xr:uid="{00000000-0005-0000-0000-0000729C0000}"/>
    <cellStyle name="Note 4 5 3 4 3 2 3" xfId="11779" xr:uid="{00000000-0005-0000-0000-0000739C0000}"/>
    <cellStyle name="Note 4 5 3 4 3 2 4" xfId="15624" xr:uid="{00000000-0005-0000-0000-0000749C0000}"/>
    <cellStyle name="Note 4 5 3 4 3 2 5" xfId="19471" xr:uid="{00000000-0005-0000-0000-0000759C0000}"/>
    <cellStyle name="Note 4 5 3 4 3 2 6" xfId="23387" xr:uid="{00000000-0005-0000-0000-0000769C0000}"/>
    <cellStyle name="Note 4 5 3 4 3 2 7" xfId="27221" xr:uid="{00000000-0005-0000-0000-0000779C0000}"/>
    <cellStyle name="Note 4 5 3 4 3 2 8" xfId="31088" xr:uid="{00000000-0005-0000-0000-0000789C0000}"/>
    <cellStyle name="Note 4 5 3 4 3 2 9" xfId="34742" xr:uid="{00000000-0005-0000-0000-0000799C0000}"/>
    <cellStyle name="Note 4 5 3 4 3 3" xfId="5420" xr:uid="{00000000-0005-0000-0000-00007A9C0000}"/>
    <cellStyle name="Note 4 5 3 4 3 4" xfId="9778" xr:uid="{00000000-0005-0000-0000-00007B9C0000}"/>
    <cellStyle name="Note 4 5 3 4 3 5" xfId="13624" xr:uid="{00000000-0005-0000-0000-00007C9C0000}"/>
    <cellStyle name="Note 4 5 3 4 3 6" xfId="17453" xr:uid="{00000000-0005-0000-0000-00007D9C0000}"/>
    <cellStyle name="Note 4 5 3 4 3 7" xfId="21392" xr:uid="{00000000-0005-0000-0000-00007E9C0000}"/>
    <cellStyle name="Note 4 5 3 4 3 8" xfId="25205" xr:uid="{00000000-0005-0000-0000-00007F9C0000}"/>
    <cellStyle name="Note 4 5 3 4 3 9" xfId="29092" xr:uid="{00000000-0005-0000-0000-0000809C0000}"/>
    <cellStyle name="Note 4 5 3 4 4" xfId="2737" xr:uid="{00000000-0005-0000-0000-0000819C0000}"/>
    <cellStyle name="Note 4 5 3 4 4 10" xfId="37789" xr:uid="{00000000-0005-0000-0000-0000829C0000}"/>
    <cellStyle name="Note 4 5 3 4 4 11" xfId="41803" xr:uid="{00000000-0005-0000-0000-0000839C0000}"/>
    <cellStyle name="Note 4 5 3 4 4 12" xfId="45587" xr:uid="{00000000-0005-0000-0000-0000849C0000}"/>
    <cellStyle name="Note 4 5 3 4 4 2" xfId="6624" xr:uid="{00000000-0005-0000-0000-0000859C0000}"/>
    <cellStyle name="Note 4 5 3 4 4 3" xfId="11048" xr:uid="{00000000-0005-0000-0000-0000869C0000}"/>
    <cellStyle name="Note 4 5 3 4 4 4" xfId="14893" xr:uid="{00000000-0005-0000-0000-0000879C0000}"/>
    <cellStyle name="Note 4 5 3 4 4 5" xfId="18731" xr:uid="{00000000-0005-0000-0000-0000889C0000}"/>
    <cellStyle name="Note 4 5 3 4 4 6" xfId="22662" xr:uid="{00000000-0005-0000-0000-0000899C0000}"/>
    <cellStyle name="Note 4 5 3 4 4 7" xfId="26482" xr:uid="{00000000-0005-0000-0000-00008A9C0000}"/>
    <cellStyle name="Note 4 5 3 4 4 8" xfId="30361" xr:uid="{00000000-0005-0000-0000-00008B9C0000}"/>
    <cellStyle name="Note 4 5 3 4 4 9" xfId="34025" xr:uid="{00000000-0005-0000-0000-00008C9C0000}"/>
    <cellStyle name="Note 4 5 3 4 5" xfId="4700" xr:uid="{00000000-0005-0000-0000-00008D9C0000}"/>
    <cellStyle name="Note 4 5 3 4 6" xfId="9042" xr:uid="{00000000-0005-0000-0000-00008E9C0000}"/>
    <cellStyle name="Note 4 5 3 4 7" xfId="12880" xr:uid="{00000000-0005-0000-0000-00008F9C0000}"/>
    <cellStyle name="Note 4 5 3 4 8" xfId="16710" xr:uid="{00000000-0005-0000-0000-0000909C0000}"/>
    <cellStyle name="Note 4 5 3 4 9" xfId="20647" xr:uid="{00000000-0005-0000-0000-0000919C0000}"/>
    <cellStyle name="Note 4 5 3 5" xfId="869" xr:uid="{00000000-0005-0000-0000-0000929C0000}"/>
    <cellStyle name="Note 4 5 3 5 10" xfId="24593" xr:uid="{00000000-0005-0000-0000-0000939C0000}"/>
    <cellStyle name="Note 4 5 3 5 11" xfId="28483" xr:uid="{00000000-0005-0000-0000-0000949C0000}"/>
    <cellStyle name="Note 4 5 3 5 12" xfId="32170" xr:uid="{00000000-0005-0000-0000-0000959C0000}"/>
    <cellStyle name="Note 4 5 3 5 13" xfId="35927" xr:uid="{00000000-0005-0000-0000-0000969C0000}"/>
    <cellStyle name="Note 4 5 3 5 14" xfId="39937" xr:uid="{00000000-0005-0000-0000-0000979C0000}"/>
    <cellStyle name="Note 4 5 3 5 15" xfId="43753" xr:uid="{00000000-0005-0000-0000-0000989C0000}"/>
    <cellStyle name="Note 4 5 3 5 2" xfId="1206" xr:uid="{00000000-0005-0000-0000-0000999C0000}"/>
    <cellStyle name="Note 4 5 3 5 2 10" xfId="28814" xr:uid="{00000000-0005-0000-0000-00009A9C0000}"/>
    <cellStyle name="Note 4 5 3 5 2 11" xfId="32498" xr:uid="{00000000-0005-0000-0000-00009B9C0000}"/>
    <cellStyle name="Note 4 5 3 5 2 12" xfId="36264" xr:uid="{00000000-0005-0000-0000-00009C9C0000}"/>
    <cellStyle name="Note 4 5 3 5 2 13" xfId="40257" xr:uid="{00000000-0005-0000-0000-00009D9C0000}"/>
    <cellStyle name="Note 4 5 3 5 2 14" xfId="44090" xr:uid="{00000000-0005-0000-0000-00009E9C0000}"/>
    <cellStyle name="Note 4 5 3 5 2 2" xfId="1928" xr:uid="{00000000-0005-0000-0000-00009F9C0000}"/>
    <cellStyle name="Note 4 5 3 5 2 2 10" xfId="33215" xr:uid="{00000000-0005-0000-0000-0000A09C0000}"/>
    <cellStyle name="Note 4 5 3 5 2 2 11" xfId="36985" xr:uid="{00000000-0005-0000-0000-0000A19C0000}"/>
    <cellStyle name="Note 4 5 3 5 2 2 12" xfId="40976" xr:uid="{00000000-0005-0000-0000-0000A29C0000}"/>
    <cellStyle name="Note 4 5 3 5 2 2 13" xfId="44807" xr:uid="{00000000-0005-0000-0000-0000A39C0000}"/>
    <cellStyle name="Note 4 5 3 5 2 2 2" xfId="3918" xr:uid="{00000000-0005-0000-0000-0000A49C0000}"/>
    <cellStyle name="Note 4 5 3 5 2 2 2 10" xfId="38969" xr:uid="{00000000-0005-0000-0000-0000A59C0000}"/>
    <cellStyle name="Note 4 5 3 5 2 2 2 11" xfId="42980" xr:uid="{00000000-0005-0000-0000-0000A69C0000}"/>
    <cellStyle name="Note 4 5 3 5 2 2 2 12" xfId="46745" xr:uid="{00000000-0005-0000-0000-0000A79C0000}"/>
    <cellStyle name="Note 4 5 3 5 2 2 2 2" xfId="7785" xr:uid="{00000000-0005-0000-0000-0000A89C0000}"/>
    <cellStyle name="Note 4 5 3 5 2 2 2 3" xfId="12220" xr:uid="{00000000-0005-0000-0000-0000A99C0000}"/>
    <cellStyle name="Note 4 5 3 5 2 2 2 4" xfId="16065" xr:uid="{00000000-0005-0000-0000-0000AA9C0000}"/>
    <cellStyle name="Note 4 5 3 5 2 2 2 5" xfId="19912" xr:uid="{00000000-0005-0000-0000-0000AB9C0000}"/>
    <cellStyle name="Note 4 5 3 5 2 2 2 6" xfId="23828" xr:uid="{00000000-0005-0000-0000-0000AC9C0000}"/>
    <cellStyle name="Note 4 5 3 5 2 2 2 7" xfId="27662" xr:uid="{00000000-0005-0000-0000-0000AD9C0000}"/>
    <cellStyle name="Note 4 5 3 5 2 2 2 8" xfId="31523" xr:uid="{00000000-0005-0000-0000-0000AE9C0000}"/>
    <cellStyle name="Note 4 5 3 5 2 2 2 9" xfId="35183" xr:uid="{00000000-0005-0000-0000-0000AF9C0000}"/>
    <cellStyle name="Note 4 5 3 5 2 2 3" xfId="5861" xr:uid="{00000000-0005-0000-0000-0000B09C0000}"/>
    <cellStyle name="Note 4 5 3 5 2 2 4" xfId="10219" xr:uid="{00000000-0005-0000-0000-0000B19C0000}"/>
    <cellStyle name="Note 4 5 3 5 2 2 5" xfId="14065" xr:uid="{00000000-0005-0000-0000-0000B29C0000}"/>
    <cellStyle name="Note 4 5 3 5 2 2 6" xfId="17894" xr:uid="{00000000-0005-0000-0000-0000B39C0000}"/>
    <cellStyle name="Note 4 5 3 5 2 2 7" xfId="21833" xr:uid="{00000000-0005-0000-0000-0000B49C0000}"/>
    <cellStyle name="Note 4 5 3 5 2 2 8" xfId="25646" xr:uid="{00000000-0005-0000-0000-0000B59C0000}"/>
    <cellStyle name="Note 4 5 3 5 2 2 9" xfId="29533" xr:uid="{00000000-0005-0000-0000-0000B69C0000}"/>
    <cellStyle name="Note 4 5 3 5 2 3" xfId="3196" xr:uid="{00000000-0005-0000-0000-0000B79C0000}"/>
    <cellStyle name="Note 4 5 3 5 2 3 10" xfId="38248" xr:uid="{00000000-0005-0000-0000-0000B89C0000}"/>
    <cellStyle name="Note 4 5 3 5 2 3 11" xfId="42259" xr:uid="{00000000-0005-0000-0000-0000B99C0000}"/>
    <cellStyle name="Note 4 5 3 5 2 3 12" xfId="46028" xr:uid="{00000000-0005-0000-0000-0000BA9C0000}"/>
    <cellStyle name="Note 4 5 3 5 2 3 2" xfId="7068" xr:uid="{00000000-0005-0000-0000-0000BB9C0000}"/>
    <cellStyle name="Note 4 5 3 5 2 3 3" xfId="11500" xr:uid="{00000000-0005-0000-0000-0000BC9C0000}"/>
    <cellStyle name="Note 4 5 3 5 2 3 4" xfId="15344" xr:uid="{00000000-0005-0000-0000-0000BD9C0000}"/>
    <cellStyle name="Note 4 5 3 5 2 3 5" xfId="19190" xr:uid="{00000000-0005-0000-0000-0000BE9C0000}"/>
    <cellStyle name="Note 4 5 3 5 2 3 6" xfId="23109" xr:uid="{00000000-0005-0000-0000-0000BF9C0000}"/>
    <cellStyle name="Note 4 5 3 5 2 3 7" xfId="26941" xr:uid="{00000000-0005-0000-0000-0000C09C0000}"/>
    <cellStyle name="Note 4 5 3 5 2 3 8" xfId="30811" xr:uid="{00000000-0005-0000-0000-0000C19C0000}"/>
    <cellStyle name="Note 4 5 3 5 2 3 9" xfId="34466" xr:uid="{00000000-0005-0000-0000-0000C29C0000}"/>
    <cellStyle name="Note 4 5 3 5 2 4" xfId="5144" xr:uid="{00000000-0005-0000-0000-0000C39C0000}"/>
    <cellStyle name="Note 4 5 3 5 2 5" xfId="9500" xr:uid="{00000000-0005-0000-0000-0000C49C0000}"/>
    <cellStyle name="Note 4 5 3 5 2 6" xfId="13344" xr:uid="{00000000-0005-0000-0000-0000C59C0000}"/>
    <cellStyle name="Note 4 5 3 5 2 7" xfId="17172" xr:uid="{00000000-0005-0000-0000-0000C69C0000}"/>
    <cellStyle name="Note 4 5 3 5 2 8" xfId="21114" xr:uid="{00000000-0005-0000-0000-0000C79C0000}"/>
    <cellStyle name="Note 4 5 3 5 2 9" xfId="24925" xr:uid="{00000000-0005-0000-0000-0000C89C0000}"/>
    <cellStyle name="Note 4 5 3 5 3" xfId="1600" xr:uid="{00000000-0005-0000-0000-0000C99C0000}"/>
    <cellStyle name="Note 4 5 3 5 3 10" xfId="32887" xr:uid="{00000000-0005-0000-0000-0000CA9C0000}"/>
    <cellStyle name="Note 4 5 3 5 3 11" xfId="36657" xr:uid="{00000000-0005-0000-0000-0000CB9C0000}"/>
    <cellStyle name="Note 4 5 3 5 3 12" xfId="40648" xr:uid="{00000000-0005-0000-0000-0000CC9C0000}"/>
    <cellStyle name="Note 4 5 3 5 3 13" xfId="44479" xr:uid="{00000000-0005-0000-0000-0000CD9C0000}"/>
    <cellStyle name="Note 4 5 3 5 3 2" xfId="3590" xr:uid="{00000000-0005-0000-0000-0000CE9C0000}"/>
    <cellStyle name="Note 4 5 3 5 3 2 10" xfId="38641" xr:uid="{00000000-0005-0000-0000-0000CF9C0000}"/>
    <cellStyle name="Note 4 5 3 5 3 2 11" xfId="42652" xr:uid="{00000000-0005-0000-0000-0000D09C0000}"/>
    <cellStyle name="Note 4 5 3 5 3 2 12" xfId="46417" xr:uid="{00000000-0005-0000-0000-0000D19C0000}"/>
    <cellStyle name="Note 4 5 3 5 3 2 2" xfId="7457" xr:uid="{00000000-0005-0000-0000-0000D29C0000}"/>
    <cellStyle name="Note 4 5 3 5 3 2 3" xfId="11892" xr:uid="{00000000-0005-0000-0000-0000D39C0000}"/>
    <cellStyle name="Note 4 5 3 5 3 2 4" xfId="15737" xr:uid="{00000000-0005-0000-0000-0000D49C0000}"/>
    <cellStyle name="Note 4 5 3 5 3 2 5" xfId="19584" xr:uid="{00000000-0005-0000-0000-0000D59C0000}"/>
    <cellStyle name="Note 4 5 3 5 3 2 6" xfId="23500" xr:uid="{00000000-0005-0000-0000-0000D69C0000}"/>
    <cellStyle name="Note 4 5 3 5 3 2 7" xfId="27334" xr:uid="{00000000-0005-0000-0000-0000D79C0000}"/>
    <cellStyle name="Note 4 5 3 5 3 2 8" xfId="31199" xr:uid="{00000000-0005-0000-0000-0000D89C0000}"/>
    <cellStyle name="Note 4 5 3 5 3 2 9" xfId="34855" xr:uid="{00000000-0005-0000-0000-0000D99C0000}"/>
    <cellStyle name="Note 4 5 3 5 3 3" xfId="5533" xr:uid="{00000000-0005-0000-0000-0000DA9C0000}"/>
    <cellStyle name="Note 4 5 3 5 3 4" xfId="9891" xr:uid="{00000000-0005-0000-0000-0000DB9C0000}"/>
    <cellStyle name="Note 4 5 3 5 3 5" xfId="13737" xr:uid="{00000000-0005-0000-0000-0000DC9C0000}"/>
    <cellStyle name="Note 4 5 3 5 3 6" xfId="17566" xr:uid="{00000000-0005-0000-0000-0000DD9C0000}"/>
    <cellStyle name="Note 4 5 3 5 3 7" xfId="21505" xr:uid="{00000000-0005-0000-0000-0000DE9C0000}"/>
    <cellStyle name="Note 4 5 3 5 3 8" xfId="25318" xr:uid="{00000000-0005-0000-0000-0000DF9C0000}"/>
    <cellStyle name="Note 4 5 3 5 3 9" xfId="29205" xr:uid="{00000000-0005-0000-0000-0000E09C0000}"/>
    <cellStyle name="Note 4 5 3 5 4" xfId="2859" xr:uid="{00000000-0005-0000-0000-0000E19C0000}"/>
    <cellStyle name="Note 4 5 3 5 4 10" xfId="37911" xr:uid="{00000000-0005-0000-0000-0000E29C0000}"/>
    <cellStyle name="Note 4 5 3 5 4 11" xfId="41923" xr:uid="{00000000-0005-0000-0000-0000E39C0000}"/>
    <cellStyle name="Note 4 5 3 5 4 12" xfId="45700" xr:uid="{00000000-0005-0000-0000-0000E49C0000}"/>
    <cellStyle name="Note 4 5 3 5 4 2" xfId="6739" xr:uid="{00000000-0005-0000-0000-0000E59C0000}"/>
    <cellStyle name="Note 4 5 3 5 4 3" xfId="11166" xr:uid="{00000000-0005-0000-0000-0000E69C0000}"/>
    <cellStyle name="Note 4 5 3 5 4 4" xfId="15011" xr:uid="{00000000-0005-0000-0000-0000E79C0000}"/>
    <cellStyle name="Note 4 5 3 5 4 5" xfId="18853" xr:uid="{00000000-0005-0000-0000-0000E89C0000}"/>
    <cellStyle name="Note 4 5 3 5 4 6" xfId="22779" xr:uid="{00000000-0005-0000-0000-0000E99C0000}"/>
    <cellStyle name="Note 4 5 3 5 4 7" xfId="26604" xr:uid="{00000000-0005-0000-0000-0000EA9C0000}"/>
    <cellStyle name="Note 4 5 3 5 4 8" xfId="30480" xr:uid="{00000000-0005-0000-0000-0000EB9C0000}"/>
    <cellStyle name="Note 4 5 3 5 4 9" xfId="34138" xr:uid="{00000000-0005-0000-0000-0000EC9C0000}"/>
    <cellStyle name="Note 4 5 3 5 5" xfId="4815" xr:uid="{00000000-0005-0000-0000-0000ED9C0000}"/>
    <cellStyle name="Note 4 5 3 5 6" xfId="9169" xr:uid="{00000000-0005-0000-0000-0000EE9C0000}"/>
    <cellStyle name="Note 4 5 3 5 7" xfId="13010" xr:uid="{00000000-0005-0000-0000-0000EF9C0000}"/>
    <cellStyle name="Note 4 5 3 5 8" xfId="16835" xr:uid="{00000000-0005-0000-0000-0000F09C0000}"/>
    <cellStyle name="Note 4 5 3 5 9" xfId="20777" xr:uid="{00000000-0005-0000-0000-0000F19C0000}"/>
    <cellStyle name="Note 4 5 3 6" xfId="915" xr:uid="{00000000-0005-0000-0000-0000F29C0000}"/>
    <cellStyle name="Note 4 5 3 6 10" xfId="28527" xr:uid="{00000000-0005-0000-0000-0000F39C0000}"/>
    <cellStyle name="Note 4 5 3 6 11" xfId="32216" xr:uid="{00000000-0005-0000-0000-0000F49C0000}"/>
    <cellStyle name="Note 4 5 3 6 12" xfId="35973" xr:uid="{00000000-0005-0000-0000-0000F59C0000}"/>
    <cellStyle name="Note 4 5 3 6 13" xfId="39981" xr:uid="{00000000-0005-0000-0000-0000F69C0000}"/>
    <cellStyle name="Note 4 5 3 6 14" xfId="43799" xr:uid="{00000000-0005-0000-0000-0000F79C0000}"/>
    <cellStyle name="Note 4 5 3 6 2" xfId="1646" xr:uid="{00000000-0005-0000-0000-0000F89C0000}"/>
    <cellStyle name="Note 4 5 3 6 2 10" xfId="32933" xr:uid="{00000000-0005-0000-0000-0000F99C0000}"/>
    <cellStyle name="Note 4 5 3 6 2 11" xfId="36703" xr:uid="{00000000-0005-0000-0000-0000FA9C0000}"/>
    <cellStyle name="Note 4 5 3 6 2 12" xfId="40694" xr:uid="{00000000-0005-0000-0000-0000FB9C0000}"/>
    <cellStyle name="Note 4 5 3 6 2 13" xfId="44525" xr:uid="{00000000-0005-0000-0000-0000FC9C0000}"/>
    <cellStyle name="Note 4 5 3 6 2 2" xfId="3636" xr:uid="{00000000-0005-0000-0000-0000FD9C0000}"/>
    <cellStyle name="Note 4 5 3 6 2 2 10" xfId="38687" xr:uid="{00000000-0005-0000-0000-0000FE9C0000}"/>
    <cellStyle name="Note 4 5 3 6 2 2 11" xfId="42698" xr:uid="{00000000-0005-0000-0000-0000FF9C0000}"/>
    <cellStyle name="Note 4 5 3 6 2 2 12" xfId="46463" xr:uid="{00000000-0005-0000-0000-0000009D0000}"/>
    <cellStyle name="Note 4 5 3 6 2 2 2" xfId="7503" xr:uid="{00000000-0005-0000-0000-0000019D0000}"/>
    <cellStyle name="Note 4 5 3 6 2 2 3" xfId="11938" xr:uid="{00000000-0005-0000-0000-0000029D0000}"/>
    <cellStyle name="Note 4 5 3 6 2 2 4" xfId="15783" xr:uid="{00000000-0005-0000-0000-0000039D0000}"/>
    <cellStyle name="Note 4 5 3 6 2 2 5" xfId="19630" xr:uid="{00000000-0005-0000-0000-0000049D0000}"/>
    <cellStyle name="Note 4 5 3 6 2 2 6" xfId="23546" xr:uid="{00000000-0005-0000-0000-0000059D0000}"/>
    <cellStyle name="Note 4 5 3 6 2 2 7" xfId="27380" xr:uid="{00000000-0005-0000-0000-0000069D0000}"/>
    <cellStyle name="Note 4 5 3 6 2 2 8" xfId="31244" xr:uid="{00000000-0005-0000-0000-0000079D0000}"/>
    <cellStyle name="Note 4 5 3 6 2 2 9" xfId="34901" xr:uid="{00000000-0005-0000-0000-0000089D0000}"/>
    <cellStyle name="Note 4 5 3 6 2 3" xfId="5579" xr:uid="{00000000-0005-0000-0000-0000099D0000}"/>
    <cellStyle name="Note 4 5 3 6 2 4" xfId="9937" xr:uid="{00000000-0005-0000-0000-00000A9D0000}"/>
    <cellStyle name="Note 4 5 3 6 2 5" xfId="13783" xr:uid="{00000000-0005-0000-0000-00000B9D0000}"/>
    <cellStyle name="Note 4 5 3 6 2 6" xfId="17612" xr:uid="{00000000-0005-0000-0000-00000C9D0000}"/>
    <cellStyle name="Note 4 5 3 6 2 7" xfId="21551" xr:uid="{00000000-0005-0000-0000-00000D9D0000}"/>
    <cellStyle name="Note 4 5 3 6 2 8" xfId="25364" xr:uid="{00000000-0005-0000-0000-00000E9D0000}"/>
    <cellStyle name="Note 4 5 3 6 2 9" xfId="29251" xr:uid="{00000000-0005-0000-0000-00000F9D0000}"/>
    <cellStyle name="Note 4 5 3 6 3" xfId="2905" xr:uid="{00000000-0005-0000-0000-0000109D0000}"/>
    <cellStyle name="Note 4 5 3 6 3 10" xfId="37957" xr:uid="{00000000-0005-0000-0000-0000119D0000}"/>
    <cellStyle name="Note 4 5 3 6 3 11" xfId="41969" xr:uid="{00000000-0005-0000-0000-0000129D0000}"/>
    <cellStyle name="Note 4 5 3 6 3 12" xfId="45746" xr:uid="{00000000-0005-0000-0000-0000139D0000}"/>
    <cellStyle name="Note 4 5 3 6 3 2" xfId="6785" xr:uid="{00000000-0005-0000-0000-0000149D0000}"/>
    <cellStyle name="Note 4 5 3 6 3 3" xfId="11212" xr:uid="{00000000-0005-0000-0000-0000159D0000}"/>
    <cellStyle name="Note 4 5 3 6 3 4" xfId="15057" xr:uid="{00000000-0005-0000-0000-0000169D0000}"/>
    <cellStyle name="Note 4 5 3 6 3 5" xfId="18899" xr:uid="{00000000-0005-0000-0000-0000179D0000}"/>
    <cellStyle name="Note 4 5 3 6 3 6" xfId="22825" xr:uid="{00000000-0005-0000-0000-0000189D0000}"/>
    <cellStyle name="Note 4 5 3 6 3 7" xfId="26650" xr:uid="{00000000-0005-0000-0000-0000199D0000}"/>
    <cellStyle name="Note 4 5 3 6 3 8" xfId="30525" xr:uid="{00000000-0005-0000-0000-00001A9D0000}"/>
    <cellStyle name="Note 4 5 3 6 3 9" xfId="34184" xr:uid="{00000000-0005-0000-0000-00001B9D0000}"/>
    <cellStyle name="Note 4 5 3 6 4" xfId="4861" xr:uid="{00000000-0005-0000-0000-00001C9D0000}"/>
    <cellStyle name="Note 4 5 3 6 5" xfId="9215" xr:uid="{00000000-0005-0000-0000-00001D9D0000}"/>
    <cellStyle name="Note 4 5 3 6 6" xfId="13056" xr:uid="{00000000-0005-0000-0000-00001E9D0000}"/>
    <cellStyle name="Note 4 5 3 6 7" xfId="16881" xr:uid="{00000000-0005-0000-0000-00001F9D0000}"/>
    <cellStyle name="Note 4 5 3 6 8" xfId="20823" xr:uid="{00000000-0005-0000-0000-0000209D0000}"/>
    <cellStyle name="Note 4 5 3 6 9" xfId="24639" xr:uid="{00000000-0005-0000-0000-0000219D0000}"/>
    <cellStyle name="Note 4 5 3 7" xfId="1293" xr:uid="{00000000-0005-0000-0000-0000229D0000}"/>
    <cellStyle name="Note 4 5 3 7 10" xfId="32580" xr:uid="{00000000-0005-0000-0000-0000239D0000}"/>
    <cellStyle name="Note 4 5 3 7 11" xfId="36350" xr:uid="{00000000-0005-0000-0000-0000249D0000}"/>
    <cellStyle name="Note 4 5 3 7 12" xfId="40341" xr:uid="{00000000-0005-0000-0000-0000259D0000}"/>
    <cellStyle name="Note 4 5 3 7 13" xfId="44172" xr:uid="{00000000-0005-0000-0000-0000269D0000}"/>
    <cellStyle name="Note 4 5 3 7 2" xfId="3283" xr:uid="{00000000-0005-0000-0000-0000279D0000}"/>
    <cellStyle name="Note 4 5 3 7 2 10" xfId="38334" xr:uid="{00000000-0005-0000-0000-0000289D0000}"/>
    <cellStyle name="Note 4 5 3 7 2 11" xfId="42345" xr:uid="{00000000-0005-0000-0000-0000299D0000}"/>
    <cellStyle name="Note 4 5 3 7 2 12" xfId="46110" xr:uid="{00000000-0005-0000-0000-00002A9D0000}"/>
    <cellStyle name="Note 4 5 3 7 2 2" xfId="7150" xr:uid="{00000000-0005-0000-0000-00002B9D0000}"/>
    <cellStyle name="Note 4 5 3 7 2 3" xfId="11585" xr:uid="{00000000-0005-0000-0000-00002C9D0000}"/>
    <cellStyle name="Note 4 5 3 7 2 4" xfId="15430" xr:uid="{00000000-0005-0000-0000-00002D9D0000}"/>
    <cellStyle name="Note 4 5 3 7 2 5" xfId="19277" xr:uid="{00000000-0005-0000-0000-00002E9D0000}"/>
    <cellStyle name="Note 4 5 3 7 2 6" xfId="23193" xr:uid="{00000000-0005-0000-0000-00002F9D0000}"/>
    <cellStyle name="Note 4 5 3 7 2 7" xfId="27027" xr:uid="{00000000-0005-0000-0000-0000309D0000}"/>
    <cellStyle name="Note 4 5 3 7 2 8" xfId="30896" xr:uid="{00000000-0005-0000-0000-0000319D0000}"/>
    <cellStyle name="Note 4 5 3 7 2 9" xfId="34548" xr:uid="{00000000-0005-0000-0000-0000329D0000}"/>
    <cellStyle name="Note 4 5 3 7 3" xfId="5226" xr:uid="{00000000-0005-0000-0000-0000339D0000}"/>
    <cellStyle name="Note 4 5 3 7 4" xfId="9584" xr:uid="{00000000-0005-0000-0000-0000349D0000}"/>
    <cellStyle name="Note 4 5 3 7 5" xfId="13430" xr:uid="{00000000-0005-0000-0000-0000359D0000}"/>
    <cellStyle name="Note 4 5 3 7 6" xfId="17259" xr:uid="{00000000-0005-0000-0000-0000369D0000}"/>
    <cellStyle name="Note 4 5 3 7 7" xfId="21198" xr:uid="{00000000-0005-0000-0000-0000379D0000}"/>
    <cellStyle name="Note 4 5 3 7 8" xfId="25011" xr:uid="{00000000-0005-0000-0000-0000389D0000}"/>
    <cellStyle name="Note 4 5 3 7 9" xfId="28898" xr:uid="{00000000-0005-0000-0000-0000399D0000}"/>
    <cellStyle name="Note 4 5 3 8" xfId="1988" xr:uid="{00000000-0005-0000-0000-00003A9D0000}"/>
    <cellStyle name="Note 4 5 3 8 10" xfId="33275" xr:uid="{00000000-0005-0000-0000-00003B9D0000}"/>
    <cellStyle name="Note 4 5 3 8 11" xfId="37044" xr:uid="{00000000-0005-0000-0000-00003C9D0000}"/>
    <cellStyle name="Note 4 5 3 8 12" xfId="41036" xr:uid="{00000000-0005-0000-0000-00003D9D0000}"/>
    <cellStyle name="Note 4 5 3 8 13" xfId="44866" xr:uid="{00000000-0005-0000-0000-00003E9D0000}"/>
    <cellStyle name="Note 4 5 3 8 2" xfId="3977" xr:uid="{00000000-0005-0000-0000-00003F9D0000}"/>
    <cellStyle name="Note 4 5 3 8 2 10" xfId="39028" xr:uid="{00000000-0005-0000-0000-0000409D0000}"/>
    <cellStyle name="Note 4 5 3 8 2 11" xfId="43039" xr:uid="{00000000-0005-0000-0000-0000419D0000}"/>
    <cellStyle name="Note 4 5 3 8 2 12" xfId="46804" xr:uid="{00000000-0005-0000-0000-0000429D0000}"/>
    <cellStyle name="Note 4 5 3 8 2 2" xfId="7844" xr:uid="{00000000-0005-0000-0000-0000439D0000}"/>
    <cellStyle name="Note 4 5 3 8 2 3" xfId="12279" xr:uid="{00000000-0005-0000-0000-0000449D0000}"/>
    <cellStyle name="Note 4 5 3 8 2 4" xfId="16124" xr:uid="{00000000-0005-0000-0000-0000459D0000}"/>
    <cellStyle name="Note 4 5 3 8 2 5" xfId="19971" xr:uid="{00000000-0005-0000-0000-0000469D0000}"/>
    <cellStyle name="Note 4 5 3 8 2 6" xfId="23887" xr:uid="{00000000-0005-0000-0000-0000479D0000}"/>
    <cellStyle name="Note 4 5 3 8 2 7" xfId="27721" xr:uid="{00000000-0005-0000-0000-0000489D0000}"/>
    <cellStyle name="Note 4 5 3 8 2 8" xfId="31581" xr:uid="{00000000-0005-0000-0000-0000499D0000}"/>
    <cellStyle name="Note 4 5 3 8 2 9" xfId="35242" xr:uid="{00000000-0005-0000-0000-00004A9D0000}"/>
    <cellStyle name="Note 4 5 3 8 3" xfId="5920" xr:uid="{00000000-0005-0000-0000-00004B9D0000}"/>
    <cellStyle name="Note 4 5 3 8 4" xfId="10278" xr:uid="{00000000-0005-0000-0000-00004C9D0000}"/>
    <cellStyle name="Note 4 5 3 8 5" xfId="14125" xr:uid="{00000000-0005-0000-0000-00004D9D0000}"/>
    <cellStyle name="Note 4 5 3 8 6" xfId="17954" xr:uid="{00000000-0005-0000-0000-00004E9D0000}"/>
    <cellStyle name="Note 4 5 3 8 7" xfId="21893" xr:uid="{00000000-0005-0000-0000-00004F9D0000}"/>
    <cellStyle name="Note 4 5 3 8 8" xfId="25706" xr:uid="{00000000-0005-0000-0000-0000509D0000}"/>
    <cellStyle name="Note 4 5 3 8 9" xfId="29593" xr:uid="{00000000-0005-0000-0000-0000519D0000}"/>
    <cellStyle name="Note 4 5 3 9" xfId="2035" xr:uid="{00000000-0005-0000-0000-0000529D0000}"/>
    <cellStyle name="Note 4 5 3 9 10" xfId="33319" xr:uid="{00000000-0005-0000-0000-0000539D0000}"/>
    <cellStyle name="Note 4 5 3 9 11" xfId="37091" xr:uid="{00000000-0005-0000-0000-0000549D0000}"/>
    <cellStyle name="Note 4 5 3 9 12" xfId="41081" xr:uid="{00000000-0005-0000-0000-0000559D0000}"/>
    <cellStyle name="Note 4 5 3 9 13" xfId="44910" xr:uid="{00000000-0005-0000-0000-0000569D0000}"/>
    <cellStyle name="Note 4 5 3 9 2" xfId="4024" xr:uid="{00000000-0005-0000-0000-0000579D0000}"/>
    <cellStyle name="Note 4 5 3 9 2 10" xfId="39075" xr:uid="{00000000-0005-0000-0000-0000589D0000}"/>
    <cellStyle name="Note 4 5 3 9 2 11" xfId="43085" xr:uid="{00000000-0005-0000-0000-0000599D0000}"/>
    <cellStyle name="Note 4 5 3 9 2 12" xfId="46848" xr:uid="{00000000-0005-0000-0000-00005A9D0000}"/>
    <cellStyle name="Note 4 5 3 9 2 2" xfId="7889" xr:uid="{00000000-0005-0000-0000-00005B9D0000}"/>
    <cellStyle name="Note 4 5 3 9 2 3" xfId="12324" xr:uid="{00000000-0005-0000-0000-00005C9D0000}"/>
    <cellStyle name="Note 4 5 3 9 2 4" xfId="16170" xr:uid="{00000000-0005-0000-0000-00005D9D0000}"/>
    <cellStyle name="Note 4 5 3 9 2 5" xfId="20018" xr:uid="{00000000-0005-0000-0000-00005E9D0000}"/>
    <cellStyle name="Note 4 5 3 9 2 6" xfId="23933" xr:uid="{00000000-0005-0000-0000-00005F9D0000}"/>
    <cellStyle name="Note 4 5 3 9 2 7" xfId="27768" xr:uid="{00000000-0005-0000-0000-0000609D0000}"/>
    <cellStyle name="Note 4 5 3 9 2 8" xfId="31627" xr:uid="{00000000-0005-0000-0000-0000619D0000}"/>
    <cellStyle name="Note 4 5 3 9 2 9" xfId="35286" xr:uid="{00000000-0005-0000-0000-0000629D0000}"/>
    <cellStyle name="Note 4 5 3 9 3" xfId="5965" xr:uid="{00000000-0005-0000-0000-0000639D0000}"/>
    <cellStyle name="Note 4 5 3 9 4" xfId="10323" xr:uid="{00000000-0005-0000-0000-0000649D0000}"/>
    <cellStyle name="Note 4 5 3 9 5" xfId="14171" xr:uid="{00000000-0005-0000-0000-0000659D0000}"/>
    <cellStyle name="Note 4 5 3 9 6" xfId="18001" xr:uid="{00000000-0005-0000-0000-0000669D0000}"/>
    <cellStyle name="Note 4 5 3 9 7" xfId="21939" xr:uid="{00000000-0005-0000-0000-0000679D0000}"/>
    <cellStyle name="Note 4 5 3 9 8" xfId="25753" xr:uid="{00000000-0005-0000-0000-0000689D0000}"/>
    <cellStyle name="Note 4 5 3 9 9" xfId="29639" xr:uid="{00000000-0005-0000-0000-0000699D0000}"/>
    <cellStyle name="Note 4 5 30" xfId="47431" xr:uid="{00000000-0005-0000-0000-00006A9D0000}"/>
    <cellStyle name="Note 4 5 31" xfId="47390" xr:uid="{00000000-0005-0000-0000-00006B9D0000}"/>
    <cellStyle name="Note 4 5 4" xfId="668" xr:uid="{00000000-0005-0000-0000-00006C9D0000}"/>
    <cellStyle name="Note 4 5 4 10" xfId="24402" xr:uid="{00000000-0005-0000-0000-00006D9D0000}"/>
    <cellStyle name="Note 4 5 4 11" xfId="28295" xr:uid="{00000000-0005-0000-0000-00006E9D0000}"/>
    <cellStyle name="Note 4 5 4 12" xfId="30566" xr:uid="{00000000-0005-0000-0000-00006F9D0000}"/>
    <cellStyle name="Note 4 5 4 13" xfId="29686" xr:uid="{00000000-0005-0000-0000-0000709D0000}"/>
    <cellStyle name="Note 4 5 4 14" xfId="39762" xr:uid="{00000000-0005-0000-0000-0000719D0000}"/>
    <cellStyle name="Note 4 5 4 15" xfId="43565" xr:uid="{00000000-0005-0000-0000-0000729D0000}"/>
    <cellStyle name="Note 4 5 4 2" xfId="1048" xr:uid="{00000000-0005-0000-0000-0000739D0000}"/>
    <cellStyle name="Note 4 5 4 2 10" xfId="28659" xr:uid="{00000000-0005-0000-0000-0000749D0000}"/>
    <cellStyle name="Note 4 5 4 2 11" xfId="32345" xr:uid="{00000000-0005-0000-0000-0000759D0000}"/>
    <cellStyle name="Note 4 5 4 2 12" xfId="36106" xr:uid="{00000000-0005-0000-0000-0000769D0000}"/>
    <cellStyle name="Note 4 5 4 2 13" xfId="40109" xr:uid="{00000000-0005-0000-0000-0000779D0000}"/>
    <cellStyle name="Note 4 5 4 2 14" xfId="43932" xr:uid="{00000000-0005-0000-0000-0000789D0000}"/>
    <cellStyle name="Note 4 5 4 2 2" xfId="1775" xr:uid="{00000000-0005-0000-0000-0000799D0000}"/>
    <cellStyle name="Note 4 5 4 2 2 10" xfId="33062" xr:uid="{00000000-0005-0000-0000-00007A9D0000}"/>
    <cellStyle name="Note 4 5 4 2 2 11" xfId="36832" xr:uid="{00000000-0005-0000-0000-00007B9D0000}"/>
    <cellStyle name="Note 4 5 4 2 2 12" xfId="40823" xr:uid="{00000000-0005-0000-0000-00007C9D0000}"/>
    <cellStyle name="Note 4 5 4 2 2 13" xfId="44654" xr:uid="{00000000-0005-0000-0000-00007D9D0000}"/>
    <cellStyle name="Note 4 5 4 2 2 2" xfId="3765" xr:uid="{00000000-0005-0000-0000-00007E9D0000}"/>
    <cellStyle name="Note 4 5 4 2 2 2 10" xfId="38816" xr:uid="{00000000-0005-0000-0000-00007F9D0000}"/>
    <cellStyle name="Note 4 5 4 2 2 2 11" xfId="42827" xr:uid="{00000000-0005-0000-0000-0000809D0000}"/>
    <cellStyle name="Note 4 5 4 2 2 2 12" xfId="46592" xr:uid="{00000000-0005-0000-0000-0000819D0000}"/>
    <cellStyle name="Note 4 5 4 2 2 2 2" xfId="7632" xr:uid="{00000000-0005-0000-0000-0000829D0000}"/>
    <cellStyle name="Note 4 5 4 2 2 2 3" xfId="12067" xr:uid="{00000000-0005-0000-0000-0000839D0000}"/>
    <cellStyle name="Note 4 5 4 2 2 2 4" xfId="15912" xr:uid="{00000000-0005-0000-0000-0000849D0000}"/>
    <cellStyle name="Note 4 5 4 2 2 2 5" xfId="19759" xr:uid="{00000000-0005-0000-0000-0000859D0000}"/>
    <cellStyle name="Note 4 5 4 2 2 2 6" xfId="23675" xr:uid="{00000000-0005-0000-0000-0000869D0000}"/>
    <cellStyle name="Note 4 5 4 2 2 2 7" xfId="27509" xr:uid="{00000000-0005-0000-0000-0000879D0000}"/>
    <cellStyle name="Note 4 5 4 2 2 2 8" xfId="31373" xr:uid="{00000000-0005-0000-0000-0000889D0000}"/>
    <cellStyle name="Note 4 5 4 2 2 2 9" xfId="35030" xr:uid="{00000000-0005-0000-0000-0000899D0000}"/>
    <cellStyle name="Note 4 5 4 2 2 3" xfId="5708" xr:uid="{00000000-0005-0000-0000-00008A9D0000}"/>
    <cellStyle name="Note 4 5 4 2 2 4" xfId="10066" xr:uid="{00000000-0005-0000-0000-00008B9D0000}"/>
    <cellStyle name="Note 4 5 4 2 2 5" xfId="13912" xr:uid="{00000000-0005-0000-0000-00008C9D0000}"/>
    <cellStyle name="Note 4 5 4 2 2 6" xfId="17741" xr:uid="{00000000-0005-0000-0000-00008D9D0000}"/>
    <cellStyle name="Note 4 5 4 2 2 7" xfId="21680" xr:uid="{00000000-0005-0000-0000-00008E9D0000}"/>
    <cellStyle name="Note 4 5 4 2 2 8" xfId="25493" xr:uid="{00000000-0005-0000-0000-00008F9D0000}"/>
    <cellStyle name="Note 4 5 4 2 2 9" xfId="29380" xr:uid="{00000000-0005-0000-0000-0000909D0000}"/>
    <cellStyle name="Note 4 5 4 2 3" xfId="3038" xr:uid="{00000000-0005-0000-0000-0000919D0000}"/>
    <cellStyle name="Note 4 5 4 2 3 10" xfId="38090" xr:uid="{00000000-0005-0000-0000-0000929D0000}"/>
    <cellStyle name="Note 4 5 4 2 3 11" xfId="42102" xr:uid="{00000000-0005-0000-0000-0000939D0000}"/>
    <cellStyle name="Note 4 5 4 2 3 12" xfId="45875" xr:uid="{00000000-0005-0000-0000-0000949D0000}"/>
    <cellStyle name="Note 4 5 4 2 3 2" xfId="6914" xr:uid="{00000000-0005-0000-0000-0000959D0000}"/>
    <cellStyle name="Note 4 5 4 2 3 3" xfId="11343" xr:uid="{00000000-0005-0000-0000-0000969D0000}"/>
    <cellStyle name="Note 4 5 4 2 3 4" xfId="15187" xr:uid="{00000000-0005-0000-0000-0000979D0000}"/>
    <cellStyle name="Note 4 5 4 2 3 5" xfId="19032" xr:uid="{00000000-0005-0000-0000-0000989D0000}"/>
    <cellStyle name="Note 4 5 4 2 3 6" xfId="22954" xr:uid="{00000000-0005-0000-0000-0000999D0000}"/>
    <cellStyle name="Note 4 5 4 2 3 7" xfId="26783" xr:uid="{00000000-0005-0000-0000-00009A9D0000}"/>
    <cellStyle name="Note 4 5 4 2 3 8" xfId="30657" xr:uid="{00000000-0005-0000-0000-00009B9D0000}"/>
    <cellStyle name="Note 4 5 4 2 3 9" xfId="34313" xr:uid="{00000000-0005-0000-0000-00009C9D0000}"/>
    <cellStyle name="Note 4 5 4 2 4" xfId="4990" xr:uid="{00000000-0005-0000-0000-00009D9D0000}"/>
    <cellStyle name="Note 4 5 4 2 5" xfId="9346" xr:uid="{00000000-0005-0000-0000-00009E9D0000}"/>
    <cellStyle name="Note 4 5 4 2 6" xfId="13186" xr:uid="{00000000-0005-0000-0000-00009F9D0000}"/>
    <cellStyle name="Note 4 5 4 2 7" xfId="17014" xr:uid="{00000000-0005-0000-0000-0000A09D0000}"/>
    <cellStyle name="Note 4 5 4 2 8" xfId="20956" xr:uid="{00000000-0005-0000-0000-0000A19D0000}"/>
    <cellStyle name="Note 4 5 4 2 9" xfId="24770" xr:uid="{00000000-0005-0000-0000-0000A29D0000}"/>
    <cellStyle name="Note 4 5 4 3" xfId="1422" xr:uid="{00000000-0005-0000-0000-0000A39D0000}"/>
    <cellStyle name="Note 4 5 4 3 10" xfId="32709" xr:uid="{00000000-0005-0000-0000-0000A49D0000}"/>
    <cellStyle name="Note 4 5 4 3 11" xfId="36479" xr:uid="{00000000-0005-0000-0000-0000A59D0000}"/>
    <cellStyle name="Note 4 5 4 3 12" xfId="40470" xr:uid="{00000000-0005-0000-0000-0000A69D0000}"/>
    <cellStyle name="Note 4 5 4 3 13" xfId="44301" xr:uid="{00000000-0005-0000-0000-0000A79D0000}"/>
    <cellStyle name="Note 4 5 4 3 2" xfId="3412" xr:uid="{00000000-0005-0000-0000-0000A89D0000}"/>
    <cellStyle name="Note 4 5 4 3 2 10" xfId="38463" xr:uid="{00000000-0005-0000-0000-0000A99D0000}"/>
    <cellStyle name="Note 4 5 4 3 2 11" xfId="42474" xr:uid="{00000000-0005-0000-0000-0000AA9D0000}"/>
    <cellStyle name="Note 4 5 4 3 2 12" xfId="46239" xr:uid="{00000000-0005-0000-0000-0000AB9D0000}"/>
    <cellStyle name="Note 4 5 4 3 2 2" xfId="7279" xr:uid="{00000000-0005-0000-0000-0000AC9D0000}"/>
    <cellStyle name="Note 4 5 4 3 2 3" xfId="11714" xr:uid="{00000000-0005-0000-0000-0000AD9D0000}"/>
    <cellStyle name="Note 4 5 4 3 2 4" xfId="15559" xr:uid="{00000000-0005-0000-0000-0000AE9D0000}"/>
    <cellStyle name="Note 4 5 4 3 2 5" xfId="19406" xr:uid="{00000000-0005-0000-0000-0000AF9D0000}"/>
    <cellStyle name="Note 4 5 4 3 2 6" xfId="23322" xr:uid="{00000000-0005-0000-0000-0000B09D0000}"/>
    <cellStyle name="Note 4 5 4 3 2 7" xfId="27156" xr:uid="{00000000-0005-0000-0000-0000B19D0000}"/>
    <cellStyle name="Note 4 5 4 3 2 8" xfId="31024" xr:uid="{00000000-0005-0000-0000-0000B29D0000}"/>
    <cellStyle name="Note 4 5 4 3 2 9" xfId="34677" xr:uid="{00000000-0005-0000-0000-0000B39D0000}"/>
    <cellStyle name="Note 4 5 4 3 3" xfId="5355" xr:uid="{00000000-0005-0000-0000-0000B49D0000}"/>
    <cellStyle name="Note 4 5 4 3 4" xfId="9713" xr:uid="{00000000-0005-0000-0000-0000B59D0000}"/>
    <cellStyle name="Note 4 5 4 3 5" xfId="13559" xr:uid="{00000000-0005-0000-0000-0000B69D0000}"/>
    <cellStyle name="Note 4 5 4 3 6" xfId="17388" xr:uid="{00000000-0005-0000-0000-0000B79D0000}"/>
    <cellStyle name="Note 4 5 4 3 7" xfId="21327" xr:uid="{00000000-0005-0000-0000-0000B89D0000}"/>
    <cellStyle name="Note 4 5 4 3 8" xfId="25140" xr:uid="{00000000-0005-0000-0000-0000B99D0000}"/>
    <cellStyle name="Note 4 5 4 3 9" xfId="29027" xr:uid="{00000000-0005-0000-0000-0000BA9D0000}"/>
    <cellStyle name="Note 4 5 4 4" xfId="2671" xr:uid="{00000000-0005-0000-0000-0000BB9D0000}"/>
    <cellStyle name="Note 4 5 4 4 10" xfId="37723" xr:uid="{00000000-0005-0000-0000-0000BC9D0000}"/>
    <cellStyle name="Note 4 5 4 4 11" xfId="41737" xr:uid="{00000000-0005-0000-0000-0000BD9D0000}"/>
    <cellStyle name="Note 4 5 4 4 12" xfId="45522" xr:uid="{00000000-0005-0000-0000-0000BE9D0000}"/>
    <cellStyle name="Note 4 5 4 4 2" xfId="6559" xr:uid="{00000000-0005-0000-0000-0000BF9D0000}"/>
    <cellStyle name="Note 4 5 4 4 3" xfId="10983" xr:uid="{00000000-0005-0000-0000-0000C09D0000}"/>
    <cellStyle name="Note 4 5 4 4 4" xfId="14827" xr:uid="{00000000-0005-0000-0000-0000C19D0000}"/>
    <cellStyle name="Note 4 5 4 4 5" xfId="18665" xr:uid="{00000000-0005-0000-0000-0000C29D0000}"/>
    <cellStyle name="Note 4 5 4 4 6" xfId="22596" xr:uid="{00000000-0005-0000-0000-0000C39D0000}"/>
    <cellStyle name="Note 4 5 4 4 7" xfId="26416" xr:uid="{00000000-0005-0000-0000-0000C49D0000}"/>
    <cellStyle name="Note 4 5 4 4 8" xfId="30295" xr:uid="{00000000-0005-0000-0000-0000C59D0000}"/>
    <cellStyle name="Note 4 5 4 4 9" xfId="33960" xr:uid="{00000000-0005-0000-0000-0000C69D0000}"/>
    <cellStyle name="Note 4 5 4 5" xfId="4635" xr:uid="{00000000-0005-0000-0000-0000C79D0000}"/>
    <cellStyle name="Note 4 5 4 6" xfId="8977" xr:uid="{00000000-0005-0000-0000-0000C89D0000}"/>
    <cellStyle name="Note 4 5 4 7" xfId="12814" xr:uid="{00000000-0005-0000-0000-0000C99D0000}"/>
    <cellStyle name="Note 4 5 4 8" xfId="16644" xr:uid="{00000000-0005-0000-0000-0000CA9D0000}"/>
    <cellStyle name="Note 4 5 4 9" xfId="20581" xr:uid="{00000000-0005-0000-0000-0000CB9D0000}"/>
    <cellStyle name="Note 4 5 5" xfId="605" xr:uid="{00000000-0005-0000-0000-0000CC9D0000}"/>
    <cellStyle name="Note 4 5 5 10" xfId="8784" xr:uid="{00000000-0005-0000-0000-0000CD9D0000}"/>
    <cellStyle name="Note 4 5 5 11" xfId="21990" xr:uid="{00000000-0005-0000-0000-0000CE9D0000}"/>
    <cellStyle name="Note 4 5 5 12" xfId="28526" xr:uid="{00000000-0005-0000-0000-0000CF9D0000}"/>
    <cellStyle name="Note 4 5 5 13" xfId="8427" xr:uid="{00000000-0005-0000-0000-0000D09D0000}"/>
    <cellStyle name="Note 4 5 5 14" xfId="39700" xr:uid="{00000000-0005-0000-0000-0000D19D0000}"/>
    <cellStyle name="Note 4 5 5 15" xfId="39574" xr:uid="{00000000-0005-0000-0000-0000D29D0000}"/>
    <cellStyle name="Note 4 5 5 2" xfId="985" xr:uid="{00000000-0005-0000-0000-0000D39D0000}"/>
    <cellStyle name="Note 4 5 5 2 10" xfId="28596" xr:uid="{00000000-0005-0000-0000-0000D49D0000}"/>
    <cellStyle name="Note 4 5 5 2 11" xfId="32284" xr:uid="{00000000-0005-0000-0000-0000D59D0000}"/>
    <cellStyle name="Note 4 5 5 2 12" xfId="36043" xr:uid="{00000000-0005-0000-0000-0000D69D0000}"/>
    <cellStyle name="Note 4 5 5 2 13" xfId="40048" xr:uid="{00000000-0005-0000-0000-0000D79D0000}"/>
    <cellStyle name="Note 4 5 5 2 14" xfId="43869" xr:uid="{00000000-0005-0000-0000-0000D89D0000}"/>
    <cellStyle name="Note 4 5 5 2 2" xfId="1714" xr:uid="{00000000-0005-0000-0000-0000D99D0000}"/>
    <cellStyle name="Note 4 5 5 2 2 10" xfId="33001" xr:uid="{00000000-0005-0000-0000-0000DA9D0000}"/>
    <cellStyle name="Note 4 5 5 2 2 11" xfId="36771" xr:uid="{00000000-0005-0000-0000-0000DB9D0000}"/>
    <cellStyle name="Note 4 5 5 2 2 12" xfId="40762" xr:uid="{00000000-0005-0000-0000-0000DC9D0000}"/>
    <cellStyle name="Note 4 5 5 2 2 13" xfId="44593" xr:uid="{00000000-0005-0000-0000-0000DD9D0000}"/>
    <cellStyle name="Note 4 5 5 2 2 2" xfId="3704" xr:uid="{00000000-0005-0000-0000-0000DE9D0000}"/>
    <cellStyle name="Note 4 5 5 2 2 2 10" xfId="38755" xr:uid="{00000000-0005-0000-0000-0000DF9D0000}"/>
    <cellStyle name="Note 4 5 5 2 2 2 11" xfId="42766" xr:uid="{00000000-0005-0000-0000-0000E09D0000}"/>
    <cellStyle name="Note 4 5 5 2 2 2 12" xfId="46531" xr:uid="{00000000-0005-0000-0000-0000E19D0000}"/>
    <cellStyle name="Note 4 5 5 2 2 2 2" xfId="7571" xr:uid="{00000000-0005-0000-0000-0000E29D0000}"/>
    <cellStyle name="Note 4 5 5 2 2 2 3" xfId="12006" xr:uid="{00000000-0005-0000-0000-0000E39D0000}"/>
    <cellStyle name="Note 4 5 5 2 2 2 4" xfId="15851" xr:uid="{00000000-0005-0000-0000-0000E49D0000}"/>
    <cellStyle name="Note 4 5 5 2 2 2 5" xfId="19698" xr:uid="{00000000-0005-0000-0000-0000E59D0000}"/>
    <cellStyle name="Note 4 5 5 2 2 2 6" xfId="23614" xr:uid="{00000000-0005-0000-0000-0000E69D0000}"/>
    <cellStyle name="Note 4 5 5 2 2 2 7" xfId="27448" xr:uid="{00000000-0005-0000-0000-0000E79D0000}"/>
    <cellStyle name="Note 4 5 5 2 2 2 8" xfId="31312" xr:uid="{00000000-0005-0000-0000-0000E89D0000}"/>
    <cellStyle name="Note 4 5 5 2 2 2 9" xfId="34969" xr:uid="{00000000-0005-0000-0000-0000E99D0000}"/>
    <cellStyle name="Note 4 5 5 2 2 3" xfId="5647" xr:uid="{00000000-0005-0000-0000-0000EA9D0000}"/>
    <cellStyle name="Note 4 5 5 2 2 4" xfId="10005" xr:uid="{00000000-0005-0000-0000-0000EB9D0000}"/>
    <cellStyle name="Note 4 5 5 2 2 5" xfId="13851" xr:uid="{00000000-0005-0000-0000-0000EC9D0000}"/>
    <cellStyle name="Note 4 5 5 2 2 6" xfId="17680" xr:uid="{00000000-0005-0000-0000-0000ED9D0000}"/>
    <cellStyle name="Note 4 5 5 2 2 7" xfId="21619" xr:uid="{00000000-0005-0000-0000-0000EE9D0000}"/>
    <cellStyle name="Note 4 5 5 2 2 8" xfId="25432" xr:uid="{00000000-0005-0000-0000-0000EF9D0000}"/>
    <cellStyle name="Note 4 5 5 2 2 9" xfId="29319" xr:uid="{00000000-0005-0000-0000-0000F09D0000}"/>
    <cellStyle name="Note 4 5 5 2 3" xfId="2975" xr:uid="{00000000-0005-0000-0000-0000F19D0000}"/>
    <cellStyle name="Note 4 5 5 2 3 10" xfId="38027" xr:uid="{00000000-0005-0000-0000-0000F29D0000}"/>
    <cellStyle name="Note 4 5 5 2 3 11" xfId="42039" xr:uid="{00000000-0005-0000-0000-0000F39D0000}"/>
    <cellStyle name="Note 4 5 5 2 3 12" xfId="45814" xr:uid="{00000000-0005-0000-0000-0000F49D0000}"/>
    <cellStyle name="Note 4 5 5 2 3 2" xfId="6853" xr:uid="{00000000-0005-0000-0000-0000F59D0000}"/>
    <cellStyle name="Note 4 5 5 2 3 3" xfId="11281" xr:uid="{00000000-0005-0000-0000-0000F69D0000}"/>
    <cellStyle name="Note 4 5 5 2 3 4" xfId="15126" xr:uid="{00000000-0005-0000-0000-0000F79D0000}"/>
    <cellStyle name="Note 4 5 5 2 3 5" xfId="18969" xr:uid="{00000000-0005-0000-0000-0000F89D0000}"/>
    <cellStyle name="Note 4 5 5 2 3 6" xfId="22893" xr:uid="{00000000-0005-0000-0000-0000F99D0000}"/>
    <cellStyle name="Note 4 5 5 2 3 7" xfId="26720" xr:uid="{00000000-0005-0000-0000-0000FA9D0000}"/>
    <cellStyle name="Note 4 5 5 2 3 8" xfId="30594" xr:uid="{00000000-0005-0000-0000-0000FB9D0000}"/>
    <cellStyle name="Note 4 5 5 2 3 9" xfId="34252" xr:uid="{00000000-0005-0000-0000-0000FC9D0000}"/>
    <cellStyle name="Note 4 5 5 2 4" xfId="4929" xr:uid="{00000000-0005-0000-0000-0000FD9D0000}"/>
    <cellStyle name="Note 4 5 5 2 5" xfId="9284" xr:uid="{00000000-0005-0000-0000-0000FE9D0000}"/>
    <cellStyle name="Note 4 5 5 2 6" xfId="13125" xr:uid="{00000000-0005-0000-0000-0000FF9D0000}"/>
    <cellStyle name="Note 4 5 5 2 7" xfId="16951" xr:uid="{00000000-0005-0000-0000-0000009E0000}"/>
    <cellStyle name="Note 4 5 5 2 8" xfId="20893" xr:uid="{00000000-0005-0000-0000-0000019E0000}"/>
    <cellStyle name="Note 4 5 5 2 9" xfId="24708" xr:uid="{00000000-0005-0000-0000-0000029E0000}"/>
    <cellStyle name="Note 4 5 5 3" xfId="1361" xr:uid="{00000000-0005-0000-0000-0000039E0000}"/>
    <cellStyle name="Note 4 5 5 3 10" xfId="32648" xr:uid="{00000000-0005-0000-0000-0000049E0000}"/>
    <cellStyle name="Note 4 5 5 3 11" xfId="36418" xr:uid="{00000000-0005-0000-0000-0000059E0000}"/>
    <cellStyle name="Note 4 5 5 3 12" xfId="40409" xr:uid="{00000000-0005-0000-0000-0000069E0000}"/>
    <cellStyle name="Note 4 5 5 3 13" xfId="44240" xr:uid="{00000000-0005-0000-0000-0000079E0000}"/>
    <cellStyle name="Note 4 5 5 3 2" xfId="3351" xr:uid="{00000000-0005-0000-0000-0000089E0000}"/>
    <cellStyle name="Note 4 5 5 3 2 10" xfId="38402" xr:uid="{00000000-0005-0000-0000-0000099E0000}"/>
    <cellStyle name="Note 4 5 5 3 2 11" xfId="42413" xr:uid="{00000000-0005-0000-0000-00000A9E0000}"/>
    <cellStyle name="Note 4 5 5 3 2 12" xfId="46178" xr:uid="{00000000-0005-0000-0000-00000B9E0000}"/>
    <cellStyle name="Note 4 5 5 3 2 2" xfId="7218" xr:uid="{00000000-0005-0000-0000-00000C9E0000}"/>
    <cellStyle name="Note 4 5 5 3 2 3" xfId="11653" xr:uid="{00000000-0005-0000-0000-00000D9E0000}"/>
    <cellStyle name="Note 4 5 5 3 2 4" xfId="15498" xr:uid="{00000000-0005-0000-0000-00000E9E0000}"/>
    <cellStyle name="Note 4 5 5 3 2 5" xfId="19345" xr:uid="{00000000-0005-0000-0000-00000F9E0000}"/>
    <cellStyle name="Note 4 5 5 3 2 6" xfId="23261" xr:uid="{00000000-0005-0000-0000-0000109E0000}"/>
    <cellStyle name="Note 4 5 5 3 2 7" xfId="27095" xr:uid="{00000000-0005-0000-0000-0000119E0000}"/>
    <cellStyle name="Note 4 5 5 3 2 8" xfId="30963" xr:uid="{00000000-0005-0000-0000-0000129E0000}"/>
    <cellStyle name="Note 4 5 5 3 2 9" xfId="34616" xr:uid="{00000000-0005-0000-0000-0000139E0000}"/>
    <cellStyle name="Note 4 5 5 3 3" xfId="5294" xr:uid="{00000000-0005-0000-0000-0000149E0000}"/>
    <cellStyle name="Note 4 5 5 3 4" xfId="9652" xr:uid="{00000000-0005-0000-0000-0000159E0000}"/>
    <cellStyle name="Note 4 5 5 3 5" xfId="13498" xr:uid="{00000000-0005-0000-0000-0000169E0000}"/>
    <cellStyle name="Note 4 5 5 3 6" xfId="17327" xr:uid="{00000000-0005-0000-0000-0000179E0000}"/>
    <cellStyle name="Note 4 5 5 3 7" xfId="21266" xr:uid="{00000000-0005-0000-0000-0000189E0000}"/>
    <cellStyle name="Note 4 5 5 3 8" xfId="25079" xr:uid="{00000000-0005-0000-0000-0000199E0000}"/>
    <cellStyle name="Note 4 5 5 3 9" xfId="28966" xr:uid="{00000000-0005-0000-0000-00001A9E0000}"/>
    <cellStyle name="Note 4 5 5 4" xfId="2608" xr:uid="{00000000-0005-0000-0000-00001B9E0000}"/>
    <cellStyle name="Note 4 5 5 4 10" xfId="37660" xr:uid="{00000000-0005-0000-0000-00001C9E0000}"/>
    <cellStyle name="Note 4 5 5 4 11" xfId="41674" xr:uid="{00000000-0005-0000-0000-00001D9E0000}"/>
    <cellStyle name="Note 4 5 5 4 12" xfId="45461" xr:uid="{00000000-0005-0000-0000-00001E9E0000}"/>
    <cellStyle name="Note 4 5 5 4 2" xfId="6498" xr:uid="{00000000-0005-0000-0000-00001F9E0000}"/>
    <cellStyle name="Note 4 5 5 4 3" xfId="10922" xr:uid="{00000000-0005-0000-0000-0000209E0000}"/>
    <cellStyle name="Note 4 5 5 4 4" xfId="14766" xr:uid="{00000000-0005-0000-0000-0000219E0000}"/>
    <cellStyle name="Note 4 5 5 4 5" xfId="18602" xr:uid="{00000000-0005-0000-0000-0000229E0000}"/>
    <cellStyle name="Note 4 5 5 4 6" xfId="22535" xr:uid="{00000000-0005-0000-0000-0000239E0000}"/>
    <cellStyle name="Note 4 5 5 4 7" xfId="26353" xr:uid="{00000000-0005-0000-0000-0000249E0000}"/>
    <cellStyle name="Note 4 5 5 4 8" xfId="30232" xr:uid="{00000000-0005-0000-0000-0000259E0000}"/>
    <cellStyle name="Note 4 5 5 4 9" xfId="33899" xr:uid="{00000000-0005-0000-0000-0000269E0000}"/>
    <cellStyle name="Note 4 5 5 5" xfId="4574" xr:uid="{00000000-0005-0000-0000-0000279E0000}"/>
    <cellStyle name="Note 4 5 5 6" xfId="8914" xr:uid="{00000000-0005-0000-0000-0000289E0000}"/>
    <cellStyle name="Note 4 5 5 7" xfId="8543" xr:uid="{00000000-0005-0000-0000-0000299E0000}"/>
    <cellStyle name="Note 4 5 5 8" xfId="8826" xr:uid="{00000000-0005-0000-0000-00002A9E0000}"/>
    <cellStyle name="Note 4 5 5 9" xfId="20518" xr:uid="{00000000-0005-0000-0000-00002B9E0000}"/>
    <cellStyle name="Note 4 5 6" xfId="740" xr:uid="{00000000-0005-0000-0000-00002C9E0000}"/>
    <cellStyle name="Note 4 5 6 10" xfId="24473" xr:uid="{00000000-0005-0000-0000-00002D9E0000}"/>
    <cellStyle name="Note 4 5 6 11" xfId="28365" xr:uid="{00000000-0005-0000-0000-00002E9E0000}"/>
    <cellStyle name="Note 4 5 6 12" xfId="14926" xr:uid="{00000000-0005-0000-0000-00002F9E0000}"/>
    <cellStyle name="Note 4 5 6 13" xfId="35811" xr:uid="{00000000-0005-0000-0000-0000309E0000}"/>
    <cellStyle name="Note 4 5 6 14" xfId="39830" xr:uid="{00000000-0005-0000-0000-0000319E0000}"/>
    <cellStyle name="Note 4 5 6 15" xfId="43637" xr:uid="{00000000-0005-0000-0000-0000329E0000}"/>
    <cellStyle name="Note 4 5 6 2" xfId="1118" xr:uid="{00000000-0005-0000-0000-0000339E0000}"/>
    <cellStyle name="Note 4 5 6 2 10" xfId="28727" xr:uid="{00000000-0005-0000-0000-0000349E0000}"/>
    <cellStyle name="Note 4 5 6 2 11" xfId="32415" xr:uid="{00000000-0005-0000-0000-0000359E0000}"/>
    <cellStyle name="Note 4 5 6 2 12" xfId="36176" xr:uid="{00000000-0005-0000-0000-0000369E0000}"/>
    <cellStyle name="Note 4 5 6 2 13" xfId="40177" xr:uid="{00000000-0005-0000-0000-0000379E0000}"/>
    <cellStyle name="Note 4 5 6 2 14" xfId="44002" xr:uid="{00000000-0005-0000-0000-0000389E0000}"/>
    <cellStyle name="Note 4 5 6 2 2" xfId="1845" xr:uid="{00000000-0005-0000-0000-0000399E0000}"/>
    <cellStyle name="Note 4 5 6 2 2 10" xfId="33132" xr:uid="{00000000-0005-0000-0000-00003A9E0000}"/>
    <cellStyle name="Note 4 5 6 2 2 11" xfId="36902" xr:uid="{00000000-0005-0000-0000-00003B9E0000}"/>
    <cellStyle name="Note 4 5 6 2 2 12" xfId="40893" xr:uid="{00000000-0005-0000-0000-00003C9E0000}"/>
    <cellStyle name="Note 4 5 6 2 2 13" xfId="44724" xr:uid="{00000000-0005-0000-0000-00003D9E0000}"/>
    <cellStyle name="Note 4 5 6 2 2 2" xfId="3835" xr:uid="{00000000-0005-0000-0000-00003E9E0000}"/>
    <cellStyle name="Note 4 5 6 2 2 2 10" xfId="38886" xr:uid="{00000000-0005-0000-0000-00003F9E0000}"/>
    <cellStyle name="Note 4 5 6 2 2 2 11" xfId="42897" xr:uid="{00000000-0005-0000-0000-0000409E0000}"/>
    <cellStyle name="Note 4 5 6 2 2 2 12" xfId="46662" xr:uid="{00000000-0005-0000-0000-0000419E0000}"/>
    <cellStyle name="Note 4 5 6 2 2 2 2" xfId="7702" xr:uid="{00000000-0005-0000-0000-0000429E0000}"/>
    <cellStyle name="Note 4 5 6 2 2 2 3" xfId="12137" xr:uid="{00000000-0005-0000-0000-0000439E0000}"/>
    <cellStyle name="Note 4 5 6 2 2 2 4" xfId="15982" xr:uid="{00000000-0005-0000-0000-0000449E0000}"/>
    <cellStyle name="Note 4 5 6 2 2 2 5" xfId="19829" xr:uid="{00000000-0005-0000-0000-0000459E0000}"/>
    <cellStyle name="Note 4 5 6 2 2 2 6" xfId="23745" xr:uid="{00000000-0005-0000-0000-0000469E0000}"/>
    <cellStyle name="Note 4 5 6 2 2 2 7" xfId="27579" xr:uid="{00000000-0005-0000-0000-0000479E0000}"/>
    <cellStyle name="Note 4 5 6 2 2 2 8" xfId="31442" xr:uid="{00000000-0005-0000-0000-0000489E0000}"/>
    <cellStyle name="Note 4 5 6 2 2 2 9" xfId="35100" xr:uid="{00000000-0005-0000-0000-0000499E0000}"/>
    <cellStyle name="Note 4 5 6 2 2 3" xfId="5778" xr:uid="{00000000-0005-0000-0000-00004A9E0000}"/>
    <cellStyle name="Note 4 5 6 2 2 4" xfId="10136" xr:uid="{00000000-0005-0000-0000-00004B9E0000}"/>
    <cellStyle name="Note 4 5 6 2 2 5" xfId="13982" xr:uid="{00000000-0005-0000-0000-00004C9E0000}"/>
    <cellStyle name="Note 4 5 6 2 2 6" xfId="17811" xr:uid="{00000000-0005-0000-0000-00004D9E0000}"/>
    <cellStyle name="Note 4 5 6 2 2 7" xfId="21750" xr:uid="{00000000-0005-0000-0000-00004E9E0000}"/>
    <cellStyle name="Note 4 5 6 2 2 8" xfId="25563" xr:uid="{00000000-0005-0000-0000-00004F9E0000}"/>
    <cellStyle name="Note 4 5 6 2 2 9" xfId="29450" xr:uid="{00000000-0005-0000-0000-0000509E0000}"/>
    <cellStyle name="Note 4 5 6 2 3" xfId="3108" xr:uid="{00000000-0005-0000-0000-0000519E0000}"/>
    <cellStyle name="Note 4 5 6 2 3 10" xfId="38160" xr:uid="{00000000-0005-0000-0000-0000529E0000}"/>
    <cellStyle name="Note 4 5 6 2 3 11" xfId="42172" xr:uid="{00000000-0005-0000-0000-0000539E0000}"/>
    <cellStyle name="Note 4 5 6 2 3 12" xfId="45945" xr:uid="{00000000-0005-0000-0000-0000549E0000}"/>
    <cellStyle name="Note 4 5 6 2 3 2" xfId="6984" xr:uid="{00000000-0005-0000-0000-0000559E0000}"/>
    <cellStyle name="Note 4 5 6 2 3 3" xfId="11413" xr:uid="{00000000-0005-0000-0000-0000569E0000}"/>
    <cellStyle name="Note 4 5 6 2 3 4" xfId="15257" xr:uid="{00000000-0005-0000-0000-0000579E0000}"/>
    <cellStyle name="Note 4 5 6 2 3 5" xfId="19102" xr:uid="{00000000-0005-0000-0000-0000589E0000}"/>
    <cellStyle name="Note 4 5 6 2 3 6" xfId="23024" xr:uid="{00000000-0005-0000-0000-0000599E0000}"/>
    <cellStyle name="Note 4 5 6 2 3 7" xfId="26853" xr:uid="{00000000-0005-0000-0000-00005A9E0000}"/>
    <cellStyle name="Note 4 5 6 2 3 8" xfId="30725" xr:uid="{00000000-0005-0000-0000-00005B9E0000}"/>
    <cellStyle name="Note 4 5 6 2 3 9" xfId="34383" xr:uid="{00000000-0005-0000-0000-00005C9E0000}"/>
    <cellStyle name="Note 4 5 6 2 4" xfId="5060" xr:uid="{00000000-0005-0000-0000-00005D9E0000}"/>
    <cellStyle name="Note 4 5 6 2 5" xfId="9416" xr:uid="{00000000-0005-0000-0000-00005E9E0000}"/>
    <cellStyle name="Note 4 5 6 2 6" xfId="13256" xr:uid="{00000000-0005-0000-0000-00005F9E0000}"/>
    <cellStyle name="Note 4 5 6 2 7" xfId="17084" xr:uid="{00000000-0005-0000-0000-0000609E0000}"/>
    <cellStyle name="Note 4 5 6 2 8" xfId="21026" xr:uid="{00000000-0005-0000-0000-0000619E0000}"/>
    <cellStyle name="Note 4 5 6 2 9" xfId="24840" xr:uid="{00000000-0005-0000-0000-0000629E0000}"/>
    <cellStyle name="Note 4 5 6 3" xfId="1492" xr:uid="{00000000-0005-0000-0000-0000639E0000}"/>
    <cellStyle name="Note 4 5 6 3 10" xfId="32779" xr:uid="{00000000-0005-0000-0000-0000649E0000}"/>
    <cellStyle name="Note 4 5 6 3 11" xfId="36549" xr:uid="{00000000-0005-0000-0000-0000659E0000}"/>
    <cellStyle name="Note 4 5 6 3 12" xfId="40540" xr:uid="{00000000-0005-0000-0000-0000669E0000}"/>
    <cellStyle name="Note 4 5 6 3 13" xfId="44371" xr:uid="{00000000-0005-0000-0000-0000679E0000}"/>
    <cellStyle name="Note 4 5 6 3 2" xfId="3482" xr:uid="{00000000-0005-0000-0000-0000689E0000}"/>
    <cellStyle name="Note 4 5 6 3 2 10" xfId="38533" xr:uid="{00000000-0005-0000-0000-0000699E0000}"/>
    <cellStyle name="Note 4 5 6 3 2 11" xfId="42544" xr:uid="{00000000-0005-0000-0000-00006A9E0000}"/>
    <cellStyle name="Note 4 5 6 3 2 12" xfId="46309" xr:uid="{00000000-0005-0000-0000-00006B9E0000}"/>
    <cellStyle name="Note 4 5 6 3 2 2" xfId="7349" xr:uid="{00000000-0005-0000-0000-00006C9E0000}"/>
    <cellStyle name="Note 4 5 6 3 2 3" xfId="11784" xr:uid="{00000000-0005-0000-0000-00006D9E0000}"/>
    <cellStyle name="Note 4 5 6 3 2 4" xfId="15629" xr:uid="{00000000-0005-0000-0000-00006E9E0000}"/>
    <cellStyle name="Note 4 5 6 3 2 5" xfId="19476" xr:uid="{00000000-0005-0000-0000-00006F9E0000}"/>
    <cellStyle name="Note 4 5 6 3 2 6" xfId="23392" xr:uid="{00000000-0005-0000-0000-0000709E0000}"/>
    <cellStyle name="Note 4 5 6 3 2 7" xfId="27226" xr:uid="{00000000-0005-0000-0000-0000719E0000}"/>
    <cellStyle name="Note 4 5 6 3 2 8" xfId="31093" xr:uid="{00000000-0005-0000-0000-0000729E0000}"/>
    <cellStyle name="Note 4 5 6 3 2 9" xfId="34747" xr:uid="{00000000-0005-0000-0000-0000739E0000}"/>
    <cellStyle name="Note 4 5 6 3 3" xfId="5425" xr:uid="{00000000-0005-0000-0000-0000749E0000}"/>
    <cellStyle name="Note 4 5 6 3 4" xfId="9783" xr:uid="{00000000-0005-0000-0000-0000759E0000}"/>
    <cellStyle name="Note 4 5 6 3 5" xfId="13629" xr:uid="{00000000-0005-0000-0000-0000769E0000}"/>
    <cellStyle name="Note 4 5 6 3 6" xfId="17458" xr:uid="{00000000-0005-0000-0000-0000779E0000}"/>
    <cellStyle name="Note 4 5 6 3 7" xfId="21397" xr:uid="{00000000-0005-0000-0000-0000789E0000}"/>
    <cellStyle name="Note 4 5 6 3 8" xfId="25210" xr:uid="{00000000-0005-0000-0000-0000799E0000}"/>
    <cellStyle name="Note 4 5 6 3 9" xfId="29097" xr:uid="{00000000-0005-0000-0000-00007A9E0000}"/>
    <cellStyle name="Note 4 5 6 4" xfId="2743" xr:uid="{00000000-0005-0000-0000-00007B9E0000}"/>
    <cellStyle name="Note 4 5 6 4 10" xfId="37795" xr:uid="{00000000-0005-0000-0000-00007C9E0000}"/>
    <cellStyle name="Note 4 5 6 4 11" xfId="41808" xr:uid="{00000000-0005-0000-0000-00007D9E0000}"/>
    <cellStyle name="Note 4 5 6 4 12" xfId="45592" xr:uid="{00000000-0005-0000-0000-00007E9E0000}"/>
    <cellStyle name="Note 4 5 6 4 2" xfId="6630" xr:uid="{00000000-0005-0000-0000-00007F9E0000}"/>
    <cellStyle name="Note 4 5 6 4 3" xfId="11053" xr:uid="{00000000-0005-0000-0000-0000809E0000}"/>
    <cellStyle name="Note 4 5 6 4 4" xfId="14899" xr:uid="{00000000-0005-0000-0000-0000819E0000}"/>
    <cellStyle name="Note 4 5 6 4 5" xfId="18737" xr:uid="{00000000-0005-0000-0000-0000829E0000}"/>
    <cellStyle name="Note 4 5 6 4 6" xfId="22668" xr:uid="{00000000-0005-0000-0000-0000839E0000}"/>
    <cellStyle name="Note 4 5 6 4 7" xfId="26488" xr:uid="{00000000-0005-0000-0000-0000849E0000}"/>
    <cellStyle name="Note 4 5 6 4 8" xfId="30366" xr:uid="{00000000-0005-0000-0000-0000859E0000}"/>
    <cellStyle name="Note 4 5 6 4 9" xfId="34030" xr:uid="{00000000-0005-0000-0000-0000869E0000}"/>
    <cellStyle name="Note 4 5 6 5" xfId="4706" xr:uid="{00000000-0005-0000-0000-0000879E0000}"/>
    <cellStyle name="Note 4 5 6 6" xfId="9048" xr:uid="{00000000-0005-0000-0000-0000889E0000}"/>
    <cellStyle name="Note 4 5 6 7" xfId="12886" xr:uid="{00000000-0005-0000-0000-0000899E0000}"/>
    <cellStyle name="Note 4 5 6 8" xfId="16716" xr:uid="{00000000-0005-0000-0000-00008A9E0000}"/>
    <cellStyle name="Note 4 5 6 9" xfId="20653" xr:uid="{00000000-0005-0000-0000-00008B9E0000}"/>
    <cellStyle name="Note 4 5 7" xfId="864" xr:uid="{00000000-0005-0000-0000-00008C9E0000}"/>
    <cellStyle name="Note 4 5 7 10" xfId="24588" xr:uid="{00000000-0005-0000-0000-00008D9E0000}"/>
    <cellStyle name="Note 4 5 7 11" xfId="28479" xr:uid="{00000000-0005-0000-0000-00008E9E0000}"/>
    <cellStyle name="Note 4 5 7 12" xfId="32165" xr:uid="{00000000-0005-0000-0000-00008F9E0000}"/>
    <cellStyle name="Note 4 5 7 13" xfId="35922" xr:uid="{00000000-0005-0000-0000-0000909E0000}"/>
    <cellStyle name="Note 4 5 7 14" xfId="39933" xr:uid="{00000000-0005-0000-0000-0000919E0000}"/>
    <cellStyle name="Note 4 5 7 15" xfId="43748" xr:uid="{00000000-0005-0000-0000-0000929E0000}"/>
    <cellStyle name="Note 4 5 7 2" xfId="1203" xr:uid="{00000000-0005-0000-0000-0000939E0000}"/>
    <cellStyle name="Note 4 5 7 2 10" xfId="28812" xr:uid="{00000000-0005-0000-0000-0000949E0000}"/>
    <cellStyle name="Note 4 5 7 2 11" xfId="32495" xr:uid="{00000000-0005-0000-0000-0000959E0000}"/>
    <cellStyle name="Note 4 5 7 2 12" xfId="36261" xr:uid="{00000000-0005-0000-0000-0000969E0000}"/>
    <cellStyle name="Note 4 5 7 2 13" xfId="40255" xr:uid="{00000000-0005-0000-0000-0000979E0000}"/>
    <cellStyle name="Note 4 5 7 2 14" xfId="44087" xr:uid="{00000000-0005-0000-0000-0000989E0000}"/>
    <cellStyle name="Note 4 5 7 2 2" xfId="1925" xr:uid="{00000000-0005-0000-0000-0000999E0000}"/>
    <cellStyle name="Note 4 5 7 2 2 10" xfId="33212" xr:uid="{00000000-0005-0000-0000-00009A9E0000}"/>
    <cellStyle name="Note 4 5 7 2 2 11" xfId="36982" xr:uid="{00000000-0005-0000-0000-00009B9E0000}"/>
    <cellStyle name="Note 4 5 7 2 2 12" xfId="40973" xr:uid="{00000000-0005-0000-0000-00009C9E0000}"/>
    <cellStyle name="Note 4 5 7 2 2 13" xfId="44804" xr:uid="{00000000-0005-0000-0000-00009D9E0000}"/>
    <cellStyle name="Note 4 5 7 2 2 2" xfId="3915" xr:uid="{00000000-0005-0000-0000-00009E9E0000}"/>
    <cellStyle name="Note 4 5 7 2 2 2 10" xfId="38966" xr:uid="{00000000-0005-0000-0000-00009F9E0000}"/>
    <cellStyle name="Note 4 5 7 2 2 2 11" xfId="42977" xr:uid="{00000000-0005-0000-0000-0000A09E0000}"/>
    <cellStyle name="Note 4 5 7 2 2 2 12" xfId="46742" xr:uid="{00000000-0005-0000-0000-0000A19E0000}"/>
    <cellStyle name="Note 4 5 7 2 2 2 2" xfId="7782" xr:uid="{00000000-0005-0000-0000-0000A29E0000}"/>
    <cellStyle name="Note 4 5 7 2 2 2 3" xfId="12217" xr:uid="{00000000-0005-0000-0000-0000A39E0000}"/>
    <cellStyle name="Note 4 5 7 2 2 2 4" xfId="16062" xr:uid="{00000000-0005-0000-0000-0000A49E0000}"/>
    <cellStyle name="Note 4 5 7 2 2 2 5" xfId="19909" xr:uid="{00000000-0005-0000-0000-0000A59E0000}"/>
    <cellStyle name="Note 4 5 7 2 2 2 6" xfId="23825" xr:uid="{00000000-0005-0000-0000-0000A69E0000}"/>
    <cellStyle name="Note 4 5 7 2 2 2 7" xfId="27659" xr:uid="{00000000-0005-0000-0000-0000A79E0000}"/>
    <cellStyle name="Note 4 5 7 2 2 2 8" xfId="31521" xr:uid="{00000000-0005-0000-0000-0000A89E0000}"/>
    <cellStyle name="Note 4 5 7 2 2 2 9" xfId="35180" xr:uid="{00000000-0005-0000-0000-0000A99E0000}"/>
    <cellStyle name="Note 4 5 7 2 2 3" xfId="5858" xr:uid="{00000000-0005-0000-0000-0000AA9E0000}"/>
    <cellStyle name="Note 4 5 7 2 2 4" xfId="10216" xr:uid="{00000000-0005-0000-0000-0000AB9E0000}"/>
    <cellStyle name="Note 4 5 7 2 2 5" xfId="14062" xr:uid="{00000000-0005-0000-0000-0000AC9E0000}"/>
    <cellStyle name="Note 4 5 7 2 2 6" xfId="17891" xr:uid="{00000000-0005-0000-0000-0000AD9E0000}"/>
    <cellStyle name="Note 4 5 7 2 2 7" xfId="21830" xr:uid="{00000000-0005-0000-0000-0000AE9E0000}"/>
    <cellStyle name="Note 4 5 7 2 2 8" xfId="25643" xr:uid="{00000000-0005-0000-0000-0000AF9E0000}"/>
    <cellStyle name="Note 4 5 7 2 2 9" xfId="29530" xr:uid="{00000000-0005-0000-0000-0000B09E0000}"/>
    <cellStyle name="Note 4 5 7 2 3" xfId="3193" xr:uid="{00000000-0005-0000-0000-0000B19E0000}"/>
    <cellStyle name="Note 4 5 7 2 3 10" xfId="38245" xr:uid="{00000000-0005-0000-0000-0000B29E0000}"/>
    <cellStyle name="Note 4 5 7 2 3 11" xfId="42256" xr:uid="{00000000-0005-0000-0000-0000B39E0000}"/>
    <cellStyle name="Note 4 5 7 2 3 12" xfId="46025" xr:uid="{00000000-0005-0000-0000-0000B49E0000}"/>
    <cellStyle name="Note 4 5 7 2 3 2" xfId="7065" xr:uid="{00000000-0005-0000-0000-0000B59E0000}"/>
    <cellStyle name="Note 4 5 7 2 3 3" xfId="11497" xr:uid="{00000000-0005-0000-0000-0000B69E0000}"/>
    <cellStyle name="Note 4 5 7 2 3 4" xfId="15341" xr:uid="{00000000-0005-0000-0000-0000B79E0000}"/>
    <cellStyle name="Note 4 5 7 2 3 5" xfId="19187" xr:uid="{00000000-0005-0000-0000-0000B89E0000}"/>
    <cellStyle name="Note 4 5 7 2 3 6" xfId="23106" xr:uid="{00000000-0005-0000-0000-0000B99E0000}"/>
    <cellStyle name="Note 4 5 7 2 3 7" xfId="26938" xr:uid="{00000000-0005-0000-0000-0000BA9E0000}"/>
    <cellStyle name="Note 4 5 7 2 3 8" xfId="30809" xr:uid="{00000000-0005-0000-0000-0000BB9E0000}"/>
    <cellStyle name="Note 4 5 7 2 3 9" xfId="34463" xr:uid="{00000000-0005-0000-0000-0000BC9E0000}"/>
    <cellStyle name="Note 4 5 7 2 4" xfId="5141" xr:uid="{00000000-0005-0000-0000-0000BD9E0000}"/>
    <cellStyle name="Note 4 5 7 2 5" xfId="9497" xr:uid="{00000000-0005-0000-0000-0000BE9E0000}"/>
    <cellStyle name="Note 4 5 7 2 6" xfId="13341" xr:uid="{00000000-0005-0000-0000-0000BF9E0000}"/>
    <cellStyle name="Note 4 5 7 2 7" xfId="17169" xr:uid="{00000000-0005-0000-0000-0000C09E0000}"/>
    <cellStyle name="Note 4 5 7 2 8" xfId="21111" xr:uid="{00000000-0005-0000-0000-0000C19E0000}"/>
    <cellStyle name="Note 4 5 7 2 9" xfId="24922" xr:uid="{00000000-0005-0000-0000-0000C29E0000}"/>
    <cellStyle name="Note 4 5 7 3" xfId="1595" xr:uid="{00000000-0005-0000-0000-0000C39E0000}"/>
    <cellStyle name="Note 4 5 7 3 10" xfId="32882" xr:uid="{00000000-0005-0000-0000-0000C49E0000}"/>
    <cellStyle name="Note 4 5 7 3 11" xfId="36652" xr:uid="{00000000-0005-0000-0000-0000C59E0000}"/>
    <cellStyle name="Note 4 5 7 3 12" xfId="40643" xr:uid="{00000000-0005-0000-0000-0000C69E0000}"/>
    <cellStyle name="Note 4 5 7 3 13" xfId="44474" xr:uid="{00000000-0005-0000-0000-0000C79E0000}"/>
    <cellStyle name="Note 4 5 7 3 2" xfId="3585" xr:uid="{00000000-0005-0000-0000-0000C89E0000}"/>
    <cellStyle name="Note 4 5 7 3 2 10" xfId="38636" xr:uid="{00000000-0005-0000-0000-0000C99E0000}"/>
    <cellStyle name="Note 4 5 7 3 2 11" xfId="42647" xr:uid="{00000000-0005-0000-0000-0000CA9E0000}"/>
    <cellStyle name="Note 4 5 7 3 2 12" xfId="46412" xr:uid="{00000000-0005-0000-0000-0000CB9E0000}"/>
    <cellStyle name="Note 4 5 7 3 2 2" xfId="7452" xr:uid="{00000000-0005-0000-0000-0000CC9E0000}"/>
    <cellStyle name="Note 4 5 7 3 2 3" xfId="11887" xr:uid="{00000000-0005-0000-0000-0000CD9E0000}"/>
    <cellStyle name="Note 4 5 7 3 2 4" xfId="15732" xr:uid="{00000000-0005-0000-0000-0000CE9E0000}"/>
    <cellStyle name="Note 4 5 7 3 2 5" xfId="19579" xr:uid="{00000000-0005-0000-0000-0000CF9E0000}"/>
    <cellStyle name="Note 4 5 7 3 2 6" xfId="23495" xr:uid="{00000000-0005-0000-0000-0000D09E0000}"/>
    <cellStyle name="Note 4 5 7 3 2 7" xfId="27329" xr:uid="{00000000-0005-0000-0000-0000D19E0000}"/>
    <cellStyle name="Note 4 5 7 3 2 8" xfId="31195" xr:uid="{00000000-0005-0000-0000-0000D29E0000}"/>
    <cellStyle name="Note 4 5 7 3 2 9" xfId="34850" xr:uid="{00000000-0005-0000-0000-0000D39E0000}"/>
    <cellStyle name="Note 4 5 7 3 3" xfId="5528" xr:uid="{00000000-0005-0000-0000-0000D49E0000}"/>
    <cellStyle name="Note 4 5 7 3 4" xfId="9886" xr:uid="{00000000-0005-0000-0000-0000D59E0000}"/>
    <cellStyle name="Note 4 5 7 3 5" xfId="13732" xr:uid="{00000000-0005-0000-0000-0000D69E0000}"/>
    <cellStyle name="Note 4 5 7 3 6" xfId="17561" xr:uid="{00000000-0005-0000-0000-0000D79E0000}"/>
    <cellStyle name="Note 4 5 7 3 7" xfId="21500" xr:uid="{00000000-0005-0000-0000-0000D89E0000}"/>
    <cellStyle name="Note 4 5 7 3 8" xfId="25313" xr:uid="{00000000-0005-0000-0000-0000D99E0000}"/>
    <cellStyle name="Note 4 5 7 3 9" xfId="29200" xr:uid="{00000000-0005-0000-0000-0000DA9E0000}"/>
    <cellStyle name="Note 4 5 7 4" xfId="2854" xr:uid="{00000000-0005-0000-0000-0000DB9E0000}"/>
    <cellStyle name="Note 4 5 7 4 10" xfId="37906" xr:uid="{00000000-0005-0000-0000-0000DC9E0000}"/>
    <cellStyle name="Note 4 5 7 4 11" xfId="41918" xr:uid="{00000000-0005-0000-0000-0000DD9E0000}"/>
    <cellStyle name="Note 4 5 7 4 12" xfId="45695" xr:uid="{00000000-0005-0000-0000-0000DE9E0000}"/>
    <cellStyle name="Note 4 5 7 4 2" xfId="6734" xr:uid="{00000000-0005-0000-0000-0000DF9E0000}"/>
    <cellStyle name="Note 4 5 7 4 3" xfId="11161" xr:uid="{00000000-0005-0000-0000-0000E09E0000}"/>
    <cellStyle name="Note 4 5 7 4 4" xfId="15006" xr:uid="{00000000-0005-0000-0000-0000E19E0000}"/>
    <cellStyle name="Note 4 5 7 4 5" xfId="18848" xr:uid="{00000000-0005-0000-0000-0000E29E0000}"/>
    <cellStyle name="Note 4 5 7 4 6" xfId="22774" xr:uid="{00000000-0005-0000-0000-0000E39E0000}"/>
    <cellStyle name="Note 4 5 7 4 7" xfId="26599" xr:uid="{00000000-0005-0000-0000-0000E49E0000}"/>
    <cellStyle name="Note 4 5 7 4 8" xfId="30476" xr:uid="{00000000-0005-0000-0000-0000E59E0000}"/>
    <cellStyle name="Note 4 5 7 4 9" xfId="34133" xr:uid="{00000000-0005-0000-0000-0000E69E0000}"/>
    <cellStyle name="Note 4 5 7 5" xfId="4810" xr:uid="{00000000-0005-0000-0000-0000E79E0000}"/>
    <cellStyle name="Note 4 5 7 6" xfId="9164" xr:uid="{00000000-0005-0000-0000-0000E89E0000}"/>
    <cellStyle name="Note 4 5 7 7" xfId="13005" xr:uid="{00000000-0005-0000-0000-0000E99E0000}"/>
    <cellStyle name="Note 4 5 7 8" xfId="16830" xr:uid="{00000000-0005-0000-0000-0000EA9E0000}"/>
    <cellStyle name="Note 4 5 7 9" xfId="20772" xr:uid="{00000000-0005-0000-0000-0000EB9E0000}"/>
    <cellStyle name="Note 4 5 8" xfId="821" xr:uid="{00000000-0005-0000-0000-0000EC9E0000}"/>
    <cellStyle name="Note 4 5 8 10" xfId="28436" xr:uid="{00000000-0005-0000-0000-0000ED9E0000}"/>
    <cellStyle name="Note 4 5 8 11" xfId="32122" xr:uid="{00000000-0005-0000-0000-0000EE9E0000}"/>
    <cellStyle name="Note 4 5 8 12" xfId="35879" xr:uid="{00000000-0005-0000-0000-0000EF9E0000}"/>
    <cellStyle name="Note 4 5 8 13" xfId="39890" xr:uid="{00000000-0005-0000-0000-0000F09E0000}"/>
    <cellStyle name="Note 4 5 8 14" xfId="43705" xr:uid="{00000000-0005-0000-0000-0000F19E0000}"/>
    <cellStyle name="Note 4 5 8 2" xfId="1552" xr:uid="{00000000-0005-0000-0000-0000F29E0000}"/>
    <cellStyle name="Note 4 5 8 2 10" xfId="32839" xr:uid="{00000000-0005-0000-0000-0000F39E0000}"/>
    <cellStyle name="Note 4 5 8 2 11" xfId="36609" xr:uid="{00000000-0005-0000-0000-0000F49E0000}"/>
    <cellStyle name="Note 4 5 8 2 12" xfId="40600" xr:uid="{00000000-0005-0000-0000-0000F59E0000}"/>
    <cellStyle name="Note 4 5 8 2 13" xfId="44431" xr:uid="{00000000-0005-0000-0000-0000F69E0000}"/>
    <cellStyle name="Note 4 5 8 2 2" xfId="3542" xr:uid="{00000000-0005-0000-0000-0000F79E0000}"/>
    <cellStyle name="Note 4 5 8 2 2 10" xfId="38593" xr:uid="{00000000-0005-0000-0000-0000F89E0000}"/>
    <cellStyle name="Note 4 5 8 2 2 11" xfId="42604" xr:uid="{00000000-0005-0000-0000-0000F99E0000}"/>
    <cellStyle name="Note 4 5 8 2 2 12" xfId="46369" xr:uid="{00000000-0005-0000-0000-0000FA9E0000}"/>
    <cellStyle name="Note 4 5 8 2 2 2" xfId="7409" xr:uid="{00000000-0005-0000-0000-0000FB9E0000}"/>
    <cellStyle name="Note 4 5 8 2 2 3" xfId="11844" xr:uid="{00000000-0005-0000-0000-0000FC9E0000}"/>
    <cellStyle name="Note 4 5 8 2 2 4" xfId="15689" xr:uid="{00000000-0005-0000-0000-0000FD9E0000}"/>
    <cellStyle name="Note 4 5 8 2 2 5" xfId="19536" xr:uid="{00000000-0005-0000-0000-0000FE9E0000}"/>
    <cellStyle name="Note 4 5 8 2 2 6" xfId="23452" xr:uid="{00000000-0005-0000-0000-0000FF9E0000}"/>
    <cellStyle name="Note 4 5 8 2 2 7" xfId="27286" xr:uid="{00000000-0005-0000-0000-0000009F0000}"/>
    <cellStyle name="Note 4 5 8 2 2 8" xfId="31152" xr:uid="{00000000-0005-0000-0000-0000019F0000}"/>
    <cellStyle name="Note 4 5 8 2 2 9" xfId="34807" xr:uid="{00000000-0005-0000-0000-0000029F0000}"/>
    <cellStyle name="Note 4 5 8 2 3" xfId="5485" xr:uid="{00000000-0005-0000-0000-0000039F0000}"/>
    <cellStyle name="Note 4 5 8 2 4" xfId="9843" xr:uid="{00000000-0005-0000-0000-0000049F0000}"/>
    <cellStyle name="Note 4 5 8 2 5" xfId="13689" xr:uid="{00000000-0005-0000-0000-0000059F0000}"/>
    <cellStyle name="Note 4 5 8 2 6" xfId="17518" xr:uid="{00000000-0005-0000-0000-0000069F0000}"/>
    <cellStyle name="Note 4 5 8 2 7" xfId="21457" xr:uid="{00000000-0005-0000-0000-0000079F0000}"/>
    <cellStyle name="Note 4 5 8 2 8" xfId="25270" xr:uid="{00000000-0005-0000-0000-0000089F0000}"/>
    <cellStyle name="Note 4 5 8 2 9" xfId="29157" xr:uid="{00000000-0005-0000-0000-0000099F0000}"/>
    <cellStyle name="Note 4 5 8 3" xfId="2811" xr:uid="{00000000-0005-0000-0000-00000A9F0000}"/>
    <cellStyle name="Note 4 5 8 3 10" xfId="37863" xr:uid="{00000000-0005-0000-0000-00000B9F0000}"/>
    <cellStyle name="Note 4 5 8 3 11" xfId="41875" xr:uid="{00000000-0005-0000-0000-00000C9F0000}"/>
    <cellStyle name="Note 4 5 8 3 12" xfId="45652" xr:uid="{00000000-0005-0000-0000-00000D9F0000}"/>
    <cellStyle name="Note 4 5 8 3 2" xfId="6691" xr:uid="{00000000-0005-0000-0000-00000E9F0000}"/>
    <cellStyle name="Note 4 5 8 3 3" xfId="11118" xr:uid="{00000000-0005-0000-0000-00000F9F0000}"/>
    <cellStyle name="Note 4 5 8 3 4" xfId="14963" xr:uid="{00000000-0005-0000-0000-0000109F0000}"/>
    <cellStyle name="Note 4 5 8 3 5" xfId="18805" xr:uid="{00000000-0005-0000-0000-0000119F0000}"/>
    <cellStyle name="Note 4 5 8 3 6" xfId="22731" xr:uid="{00000000-0005-0000-0000-0000129F0000}"/>
    <cellStyle name="Note 4 5 8 3 7" xfId="26556" xr:uid="{00000000-0005-0000-0000-0000139F0000}"/>
    <cellStyle name="Note 4 5 8 3 8" xfId="30433" xr:uid="{00000000-0005-0000-0000-0000149F0000}"/>
    <cellStyle name="Note 4 5 8 3 9" xfId="34090" xr:uid="{00000000-0005-0000-0000-0000159F0000}"/>
    <cellStyle name="Note 4 5 8 4" xfId="4767" xr:uid="{00000000-0005-0000-0000-0000169F0000}"/>
    <cellStyle name="Note 4 5 8 5" xfId="9121" xr:uid="{00000000-0005-0000-0000-0000179F0000}"/>
    <cellStyle name="Note 4 5 8 6" xfId="12962" xr:uid="{00000000-0005-0000-0000-0000189F0000}"/>
    <cellStyle name="Note 4 5 8 7" xfId="16787" xr:uid="{00000000-0005-0000-0000-0000199F0000}"/>
    <cellStyle name="Note 4 5 8 8" xfId="20729" xr:uid="{00000000-0005-0000-0000-00001A9F0000}"/>
    <cellStyle name="Note 4 5 8 9" xfId="24545" xr:uid="{00000000-0005-0000-0000-00001B9F0000}"/>
    <cellStyle name="Note 4 5 9" xfId="1290" xr:uid="{00000000-0005-0000-0000-00001C9F0000}"/>
    <cellStyle name="Note 4 5 9 10" xfId="32577" xr:uid="{00000000-0005-0000-0000-00001D9F0000}"/>
    <cellStyle name="Note 4 5 9 11" xfId="36347" xr:uid="{00000000-0005-0000-0000-00001E9F0000}"/>
    <cellStyle name="Note 4 5 9 12" xfId="40339" xr:uid="{00000000-0005-0000-0000-00001F9F0000}"/>
    <cellStyle name="Note 4 5 9 13" xfId="44169" xr:uid="{00000000-0005-0000-0000-0000209F0000}"/>
    <cellStyle name="Note 4 5 9 2" xfId="3280" xr:uid="{00000000-0005-0000-0000-0000219F0000}"/>
    <cellStyle name="Note 4 5 9 2 10" xfId="38331" xr:uid="{00000000-0005-0000-0000-0000229F0000}"/>
    <cellStyle name="Note 4 5 9 2 11" xfId="42342" xr:uid="{00000000-0005-0000-0000-0000239F0000}"/>
    <cellStyle name="Note 4 5 9 2 12" xfId="46107" xr:uid="{00000000-0005-0000-0000-0000249F0000}"/>
    <cellStyle name="Note 4 5 9 2 2" xfId="7147" xr:uid="{00000000-0005-0000-0000-0000259F0000}"/>
    <cellStyle name="Note 4 5 9 2 3" xfId="11582" xr:uid="{00000000-0005-0000-0000-0000269F0000}"/>
    <cellStyle name="Note 4 5 9 2 4" xfId="15427" xr:uid="{00000000-0005-0000-0000-0000279F0000}"/>
    <cellStyle name="Note 4 5 9 2 5" xfId="19274" xr:uid="{00000000-0005-0000-0000-0000289F0000}"/>
    <cellStyle name="Note 4 5 9 2 6" xfId="23190" xr:uid="{00000000-0005-0000-0000-0000299F0000}"/>
    <cellStyle name="Note 4 5 9 2 7" xfId="27024" xr:uid="{00000000-0005-0000-0000-00002A9F0000}"/>
    <cellStyle name="Note 4 5 9 2 8" xfId="30894" xr:uid="{00000000-0005-0000-0000-00002B9F0000}"/>
    <cellStyle name="Note 4 5 9 2 9" xfId="34545" xr:uid="{00000000-0005-0000-0000-00002C9F0000}"/>
    <cellStyle name="Note 4 5 9 3" xfId="5223" xr:uid="{00000000-0005-0000-0000-00002D9F0000}"/>
    <cellStyle name="Note 4 5 9 4" xfId="9581" xr:uid="{00000000-0005-0000-0000-00002E9F0000}"/>
    <cellStyle name="Note 4 5 9 5" xfId="13427" xr:uid="{00000000-0005-0000-0000-00002F9F0000}"/>
    <cellStyle name="Note 4 5 9 6" xfId="17256" xr:uid="{00000000-0005-0000-0000-0000309F0000}"/>
    <cellStyle name="Note 4 5 9 7" xfId="21195" xr:uid="{00000000-0005-0000-0000-0000319F0000}"/>
    <cellStyle name="Note 4 5 9 8" xfId="25008" xr:uid="{00000000-0005-0000-0000-0000329F0000}"/>
    <cellStyle name="Note 4 5 9 9" xfId="28896" xr:uid="{00000000-0005-0000-0000-0000339F0000}"/>
    <cellStyle name="Note 4 6" xfId="560" xr:uid="{00000000-0005-0000-0000-0000349F0000}"/>
    <cellStyle name="Note 4 6 10" xfId="2210" xr:uid="{00000000-0005-0000-0000-0000359F0000}"/>
    <cellStyle name="Note 4 6 10 10" xfId="33511" xr:uid="{00000000-0005-0000-0000-0000369F0000}"/>
    <cellStyle name="Note 4 6 10 11" xfId="37262" xr:uid="{00000000-0005-0000-0000-0000379F0000}"/>
    <cellStyle name="Note 4 6 10 12" xfId="41278" xr:uid="{00000000-0005-0000-0000-0000389F0000}"/>
    <cellStyle name="Note 4 6 10 13" xfId="45073" xr:uid="{00000000-0005-0000-0000-0000399F0000}"/>
    <cellStyle name="Note 4 6 10 2" xfId="4193" xr:uid="{00000000-0005-0000-0000-00003A9F0000}"/>
    <cellStyle name="Note 4 6 10 2 10" xfId="39244" xr:uid="{00000000-0005-0000-0000-00003B9F0000}"/>
    <cellStyle name="Note 4 6 10 2 11" xfId="43254" xr:uid="{00000000-0005-0000-0000-00003C9F0000}"/>
    <cellStyle name="Note 4 6 10 2 12" xfId="47011" xr:uid="{00000000-0005-0000-0000-00003D9F0000}"/>
    <cellStyle name="Note 4 6 10 2 2" xfId="8052" xr:uid="{00000000-0005-0000-0000-00003E9F0000}"/>
    <cellStyle name="Note 4 6 10 2 3" xfId="12492" xr:uid="{00000000-0005-0000-0000-00003F9F0000}"/>
    <cellStyle name="Note 4 6 10 2 4" xfId="16337" xr:uid="{00000000-0005-0000-0000-0000409F0000}"/>
    <cellStyle name="Note 4 6 10 2 5" xfId="20187" xr:uid="{00000000-0005-0000-0000-0000419F0000}"/>
    <cellStyle name="Note 4 6 10 2 6" xfId="24099" xr:uid="{00000000-0005-0000-0000-0000429F0000}"/>
    <cellStyle name="Note 4 6 10 2 7" xfId="27937" xr:uid="{00000000-0005-0000-0000-0000439F0000}"/>
    <cellStyle name="Note 4 6 10 2 8" xfId="31796" xr:uid="{00000000-0005-0000-0000-0000449F0000}"/>
    <cellStyle name="Note 4 6 10 2 9" xfId="35449" xr:uid="{00000000-0005-0000-0000-0000459F0000}"/>
    <cellStyle name="Note 4 6 10 3" xfId="6124" xr:uid="{00000000-0005-0000-0000-0000469F0000}"/>
    <cellStyle name="Note 4 6 10 4" xfId="10527" xr:uid="{00000000-0005-0000-0000-0000479F0000}"/>
    <cellStyle name="Note 4 6 10 5" xfId="14373" xr:uid="{00000000-0005-0000-0000-0000489F0000}"/>
    <cellStyle name="Note 4 6 10 6" xfId="18204" xr:uid="{00000000-0005-0000-0000-0000499F0000}"/>
    <cellStyle name="Note 4 6 10 7" xfId="22143" xr:uid="{00000000-0005-0000-0000-00004A9F0000}"/>
    <cellStyle name="Note 4 6 10 8" xfId="25955" xr:uid="{00000000-0005-0000-0000-00004B9F0000}"/>
    <cellStyle name="Note 4 6 10 9" xfId="29835" xr:uid="{00000000-0005-0000-0000-00004C9F0000}"/>
    <cellStyle name="Note 4 6 11" xfId="2268" xr:uid="{00000000-0005-0000-0000-00004D9F0000}"/>
    <cellStyle name="Note 4 6 11 10" xfId="33569" xr:uid="{00000000-0005-0000-0000-00004E9F0000}"/>
    <cellStyle name="Note 4 6 11 11" xfId="37320" xr:uid="{00000000-0005-0000-0000-00004F9F0000}"/>
    <cellStyle name="Note 4 6 11 12" xfId="41336" xr:uid="{00000000-0005-0000-0000-0000509F0000}"/>
    <cellStyle name="Note 4 6 11 13" xfId="45131" xr:uid="{00000000-0005-0000-0000-0000519F0000}"/>
    <cellStyle name="Note 4 6 11 2" xfId="4251" xr:uid="{00000000-0005-0000-0000-0000529F0000}"/>
    <cellStyle name="Note 4 6 11 2 10" xfId="39302" xr:uid="{00000000-0005-0000-0000-0000539F0000}"/>
    <cellStyle name="Note 4 6 11 2 11" xfId="43312" xr:uid="{00000000-0005-0000-0000-0000549F0000}"/>
    <cellStyle name="Note 4 6 11 2 12" xfId="47069" xr:uid="{00000000-0005-0000-0000-0000559F0000}"/>
    <cellStyle name="Note 4 6 11 2 2" xfId="8110" xr:uid="{00000000-0005-0000-0000-0000569F0000}"/>
    <cellStyle name="Note 4 6 11 2 3" xfId="12550" xr:uid="{00000000-0005-0000-0000-0000579F0000}"/>
    <cellStyle name="Note 4 6 11 2 4" xfId="16395" xr:uid="{00000000-0005-0000-0000-0000589F0000}"/>
    <cellStyle name="Note 4 6 11 2 5" xfId="20245" xr:uid="{00000000-0005-0000-0000-0000599F0000}"/>
    <cellStyle name="Note 4 6 11 2 6" xfId="24157" xr:uid="{00000000-0005-0000-0000-00005A9F0000}"/>
    <cellStyle name="Note 4 6 11 2 7" xfId="27995" xr:uid="{00000000-0005-0000-0000-00005B9F0000}"/>
    <cellStyle name="Note 4 6 11 2 8" xfId="31854" xr:uid="{00000000-0005-0000-0000-00005C9F0000}"/>
    <cellStyle name="Note 4 6 11 2 9" xfId="35507" xr:uid="{00000000-0005-0000-0000-00005D9F0000}"/>
    <cellStyle name="Note 4 6 11 3" xfId="6182" xr:uid="{00000000-0005-0000-0000-00005E9F0000}"/>
    <cellStyle name="Note 4 6 11 4" xfId="10585" xr:uid="{00000000-0005-0000-0000-00005F9F0000}"/>
    <cellStyle name="Note 4 6 11 5" xfId="14431" xr:uid="{00000000-0005-0000-0000-0000609F0000}"/>
    <cellStyle name="Note 4 6 11 6" xfId="18262" xr:uid="{00000000-0005-0000-0000-0000619F0000}"/>
    <cellStyle name="Note 4 6 11 7" xfId="22201" xr:uid="{00000000-0005-0000-0000-0000629F0000}"/>
    <cellStyle name="Note 4 6 11 8" xfId="26013" xr:uid="{00000000-0005-0000-0000-0000639F0000}"/>
    <cellStyle name="Note 4 6 11 9" xfId="29893" xr:uid="{00000000-0005-0000-0000-0000649F0000}"/>
    <cellStyle name="Note 4 6 12" xfId="2325" xr:uid="{00000000-0005-0000-0000-0000659F0000}"/>
    <cellStyle name="Note 4 6 12 10" xfId="33624" xr:uid="{00000000-0005-0000-0000-0000669F0000}"/>
    <cellStyle name="Note 4 6 12 11" xfId="37377" xr:uid="{00000000-0005-0000-0000-0000679F0000}"/>
    <cellStyle name="Note 4 6 12 12" xfId="41393" xr:uid="{00000000-0005-0000-0000-0000689F0000}"/>
    <cellStyle name="Note 4 6 12 13" xfId="45186" xr:uid="{00000000-0005-0000-0000-0000699F0000}"/>
    <cellStyle name="Note 4 6 12 2" xfId="4308" xr:uid="{00000000-0005-0000-0000-00006A9F0000}"/>
    <cellStyle name="Note 4 6 12 2 10" xfId="39359" xr:uid="{00000000-0005-0000-0000-00006B9F0000}"/>
    <cellStyle name="Note 4 6 12 2 11" xfId="43369" xr:uid="{00000000-0005-0000-0000-00006C9F0000}"/>
    <cellStyle name="Note 4 6 12 2 12" xfId="47124" xr:uid="{00000000-0005-0000-0000-00006D9F0000}"/>
    <cellStyle name="Note 4 6 12 2 2" xfId="8165" xr:uid="{00000000-0005-0000-0000-00006E9F0000}"/>
    <cellStyle name="Note 4 6 12 2 3" xfId="12607" xr:uid="{00000000-0005-0000-0000-00006F9F0000}"/>
    <cellStyle name="Note 4 6 12 2 4" xfId="16451" xr:uid="{00000000-0005-0000-0000-0000709F0000}"/>
    <cellStyle name="Note 4 6 12 2 5" xfId="20302" xr:uid="{00000000-0005-0000-0000-0000719F0000}"/>
    <cellStyle name="Note 4 6 12 2 6" xfId="24213" xr:uid="{00000000-0005-0000-0000-0000729F0000}"/>
    <cellStyle name="Note 4 6 12 2 7" xfId="28052" xr:uid="{00000000-0005-0000-0000-0000739F0000}"/>
    <cellStyle name="Note 4 6 12 2 8" xfId="31911" xr:uid="{00000000-0005-0000-0000-0000749F0000}"/>
    <cellStyle name="Note 4 6 12 2 9" xfId="35562" xr:uid="{00000000-0005-0000-0000-0000759F0000}"/>
    <cellStyle name="Note 4 6 12 3" xfId="6237" xr:uid="{00000000-0005-0000-0000-0000769F0000}"/>
    <cellStyle name="Note 4 6 12 4" xfId="10642" xr:uid="{00000000-0005-0000-0000-0000779F0000}"/>
    <cellStyle name="Note 4 6 12 5" xfId="14487" xr:uid="{00000000-0005-0000-0000-0000789F0000}"/>
    <cellStyle name="Note 4 6 12 6" xfId="18319" xr:uid="{00000000-0005-0000-0000-0000799F0000}"/>
    <cellStyle name="Note 4 6 12 7" xfId="22257" xr:uid="{00000000-0005-0000-0000-00007A9F0000}"/>
    <cellStyle name="Note 4 6 12 8" xfId="26070" xr:uid="{00000000-0005-0000-0000-00007B9F0000}"/>
    <cellStyle name="Note 4 6 12 9" xfId="29950" xr:uid="{00000000-0005-0000-0000-00007C9F0000}"/>
    <cellStyle name="Note 4 6 13" xfId="2390" xr:uid="{00000000-0005-0000-0000-00007D9F0000}"/>
    <cellStyle name="Note 4 6 13 10" xfId="33688" xr:uid="{00000000-0005-0000-0000-00007E9F0000}"/>
    <cellStyle name="Note 4 6 13 11" xfId="37442" xr:uid="{00000000-0005-0000-0000-00007F9F0000}"/>
    <cellStyle name="Note 4 6 13 12" xfId="41457" xr:uid="{00000000-0005-0000-0000-0000809F0000}"/>
    <cellStyle name="Note 4 6 13 13" xfId="45250" xr:uid="{00000000-0005-0000-0000-0000819F0000}"/>
    <cellStyle name="Note 4 6 13 2" xfId="4373" xr:uid="{00000000-0005-0000-0000-0000829F0000}"/>
    <cellStyle name="Note 4 6 13 2 10" xfId="39424" xr:uid="{00000000-0005-0000-0000-0000839F0000}"/>
    <cellStyle name="Note 4 6 13 2 11" xfId="43433" xr:uid="{00000000-0005-0000-0000-0000849F0000}"/>
    <cellStyle name="Note 4 6 13 2 12" xfId="47188" xr:uid="{00000000-0005-0000-0000-0000859F0000}"/>
    <cellStyle name="Note 4 6 13 2 2" xfId="8230" xr:uid="{00000000-0005-0000-0000-0000869F0000}"/>
    <cellStyle name="Note 4 6 13 2 3" xfId="12671" xr:uid="{00000000-0005-0000-0000-0000879F0000}"/>
    <cellStyle name="Note 4 6 13 2 4" xfId="16516" xr:uid="{00000000-0005-0000-0000-0000889F0000}"/>
    <cellStyle name="Note 4 6 13 2 5" xfId="20367" xr:uid="{00000000-0005-0000-0000-0000899F0000}"/>
    <cellStyle name="Note 4 6 13 2 6" xfId="24278" xr:uid="{00000000-0005-0000-0000-00008A9F0000}"/>
    <cellStyle name="Note 4 6 13 2 7" xfId="28117" xr:uid="{00000000-0005-0000-0000-00008B9F0000}"/>
    <cellStyle name="Note 4 6 13 2 8" xfId="31975" xr:uid="{00000000-0005-0000-0000-00008C9F0000}"/>
    <cellStyle name="Note 4 6 13 2 9" xfId="35626" xr:uid="{00000000-0005-0000-0000-00008D9F0000}"/>
    <cellStyle name="Note 4 6 13 3" xfId="6286" xr:uid="{00000000-0005-0000-0000-00008E9F0000}"/>
    <cellStyle name="Note 4 6 13 4" xfId="10706" xr:uid="{00000000-0005-0000-0000-00008F9F0000}"/>
    <cellStyle name="Note 4 6 13 5" xfId="14552" xr:uid="{00000000-0005-0000-0000-0000909F0000}"/>
    <cellStyle name="Note 4 6 13 6" xfId="18384" xr:uid="{00000000-0005-0000-0000-0000919F0000}"/>
    <cellStyle name="Note 4 6 13 7" xfId="22322" xr:uid="{00000000-0005-0000-0000-0000929F0000}"/>
    <cellStyle name="Note 4 6 13 8" xfId="26135" xr:uid="{00000000-0005-0000-0000-0000939F0000}"/>
    <cellStyle name="Note 4 6 13 9" xfId="30015" xr:uid="{00000000-0005-0000-0000-0000949F0000}"/>
    <cellStyle name="Note 4 6 14" xfId="2442" xr:uid="{00000000-0005-0000-0000-0000959F0000}"/>
    <cellStyle name="Note 4 6 14 10" xfId="33738" xr:uid="{00000000-0005-0000-0000-0000969F0000}"/>
    <cellStyle name="Note 4 6 14 11" xfId="37494" xr:uid="{00000000-0005-0000-0000-0000979F0000}"/>
    <cellStyle name="Note 4 6 14 12" xfId="41509" xr:uid="{00000000-0005-0000-0000-0000989F0000}"/>
    <cellStyle name="Note 4 6 14 13" xfId="45300" xr:uid="{00000000-0005-0000-0000-0000999F0000}"/>
    <cellStyle name="Note 4 6 14 2" xfId="4425" xr:uid="{00000000-0005-0000-0000-00009A9F0000}"/>
    <cellStyle name="Note 4 6 14 2 10" xfId="39476" xr:uid="{00000000-0005-0000-0000-00009B9F0000}"/>
    <cellStyle name="Note 4 6 14 2 11" xfId="43485" xr:uid="{00000000-0005-0000-0000-00009C9F0000}"/>
    <cellStyle name="Note 4 6 14 2 12" xfId="47238" xr:uid="{00000000-0005-0000-0000-00009D9F0000}"/>
    <cellStyle name="Note 4 6 14 2 2" xfId="8280" xr:uid="{00000000-0005-0000-0000-00009E9F0000}"/>
    <cellStyle name="Note 4 6 14 2 3" xfId="12723" xr:uid="{00000000-0005-0000-0000-00009F9F0000}"/>
    <cellStyle name="Note 4 6 14 2 4" xfId="16566" xr:uid="{00000000-0005-0000-0000-0000A09F0000}"/>
    <cellStyle name="Note 4 6 14 2 5" xfId="20419" xr:uid="{00000000-0005-0000-0000-0000A19F0000}"/>
    <cellStyle name="Note 4 6 14 2 6" xfId="24329" xr:uid="{00000000-0005-0000-0000-0000A29F0000}"/>
    <cellStyle name="Note 4 6 14 2 7" xfId="28169" xr:uid="{00000000-0005-0000-0000-0000A39F0000}"/>
    <cellStyle name="Note 4 6 14 2 8" xfId="32027" xr:uid="{00000000-0005-0000-0000-0000A49F0000}"/>
    <cellStyle name="Note 4 6 14 2 9" xfId="35676" xr:uid="{00000000-0005-0000-0000-0000A59F0000}"/>
    <cellStyle name="Note 4 6 14 3" xfId="6336" xr:uid="{00000000-0005-0000-0000-0000A69F0000}"/>
    <cellStyle name="Note 4 6 14 4" xfId="10758" xr:uid="{00000000-0005-0000-0000-0000A79F0000}"/>
    <cellStyle name="Note 4 6 14 5" xfId="14603" xr:uid="{00000000-0005-0000-0000-0000A89F0000}"/>
    <cellStyle name="Note 4 6 14 6" xfId="18436" xr:uid="{00000000-0005-0000-0000-0000A99F0000}"/>
    <cellStyle name="Note 4 6 14 7" xfId="22373" xr:uid="{00000000-0005-0000-0000-0000AA9F0000}"/>
    <cellStyle name="Note 4 6 14 8" xfId="26187" xr:uid="{00000000-0005-0000-0000-0000AB9F0000}"/>
    <cellStyle name="Note 4 6 14 9" xfId="30066" xr:uid="{00000000-0005-0000-0000-0000AC9F0000}"/>
    <cellStyle name="Note 4 6 15" xfId="2496" xr:uid="{00000000-0005-0000-0000-0000AD9F0000}"/>
    <cellStyle name="Note 4 6 15 10" xfId="33789" xr:uid="{00000000-0005-0000-0000-0000AE9F0000}"/>
    <cellStyle name="Note 4 6 15 11" xfId="37548" xr:uid="{00000000-0005-0000-0000-0000AF9F0000}"/>
    <cellStyle name="Note 4 6 15 12" xfId="41562" xr:uid="{00000000-0005-0000-0000-0000B09F0000}"/>
    <cellStyle name="Note 4 6 15 13" xfId="45351" xr:uid="{00000000-0005-0000-0000-0000B19F0000}"/>
    <cellStyle name="Note 4 6 15 2" xfId="4476" xr:uid="{00000000-0005-0000-0000-0000B29F0000}"/>
    <cellStyle name="Note 4 6 15 2 10" xfId="39527" xr:uid="{00000000-0005-0000-0000-0000B39F0000}"/>
    <cellStyle name="Note 4 6 15 2 11" xfId="43536" xr:uid="{00000000-0005-0000-0000-0000B49F0000}"/>
    <cellStyle name="Note 4 6 15 2 12" xfId="47289" xr:uid="{00000000-0005-0000-0000-0000B59F0000}"/>
    <cellStyle name="Note 4 6 15 2 2" xfId="8331" xr:uid="{00000000-0005-0000-0000-0000B69F0000}"/>
    <cellStyle name="Note 4 6 15 2 3" xfId="12774" xr:uid="{00000000-0005-0000-0000-0000B79F0000}"/>
    <cellStyle name="Note 4 6 15 2 4" xfId="16617" xr:uid="{00000000-0005-0000-0000-0000B89F0000}"/>
    <cellStyle name="Note 4 6 15 2 5" xfId="20470" xr:uid="{00000000-0005-0000-0000-0000B99F0000}"/>
    <cellStyle name="Note 4 6 15 2 6" xfId="24380" xr:uid="{00000000-0005-0000-0000-0000BA9F0000}"/>
    <cellStyle name="Note 4 6 15 2 7" xfId="28220" xr:uid="{00000000-0005-0000-0000-0000BB9F0000}"/>
    <cellStyle name="Note 4 6 15 2 8" xfId="32078" xr:uid="{00000000-0005-0000-0000-0000BC9F0000}"/>
    <cellStyle name="Note 4 6 15 2 9" xfId="35727" xr:uid="{00000000-0005-0000-0000-0000BD9F0000}"/>
    <cellStyle name="Note 4 6 15 3" xfId="6388" xr:uid="{00000000-0005-0000-0000-0000BE9F0000}"/>
    <cellStyle name="Note 4 6 15 4" xfId="10811" xr:uid="{00000000-0005-0000-0000-0000BF9F0000}"/>
    <cellStyle name="Note 4 6 15 5" xfId="14655" xr:uid="{00000000-0005-0000-0000-0000C09F0000}"/>
    <cellStyle name="Note 4 6 15 6" xfId="18490" xr:uid="{00000000-0005-0000-0000-0000C19F0000}"/>
    <cellStyle name="Note 4 6 15 7" xfId="22425" xr:uid="{00000000-0005-0000-0000-0000C29F0000}"/>
    <cellStyle name="Note 4 6 15 8" xfId="26241" xr:uid="{00000000-0005-0000-0000-0000C39F0000}"/>
    <cellStyle name="Note 4 6 15 9" xfId="30120" xr:uid="{00000000-0005-0000-0000-0000C49F0000}"/>
    <cellStyle name="Note 4 6 16" xfId="2565" xr:uid="{00000000-0005-0000-0000-0000C59F0000}"/>
    <cellStyle name="Note 4 6 16 10" xfId="37617" xr:uid="{00000000-0005-0000-0000-0000C69F0000}"/>
    <cellStyle name="Note 4 6 16 11" xfId="41631" xr:uid="{00000000-0005-0000-0000-0000C79F0000}"/>
    <cellStyle name="Note 4 6 16 12" xfId="45420" xr:uid="{00000000-0005-0000-0000-0000C89F0000}"/>
    <cellStyle name="Note 4 6 16 2" xfId="6457" xr:uid="{00000000-0005-0000-0000-0000C99F0000}"/>
    <cellStyle name="Note 4 6 16 3" xfId="10880" xr:uid="{00000000-0005-0000-0000-0000CA9F0000}"/>
    <cellStyle name="Note 4 6 16 4" xfId="14724" xr:uid="{00000000-0005-0000-0000-0000CB9F0000}"/>
    <cellStyle name="Note 4 6 16 5" xfId="18559" xr:uid="{00000000-0005-0000-0000-0000CC9F0000}"/>
    <cellStyle name="Note 4 6 16 6" xfId="22494" xr:uid="{00000000-0005-0000-0000-0000CD9F0000}"/>
    <cellStyle name="Note 4 6 16 7" xfId="26310" xr:uid="{00000000-0005-0000-0000-0000CE9F0000}"/>
    <cellStyle name="Note 4 6 16 8" xfId="30189" xr:uid="{00000000-0005-0000-0000-0000CF9F0000}"/>
    <cellStyle name="Note 4 6 16 9" xfId="33858" xr:uid="{00000000-0005-0000-0000-0000D09F0000}"/>
    <cellStyle name="Note 4 6 17" xfId="4533" xr:uid="{00000000-0005-0000-0000-0000D19F0000}"/>
    <cellStyle name="Note 4 6 18" xfId="8379" xr:uid="{00000000-0005-0000-0000-0000D29F0000}"/>
    <cellStyle name="Note 4 6 19" xfId="8750" xr:uid="{00000000-0005-0000-0000-0000D39F0000}"/>
    <cellStyle name="Note 4 6 2" xfId="694" xr:uid="{00000000-0005-0000-0000-0000D49F0000}"/>
    <cellStyle name="Note 4 6 2 10" xfId="24428" xr:uid="{00000000-0005-0000-0000-0000D59F0000}"/>
    <cellStyle name="Note 4 6 2 11" xfId="28321" xr:uid="{00000000-0005-0000-0000-0000D69F0000}"/>
    <cellStyle name="Note 4 6 2 12" xfId="28337" xr:uid="{00000000-0005-0000-0000-0000D79F0000}"/>
    <cellStyle name="Note 4 6 2 13" xfId="35765" xr:uid="{00000000-0005-0000-0000-0000D89F0000}"/>
    <cellStyle name="Note 4 6 2 14" xfId="39788" xr:uid="{00000000-0005-0000-0000-0000D99F0000}"/>
    <cellStyle name="Note 4 6 2 15" xfId="43591" xr:uid="{00000000-0005-0000-0000-0000DA9F0000}"/>
    <cellStyle name="Note 4 6 2 2" xfId="1074" xr:uid="{00000000-0005-0000-0000-0000DB9F0000}"/>
    <cellStyle name="Note 4 6 2 2 10" xfId="28685" xr:uid="{00000000-0005-0000-0000-0000DC9F0000}"/>
    <cellStyle name="Note 4 6 2 2 11" xfId="32371" xr:uid="{00000000-0005-0000-0000-0000DD9F0000}"/>
    <cellStyle name="Note 4 6 2 2 12" xfId="36132" xr:uid="{00000000-0005-0000-0000-0000DE9F0000}"/>
    <cellStyle name="Note 4 6 2 2 13" xfId="40135" xr:uid="{00000000-0005-0000-0000-0000DF9F0000}"/>
    <cellStyle name="Note 4 6 2 2 14" xfId="43958" xr:uid="{00000000-0005-0000-0000-0000E09F0000}"/>
    <cellStyle name="Note 4 6 2 2 2" xfId="1801" xr:uid="{00000000-0005-0000-0000-0000E19F0000}"/>
    <cellStyle name="Note 4 6 2 2 2 10" xfId="33088" xr:uid="{00000000-0005-0000-0000-0000E29F0000}"/>
    <cellStyle name="Note 4 6 2 2 2 11" xfId="36858" xr:uid="{00000000-0005-0000-0000-0000E39F0000}"/>
    <cellStyle name="Note 4 6 2 2 2 12" xfId="40849" xr:uid="{00000000-0005-0000-0000-0000E49F0000}"/>
    <cellStyle name="Note 4 6 2 2 2 13" xfId="44680" xr:uid="{00000000-0005-0000-0000-0000E59F0000}"/>
    <cellStyle name="Note 4 6 2 2 2 2" xfId="3791" xr:uid="{00000000-0005-0000-0000-0000E69F0000}"/>
    <cellStyle name="Note 4 6 2 2 2 2 10" xfId="38842" xr:uid="{00000000-0005-0000-0000-0000E79F0000}"/>
    <cellStyle name="Note 4 6 2 2 2 2 11" xfId="42853" xr:uid="{00000000-0005-0000-0000-0000E89F0000}"/>
    <cellStyle name="Note 4 6 2 2 2 2 12" xfId="46618" xr:uid="{00000000-0005-0000-0000-0000E99F0000}"/>
    <cellStyle name="Note 4 6 2 2 2 2 2" xfId="7658" xr:uid="{00000000-0005-0000-0000-0000EA9F0000}"/>
    <cellStyle name="Note 4 6 2 2 2 2 3" xfId="12093" xr:uid="{00000000-0005-0000-0000-0000EB9F0000}"/>
    <cellStyle name="Note 4 6 2 2 2 2 4" xfId="15938" xr:uid="{00000000-0005-0000-0000-0000EC9F0000}"/>
    <cellStyle name="Note 4 6 2 2 2 2 5" xfId="19785" xr:uid="{00000000-0005-0000-0000-0000ED9F0000}"/>
    <cellStyle name="Note 4 6 2 2 2 2 6" xfId="23701" xr:uid="{00000000-0005-0000-0000-0000EE9F0000}"/>
    <cellStyle name="Note 4 6 2 2 2 2 7" xfId="27535" xr:uid="{00000000-0005-0000-0000-0000EF9F0000}"/>
    <cellStyle name="Note 4 6 2 2 2 2 8" xfId="31399" xr:uid="{00000000-0005-0000-0000-0000F09F0000}"/>
    <cellStyle name="Note 4 6 2 2 2 2 9" xfId="35056" xr:uid="{00000000-0005-0000-0000-0000F19F0000}"/>
    <cellStyle name="Note 4 6 2 2 2 3" xfId="5734" xr:uid="{00000000-0005-0000-0000-0000F29F0000}"/>
    <cellStyle name="Note 4 6 2 2 2 4" xfId="10092" xr:uid="{00000000-0005-0000-0000-0000F39F0000}"/>
    <cellStyle name="Note 4 6 2 2 2 5" xfId="13938" xr:uid="{00000000-0005-0000-0000-0000F49F0000}"/>
    <cellStyle name="Note 4 6 2 2 2 6" xfId="17767" xr:uid="{00000000-0005-0000-0000-0000F59F0000}"/>
    <cellStyle name="Note 4 6 2 2 2 7" xfId="21706" xr:uid="{00000000-0005-0000-0000-0000F69F0000}"/>
    <cellStyle name="Note 4 6 2 2 2 8" xfId="25519" xr:uid="{00000000-0005-0000-0000-0000F79F0000}"/>
    <cellStyle name="Note 4 6 2 2 2 9" xfId="29406" xr:uid="{00000000-0005-0000-0000-0000F89F0000}"/>
    <cellStyle name="Note 4 6 2 2 3" xfId="3064" xr:uid="{00000000-0005-0000-0000-0000F99F0000}"/>
    <cellStyle name="Note 4 6 2 2 3 10" xfId="38116" xr:uid="{00000000-0005-0000-0000-0000FA9F0000}"/>
    <cellStyle name="Note 4 6 2 2 3 11" xfId="42128" xr:uid="{00000000-0005-0000-0000-0000FB9F0000}"/>
    <cellStyle name="Note 4 6 2 2 3 12" xfId="45901" xr:uid="{00000000-0005-0000-0000-0000FC9F0000}"/>
    <cellStyle name="Note 4 6 2 2 3 2" xfId="6940" xr:uid="{00000000-0005-0000-0000-0000FD9F0000}"/>
    <cellStyle name="Note 4 6 2 2 3 3" xfId="11369" xr:uid="{00000000-0005-0000-0000-0000FE9F0000}"/>
    <cellStyle name="Note 4 6 2 2 3 4" xfId="15213" xr:uid="{00000000-0005-0000-0000-0000FF9F0000}"/>
    <cellStyle name="Note 4 6 2 2 3 5" xfId="19058" xr:uid="{00000000-0005-0000-0000-000000A00000}"/>
    <cellStyle name="Note 4 6 2 2 3 6" xfId="22980" xr:uid="{00000000-0005-0000-0000-000001A00000}"/>
    <cellStyle name="Note 4 6 2 2 3 7" xfId="26809" xr:uid="{00000000-0005-0000-0000-000002A00000}"/>
    <cellStyle name="Note 4 6 2 2 3 8" xfId="30683" xr:uid="{00000000-0005-0000-0000-000003A00000}"/>
    <cellStyle name="Note 4 6 2 2 3 9" xfId="34339" xr:uid="{00000000-0005-0000-0000-000004A00000}"/>
    <cellStyle name="Note 4 6 2 2 4" xfId="5016" xr:uid="{00000000-0005-0000-0000-000005A00000}"/>
    <cellStyle name="Note 4 6 2 2 5" xfId="9372" xr:uid="{00000000-0005-0000-0000-000006A00000}"/>
    <cellStyle name="Note 4 6 2 2 6" xfId="13212" xr:uid="{00000000-0005-0000-0000-000007A00000}"/>
    <cellStyle name="Note 4 6 2 2 7" xfId="17040" xr:uid="{00000000-0005-0000-0000-000008A00000}"/>
    <cellStyle name="Note 4 6 2 2 8" xfId="20982" xr:uid="{00000000-0005-0000-0000-000009A00000}"/>
    <cellStyle name="Note 4 6 2 2 9" xfId="24796" xr:uid="{00000000-0005-0000-0000-00000AA00000}"/>
    <cellStyle name="Note 4 6 2 3" xfId="1448" xr:uid="{00000000-0005-0000-0000-00000BA00000}"/>
    <cellStyle name="Note 4 6 2 3 10" xfId="32735" xr:uid="{00000000-0005-0000-0000-00000CA00000}"/>
    <cellStyle name="Note 4 6 2 3 11" xfId="36505" xr:uid="{00000000-0005-0000-0000-00000DA00000}"/>
    <cellStyle name="Note 4 6 2 3 12" xfId="40496" xr:uid="{00000000-0005-0000-0000-00000EA00000}"/>
    <cellStyle name="Note 4 6 2 3 13" xfId="44327" xr:uid="{00000000-0005-0000-0000-00000FA00000}"/>
    <cellStyle name="Note 4 6 2 3 2" xfId="3438" xr:uid="{00000000-0005-0000-0000-000010A00000}"/>
    <cellStyle name="Note 4 6 2 3 2 10" xfId="38489" xr:uid="{00000000-0005-0000-0000-000011A00000}"/>
    <cellStyle name="Note 4 6 2 3 2 11" xfId="42500" xr:uid="{00000000-0005-0000-0000-000012A00000}"/>
    <cellStyle name="Note 4 6 2 3 2 12" xfId="46265" xr:uid="{00000000-0005-0000-0000-000013A00000}"/>
    <cellStyle name="Note 4 6 2 3 2 2" xfId="7305" xr:uid="{00000000-0005-0000-0000-000014A00000}"/>
    <cellStyle name="Note 4 6 2 3 2 3" xfId="11740" xr:uid="{00000000-0005-0000-0000-000015A00000}"/>
    <cellStyle name="Note 4 6 2 3 2 4" xfId="15585" xr:uid="{00000000-0005-0000-0000-000016A00000}"/>
    <cellStyle name="Note 4 6 2 3 2 5" xfId="19432" xr:uid="{00000000-0005-0000-0000-000017A00000}"/>
    <cellStyle name="Note 4 6 2 3 2 6" xfId="23348" xr:uid="{00000000-0005-0000-0000-000018A00000}"/>
    <cellStyle name="Note 4 6 2 3 2 7" xfId="27182" xr:uid="{00000000-0005-0000-0000-000019A00000}"/>
    <cellStyle name="Note 4 6 2 3 2 8" xfId="31050" xr:uid="{00000000-0005-0000-0000-00001AA00000}"/>
    <cellStyle name="Note 4 6 2 3 2 9" xfId="34703" xr:uid="{00000000-0005-0000-0000-00001BA00000}"/>
    <cellStyle name="Note 4 6 2 3 3" xfId="5381" xr:uid="{00000000-0005-0000-0000-00001CA00000}"/>
    <cellStyle name="Note 4 6 2 3 4" xfId="9739" xr:uid="{00000000-0005-0000-0000-00001DA00000}"/>
    <cellStyle name="Note 4 6 2 3 5" xfId="13585" xr:uid="{00000000-0005-0000-0000-00001EA00000}"/>
    <cellStyle name="Note 4 6 2 3 6" xfId="17414" xr:uid="{00000000-0005-0000-0000-00001FA00000}"/>
    <cellStyle name="Note 4 6 2 3 7" xfId="21353" xr:uid="{00000000-0005-0000-0000-000020A00000}"/>
    <cellStyle name="Note 4 6 2 3 8" xfId="25166" xr:uid="{00000000-0005-0000-0000-000021A00000}"/>
    <cellStyle name="Note 4 6 2 3 9" xfId="29053" xr:uid="{00000000-0005-0000-0000-000022A00000}"/>
    <cellStyle name="Note 4 6 2 4" xfId="2697" xr:uid="{00000000-0005-0000-0000-000023A00000}"/>
    <cellStyle name="Note 4 6 2 4 10" xfId="37749" xr:uid="{00000000-0005-0000-0000-000024A00000}"/>
    <cellStyle name="Note 4 6 2 4 11" xfId="41763" xr:uid="{00000000-0005-0000-0000-000025A00000}"/>
    <cellStyle name="Note 4 6 2 4 12" xfId="45548" xr:uid="{00000000-0005-0000-0000-000026A00000}"/>
    <cellStyle name="Note 4 6 2 4 2" xfId="6585" xr:uid="{00000000-0005-0000-0000-000027A00000}"/>
    <cellStyle name="Note 4 6 2 4 3" xfId="11009" xr:uid="{00000000-0005-0000-0000-000028A00000}"/>
    <cellStyle name="Note 4 6 2 4 4" xfId="14853" xr:uid="{00000000-0005-0000-0000-000029A00000}"/>
    <cellStyle name="Note 4 6 2 4 5" xfId="18691" xr:uid="{00000000-0005-0000-0000-00002AA00000}"/>
    <cellStyle name="Note 4 6 2 4 6" xfId="22622" xr:uid="{00000000-0005-0000-0000-00002BA00000}"/>
    <cellStyle name="Note 4 6 2 4 7" xfId="26442" xr:uid="{00000000-0005-0000-0000-00002CA00000}"/>
    <cellStyle name="Note 4 6 2 4 8" xfId="30321" xr:uid="{00000000-0005-0000-0000-00002DA00000}"/>
    <cellStyle name="Note 4 6 2 4 9" xfId="33986" xr:uid="{00000000-0005-0000-0000-00002EA00000}"/>
    <cellStyle name="Note 4 6 2 5" xfId="4661" xr:uid="{00000000-0005-0000-0000-00002FA00000}"/>
    <cellStyle name="Note 4 6 2 6" xfId="9003" xr:uid="{00000000-0005-0000-0000-000030A00000}"/>
    <cellStyle name="Note 4 6 2 7" xfId="12840" xr:uid="{00000000-0005-0000-0000-000031A00000}"/>
    <cellStyle name="Note 4 6 2 8" xfId="16670" xr:uid="{00000000-0005-0000-0000-000032A00000}"/>
    <cellStyle name="Note 4 6 2 9" xfId="20607" xr:uid="{00000000-0005-0000-0000-000033A00000}"/>
    <cellStyle name="Note 4 6 20" xfId="8870" xr:uid="{00000000-0005-0000-0000-000034A00000}"/>
    <cellStyle name="Note 4 6 21" xfId="8558" xr:uid="{00000000-0005-0000-0000-000035A00000}"/>
    <cellStyle name="Note 4 6 22" xfId="8620" xr:uid="{00000000-0005-0000-0000-000036A00000}"/>
    <cellStyle name="Note 4 6 23" xfId="16490" xr:uid="{00000000-0005-0000-0000-000037A00000}"/>
    <cellStyle name="Note 4 6 24" xfId="8645" xr:uid="{00000000-0005-0000-0000-000038A00000}"/>
    <cellStyle name="Note 4 6 25" xfId="16238" xr:uid="{00000000-0005-0000-0000-000039A00000}"/>
    <cellStyle name="Note 4 6 26" xfId="29910" xr:uid="{00000000-0005-0000-0000-00003AA00000}"/>
    <cellStyle name="Note 4 6 27" xfId="8471" xr:uid="{00000000-0005-0000-0000-00003BA00000}"/>
    <cellStyle name="Note 4 6 28" xfId="39657" xr:uid="{00000000-0005-0000-0000-00003CA00000}"/>
    <cellStyle name="Note 4 6 29" xfId="40211" xr:uid="{00000000-0005-0000-0000-00003DA00000}"/>
    <cellStyle name="Note 4 6 3" xfId="633" xr:uid="{00000000-0005-0000-0000-00003EA00000}"/>
    <cellStyle name="Note 4 6 3 10" xfId="22005" xr:uid="{00000000-0005-0000-0000-00003FA00000}"/>
    <cellStyle name="Note 4 6 3 11" xfId="28260" xr:uid="{00000000-0005-0000-0000-000040A00000}"/>
    <cellStyle name="Note 4 6 3 12" xfId="31500" xr:uid="{00000000-0005-0000-0000-000041A00000}"/>
    <cellStyle name="Note 4 6 3 13" xfId="21962" xr:uid="{00000000-0005-0000-0000-000042A00000}"/>
    <cellStyle name="Note 4 6 3 14" xfId="39728" xr:uid="{00000000-0005-0000-0000-000043A00000}"/>
    <cellStyle name="Note 4 6 3 15" xfId="41130" xr:uid="{00000000-0005-0000-0000-000044A00000}"/>
    <cellStyle name="Note 4 6 3 2" xfId="1013" xr:uid="{00000000-0005-0000-0000-000045A00000}"/>
    <cellStyle name="Note 4 6 3 2 10" xfId="28624" xr:uid="{00000000-0005-0000-0000-000046A00000}"/>
    <cellStyle name="Note 4 6 3 2 11" xfId="32312" xr:uid="{00000000-0005-0000-0000-000047A00000}"/>
    <cellStyle name="Note 4 6 3 2 12" xfId="36071" xr:uid="{00000000-0005-0000-0000-000048A00000}"/>
    <cellStyle name="Note 4 6 3 2 13" xfId="40076" xr:uid="{00000000-0005-0000-0000-000049A00000}"/>
    <cellStyle name="Note 4 6 3 2 14" xfId="43897" xr:uid="{00000000-0005-0000-0000-00004AA00000}"/>
    <cellStyle name="Note 4 6 3 2 2" xfId="1742" xr:uid="{00000000-0005-0000-0000-00004BA00000}"/>
    <cellStyle name="Note 4 6 3 2 2 10" xfId="33029" xr:uid="{00000000-0005-0000-0000-00004CA00000}"/>
    <cellStyle name="Note 4 6 3 2 2 11" xfId="36799" xr:uid="{00000000-0005-0000-0000-00004DA00000}"/>
    <cellStyle name="Note 4 6 3 2 2 12" xfId="40790" xr:uid="{00000000-0005-0000-0000-00004EA00000}"/>
    <cellStyle name="Note 4 6 3 2 2 13" xfId="44621" xr:uid="{00000000-0005-0000-0000-00004FA00000}"/>
    <cellStyle name="Note 4 6 3 2 2 2" xfId="3732" xr:uid="{00000000-0005-0000-0000-000050A00000}"/>
    <cellStyle name="Note 4 6 3 2 2 2 10" xfId="38783" xr:uid="{00000000-0005-0000-0000-000051A00000}"/>
    <cellStyle name="Note 4 6 3 2 2 2 11" xfId="42794" xr:uid="{00000000-0005-0000-0000-000052A00000}"/>
    <cellStyle name="Note 4 6 3 2 2 2 12" xfId="46559" xr:uid="{00000000-0005-0000-0000-000053A00000}"/>
    <cellStyle name="Note 4 6 3 2 2 2 2" xfId="7599" xr:uid="{00000000-0005-0000-0000-000054A00000}"/>
    <cellStyle name="Note 4 6 3 2 2 2 3" xfId="12034" xr:uid="{00000000-0005-0000-0000-000055A00000}"/>
    <cellStyle name="Note 4 6 3 2 2 2 4" xfId="15879" xr:uid="{00000000-0005-0000-0000-000056A00000}"/>
    <cellStyle name="Note 4 6 3 2 2 2 5" xfId="19726" xr:uid="{00000000-0005-0000-0000-000057A00000}"/>
    <cellStyle name="Note 4 6 3 2 2 2 6" xfId="23642" xr:uid="{00000000-0005-0000-0000-000058A00000}"/>
    <cellStyle name="Note 4 6 3 2 2 2 7" xfId="27476" xr:uid="{00000000-0005-0000-0000-000059A00000}"/>
    <cellStyle name="Note 4 6 3 2 2 2 8" xfId="31340" xr:uid="{00000000-0005-0000-0000-00005AA00000}"/>
    <cellStyle name="Note 4 6 3 2 2 2 9" xfId="34997" xr:uid="{00000000-0005-0000-0000-00005BA00000}"/>
    <cellStyle name="Note 4 6 3 2 2 3" xfId="5675" xr:uid="{00000000-0005-0000-0000-00005CA00000}"/>
    <cellStyle name="Note 4 6 3 2 2 4" xfId="10033" xr:uid="{00000000-0005-0000-0000-00005DA00000}"/>
    <cellStyle name="Note 4 6 3 2 2 5" xfId="13879" xr:uid="{00000000-0005-0000-0000-00005EA00000}"/>
    <cellStyle name="Note 4 6 3 2 2 6" xfId="17708" xr:uid="{00000000-0005-0000-0000-00005FA00000}"/>
    <cellStyle name="Note 4 6 3 2 2 7" xfId="21647" xr:uid="{00000000-0005-0000-0000-000060A00000}"/>
    <cellStyle name="Note 4 6 3 2 2 8" xfId="25460" xr:uid="{00000000-0005-0000-0000-000061A00000}"/>
    <cellStyle name="Note 4 6 3 2 2 9" xfId="29347" xr:uid="{00000000-0005-0000-0000-000062A00000}"/>
    <cellStyle name="Note 4 6 3 2 3" xfId="3003" xr:uid="{00000000-0005-0000-0000-000063A00000}"/>
    <cellStyle name="Note 4 6 3 2 3 10" xfId="38055" xr:uid="{00000000-0005-0000-0000-000064A00000}"/>
    <cellStyle name="Note 4 6 3 2 3 11" xfId="42067" xr:uid="{00000000-0005-0000-0000-000065A00000}"/>
    <cellStyle name="Note 4 6 3 2 3 12" xfId="45842" xr:uid="{00000000-0005-0000-0000-000066A00000}"/>
    <cellStyle name="Note 4 6 3 2 3 2" xfId="6881" xr:uid="{00000000-0005-0000-0000-000067A00000}"/>
    <cellStyle name="Note 4 6 3 2 3 3" xfId="11309" xr:uid="{00000000-0005-0000-0000-000068A00000}"/>
    <cellStyle name="Note 4 6 3 2 3 4" xfId="15154" xr:uid="{00000000-0005-0000-0000-000069A00000}"/>
    <cellStyle name="Note 4 6 3 2 3 5" xfId="18997" xr:uid="{00000000-0005-0000-0000-00006AA00000}"/>
    <cellStyle name="Note 4 6 3 2 3 6" xfId="22921" xr:uid="{00000000-0005-0000-0000-00006BA00000}"/>
    <cellStyle name="Note 4 6 3 2 3 7" xfId="26748" xr:uid="{00000000-0005-0000-0000-00006CA00000}"/>
    <cellStyle name="Note 4 6 3 2 3 8" xfId="30622" xr:uid="{00000000-0005-0000-0000-00006DA00000}"/>
    <cellStyle name="Note 4 6 3 2 3 9" xfId="34280" xr:uid="{00000000-0005-0000-0000-00006EA00000}"/>
    <cellStyle name="Note 4 6 3 2 4" xfId="4957" xr:uid="{00000000-0005-0000-0000-00006FA00000}"/>
    <cellStyle name="Note 4 6 3 2 5" xfId="9312" xr:uid="{00000000-0005-0000-0000-000070A00000}"/>
    <cellStyle name="Note 4 6 3 2 6" xfId="13153" xr:uid="{00000000-0005-0000-0000-000071A00000}"/>
    <cellStyle name="Note 4 6 3 2 7" xfId="16979" xr:uid="{00000000-0005-0000-0000-000072A00000}"/>
    <cellStyle name="Note 4 6 3 2 8" xfId="20921" xr:uid="{00000000-0005-0000-0000-000073A00000}"/>
    <cellStyle name="Note 4 6 3 2 9" xfId="24736" xr:uid="{00000000-0005-0000-0000-000074A00000}"/>
    <cellStyle name="Note 4 6 3 3" xfId="1389" xr:uid="{00000000-0005-0000-0000-000075A00000}"/>
    <cellStyle name="Note 4 6 3 3 10" xfId="32676" xr:uid="{00000000-0005-0000-0000-000076A00000}"/>
    <cellStyle name="Note 4 6 3 3 11" xfId="36446" xr:uid="{00000000-0005-0000-0000-000077A00000}"/>
    <cellStyle name="Note 4 6 3 3 12" xfId="40437" xr:uid="{00000000-0005-0000-0000-000078A00000}"/>
    <cellStyle name="Note 4 6 3 3 13" xfId="44268" xr:uid="{00000000-0005-0000-0000-000079A00000}"/>
    <cellStyle name="Note 4 6 3 3 2" xfId="3379" xr:uid="{00000000-0005-0000-0000-00007AA00000}"/>
    <cellStyle name="Note 4 6 3 3 2 10" xfId="38430" xr:uid="{00000000-0005-0000-0000-00007BA00000}"/>
    <cellStyle name="Note 4 6 3 3 2 11" xfId="42441" xr:uid="{00000000-0005-0000-0000-00007CA00000}"/>
    <cellStyle name="Note 4 6 3 3 2 12" xfId="46206" xr:uid="{00000000-0005-0000-0000-00007DA00000}"/>
    <cellStyle name="Note 4 6 3 3 2 2" xfId="7246" xr:uid="{00000000-0005-0000-0000-00007EA00000}"/>
    <cellStyle name="Note 4 6 3 3 2 3" xfId="11681" xr:uid="{00000000-0005-0000-0000-00007FA00000}"/>
    <cellStyle name="Note 4 6 3 3 2 4" xfId="15526" xr:uid="{00000000-0005-0000-0000-000080A00000}"/>
    <cellStyle name="Note 4 6 3 3 2 5" xfId="19373" xr:uid="{00000000-0005-0000-0000-000081A00000}"/>
    <cellStyle name="Note 4 6 3 3 2 6" xfId="23289" xr:uid="{00000000-0005-0000-0000-000082A00000}"/>
    <cellStyle name="Note 4 6 3 3 2 7" xfId="27123" xr:uid="{00000000-0005-0000-0000-000083A00000}"/>
    <cellStyle name="Note 4 6 3 3 2 8" xfId="30991" xr:uid="{00000000-0005-0000-0000-000084A00000}"/>
    <cellStyle name="Note 4 6 3 3 2 9" xfId="34644" xr:uid="{00000000-0005-0000-0000-000085A00000}"/>
    <cellStyle name="Note 4 6 3 3 3" xfId="5322" xr:uid="{00000000-0005-0000-0000-000086A00000}"/>
    <cellStyle name="Note 4 6 3 3 4" xfId="9680" xr:uid="{00000000-0005-0000-0000-000087A00000}"/>
    <cellStyle name="Note 4 6 3 3 5" xfId="13526" xr:uid="{00000000-0005-0000-0000-000088A00000}"/>
    <cellStyle name="Note 4 6 3 3 6" xfId="17355" xr:uid="{00000000-0005-0000-0000-000089A00000}"/>
    <cellStyle name="Note 4 6 3 3 7" xfId="21294" xr:uid="{00000000-0005-0000-0000-00008AA00000}"/>
    <cellStyle name="Note 4 6 3 3 8" xfId="25107" xr:uid="{00000000-0005-0000-0000-00008BA00000}"/>
    <cellStyle name="Note 4 6 3 3 9" xfId="28994" xr:uid="{00000000-0005-0000-0000-00008CA00000}"/>
    <cellStyle name="Note 4 6 3 4" xfId="2636" xr:uid="{00000000-0005-0000-0000-00008DA00000}"/>
    <cellStyle name="Note 4 6 3 4 10" xfId="37688" xr:uid="{00000000-0005-0000-0000-00008EA00000}"/>
    <cellStyle name="Note 4 6 3 4 11" xfId="41702" xr:uid="{00000000-0005-0000-0000-00008FA00000}"/>
    <cellStyle name="Note 4 6 3 4 12" xfId="45489" xr:uid="{00000000-0005-0000-0000-000090A00000}"/>
    <cellStyle name="Note 4 6 3 4 2" xfId="6526" xr:uid="{00000000-0005-0000-0000-000091A00000}"/>
    <cellStyle name="Note 4 6 3 4 3" xfId="10950" xr:uid="{00000000-0005-0000-0000-000092A00000}"/>
    <cellStyle name="Note 4 6 3 4 4" xfId="14794" xr:uid="{00000000-0005-0000-0000-000093A00000}"/>
    <cellStyle name="Note 4 6 3 4 5" xfId="18630" xr:uid="{00000000-0005-0000-0000-000094A00000}"/>
    <cellStyle name="Note 4 6 3 4 6" xfId="22563" xr:uid="{00000000-0005-0000-0000-000095A00000}"/>
    <cellStyle name="Note 4 6 3 4 7" xfId="26381" xr:uid="{00000000-0005-0000-0000-000096A00000}"/>
    <cellStyle name="Note 4 6 3 4 8" xfId="30260" xr:uid="{00000000-0005-0000-0000-000097A00000}"/>
    <cellStyle name="Note 4 6 3 4 9" xfId="33927" xr:uid="{00000000-0005-0000-0000-000098A00000}"/>
    <cellStyle name="Note 4 6 3 5" xfId="4602" xr:uid="{00000000-0005-0000-0000-000099A00000}"/>
    <cellStyle name="Note 4 6 3 6" xfId="8942" xr:uid="{00000000-0005-0000-0000-00009AA00000}"/>
    <cellStyle name="Note 4 6 3 7" xfId="8553" xr:uid="{00000000-0005-0000-0000-00009BA00000}"/>
    <cellStyle name="Note 4 6 3 8" xfId="8832" xr:uid="{00000000-0005-0000-0000-00009CA00000}"/>
    <cellStyle name="Note 4 6 3 9" xfId="20546" xr:uid="{00000000-0005-0000-0000-00009DA00000}"/>
    <cellStyle name="Note 4 6 30" xfId="47371" xr:uid="{00000000-0005-0000-0000-00009EA00000}"/>
    <cellStyle name="Note 4 6 31" xfId="47457" xr:uid="{00000000-0005-0000-0000-00009FA00000}"/>
    <cellStyle name="Note 4 6 32" xfId="47506" xr:uid="{00000000-0005-0000-0000-0000A0A00000}"/>
    <cellStyle name="Note 4 6 4" xfId="802" xr:uid="{00000000-0005-0000-0000-0000A1A00000}"/>
    <cellStyle name="Note 4 6 4 10" xfId="24526" xr:uid="{00000000-0005-0000-0000-0000A2A00000}"/>
    <cellStyle name="Note 4 6 4 11" xfId="28417" xr:uid="{00000000-0005-0000-0000-0000A3A00000}"/>
    <cellStyle name="Note 4 6 4 12" xfId="32103" xr:uid="{00000000-0005-0000-0000-0000A4A00000}"/>
    <cellStyle name="Note 4 6 4 13" xfId="35860" xr:uid="{00000000-0005-0000-0000-0000A5A00000}"/>
    <cellStyle name="Note 4 6 4 14" xfId="39871" xr:uid="{00000000-0005-0000-0000-0000A6A00000}"/>
    <cellStyle name="Note 4 6 4 15" xfId="43686" xr:uid="{00000000-0005-0000-0000-0000A7A00000}"/>
    <cellStyle name="Note 4 6 4 2" xfId="1164" xr:uid="{00000000-0005-0000-0000-0000A8A00000}"/>
    <cellStyle name="Note 4 6 4 2 10" xfId="28773" xr:uid="{00000000-0005-0000-0000-0000A9A00000}"/>
    <cellStyle name="Note 4 6 4 2 11" xfId="32456" xr:uid="{00000000-0005-0000-0000-0000AAA00000}"/>
    <cellStyle name="Note 4 6 4 2 12" xfId="36222" xr:uid="{00000000-0005-0000-0000-0000ABA00000}"/>
    <cellStyle name="Note 4 6 4 2 13" xfId="40217" xr:uid="{00000000-0005-0000-0000-0000ACA00000}"/>
    <cellStyle name="Note 4 6 4 2 14" xfId="44048" xr:uid="{00000000-0005-0000-0000-0000ADA00000}"/>
    <cellStyle name="Note 4 6 4 2 2" xfId="1886" xr:uid="{00000000-0005-0000-0000-0000AEA00000}"/>
    <cellStyle name="Note 4 6 4 2 2 10" xfId="33173" xr:uid="{00000000-0005-0000-0000-0000AFA00000}"/>
    <cellStyle name="Note 4 6 4 2 2 11" xfId="36943" xr:uid="{00000000-0005-0000-0000-0000B0A00000}"/>
    <cellStyle name="Note 4 6 4 2 2 12" xfId="40934" xr:uid="{00000000-0005-0000-0000-0000B1A00000}"/>
    <cellStyle name="Note 4 6 4 2 2 13" xfId="44765" xr:uid="{00000000-0005-0000-0000-0000B2A00000}"/>
    <cellStyle name="Note 4 6 4 2 2 2" xfId="3876" xr:uid="{00000000-0005-0000-0000-0000B3A00000}"/>
    <cellStyle name="Note 4 6 4 2 2 2 10" xfId="38927" xr:uid="{00000000-0005-0000-0000-0000B4A00000}"/>
    <cellStyle name="Note 4 6 4 2 2 2 11" xfId="42938" xr:uid="{00000000-0005-0000-0000-0000B5A00000}"/>
    <cellStyle name="Note 4 6 4 2 2 2 12" xfId="46703" xr:uid="{00000000-0005-0000-0000-0000B6A00000}"/>
    <cellStyle name="Note 4 6 4 2 2 2 2" xfId="7743" xr:uid="{00000000-0005-0000-0000-0000B7A00000}"/>
    <cellStyle name="Note 4 6 4 2 2 2 3" xfId="12178" xr:uid="{00000000-0005-0000-0000-0000B8A00000}"/>
    <cellStyle name="Note 4 6 4 2 2 2 4" xfId="16023" xr:uid="{00000000-0005-0000-0000-0000B9A00000}"/>
    <cellStyle name="Note 4 6 4 2 2 2 5" xfId="19870" xr:uid="{00000000-0005-0000-0000-0000BAA00000}"/>
    <cellStyle name="Note 4 6 4 2 2 2 6" xfId="23786" xr:uid="{00000000-0005-0000-0000-0000BBA00000}"/>
    <cellStyle name="Note 4 6 4 2 2 2 7" xfId="27620" xr:uid="{00000000-0005-0000-0000-0000BCA00000}"/>
    <cellStyle name="Note 4 6 4 2 2 2 8" xfId="31483" xr:uid="{00000000-0005-0000-0000-0000BDA00000}"/>
    <cellStyle name="Note 4 6 4 2 2 2 9" xfId="35141" xr:uid="{00000000-0005-0000-0000-0000BEA00000}"/>
    <cellStyle name="Note 4 6 4 2 2 3" xfId="5819" xr:uid="{00000000-0005-0000-0000-0000BFA00000}"/>
    <cellStyle name="Note 4 6 4 2 2 4" xfId="10177" xr:uid="{00000000-0005-0000-0000-0000C0A00000}"/>
    <cellStyle name="Note 4 6 4 2 2 5" xfId="14023" xr:uid="{00000000-0005-0000-0000-0000C1A00000}"/>
    <cellStyle name="Note 4 6 4 2 2 6" xfId="17852" xr:uid="{00000000-0005-0000-0000-0000C2A00000}"/>
    <cellStyle name="Note 4 6 4 2 2 7" xfId="21791" xr:uid="{00000000-0005-0000-0000-0000C3A00000}"/>
    <cellStyle name="Note 4 6 4 2 2 8" xfId="25604" xr:uid="{00000000-0005-0000-0000-0000C4A00000}"/>
    <cellStyle name="Note 4 6 4 2 2 9" xfId="29491" xr:uid="{00000000-0005-0000-0000-0000C5A00000}"/>
    <cellStyle name="Note 4 6 4 2 3" xfId="3154" xr:uid="{00000000-0005-0000-0000-0000C6A00000}"/>
    <cellStyle name="Note 4 6 4 2 3 10" xfId="38206" xr:uid="{00000000-0005-0000-0000-0000C7A00000}"/>
    <cellStyle name="Note 4 6 4 2 3 11" xfId="42217" xr:uid="{00000000-0005-0000-0000-0000C8A00000}"/>
    <cellStyle name="Note 4 6 4 2 3 12" xfId="45986" xr:uid="{00000000-0005-0000-0000-0000C9A00000}"/>
    <cellStyle name="Note 4 6 4 2 3 2" xfId="7026" xr:uid="{00000000-0005-0000-0000-0000CAA00000}"/>
    <cellStyle name="Note 4 6 4 2 3 3" xfId="11458" xr:uid="{00000000-0005-0000-0000-0000CBA00000}"/>
    <cellStyle name="Note 4 6 4 2 3 4" xfId="15302" xr:uid="{00000000-0005-0000-0000-0000CCA00000}"/>
    <cellStyle name="Note 4 6 4 2 3 5" xfId="19148" xr:uid="{00000000-0005-0000-0000-0000CDA00000}"/>
    <cellStyle name="Note 4 6 4 2 3 6" xfId="23067" xr:uid="{00000000-0005-0000-0000-0000CEA00000}"/>
    <cellStyle name="Note 4 6 4 2 3 7" xfId="26899" xr:uid="{00000000-0005-0000-0000-0000CFA00000}"/>
    <cellStyle name="Note 4 6 4 2 3 8" xfId="30771" xr:uid="{00000000-0005-0000-0000-0000D0A00000}"/>
    <cellStyle name="Note 4 6 4 2 3 9" xfId="34424" xr:uid="{00000000-0005-0000-0000-0000D1A00000}"/>
    <cellStyle name="Note 4 6 4 2 4" xfId="5102" xr:uid="{00000000-0005-0000-0000-0000D2A00000}"/>
    <cellStyle name="Note 4 6 4 2 5" xfId="9458" xr:uid="{00000000-0005-0000-0000-0000D3A00000}"/>
    <cellStyle name="Note 4 6 4 2 6" xfId="13302" xr:uid="{00000000-0005-0000-0000-0000D4A00000}"/>
    <cellStyle name="Note 4 6 4 2 7" xfId="17130" xr:uid="{00000000-0005-0000-0000-0000D5A00000}"/>
    <cellStyle name="Note 4 6 4 2 8" xfId="21072" xr:uid="{00000000-0005-0000-0000-0000D6A00000}"/>
    <cellStyle name="Note 4 6 4 2 9" xfId="24883" xr:uid="{00000000-0005-0000-0000-0000D7A00000}"/>
    <cellStyle name="Note 4 6 4 3" xfId="1533" xr:uid="{00000000-0005-0000-0000-0000D8A00000}"/>
    <cellStyle name="Note 4 6 4 3 10" xfId="32820" xr:uid="{00000000-0005-0000-0000-0000D9A00000}"/>
    <cellStyle name="Note 4 6 4 3 11" xfId="36590" xr:uid="{00000000-0005-0000-0000-0000DAA00000}"/>
    <cellStyle name="Note 4 6 4 3 12" xfId="40581" xr:uid="{00000000-0005-0000-0000-0000DBA00000}"/>
    <cellStyle name="Note 4 6 4 3 13" xfId="44412" xr:uid="{00000000-0005-0000-0000-0000DCA00000}"/>
    <cellStyle name="Note 4 6 4 3 2" xfId="3523" xr:uid="{00000000-0005-0000-0000-0000DDA00000}"/>
    <cellStyle name="Note 4 6 4 3 2 10" xfId="38574" xr:uid="{00000000-0005-0000-0000-0000DEA00000}"/>
    <cellStyle name="Note 4 6 4 3 2 11" xfId="42585" xr:uid="{00000000-0005-0000-0000-0000DFA00000}"/>
    <cellStyle name="Note 4 6 4 3 2 12" xfId="46350" xr:uid="{00000000-0005-0000-0000-0000E0A00000}"/>
    <cellStyle name="Note 4 6 4 3 2 2" xfId="7390" xr:uid="{00000000-0005-0000-0000-0000E1A00000}"/>
    <cellStyle name="Note 4 6 4 3 2 3" xfId="11825" xr:uid="{00000000-0005-0000-0000-0000E2A00000}"/>
    <cellStyle name="Note 4 6 4 3 2 4" xfId="15670" xr:uid="{00000000-0005-0000-0000-0000E3A00000}"/>
    <cellStyle name="Note 4 6 4 3 2 5" xfId="19517" xr:uid="{00000000-0005-0000-0000-0000E4A00000}"/>
    <cellStyle name="Note 4 6 4 3 2 6" xfId="23433" xr:uid="{00000000-0005-0000-0000-0000E5A00000}"/>
    <cellStyle name="Note 4 6 4 3 2 7" xfId="27267" xr:uid="{00000000-0005-0000-0000-0000E6A00000}"/>
    <cellStyle name="Note 4 6 4 3 2 8" xfId="31134" xr:uid="{00000000-0005-0000-0000-0000E7A00000}"/>
    <cellStyle name="Note 4 6 4 3 2 9" xfId="34788" xr:uid="{00000000-0005-0000-0000-0000E8A00000}"/>
    <cellStyle name="Note 4 6 4 3 3" xfId="5466" xr:uid="{00000000-0005-0000-0000-0000E9A00000}"/>
    <cellStyle name="Note 4 6 4 3 4" xfId="9824" xr:uid="{00000000-0005-0000-0000-0000EAA00000}"/>
    <cellStyle name="Note 4 6 4 3 5" xfId="13670" xr:uid="{00000000-0005-0000-0000-0000EBA00000}"/>
    <cellStyle name="Note 4 6 4 3 6" xfId="17499" xr:uid="{00000000-0005-0000-0000-0000ECA00000}"/>
    <cellStyle name="Note 4 6 4 3 7" xfId="21438" xr:uid="{00000000-0005-0000-0000-0000EDA00000}"/>
    <cellStyle name="Note 4 6 4 3 8" xfId="25251" xr:uid="{00000000-0005-0000-0000-0000EEA00000}"/>
    <cellStyle name="Note 4 6 4 3 9" xfId="29138" xr:uid="{00000000-0005-0000-0000-0000EFA00000}"/>
    <cellStyle name="Note 4 6 4 4" xfId="2792" xr:uid="{00000000-0005-0000-0000-0000F0A00000}"/>
    <cellStyle name="Note 4 6 4 4 10" xfId="37844" xr:uid="{00000000-0005-0000-0000-0000F1A00000}"/>
    <cellStyle name="Note 4 6 4 4 11" xfId="41856" xr:uid="{00000000-0005-0000-0000-0000F2A00000}"/>
    <cellStyle name="Note 4 6 4 4 12" xfId="45633" xr:uid="{00000000-0005-0000-0000-0000F3A00000}"/>
    <cellStyle name="Note 4 6 4 4 2" xfId="6672" xr:uid="{00000000-0005-0000-0000-0000F4A00000}"/>
    <cellStyle name="Note 4 6 4 4 3" xfId="11099" xr:uid="{00000000-0005-0000-0000-0000F5A00000}"/>
    <cellStyle name="Note 4 6 4 4 4" xfId="14944" xr:uid="{00000000-0005-0000-0000-0000F6A00000}"/>
    <cellStyle name="Note 4 6 4 4 5" xfId="18786" xr:uid="{00000000-0005-0000-0000-0000F7A00000}"/>
    <cellStyle name="Note 4 6 4 4 6" xfId="22712" xr:uid="{00000000-0005-0000-0000-0000F8A00000}"/>
    <cellStyle name="Note 4 6 4 4 7" xfId="26537" xr:uid="{00000000-0005-0000-0000-0000F9A00000}"/>
    <cellStyle name="Note 4 6 4 4 8" xfId="30415" xr:uid="{00000000-0005-0000-0000-0000FAA00000}"/>
    <cellStyle name="Note 4 6 4 4 9" xfId="34071" xr:uid="{00000000-0005-0000-0000-0000FBA00000}"/>
    <cellStyle name="Note 4 6 4 5" xfId="4748" xr:uid="{00000000-0005-0000-0000-0000FCA00000}"/>
    <cellStyle name="Note 4 6 4 6" xfId="9102" xr:uid="{00000000-0005-0000-0000-0000FDA00000}"/>
    <cellStyle name="Note 4 6 4 7" xfId="12943" xr:uid="{00000000-0005-0000-0000-0000FEA00000}"/>
    <cellStyle name="Note 4 6 4 8" xfId="16768" xr:uid="{00000000-0005-0000-0000-0000FFA00000}"/>
    <cellStyle name="Note 4 6 4 9" xfId="20710" xr:uid="{00000000-0005-0000-0000-000000A10000}"/>
    <cellStyle name="Note 4 6 5" xfId="894" xr:uid="{00000000-0005-0000-0000-000001A10000}"/>
    <cellStyle name="Note 4 6 5 10" xfId="24618" xr:uid="{00000000-0005-0000-0000-000002A10000}"/>
    <cellStyle name="Note 4 6 5 11" xfId="28508" xr:uid="{00000000-0005-0000-0000-000003A10000}"/>
    <cellStyle name="Note 4 6 5 12" xfId="32195" xr:uid="{00000000-0005-0000-0000-000004A10000}"/>
    <cellStyle name="Note 4 6 5 13" xfId="35952" xr:uid="{00000000-0005-0000-0000-000005A10000}"/>
    <cellStyle name="Note 4 6 5 14" xfId="39962" xr:uid="{00000000-0005-0000-0000-000006A10000}"/>
    <cellStyle name="Note 4 6 5 15" xfId="43778" xr:uid="{00000000-0005-0000-0000-000007A10000}"/>
    <cellStyle name="Note 4 6 5 2" xfId="1231" xr:uid="{00000000-0005-0000-0000-000008A10000}"/>
    <cellStyle name="Note 4 6 5 2 10" xfId="28839" xr:uid="{00000000-0005-0000-0000-000009A10000}"/>
    <cellStyle name="Note 4 6 5 2 11" xfId="32523" xr:uid="{00000000-0005-0000-0000-00000AA10000}"/>
    <cellStyle name="Note 4 6 5 2 12" xfId="36289" xr:uid="{00000000-0005-0000-0000-00000BA10000}"/>
    <cellStyle name="Note 4 6 5 2 13" xfId="40282" xr:uid="{00000000-0005-0000-0000-00000CA10000}"/>
    <cellStyle name="Note 4 6 5 2 14" xfId="44115" xr:uid="{00000000-0005-0000-0000-00000DA10000}"/>
    <cellStyle name="Note 4 6 5 2 2" xfId="1953" xr:uid="{00000000-0005-0000-0000-00000EA10000}"/>
    <cellStyle name="Note 4 6 5 2 2 10" xfId="33240" xr:uid="{00000000-0005-0000-0000-00000FA10000}"/>
    <cellStyle name="Note 4 6 5 2 2 11" xfId="37010" xr:uid="{00000000-0005-0000-0000-000010A10000}"/>
    <cellStyle name="Note 4 6 5 2 2 12" xfId="41001" xr:uid="{00000000-0005-0000-0000-000011A10000}"/>
    <cellStyle name="Note 4 6 5 2 2 13" xfId="44832" xr:uid="{00000000-0005-0000-0000-000012A10000}"/>
    <cellStyle name="Note 4 6 5 2 2 2" xfId="3943" xr:uid="{00000000-0005-0000-0000-000013A10000}"/>
    <cellStyle name="Note 4 6 5 2 2 2 10" xfId="38994" xr:uid="{00000000-0005-0000-0000-000014A10000}"/>
    <cellStyle name="Note 4 6 5 2 2 2 11" xfId="43005" xr:uid="{00000000-0005-0000-0000-000015A10000}"/>
    <cellStyle name="Note 4 6 5 2 2 2 12" xfId="46770" xr:uid="{00000000-0005-0000-0000-000016A10000}"/>
    <cellStyle name="Note 4 6 5 2 2 2 2" xfId="7810" xr:uid="{00000000-0005-0000-0000-000017A10000}"/>
    <cellStyle name="Note 4 6 5 2 2 2 3" xfId="12245" xr:uid="{00000000-0005-0000-0000-000018A10000}"/>
    <cellStyle name="Note 4 6 5 2 2 2 4" xfId="16090" xr:uid="{00000000-0005-0000-0000-000019A10000}"/>
    <cellStyle name="Note 4 6 5 2 2 2 5" xfId="19937" xr:uid="{00000000-0005-0000-0000-00001AA10000}"/>
    <cellStyle name="Note 4 6 5 2 2 2 6" xfId="23853" xr:uid="{00000000-0005-0000-0000-00001BA10000}"/>
    <cellStyle name="Note 4 6 5 2 2 2 7" xfId="27687" xr:uid="{00000000-0005-0000-0000-00001CA10000}"/>
    <cellStyle name="Note 4 6 5 2 2 2 8" xfId="31548" xr:uid="{00000000-0005-0000-0000-00001DA10000}"/>
    <cellStyle name="Note 4 6 5 2 2 2 9" xfId="35208" xr:uid="{00000000-0005-0000-0000-00001EA10000}"/>
    <cellStyle name="Note 4 6 5 2 2 3" xfId="5886" xr:uid="{00000000-0005-0000-0000-00001FA10000}"/>
    <cellStyle name="Note 4 6 5 2 2 4" xfId="10244" xr:uid="{00000000-0005-0000-0000-000020A10000}"/>
    <cellStyle name="Note 4 6 5 2 2 5" xfId="14090" xr:uid="{00000000-0005-0000-0000-000021A10000}"/>
    <cellStyle name="Note 4 6 5 2 2 6" xfId="17919" xr:uid="{00000000-0005-0000-0000-000022A10000}"/>
    <cellStyle name="Note 4 6 5 2 2 7" xfId="21858" xr:uid="{00000000-0005-0000-0000-000023A10000}"/>
    <cellStyle name="Note 4 6 5 2 2 8" xfId="25671" xr:uid="{00000000-0005-0000-0000-000024A10000}"/>
    <cellStyle name="Note 4 6 5 2 2 9" xfId="29558" xr:uid="{00000000-0005-0000-0000-000025A10000}"/>
    <cellStyle name="Note 4 6 5 2 3" xfId="3221" xr:uid="{00000000-0005-0000-0000-000026A10000}"/>
    <cellStyle name="Note 4 6 5 2 3 10" xfId="38273" xr:uid="{00000000-0005-0000-0000-000027A10000}"/>
    <cellStyle name="Note 4 6 5 2 3 11" xfId="42284" xr:uid="{00000000-0005-0000-0000-000028A10000}"/>
    <cellStyle name="Note 4 6 5 2 3 12" xfId="46053" xr:uid="{00000000-0005-0000-0000-000029A10000}"/>
    <cellStyle name="Note 4 6 5 2 3 2" xfId="7093" xr:uid="{00000000-0005-0000-0000-00002AA10000}"/>
    <cellStyle name="Note 4 6 5 2 3 3" xfId="11525" xr:uid="{00000000-0005-0000-0000-00002BA10000}"/>
    <cellStyle name="Note 4 6 5 2 3 4" xfId="15369" xr:uid="{00000000-0005-0000-0000-00002CA10000}"/>
    <cellStyle name="Note 4 6 5 2 3 5" xfId="19215" xr:uid="{00000000-0005-0000-0000-00002DA10000}"/>
    <cellStyle name="Note 4 6 5 2 3 6" xfId="23134" xr:uid="{00000000-0005-0000-0000-00002EA10000}"/>
    <cellStyle name="Note 4 6 5 2 3 7" xfId="26966" xr:uid="{00000000-0005-0000-0000-00002FA10000}"/>
    <cellStyle name="Note 4 6 5 2 3 8" xfId="30836" xr:uid="{00000000-0005-0000-0000-000030A10000}"/>
    <cellStyle name="Note 4 6 5 2 3 9" xfId="34491" xr:uid="{00000000-0005-0000-0000-000031A10000}"/>
    <cellStyle name="Note 4 6 5 2 4" xfId="5169" xr:uid="{00000000-0005-0000-0000-000032A10000}"/>
    <cellStyle name="Note 4 6 5 2 5" xfId="9525" xr:uid="{00000000-0005-0000-0000-000033A10000}"/>
    <cellStyle name="Note 4 6 5 2 6" xfId="13369" xr:uid="{00000000-0005-0000-0000-000034A10000}"/>
    <cellStyle name="Note 4 6 5 2 7" xfId="17197" xr:uid="{00000000-0005-0000-0000-000035A10000}"/>
    <cellStyle name="Note 4 6 5 2 8" xfId="21139" xr:uid="{00000000-0005-0000-0000-000036A10000}"/>
    <cellStyle name="Note 4 6 5 2 9" xfId="24950" xr:uid="{00000000-0005-0000-0000-000037A10000}"/>
    <cellStyle name="Note 4 6 5 3" xfId="1625" xr:uid="{00000000-0005-0000-0000-000038A10000}"/>
    <cellStyle name="Note 4 6 5 3 10" xfId="32912" xr:uid="{00000000-0005-0000-0000-000039A10000}"/>
    <cellStyle name="Note 4 6 5 3 11" xfId="36682" xr:uid="{00000000-0005-0000-0000-00003AA10000}"/>
    <cellStyle name="Note 4 6 5 3 12" xfId="40673" xr:uid="{00000000-0005-0000-0000-00003BA10000}"/>
    <cellStyle name="Note 4 6 5 3 13" xfId="44504" xr:uid="{00000000-0005-0000-0000-00003CA10000}"/>
    <cellStyle name="Note 4 6 5 3 2" xfId="3615" xr:uid="{00000000-0005-0000-0000-00003DA10000}"/>
    <cellStyle name="Note 4 6 5 3 2 10" xfId="38666" xr:uid="{00000000-0005-0000-0000-00003EA10000}"/>
    <cellStyle name="Note 4 6 5 3 2 11" xfId="42677" xr:uid="{00000000-0005-0000-0000-00003FA10000}"/>
    <cellStyle name="Note 4 6 5 3 2 12" xfId="46442" xr:uid="{00000000-0005-0000-0000-000040A10000}"/>
    <cellStyle name="Note 4 6 5 3 2 2" xfId="7482" xr:uid="{00000000-0005-0000-0000-000041A10000}"/>
    <cellStyle name="Note 4 6 5 3 2 3" xfId="11917" xr:uid="{00000000-0005-0000-0000-000042A10000}"/>
    <cellStyle name="Note 4 6 5 3 2 4" xfId="15762" xr:uid="{00000000-0005-0000-0000-000043A10000}"/>
    <cellStyle name="Note 4 6 5 3 2 5" xfId="19609" xr:uid="{00000000-0005-0000-0000-000044A10000}"/>
    <cellStyle name="Note 4 6 5 3 2 6" xfId="23525" xr:uid="{00000000-0005-0000-0000-000045A10000}"/>
    <cellStyle name="Note 4 6 5 3 2 7" xfId="27359" xr:uid="{00000000-0005-0000-0000-000046A10000}"/>
    <cellStyle name="Note 4 6 5 3 2 8" xfId="31224" xr:uid="{00000000-0005-0000-0000-000047A10000}"/>
    <cellStyle name="Note 4 6 5 3 2 9" xfId="34880" xr:uid="{00000000-0005-0000-0000-000048A10000}"/>
    <cellStyle name="Note 4 6 5 3 3" xfId="5558" xr:uid="{00000000-0005-0000-0000-000049A10000}"/>
    <cellStyle name="Note 4 6 5 3 4" xfId="9916" xr:uid="{00000000-0005-0000-0000-00004AA10000}"/>
    <cellStyle name="Note 4 6 5 3 5" xfId="13762" xr:uid="{00000000-0005-0000-0000-00004BA10000}"/>
    <cellStyle name="Note 4 6 5 3 6" xfId="17591" xr:uid="{00000000-0005-0000-0000-00004CA10000}"/>
    <cellStyle name="Note 4 6 5 3 7" xfId="21530" xr:uid="{00000000-0005-0000-0000-00004DA10000}"/>
    <cellStyle name="Note 4 6 5 3 8" xfId="25343" xr:uid="{00000000-0005-0000-0000-00004EA10000}"/>
    <cellStyle name="Note 4 6 5 3 9" xfId="29230" xr:uid="{00000000-0005-0000-0000-00004FA10000}"/>
    <cellStyle name="Note 4 6 5 4" xfId="2884" xr:uid="{00000000-0005-0000-0000-000050A10000}"/>
    <cellStyle name="Note 4 6 5 4 10" xfId="37936" xr:uid="{00000000-0005-0000-0000-000051A10000}"/>
    <cellStyle name="Note 4 6 5 4 11" xfId="41948" xr:uid="{00000000-0005-0000-0000-000052A10000}"/>
    <cellStyle name="Note 4 6 5 4 12" xfId="45725" xr:uid="{00000000-0005-0000-0000-000053A10000}"/>
    <cellStyle name="Note 4 6 5 4 2" xfId="6764" xr:uid="{00000000-0005-0000-0000-000054A10000}"/>
    <cellStyle name="Note 4 6 5 4 3" xfId="11191" xr:uid="{00000000-0005-0000-0000-000055A10000}"/>
    <cellStyle name="Note 4 6 5 4 4" xfId="15036" xr:uid="{00000000-0005-0000-0000-000056A10000}"/>
    <cellStyle name="Note 4 6 5 4 5" xfId="18878" xr:uid="{00000000-0005-0000-0000-000057A10000}"/>
    <cellStyle name="Note 4 6 5 4 6" xfId="22804" xr:uid="{00000000-0005-0000-0000-000058A10000}"/>
    <cellStyle name="Note 4 6 5 4 7" xfId="26629" xr:uid="{00000000-0005-0000-0000-000059A10000}"/>
    <cellStyle name="Note 4 6 5 4 8" xfId="30505" xr:uid="{00000000-0005-0000-0000-00005AA10000}"/>
    <cellStyle name="Note 4 6 5 4 9" xfId="34163" xr:uid="{00000000-0005-0000-0000-00005BA10000}"/>
    <cellStyle name="Note 4 6 5 5" xfId="4840" xr:uid="{00000000-0005-0000-0000-00005CA10000}"/>
    <cellStyle name="Note 4 6 5 6" xfId="9194" xr:uid="{00000000-0005-0000-0000-00005DA10000}"/>
    <cellStyle name="Note 4 6 5 7" xfId="13035" xr:uid="{00000000-0005-0000-0000-00005EA10000}"/>
    <cellStyle name="Note 4 6 5 8" xfId="16860" xr:uid="{00000000-0005-0000-0000-00005FA10000}"/>
    <cellStyle name="Note 4 6 5 9" xfId="20802" xr:uid="{00000000-0005-0000-0000-000060A10000}"/>
    <cellStyle name="Note 4 6 6" xfId="940" xr:uid="{00000000-0005-0000-0000-000061A10000}"/>
    <cellStyle name="Note 4 6 6 10" xfId="28552" xr:uid="{00000000-0005-0000-0000-000062A10000}"/>
    <cellStyle name="Note 4 6 6 11" xfId="32241" xr:uid="{00000000-0005-0000-0000-000063A10000}"/>
    <cellStyle name="Note 4 6 6 12" xfId="35998" xr:uid="{00000000-0005-0000-0000-000064A10000}"/>
    <cellStyle name="Note 4 6 6 13" xfId="40006" xr:uid="{00000000-0005-0000-0000-000065A10000}"/>
    <cellStyle name="Note 4 6 6 14" xfId="43824" xr:uid="{00000000-0005-0000-0000-000066A10000}"/>
    <cellStyle name="Note 4 6 6 2" xfId="1671" xr:uid="{00000000-0005-0000-0000-000067A10000}"/>
    <cellStyle name="Note 4 6 6 2 10" xfId="32958" xr:uid="{00000000-0005-0000-0000-000068A10000}"/>
    <cellStyle name="Note 4 6 6 2 11" xfId="36728" xr:uid="{00000000-0005-0000-0000-000069A10000}"/>
    <cellStyle name="Note 4 6 6 2 12" xfId="40719" xr:uid="{00000000-0005-0000-0000-00006AA10000}"/>
    <cellStyle name="Note 4 6 6 2 13" xfId="44550" xr:uid="{00000000-0005-0000-0000-00006BA10000}"/>
    <cellStyle name="Note 4 6 6 2 2" xfId="3661" xr:uid="{00000000-0005-0000-0000-00006CA10000}"/>
    <cellStyle name="Note 4 6 6 2 2 10" xfId="38712" xr:uid="{00000000-0005-0000-0000-00006DA10000}"/>
    <cellStyle name="Note 4 6 6 2 2 11" xfId="42723" xr:uid="{00000000-0005-0000-0000-00006EA10000}"/>
    <cellStyle name="Note 4 6 6 2 2 12" xfId="46488" xr:uid="{00000000-0005-0000-0000-00006FA10000}"/>
    <cellStyle name="Note 4 6 6 2 2 2" xfId="7528" xr:uid="{00000000-0005-0000-0000-000070A10000}"/>
    <cellStyle name="Note 4 6 6 2 2 3" xfId="11963" xr:uid="{00000000-0005-0000-0000-000071A10000}"/>
    <cellStyle name="Note 4 6 6 2 2 4" xfId="15808" xr:uid="{00000000-0005-0000-0000-000072A10000}"/>
    <cellStyle name="Note 4 6 6 2 2 5" xfId="19655" xr:uid="{00000000-0005-0000-0000-000073A10000}"/>
    <cellStyle name="Note 4 6 6 2 2 6" xfId="23571" xr:uid="{00000000-0005-0000-0000-000074A10000}"/>
    <cellStyle name="Note 4 6 6 2 2 7" xfId="27405" xr:uid="{00000000-0005-0000-0000-000075A10000}"/>
    <cellStyle name="Note 4 6 6 2 2 8" xfId="31269" xr:uid="{00000000-0005-0000-0000-000076A10000}"/>
    <cellStyle name="Note 4 6 6 2 2 9" xfId="34926" xr:uid="{00000000-0005-0000-0000-000077A10000}"/>
    <cellStyle name="Note 4 6 6 2 3" xfId="5604" xr:uid="{00000000-0005-0000-0000-000078A10000}"/>
    <cellStyle name="Note 4 6 6 2 4" xfId="9962" xr:uid="{00000000-0005-0000-0000-000079A10000}"/>
    <cellStyle name="Note 4 6 6 2 5" xfId="13808" xr:uid="{00000000-0005-0000-0000-00007AA10000}"/>
    <cellStyle name="Note 4 6 6 2 6" xfId="17637" xr:uid="{00000000-0005-0000-0000-00007BA10000}"/>
    <cellStyle name="Note 4 6 6 2 7" xfId="21576" xr:uid="{00000000-0005-0000-0000-00007CA10000}"/>
    <cellStyle name="Note 4 6 6 2 8" xfId="25389" xr:uid="{00000000-0005-0000-0000-00007DA10000}"/>
    <cellStyle name="Note 4 6 6 2 9" xfId="29276" xr:uid="{00000000-0005-0000-0000-00007EA10000}"/>
    <cellStyle name="Note 4 6 6 3" xfId="2930" xr:uid="{00000000-0005-0000-0000-00007FA10000}"/>
    <cellStyle name="Note 4 6 6 3 10" xfId="37982" xr:uid="{00000000-0005-0000-0000-000080A10000}"/>
    <cellStyle name="Note 4 6 6 3 11" xfId="41994" xr:uid="{00000000-0005-0000-0000-000081A10000}"/>
    <cellStyle name="Note 4 6 6 3 12" xfId="45771" xr:uid="{00000000-0005-0000-0000-000082A10000}"/>
    <cellStyle name="Note 4 6 6 3 2" xfId="6810" xr:uid="{00000000-0005-0000-0000-000083A10000}"/>
    <cellStyle name="Note 4 6 6 3 3" xfId="11237" xr:uid="{00000000-0005-0000-0000-000084A10000}"/>
    <cellStyle name="Note 4 6 6 3 4" xfId="15082" xr:uid="{00000000-0005-0000-0000-000085A10000}"/>
    <cellStyle name="Note 4 6 6 3 5" xfId="18924" xr:uid="{00000000-0005-0000-0000-000086A10000}"/>
    <cellStyle name="Note 4 6 6 3 6" xfId="22850" xr:uid="{00000000-0005-0000-0000-000087A10000}"/>
    <cellStyle name="Note 4 6 6 3 7" xfId="26675" xr:uid="{00000000-0005-0000-0000-000088A10000}"/>
    <cellStyle name="Note 4 6 6 3 8" xfId="30550" xr:uid="{00000000-0005-0000-0000-000089A10000}"/>
    <cellStyle name="Note 4 6 6 3 9" xfId="34209" xr:uid="{00000000-0005-0000-0000-00008AA10000}"/>
    <cellStyle name="Note 4 6 6 4" xfId="4886" xr:uid="{00000000-0005-0000-0000-00008BA10000}"/>
    <cellStyle name="Note 4 6 6 5" xfId="9240" xr:uid="{00000000-0005-0000-0000-00008CA10000}"/>
    <cellStyle name="Note 4 6 6 6" xfId="13081" xr:uid="{00000000-0005-0000-0000-00008DA10000}"/>
    <cellStyle name="Note 4 6 6 7" xfId="16906" xr:uid="{00000000-0005-0000-0000-00008EA10000}"/>
    <cellStyle name="Note 4 6 6 8" xfId="20848" xr:uid="{00000000-0005-0000-0000-00008FA10000}"/>
    <cellStyle name="Note 4 6 6 9" xfId="24664" xr:uid="{00000000-0005-0000-0000-000090A10000}"/>
    <cellStyle name="Note 4 6 7" xfId="1318" xr:uid="{00000000-0005-0000-0000-000091A10000}"/>
    <cellStyle name="Note 4 6 7 10" xfId="32605" xr:uid="{00000000-0005-0000-0000-000092A10000}"/>
    <cellStyle name="Note 4 6 7 11" xfId="36375" xr:uid="{00000000-0005-0000-0000-000093A10000}"/>
    <cellStyle name="Note 4 6 7 12" xfId="40366" xr:uid="{00000000-0005-0000-0000-000094A10000}"/>
    <cellStyle name="Note 4 6 7 13" xfId="44197" xr:uid="{00000000-0005-0000-0000-000095A10000}"/>
    <cellStyle name="Note 4 6 7 2" xfId="3308" xr:uid="{00000000-0005-0000-0000-000096A10000}"/>
    <cellStyle name="Note 4 6 7 2 10" xfId="38359" xr:uid="{00000000-0005-0000-0000-000097A10000}"/>
    <cellStyle name="Note 4 6 7 2 11" xfId="42370" xr:uid="{00000000-0005-0000-0000-000098A10000}"/>
    <cellStyle name="Note 4 6 7 2 12" xfId="46135" xr:uid="{00000000-0005-0000-0000-000099A10000}"/>
    <cellStyle name="Note 4 6 7 2 2" xfId="7175" xr:uid="{00000000-0005-0000-0000-00009AA10000}"/>
    <cellStyle name="Note 4 6 7 2 3" xfId="11610" xr:uid="{00000000-0005-0000-0000-00009BA10000}"/>
    <cellStyle name="Note 4 6 7 2 4" xfId="15455" xr:uid="{00000000-0005-0000-0000-00009CA10000}"/>
    <cellStyle name="Note 4 6 7 2 5" xfId="19302" xr:uid="{00000000-0005-0000-0000-00009DA10000}"/>
    <cellStyle name="Note 4 6 7 2 6" xfId="23218" xr:uid="{00000000-0005-0000-0000-00009EA10000}"/>
    <cellStyle name="Note 4 6 7 2 7" xfId="27052" xr:uid="{00000000-0005-0000-0000-00009FA10000}"/>
    <cellStyle name="Note 4 6 7 2 8" xfId="30921" xr:uid="{00000000-0005-0000-0000-0000A0A10000}"/>
    <cellStyle name="Note 4 6 7 2 9" xfId="34573" xr:uid="{00000000-0005-0000-0000-0000A1A10000}"/>
    <cellStyle name="Note 4 6 7 3" xfId="5251" xr:uid="{00000000-0005-0000-0000-0000A2A10000}"/>
    <cellStyle name="Note 4 6 7 4" xfId="9609" xr:uid="{00000000-0005-0000-0000-0000A3A10000}"/>
    <cellStyle name="Note 4 6 7 5" xfId="13455" xr:uid="{00000000-0005-0000-0000-0000A4A10000}"/>
    <cellStyle name="Note 4 6 7 6" xfId="17284" xr:uid="{00000000-0005-0000-0000-0000A5A10000}"/>
    <cellStyle name="Note 4 6 7 7" xfId="21223" xr:uid="{00000000-0005-0000-0000-0000A6A10000}"/>
    <cellStyle name="Note 4 6 7 8" xfId="25036" xr:uid="{00000000-0005-0000-0000-0000A7A10000}"/>
    <cellStyle name="Note 4 6 7 9" xfId="28923" xr:uid="{00000000-0005-0000-0000-0000A8A10000}"/>
    <cellStyle name="Note 4 6 8" xfId="2015" xr:uid="{00000000-0005-0000-0000-0000A9A10000}"/>
    <cellStyle name="Note 4 6 8 10" xfId="33300" xr:uid="{00000000-0005-0000-0000-0000AAA10000}"/>
    <cellStyle name="Note 4 6 8 11" xfId="37071" xr:uid="{00000000-0005-0000-0000-0000ABA10000}"/>
    <cellStyle name="Note 4 6 8 12" xfId="41063" xr:uid="{00000000-0005-0000-0000-0000ACA10000}"/>
    <cellStyle name="Note 4 6 8 13" xfId="44891" xr:uid="{00000000-0005-0000-0000-0000ADA10000}"/>
    <cellStyle name="Note 4 6 8 2" xfId="4004" xr:uid="{00000000-0005-0000-0000-0000AEA10000}"/>
    <cellStyle name="Note 4 6 8 2 10" xfId="39055" xr:uid="{00000000-0005-0000-0000-0000AFA10000}"/>
    <cellStyle name="Note 4 6 8 2 11" xfId="43066" xr:uid="{00000000-0005-0000-0000-0000B0A10000}"/>
    <cellStyle name="Note 4 6 8 2 12" xfId="46829" xr:uid="{00000000-0005-0000-0000-0000B1A10000}"/>
    <cellStyle name="Note 4 6 8 2 2" xfId="7869" xr:uid="{00000000-0005-0000-0000-0000B2A10000}"/>
    <cellStyle name="Note 4 6 8 2 3" xfId="12305" xr:uid="{00000000-0005-0000-0000-0000B3A10000}"/>
    <cellStyle name="Note 4 6 8 2 4" xfId="16150" xr:uid="{00000000-0005-0000-0000-0000B4A10000}"/>
    <cellStyle name="Note 4 6 8 2 5" xfId="19998" xr:uid="{00000000-0005-0000-0000-0000B5A10000}"/>
    <cellStyle name="Note 4 6 8 2 6" xfId="23913" xr:uid="{00000000-0005-0000-0000-0000B6A10000}"/>
    <cellStyle name="Note 4 6 8 2 7" xfId="27748" xr:uid="{00000000-0005-0000-0000-0000B7A10000}"/>
    <cellStyle name="Note 4 6 8 2 8" xfId="31608" xr:uid="{00000000-0005-0000-0000-0000B8A10000}"/>
    <cellStyle name="Note 4 6 8 2 9" xfId="35267" xr:uid="{00000000-0005-0000-0000-0000B9A10000}"/>
    <cellStyle name="Note 4 6 8 3" xfId="5945" xr:uid="{00000000-0005-0000-0000-0000BAA10000}"/>
    <cellStyle name="Note 4 6 8 4" xfId="10304" xr:uid="{00000000-0005-0000-0000-0000BBA10000}"/>
    <cellStyle name="Note 4 6 8 5" xfId="14151" xr:uid="{00000000-0005-0000-0000-0000BCA10000}"/>
    <cellStyle name="Note 4 6 8 6" xfId="17981" xr:uid="{00000000-0005-0000-0000-0000BDA10000}"/>
    <cellStyle name="Note 4 6 8 7" xfId="21919" xr:uid="{00000000-0005-0000-0000-0000BEA10000}"/>
    <cellStyle name="Note 4 6 8 8" xfId="25733" xr:uid="{00000000-0005-0000-0000-0000BFA10000}"/>
    <cellStyle name="Note 4 6 8 9" xfId="29620" xr:uid="{00000000-0005-0000-0000-0000C0A10000}"/>
    <cellStyle name="Note 4 6 9" xfId="2062" xr:uid="{00000000-0005-0000-0000-0000C1A10000}"/>
    <cellStyle name="Note 4 6 9 10" xfId="33344" xr:uid="{00000000-0005-0000-0000-0000C2A10000}"/>
    <cellStyle name="Note 4 6 9 11" xfId="37118" xr:uid="{00000000-0005-0000-0000-0000C3A10000}"/>
    <cellStyle name="Note 4 6 9 12" xfId="41108" xr:uid="{00000000-0005-0000-0000-0000C4A10000}"/>
    <cellStyle name="Note 4 6 9 13" xfId="44935" xr:uid="{00000000-0005-0000-0000-0000C5A10000}"/>
    <cellStyle name="Note 4 6 9 2" xfId="4051" xr:uid="{00000000-0005-0000-0000-0000C6A10000}"/>
    <cellStyle name="Note 4 6 9 2 10" xfId="39102" xr:uid="{00000000-0005-0000-0000-0000C7A10000}"/>
    <cellStyle name="Note 4 6 9 2 11" xfId="43112" xr:uid="{00000000-0005-0000-0000-0000C8A10000}"/>
    <cellStyle name="Note 4 6 9 2 12" xfId="46873" xr:uid="{00000000-0005-0000-0000-0000C9A10000}"/>
    <cellStyle name="Note 4 6 9 2 2" xfId="7914" xr:uid="{00000000-0005-0000-0000-0000CAA10000}"/>
    <cellStyle name="Note 4 6 9 2 3" xfId="12351" xr:uid="{00000000-0005-0000-0000-0000CBA10000}"/>
    <cellStyle name="Note 4 6 9 2 4" xfId="16196" xr:uid="{00000000-0005-0000-0000-0000CCA10000}"/>
    <cellStyle name="Note 4 6 9 2 5" xfId="20045" xr:uid="{00000000-0005-0000-0000-0000CDA10000}"/>
    <cellStyle name="Note 4 6 9 2 6" xfId="23959" xr:uid="{00000000-0005-0000-0000-0000CEA10000}"/>
    <cellStyle name="Note 4 6 9 2 7" xfId="27795" xr:uid="{00000000-0005-0000-0000-0000CFA10000}"/>
    <cellStyle name="Note 4 6 9 2 8" xfId="31654" xr:uid="{00000000-0005-0000-0000-0000D0A10000}"/>
    <cellStyle name="Note 4 6 9 2 9" xfId="35311" xr:uid="{00000000-0005-0000-0000-0000D1A10000}"/>
    <cellStyle name="Note 4 6 9 3" xfId="5990" xr:uid="{00000000-0005-0000-0000-0000D2A10000}"/>
    <cellStyle name="Note 4 6 9 4" xfId="10350" xr:uid="{00000000-0005-0000-0000-0000D3A10000}"/>
    <cellStyle name="Note 4 6 9 5" xfId="14197" xr:uid="{00000000-0005-0000-0000-0000D4A10000}"/>
    <cellStyle name="Note 4 6 9 6" xfId="18028" xr:uid="{00000000-0005-0000-0000-0000D5A10000}"/>
    <cellStyle name="Note 4 6 9 7" xfId="21965" xr:uid="{00000000-0005-0000-0000-0000D6A10000}"/>
    <cellStyle name="Note 4 6 9 8" xfId="25780" xr:uid="{00000000-0005-0000-0000-0000D7A10000}"/>
    <cellStyle name="Note 4 6 9 9" xfId="29666" xr:uid="{00000000-0005-0000-0000-0000D8A10000}"/>
    <cellStyle name="Note 4 7" xfId="545" xr:uid="{00000000-0005-0000-0000-0000D9A10000}"/>
    <cellStyle name="Note 4 7 10" xfId="2197" xr:uid="{00000000-0005-0000-0000-0000DAA10000}"/>
    <cellStyle name="Note 4 7 10 10" xfId="33498" xr:uid="{00000000-0005-0000-0000-0000DBA10000}"/>
    <cellStyle name="Note 4 7 10 11" xfId="37249" xr:uid="{00000000-0005-0000-0000-0000DCA10000}"/>
    <cellStyle name="Note 4 7 10 12" xfId="41265" xr:uid="{00000000-0005-0000-0000-0000DDA10000}"/>
    <cellStyle name="Note 4 7 10 13" xfId="45060" xr:uid="{00000000-0005-0000-0000-0000DEA10000}"/>
    <cellStyle name="Note 4 7 10 2" xfId="4180" xr:uid="{00000000-0005-0000-0000-0000DFA10000}"/>
    <cellStyle name="Note 4 7 10 2 10" xfId="39231" xr:uid="{00000000-0005-0000-0000-0000E0A10000}"/>
    <cellStyle name="Note 4 7 10 2 11" xfId="43241" xr:uid="{00000000-0005-0000-0000-0000E1A10000}"/>
    <cellStyle name="Note 4 7 10 2 12" xfId="46998" xr:uid="{00000000-0005-0000-0000-0000E2A10000}"/>
    <cellStyle name="Note 4 7 10 2 2" xfId="8039" xr:uid="{00000000-0005-0000-0000-0000E3A10000}"/>
    <cellStyle name="Note 4 7 10 2 3" xfId="12479" xr:uid="{00000000-0005-0000-0000-0000E4A10000}"/>
    <cellStyle name="Note 4 7 10 2 4" xfId="16324" xr:uid="{00000000-0005-0000-0000-0000E5A10000}"/>
    <cellStyle name="Note 4 7 10 2 5" xfId="20174" xr:uid="{00000000-0005-0000-0000-0000E6A10000}"/>
    <cellStyle name="Note 4 7 10 2 6" xfId="24086" xr:uid="{00000000-0005-0000-0000-0000E7A10000}"/>
    <cellStyle name="Note 4 7 10 2 7" xfId="27924" xr:uid="{00000000-0005-0000-0000-0000E8A10000}"/>
    <cellStyle name="Note 4 7 10 2 8" xfId="31783" xr:uid="{00000000-0005-0000-0000-0000E9A10000}"/>
    <cellStyle name="Note 4 7 10 2 9" xfId="35436" xr:uid="{00000000-0005-0000-0000-0000EAA10000}"/>
    <cellStyle name="Note 4 7 10 3" xfId="6111" xr:uid="{00000000-0005-0000-0000-0000EBA10000}"/>
    <cellStyle name="Note 4 7 10 4" xfId="10514" xr:uid="{00000000-0005-0000-0000-0000ECA10000}"/>
    <cellStyle name="Note 4 7 10 5" xfId="14360" xr:uid="{00000000-0005-0000-0000-0000EDA10000}"/>
    <cellStyle name="Note 4 7 10 6" xfId="18191" xr:uid="{00000000-0005-0000-0000-0000EEA10000}"/>
    <cellStyle name="Note 4 7 10 7" xfId="22130" xr:uid="{00000000-0005-0000-0000-0000EFA10000}"/>
    <cellStyle name="Note 4 7 10 8" xfId="25942" xr:uid="{00000000-0005-0000-0000-0000F0A10000}"/>
    <cellStyle name="Note 4 7 10 9" xfId="29822" xr:uid="{00000000-0005-0000-0000-0000F1A10000}"/>
    <cellStyle name="Note 4 7 11" xfId="2255" xr:uid="{00000000-0005-0000-0000-0000F2A10000}"/>
    <cellStyle name="Note 4 7 11 10" xfId="33556" xr:uid="{00000000-0005-0000-0000-0000F3A10000}"/>
    <cellStyle name="Note 4 7 11 11" xfId="37307" xr:uid="{00000000-0005-0000-0000-0000F4A10000}"/>
    <cellStyle name="Note 4 7 11 12" xfId="41323" xr:uid="{00000000-0005-0000-0000-0000F5A10000}"/>
    <cellStyle name="Note 4 7 11 13" xfId="45118" xr:uid="{00000000-0005-0000-0000-0000F6A10000}"/>
    <cellStyle name="Note 4 7 11 2" xfId="4238" xr:uid="{00000000-0005-0000-0000-0000F7A10000}"/>
    <cellStyle name="Note 4 7 11 2 10" xfId="39289" xr:uid="{00000000-0005-0000-0000-0000F8A10000}"/>
    <cellStyle name="Note 4 7 11 2 11" xfId="43299" xr:uid="{00000000-0005-0000-0000-0000F9A10000}"/>
    <cellStyle name="Note 4 7 11 2 12" xfId="47056" xr:uid="{00000000-0005-0000-0000-0000FAA10000}"/>
    <cellStyle name="Note 4 7 11 2 2" xfId="8097" xr:uid="{00000000-0005-0000-0000-0000FBA10000}"/>
    <cellStyle name="Note 4 7 11 2 3" xfId="12537" xr:uid="{00000000-0005-0000-0000-0000FCA10000}"/>
    <cellStyle name="Note 4 7 11 2 4" xfId="16382" xr:uid="{00000000-0005-0000-0000-0000FDA10000}"/>
    <cellStyle name="Note 4 7 11 2 5" xfId="20232" xr:uid="{00000000-0005-0000-0000-0000FEA10000}"/>
    <cellStyle name="Note 4 7 11 2 6" xfId="24144" xr:uid="{00000000-0005-0000-0000-0000FFA10000}"/>
    <cellStyle name="Note 4 7 11 2 7" xfId="27982" xr:uid="{00000000-0005-0000-0000-000000A20000}"/>
    <cellStyle name="Note 4 7 11 2 8" xfId="31841" xr:uid="{00000000-0005-0000-0000-000001A20000}"/>
    <cellStyle name="Note 4 7 11 2 9" xfId="35494" xr:uid="{00000000-0005-0000-0000-000002A20000}"/>
    <cellStyle name="Note 4 7 11 3" xfId="6169" xr:uid="{00000000-0005-0000-0000-000003A20000}"/>
    <cellStyle name="Note 4 7 11 4" xfId="10572" xr:uid="{00000000-0005-0000-0000-000004A20000}"/>
    <cellStyle name="Note 4 7 11 5" xfId="14418" xr:uid="{00000000-0005-0000-0000-000005A20000}"/>
    <cellStyle name="Note 4 7 11 6" xfId="18249" xr:uid="{00000000-0005-0000-0000-000006A20000}"/>
    <cellStyle name="Note 4 7 11 7" xfId="22188" xr:uid="{00000000-0005-0000-0000-000007A20000}"/>
    <cellStyle name="Note 4 7 11 8" xfId="26000" xr:uid="{00000000-0005-0000-0000-000008A20000}"/>
    <cellStyle name="Note 4 7 11 9" xfId="29880" xr:uid="{00000000-0005-0000-0000-000009A20000}"/>
    <cellStyle name="Note 4 7 12" xfId="2310" xr:uid="{00000000-0005-0000-0000-00000AA20000}"/>
    <cellStyle name="Note 4 7 12 10" xfId="33611" xr:uid="{00000000-0005-0000-0000-00000BA20000}"/>
    <cellStyle name="Note 4 7 12 11" xfId="37362" xr:uid="{00000000-0005-0000-0000-00000CA20000}"/>
    <cellStyle name="Note 4 7 12 12" xfId="41378" xr:uid="{00000000-0005-0000-0000-00000DA20000}"/>
    <cellStyle name="Note 4 7 12 13" xfId="45173" xr:uid="{00000000-0005-0000-0000-00000EA20000}"/>
    <cellStyle name="Note 4 7 12 2" xfId="4293" xr:uid="{00000000-0005-0000-0000-00000FA20000}"/>
    <cellStyle name="Note 4 7 12 2 10" xfId="39344" xr:uid="{00000000-0005-0000-0000-000010A20000}"/>
    <cellStyle name="Note 4 7 12 2 11" xfId="43354" xr:uid="{00000000-0005-0000-0000-000011A20000}"/>
    <cellStyle name="Note 4 7 12 2 12" xfId="47111" xr:uid="{00000000-0005-0000-0000-000012A20000}"/>
    <cellStyle name="Note 4 7 12 2 2" xfId="8152" xr:uid="{00000000-0005-0000-0000-000013A20000}"/>
    <cellStyle name="Note 4 7 12 2 3" xfId="12592" xr:uid="{00000000-0005-0000-0000-000014A20000}"/>
    <cellStyle name="Note 4 7 12 2 4" xfId="16437" xr:uid="{00000000-0005-0000-0000-000015A20000}"/>
    <cellStyle name="Note 4 7 12 2 5" xfId="20287" xr:uid="{00000000-0005-0000-0000-000016A20000}"/>
    <cellStyle name="Note 4 7 12 2 6" xfId="24199" xr:uid="{00000000-0005-0000-0000-000017A20000}"/>
    <cellStyle name="Note 4 7 12 2 7" xfId="28037" xr:uid="{00000000-0005-0000-0000-000018A20000}"/>
    <cellStyle name="Note 4 7 12 2 8" xfId="31896" xr:uid="{00000000-0005-0000-0000-000019A20000}"/>
    <cellStyle name="Note 4 7 12 2 9" xfId="35549" xr:uid="{00000000-0005-0000-0000-00001AA20000}"/>
    <cellStyle name="Note 4 7 12 3" xfId="6224" xr:uid="{00000000-0005-0000-0000-00001BA20000}"/>
    <cellStyle name="Note 4 7 12 4" xfId="10627" xr:uid="{00000000-0005-0000-0000-00001CA20000}"/>
    <cellStyle name="Note 4 7 12 5" xfId="14473" xr:uid="{00000000-0005-0000-0000-00001DA20000}"/>
    <cellStyle name="Note 4 7 12 6" xfId="18304" xr:uid="{00000000-0005-0000-0000-00001EA20000}"/>
    <cellStyle name="Note 4 7 12 7" xfId="22243" xr:uid="{00000000-0005-0000-0000-00001FA20000}"/>
    <cellStyle name="Note 4 7 12 8" xfId="26055" xr:uid="{00000000-0005-0000-0000-000020A20000}"/>
    <cellStyle name="Note 4 7 12 9" xfId="29935" xr:uid="{00000000-0005-0000-0000-000021A20000}"/>
    <cellStyle name="Note 4 7 13" xfId="2377" xr:uid="{00000000-0005-0000-0000-000022A20000}"/>
    <cellStyle name="Note 4 7 13 10" xfId="33675" xr:uid="{00000000-0005-0000-0000-000023A20000}"/>
    <cellStyle name="Note 4 7 13 11" xfId="37429" xr:uid="{00000000-0005-0000-0000-000024A20000}"/>
    <cellStyle name="Note 4 7 13 12" xfId="41444" xr:uid="{00000000-0005-0000-0000-000025A20000}"/>
    <cellStyle name="Note 4 7 13 13" xfId="45237" xr:uid="{00000000-0005-0000-0000-000026A20000}"/>
    <cellStyle name="Note 4 7 13 2" xfId="4360" xr:uid="{00000000-0005-0000-0000-000027A20000}"/>
    <cellStyle name="Note 4 7 13 2 10" xfId="39411" xr:uid="{00000000-0005-0000-0000-000028A20000}"/>
    <cellStyle name="Note 4 7 13 2 11" xfId="43420" xr:uid="{00000000-0005-0000-0000-000029A20000}"/>
    <cellStyle name="Note 4 7 13 2 12" xfId="47175" xr:uid="{00000000-0005-0000-0000-00002AA20000}"/>
    <cellStyle name="Note 4 7 13 2 2" xfId="8217" xr:uid="{00000000-0005-0000-0000-00002BA20000}"/>
    <cellStyle name="Note 4 7 13 2 3" xfId="12658" xr:uid="{00000000-0005-0000-0000-00002CA20000}"/>
    <cellStyle name="Note 4 7 13 2 4" xfId="16503" xr:uid="{00000000-0005-0000-0000-00002DA20000}"/>
    <cellStyle name="Note 4 7 13 2 5" xfId="20354" xr:uid="{00000000-0005-0000-0000-00002EA20000}"/>
    <cellStyle name="Note 4 7 13 2 6" xfId="24265" xr:uid="{00000000-0005-0000-0000-00002FA20000}"/>
    <cellStyle name="Note 4 7 13 2 7" xfId="28104" xr:uid="{00000000-0005-0000-0000-000030A20000}"/>
    <cellStyle name="Note 4 7 13 2 8" xfId="31962" xr:uid="{00000000-0005-0000-0000-000031A20000}"/>
    <cellStyle name="Note 4 7 13 2 9" xfId="35613" xr:uid="{00000000-0005-0000-0000-000032A20000}"/>
    <cellStyle name="Note 4 7 13 3" xfId="6273" xr:uid="{00000000-0005-0000-0000-000033A20000}"/>
    <cellStyle name="Note 4 7 13 4" xfId="10693" xr:uid="{00000000-0005-0000-0000-000034A20000}"/>
    <cellStyle name="Note 4 7 13 5" xfId="14539" xr:uid="{00000000-0005-0000-0000-000035A20000}"/>
    <cellStyle name="Note 4 7 13 6" xfId="18371" xr:uid="{00000000-0005-0000-0000-000036A20000}"/>
    <cellStyle name="Note 4 7 13 7" xfId="22309" xr:uid="{00000000-0005-0000-0000-000037A20000}"/>
    <cellStyle name="Note 4 7 13 8" xfId="26122" xr:uid="{00000000-0005-0000-0000-000038A20000}"/>
    <cellStyle name="Note 4 7 13 9" xfId="30002" xr:uid="{00000000-0005-0000-0000-000039A20000}"/>
    <cellStyle name="Note 4 7 14" xfId="2427" xr:uid="{00000000-0005-0000-0000-00003AA20000}"/>
    <cellStyle name="Note 4 7 14 10" xfId="33725" xr:uid="{00000000-0005-0000-0000-00003BA20000}"/>
    <cellStyle name="Note 4 7 14 11" xfId="37479" xr:uid="{00000000-0005-0000-0000-00003CA20000}"/>
    <cellStyle name="Note 4 7 14 12" xfId="41494" xr:uid="{00000000-0005-0000-0000-00003DA20000}"/>
    <cellStyle name="Note 4 7 14 13" xfId="45287" xr:uid="{00000000-0005-0000-0000-00003EA20000}"/>
    <cellStyle name="Note 4 7 14 2" xfId="4410" xr:uid="{00000000-0005-0000-0000-00003FA20000}"/>
    <cellStyle name="Note 4 7 14 2 10" xfId="39461" xr:uid="{00000000-0005-0000-0000-000040A20000}"/>
    <cellStyle name="Note 4 7 14 2 11" xfId="43470" xr:uid="{00000000-0005-0000-0000-000041A20000}"/>
    <cellStyle name="Note 4 7 14 2 12" xfId="47225" xr:uid="{00000000-0005-0000-0000-000042A20000}"/>
    <cellStyle name="Note 4 7 14 2 2" xfId="8267" xr:uid="{00000000-0005-0000-0000-000043A20000}"/>
    <cellStyle name="Note 4 7 14 2 3" xfId="12708" xr:uid="{00000000-0005-0000-0000-000044A20000}"/>
    <cellStyle name="Note 4 7 14 2 4" xfId="16553" xr:uid="{00000000-0005-0000-0000-000045A20000}"/>
    <cellStyle name="Note 4 7 14 2 5" xfId="20404" xr:uid="{00000000-0005-0000-0000-000046A20000}"/>
    <cellStyle name="Note 4 7 14 2 6" xfId="24315" xr:uid="{00000000-0005-0000-0000-000047A20000}"/>
    <cellStyle name="Note 4 7 14 2 7" xfId="28154" xr:uid="{00000000-0005-0000-0000-000048A20000}"/>
    <cellStyle name="Note 4 7 14 2 8" xfId="32012" xr:uid="{00000000-0005-0000-0000-000049A20000}"/>
    <cellStyle name="Note 4 7 14 2 9" xfId="35663" xr:uid="{00000000-0005-0000-0000-00004AA20000}"/>
    <cellStyle name="Note 4 7 14 3" xfId="6323" xr:uid="{00000000-0005-0000-0000-00004BA20000}"/>
    <cellStyle name="Note 4 7 14 4" xfId="10743" xr:uid="{00000000-0005-0000-0000-00004CA20000}"/>
    <cellStyle name="Note 4 7 14 5" xfId="14589" xr:uid="{00000000-0005-0000-0000-00004DA20000}"/>
    <cellStyle name="Note 4 7 14 6" xfId="18421" xr:uid="{00000000-0005-0000-0000-00004EA20000}"/>
    <cellStyle name="Note 4 7 14 7" xfId="22359" xr:uid="{00000000-0005-0000-0000-00004FA20000}"/>
    <cellStyle name="Note 4 7 14 8" xfId="26172" xr:uid="{00000000-0005-0000-0000-000050A20000}"/>
    <cellStyle name="Note 4 7 14 9" xfId="30051" xr:uid="{00000000-0005-0000-0000-000051A20000}"/>
    <cellStyle name="Note 4 7 15" xfId="2481" xr:uid="{00000000-0005-0000-0000-000052A20000}"/>
    <cellStyle name="Note 4 7 15 10" xfId="33776" xr:uid="{00000000-0005-0000-0000-000053A20000}"/>
    <cellStyle name="Note 4 7 15 11" xfId="37533" xr:uid="{00000000-0005-0000-0000-000054A20000}"/>
    <cellStyle name="Note 4 7 15 12" xfId="41547" xr:uid="{00000000-0005-0000-0000-000055A20000}"/>
    <cellStyle name="Note 4 7 15 13" xfId="45338" xr:uid="{00000000-0005-0000-0000-000056A20000}"/>
    <cellStyle name="Note 4 7 15 2" xfId="4463" xr:uid="{00000000-0005-0000-0000-000057A20000}"/>
    <cellStyle name="Note 4 7 15 2 10" xfId="39514" xr:uid="{00000000-0005-0000-0000-000058A20000}"/>
    <cellStyle name="Note 4 7 15 2 11" xfId="43523" xr:uid="{00000000-0005-0000-0000-000059A20000}"/>
    <cellStyle name="Note 4 7 15 2 12" xfId="47276" xr:uid="{00000000-0005-0000-0000-00005AA20000}"/>
    <cellStyle name="Note 4 7 15 2 2" xfId="8318" xr:uid="{00000000-0005-0000-0000-00005BA20000}"/>
    <cellStyle name="Note 4 7 15 2 3" xfId="12761" xr:uid="{00000000-0005-0000-0000-00005CA20000}"/>
    <cellStyle name="Note 4 7 15 2 4" xfId="16604" xr:uid="{00000000-0005-0000-0000-00005DA20000}"/>
    <cellStyle name="Note 4 7 15 2 5" xfId="20457" xr:uid="{00000000-0005-0000-0000-00005EA20000}"/>
    <cellStyle name="Note 4 7 15 2 6" xfId="24367" xr:uid="{00000000-0005-0000-0000-00005FA20000}"/>
    <cellStyle name="Note 4 7 15 2 7" xfId="28207" xr:uid="{00000000-0005-0000-0000-000060A20000}"/>
    <cellStyle name="Note 4 7 15 2 8" xfId="32065" xr:uid="{00000000-0005-0000-0000-000061A20000}"/>
    <cellStyle name="Note 4 7 15 2 9" xfId="35714" xr:uid="{00000000-0005-0000-0000-000062A20000}"/>
    <cellStyle name="Note 4 7 15 3" xfId="6375" xr:uid="{00000000-0005-0000-0000-000063A20000}"/>
    <cellStyle name="Note 4 7 15 4" xfId="10796" xr:uid="{00000000-0005-0000-0000-000064A20000}"/>
    <cellStyle name="Note 4 7 15 5" xfId="14642" xr:uid="{00000000-0005-0000-0000-000065A20000}"/>
    <cellStyle name="Note 4 7 15 6" xfId="18475" xr:uid="{00000000-0005-0000-0000-000066A20000}"/>
    <cellStyle name="Note 4 7 15 7" xfId="22412" xr:uid="{00000000-0005-0000-0000-000067A20000}"/>
    <cellStyle name="Note 4 7 15 8" xfId="26226" xr:uid="{00000000-0005-0000-0000-000068A20000}"/>
    <cellStyle name="Note 4 7 15 9" xfId="30105" xr:uid="{00000000-0005-0000-0000-000069A20000}"/>
    <cellStyle name="Note 4 7 16" xfId="2552" xr:uid="{00000000-0005-0000-0000-00006AA20000}"/>
    <cellStyle name="Note 4 7 16 10" xfId="37604" xr:uid="{00000000-0005-0000-0000-00006BA20000}"/>
    <cellStyle name="Note 4 7 16 11" xfId="41618" xr:uid="{00000000-0005-0000-0000-00006CA20000}"/>
    <cellStyle name="Note 4 7 16 12" xfId="45407" xr:uid="{00000000-0005-0000-0000-00006DA20000}"/>
    <cellStyle name="Note 4 7 16 2" xfId="6444" xr:uid="{00000000-0005-0000-0000-00006EA20000}"/>
    <cellStyle name="Note 4 7 16 3" xfId="10867" xr:uid="{00000000-0005-0000-0000-00006FA20000}"/>
    <cellStyle name="Note 4 7 16 4" xfId="14711" xr:uid="{00000000-0005-0000-0000-000070A20000}"/>
    <cellStyle name="Note 4 7 16 5" xfId="18546" xr:uid="{00000000-0005-0000-0000-000071A20000}"/>
    <cellStyle name="Note 4 7 16 6" xfId="22481" xr:uid="{00000000-0005-0000-0000-000072A20000}"/>
    <cellStyle name="Note 4 7 16 7" xfId="26297" xr:uid="{00000000-0005-0000-0000-000073A20000}"/>
    <cellStyle name="Note 4 7 16 8" xfId="30176" xr:uid="{00000000-0005-0000-0000-000074A20000}"/>
    <cellStyle name="Note 4 7 16 9" xfId="33845" xr:uid="{00000000-0005-0000-0000-000075A20000}"/>
    <cellStyle name="Note 4 7 17" xfId="4520" xr:uid="{00000000-0005-0000-0000-000076A20000}"/>
    <cellStyle name="Note 4 7 18" xfId="8350" xr:uid="{00000000-0005-0000-0000-000077A20000}"/>
    <cellStyle name="Note 4 7 19" xfId="8735" xr:uid="{00000000-0005-0000-0000-000078A20000}"/>
    <cellStyle name="Note 4 7 2" xfId="681" xr:uid="{00000000-0005-0000-0000-000079A20000}"/>
    <cellStyle name="Note 4 7 2 10" xfId="24415" xr:uid="{00000000-0005-0000-0000-00007AA20000}"/>
    <cellStyle name="Note 4 7 2 11" xfId="28308" xr:uid="{00000000-0005-0000-0000-00007BA20000}"/>
    <cellStyle name="Note 4 7 2 12" xfId="28789" xr:uid="{00000000-0005-0000-0000-00007CA20000}"/>
    <cellStyle name="Note 4 7 2 13" xfId="35752" xr:uid="{00000000-0005-0000-0000-00007DA20000}"/>
    <cellStyle name="Note 4 7 2 14" xfId="39775" xr:uid="{00000000-0005-0000-0000-00007EA20000}"/>
    <cellStyle name="Note 4 7 2 15" xfId="43578" xr:uid="{00000000-0005-0000-0000-00007FA20000}"/>
    <cellStyle name="Note 4 7 2 2" xfId="1061" xr:uid="{00000000-0005-0000-0000-000080A20000}"/>
    <cellStyle name="Note 4 7 2 2 10" xfId="28672" xr:uid="{00000000-0005-0000-0000-000081A20000}"/>
    <cellStyle name="Note 4 7 2 2 11" xfId="32358" xr:uid="{00000000-0005-0000-0000-000082A20000}"/>
    <cellStyle name="Note 4 7 2 2 12" xfId="36119" xr:uid="{00000000-0005-0000-0000-000083A20000}"/>
    <cellStyle name="Note 4 7 2 2 13" xfId="40122" xr:uid="{00000000-0005-0000-0000-000084A20000}"/>
    <cellStyle name="Note 4 7 2 2 14" xfId="43945" xr:uid="{00000000-0005-0000-0000-000085A20000}"/>
    <cellStyle name="Note 4 7 2 2 2" xfId="1788" xr:uid="{00000000-0005-0000-0000-000086A20000}"/>
    <cellStyle name="Note 4 7 2 2 2 10" xfId="33075" xr:uid="{00000000-0005-0000-0000-000087A20000}"/>
    <cellStyle name="Note 4 7 2 2 2 11" xfId="36845" xr:uid="{00000000-0005-0000-0000-000088A20000}"/>
    <cellStyle name="Note 4 7 2 2 2 12" xfId="40836" xr:uid="{00000000-0005-0000-0000-000089A20000}"/>
    <cellStyle name="Note 4 7 2 2 2 13" xfId="44667" xr:uid="{00000000-0005-0000-0000-00008AA20000}"/>
    <cellStyle name="Note 4 7 2 2 2 2" xfId="3778" xr:uid="{00000000-0005-0000-0000-00008BA20000}"/>
    <cellStyle name="Note 4 7 2 2 2 2 10" xfId="38829" xr:uid="{00000000-0005-0000-0000-00008CA20000}"/>
    <cellStyle name="Note 4 7 2 2 2 2 11" xfId="42840" xr:uid="{00000000-0005-0000-0000-00008DA20000}"/>
    <cellStyle name="Note 4 7 2 2 2 2 12" xfId="46605" xr:uid="{00000000-0005-0000-0000-00008EA20000}"/>
    <cellStyle name="Note 4 7 2 2 2 2 2" xfId="7645" xr:uid="{00000000-0005-0000-0000-00008FA20000}"/>
    <cellStyle name="Note 4 7 2 2 2 2 3" xfId="12080" xr:uid="{00000000-0005-0000-0000-000090A20000}"/>
    <cellStyle name="Note 4 7 2 2 2 2 4" xfId="15925" xr:uid="{00000000-0005-0000-0000-000091A20000}"/>
    <cellStyle name="Note 4 7 2 2 2 2 5" xfId="19772" xr:uid="{00000000-0005-0000-0000-000092A20000}"/>
    <cellStyle name="Note 4 7 2 2 2 2 6" xfId="23688" xr:uid="{00000000-0005-0000-0000-000093A20000}"/>
    <cellStyle name="Note 4 7 2 2 2 2 7" xfId="27522" xr:uid="{00000000-0005-0000-0000-000094A20000}"/>
    <cellStyle name="Note 4 7 2 2 2 2 8" xfId="31386" xr:uid="{00000000-0005-0000-0000-000095A20000}"/>
    <cellStyle name="Note 4 7 2 2 2 2 9" xfId="35043" xr:uid="{00000000-0005-0000-0000-000096A20000}"/>
    <cellStyle name="Note 4 7 2 2 2 3" xfId="5721" xr:uid="{00000000-0005-0000-0000-000097A20000}"/>
    <cellStyle name="Note 4 7 2 2 2 4" xfId="10079" xr:uid="{00000000-0005-0000-0000-000098A20000}"/>
    <cellStyle name="Note 4 7 2 2 2 5" xfId="13925" xr:uid="{00000000-0005-0000-0000-000099A20000}"/>
    <cellStyle name="Note 4 7 2 2 2 6" xfId="17754" xr:uid="{00000000-0005-0000-0000-00009AA20000}"/>
    <cellStyle name="Note 4 7 2 2 2 7" xfId="21693" xr:uid="{00000000-0005-0000-0000-00009BA20000}"/>
    <cellStyle name="Note 4 7 2 2 2 8" xfId="25506" xr:uid="{00000000-0005-0000-0000-00009CA20000}"/>
    <cellStyle name="Note 4 7 2 2 2 9" xfId="29393" xr:uid="{00000000-0005-0000-0000-00009DA20000}"/>
    <cellStyle name="Note 4 7 2 2 3" xfId="3051" xr:uid="{00000000-0005-0000-0000-00009EA20000}"/>
    <cellStyle name="Note 4 7 2 2 3 10" xfId="38103" xr:uid="{00000000-0005-0000-0000-00009FA20000}"/>
    <cellStyle name="Note 4 7 2 2 3 11" xfId="42115" xr:uid="{00000000-0005-0000-0000-0000A0A20000}"/>
    <cellStyle name="Note 4 7 2 2 3 12" xfId="45888" xr:uid="{00000000-0005-0000-0000-0000A1A20000}"/>
    <cellStyle name="Note 4 7 2 2 3 2" xfId="6927" xr:uid="{00000000-0005-0000-0000-0000A2A20000}"/>
    <cellStyle name="Note 4 7 2 2 3 3" xfId="11356" xr:uid="{00000000-0005-0000-0000-0000A3A20000}"/>
    <cellStyle name="Note 4 7 2 2 3 4" xfId="15200" xr:uid="{00000000-0005-0000-0000-0000A4A20000}"/>
    <cellStyle name="Note 4 7 2 2 3 5" xfId="19045" xr:uid="{00000000-0005-0000-0000-0000A5A20000}"/>
    <cellStyle name="Note 4 7 2 2 3 6" xfId="22967" xr:uid="{00000000-0005-0000-0000-0000A6A20000}"/>
    <cellStyle name="Note 4 7 2 2 3 7" xfId="26796" xr:uid="{00000000-0005-0000-0000-0000A7A20000}"/>
    <cellStyle name="Note 4 7 2 2 3 8" xfId="30670" xr:uid="{00000000-0005-0000-0000-0000A8A20000}"/>
    <cellStyle name="Note 4 7 2 2 3 9" xfId="34326" xr:uid="{00000000-0005-0000-0000-0000A9A20000}"/>
    <cellStyle name="Note 4 7 2 2 4" xfId="5003" xr:uid="{00000000-0005-0000-0000-0000AAA20000}"/>
    <cellStyle name="Note 4 7 2 2 5" xfId="9359" xr:uid="{00000000-0005-0000-0000-0000ABA20000}"/>
    <cellStyle name="Note 4 7 2 2 6" xfId="13199" xr:uid="{00000000-0005-0000-0000-0000ACA20000}"/>
    <cellStyle name="Note 4 7 2 2 7" xfId="17027" xr:uid="{00000000-0005-0000-0000-0000ADA20000}"/>
    <cellStyle name="Note 4 7 2 2 8" xfId="20969" xr:uid="{00000000-0005-0000-0000-0000AEA20000}"/>
    <cellStyle name="Note 4 7 2 2 9" xfId="24783" xr:uid="{00000000-0005-0000-0000-0000AFA20000}"/>
    <cellStyle name="Note 4 7 2 3" xfId="1435" xr:uid="{00000000-0005-0000-0000-0000B0A20000}"/>
    <cellStyle name="Note 4 7 2 3 10" xfId="32722" xr:uid="{00000000-0005-0000-0000-0000B1A20000}"/>
    <cellStyle name="Note 4 7 2 3 11" xfId="36492" xr:uid="{00000000-0005-0000-0000-0000B2A20000}"/>
    <cellStyle name="Note 4 7 2 3 12" xfId="40483" xr:uid="{00000000-0005-0000-0000-0000B3A20000}"/>
    <cellStyle name="Note 4 7 2 3 13" xfId="44314" xr:uid="{00000000-0005-0000-0000-0000B4A20000}"/>
    <cellStyle name="Note 4 7 2 3 2" xfId="3425" xr:uid="{00000000-0005-0000-0000-0000B5A20000}"/>
    <cellStyle name="Note 4 7 2 3 2 10" xfId="38476" xr:uid="{00000000-0005-0000-0000-0000B6A20000}"/>
    <cellStyle name="Note 4 7 2 3 2 11" xfId="42487" xr:uid="{00000000-0005-0000-0000-0000B7A20000}"/>
    <cellStyle name="Note 4 7 2 3 2 12" xfId="46252" xr:uid="{00000000-0005-0000-0000-0000B8A20000}"/>
    <cellStyle name="Note 4 7 2 3 2 2" xfId="7292" xr:uid="{00000000-0005-0000-0000-0000B9A20000}"/>
    <cellStyle name="Note 4 7 2 3 2 3" xfId="11727" xr:uid="{00000000-0005-0000-0000-0000BAA20000}"/>
    <cellStyle name="Note 4 7 2 3 2 4" xfId="15572" xr:uid="{00000000-0005-0000-0000-0000BBA20000}"/>
    <cellStyle name="Note 4 7 2 3 2 5" xfId="19419" xr:uid="{00000000-0005-0000-0000-0000BCA20000}"/>
    <cellStyle name="Note 4 7 2 3 2 6" xfId="23335" xr:uid="{00000000-0005-0000-0000-0000BDA20000}"/>
    <cellStyle name="Note 4 7 2 3 2 7" xfId="27169" xr:uid="{00000000-0005-0000-0000-0000BEA20000}"/>
    <cellStyle name="Note 4 7 2 3 2 8" xfId="31037" xr:uid="{00000000-0005-0000-0000-0000BFA20000}"/>
    <cellStyle name="Note 4 7 2 3 2 9" xfId="34690" xr:uid="{00000000-0005-0000-0000-0000C0A20000}"/>
    <cellStyle name="Note 4 7 2 3 3" xfId="5368" xr:uid="{00000000-0005-0000-0000-0000C1A20000}"/>
    <cellStyle name="Note 4 7 2 3 4" xfId="9726" xr:uid="{00000000-0005-0000-0000-0000C2A20000}"/>
    <cellStyle name="Note 4 7 2 3 5" xfId="13572" xr:uid="{00000000-0005-0000-0000-0000C3A20000}"/>
    <cellStyle name="Note 4 7 2 3 6" xfId="17401" xr:uid="{00000000-0005-0000-0000-0000C4A20000}"/>
    <cellStyle name="Note 4 7 2 3 7" xfId="21340" xr:uid="{00000000-0005-0000-0000-0000C5A20000}"/>
    <cellStyle name="Note 4 7 2 3 8" xfId="25153" xr:uid="{00000000-0005-0000-0000-0000C6A20000}"/>
    <cellStyle name="Note 4 7 2 3 9" xfId="29040" xr:uid="{00000000-0005-0000-0000-0000C7A20000}"/>
    <cellStyle name="Note 4 7 2 4" xfId="2684" xr:uid="{00000000-0005-0000-0000-0000C8A20000}"/>
    <cellStyle name="Note 4 7 2 4 10" xfId="37736" xr:uid="{00000000-0005-0000-0000-0000C9A20000}"/>
    <cellStyle name="Note 4 7 2 4 11" xfId="41750" xr:uid="{00000000-0005-0000-0000-0000CAA20000}"/>
    <cellStyle name="Note 4 7 2 4 12" xfId="45535" xr:uid="{00000000-0005-0000-0000-0000CBA20000}"/>
    <cellStyle name="Note 4 7 2 4 2" xfId="6572" xr:uid="{00000000-0005-0000-0000-0000CCA20000}"/>
    <cellStyle name="Note 4 7 2 4 3" xfId="10996" xr:uid="{00000000-0005-0000-0000-0000CDA20000}"/>
    <cellStyle name="Note 4 7 2 4 4" xfId="14840" xr:uid="{00000000-0005-0000-0000-0000CEA20000}"/>
    <cellStyle name="Note 4 7 2 4 5" xfId="18678" xr:uid="{00000000-0005-0000-0000-0000CFA20000}"/>
    <cellStyle name="Note 4 7 2 4 6" xfId="22609" xr:uid="{00000000-0005-0000-0000-0000D0A20000}"/>
    <cellStyle name="Note 4 7 2 4 7" xfId="26429" xr:uid="{00000000-0005-0000-0000-0000D1A20000}"/>
    <cellStyle name="Note 4 7 2 4 8" xfId="30308" xr:uid="{00000000-0005-0000-0000-0000D2A20000}"/>
    <cellStyle name="Note 4 7 2 4 9" xfId="33973" xr:uid="{00000000-0005-0000-0000-0000D3A20000}"/>
    <cellStyle name="Note 4 7 2 5" xfId="4648" xr:uid="{00000000-0005-0000-0000-0000D4A20000}"/>
    <cellStyle name="Note 4 7 2 6" xfId="8990" xr:uid="{00000000-0005-0000-0000-0000D5A20000}"/>
    <cellStyle name="Note 4 7 2 7" xfId="12827" xr:uid="{00000000-0005-0000-0000-0000D6A20000}"/>
    <cellStyle name="Note 4 7 2 8" xfId="16657" xr:uid="{00000000-0005-0000-0000-0000D7A20000}"/>
    <cellStyle name="Note 4 7 2 9" xfId="20594" xr:uid="{00000000-0005-0000-0000-0000D8A20000}"/>
    <cellStyle name="Note 4 7 20" xfId="8856" xr:uid="{00000000-0005-0000-0000-0000D9A20000}"/>
    <cellStyle name="Note 4 7 21" xfId="8596" xr:uid="{00000000-0005-0000-0000-0000DAA20000}"/>
    <cellStyle name="Note 4 7 22" xfId="8580" xr:uid="{00000000-0005-0000-0000-0000DBA20000}"/>
    <cellStyle name="Note 4 7 23" xfId="12930" xr:uid="{00000000-0005-0000-0000-0000DCA20000}"/>
    <cellStyle name="Note 4 7 24" xfId="8647" xr:uid="{00000000-0005-0000-0000-0000DDA20000}"/>
    <cellStyle name="Note 4 7 25" xfId="13390" xr:uid="{00000000-0005-0000-0000-0000DEA20000}"/>
    <cellStyle name="Note 4 7 26" xfId="28641" xr:uid="{00000000-0005-0000-0000-0000DFA20000}"/>
    <cellStyle name="Note 4 7 27" xfId="14219" xr:uid="{00000000-0005-0000-0000-0000E0A20000}"/>
    <cellStyle name="Note 4 7 28" xfId="39644" xr:uid="{00000000-0005-0000-0000-0000E1A20000}"/>
    <cellStyle name="Note 4 7 29" xfId="40150" xr:uid="{00000000-0005-0000-0000-0000E2A20000}"/>
    <cellStyle name="Note 4 7 3" xfId="620" xr:uid="{00000000-0005-0000-0000-0000E3A20000}"/>
    <cellStyle name="Note 4 7 3 10" xfId="10347" xr:uid="{00000000-0005-0000-0000-0000E4A20000}"/>
    <cellStyle name="Note 4 7 3 11" xfId="28247" xr:uid="{00000000-0005-0000-0000-0000E5A20000}"/>
    <cellStyle name="Note 4 7 3 12" xfId="30938" xr:uid="{00000000-0005-0000-0000-0000E6A20000}"/>
    <cellStyle name="Note 4 7 3 13" xfId="12859" xr:uid="{00000000-0005-0000-0000-0000E7A20000}"/>
    <cellStyle name="Note 4 7 3 14" xfId="39715" xr:uid="{00000000-0005-0000-0000-0000E8A20000}"/>
    <cellStyle name="Note 4 7 3 15" xfId="39564" xr:uid="{00000000-0005-0000-0000-0000E9A20000}"/>
    <cellStyle name="Note 4 7 3 2" xfId="1000" xr:uid="{00000000-0005-0000-0000-0000EAA20000}"/>
    <cellStyle name="Note 4 7 3 2 10" xfId="28611" xr:uid="{00000000-0005-0000-0000-0000EBA20000}"/>
    <cellStyle name="Note 4 7 3 2 11" xfId="32299" xr:uid="{00000000-0005-0000-0000-0000ECA20000}"/>
    <cellStyle name="Note 4 7 3 2 12" xfId="36058" xr:uid="{00000000-0005-0000-0000-0000EDA20000}"/>
    <cellStyle name="Note 4 7 3 2 13" xfId="40063" xr:uid="{00000000-0005-0000-0000-0000EEA20000}"/>
    <cellStyle name="Note 4 7 3 2 14" xfId="43884" xr:uid="{00000000-0005-0000-0000-0000EFA20000}"/>
    <cellStyle name="Note 4 7 3 2 2" xfId="1729" xr:uid="{00000000-0005-0000-0000-0000F0A20000}"/>
    <cellStyle name="Note 4 7 3 2 2 10" xfId="33016" xr:uid="{00000000-0005-0000-0000-0000F1A20000}"/>
    <cellStyle name="Note 4 7 3 2 2 11" xfId="36786" xr:uid="{00000000-0005-0000-0000-0000F2A20000}"/>
    <cellStyle name="Note 4 7 3 2 2 12" xfId="40777" xr:uid="{00000000-0005-0000-0000-0000F3A20000}"/>
    <cellStyle name="Note 4 7 3 2 2 13" xfId="44608" xr:uid="{00000000-0005-0000-0000-0000F4A20000}"/>
    <cellStyle name="Note 4 7 3 2 2 2" xfId="3719" xr:uid="{00000000-0005-0000-0000-0000F5A20000}"/>
    <cellStyle name="Note 4 7 3 2 2 2 10" xfId="38770" xr:uid="{00000000-0005-0000-0000-0000F6A20000}"/>
    <cellStyle name="Note 4 7 3 2 2 2 11" xfId="42781" xr:uid="{00000000-0005-0000-0000-0000F7A20000}"/>
    <cellStyle name="Note 4 7 3 2 2 2 12" xfId="46546" xr:uid="{00000000-0005-0000-0000-0000F8A20000}"/>
    <cellStyle name="Note 4 7 3 2 2 2 2" xfId="7586" xr:uid="{00000000-0005-0000-0000-0000F9A20000}"/>
    <cellStyle name="Note 4 7 3 2 2 2 3" xfId="12021" xr:uid="{00000000-0005-0000-0000-0000FAA20000}"/>
    <cellStyle name="Note 4 7 3 2 2 2 4" xfId="15866" xr:uid="{00000000-0005-0000-0000-0000FBA20000}"/>
    <cellStyle name="Note 4 7 3 2 2 2 5" xfId="19713" xr:uid="{00000000-0005-0000-0000-0000FCA20000}"/>
    <cellStyle name="Note 4 7 3 2 2 2 6" xfId="23629" xr:uid="{00000000-0005-0000-0000-0000FDA20000}"/>
    <cellStyle name="Note 4 7 3 2 2 2 7" xfId="27463" xr:uid="{00000000-0005-0000-0000-0000FEA20000}"/>
    <cellStyle name="Note 4 7 3 2 2 2 8" xfId="31327" xr:uid="{00000000-0005-0000-0000-0000FFA20000}"/>
    <cellStyle name="Note 4 7 3 2 2 2 9" xfId="34984" xr:uid="{00000000-0005-0000-0000-000000A30000}"/>
    <cellStyle name="Note 4 7 3 2 2 3" xfId="5662" xr:uid="{00000000-0005-0000-0000-000001A30000}"/>
    <cellStyle name="Note 4 7 3 2 2 4" xfId="10020" xr:uid="{00000000-0005-0000-0000-000002A30000}"/>
    <cellStyle name="Note 4 7 3 2 2 5" xfId="13866" xr:uid="{00000000-0005-0000-0000-000003A30000}"/>
    <cellStyle name="Note 4 7 3 2 2 6" xfId="17695" xr:uid="{00000000-0005-0000-0000-000004A30000}"/>
    <cellStyle name="Note 4 7 3 2 2 7" xfId="21634" xr:uid="{00000000-0005-0000-0000-000005A30000}"/>
    <cellStyle name="Note 4 7 3 2 2 8" xfId="25447" xr:uid="{00000000-0005-0000-0000-000006A30000}"/>
    <cellStyle name="Note 4 7 3 2 2 9" xfId="29334" xr:uid="{00000000-0005-0000-0000-000007A30000}"/>
    <cellStyle name="Note 4 7 3 2 3" xfId="2990" xr:uid="{00000000-0005-0000-0000-000008A30000}"/>
    <cellStyle name="Note 4 7 3 2 3 10" xfId="38042" xr:uid="{00000000-0005-0000-0000-000009A30000}"/>
    <cellStyle name="Note 4 7 3 2 3 11" xfId="42054" xr:uid="{00000000-0005-0000-0000-00000AA30000}"/>
    <cellStyle name="Note 4 7 3 2 3 12" xfId="45829" xr:uid="{00000000-0005-0000-0000-00000BA30000}"/>
    <cellStyle name="Note 4 7 3 2 3 2" xfId="6868" xr:uid="{00000000-0005-0000-0000-00000CA30000}"/>
    <cellStyle name="Note 4 7 3 2 3 3" xfId="11296" xr:uid="{00000000-0005-0000-0000-00000DA30000}"/>
    <cellStyle name="Note 4 7 3 2 3 4" xfId="15141" xr:uid="{00000000-0005-0000-0000-00000EA30000}"/>
    <cellStyle name="Note 4 7 3 2 3 5" xfId="18984" xr:uid="{00000000-0005-0000-0000-00000FA30000}"/>
    <cellStyle name="Note 4 7 3 2 3 6" xfId="22908" xr:uid="{00000000-0005-0000-0000-000010A30000}"/>
    <cellStyle name="Note 4 7 3 2 3 7" xfId="26735" xr:uid="{00000000-0005-0000-0000-000011A30000}"/>
    <cellStyle name="Note 4 7 3 2 3 8" xfId="30609" xr:uid="{00000000-0005-0000-0000-000012A30000}"/>
    <cellStyle name="Note 4 7 3 2 3 9" xfId="34267" xr:uid="{00000000-0005-0000-0000-000013A30000}"/>
    <cellStyle name="Note 4 7 3 2 4" xfId="4944" xr:uid="{00000000-0005-0000-0000-000014A30000}"/>
    <cellStyle name="Note 4 7 3 2 5" xfId="9299" xr:uid="{00000000-0005-0000-0000-000015A30000}"/>
    <cellStyle name="Note 4 7 3 2 6" xfId="13140" xr:uid="{00000000-0005-0000-0000-000016A30000}"/>
    <cellStyle name="Note 4 7 3 2 7" xfId="16966" xr:uid="{00000000-0005-0000-0000-000017A30000}"/>
    <cellStyle name="Note 4 7 3 2 8" xfId="20908" xr:uid="{00000000-0005-0000-0000-000018A30000}"/>
    <cellStyle name="Note 4 7 3 2 9" xfId="24723" xr:uid="{00000000-0005-0000-0000-000019A30000}"/>
    <cellStyle name="Note 4 7 3 3" xfId="1376" xr:uid="{00000000-0005-0000-0000-00001AA30000}"/>
    <cellStyle name="Note 4 7 3 3 10" xfId="32663" xr:uid="{00000000-0005-0000-0000-00001BA30000}"/>
    <cellStyle name="Note 4 7 3 3 11" xfId="36433" xr:uid="{00000000-0005-0000-0000-00001CA30000}"/>
    <cellStyle name="Note 4 7 3 3 12" xfId="40424" xr:uid="{00000000-0005-0000-0000-00001DA30000}"/>
    <cellStyle name="Note 4 7 3 3 13" xfId="44255" xr:uid="{00000000-0005-0000-0000-00001EA30000}"/>
    <cellStyle name="Note 4 7 3 3 2" xfId="3366" xr:uid="{00000000-0005-0000-0000-00001FA30000}"/>
    <cellStyle name="Note 4 7 3 3 2 10" xfId="38417" xr:uid="{00000000-0005-0000-0000-000020A30000}"/>
    <cellStyle name="Note 4 7 3 3 2 11" xfId="42428" xr:uid="{00000000-0005-0000-0000-000021A30000}"/>
    <cellStyle name="Note 4 7 3 3 2 12" xfId="46193" xr:uid="{00000000-0005-0000-0000-000022A30000}"/>
    <cellStyle name="Note 4 7 3 3 2 2" xfId="7233" xr:uid="{00000000-0005-0000-0000-000023A30000}"/>
    <cellStyle name="Note 4 7 3 3 2 3" xfId="11668" xr:uid="{00000000-0005-0000-0000-000024A30000}"/>
    <cellStyle name="Note 4 7 3 3 2 4" xfId="15513" xr:uid="{00000000-0005-0000-0000-000025A30000}"/>
    <cellStyle name="Note 4 7 3 3 2 5" xfId="19360" xr:uid="{00000000-0005-0000-0000-000026A30000}"/>
    <cellStyle name="Note 4 7 3 3 2 6" xfId="23276" xr:uid="{00000000-0005-0000-0000-000027A30000}"/>
    <cellStyle name="Note 4 7 3 3 2 7" xfId="27110" xr:uid="{00000000-0005-0000-0000-000028A30000}"/>
    <cellStyle name="Note 4 7 3 3 2 8" xfId="30978" xr:uid="{00000000-0005-0000-0000-000029A30000}"/>
    <cellStyle name="Note 4 7 3 3 2 9" xfId="34631" xr:uid="{00000000-0005-0000-0000-00002AA30000}"/>
    <cellStyle name="Note 4 7 3 3 3" xfId="5309" xr:uid="{00000000-0005-0000-0000-00002BA30000}"/>
    <cellStyle name="Note 4 7 3 3 4" xfId="9667" xr:uid="{00000000-0005-0000-0000-00002CA30000}"/>
    <cellStyle name="Note 4 7 3 3 5" xfId="13513" xr:uid="{00000000-0005-0000-0000-00002DA30000}"/>
    <cellStyle name="Note 4 7 3 3 6" xfId="17342" xr:uid="{00000000-0005-0000-0000-00002EA30000}"/>
    <cellStyle name="Note 4 7 3 3 7" xfId="21281" xr:uid="{00000000-0005-0000-0000-00002FA30000}"/>
    <cellStyle name="Note 4 7 3 3 8" xfId="25094" xr:uid="{00000000-0005-0000-0000-000030A30000}"/>
    <cellStyle name="Note 4 7 3 3 9" xfId="28981" xr:uid="{00000000-0005-0000-0000-000031A30000}"/>
    <cellStyle name="Note 4 7 3 4" xfId="2623" xr:uid="{00000000-0005-0000-0000-000032A30000}"/>
    <cellStyle name="Note 4 7 3 4 10" xfId="37675" xr:uid="{00000000-0005-0000-0000-000033A30000}"/>
    <cellStyle name="Note 4 7 3 4 11" xfId="41689" xr:uid="{00000000-0005-0000-0000-000034A30000}"/>
    <cellStyle name="Note 4 7 3 4 12" xfId="45476" xr:uid="{00000000-0005-0000-0000-000035A30000}"/>
    <cellStyle name="Note 4 7 3 4 2" xfId="6513" xr:uid="{00000000-0005-0000-0000-000036A30000}"/>
    <cellStyle name="Note 4 7 3 4 3" xfId="10937" xr:uid="{00000000-0005-0000-0000-000037A30000}"/>
    <cellStyle name="Note 4 7 3 4 4" xfId="14781" xr:uid="{00000000-0005-0000-0000-000038A30000}"/>
    <cellStyle name="Note 4 7 3 4 5" xfId="18617" xr:uid="{00000000-0005-0000-0000-000039A30000}"/>
    <cellStyle name="Note 4 7 3 4 6" xfId="22550" xr:uid="{00000000-0005-0000-0000-00003AA30000}"/>
    <cellStyle name="Note 4 7 3 4 7" xfId="26368" xr:uid="{00000000-0005-0000-0000-00003BA30000}"/>
    <cellStyle name="Note 4 7 3 4 8" xfId="30247" xr:uid="{00000000-0005-0000-0000-00003CA30000}"/>
    <cellStyle name="Note 4 7 3 4 9" xfId="33914" xr:uid="{00000000-0005-0000-0000-00003DA30000}"/>
    <cellStyle name="Note 4 7 3 5" xfId="4589" xr:uid="{00000000-0005-0000-0000-00003EA30000}"/>
    <cellStyle name="Note 4 7 3 6" xfId="8929" xr:uid="{00000000-0005-0000-0000-00003FA30000}"/>
    <cellStyle name="Note 4 7 3 7" xfId="8697" xr:uid="{00000000-0005-0000-0000-000040A30000}"/>
    <cellStyle name="Note 4 7 3 8" xfId="9055" xr:uid="{00000000-0005-0000-0000-000041A30000}"/>
    <cellStyle name="Note 4 7 3 9" xfId="20533" xr:uid="{00000000-0005-0000-0000-000042A30000}"/>
    <cellStyle name="Note 4 7 30" xfId="47356" xr:uid="{00000000-0005-0000-0000-000043A30000}"/>
    <cellStyle name="Note 4 7 31" xfId="47444" xr:uid="{00000000-0005-0000-0000-000044A30000}"/>
    <cellStyle name="Note 4 7 32" xfId="47491" xr:uid="{00000000-0005-0000-0000-000045A30000}"/>
    <cellStyle name="Note 4 7 4" xfId="722" xr:uid="{00000000-0005-0000-0000-000046A30000}"/>
    <cellStyle name="Note 4 7 4 10" xfId="24455" xr:uid="{00000000-0005-0000-0000-000047A30000}"/>
    <cellStyle name="Note 4 7 4 11" xfId="28348" xr:uid="{00000000-0005-0000-0000-000048A30000}"/>
    <cellStyle name="Note 4 7 4 12" xfId="9544" xr:uid="{00000000-0005-0000-0000-000049A30000}"/>
    <cellStyle name="Note 4 7 4 13" xfId="35793" xr:uid="{00000000-0005-0000-0000-00004AA30000}"/>
    <cellStyle name="Note 4 7 4 14" xfId="39814" xr:uid="{00000000-0005-0000-0000-00004BA30000}"/>
    <cellStyle name="Note 4 7 4 15" xfId="43619" xr:uid="{00000000-0005-0000-0000-00004CA30000}"/>
    <cellStyle name="Note 4 7 4 2" xfId="1101" xr:uid="{00000000-0005-0000-0000-00004DA30000}"/>
    <cellStyle name="Note 4 7 4 2 10" xfId="28711" xr:uid="{00000000-0005-0000-0000-00004EA30000}"/>
    <cellStyle name="Note 4 7 4 2 11" xfId="32398" xr:uid="{00000000-0005-0000-0000-00004FA30000}"/>
    <cellStyle name="Note 4 7 4 2 12" xfId="36159" xr:uid="{00000000-0005-0000-0000-000050A30000}"/>
    <cellStyle name="Note 4 7 4 2 13" xfId="40161" xr:uid="{00000000-0005-0000-0000-000051A30000}"/>
    <cellStyle name="Note 4 7 4 2 14" xfId="43985" xr:uid="{00000000-0005-0000-0000-000052A30000}"/>
    <cellStyle name="Note 4 7 4 2 2" xfId="1828" xr:uid="{00000000-0005-0000-0000-000053A30000}"/>
    <cellStyle name="Note 4 7 4 2 2 10" xfId="33115" xr:uid="{00000000-0005-0000-0000-000054A30000}"/>
    <cellStyle name="Note 4 7 4 2 2 11" xfId="36885" xr:uid="{00000000-0005-0000-0000-000055A30000}"/>
    <cellStyle name="Note 4 7 4 2 2 12" xfId="40876" xr:uid="{00000000-0005-0000-0000-000056A30000}"/>
    <cellStyle name="Note 4 7 4 2 2 13" xfId="44707" xr:uid="{00000000-0005-0000-0000-000057A30000}"/>
    <cellStyle name="Note 4 7 4 2 2 2" xfId="3818" xr:uid="{00000000-0005-0000-0000-000058A30000}"/>
    <cellStyle name="Note 4 7 4 2 2 2 10" xfId="38869" xr:uid="{00000000-0005-0000-0000-000059A30000}"/>
    <cellStyle name="Note 4 7 4 2 2 2 11" xfId="42880" xr:uid="{00000000-0005-0000-0000-00005AA30000}"/>
    <cellStyle name="Note 4 7 4 2 2 2 12" xfId="46645" xr:uid="{00000000-0005-0000-0000-00005BA30000}"/>
    <cellStyle name="Note 4 7 4 2 2 2 2" xfId="7685" xr:uid="{00000000-0005-0000-0000-00005CA30000}"/>
    <cellStyle name="Note 4 7 4 2 2 2 3" xfId="12120" xr:uid="{00000000-0005-0000-0000-00005DA30000}"/>
    <cellStyle name="Note 4 7 4 2 2 2 4" xfId="15965" xr:uid="{00000000-0005-0000-0000-00005EA30000}"/>
    <cellStyle name="Note 4 7 4 2 2 2 5" xfId="19812" xr:uid="{00000000-0005-0000-0000-00005FA30000}"/>
    <cellStyle name="Note 4 7 4 2 2 2 6" xfId="23728" xr:uid="{00000000-0005-0000-0000-000060A30000}"/>
    <cellStyle name="Note 4 7 4 2 2 2 7" xfId="27562" xr:uid="{00000000-0005-0000-0000-000061A30000}"/>
    <cellStyle name="Note 4 7 4 2 2 2 8" xfId="31426" xr:uid="{00000000-0005-0000-0000-000062A30000}"/>
    <cellStyle name="Note 4 7 4 2 2 2 9" xfId="35083" xr:uid="{00000000-0005-0000-0000-000063A30000}"/>
    <cellStyle name="Note 4 7 4 2 2 3" xfId="5761" xr:uid="{00000000-0005-0000-0000-000064A30000}"/>
    <cellStyle name="Note 4 7 4 2 2 4" xfId="10119" xr:uid="{00000000-0005-0000-0000-000065A30000}"/>
    <cellStyle name="Note 4 7 4 2 2 5" xfId="13965" xr:uid="{00000000-0005-0000-0000-000066A30000}"/>
    <cellStyle name="Note 4 7 4 2 2 6" xfId="17794" xr:uid="{00000000-0005-0000-0000-000067A30000}"/>
    <cellStyle name="Note 4 7 4 2 2 7" xfId="21733" xr:uid="{00000000-0005-0000-0000-000068A30000}"/>
    <cellStyle name="Note 4 7 4 2 2 8" xfId="25546" xr:uid="{00000000-0005-0000-0000-000069A30000}"/>
    <cellStyle name="Note 4 7 4 2 2 9" xfId="29433" xr:uid="{00000000-0005-0000-0000-00006AA30000}"/>
    <cellStyle name="Note 4 7 4 2 3" xfId="3091" xr:uid="{00000000-0005-0000-0000-00006BA30000}"/>
    <cellStyle name="Note 4 7 4 2 3 10" xfId="38143" xr:uid="{00000000-0005-0000-0000-00006CA30000}"/>
    <cellStyle name="Note 4 7 4 2 3 11" xfId="42155" xr:uid="{00000000-0005-0000-0000-00006DA30000}"/>
    <cellStyle name="Note 4 7 4 2 3 12" xfId="45928" xr:uid="{00000000-0005-0000-0000-00006EA30000}"/>
    <cellStyle name="Note 4 7 4 2 3 2" xfId="6967" xr:uid="{00000000-0005-0000-0000-00006FA30000}"/>
    <cellStyle name="Note 4 7 4 2 3 3" xfId="11396" xr:uid="{00000000-0005-0000-0000-000070A30000}"/>
    <cellStyle name="Note 4 7 4 2 3 4" xfId="15240" xr:uid="{00000000-0005-0000-0000-000071A30000}"/>
    <cellStyle name="Note 4 7 4 2 3 5" xfId="19085" xr:uid="{00000000-0005-0000-0000-000072A30000}"/>
    <cellStyle name="Note 4 7 4 2 3 6" xfId="23007" xr:uid="{00000000-0005-0000-0000-000073A30000}"/>
    <cellStyle name="Note 4 7 4 2 3 7" xfId="26836" xr:uid="{00000000-0005-0000-0000-000074A30000}"/>
    <cellStyle name="Note 4 7 4 2 3 8" xfId="30709" xr:uid="{00000000-0005-0000-0000-000075A30000}"/>
    <cellStyle name="Note 4 7 4 2 3 9" xfId="34366" xr:uid="{00000000-0005-0000-0000-000076A30000}"/>
    <cellStyle name="Note 4 7 4 2 4" xfId="5043" xr:uid="{00000000-0005-0000-0000-000077A30000}"/>
    <cellStyle name="Note 4 7 4 2 5" xfId="9399" xr:uid="{00000000-0005-0000-0000-000078A30000}"/>
    <cellStyle name="Note 4 7 4 2 6" xfId="13239" xr:uid="{00000000-0005-0000-0000-000079A30000}"/>
    <cellStyle name="Note 4 7 4 2 7" xfId="17067" xr:uid="{00000000-0005-0000-0000-00007AA30000}"/>
    <cellStyle name="Note 4 7 4 2 8" xfId="21009" xr:uid="{00000000-0005-0000-0000-00007BA30000}"/>
    <cellStyle name="Note 4 7 4 2 9" xfId="24823" xr:uid="{00000000-0005-0000-0000-00007CA30000}"/>
    <cellStyle name="Note 4 7 4 3" xfId="1475" xr:uid="{00000000-0005-0000-0000-00007DA30000}"/>
    <cellStyle name="Note 4 7 4 3 10" xfId="32762" xr:uid="{00000000-0005-0000-0000-00007EA30000}"/>
    <cellStyle name="Note 4 7 4 3 11" xfId="36532" xr:uid="{00000000-0005-0000-0000-00007FA30000}"/>
    <cellStyle name="Note 4 7 4 3 12" xfId="40523" xr:uid="{00000000-0005-0000-0000-000080A30000}"/>
    <cellStyle name="Note 4 7 4 3 13" xfId="44354" xr:uid="{00000000-0005-0000-0000-000081A30000}"/>
    <cellStyle name="Note 4 7 4 3 2" xfId="3465" xr:uid="{00000000-0005-0000-0000-000082A30000}"/>
    <cellStyle name="Note 4 7 4 3 2 10" xfId="38516" xr:uid="{00000000-0005-0000-0000-000083A30000}"/>
    <cellStyle name="Note 4 7 4 3 2 11" xfId="42527" xr:uid="{00000000-0005-0000-0000-000084A30000}"/>
    <cellStyle name="Note 4 7 4 3 2 12" xfId="46292" xr:uid="{00000000-0005-0000-0000-000085A30000}"/>
    <cellStyle name="Note 4 7 4 3 2 2" xfId="7332" xr:uid="{00000000-0005-0000-0000-000086A30000}"/>
    <cellStyle name="Note 4 7 4 3 2 3" xfId="11767" xr:uid="{00000000-0005-0000-0000-000087A30000}"/>
    <cellStyle name="Note 4 7 4 3 2 4" xfId="15612" xr:uid="{00000000-0005-0000-0000-000088A30000}"/>
    <cellStyle name="Note 4 7 4 3 2 5" xfId="19459" xr:uid="{00000000-0005-0000-0000-000089A30000}"/>
    <cellStyle name="Note 4 7 4 3 2 6" xfId="23375" xr:uid="{00000000-0005-0000-0000-00008AA30000}"/>
    <cellStyle name="Note 4 7 4 3 2 7" xfId="27209" xr:uid="{00000000-0005-0000-0000-00008BA30000}"/>
    <cellStyle name="Note 4 7 4 3 2 8" xfId="31076" xr:uid="{00000000-0005-0000-0000-00008CA30000}"/>
    <cellStyle name="Note 4 7 4 3 2 9" xfId="34730" xr:uid="{00000000-0005-0000-0000-00008DA30000}"/>
    <cellStyle name="Note 4 7 4 3 3" xfId="5408" xr:uid="{00000000-0005-0000-0000-00008EA30000}"/>
    <cellStyle name="Note 4 7 4 3 4" xfId="9766" xr:uid="{00000000-0005-0000-0000-00008FA30000}"/>
    <cellStyle name="Note 4 7 4 3 5" xfId="13612" xr:uid="{00000000-0005-0000-0000-000090A30000}"/>
    <cellStyle name="Note 4 7 4 3 6" xfId="17441" xr:uid="{00000000-0005-0000-0000-000091A30000}"/>
    <cellStyle name="Note 4 7 4 3 7" xfId="21380" xr:uid="{00000000-0005-0000-0000-000092A30000}"/>
    <cellStyle name="Note 4 7 4 3 8" xfId="25193" xr:uid="{00000000-0005-0000-0000-000093A30000}"/>
    <cellStyle name="Note 4 7 4 3 9" xfId="29080" xr:uid="{00000000-0005-0000-0000-000094A30000}"/>
    <cellStyle name="Note 4 7 4 4" xfId="2725" xr:uid="{00000000-0005-0000-0000-000095A30000}"/>
    <cellStyle name="Note 4 7 4 4 10" xfId="37777" xr:uid="{00000000-0005-0000-0000-000096A30000}"/>
    <cellStyle name="Note 4 7 4 4 11" xfId="41791" xr:uid="{00000000-0005-0000-0000-000097A30000}"/>
    <cellStyle name="Note 4 7 4 4 12" xfId="45575" xr:uid="{00000000-0005-0000-0000-000098A30000}"/>
    <cellStyle name="Note 4 7 4 4 2" xfId="6612" xr:uid="{00000000-0005-0000-0000-000099A30000}"/>
    <cellStyle name="Note 4 7 4 4 3" xfId="11036" xr:uid="{00000000-0005-0000-0000-00009AA30000}"/>
    <cellStyle name="Note 4 7 4 4 4" xfId="14881" xr:uid="{00000000-0005-0000-0000-00009BA30000}"/>
    <cellStyle name="Note 4 7 4 4 5" xfId="18719" xr:uid="{00000000-0005-0000-0000-00009CA30000}"/>
    <cellStyle name="Note 4 7 4 4 6" xfId="22650" xr:uid="{00000000-0005-0000-0000-00009DA30000}"/>
    <cellStyle name="Note 4 7 4 4 7" xfId="26470" xr:uid="{00000000-0005-0000-0000-00009EA30000}"/>
    <cellStyle name="Note 4 7 4 4 8" xfId="30349" xr:uid="{00000000-0005-0000-0000-00009FA30000}"/>
    <cellStyle name="Note 4 7 4 4 9" xfId="34013" xr:uid="{00000000-0005-0000-0000-0000A0A30000}"/>
    <cellStyle name="Note 4 7 4 5" xfId="4688" xr:uid="{00000000-0005-0000-0000-0000A1A30000}"/>
    <cellStyle name="Note 4 7 4 6" xfId="9030" xr:uid="{00000000-0005-0000-0000-0000A2A30000}"/>
    <cellStyle name="Note 4 7 4 7" xfId="12868" xr:uid="{00000000-0005-0000-0000-0000A3A30000}"/>
    <cellStyle name="Note 4 7 4 8" xfId="16698" xr:uid="{00000000-0005-0000-0000-0000A4A30000}"/>
    <cellStyle name="Note 4 7 4 9" xfId="20635" xr:uid="{00000000-0005-0000-0000-0000A5A30000}"/>
    <cellStyle name="Note 4 7 5" xfId="881" xr:uid="{00000000-0005-0000-0000-0000A6A30000}"/>
    <cellStyle name="Note 4 7 5 10" xfId="24605" xr:uid="{00000000-0005-0000-0000-0000A7A30000}"/>
    <cellStyle name="Note 4 7 5 11" xfId="28495" xr:uid="{00000000-0005-0000-0000-0000A8A30000}"/>
    <cellStyle name="Note 4 7 5 12" xfId="32182" xr:uid="{00000000-0005-0000-0000-0000A9A30000}"/>
    <cellStyle name="Note 4 7 5 13" xfId="35939" xr:uid="{00000000-0005-0000-0000-0000AAA30000}"/>
    <cellStyle name="Note 4 7 5 14" xfId="39949" xr:uid="{00000000-0005-0000-0000-0000ABA30000}"/>
    <cellStyle name="Note 4 7 5 15" xfId="43765" xr:uid="{00000000-0005-0000-0000-0000ACA30000}"/>
    <cellStyle name="Note 4 7 5 2" xfId="1218" xr:uid="{00000000-0005-0000-0000-0000ADA30000}"/>
    <cellStyle name="Note 4 7 5 2 10" xfId="28826" xr:uid="{00000000-0005-0000-0000-0000AEA30000}"/>
    <cellStyle name="Note 4 7 5 2 11" xfId="32510" xr:uid="{00000000-0005-0000-0000-0000AFA30000}"/>
    <cellStyle name="Note 4 7 5 2 12" xfId="36276" xr:uid="{00000000-0005-0000-0000-0000B0A30000}"/>
    <cellStyle name="Note 4 7 5 2 13" xfId="40269" xr:uid="{00000000-0005-0000-0000-0000B1A30000}"/>
    <cellStyle name="Note 4 7 5 2 14" xfId="44102" xr:uid="{00000000-0005-0000-0000-0000B2A30000}"/>
    <cellStyle name="Note 4 7 5 2 2" xfId="1940" xr:uid="{00000000-0005-0000-0000-0000B3A30000}"/>
    <cellStyle name="Note 4 7 5 2 2 10" xfId="33227" xr:uid="{00000000-0005-0000-0000-0000B4A30000}"/>
    <cellStyle name="Note 4 7 5 2 2 11" xfId="36997" xr:uid="{00000000-0005-0000-0000-0000B5A30000}"/>
    <cellStyle name="Note 4 7 5 2 2 12" xfId="40988" xr:uid="{00000000-0005-0000-0000-0000B6A30000}"/>
    <cellStyle name="Note 4 7 5 2 2 13" xfId="44819" xr:uid="{00000000-0005-0000-0000-0000B7A30000}"/>
    <cellStyle name="Note 4 7 5 2 2 2" xfId="3930" xr:uid="{00000000-0005-0000-0000-0000B8A30000}"/>
    <cellStyle name="Note 4 7 5 2 2 2 10" xfId="38981" xr:uid="{00000000-0005-0000-0000-0000B9A30000}"/>
    <cellStyle name="Note 4 7 5 2 2 2 11" xfId="42992" xr:uid="{00000000-0005-0000-0000-0000BAA30000}"/>
    <cellStyle name="Note 4 7 5 2 2 2 12" xfId="46757" xr:uid="{00000000-0005-0000-0000-0000BBA30000}"/>
    <cellStyle name="Note 4 7 5 2 2 2 2" xfId="7797" xr:uid="{00000000-0005-0000-0000-0000BCA30000}"/>
    <cellStyle name="Note 4 7 5 2 2 2 3" xfId="12232" xr:uid="{00000000-0005-0000-0000-0000BDA30000}"/>
    <cellStyle name="Note 4 7 5 2 2 2 4" xfId="16077" xr:uid="{00000000-0005-0000-0000-0000BEA30000}"/>
    <cellStyle name="Note 4 7 5 2 2 2 5" xfId="19924" xr:uid="{00000000-0005-0000-0000-0000BFA30000}"/>
    <cellStyle name="Note 4 7 5 2 2 2 6" xfId="23840" xr:uid="{00000000-0005-0000-0000-0000C0A30000}"/>
    <cellStyle name="Note 4 7 5 2 2 2 7" xfId="27674" xr:uid="{00000000-0005-0000-0000-0000C1A30000}"/>
    <cellStyle name="Note 4 7 5 2 2 2 8" xfId="31535" xr:uid="{00000000-0005-0000-0000-0000C2A30000}"/>
    <cellStyle name="Note 4 7 5 2 2 2 9" xfId="35195" xr:uid="{00000000-0005-0000-0000-0000C3A30000}"/>
    <cellStyle name="Note 4 7 5 2 2 3" xfId="5873" xr:uid="{00000000-0005-0000-0000-0000C4A30000}"/>
    <cellStyle name="Note 4 7 5 2 2 4" xfId="10231" xr:uid="{00000000-0005-0000-0000-0000C5A30000}"/>
    <cellStyle name="Note 4 7 5 2 2 5" xfId="14077" xr:uid="{00000000-0005-0000-0000-0000C6A30000}"/>
    <cellStyle name="Note 4 7 5 2 2 6" xfId="17906" xr:uid="{00000000-0005-0000-0000-0000C7A30000}"/>
    <cellStyle name="Note 4 7 5 2 2 7" xfId="21845" xr:uid="{00000000-0005-0000-0000-0000C8A30000}"/>
    <cellStyle name="Note 4 7 5 2 2 8" xfId="25658" xr:uid="{00000000-0005-0000-0000-0000C9A30000}"/>
    <cellStyle name="Note 4 7 5 2 2 9" xfId="29545" xr:uid="{00000000-0005-0000-0000-0000CAA30000}"/>
    <cellStyle name="Note 4 7 5 2 3" xfId="3208" xr:uid="{00000000-0005-0000-0000-0000CBA30000}"/>
    <cellStyle name="Note 4 7 5 2 3 10" xfId="38260" xr:uid="{00000000-0005-0000-0000-0000CCA30000}"/>
    <cellStyle name="Note 4 7 5 2 3 11" xfId="42271" xr:uid="{00000000-0005-0000-0000-0000CDA30000}"/>
    <cellStyle name="Note 4 7 5 2 3 12" xfId="46040" xr:uid="{00000000-0005-0000-0000-0000CEA30000}"/>
    <cellStyle name="Note 4 7 5 2 3 2" xfId="7080" xr:uid="{00000000-0005-0000-0000-0000CFA30000}"/>
    <cellStyle name="Note 4 7 5 2 3 3" xfId="11512" xr:uid="{00000000-0005-0000-0000-0000D0A30000}"/>
    <cellStyle name="Note 4 7 5 2 3 4" xfId="15356" xr:uid="{00000000-0005-0000-0000-0000D1A30000}"/>
    <cellStyle name="Note 4 7 5 2 3 5" xfId="19202" xr:uid="{00000000-0005-0000-0000-0000D2A30000}"/>
    <cellStyle name="Note 4 7 5 2 3 6" xfId="23121" xr:uid="{00000000-0005-0000-0000-0000D3A30000}"/>
    <cellStyle name="Note 4 7 5 2 3 7" xfId="26953" xr:uid="{00000000-0005-0000-0000-0000D4A30000}"/>
    <cellStyle name="Note 4 7 5 2 3 8" xfId="30823" xr:uid="{00000000-0005-0000-0000-0000D5A30000}"/>
    <cellStyle name="Note 4 7 5 2 3 9" xfId="34478" xr:uid="{00000000-0005-0000-0000-0000D6A30000}"/>
    <cellStyle name="Note 4 7 5 2 4" xfId="5156" xr:uid="{00000000-0005-0000-0000-0000D7A30000}"/>
    <cellStyle name="Note 4 7 5 2 5" xfId="9512" xr:uid="{00000000-0005-0000-0000-0000D8A30000}"/>
    <cellStyle name="Note 4 7 5 2 6" xfId="13356" xr:uid="{00000000-0005-0000-0000-0000D9A30000}"/>
    <cellStyle name="Note 4 7 5 2 7" xfId="17184" xr:uid="{00000000-0005-0000-0000-0000DAA30000}"/>
    <cellStyle name="Note 4 7 5 2 8" xfId="21126" xr:uid="{00000000-0005-0000-0000-0000DBA30000}"/>
    <cellStyle name="Note 4 7 5 2 9" xfId="24937" xr:uid="{00000000-0005-0000-0000-0000DCA30000}"/>
    <cellStyle name="Note 4 7 5 3" xfId="1612" xr:uid="{00000000-0005-0000-0000-0000DDA30000}"/>
    <cellStyle name="Note 4 7 5 3 10" xfId="32899" xr:uid="{00000000-0005-0000-0000-0000DEA30000}"/>
    <cellStyle name="Note 4 7 5 3 11" xfId="36669" xr:uid="{00000000-0005-0000-0000-0000DFA30000}"/>
    <cellStyle name="Note 4 7 5 3 12" xfId="40660" xr:uid="{00000000-0005-0000-0000-0000E0A30000}"/>
    <cellStyle name="Note 4 7 5 3 13" xfId="44491" xr:uid="{00000000-0005-0000-0000-0000E1A30000}"/>
    <cellStyle name="Note 4 7 5 3 2" xfId="3602" xr:uid="{00000000-0005-0000-0000-0000E2A30000}"/>
    <cellStyle name="Note 4 7 5 3 2 10" xfId="38653" xr:uid="{00000000-0005-0000-0000-0000E3A30000}"/>
    <cellStyle name="Note 4 7 5 3 2 11" xfId="42664" xr:uid="{00000000-0005-0000-0000-0000E4A30000}"/>
    <cellStyle name="Note 4 7 5 3 2 12" xfId="46429" xr:uid="{00000000-0005-0000-0000-0000E5A30000}"/>
    <cellStyle name="Note 4 7 5 3 2 2" xfId="7469" xr:uid="{00000000-0005-0000-0000-0000E6A30000}"/>
    <cellStyle name="Note 4 7 5 3 2 3" xfId="11904" xr:uid="{00000000-0005-0000-0000-0000E7A30000}"/>
    <cellStyle name="Note 4 7 5 3 2 4" xfId="15749" xr:uid="{00000000-0005-0000-0000-0000E8A30000}"/>
    <cellStyle name="Note 4 7 5 3 2 5" xfId="19596" xr:uid="{00000000-0005-0000-0000-0000E9A30000}"/>
    <cellStyle name="Note 4 7 5 3 2 6" xfId="23512" xr:uid="{00000000-0005-0000-0000-0000EAA30000}"/>
    <cellStyle name="Note 4 7 5 3 2 7" xfId="27346" xr:uid="{00000000-0005-0000-0000-0000EBA30000}"/>
    <cellStyle name="Note 4 7 5 3 2 8" xfId="31211" xr:uid="{00000000-0005-0000-0000-0000ECA30000}"/>
    <cellStyle name="Note 4 7 5 3 2 9" xfId="34867" xr:uid="{00000000-0005-0000-0000-0000EDA30000}"/>
    <cellStyle name="Note 4 7 5 3 3" xfId="5545" xr:uid="{00000000-0005-0000-0000-0000EEA30000}"/>
    <cellStyle name="Note 4 7 5 3 4" xfId="9903" xr:uid="{00000000-0005-0000-0000-0000EFA30000}"/>
    <cellStyle name="Note 4 7 5 3 5" xfId="13749" xr:uid="{00000000-0005-0000-0000-0000F0A30000}"/>
    <cellStyle name="Note 4 7 5 3 6" xfId="17578" xr:uid="{00000000-0005-0000-0000-0000F1A30000}"/>
    <cellStyle name="Note 4 7 5 3 7" xfId="21517" xr:uid="{00000000-0005-0000-0000-0000F2A30000}"/>
    <cellStyle name="Note 4 7 5 3 8" xfId="25330" xr:uid="{00000000-0005-0000-0000-0000F3A30000}"/>
    <cellStyle name="Note 4 7 5 3 9" xfId="29217" xr:uid="{00000000-0005-0000-0000-0000F4A30000}"/>
    <cellStyle name="Note 4 7 5 4" xfId="2871" xr:uid="{00000000-0005-0000-0000-0000F5A30000}"/>
    <cellStyle name="Note 4 7 5 4 10" xfId="37923" xr:uid="{00000000-0005-0000-0000-0000F6A30000}"/>
    <cellStyle name="Note 4 7 5 4 11" xfId="41935" xr:uid="{00000000-0005-0000-0000-0000F7A30000}"/>
    <cellStyle name="Note 4 7 5 4 12" xfId="45712" xr:uid="{00000000-0005-0000-0000-0000F8A30000}"/>
    <cellStyle name="Note 4 7 5 4 2" xfId="6751" xr:uid="{00000000-0005-0000-0000-0000F9A30000}"/>
    <cellStyle name="Note 4 7 5 4 3" xfId="11178" xr:uid="{00000000-0005-0000-0000-0000FAA30000}"/>
    <cellStyle name="Note 4 7 5 4 4" xfId="15023" xr:uid="{00000000-0005-0000-0000-0000FBA30000}"/>
    <cellStyle name="Note 4 7 5 4 5" xfId="18865" xr:uid="{00000000-0005-0000-0000-0000FCA30000}"/>
    <cellStyle name="Note 4 7 5 4 6" xfId="22791" xr:uid="{00000000-0005-0000-0000-0000FDA30000}"/>
    <cellStyle name="Note 4 7 5 4 7" xfId="26616" xr:uid="{00000000-0005-0000-0000-0000FEA30000}"/>
    <cellStyle name="Note 4 7 5 4 8" xfId="30492" xr:uid="{00000000-0005-0000-0000-0000FFA30000}"/>
    <cellStyle name="Note 4 7 5 4 9" xfId="34150" xr:uid="{00000000-0005-0000-0000-000000A40000}"/>
    <cellStyle name="Note 4 7 5 5" xfId="4827" xr:uid="{00000000-0005-0000-0000-000001A40000}"/>
    <cellStyle name="Note 4 7 5 6" xfId="9181" xr:uid="{00000000-0005-0000-0000-000002A40000}"/>
    <cellStyle name="Note 4 7 5 7" xfId="13022" xr:uid="{00000000-0005-0000-0000-000003A40000}"/>
    <cellStyle name="Note 4 7 5 8" xfId="16847" xr:uid="{00000000-0005-0000-0000-000004A40000}"/>
    <cellStyle name="Note 4 7 5 9" xfId="20789" xr:uid="{00000000-0005-0000-0000-000005A40000}"/>
    <cellStyle name="Note 4 7 6" xfId="927" xr:uid="{00000000-0005-0000-0000-000006A40000}"/>
    <cellStyle name="Note 4 7 6 10" xfId="28539" xr:uid="{00000000-0005-0000-0000-000007A40000}"/>
    <cellStyle name="Note 4 7 6 11" xfId="32228" xr:uid="{00000000-0005-0000-0000-000008A40000}"/>
    <cellStyle name="Note 4 7 6 12" xfId="35985" xr:uid="{00000000-0005-0000-0000-000009A40000}"/>
    <cellStyle name="Note 4 7 6 13" xfId="39993" xr:uid="{00000000-0005-0000-0000-00000AA40000}"/>
    <cellStyle name="Note 4 7 6 14" xfId="43811" xr:uid="{00000000-0005-0000-0000-00000BA40000}"/>
    <cellStyle name="Note 4 7 6 2" xfId="1658" xr:uid="{00000000-0005-0000-0000-00000CA40000}"/>
    <cellStyle name="Note 4 7 6 2 10" xfId="32945" xr:uid="{00000000-0005-0000-0000-00000DA40000}"/>
    <cellStyle name="Note 4 7 6 2 11" xfId="36715" xr:uid="{00000000-0005-0000-0000-00000EA40000}"/>
    <cellStyle name="Note 4 7 6 2 12" xfId="40706" xr:uid="{00000000-0005-0000-0000-00000FA40000}"/>
    <cellStyle name="Note 4 7 6 2 13" xfId="44537" xr:uid="{00000000-0005-0000-0000-000010A40000}"/>
    <cellStyle name="Note 4 7 6 2 2" xfId="3648" xr:uid="{00000000-0005-0000-0000-000011A40000}"/>
    <cellStyle name="Note 4 7 6 2 2 10" xfId="38699" xr:uid="{00000000-0005-0000-0000-000012A40000}"/>
    <cellStyle name="Note 4 7 6 2 2 11" xfId="42710" xr:uid="{00000000-0005-0000-0000-000013A40000}"/>
    <cellStyle name="Note 4 7 6 2 2 12" xfId="46475" xr:uid="{00000000-0005-0000-0000-000014A40000}"/>
    <cellStyle name="Note 4 7 6 2 2 2" xfId="7515" xr:uid="{00000000-0005-0000-0000-000015A40000}"/>
    <cellStyle name="Note 4 7 6 2 2 3" xfId="11950" xr:uid="{00000000-0005-0000-0000-000016A40000}"/>
    <cellStyle name="Note 4 7 6 2 2 4" xfId="15795" xr:uid="{00000000-0005-0000-0000-000017A40000}"/>
    <cellStyle name="Note 4 7 6 2 2 5" xfId="19642" xr:uid="{00000000-0005-0000-0000-000018A40000}"/>
    <cellStyle name="Note 4 7 6 2 2 6" xfId="23558" xr:uid="{00000000-0005-0000-0000-000019A40000}"/>
    <cellStyle name="Note 4 7 6 2 2 7" xfId="27392" xr:uid="{00000000-0005-0000-0000-00001AA40000}"/>
    <cellStyle name="Note 4 7 6 2 2 8" xfId="31256" xr:uid="{00000000-0005-0000-0000-00001BA40000}"/>
    <cellStyle name="Note 4 7 6 2 2 9" xfId="34913" xr:uid="{00000000-0005-0000-0000-00001CA40000}"/>
    <cellStyle name="Note 4 7 6 2 3" xfId="5591" xr:uid="{00000000-0005-0000-0000-00001DA40000}"/>
    <cellStyle name="Note 4 7 6 2 4" xfId="9949" xr:uid="{00000000-0005-0000-0000-00001EA40000}"/>
    <cellStyle name="Note 4 7 6 2 5" xfId="13795" xr:uid="{00000000-0005-0000-0000-00001FA40000}"/>
    <cellStyle name="Note 4 7 6 2 6" xfId="17624" xr:uid="{00000000-0005-0000-0000-000020A40000}"/>
    <cellStyle name="Note 4 7 6 2 7" xfId="21563" xr:uid="{00000000-0005-0000-0000-000021A40000}"/>
    <cellStyle name="Note 4 7 6 2 8" xfId="25376" xr:uid="{00000000-0005-0000-0000-000022A40000}"/>
    <cellStyle name="Note 4 7 6 2 9" xfId="29263" xr:uid="{00000000-0005-0000-0000-000023A40000}"/>
    <cellStyle name="Note 4 7 6 3" xfId="2917" xr:uid="{00000000-0005-0000-0000-000024A40000}"/>
    <cellStyle name="Note 4 7 6 3 10" xfId="37969" xr:uid="{00000000-0005-0000-0000-000025A40000}"/>
    <cellStyle name="Note 4 7 6 3 11" xfId="41981" xr:uid="{00000000-0005-0000-0000-000026A40000}"/>
    <cellStyle name="Note 4 7 6 3 12" xfId="45758" xr:uid="{00000000-0005-0000-0000-000027A40000}"/>
    <cellStyle name="Note 4 7 6 3 2" xfId="6797" xr:uid="{00000000-0005-0000-0000-000028A40000}"/>
    <cellStyle name="Note 4 7 6 3 3" xfId="11224" xr:uid="{00000000-0005-0000-0000-000029A40000}"/>
    <cellStyle name="Note 4 7 6 3 4" xfId="15069" xr:uid="{00000000-0005-0000-0000-00002AA40000}"/>
    <cellStyle name="Note 4 7 6 3 5" xfId="18911" xr:uid="{00000000-0005-0000-0000-00002BA40000}"/>
    <cellStyle name="Note 4 7 6 3 6" xfId="22837" xr:uid="{00000000-0005-0000-0000-00002CA40000}"/>
    <cellStyle name="Note 4 7 6 3 7" xfId="26662" xr:uid="{00000000-0005-0000-0000-00002DA40000}"/>
    <cellStyle name="Note 4 7 6 3 8" xfId="30537" xr:uid="{00000000-0005-0000-0000-00002EA40000}"/>
    <cellStyle name="Note 4 7 6 3 9" xfId="34196" xr:uid="{00000000-0005-0000-0000-00002FA40000}"/>
    <cellStyle name="Note 4 7 6 4" xfId="4873" xr:uid="{00000000-0005-0000-0000-000030A40000}"/>
    <cellStyle name="Note 4 7 6 5" xfId="9227" xr:uid="{00000000-0005-0000-0000-000031A40000}"/>
    <cellStyle name="Note 4 7 6 6" xfId="13068" xr:uid="{00000000-0005-0000-0000-000032A40000}"/>
    <cellStyle name="Note 4 7 6 7" xfId="16893" xr:uid="{00000000-0005-0000-0000-000033A40000}"/>
    <cellStyle name="Note 4 7 6 8" xfId="20835" xr:uid="{00000000-0005-0000-0000-000034A40000}"/>
    <cellStyle name="Note 4 7 6 9" xfId="24651" xr:uid="{00000000-0005-0000-0000-000035A40000}"/>
    <cellStyle name="Note 4 7 7" xfId="1305" xr:uid="{00000000-0005-0000-0000-000036A40000}"/>
    <cellStyle name="Note 4 7 7 10" xfId="32592" xr:uid="{00000000-0005-0000-0000-000037A40000}"/>
    <cellStyle name="Note 4 7 7 11" xfId="36362" xr:uid="{00000000-0005-0000-0000-000038A40000}"/>
    <cellStyle name="Note 4 7 7 12" xfId="40353" xr:uid="{00000000-0005-0000-0000-000039A40000}"/>
    <cellStyle name="Note 4 7 7 13" xfId="44184" xr:uid="{00000000-0005-0000-0000-00003AA40000}"/>
    <cellStyle name="Note 4 7 7 2" xfId="3295" xr:uid="{00000000-0005-0000-0000-00003BA40000}"/>
    <cellStyle name="Note 4 7 7 2 10" xfId="38346" xr:uid="{00000000-0005-0000-0000-00003CA40000}"/>
    <cellStyle name="Note 4 7 7 2 11" xfId="42357" xr:uid="{00000000-0005-0000-0000-00003DA40000}"/>
    <cellStyle name="Note 4 7 7 2 12" xfId="46122" xr:uid="{00000000-0005-0000-0000-00003EA40000}"/>
    <cellStyle name="Note 4 7 7 2 2" xfId="7162" xr:uid="{00000000-0005-0000-0000-00003FA40000}"/>
    <cellStyle name="Note 4 7 7 2 3" xfId="11597" xr:uid="{00000000-0005-0000-0000-000040A40000}"/>
    <cellStyle name="Note 4 7 7 2 4" xfId="15442" xr:uid="{00000000-0005-0000-0000-000041A40000}"/>
    <cellStyle name="Note 4 7 7 2 5" xfId="19289" xr:uid="{00000000-0005-0000-0000-000042A40000}"/>
    <cellStyle name="Note 4 7 7 2 6" xfId="23205" xr:uid="{00000000-0005-0000-0000-000043A40000}"/>
    <cellStyle name="Note 4 7 7 2 7" xfId="27039" xr:uid="{00000000-0005-0000-0000-000044A40000}"/>
    <cellStyle name="Note 4 7 7 2 8" xfId="30908" xr:uid="{00000000-0005-0000-0000-000045A40000}"/>
    <cellStyle name="Note 4 7 7 2 9" xfId="34560" xr:uid="{00000000-0005-0000-0000-000046A40000}"/>
    <cellStyle name="Note 4 7 7 3" xfId="5238" xr:uid="{00000000-0005-0000-0000-000047A40000}"/>
    <cellStyle name="Note 4 7 7 4" xfId="9596" xr:uid="{00000000-0005-0000-0000-000048A40000}"/>
    <cellStyle name="Note 4 7 7 5" xfId="13442" xr:uid="{00000000-0005-0000-0000-000049A40000}"/>
    <cellStyle name="Note 4 7 7 6" xfId="17271" xr:uid="{00000000-0005-0000-0000-00004AA40000}"/>
    <cellStyle name="Note 4 7 7 7" xfId="21210" xr:uid="{00000000-0005-0000-0000-00004BA40000}"/>
    <cellStyle name="Note 4 7 7 8" xfId="25023" xr:uid="{00000000-0005-0000-0000-00004CA40000}"/>
    <cellStyle name="Note 4 7 7 9" xfId="28910" xr:uid="{00000000-0005-0000-0000-00004DA40000}"/>
    <cellStyle name="Note 4 7 8" xfId="2000" xr:uid="{00000000-0005-0000-0000-00004EA40000}"/>
    <cellStyle name="Note 4 7 8 10" xfId="33287" xr:uid="{00000000-0005-0000-0000-00004FA40000}"/>
    <cellStyle name="Note 4 7 8 11" xfId="37056" xr:uid="{00000000-0005-0000-0000-000050A40000}"/>
    <cellStyle name="Note 4 7 8 12" xfId="41048" xr:uid="{00000000-0005-0000-0000-000051A40000}"/>
    <cellStyle name="Note 4 7 8 13" xfId="44878" xr:uid="{00000000-0005-0000-0000-000052A40000}"/>
    <cellStyle name="Note 4 7 8 2" xfId="3989" xr:uid="{00000000-0005-0000-0000-000053A40000}"/>
    <cellStyle name="Note 4 7 8 2 10" xfId="39040" xr:uid="{00000000-0005-0000-0000-000054A40000}"/>
    <cellStyle name="Note 4 7 8 2 11" xfId="43051" xr:uid="{00000000-0005-0000-0000-000055A40000}"/>
    <cellStyle name="Note 4 7 8 2 12" xfId="46816" xr:uid="{00000000-0005-0000-0000-000056A40000}"/>
    <cellStyle name="Note 4 7 8 2 2" xfId="7856" xr:uid="{00000000-0005-0000-0000-000057A40000}"/>
    <cellStyle name="Note 4 7 8 2 3" xfId="12291" xr:uid="{00000000-0005-0000-0000-000058A40000}"/>
    <cellStyle name="Note 4 7 8 2 4" xfId="16136" xr:uid="{00000000-0005-0000-0000-000059A40000}"/>
    <cellStyle name="Note 4 7 8 2 5" xfId="19983" xr:uid="{00000000-0005-0000-0000-00005AA40000}"/>
    <cellStyle name="Note 4 7 8 2 6" xfId="23899" xr:uid="{00000000-0005-0000-0000-00005BA40000}"/>
    <cellStyle name="Note 4 7 8 2 7" xfId="27733" xr:uid="{00000000-0005-0000-0000-00005CA40000}"/>
    <cellStyle name="Note 4 7 8 2 8" xfId="31593" xr:uid="{00000000-0005-0000-0000-00005DA40000}"/>
    <cellStyle name="Note 4 7 8 2 9" xfId="35254" xr:uid="{00000000-0005-0000-0000-00005EA40000}"/>
    <cellStyle name="Note 4 7 8 3" xfId="5932" xr:uid="{00000000-0005-0000-0000-00005FA40000}"/>
    <cellStyle name="Note 4 7 8 4" xfId="10290" xr:uid="{00000000-0005-0000-0000-000060A40000}"/>
    <cellStyle name="Note 4 7 8 5" xfId="14137" xr:uid="{00000000-0005-0000-0000-000061A40000}"/>
    <cellStyle name="Note 4 7 8 6" xfId="17966" xr:uid="{00000000-0005-0000-0000-000062A40000}"/>
    <cellStyle name="Note 4 7 8 7" xfId="21905" xr:uid="{00000000-0005-0000-0000-000063A40000}"/>
    <cellStyle name="Note 4 7 8 8" xfId="25718" xr:uid="{00000000-0005-0000-0000-000064A40000}"/>
    <cellStyle name="Note 4 7 8 9" xfId="29605" xr:uid="{00000000-0005-0000-0000-000065A40000}"/>
    <cellStyle name="Note 4 7 9" xfId="2047" xr:uid="{00000000-0005-0000-0000-000066A40000}"/>
    <cellStyle name="Note 4 7 9 10" xfId="33331" xr:uid="{00000000-0005-0000-0000-000067A40000}"/>
    <cellStyle name="Note 4 7 9 11" xfId="37103" xr:uid="{00000000-0005-0000-0000-000068A40000}"/>
    <cellStyle name="Note 4 7 9 12" xfId="41093" xr:uid="{00000000-0005-0000-0000-000069A40000}"/>
    <cellStyle name="Note 4 7 9 13" xfId="44922" xr:uid="{00000000-0005-0000-0000-00006AA40000}"/>
    <cellStyle name="Note 4 7 9 2" xfId="4036" xr:uid="{00000000-0005-0000-0000-00006BA40000}"/>
    <cellStyle name="Note 4 7 9 2 10" xfId="39087" xr:uid="{00000000-0005-0000-0000-00006CA40000}"/>
    <cellStyle name="Note 4 7 9 2 11" xfId="43097" xr:uid="{00000000-0005-0000-0000-00006DA40000}"/>
    <cellStyle name="Note 4 7 9 2 12" xfId="46860" xr:uid="{00000000-0005-0000-0000-00006EA40000}"/>
    <cellStyle name="Note 4 7 9 2 2" xfId="7901" xr:uid="{00000000-0005-0000-0000-00006FA40000}"/>
    <cellStyle name="Note 4 7 9 2 3" xfId="12336" xr:uid="{00000000-0005-0000-0000-000070A40000}"/>
    <cellStyle name="Note 4 7 9 2 4" xfId="16182" xr:uid="{00000000-0005-0000-0000-000071A40000}"/>
    <cellStyle name="Note 4 7 9 2 5" xfId="20030" xr:uid="{00000000-0005-0000-0000-000072A40000}"/>
    <cellStyle name="Note 4 7 9 2 6" xfId="23945" xr:uid="{00000000-0005-0000-0000-000073A40000}"/>
    <cellStyle name="Note 4 7 9 2 7" xfId="27780" xr:uid="{00000000-0005-0000-0000-000074A40000}"/>
    <cellStyle name="Note 4 7 9 2 8" xfId="31639" xr:uid="{00000000-0005-0000-0000-000075A40000}"/>
    <cellStyle name="Note 4 7 9 2 9" xfId="35298" xr:uid="{00000000-0005-0000-0000-000076A40000}"/>
    <cellStyle name="Note 4 7 9 3" xfId="5977" xr:uid="{00000000-0005-0000-0000-000077A40000}"/>
    <cellStyle name="Note 4 7 9 4" xfId="10335" xr:uid="{00000000-0005-0000-0000-000078A40000}"/>
    <cellStyle name="Note 4 7 9 5" xfId="14183" xr:uid="{00000000-0005-0000-0000-000079A40000}"/>
    <cellStyle name="Note 4 7 9 6" xfId="18013" xr:uid="{00000000-0005-0000-0000-00007AA40000}"/>
    <cellStyle name="Note 4 7 9 7" xfId="21951" xr:uid="{00000000-0005-0000-0000-00007BA40000}"/>
    <cellStyle name="Note 4 7 9 8" xfId="25765" xr:uid="{00000000-0005-0000-0000-00007CA40000}"/>
    <cellStyle name="Note 4 7 9 9" xfId="29651" xr:uid="{00000000-0005-0000-0000-00007DA40000}"/>
    <cellStyle name="Note 4 8" xfId="656" xr:uid="{00000000-0005-0000-0000-00007EA40000}"/>
    <cellStyle name="Note 4 8 10" xfId="18043" xr:uid="{00000000-0005-0000-0000-00007FA40000}"/>
    <cellStyle name="Note 4 8 11" xfId="28283" xr:uid="{00000000-0005-0000-0000-000080A40000}"/>
    <cellStyle name="Note 4 8 12" xfId="30084" xr:uid="{00000000-0005-0000-0000-000081A40000}"/>
    <cellStyle name="Note 4 8 13" xfId="24518" xr:uid="{00000000-0005-0000-0000-000082A40000}"/>
    <cellStyle name="Note 4 8 14" xfId="39750" xr:uid="{00000000-0005-0000-0000-000083A40000}"/>
    <cellStyle name="Note 4 8 15" xfId="43553" xr:uid="{00000000-0005-0000-0000-000084A40000}"/>
    <cellStyle name="Note 4 8 2" xfId="1036" xr:uid="{00000000-0005-0000-0000-000085A40000}"/>
    <cellStyle name="Note 4 8 2 10" xfId="28647" xr:uid="{00000000-0005-0000-0000-000086A40000}"/>
    <cellStyle name="Note 4 8 2 11" xfId="32333" xr:uid="{00000000-0005-0000-0000-000087A40000}"/>
    <cellStyle name="Note 4 8 2 12" xfId="36094" xr:uid="{00000000-0005-0000-0000-000088A40000}"/>
    <cellStyle name="Note 4 8 2 13" xfId="40097" xr:uid="{00000000-0005-0000-0000-000089A40000}"/>
    <cellStyle name="Note 4 8 2 14" xfId="43920" xr:uid="{00000000-0005-0000-0000-00008AA40000}"/>
    <cellStyle name="Note 4 8 2 2" xfId="1763" xr:uid="{00000000-0005-0000-0000-00008BA40000}"/>
    <cellStyle name="Note 4 8 2 2 10" xfId="33050" xr:uid="{00000000-0005-0000-0000-00008CA40000}"/>
    <cellStyle name="Note 4 8 2 2 11" xfId="36820" xr:uid="{00000000-0005-0000-0000-00008DA40000}"/>
    <cellStyle name="Note 4 8 2 2 12" xfId="40811" xr:uid="{00000000-0005-0000-0000-00008EA40000}"/>
    <cellStyle name="Note 4 8 2 2 13" xfId="44642" xr:uid="{00000000-0005-0000-0000-00008FA40000}"/>
    <cellStyle name="Note 4 8 2 2 2" xfId="3753" xr:uid="{00000000-0005-0000-0000-000090A40000}"/>
    <cellStyle name="Note 4 8 2 2 2 10" xfId="38804" xr:uid="{00000000-0005-0000-0000-000091A40000}"/>
    <cellStyle name="Note 4 8 2 2 2 11" xfId="42815" xr:uid="{00000000-0005-0000-0000-000092A40000}"/>
    <cellStyle name="Note 4 8 2 2 2 12" xfId="46580" xr:uid="{00000000-0005-0000-0000-000093A40000}"/>
    <cellStyle name="Note 4 8 2 2 2 2" xfId="7620" xr:uid="{00000000-0005-0000-0000-000094A40000}"/>
    <cellStyle name="Note 4 8 2 2 2 3" xfId="12055" xr:uid="{00000000-0005-0000-0000-000095A40000}"/>
    <cellStyle name="Note 4 8 2 2 2 4" xfId="15900" xr:uid="{00000000-0005-0000-0000-000096A40000}"/>
    <cellStyle name="Note 4 8 2 2 2 5" xfId="19747" xr:uid="{00000000-0005-0000-0000-000097A40000}"/>
    <cellStyle name="Note 4 8 2 2 2 6" xfId="23663" xr:uid="{00000000-0005-0000-0000-000098A40000}"/>
    <cellStyle name="Note 4 8 2 2 2 7" xfId="27497" xr:uid="{00000000-0005-0000-0000-000099A40000}"/>
    <cellStyle name="Note 4 8 2 2 2 8" xfId="31361" xr:uid="{00000000-0005-0000-0000-00009AA40000}"/>
    <cellStyle name="Note 4 8 2 2 2 9" xfId="35018" xr:uid="{00000000-0005-0000-0000-00009BA40000}"/>
    <cellStyle name="Note 4 8 2 2 3" xfId="5696" xr:uid="{00000000-0005-0000-0000-00009CA40000}"/>
    <cellStyle name="Note 4 8 2 2 4" xfId="10054" xr:uid="{00000000-0005-0000-0000-00009DA40000}"/>
    <cellStyle name="Note 4 8 2 2 5" xfId="13900" xr:uid="{00000000-0005-0000-0000-00009EA40000}"/>
    <cellStyle name="Note 4 8 2 2 6" xfId="17729" xr:uid="{00000000-0005-0000-0000-00009FA40000}"/>
    <cellStyle name="Note 4 8 2 2 7" xfId="21668" xr:uid="{00000000-0005-0000-0000-0000A0A40000}"/>
    <cellStyle name="Note 4 8 2 2 8" xfId="25481" xr:uid="{00000000-0005-0000-0000-0000A1A40000}"/>
    <cellStyle name="Note 4 8 2 2 9" xfId="29368" xr:uid="{00000000-0005-0000-0000-0000A2A40000}"/>
    <cellStyle name="Note 4 8 2 3" xfId="3026" xr:uid="{00000000-0005-0000-0000-0000A3A40000}"/>
    <cellStyle name="Note 4 8 2 3 10" xfId="38078" xr:uid="{00000000-0005-0000-0000-0000A4A40000}"/>
    <cellStyle name="Note 4 8 2 3 11" xfId="42090" xr:uid="{00000000-0005-0000-0000-0000A5A40000}"/>
    <cellStyle name="Note 4 8 2 3 12" xfId="45863" xr:uid="{00000000-0005-0000-0000-0000A6A40000}"/>
    <cellStyle name="Note 4 8 2 3 2" xfId="6902" xr:uid="{00000000-0005-0000-0000-0000A7A40000}"/>
    <cellStyle name="Note 4 8 2 3 3" xfId="11331" xr:uid="{00000000-0005-0000-0000-0000A8A40000}"/>
    <cellStyle name="Note 4 8 2 3 4" xfId="15175" xr:uid="{00000000-0005-0000-0000-0000A9A40000}"/>
    <cellStyle name="Note 4 8 2 3 5" xfId="19020" xr:uid="{00000000-0005-0000-0000-0000AAA40000}"/>
    <cellStyle name="Note 4 8 2 3 6" xfId="22942" xr:uid="{00000000-0005-0000-0000-0000ABA40000}"/>
    <cellStyle name="Note 4 8 2 3 7" xfId="26771" xr:uid="{00000000-0005-0000-0000-0000ACA40000}"/>
    <cellStyle name="Note 4 8 2 3 8" xfId="30645" xr:uid="{00000000-0005-0000-0000-0000ADA40000}"/>
    <cellStyle name="Note 4 8 2 3 9" xfId="34301" xr:uid="{00000000-0005-0000-0000-0000AEA40000}"/>
    <cellStyle name="Note 4 8 2 4" xfId="4978" xr:uid="{00000000-0005-0000-0000-0000AFA40000}"/>
    <cellStyle name="Note 4 8 2 5" xfId="9334" xr:uid="{00000000-0005-0000-0000-0000B0A40000}"/>
    <cellStyle name="Note 4 8 2 6" xfId="13174" xr:uid="{00000000-0005-0000-0000-0000B1A40000}"/>
    <cellStyle name="Note 4 8 2 7" xfId="17002" xr:uid="{00000000-0005-0000-0000-0000B2A40000}"/>
    <cellStyle name="Note 4 8 2 8" xfId="20944" xr:uid="{00000000-0005-0000-0000-0000B3A40000}"/>
    <cellStyle name="Note 4 8 2 9" xfId="24758" xr:uid="{00000000-0005-0000-0000-0000B4A40000}"/>
    <cellStyle name="Note 4 8 3" xfId="1410" xr:uid="{00000000-0005-0000-0000-0000B5A40000}"/>
    <cellStyle name="Note 4 8 3 10" xfId="32697" xr:uid="{00000000-0005-0000-0000-0000B6A40000}"/>
    <cellStyle name="Note 4 8 3 11" xfId="36467" xr:uid="{00000000-0005-0000-0000-0000B7A40000}"/>
    <cellStyle name="Note 4 8 3 12" xfId="40458" xr:uid="{00000000-0005-0000-0000-0000B8A40000}"/>
    <cellStyle name="Note 4 8 3 13" xfId="44289" xr:uid="{00000000-0005-0000-0000-0000B9A40000}"/>
    <cellStyle name="Note 4 8 3 2" xfId="3400" xr:uid="{00000000-0005-0000-0000-0000BAA40000}"/>
    <cellStyle name="Note 4 8 3 2 10" xfId="38451" xr:uid="{00000000-0005-0000-0000-0000BBA40000}"/>
    <cellStyle name="Note 4 8 3 2 11" xfId="42462" xr:uid="{00000000-0005-0000-0000-0000BCA40000}"/>
    <cellStyle name="Note 4 8 3 2 12" xfId="46227" xr:uid="{00000000-0005-0000-0000-0000BDA40000}"/>
    <cellStyle name="Note 4 8 3 2 2" xfId="7267" xr:uid="{00000000-0005-0000-0000-0000BEA40000}"/>
    <cellStyle name="Note 4 8 3 2 3" xfId="11702" xr:uid="{00000000-0005-0000-0000-0000BFA40000}"/>
    <cellStyle name="Note 4 8 3 2 4" xfId="15547" xr:uid="{00000000-0005-0000-0000-0000C0A40000}"/>
    <cellStyle name="Note 4 8 3 2 5" xfId="19394" xr:uid="{00000000-0005-0000-0000-0000C1A40000}"/>
    <cellStyle name="Note 4 8 3 2 6" xfId="23310" xr:uid="{00000000-0005-0000-0000-0000C2A40000}"/>
    <cellStyle name="Note 4 8 3 2 7" xfId="27144" xr:uid="{00000000-0005-0000-0000-0000C3A40000}"/>
    <cellStyle name="Note 4 8 3 2 8" xfId="31012" xr:uid="{00000000-0005-0000-0000-0000C4A40000}"/>
    <cellStyle name="Note 4 8 3 2 9" xfId="34665" xr:uid="{00000000-0005-0000-0000-0000C5A40000}"/>
    <cellStyle name="Note 4 8 3 3" xfId="5343" xr:uid="{00000000-0005-0000-0000-0000C6A40000}"/>
    <cellStyle name="Note 4 8 3 4" xfId="9701" xr:uid="{00000000-0005-0000-0000-0000C7A40000}"/>
    <cellStyle name="Note 4 8 3 5" xfId="13547" xr:uid="{00000000-0005-0000-0000-0000C8A40000}"/>
    <cellStyle name="Note 4 8 3 6" xfId="17376" xr:uid="{00000000-0005-0000-0000-0000C9A40000}"/>
    <cellStyle name="Note 4 8 3 7" xfId="21315" xr:uid="{00000000-0005-0000-0000-0000CAA40000}"/>
    <cellStyle name="Note 4 8 3 8" xfId="25128" xr:uid="{00000000-0005-0000-0000-0000CBA40000}"/>
    <cellStyle name="Note 4 8 3 9" xfId="29015" xr:uid="{00000000-0005-0000-0000-0000CCA40000}"/>
    <cellStyle name="Note 4 8 4" xfId="2659" xr:uid="{00000000-0005-0000-0000-0000CDA40000}"/>
    <cellStyle name="Note 4 8 4 10" xfId="37711" xr:uid="{00000000-0005-0000-0000-0000CEA40000}"/>
    <cellStyle name="Note 4 8 4 11" xfId="41725" xr:uid="{00000000-0005-0000-0000-0000CFA40000}"/>
    <cellStyle name="Note 4 8 4 12" xfId="45510" xr:uid="{00000000-0005-0000-0000-0000D0A40000}"/>
    <cellStyle name="Note 4 8 4 2" xfId="6547" xr:uid="{00000000-0005-0000-0000-0000D1A40000}"/>
    <cellStyle name="Note 4 8 4 3" xfId="10971" xr:uid="{00000000-0005-0000-0000-0000D2A40000}"/>
    <cellStyle name="Note 4 8 4 4" xfId="14815" xr:uid="{00000000-0005-0000-0000-0000D3A40000}"/>
    <cellStyle name="Note 4 8 4 5" xfId="18653" xr:uid="{00000000-0005-0000-0000-0000D4A40000}"/>
    <cellStyle name="Note 4 8 4 6" xfId="22584" xr:uid="{00000000-0005-0000-0000-0000D5A40000}"/>
    <cellStyle name="Note 4 8 4 7" xfId="26404" xr:uid="{00000000-0005-0000-0000-0000D6A40000}"/>
    <cellStyle name="Note 4 8 4 8" xfId="30283" xr:uid="{00000000-0005-0000-0000-0000D7A40000}"/>
    <cellStyle name="Note 4 8 4 9" xfId="33948" xr:uid="{00000000-0005-0000-0000-0000D8A40000}"/>
    <cellStyle name="Note 4 8 5" xfId="4623" xr:uid="{00000000-0005-0000-0000-0000D9A40000}"/>
    <cellStyle name="Note 4 8 6" xfId="8965" xr:uid="{00000000-0005-0000-0000-0000DAA40000}"/>
    <cellStyle name="Note 4 8 7" xfId="12802" xr:uid="{00000000-0005-0000-0000-0000DBA40000}"/>
    <cellStyle name="Note 4 8 8" xfId="16632" xr:uid="{00000000-0005-0000-0000-0000DCA40000}"/>
    <cellStyle name="Note 4 8 9" xfId="20569" xr:uid="{00000000-0005-0000-0000-0000DDA40000}"/>
    <cellStyle name="Note 4 9" xfId="593" xr:uid="{00000000-0005-0000-0000-0000DEA40000}"/>
    <cellStyle name="Note 4 9 10" xfId="8501" xr:uid="{00000000-0005-0000-0000-0000DFA40000}"/>
    <cellStyle name="Note 4 9 11" xfId="24252" xr:uid="{00000000-0005-0000-0000-0000E0A40000}"/>
    <cellStyle name="Note 4 9 12" xfId="28336" xr:uid="{00000000-0005-0000-0000-0000E1A40000}"/>
    <cellStyle name="Note 4 9 13" xfId="33316" xr:uid="{00000000-0005-0000-0000-0000E2A40000}"/>
    <cellStyle name="Note 4 9 14" xfId="39688" xr:uid="{00000000-0005-0000-0000-0000E3A40000}"/>
    <cellStyle name="Note 4 9 15" xfId="39582" xr:uid="{00000000-0005-0000-0000-0000E4A40000}"/>
    <cellStyle name="Note 4 9 2" xfId="973" xr:uid="{00000000-0005-0000-0000-0000E5A40000}"/>
    <cellStyle name="Note 4 9 2 10" xfId="28584" xr:uid="{00000000-0005-0000-0000-0000E6A40000}"/>
    <cellStyle name="Note 4 9 2 11" xfId="32272" xr:uid="{00000000-0005-0000-0000-0000E7A40000}"/>
    <cellStyle name="Note 4 9 2 12" xfId="36031" xr:uid="{00000000-0005-0000-0000-0000E8A40000}"/>
    <cellStyle name="Note 4 9 2 13" xfId="40036" xr:uid="{00000000-0005-0000-0000-0000E9A40000}"/>
    <cellStyle name="Note 4 9 2 14" xfId="43857" xr:uid="{00000000-0005-0000-0000-0000EAA40000}"/>
    <cellStyle name="Note 4 9 2 2" xfId="1702" xr:uid="{00000000-0005-0000-0000-0000EBA40000}"/>
    <cellStyle name="Note 4 9 2 2 10" xfId="32989" xr:uid="{00000000-0005-0000-0000-0000ECA40000}"/>
    <cellStyle name="Note 4 9 2 2 11" xfId="36759" xr:uid="{00000000-0005-0000-0000-0000EDA40000}"/>
    <cellStyle name="Note 4 9 2 2 12" xfId="40750" xr:uid="{00000000-0005-0000-0000-0000EEA40000}"/>
    <cellStyle name="Note 4 9 2 2 13" xfId="44581" xr:uid="{00000000-0005-0000-0000-0000EFA40000}"/>
    <cellStyle name="Note 4 9 2 2 2" xfId="3692" xr:uid="{00000000-0005-0000-0000-0000F0A40000}"/>
    <cellStyle name="Note 4 9 2 2 2 10" xfId="38743" xr:uid="{00000000-0005-0000-0000-0000F1A40000}"/>
    <cellStyle name="Note 4 9 2 2 2 11" xfId="42754" xr:uid="{00000000-0005-0000-0000-0000F2A40000}"/>
    <cellStyle name="Note 4 9 2 2 2 12" xfId="46519" xr:uid="{00000000-0005-0000-0000-0000F3A40000}"/>
    <cellStyle name="Note 4 9 2 2 2 2" xfId="7559" xr:uid="{00000000-0005-0000-0000-0000F4A40000}"/>
    <cellStyle name="Note 4 9 2 2 2 3" xfId="11994" xr:uid="{00000000-0005-0000-0000-0000F5A40000}"/>
    <cellStyle name="Note 4 9 2 2 2 4" xfId="15839" xr:uid="{00000000-0005-0000-0000-0000F6A40000}"/>
    <cellStyle name="Note 4 9 2 2 2 5" xfId="19686" xr:uid="{00000000-0005-0000-0000-0000F7A40000}"/>
    <cellStyle name="Note 4 9 2 2 2 6" xfId="23602" xr:uid="{00000000-0005-0000-0000-0000F8A40000}"/>
    <cellStyle name="Note 4 9 2 2 2 7" xfId="27436" xr:uid="{00000000-0005-0000-0000-0000F9A40000}"/>
    <cellStyle name="Note 4 9 2 2 2 8" xfId="31300" xr:uid="{00000000-0005-0000-0000-0000FAA40000}"/>
    <cellStyle name="Note 4 9 2 2 2 9" xfId="34957" xr:uid="{00000000-0005-0000-0000-0000FBA40000}"/>
    <cellStyle name="Note 4 9 2 2 3" xfId="5635" xr:uid="{00000000-0005-0000-0000-0000FCA40000}"/>
    <cellStyle name="Note 4 9 2 2 4" xfId="9993" xr:uid="{00000000-0005-0000-0000-0000FDA40000}"/>
    <cellStyle name="Note 4 9 2 2 5" xfId="13839" xr:uid="{00000000-0005-0000-0000-0000FEA40000}"/>
    <cellStyle name="Note 4 9 2 2 6" xfId="17668" xr:uid="{00000000-0005-0000-0000-0000FFA40000}"/>
    <cellStyle name="Note 4 9 2 2 7" xfId="21607" xr:uid="{00000000-0005-0000-0000-000000A50000}"/>
    <cellStyle name="Note 4 9 2 2 8" xfId="25420" xr:uid="{00000000-0005-0000-0000-000001A50000}"/>
    <cellStyle name="Note 4 9 2 2 9" xfId="29307" xr:uid="{00000000-0005-0000-0000-000002A50000}"/>
    <cellStyle name="Note 4 9 2 3" xfId="2963" xr:uid="{00000000-0005-0000-0000-000003A50000}"/>
    <cellStyle name="Note 4 9 2 3 10" xfId="38015" xr:uid="{00000000-0005-0000-0000-000004A50000}"/>
    <cellStyle name="Note 4 9 2 3 11" xfId="42027" xr:uid="{00000000-0005-0000-0000-000005A50000}"/>
    <cellStyle name="Note 4 9 2 3 12" xfId="45802" xr:uid="{00000000-0005-0000-0000-000006A50000}"/>
    <cellStyle name="Note 4 9 2 3 2" xfId="6841" xr:uid="{00000000-0005-0000-0000-000007A50000}"/>
    <cellStyle name="Note 4 9 2 3 3" xfId="11269" xr:uid="{00000000-0005-0000-0000-000008A50000}"/>
    <cellStyle name="Note 4 9 2 3 4" xfId="15114" xr:uid="{00000000-0005-0000-0000-000009A50000}"/>
    <cellStyle name="Note 4 9 2 3 5" xfId="18957" xr:uid="{00000000-0005-0000-0000-00000AA50000}"/>
    <cellStyle name="Note 4 9 2 3 6" xfId="22881" xr:uid="{00000000-0005-0000-0000-00000BA50000}"/>
    <cellStyle name="Note 4 9 2 3 7" xfId="26708" xr:uid="{00000000-0005-0000-0000-00000CA50000}"/>
    <cellStyle name="Note 4 9 2 3 8" xfId="30582" xr:uid="{00000000-0005-0000-0000-00000DA50000}"/>
    <cellStyle name="Note 4 9 2 3 9" xfId="34240" xr:uid="{00000000-0005-0000-0000-00000EA50000}"/>
    <cellStyle name="Note 4 9 2 4" xfId="4917" xr:uid="{00000000-0005-0000-0000-00000FA50000}"/>
    <cellStyle name="Note 4 9 2 5" xfId="9272" xr:uid="{00000000-0005-0000-0000-000010A50000}"/>
    <cellStyle name="Note 4 9 2 6" xfId="13113" xr:uid="{00000000-0005-0000-0000-000011A50000}"/>
    <cellStyle name="Note 4 9 2 7" xfId="16939" xr:uid="{00000000-0005-0000-0000-000012A50000}"/>
    <cellStyle name="Note 4 9 2 8" xfId="20881" xr:uid="{00000000-0005-0000-0000-000013A50000}"/>
    <cellStyle name="Note 4 9 2 9" xfId="24696" xr:uid="{00000000-0005-0000-0000-000014A50000}"/>
    <cellStyle name="Note 4 9 3" xfId="1349" xr:uid="{00000000-0005-0000-0000-000015A50000}"/>
    <cellStyle name="Note 4 9 3 10" xfId="32636" xr:uid="{00000000-0005-0000-0000-000016A50000}"/>
    <cellStyle name="Note 4 9 3 11" xfId="36406" xr:uid="{00000000-0005-0000-0000-000017A50000}"/>
    <cellStyle name="Note 4 9 3 12" xfId="40397" xr:uid="{00000000-0005-0000-0000-000018A50000}"/>
    <cellStyle name="Note 4 9 3 13" xfId="44228" xr:uid="{00000000-0005-0000-0000-000019A50000}"/>
    <cellStyle name="Note 4 9 3 2" xfId="3339" xr:uid="{00000000-0005-0000-0000-00001AA50000}"/>
    <cellStyle name="Note 4 9 3 2 10" xfId="38390" xr:uid="{00000000-0005-0000-0000-00001BA50000}"/>
    <cellStyle name="Note 4 9 3 2 11" xfId="42401" xr:uid="{00000000-0005-0000-0000-00001CA50000}"/>
    <cellStyle name="Note 4 9 3 2 12" xfId="46166" xr:uid="{00000000-0005-0000-0000-00001DA50000}"/>
    <cellStyle name="Note 4 9 3 2 2" xfId="7206" xr:uid="{00000000-0005-0000-0000-00001EA50000}"/>
    <cellStyle name="Note 4 9 3 2 3" xfId="11641" xr:uid="{00000000-0005-0000-0000-00001FA50000}"/>
    <cellStyle name="Note 4 9 3 2 4" xfId="15486" xr:uid="{00000000-0005-0000-0000-000020A50000}"/>
    <cellStyle name="Note 4 9 3 2 5" xfId="19333" xr:uid="{00000000-0005-0000-0000-000021A50000}"/>
    <cellStyle name="Note 4 9 3 2 6" xfId="23249" xr:uid="{00000000-0005-0000-0000-000022A50000}"/>
    <cellStyle name="Note 4 9 3 2 7" xfId="27083" xr:uid="{00000000-0005-0000-0000-000023A50000}"/>
    <cellStyle name="Note 4 9 3 2 8" xfId="30951" xr:uid="{00000000-0005-0000-0000-000024A50000}"/>
    <cellStyle name="Note 4 9 3 2 9" xfId="34604" xr:uid="{00000000-0005-0000-0000-000025A50000}"/>
    <cellStyle name="Note 4 9 3 3" xfId="5282" xr:uid="{00000000-0005-0000-0000-000026A50000}"/>
    <cellStyle name="Note 4 9 3 4" xfId="9640" xr:uid="{00000000-0005-0000-0000-000027A50000}"/>
    <cellStyle name="Note 4 9 3 5" xfId="13486" xr:uid="{00000000-0005-0000-0000-000028A50000}"/>
    <cellStyle name="Note 4 9 3 6" xfId="17315" xr:uid="{00000000-0005-0000-0000-000029A50000}"/>
    <cellStyle name="Note 4 9 3 7" xfId="21254" xr:uid="{00000000-0005-0000-0000-00002AA50000}"/>
    <cellStyle name="Note 4 9 3 8" xfId="25067" xr:uid="{00000000-0005-0000-0000-00002BA50000}"/>
    <cellStyle name="Note 4 9 3 9" xfId="28954" xr:uid="{00000000-0005-0000-0000-00002CA50000}"/>
    <cellStyle name="Note 4 9 4" xfId="2596" xr:uid="{00000000-0005-0000-0000-00002DA50000}"/>
    <cellStyle name="Note 4 9 4 10" xfId="37648" xr:uid="{00000000-0005-0000-0000-00002EA50000}"/>
    <cellStyle name="Note 4 9 4 11" xfId="41662" xr:uid="{00000000-0005-0000-0000-00002FA50000}"/>
    <cellStyle name="Note 4 9 4 12" xfId="45449" xr:uid="{00000000-0005-0000-0000-000030A50000}"/>
    <cellStyle name="Note 4 9 4 2" xfId="6486" xr:uid="{00000000-0005-0000-0000-000031A50000}"/>
    <cellStyle name="Note 4 9 4 3" xfId="10910" xr:uid="{00000000-0005-0000-0000-000032A50000}"/>
    <cellStyle name="Note 4 9 4 4" xfId="14754" xr:uid="{00000000-0005-0000-0000-000033A50000}"/>
    <cellStyle name="Note 4 9 4 5" xfId="18590" xr:uid="{00000000-0005-0000-0000-000034A50000}"/>
    <cellStyle name="Note 4 9 4 6" xfId="22523" xr:uid="{00000000-0005-0000-0000-000035A50000}"/>
    <cellStyle name="Note 4 9 4 7" xfId="26341" xr:uid="{00000000-0005-0000-0000-000036A50000}"/>
    <cellStyle name="Note 4 9 4 8" xfId="30220" xr:uid="{00000000-0005-0000-0000-000037A50000}"/>
    <cellStyle name="Note 4 9 4 9" xfId="33887" xr:uid="{00000000-0005-0000-0000-000038A50000}"/>
    <cellStyle name="Note 4 9 5" xfId="4562" xr:uid="{00000000-0005-0000-0000-000039A50000}"/>
    <cellStyle name="Note 4 9 6" xfId="8902" xr:uid="{00000000-0005-0000-0000-00003AA50000}"/>
    <cellStyle name="Note 4 9 7" xfId="8681" xr:uid="{00000000-0005-0000-0000-00003BA50000}"/>
    <cellStyle name="Note 4 9 8" xfId="8747" xr:uid="{00000000-0005-0000-0000-00003CA50000}"/>
    <cellStyle name="Note 4 9 9" xfId="20506" xr:uid="{00000000-0005-0000-0000-00003DA50000}"/>
    <cellStyle name="Note 5" xfId="6005" xr:uid="{00000000-0005-0000-0000-00003EA50000}"/>
    <cellStyle name="Output" xfId="17" builtinId="21" customBuiltin="1"/>
    <cellStyle name="Output 2" xfId="252" xr:uid="{00000000-0005-0000-0000-000040A50000}"/>
    <cellStyle name="Output 2 10" xfId="2105" xr:uid="{00000000-0005-0000-0000-000041A50000}"/>
    <cellStyle name="Output 2 10 10" xfId="33411" xr:uid="{00000000-0005-0000-0000-000042A50000}"/>
    <cellStyle name="Output 2 10 11" xfId="37157" xr:uid="{00000000-0005-0000-0000-000043A50000}"/>
    <cellStyle name="Output 2 10 12" xfId="41173" xr:uid="{00000000-0005-0000-0000-000044A50000}"/>
    <cellStyle name="Output 2 10 13" xfId="44973" xr:uid="{00000000-0005-0000-0000-000045A50000}"/>
    <cellStyle name="Output 2 10 2" xfId="4089" xr:uid="{00000000-0005-0000-0000-000046A50000}"/>
    <cellStyle name="Output 2 10 2 10" xfId="39140" xr:uid="{00000000-0005-0000-0000-000047A50000}"/>
    <cellStyle name="Output 2 10 2 11" xfId="43150" xr:uid="{00000000-0005-0000-0000-000048A50000}"/>
    <cellStyle name="Output 2 10 2 12" xfId="46911" xr:uid="{00000000-0005-0000-0000-000049A50000}"/>
    <cellStyle name="Output 2 10 2 2" xfId="7952" xr:uid="{00000000-0005-0000-0000-00004AA50000}"/>
    <cellStyle name="Output 2 10 2 3" xfId="12389" xr:uid="{00000000-0005-0000-0000-00004BA50000}"/>
    <cellStyle name="Output 2 10 2 4" xfId="16234" xr:uid="{00000000-0005-0000-0000-00004CA50000}"/>
    <cellStyle name="Output 2 10 2 5" xfId="20083" xr:uid="{00000000-0005-0000-0000-00004DA50000}"/>
    <cellStyle name="Output 2 10 2 6" xfId="23997" xr:uid="{00000000-0005-0000-0000-00004EA50000}"/>
    <cellStyle name="Output 2 10 2 7" xfId="27833" xr:uid="{00000000-0005-0000-0000-00004FA50000}"/>
    <cellStyle name="Output 2 10 2 8" xfId="31692" xr:uid="{00000000-0005-0000-0000-000050A50000}"/>
    <cellStyle name="Output 2 10 2 9" xfId="35349" xr:uid="{00000000-0005-0000-0000-000051A50000}"/>
    <cellStyle name="Output 2 10 3" xfId="6027" xr:uid="{00000000-0005-0000-0000-000052A50000}"/>
    <cellStyle name="Output 2 10 4" xfId="10424" xr:uid="{00000000-0005-0000-0000-000053A50000}"/>
    <cellStyle name="Output 2 10 5" xfId="14271" xr:uid="{00000000-0005-0000-0000-000054A50000}"/>
    <cellStyle name="Output 2 10 6" xfId="18099" xr:uid="{00000000-0005-0000-0000-000055A50000}"/>
    <cellStyle name="Output 2 10 7" xfId="22041" xr:uid="{00000000-0005-0000-0000-000056A50000}"/>
    <cellStyle name="Output 2 10 8" xfId="25850" xr:uid="{00000000-0005-0000-0000-000057A50000}"/>
    <cellStyle name="Output 2 10 9" xfId="29730" xr:uid="{00000000-0005-0000-0000-000058A50000}"/>
    <cellStyle name="Output 2 11" xfId="2143" xr:uid="{00000000-0005-0000-0000-000059A50000}"/>
    <cellStyle name="Output 2 11 10" xfId="33445" xr:uid="{00000000-0005-0000-0000-00005AA50000}"/>
    <cellStyle name="Output 2 11 11" xfId="37195" xr:uid="{00000000-0005-0000-0000-00005BA50000}"/>
    <cellStyle name="Output 2 11 12" xfId="41211" xr:uid="{00000000-0005-0000-0000-00005CA50000}"/>
    <cellStyle name="Output 2 11 13" xfId="45007" xr:uid="{00000000-0005-0000-0000-00005DA50000}"/>
    <cellStyle name="Output 2 11 2" xfId="4127" xr:uid="{00000000-0005-0000-0000-00005EA50000}"/>
    <cellStyle name="Output 2 11 2 10" xfId="39178" xr:uid="{00000000-0005-0000-0000-00005FA50000}"/>
    <cellStyle name="Output 2 11 2 11" xfId="43188" xr:uid="{00000000-0005-0000-0000-000060A50000}"/>
    <cellStyle name="Output 2 11 2 12" xfId="46945" xr:uid="{00000000-0005-0000-0000-000061A50000}"/>
    <cellStyle name="Output 2 11 2 2" xfId="7986" xr:uid="{00000000-0005-0000-0000-000062A50000}"/>
    <cellStyle name="Output 2 11 2 3" xfId="12426" xr:uid="{00000000-0005-0000-0000-000063A50000}"/>
    <cellStyle name="Output 2 11 2 4" xfId="16271" xr:uid="{00000000-0005-0000-0000-000064A50000}"/>
    <cellStyle name="Output 2 11 2 5" xfId="20121" xr:uid="{00000000-0005-0000-0000-000065A50000}"/>
    <cellStyle name="Output 2 11 2 6" xfId="24033" xr:uid="{00000000-0005-0000-0000-000066A50000}"/>
    <cellStyle name="Output 2 11 2 7" xfId="27871" xr:uid="{00000000-0005-0000-0000-000067A50000}"/>
    <cellStyle name="Output 2 11 2 8" xfId="31730" xr:uid="{00000000-0005-0000-0000-000068A50000}"/>
    <cellStyle name="Output 2 11 2 9" xfId="35383" xr:uid="{00000000-0005-0000-0000-000069A50000}"/>
    <cellStyle name="Output 2 11 3" xfId="6060" xr:uid="{00000000-0005-0000-0000-00006AA50000}"/>
    <cellStyle name="Output 2 11 4" xfId="10460" xr:uid="{00000000-0005-0000-0000-00006BA50000}"/>
    <cellStyle name="Output 2 11 5" xfId="14307" xr:uid="{00000000-0005-0000-0000-00006CA50000}"/>
    <cellStyle name="Output 2 11 6" xfId="18137" xr:uid="{00000000-0005-0000-0000-00006DA50000}"/>
    <cellStyle name="Output 2 11 7" xfId="22077" xr:uid="{00000000-0005-0000-0000-00006EA50000}"/>
    <cellStyle name="Output 2 11 8" xfId="25888" xr:uid="{00000000-0005-0000-0000-00006FA50000}"/>
    <cellStyle name="Output 2 11 9" xfId="29768" xr:uid="{00000000-0005-0000-0000-000070A50000}"/>
    <cellStyle name="Output 2 12" xfId="2129" xr:uid="{00000000-0005-0000-0000-000071A50000}"/>
    <cellStyle name="Output 2 12 10" xfId="33433" xr:uid="{00000000-0005-0000-0000-000072A50000}"/>
    <cellStyle name="Output 2 12 11" xfId="37181" xr:uid="{00000000-0005-0000-0000-000073A50000}"/>
    <cellStyle name="Output 2 12 12" xfId="41197" xr:uid="{00000000-0005-0000-0000-000074A50000}"/>
    <cellStyle name="Output 2 12 13" xfId="44995" xr:uid="{00000000-0005-0000-0000-000075A50000}"/>
    <cellStyle name="Output 2 12 2" xfId="4113" xr:uid="{00000000-0005-0000-0000-000076A50000}"/>
    <cellStyle name="Output 2 12 2 10" xfId="39164" xr:uid="{00000000-0005-0000-0000-000077A50000}"/>
    <cellStyle name="Output 2 12 2 11" xfId="43174" xr:uid="{00000000-0005-0000-0000-000078A50000}"/>
    <cellStyle name="Output 2 12 2 12" xfId="46933" xr:uid="{00000000-0005-0000-0000-000079A50000}"/>
    <cellStyle name="Output 2 12 2 2" xfId="7974" xr:uid="{00000000-0005-0000-0000-00007AA50000}"/>
    <cellStyle name="Output 2 12 2 3" xfId="12413" xr:uid="{00000000-0005-0000-0000-00007BA50000}"/>
    <cellStyle name="Output 2 12 2 4" xfId="16258" xr:uid="{00000000-0005-0000-0000-00007CA50000}"/>
    <cellStyle name="Output 2 12 2 5" xfId="20107" xr:uid="{00000000-0005-0000-0000-00007DA50000}"/>
    <cellStyle name="Output 2 12 2 6" xfId="24021" xr:uid="{00000000-0005-0000-0000-00007EA50000}"/>
    <cellStyle name="Output 2 12 2 7" xfId="27857" xr:uid="{00000000-0005-0000-0000-00007FA50000}"/>
    <cellStyle name="Output 2 12 2 8" xfId="31716" xr:uid="{00000000-0005-0000-0000-000080A50000}"/>
    <cellStyle name="Output 2 12 2 9" xfId="35371" xr:uid="{00000000-0005-0000-0000-000081A50000}"/>
    <cellStyle name="Output 2 12 3" xfId="6049" xr:uid="{00000000-0005-0000-0000-000082A50000}"/>
    <cellStyle name="Output 2 12 4" xfId="10447" xr:uid="{00000000-0005-0000-0000-000083A50000}"/>
    <cellStyle name="Output 2 12 5" xfId="14295" xr:uid="{00000000-0005-0000-0000-000084A50000}"/>
    <cellStyle name="Output 2 12 6" xfId="18123" xr:uid="{00000000-0005-0000-0000-000085A50000}"/>
    <cellStyle name="Output 2 12 7" xfId="22065" xr:uid="{00000000-0005-0000-0000-000086A50000}"/>
    <cellStyle name="Output 2 12 8" xfId="25874" xr:uid="{00000000-0005-0000-0000-000087A50000}"/>
    <cellStyle name="Output 2 12 9" xfId="29754" xr:uid="{00000000-0005-0000-0000-000088A50000}"/>
    <cellStyle name="Output 2 13" xfId="2134" xr:uid="{00000000-0005-0000-0000-000089A50000}"/>
    <cellStyle name="Output 2 13 10" xfId="33436" xr:uid="{00000000-0005-0000-0000-00008AA50000}"/>
    <cellStyle name="Output 2 13 11" xfId="37186" xr:uid="{00000000-0005-0000-0000-00008BA50000}"/>
    <cellStyle name="Output 2 13 12" xfId="41202" xr:uid="{00000000-0005-0000-0000-00008CA50000}"/>
    <cellStyle name="Output 2 13 13" xfId="44998" xr:uid="{00000000-0005-0000-0000-00008DA50000}"/>
    <cellStyle name="Output 2 13 2" xfId="4118" xr:uid="{00000000-0005-0000-0000-00008EA50000}"/>
    <cellStyle name="Output 2 13 2 10" xfId="39169" xr:uid="{00000000-0005-0000-0000-00008FA50000}"/>
    <cellStyle name="Output 2 13 2 11" xfId="43179" xr:uid="{00000000-0005-0000-0000-000090A50000}"/>
    <cellStyle name="Output 2 13 2 12" xfId="46936" xr:uid="{00000000-0005-0000-0000-000091A50000}"/>
    <cellStyle name="Output 2 13 2 2" xfId="7977" xr:uid="{00000000-0005-0000-0000-000092A50000}"/>
    <cellStyle name="Output 2 13 2 3" xfId="12417" xr:uid="{00000000-0005-0000-0000-000093A50000}"/>
    <cellStyle name="Output 2 13 2 4" xfId="16262" xr:uid="{00000000-0005-0000-0000-000094A50000}"/>
    <cellStyle name="Output 2 13 2 5" xfId="20112" xr:uid="{00000000-0005-0000-0000-000095A50000}"/>
    <cellStyle name="Output 2 13 2 6" xfId="24024" xr:uid="{00000000-0005-0000-0000-000096A50000}"/>
    <cellStyle name="Output 2 13 2 7" xfId="27862" xr:uid="{00000000-0005-0000-0000-000097A50000}"/>
    <cellStyle name="Output 2 13 2 8" xfId="31721" xr:uid="{00000000-0005-0000-0000-000098A50000}"/>
    <cellStyle name="Output 2 13 2 9" xfId="35374" xr:uid="{00000000-0005-0000-0000-000099A50000}"/>
    <cellStyle name="Output 2 13 3" xfId="6051" xr:uid="{00000000-0005-0000-0000-00009AA50000}"/>
    <cellStyle name="Output 2 13 4" xfId="10451" xr:uid="{00000000-0005-0000-0000-00009BA50000}"/>
    <cellStyle name="Output 2 13 5" xfId="14298" xr:uid="{00000000-0005-0000-0000-00009CA50000}"/>
    <cellStyle name="Output 2 13 6" xfId="18128" xr:uid="{00000000-0005-0000-0000-00009DA50000}"/>
    <cellStyle name="Output 2 13 7" xfId="22068" xr:uid="{00000000-0005-0000-0000-00009EA50000}"/>
    <cellStyle name="Output 2 13 8" xfId="25879" xr:uid="{00000000-0005-0000-0000-00009FA50000}"/>
    <cellStyle name="Output 2 13 9" xfId="29759" xr:uid="{00000000-0005-0000-0000-0000A0A50000}"/>
    <cellStyle name="Output 2 14" xfId="2110" xr:uid="{00000000-0005-0000-0000-0000A1A50000}"/>
    <cellStyle name="Output 2 14 10" xfId="33414" xr:uid="{00000000-0005-0000-0000-0000A2A50000}"/>
    <cellStyle name="Output 2 14 11" xfId="37162" xr:uid="{00000000-0005-0000-0000-0000A3A50000}"/>
    <cellStyle name="Output 2 14 12" xfId="41178" xr:uid="{00000000-0005-0000-0000-0000A4A50000}"/>
    <cellStyle name="Output 2 14 13" xfId="44976" xr:uid="{00000000-0005-0000-0000-0000A5A50000}"/>
    <cellStyle name="Output 2 14 2" xfId="4094" xr:uid="{00000000-0005-0000-0000-0000A6A50000}"/>
    <cellStyle name="Output 2 14 2 10" xfId="39145" xr:uid="{00000000-0005-0000-0000-0000A7A50000}"/>
    <cellStyle name="Output 2 14 2 11" xfId="43155" xr:uid="{00000000-0005-0000-0000-0000A8A50000}"/>
    <cellStyle name="Output 2 14 2 12" xfId="46914" xr:uid="{00000000-0005-0000-0000-0000A9A50000}"/>
    <cellStyle name="Output 2 14 2 2" xfId="7955" xr:uid="{00000000-0005-0000-0000-0000AAA50000}"/>
    <cellStyle name="Output 2 14 2 3" xfId="12394" xr:uid="{00000000-0005-0000-0000-0000ABA50000}"/>
    <cellStyle name="Output 2 14 2 4" xfId="16239" xr:uid="{00000000-0005-0000-0000-0000ACA50000}"/>
    <cellStyle name="Output 2 14 2 5" xfId="20088" xr:uid="{00000000-0005-0000-0000-0000ADA50000}"/>
    <cellStyle name="Output 2 14 2 6" xfId="24002" xr:uid="{00000000-0005-0000-0000-0000AEA50000}"/>
    <cellStyle name="Output 2 14 2 7" xfId="27838" xr:uid="{00000000-0005-0000-0000-0000AFA50000}"/>
    <cellStyle name="Output 2 14 2 8" xfId="31697" xr:uid="{00000000-0005-0000-0000-0000B0A50000}"/>
    <cellStyle name="Output 2 14 2 9" xfId="35352" xr:uid="{00000000-0005-0000-0000-0000B1A50000}"/>
    <cellStyle name="Output 2 14 3" xfId="6030" xr:uid="{00000000-0005-0000-0000-0000B2A50000}"/>
    <cellStyle name="Output 2 14 4" xfId="10428" xr:uid="{00000000-0005-0000-0000-0000B3A50000}"/>
    <cellStyle name="Output 2 14 5" xfId="14276" xr:uid="{00000000-0005-0000-0000-0000B4A50000}"/>
    <cellStyle name="Output 2 14 6" xfId="18104" xr:uid="{00000000-0005-0000-0000-0000B5A50000}"/>
    <cellStyle name="Output 2 14 7" xfId="22046" xr:uid="{00000000-0005-0000-0000-0000B6A50000}"/>
    <cellStyle name="Output 2 14 8" xfId="25855" xr:uid="{00000000-0005-0000-0000-0000B7A50000}"/>
    <cellStyle name="Output 2 14 9" xfId="29735" xr:uid="{00000000-0005-0000-0000-0000B8A50000}"/>
    <cellStyle name="Output 2 15" xfId="2521" xr:uid="{00000000-0005-0000-0000-0000B9A50000}"/>
    <cellStyle name="Output 2 15 10" xfId="37573" xr:uid="{00000000-0005-0000-0000-0000BAA50000}"/>
    <cellStyle name="Output 2 15 11" xfId="41587" xr:uid="{00000000-0005-0000-0000-0000BBA50000}"/>
    <cellStyle name="Output 2 15 12" xfId="45376" xr:uid="{00000000-0005-0000-0000-0000BCA50000}"/>
    <cellStyle name="Output 2 15 2" xfId="6413" xr:uid="{00000000-0005-0000-0000-0000BDA50000}"/>
    <cellStyle name="Output 2 15 3" xfId="10836" xr:uid="{00000000-0005-0000-0000-0000BEA50000}"/>
    <cellStyle name="Output 2 15 4" xfId="14680" xr:uid="{00000000-0005-0000-0000-0000BFA50000}"/>
    <cellStyle name="Output 2 15 5" xfId="18515" xr:uid="{00000000-0005-0000-0000-0000C0A50000}"/>
    <cellStyle name="Output 2 15 6" xfId="22450" xr:uid="{00000000-0005-0000-0000-0000C1A50000}"/>
    <cellStyle name="Output 2 15 7" xfId="26266" xr:uid="{00000000-0005-0000-0000-0000C2A50000}"/>
    <cellStyle name="Output 2 15 8" xfId="30145" xr:uid="{00000000-0005-0000-0000-0000C3A50000}"/>
    <cellStyle name="Output 2 15 9" xfId="33814" xr:uid="{00000000-0005-0000-0000-0000C4A50000}"/>
    <cellStyle name="Output 2 16" xfId="4502" xr:uid="{00000000-0005-0000-0000-0000C5A50000}"/>
    <cellStyle name="Output 2 17" xfId="4498" xr:uid="{00000000-0005-0000-0000-0000C6A50000}"/>
    <cellStyle name="Output 2 18" xfId="8546" xr:uid="{00000000-0005-0000-0000-0000C7A50000}"/>
    <cellStyle name="Output 2 19" xfId="8497" xr:uid="{00000000-0005-0000-0000-0000C8A50000}"/>
    <cellStyle name="Output 2 2" xfId="551" xr:uid="{00000000-0005-0000-0000-0000C9A50000}"/>
    <cellStyle name="Output 2 2 10" xfId="2203" xr:uid="{00000000-0005-0000-0000-0000CAA50000}"/>
    <cellStyle name="Output 2 2 10 10" xfId="33504" xr:uid="{00000000-0005-0000-0000-0000CBA50000}"/>
    <cellStyle name="Output 2 2 10 11" xfId="37255" xr:uid="{00000000-0005-0000-0000-0000CCA50000}"/>
    <cellStyle name="Output 2 2 10 12" xfId="41271" xr:uid="{00000000-0005-0000-0000-0000CDA50000}"/>
    <cellStyle name="Output 2 2 10 13" xfId="45066" xr:uid="{00000000-0005-0000-0000-0000CEA50000}"/>
    <cellStyle name="Output 2 2 10 2" xfId="4186" xr:uid="{00000000-0005-0000-0000-0000CFA50000}"/>
    <cellStyle name="Output 2 2 10 2 10" xfId="39237" xr:uid="{00000000-0005-0000-0000-0000D0A50000}"/>
    <cellStyle name="Output 2 2 10 2 11" xfId="43247" xr:uid="{00000000-0005-0000-0000-0000D1A50000}"/>
    <cellStyle name="Output 2 2 10 2 12" xfId="47004" xr:uid="{00000000-0005-0000-0000-0000D2A50000}"/>
    <cellStyle name="Output 2 2 10 2 2" xfId="8045" xr:uid="{00000000-0005-0000-0000-0000D3A50000}"/>
    <cellStyle name="Output 2 2 10 2 3" xfId="12485" xr:uid="{00000000-0005-0000-0000-0000D4A50000}"/>
    <cellStyle name="Output 2 2 10 2 4" xfId="16330" xr:uid="{00000000-0005-0000-0000-0000D5A50000}"/>
    <cellStyle name="Output 2 2 10 2 5" xfId="20180" xr:uid="{00000000-0005-0000-0000-0000D6A50000}"/>
    <cellStyle name="Output 2 2 10 2 6" xfId="24092" xr:uid="{00000000-0005-0000-0000-0000D7A50000}"/>
    <cellStyle name="Output 2 2 10 2 7" xfId="27930" xr:uid="{00000000-0005-0000-0000-0000D8A50000}"/>
    <cellStyle name="Output 2 2 10 2 8" xfId="31789" xr:uid="{00000000-0005-0000-0000-0000D9A50000}"/>
    <cellStyle name="Output 2 2 10 2 9" xfId="35442" xr:uid="{00000000-0005-0000-0000-0000DAA50000}"/>
    <cellStyle name="Output 2 2 10 3" xfId="6117" xr:uid="{00000000-0005-0000-0000-0000DBA50000}"/>
    <cellStyle name="Output 2 2 10 4" xfId="10520" xr:uid="{00000000-0005-0000-0000-0000DCA50000}"/>
    <cellStyle name="Output 2 2 10 5" xfId="14366" xr:uid="{00000000-0005-0000-0000-0000DDA50000}"/>
    <cellStyle name="Output 2 2 10 6" xfId="18197" xr:uid="{00000000-0005-0000-0000-0000DEA50000}"/>
    <cellStyle name="Output 2 2 10 7" xfId="22136" xr:uid="{00000000-0005-0000-0000-0000DFA50000}"/>
    <cellStyle name="Output 2 2 10 8" xfId="25948" xr:uid="{00000000-0005-0000-0000-0000E0A50000}"/>
    <cellStyle name="Output 2 2 10 9" xfId="29828" xr:uid="{00000000-0005-0000-0000-0000E1A50000}"/>
    <cellStyle name="Output 2 2 11" xfId="2261" xr:uid="{00000000-0005-0000-0000-0000E2A50000}"/>
    <cellStyle name="Output 2 2 11 10" xfId="33562" xr:uid="{00000000-0005-0000-0000-0000E3A50000}"/>
    <cellStyle name="Output 2 2 11 11" xfId="37313" xr:uid="{00000000-0005-0000-0000-0000E4A50000}"/>
    <cellStyle name="Output 2 2 11 12" xfId="41329" xr:uid="{00000000-0005-0000-0000-0000E5A50000}"/>
    <cellStyle name="Output 2 2 11 13" xfId="45124" xr:uid="{00000000-0005-0000-0000-0000E6A50000}"/>
    <cellStyle name="Output 2 2 11 2" xfId="4244" xr:uid="{00000000-0005-0000-0000-0000E7A50000}"/>
    <cellStyle name="Output 2 2 11 2 10" xfId="39295" xr:uid="{00000000-0005-0000-0000-0000E8A50000}"/>
    <cellStyle name="Output 2 2 11 2 11" xfId="43305" xr:uid="{00000000-0005-0000-0000-0000E9A50000}"/>
    <cellStyle name="Output 2 2 11 2 12" xfId="47062" xr:uid="{00000000-0005-0000-0000-0000EAA50000}"/>
    <cellStyle name="Output 2 2 11 2 2" xfId="8103" xr:uid="{00000000-0005-0000-0000-0000EBA50000}"/>
    <cellStyle name="Output 2 2 11 2 3" xfId="12543" xr:uid="{00000000-0005-0000-0000-0000ECA50000}"/>
    <cellStyle name="Output 2 2 11 2 4" xfId="16388" xr:uid="{00000000-0005-0000-0000-0000EDA50000}"/>
    <cellStyle name="Output 2 2 11 2 5" xfId="20238" xr:uid="{00000000-0005-0000-0000-0000EEA50000}"/>
    <cellStyle name="Output 2 2 11 2 6" xfId="24150" xr:uid="{00000000-0005-0000-0000-0000EFA50000}"/>
    <cellStyle name="Output 2 2 11 2 7" xfId="27988" xr:uid="{00000000-0005-0000-0000-0000F0A50000}"/>
    <cellStyle name="Output 2 2 11 2 8" xfId="31847" xr:uid="{00000000-0005-0000-0000-0000F1A50000}"/>
    <cellStyle name="Output 2 2 11 2 9" xfId="35500" xr:uid="{00000000-0005-0000-0000-0000F2A50000}"/>
    <cellStyle name="Output 2 2 11 3" xfId="6175" xr:uid="{00000000-0005-0000-0000-0000F3A50000}"/>
    <cellStyle name="Output 2 2 11 4" xfId="10578" xr:uid="{00000000-0005-0000-0000-0000F4A50000}"/>
    <cellStyle name="Output 2 2 11 5" xfId="14424" xr:uid="{00000000-0005-0000-0000-0000F5A50000}"/>
    <cellStyle name="Output 2 2 11 6" xfId="18255" xr:uid="{00000000-0005-0000-0000-0000F6A50000}"/>
    <cellStyle name="Output 2 2 11 7" xfId="22194" xr:uid="{00000000-0005-0000-0000-0000F7A50000}"/>
    <cellStyle name="Output 2 2 11 8" xfId="26006" xr:uid="{00000000-0005-0000-0000-0000F8A50000}"/>
    <cellStyle name="Output 2 2 11 9" xfId="29886" xr:uid="{00000000-0005-0000-0000-0000F9A50000}"/>
    <cellStyle name="Output 2 2 12" xfId="2316" xr:uid="{00000000-0005-0000-0000-0000FAA50000}"/>
    <cellStyle name="Output 2 2 12 10" xfId="33617" xr:uid="{00000000-0005-0000-0000-0000FBA50000}"/>
    <cellStyle name="Output 2 2 12 11" xfId="37368" xr:uid="{00000000-0005-0000-0000-0000FCA50000}"/>
    <cellStyle name="Output 2 2 12 12" xfId="41384" xr:uid="{00000000-0005-0000-0000-0000FDA50000}"/>
    <cellStyle name="Output 2 2 12 13" xfId="45179" xr:uid="{00000000-0005-0000-0000-0000FEA50000}"/>
    <cellStyle name="Output 2 2 12 2" xfId="4299" xr:uid="{00000000-0005-0000-0000-0000FFA50000}"/>
    <cellStyle name="Output 2 2 12 2 10" xfId="39350" xr:uid="{00000000-0005-0000-0000-000000A60000}"/>
    <cellStyle name="Output 2 2 12 2 11" xfId="43360" xr:uid="{00000000-0005-0000-0000-000001A60000}"/>
    <cellStyle name="Output 2 2 12 2 12" xfId="47117" xr:uid="{00000000-0005-0000-0000-000002A60000}"/>
    <cellStyle name="Output 2 2 12 2 2" xfId="8158" xr:uid="{00000000-0005-0000-0000-000003A60000}"/>
    <cellStyle name="Output 2 2 12 2 3" xfId="12598" xr:uid="{00000000-0005-0000-0000-000004A60000}"/>
    <cellStyle name="Output 2 2 12 2 4" xfId="16443" xr:uid="{00000000-0005-0000-0000-000005A60000}"/>
    <cellStyle name="Output 2 2 12 2 5" xfId="20293" xr:uid="{00000000-0005-0000-0000-000006A60000}"/>
    <cellStyle name="Output 2 2 12 2 6" xfId="24205" xr:uid="{00000000-0005-0000-0000-000007A60000}"/>
    <cellStyle name="Output 2 2 12 2 7" xfId="28043" xr:uid="{00000000-0005-0000-0000-000008A60000}"/>
    <cellStyle name="Output 2 2 12 2 8" xfId="31902" xr:uid="{00000000-0005-0000-0000-000009A60000}"/>
    <cellStyle name="Output 2 2 12 2 9" xfId="35555" xr:uid="{00000000-0005-0000-0000-00000AA60000}"/>
    <cellStyle name="Output 2 2 12 3" xfId="6230" xr:uid="{00000000-0005-0000-0000-00000BA60000}"/>
    <cellStyle name="Output 2 2 12 4" xfId="10633" xr:uid="{00000000-0005-0000-0000-00000CA60000}"/>
    <cellStyle name="Output 2 2 12 5" xfId="14479" xr:uid="{00000000-0005-0000-0000-00000DA60000}"/>
    <cellStyle name="Output 2 2 12 6" xfId="18310" xr:uid="{00000000-0005-0000-0000-00000EA60000}"/>
    <cellStyle name="Output 2 2 12 7" xfId="22249" xr:uid="{00000000-0005-0000-0000-00000FA60000}"/>
    <cellStyle name="Output 2 2 12 8" xfId="26061" xr:uid="{00000000-0005-0000-0000-000010A60000}"/>
    <cellStyle name="Output 2 2 12 9" xfId="29941" xr:uid="{00000000-0005-0000-0000-000011A60000}"/>
    <cellStyle name="Output 2 2 13" xfId="2383" xr:uid="{00000000-0005-0000-0000-000012A60000}"/>
    <cellStyle name="Output 2 2 13 10" xfId="33681" xr:uid="{00000000-0005-0000-0000-000013A60000}"/>
    <cellStyle name="Output 2 2 13 11" xfId="37435" xr:uid="{00000000-0005-0000-0000-000014A60000}"/>
    <cellStyle name="Output 2 2 13 12" xfId="41450" xr:uid="{00000000-0005-0000-0000-000015A60000}"/>
    <cellStyle name="Output 2 2 13 13" xfId="45243" xr:uid="{00000000-0005-0000-0000-000016A60000}"/>
    <cellStyle name="Output 2 2 13 2" xfId="4366" xr:uid="{00000000-0005-0000-0000-000017A60000}"/>
    <cellStyle name="Output 2 2 13 2 10" xfId="39417" xr:uid="{00000000-0005-0000-0000-000018A60000}"/>
    <cellStyle name="Output 2 2 13 2 11" xfId="43426" xr:uid="{00000000-0005-0000-0000-000019A60000}"/>
    <cellStyle name="Output 2 2 13 2 12" xfId="47181" xr:uid="{00000000-0005-0000-0000-00001AA60000}"/>
    <cellStyle name="Output 2 2 13 2 2" xfId="8223" xr:uid="{00000000-0005-0000-0000-00001BA60000}"/>
    <cellStyle name="Output 2 2 13 2 3" xfId="12664" xr:uid="{00000000-0005-0000-0000-00001CA60000}"/>
    <cellStyle name="Output 2 2 13 2 4" xfId="16509" xr:uid="{00000000-0005-0000-0000-00001DA60000}"/>
    <cellStyle name="Output 2 2 13 2 5" xfId="20360" xr:uid="{00000000-0005-0000-0000-00001EA60000}"/>
    <cellStyle name="Output 2 2 13 2 6" xfId="24271" xr:uid="{00000000-0005-0000-0000-00001FA60000}"/>
    <cellStyle name="Output 2 2 13 2 7" xfId="28110" xr:uid="{00000000-0005-0000-0000-000020A60000}"/>
    <cellStyle name="Output 2 2 13 2 8" xfId="31968" xr:uid="{00000000-0005-0000-0000-000021A60000}"/>
    <cellStyle name="Output 2 2 13 2 9" xfId="35619" xr:uid="{00000000-0005-0000-0000-000022A60000}"/>
    <cellStyle name="Output 2 2 13 3" xfId="6279" xr:uid="{00000000-0005-0000-0000-000023A60000}"/>
    <cellStyle name="Output 2 2 13 4" xfId="10699" xr:uid="{00000000-0005-0000-0000-000024A60000}"/>
    <cellStyle name="Output 2 2 13 5" xfId="14545" xr:uid="{00000000-0005-0000-0000-000025A60000}"/>
    <cellStyle name="Output 2 2 13 6" xfId="18377" xr:uid="{00000000-0005-0000-0000-000026A60000}"/>
    <cellStyle name="Output 2 2 13 7" xfId="22315" xr:uid="{00000000-0005-0000-0000-000027A60000}"/>
    <cellStyle name="Output 2 2 13 8" xfId="26128" xr:uid="{00000000-0005-0000-0000-000028A60000}"/>
    <cellStyle name="Output 2 2 13 9" xfId="30008" xr:uid="{00000000-0005-0000-0000-000029A60000}"/>
    <cellStyle name="Output 2 2 14" xfId="2433" xr:uid="{00000000-0005-0000-0000-00002AA60000}"/>
    <cellStyle name="Output 2 2 14 10" xfId="33731" xr:uid="{00000000-0005-0000-0000-00002BA60000}"/>
    <cellStyle name="Output 2 2 14 11" xfId="37485" xr:uid="{00000000-0005-0000-0000-00002CA60000}"/>
    <cellStyle name="Output 2 2 14 12" xfId="41500" xr:uid="{00000000-0005-0000-0000-00002DA60000}"/>
    <cellStyle name="Output 2 2 14 13" xfId="45293" xr:uid="{00000000-0005-0000-0000-00002EA60000}"/>
    <cellStyle name="Output 2 2 14 2" xfId="4416" xr:uid="{00000000-0005-0000-0000-00002FA60000}"/>
    <cellStyle name="Output 2 2 14 2 10" xfId="39467" xr:uid="{00000000-0005-0000-0000-000030A60000}"/>
    <cellStyle name="Output 2 2 14 2 11" xfId="43476" xr:uid="{00000000-0005-0000-0000-000031A60000}"/>
    <cellStyle name="Output 2 2 14 2 12" xfId="47231" xr:uid="{00000000-0005-0000-0000-000032A60000}"/>
    <cellStyle name="Output 2 2 14 2 2" xfId="8273" xr:uid="{00000000-0005-0000-0000-000033A60000}"/>
    <cellStyle name="Output 2 2 14 2 3" xfId="12714" xr:uid="{00000000-0005-0000-0000-000034A60000}"/>
    <cellStyle name="Output 2 2 14 2 4" xfId="16559" xr:uid="{00000000-0005-0000-0000-000035A60000}"/>
    <cellStyle name="Output 2 2 14 2 5" xfId="20410" xr:uid="{00000000-0005-0000-0000-000036A60000}"/>
    <cellStyle name="Output 2 2 14 2 6" xfId="24321" xr:uid="{00000000-0005-0000-0000-000037A60000}"/>
    <cellStyle name="Output 2 2 14 2 7" xfId="28160" xr:uid="{00000000-0005-0000-0000-000038A60000}"/>
    <cellStyle name="Output 2 2 14 2 8" xfId="32018" xr:uid="{00000000-0005-0000-0000-000039A60000}"/>
    <cellStyle name="Output 2 2 14 2 9" xfId="35669" xr:uid="{00000000-0005-0000-0000-00003AA60000}"/>
    <cellStyle name="Output 2 2 14 3" xfId="6329" xr:uid="{00000000-0005-0000-0000-00003BA60000}"/>
    <cellStyle name="Output 2 2 14 4" xfId="10749" xr:uid="{00000000-0005-0000-0000-00003CA60000}"/>
    <cellStyle name="Output 2 2 14 5" xfId="14595" xr:uid="{00000000-0005-0000-0000-00003DA60000}"/>
    <cellStyle name="Output 2 2 14 6" xfId="18427" xr:uid="{00000000-0005-0000-0000-00003EA60000}"/>
    <cellStyle name="Output 2 2 14 7" xfId="22365" xr:uid="{00000000-0005-0000-0000-00003FA60000}"/>
    <cellStyle name="Output 2 2 14 8" xfId="26178" xr:uid="{00000000-0005-0000-0000-000040A60000}"/>
    <cellStyle name="Output 2 2 14 9" xfId="30057" xr:uid="{00000000-0005-0000-0000-000041A60000}"/>
    <cellStyle name="Output 2 2 15" xfId="2487" xr:uid="{00000000-0005-0000-0000-000042A60000}"/>
    <cellStyle name="Output 2 2 15 10" xfId="33782" xr:uid="{00000000-0005-0000-0000-000043A60000}"/>
    <cellStyle name="Output 2 2 15 11" xfId="37539" xr:uid="{00000000-0005-0000-0000-000044A60000}"/>
    <cellStyle name="Output 2 2 15 12" xfId="41553" xr:uid="{00000000-0005-0000-0000-000045A60000}"/>
    <cellStyle name="Output 2 2 15 13" xfId="45344" xr:uid="{00000000-0005-0000-0000-000046A60000}"/>
    <cellStyle name="Output 2 2 15 2" xfId="4469" xr:uid="{00000000-0005-0000-0000-000047A60000}"/>
    <cellStyle name="Output 2 2 15 2 10" xfId="39520" xr:uid="{00000000-0005-0000-0000-000048A60000}"/>
    <cellStyle name="Output 2 2 15 2 11" xfId="43529" xr:uid="{00000000-0005-0000-0000-000049A60000}"/>
    <cellStyle name="Output 2 2 15 2 12" xfId="47282" xr:uid="{00000000-0005-0000-0000-00004AA60000}"/>
    <cellStyle name="Output 2 2 15 2 2" xfId="8324" xr:uid="{00000000-0005-0000-0000-00004BA60000}"/>
    <cellStyle name="Output 2 2 15 2 3" xfId="12767" xr:uid="{00000000-0005-0000-0000-00004CA60000}"/>
    <cellStyle name="Output 2 2 15 2 4" xfId="16610" xr:uid="{00000000-0005-0000-0000-00004DA60000}"/>
    <cellStyle name="Output 2 2 15 2 5" xfId="20463" xr:uid="{00000000-0005-0000-0000-00004EA60000}"/>
    <cellStyle name="Output 2 2 15 2 6" xfId="24373" xr:uid="{00000000-0005-0000-0000-00004FA60000}"/>
    <cellStyle name="Output 2 2 15 2 7" xfId="28213" xr:uid="{00000000-0005-0000-0000-000050A60000}"/>
    <cellStyle name="Output 2 2 15 2 8" xfId="32071" xr:uid="{00000000-0005-0000-0000-000051A60000}"/>
    <cellStyle name="Output 2 2 15 2 9" xfId="35720" xr:uid="{00000000-0005-0000-0000-000052A60000}"/>
    <cellStyle name="Output 2 2 15 3" xfId="6381" xr:uid="{00000000-0005-0000-0000-000053A60000}"/>
    <cellStyle name="Output 2 2 15 4" xfId="10802" xr:uid="{00000000-0005-0000-0000-000054A60000}"/>
    <cellStyle name="Output 2 2 15 5" xfId="14648" xr:uid="{00000000-0005-0000-0000-000055A60000}"/>
    <cellStyle name="Output 2 2 15 6" xfId="18481" xr:uid="{00000000-0005-0000-0000-000056A60000}"/>
    <cellStyle name="Output 2 2 15 7" xfId="22418" xr:uid="{00000000-0005-0000-0000-000057A60000}"/>
    <cellStyle name="Output 2 2 15 8" xfId="26232" xr:uid="{00000000-0005-0000-0000-000058A60000}"/>
    <cellStyle name="Output 2 2 15 9" xfId="30111" xr:uid="{00000000-0005-0000-0000-000059A60000}"/>
    <cellStyle name="Output 2 2 16" xfId="2558" xr:uid="{00000000-0005-0000-0000-00005AA60000}"/>
    <cellStyle name="Output 2 2 16 10" xfId="37610" xr:uid="{00000000-0005-0000-0000-00005BA60000}"/>
    <cellStyle name="Output 2 2 16 11" xfId="41624" xr:uid="{00000000-0005-0000-0000-00005CA60000}"/>
    <cellStyle name="Output 2 2 16 12" xfId="45413" xr:uid="{00000000-0005-0000-0000-00005DA60000}"/>
    <cellStyle name="Output 2 2 16 2" xfId="6450" xr:uid="{00000000-0005-0000-0000-00005EA60000}"/>
    <cellStyle name="Output 2 2 16 3" xfId="10873" xr:uid="{00000000-0005-0000-0000-00005FA60000}"/>
    <cellStyle name="Output 2 2 16 4" xfId="14717" xr:uid="{00000000-0005-0000-0000-000060A60000}"/>
    <cellStyle name="Output 2 2 16 5" xfId="18552" xr:uid="{00000000-0005-0000-0000-000061A60000}"/>
    <cellStyle name="Output 2 2 16 6" xfId="22487" xr:uid="{00000000-0005-0000-0000-000062A60000}"/>
    <cellStyle name="Output 2 2 16 7" xfId="26303" xr:uid="{00000000-0005-0000-0000-000063A60000}"/>
    <cellStyle name="Output 2 2 16 8" xfId="30182" xr:uid="{00000000-0005-0000-0000-000064A60000}"/>
    <cellStyle name="Output 2 2 16 9" xfId="33851" xr:uid="{00000000-0005-0000-0000-000065A60000}"/>
    <cellStyle name="Output 2 2 17" xfId="4526" xr:uid="{00000000-0005-0000-0000-000066A60000}"/>
    <cellStyle name="Output 2 2 18" xfId="8380" xr:uid="{00000000-0005-0000-0000-000067A60000}"/>
    <cellStyle name="Output 2 2 19" xfId="8741" xr:uid="{00000000-0005-0000-0000-000068A60000}"/>
    <cellStyle name="Output 2 2 2" xfId="687" xr:uid="{00000000-0005-0000-0000-000069A60000}"/>
    <cellStyle name="Output 2 2 2 10" xfId="24421" xr:uid="{00000000-0005-0000-0000-00006AA60000}"/>
    <cellStyle name="Output 2 2 2 11" xfId="28314" xr:uid="{00000000-0005-0000-0000-00006BA60000}"/>
    <cellStyle name="Output 2 2 2 12" xfId="28640" xr:uid="{00000000-0005-0000-0000-00006CA60000}"/>
    <cellStyle name="Output 2 2 2 13" xfId="35758" xr:uid="{00000000-0005-0000-0000-00006DA60000}"/>
    <cellStyle name="Output 2 2 2 14" xfId="39781" xr:uid="{00000000-0005-0000-0000-00006EA60000}"/>
    <cellStyle name="Output 2 2 2 15" xfId="43584" xr:uid="{00000000-0005-0000-0000-00006FA60000}"/>
    <cellStyle name="Output 2 2 2 2" xfId="1067" xr:uid="{00000000-0005-0000-0000-000070A60000}"/>
    <cellStyle name="Output 2 2 2 2 10" xfId="28678" xr:uid="{00000000-0005-0000-0000-000071A60000}"/>
    <cellStyle name="Output 2 2 2 2 11" xfId="32364" xr:uid="{00000000-0005-0000-0000-000072A60000}"/>
    <cellStyle name="Output 2 2 2 2 12" xfId="36125" xr:uid="{00000000-0005-0000-0000-000073A60000}"/>
    <cellStyle name="Output 2 2 2 2 13" xfId="40128" xr:uid="{00000000-0005-0000-0000-000074A60000}"/>
    <cellStyle name="Output 2 2 2 2 14" xfId="43951" xr:uid="{00000000-0005-0000-0000-000075A60000}"/>
    <cellStyle name="Output 2 2 2 2 2" xfId="1794" xr:uid="{00000000-0005-0000-0000-000076A60000}"/>
    <cellStyle name="Output 2 2 2 2 2 10" xfId="33081" xr:uid="{00000000-0005-0000-0000-000077A60000}"/>
    <cellStyle name="Output 2 2 2 2 2 11" xfId="36851" xr:uid="{00000000-0005-0000-0000-000078A60000}"/>
    <cellStyle name="Output 2 2 2 2 2 12" xfId="40842" xr:uid="{00000000-0005-0000-0000-000079A60000}"/>
    <cellStyle name="Output 2 2 2 2 2 13" xfId="44673" xr:uid="{00000000-0005-0000-0000-00007AA60000}"/>
    <cellStyle name="Output 2 2 2 2 2 2" xfId="3784" xr:uid="{00000000-0005-0000-0000-00007BA60000}"/>
    <cellStyle name="Output 2 2 2 2 2 2 10" xfId="38835" xr:uid="{00000000-0005-0000-0000-00007CA60000}"/>
    <cellStyle name="Output 2 2 2 2 2 2 11" xfId="42846" xr:uid="{00000000-0005-0000-0000-00007DA60000}"/>
    <cellStyle name="Output 2 2 2 2 2 2 12" xfId="46611" xr:uid="{00000000-0005-0000-0000-00007EA60000}"/>
    <cellStyle name="Output 2 2 2 2 2 2 2" xfId="7651" xr:uid="{00000000-0005-0000-0000-00007FA60000}"/>
    <cellStyle name="Output 2 2 2 2 2 2 3" xfId="12086" xr:uid="{00000000-0005-0000-0000-000080A60000}"/>
    <cellStyle name="Output 2 2 2 2 2 2 4" xfId="15931" xr:uid="{00000000-0005-0000-0000-000081A60000}"/>
    <cellStyle name="Output 2 2 2 2 2 2 5" xfId="19778" xr:uid="{00000000-0005-0000-0000-000082A60000}"/>
    <cellStyle name="Output 2 2 2 2 2 2 6" xfId="23694" xr:uid="{00000000-0005-0000-0000-000083A60000}"/>
    <cellStyle name="Output 2 2 2 2 2 2 7" xfId="27528" xr:uid="{00000000-0005-0000-0000-000084A60000}"/>
    <cellStyle name="Output 2 2 2 2 2 2 8" xfId="31392" xr:uid="{00000000-0005-0000-0000-000085A60000}"/>
    <cellStyle name="Output 2 2 2 2 2 2 9" xfId="35049" xr:uid="{00000000-0005-0000-0000-000086A60000}"/>
    <cellStyle name="Output 2 2 2 2 2 3" xfId="5727" xr:uid="{00000000-0005-0000-0000-000087A60000}"/>
    <cellStyle name="Output 2 2 2 2 2 4" xfId="10085" xr:uid="{00000000-0005-0000-0000-000088A60000}"/>
    <cellStyle name="Output 2 2 2 2 2 5" xfId="13931" xr:uid="{00000000-0005-0000-0000-000089A60000}"/>
    <cellStyle name="Output 2 2 2 2 2 6" xfId="17760" xr:uid="{00000000-0005-0000-0000-00008AA60000}"/>
    <cellStyle name="Output 2 2 2 2 2 7" xfId="21699" xr:uid="{00000000-0005-0000-0000-00008BA60000}"/>
    <cellStyle name="Output 2 2 2 2 2 8" xfId="25512" xr:uid="{00000000-0005-0000-0000-00008CA60000}"/>
    <cellStyle name="Output 2 2 2 2 2 9" xfId="29399" xr:uid="{00000000-0005-0000-0000-00008DA60000}"/>
    <cellStyle name="Output 2 2 2 2 3" xfId="3057" xr:uid="{00000000-0005-0000-0000-00008EA60000}"/>
    <cellStyle name="Output 2 2 2 2 3 10" xfId="38109" xr:uid="{00000000-0005-0000-0000-00008FA60000}"/>
    <cellStyle name="Output 2 2 2 2 3 11" xfId="42121" xr:uid="{00000000-0005-0000-0000-000090A60000}"/>
    <cellStyle name="Output 2 2 2 2 3 12" xfId="45894" xr:uid="{00000000-0005-0000-0000-000091A60000}"/>
    <cellStyle name="Output 2 2 2 2 3 2" xfId="6933" xr:uid="{00000000-0005-0000-0000-000092A60000}"/>
    <cellStyle name="Output 2 2 2 2 3 3" xfId="11362" xr:uid="{00000000-0005-0000-0000-000093A60000}"/>
    <cellStyle name="Output 2 2 2 2 3 4" xfId="15206" xr:uid="{00000000-0005-0000-0000-000094A60000}"/>
    <cellStyle name="Output 2 2 2 2 3 5" xfId="19051" xr:uid="{00000000-0005-0000-0000-000095A60000}"/>
    <cellStyle name="Output 2 2 2 2 3 6" xfId="22973" xr:uid="{00000000-0005-0000-0000-000096A60000}"/>
    <cellStyle name="Output 2 2 2 2 3 7" xfId="26802" xr:uid="{00000000-0005-0000-0000-000097A60000}"/>
    <cellStyle name="Output 2 2 2 2 3 8" xfId="30676" xr:uid="{00000000-0005-0000-0000-000098A60000}"/>
    <cellStyle name="Output 2 2 2 2 3 9" xfId="34332" xr:uid="{00000000-0005-0000-0000-000099A60000}"/>
    <cellStyle name="Output 2 2 2 2 4" xfId="5009" xr:uid="{00000000-0005-0000-0000-00009AA60000}"/>
    <cellStyle name="Output 2 2 2 2 5" xfId="9365" xr:uid="{00000000-0005-0000-0000-00009BA60000}"/>
    <cellStyle name="Output 2 2 2 2 6" xfId="13205" xr:uid="{00000000-0005-0000-0000-00009CA60000}"/>
    <cellStyle name="Output 2 2 2 2 7" xfId="17033" xr:uid="{00000000-0005-0000-0000-00009DA60000}"/>
    <cellStyle name="Output 2 2 2 2 8" xfId="20975" xr:uid="{00000000-0005-0000-0000-00009EA60000}"/>
    <cellStyle name="Output 2 2 2 2 9" xfId="24789" xr:uid="{00000000-0005-0000-0000-00009FA60000}"/>
    <cellStyle name="Output 2 2 2 3" xfId="1441" xr:uid="{00000000-0005-0000-0000-0000A0A60000}"/>
    <cellStyle name="Output 2 2 2 3 10" xfId="32728" xr:uid="{00000000-0005-0000-0000-0000A1A60000}"/>
    <cellStyle name="Output 2 2 2 3 11" xfId="36498" xr:uid="{00000000-0005-0000-0000-0000A2A60000}"/>
    <cellStyle name="Output 2 2 2 3 12" xfId="40489" xr:uid="{00000000-0005-0000-0000-0000A3A60000}"/>
    <cellStyle name="Output 2 2 2 3 13" xfId="44320" xr:uid="{00000000-0005-0000-0000-0000A4A60000}"/>
    <cellStyle name="Output 2 2 2 3 2" xfId="3431" xr:uid="{00000000-0005-0000-0000-0000A5A60000}"/>
    <cellStyle name="Output 2 2 2 3 2 10" xfId="38482" xr:uid="{00000000-0005-0000-0000-0000A6A60000}"/>
    <cellStyle name="Output 2 2 2 3 2 11" xfId="42493" xr:uid="{00000000-0005-0000-0000-0000A7A60000}"/>
    <cellStyle name="Output 2 2 2 3 2 12" xfId="46258" xr:uid="{00000000-0005-0000-0000-0000A8A60000}"/>
    <cellStyle name="Output 2 2 2 3 2 2" xfId="7298" xr:uid="{00000000-0005-0000-0000-0000A9A60000}"/>
    <cellStyle name="Output 2 2 2 3 2 3" xfId="11733" xr:uid="{00000000-0005-0000-0000-0000AAA60000}"/>
    <cellStyle name="Output 2 2 2 3 2 4" xfId="15578" xr:uid="{00000000-0005-0000-0000-0000ABA60000}"/>
    <cellStyle name="Output 2 2 2 3 2 5" xfId="19425" xr:uid="{00000000-0005-0000-0000-0000ACA60000}"/>
    <cellStyle name="Output 2 2 2 3 2 6" xfId="23341" xr:uid="{00000000-0005-0000-0000-0000ADA60000}"/>
    <cellStyle name="Output 2 2 2 3 2 7" xfId="27175" xr:uid="{00000000-0005-0000-0000-0000AEA60000}"/>
    <cellStyle name="Output 2 2 2 3 2 8" xfId="31043" xr:uid="{00000000-0005-0000-0000-0000AFA60000}"/>
    <cellStyle name="Output 2 2 2 3 2 9" xfId="34696" xr:uid="{00000000-0005-0000-0000-0000B0A60000}"/>
    <cellStyle name="Output 2 2 2 3 3" xfId="5374" xr:uid="{00000000-0005-0000-0000-0000B1A60000}"/>
    <cellStyle name="Output 2 2 2 3 4" xfId="9732" xr:uid="{00000000-0005-0000-0000-0000B2A60000}"/>
    <cellStyle name="Output 2 2 2 3 5" xfId="13578" xr:uid="{00000000-0005-0000-0000-0000B3A60000}"/>
    <cellStyle name="Output 2 2 2 3 6" xfId="17407" xr:uid="{00000000-0005-0000-0000-0000B4A60000}"/>
    <cellStyle name="Output 2 2 2 3 7" xfId="21346" xr:uid="{00000000-0005-0000-0000-0000B5A60000}"/>
    <cellStyle name="Output 2 2 2 3 8" xfId="25159" xr:uid="{00000000-0005-0000-0000-0000B6A60000}"/>
    <cellStyle name="Output 2 2 2 3 9" xfId="29046" xr:uid="{00000000-0005-0000-0000-0000B7A60000}"/>
    <cellStyle name="Output 2 2 2 4" xfId="2690" xr:uid="{00000000-0005-0000-0000-0000B8A60000}"/>
    <cellStyle name="Output 2 2 2 4 10" xfId="37742" xr:uid="{00000000-0005-0000-0000-0000B9A60000}"/>
    <cellStyle name="Output 2 2 2 4 11" xfId="41756" xr:uid="{00000000-0005-0000-0000-0000BAA60000}"/>
    <cellStyle name="Output 2 2 2 4 12" xfId="45541" xr:uid="{00000000-0005-0000-0000-0000BBA60000}"/>
    <cellStyle name="Output 2 2 2 4 2" xfId="6578" xr:uid="{00000000-0005-0000-0000-0000BCA60000}"/>
    <cellStyle name="Output 2 2 2 4 3" xfId="11002" xr:uid="{00000000-0005-0000-0000-0000BDA60000}"/>
    <cellStyle name="Output 2 2 2 4 4" xfId="14846" xr:uid="{00000000-0005-0000-0000-0000BEA60000}"/>
    <cellStyle name="Output 2 2 2 4 5" xfId="18684" xr:uid="{00000000-0005-0000-0000-0000BFA60000}"/>
    <cellStyle name="Output 2 2 2 4 6" xfId="22615" xr:uid="{00000000-0005-0000-0000-0000C0A60000}"/>
    <cellStyle name="Output 2 2 2 4 7" xfId="26435" xr:uid="{00000000-0005-0000-0000-0000C1A60000}"/>
    <cellStyle name="Output 2 2 2 4 8" xfId="30314" xr:uid="{00000000-0005-0000-0000-0000C2A60000}"/>
    <cellStyle name="Output 2 2 2 4 9" xfId="33979" xr:uid="{00000000-0005-0000-0000-0000C3A60000}"/>
    <cellStyle name="Output 2 2 2 5" xfId="4654" xr:uid="{00000000-0005-0000-0000-0000C4A60000}"/>
    <cellStyle name="Output 2 2 2 6" xfId="8996" xr:uid="{00000000-0005-0000-0000-0000C5A60000}"/>
    <cellStyle name="Output 2 2 2 7" xfId="12833" xr:uid="{00000000-0005-0000-0000-0000C6A60000}"/>
    <cellStyle name="Output 2 2 2 8" xfId="16663" xr:uid="{00000000-0005-0000-0000-0000C7A60000}"/>
    <cellStyle name="Output 2 2 2 9" xfId="20600" xr:uid="{00000000-0005-0000-0000-0000C8A60000}"/>
    <cellStyle name="Output 2 2 20" xfId="8862" xr:uid="{00000000-0005-0000-0000-0000C9A60000}"/>
    <cellStyle name="Output 2 2 21" xfId="8665" xr:uid="{00000000-0005-0000-0000-0000CAA60000}"/>
    <cellStyle name="Output 2 2 22" xfId="8489" xr:uid="{00000000-0005-0000-0000-0000CBA60000}"/>
    <cellStyle name="Output 2 2 23" xfId="12881" xr:uid="{00000000-0005-0000-0000-0000CCA60000}"/>
    <cellStyle name="Output 2 2 24" xfId="8428" xr:uid="{00000000-0005-0000-0000-0000CDA60000}"/>
    <cellStyle name="Output 2 2 25" xfId="9269" xr:uid="{00000000-0005-0000-0000-0000CEA60000}"/>
    <cellStyle name="Output 2 2 26" xfId="28702" xr:uid="{00000000-0005-0000-0000-0000CFA60000}"/>
    <cellStyle name="Output 2 2 27" xfId="13389" xr:uid="{00000000-0005-0000-0000-0000D0A60000}"/>
    <cellStyle name="Output 2 2 28" xfId="39650" xr:uid="{00000000-0005-0000-0000-0000D1A60000}"/>
    <cellStyle name="Output 2 2 29" xfId="39936" xr:uid="{00000000-0005-0000-0000-0000D2A60000}"/>
    <cellStyle name="Output 2 2 3" xfId="626" xr:uid="{00000000-0005-0000-0000-0000D3A60000}"/>
    <cellStyle name="Output 2 2 3 10" xfId="10755" xr:uid="{00000000-0005-0000-0000-0000D4A60000}"/>
    <cellStyle name="Output 2 2 3 11" xfId="28253" xr:uid="{00000000-0005-0000-0000-0000D5A60000}"/>
    <cellStyle name="Output 2 2 3 12" xfId="30854" xr:uid="{00000000-0005-0000-0000-0000D6A60000}"/>
    <cellStyle name="Output 2 2 3 13" xfId="23057" xr:uid="{00000000-0005-0000-0000-0000D7A60000}"/>
    <cellStyle name="Output 2 2 3 14" xfId="39721" xr:uid="{00000000-0005-0000-0000-0000D8A60000}"/>
    <cellStyle name="Output 2 2 3 15" xfId="39560" xr:uid="{00000000-0005-0000-0000-0000D9A60000}"/>
    <cellStyle name="Output 2 2 3 2" xfId="1006" xr:uid="{00000000-0005-0000-0000-0000DAA60000}"/>
    <cellStyle name="Output 2 2 3 2 10" xfId="28617" xr:uid="{00000000-0005-0000-0000-0000DBA60000}"/>
    <cellStyle name="Output 2 2 3 2 11" xfId="32305" xr:uid="{00000000-0005-0000-0000-0000DCA60000}"/>
    <cellStyle name="Output 2 2 3 2 12" xfId="36064" xr:uid="{00000000-0005-0000-0000-0000DDA60000}"/>
    <cellStyle name="Output 2 2 3 2 13" xfId="40069" xr:uid="{00000000-0005-0000-0000-0000DEA60000}"/>
    <cellStyle name="Output 2 2 3 2 14" xfId="43890" xr:uid="{00000000-0005-0000-0000-0000DFA60000}"/>
    <cellStyle name="Output 2 2 3 2 2" xfId="1735" xr:uid="{00000000-0005-0000-0000-0000E0A60000}"/>
    <cellStyle name="Output 2 2 3 2 2 10" xfId="33022" xr:uid="{00000000-0005-0000-0000-0000E1A60000}"/>
    <cellStyle name="Output 2 2 3 2 2 11" xfId="36792" xr:uid="{00000000-0005-0000-0000-0000E2A60000}"/>
    <cellStyle name="Output 2 2 3 2 2 12" xfId="40783" xr:uid="{00000000-0005-0000-0000-0000E3A60000}"/>
    <cellStyle name="Output 2 2 3 2 2 13" xfId="44614" xr:uid="{00000000-0005-0000-0000-0000E4A60000}"/>
    <cellStyle name="Output 2 2 3 2 2 2" xfId="3725" xr:uid="{00000000-0005-0000-0000-0000E5A60000}"/>
    <cellStyle name="Output 2 2 3 2 2 2 10" xfId="38776" xr:uid="{00000000-0005-0000-0000-0000E6A60000}"/>
    <cellStyle name="Output 2 2 3 2 2 2 11" xfId="42787" xr:uid="{00000000-0005-0000-0000-0000E7A60000}"/>
    <cellStyle name="Output 2 2 3 2 2 2 12" xfId="46552" xr:uid="{00000000-0005-0000-0000-0000E8A60000}"/>
    <cellStyle name="Output 2 2 3 2 2 2 2" xfId="7592" xr:uid="{00000000-0005-0000-0000-0000E9A60000}"/>
    <cellStyle name="Output 2 2 3 2 2 2 3" xfId="12027" xr:uid="{00000000-0005-0000-0000-0000EAA60000}"/>
    <cellStyle name="Output 2 2 3 2 2 2 4" xfId="15872" xr:uid="{00000000-0005-0000-0000-0000EBA60000}"/>
    <cellStyle name="Output 2 2 3 2 2 2 5" xfId="19719" xr:uid="{00000000-0005-0000-0000-0000ECA60000}"/>
    <cellStyle name="Output 2 2 3 2 2 2 6" xfId="23635" xr:uid="{00000000-0005-0000-0000-0000EDA60000}"/>
    <cellStyle name="Output 2 2 3 2 2 2 7" xfId="27469" xr:uid="{00000000-0005-0000-0000-0000EEA60000}"/>
    <cellStyle name="Output 2 2 3 2 2 2 8" xfId="31333" xr:uid="{00000000-0005-0000-0000-0000EFA60000}"/>
    <cellStyle name="Output 2 2 3 2 2 2 9" xfId="34990" xr:uid="{00000000-0005-0000-0000-0000F0A60000}"/>
    <cellStyle name="Output 2 2 3 2 2 3" xfId="5668" xr:uid="{00000000-0005-0000-0000-0000F1A60000}"/>
    <cellStyle name="Output 2 2 3 2 2 4" xfId="10026" xr:uid="{00000000-0005-0000-0000-0000F2A60000}"/>
    <cellStyle name="Output 2 2 3 2 2 5" xfId="13872" xr:uid="{00000000-0005-0000-0000-0000F3A60000}"/>
    <cellStyle name="Output 2 2 3 2 2 6" xfId="17701" xr:uid="{00000000-0005-0000-0000-0000F4A60000}"/>
    <cellStyle name="Output 2 2 3 2 2 7" xfId="21640" xr:uid="{00000000-0005-0000-0000-0000F5A60000}"/>
    <cellStyle name="Output 2 2 3 2 2 8" xfId="25453" xr:uid="{00000000-0005-0000-0000-0000F6A60000}"/>
    <cellStyle name="Output 2 2 3 2 2 9" xfId="29340" xr:uid="{00000000-0005-0000-0000-0000F7A60000}"/>
    <cellStyle name="Output 2 2 3 2 3" xfId="2996" xr:uid="{00000000-0005-0000-0000-0000F8A60000}"/>
    <cellStyle name="Output 2 2 3 2 3 10" xfId="38048" xr:uid="{00000000-0005-0000-0000-0000F9A60000}"/>
    <cellStyle name="Output 2 2 3 2 3 11" xfId="42060" xr:uid="{00000000-0005-0000-0000-0000FAA60000}"/>
    <cellStyle name="Output 2 2 3 2 3 12" xfId="45835" xr:uid="{00000000-0005-0000-0000-0000FBA60000}"/>
    <cellStyle name="Output 2 2 3 2 3 2" xfId="6874" xr:uid="{00000000-0005-0000-0000-0000FCA60000}"/>
    <cellStyle name="Output 2 2 3 2 3 3" xfId="11302" xr:uid="{00000000-0005-0000-0000-0000FDA60000}"/>
    <cellStyle name="Output 2 2 3 2 3 4" xfId="15147" xr:uid="{00000000-0005-0000-0000-0000FEA60000}"/>
    <cellStyle name="Output 2 2 3 2 3 5" xfId="18990" xr:uid="{00000000-0005-0000-0000-0000FFA60000}"/>
    <cellStyle name="Output 2 2 3 2 3 6" xfId="22914" xr:uid="{00000000-0005-0000-0000-000000A70000}"/>
    <cellStyle name="Output 2 2 3 2 3 7" xfId="26741" xr:uid="{00000000-0005-0000-0000-000001A70000}"/>
    <cellStyle name="Output 2 2 3 2 3 8" xfId="30615" xr:uid="{00000000-0005-0000-0000-000002A70000}"/>
    <cellStyle name="Output 2 2 3 2 3 9" xfId="34273" xr:uid="{00000000-0005-0000-0000-000003A70000}"/>
    <cellStyle name="Output 2 2 3 2 4" xfId="4950" xr:uid="{00000000-0005-0000-0000-000004A70000}"/>
    <cellStyle name="Output 2 2 3 2 5" xfId="9305" xr:uid="{00000000-0005-0000-0000-000005A70000}"/>
    <cellStyle name="Output 2 2 3 2 6" xfId="13146" xr:uid="{00000000-0005-0000-0000-000006A70000}"/>
    <cellStyle name="Output 2 2 3 2 7" xfId="16972" xr:uid="{00000000-0005-0000-0000-000007A70000}"/>
    <cellStyle name="Output 2 2 3 2 8" xfId="20914" xr:uid="{00000000-0005-0000-0000-000008A70000}"/>
    <cellStyle name="Output 2 2 3 2 9" xfId="24729" xr:uid="{00000000-0005-0000-0000-000009A70000}"/>
    <cellStyle name="Output 2 2 3 3" xfId="1382" xr:uid="{00000000-0005-0000-0000-00000AA70000}"/>
    <cellStyle name="Output 2 2 3 3 10" xfId="32669" xr:uid="{00000000-0005-0000-0000-00000BA70000}"/>
    <cellStyle name="Output 2 2 3 3 11" xfId="36439" xr:uid="{00000000-0005-0000-0000-00000CA70000}"/>
    <cellStyle name="Output 2 2 3 3 12" xfId="40430" xr:uid="{00000000-0005-0000-0000-00000DA70000}"/>
    <cellStyle name="Output 2 2 3 3 13" xfId="44261" xr:uid="{00000000-0005-0000-0000-00000EA70000}"/>
    <cellStyle name="Output 2 2 3 3 2" xfId="3372" xr:uid="{00000000-0005-0000-0000-00000FA70000}"/>
    <cellStyle name="Output 2 2 3 3 2 10" xfId="38423" xr:uid="{00000000-0005-0000-0000-000010A70000}"/>
    <cellStyle name="Output 2 2 3 3 2 11" xfId="42434" xr:uid="{00000000-0005-0000-0000-000011A70000}"/>
    <cellStyle name="Output 2 2 3 3 2 12" xfId="46199" xr:uid="{00000000-0005-0000-0000-000012A70000}"/>
    <cellStyle name="Output 2 2 3 3 2 2" xfId="7239" xr:uid="{00000000-0005-0000-0000-000013A70000}"/>
    <cellStyle name="Output 2 2 3 3 2 3" xfId="11674" xr:uid="{00000000-0005-0000-0000-000014A70000}"/>
    <cellStyle name="Output 2 2 3 3 2 4" xfId="15519" xr:uid="{00000000-0005-0000-0000-000015A70000}"/>
    <cellStyle name="Output 2 2 3 3 2 5" xfId="19366" xr:uid="{00000000-0005-0000-0000-000016A70000}"/>
    <cellStyle name="Output 2 2 3 3 2 6" xfId="23282" xr:uid="{00000000-0005-0000-0000-000017A70000}"/>
    <cellStyle name="Output 2 2 3 3 2 7" xfId="27116" xr:uid="{00000000-0005-0000-0000-000018A70000}"/>
    <cellStyle name="Output 2 2 3 3 2 8" xfId="30984" xr:uid="{00000000-0005-0000-0000-000019A70000}"/>
    <cellStyle name="Output 2 2 3 3 2 9" xfId="34637" xr:uid="{00000000-0005-0000-0000-00001AA70000}"/>
    <cellStyle name="Output 2 2 3 3 3" xfId="5315" xr:uid="{00000000-0005-0000-0000-00001BA70000}"/>
    <cellStyle name="Output 2 2 3 3 4" xfId="9673" xr:uid="{00000000-0005-0000-0000-00001CA70000}"/>
    <cellStyle name="Output 2 2 3 3 5" xfId="13519" xr:uid="{00000000-0005-0000-0000-00001DA70000}"/>
    <cellStyle name="Output 2 2 3 3 6" xfId="17348" xr:uid="{00000000-0005-0000-0000-00001EA70000}"/>
    <cellStyle name="Output 2 2 3 3 7" xfId="21287" xr:uid="{00000000-0005-0000-0000-00001FA70000}"/>
    <cellStyle name="Output 2 2 3 3 8" xfId="25100" xr:uid="{00000000-0005-0000-0000-000020A70000}"/>
    <cellStyle name="Output 2 2 3 3 9" xfId="28987" xr:uid="{00000000-0005-0000-0000-000021A70000}"/>
    <cellStyle name="Output 2 2 3 4" xfId="2629" xr:uid="{00000000-0005-0000-0000-000022A70000}"/>
    <cellStyle name="Output 2 2 3 4 10" xfId="37681" xr:uid="{00000000-0005-0000-0000-000023A70000}"/>
    <cellStyle name="Output 2 2 3 4 11" xfId="41695" xr:uid="{00000000-0005-0000-0000-000024A70000}"/>
    <cellStyle name="Output 2 2 3 4 12" xfId="45482" xr:uid="{00000000-0005-0000-0000-000025A70000}"/>
    <cellStyle name="Output 2 2 3 4 2" xfId="6519" xr:uid="{00000000-0005-0000-0000-000026A70000}"/>
    <cellStyle name="Output 2 2 3 4 3" xfId="10943" xr:uid="{00000000-0005-0000-0000-000027A70000}"/>
    <cellStyle name="Output 2 2 3 4 4" xfId="14787" xr:uid="{00000000-0005-0000-0000-000028A70000}"/>
    <cellStyle name="Output 2 2 3 4 5" xfId="18623" xr:uid="{00000000-0005-0000-0000-000029A70000}"/>
    <cellStyle name="Output 2 2 3 4 6" xfId="22556" xr:uid="{00000000-0005-0000-0000-00002AA70000}"/>
    <cellStyle name="Output 2 2 3 4 7" xfId="26374" xr:uid="{00000000-0005-0000-0000-00002BA70000}"/>
    <cellStyle name="Output 2 2 3 4 8" xfId="30253" xr:uid="{00000000-0005-0000-0000-00002CA70000}"/>
    <cellStyle name="Output 2 2 3 4 9" xfId="33920" xr:uid="{00000000-0005-0000-0000-00002DA70000}"/>
    <cellStyle name="Output 2 2 3 5" xfId="4595" xr:uid="{00000000-0005-0000-0000-00002EA70000}"/>
    <cellStyle name="Output 2 2 3 6" xfId="8935" xr:uid="{00000000-0005-0000-0000-00002FA70000}"/>
    <cellStyle name="Output 2 2 3 7" xfId="8548" xr:uid="{00000000-0005-0000-0000-000030A70000}"/>
    <cellStyle name="Output 2 2 3 8" xfId="8480" xr:uid="{00000000-0005-0000-0000-000031A70000}"/>
    <cellStyle name="Output 2 2 3 9" xfId="20539" xr:uid="{00000000-0005-0000-0000-000032A70000}"/>
    <cellStyle name="Output 2 2 30" xfId="47362" xr:uid="{00000000-0005-0000-0000-000033A70000}"/>
    <cellStyle name="Output 2 2 31" xfId="47450" xr:uid="{00000000-0005-0000-0000-000034A70000}"/>
    <cellStyle name="Output 2 2 32" xfId="47497" xr:uid="{00000000-0005-0000-0000-000035A70000}"/>
    <cellStyle name="Output 2 2 4" xfId="716" xr:uid="{00000000-0005-0000-0000-000036A70000}"/>
    <cellStyle name="Output 2 2 4 10" xfId="24449" xr:uid="{00000000-0005-0000-0000-000037A70000}"/>
    <cellStyle name="Output 2 2 4 11" xfId="28342" xr:uid="{00000000-0005-0000-0000-000038A70000}"/>
    <cellStyle name="Output 2 2 4 12" xfId="8609" xr:uid="{00000000-0005-0000-0000-000039A70000}"/>
    <cellStyle name="Output 2 2 4 13" xfId="35787" xr:uid="{00000000-0005-0000-0000-00003AA70000}"/>
    <cellStyle name="Output 2 2 4 14" xfId="39808" xr:uid="{00000000-0005-0000-0000-00003BA70000}"/>
    <cellStyle name="Output 2 2 4 15" xfId="43613" xr:uid="{00000000-0005-0000-0000-00003CA70000}"/>
    <cellStyle name="Output 2 2 4 2" xfId="1095" xr:uid="{00000000-0005-0000-0000-00003DA70000}"/>
    <cellStyle name="Output 2 2 4 2 10" xfId="28705" xr:uid="{00000000-0005-0000-0000-00003EA70000}"/>
    <cellStyle name="Output 2 2 4 2 11" xfId="32392" xr:uid="{00000000-0005-0000-0000-00003FA70000}"/>
    <cellStyle name="Output 2 2 4 2 12" xfId="36153" xr:uid="{00000000-0005-0000-0000-000040A70000}"/>
    <cellStyle name="Output 2 2 4 2 13" xfId="40155" xr:uid="{00000000-0005-0000-0000-000041A70000}"/>
    <cellStyle name="Output 2 2 4 2 14" xfId="43979" xr:uid="{00000000-0005-0000-0000-000042A70000}"/>
    <cellStyle name="Output 2 2 4 2 2" xfId="1822" xr:uid="{00000000-0005-0000-0000-000043A70000}"/>
    <cellStyle name="Output 2 2 4 2 2 10" xfId="33109" xr:uid="{00000000-0005-0000-0000-000044A70000}"/>
    <cellStyle name="Output 2 2 4 2 2 11" xfId="36879" xr:uid="{00000000-0005-0000-0000-000045A70000}"/>
    <cellStyle name="Output 2 2 4 2 2 12" xfId="40870" xr:uid="{00000000-0005-0000-0000-000046A70000}"/>
    <cellStyle name="Output 2 2 4 2 2 13" xfId="44701" xr:uid="{00000000-0005-0000-0000-000047A70000}"/>
    <cellStyle name="Output 2 2 4 2 2 2" xfId="3812" xr:uid="{00000000-0005-0000-0000-000048A70000}"/>
    <cellStyle name="Output 2 2 4 2 2 2 10" xfId="38863" xr:uid="{00000000-0005-0000-0000-000049A70000}"/>
    <cellStyle name="Output 2 2 4 2 2 2 11" xfId="42874" xr:uid="{00000000-0005-0000-0000-00004AA70000}"/>
    <cellStyle name="Output 2 2 4 2 2 2 12" xfId="46639" xr:uid="{00000000-0005-0000-0000-00004BA70000}"/>
    <cellStyle name="Output 2 2 4 2 2 2 2" xfId="7679" xr:uid="{00000000-0005-0000-0000-00004CA70000}"/>
    <cellStyle name="Output 2 2 4 2 2 2 3" xfId="12114" xr:uid="{00000000-0005-0000-0000-00004DA70000}"/>
    <cellStyle name="Output 2 2 4 2 2 2 4" xfId="15959" xr:uid="{00000000-0005-0000-0000-00004EA70000}"/>
    <cellStyle name="Output 2 2 4 2 2 2 5" xfId="19806" xr:uid="{00000000-0005-0000-0000-00004FA70000}"/>
    <cellStyle name="Output 2 2 4 2 2 2 6" xfId="23722" xr:uid="{00000000-0005-0000-0000-000050A70000}"/>
    <cellStyle name="Output 2 2 4 2 2 2 7" xfId="27556" xr:uid="{00000000-0005-0000-0000-000051A70000}"/>
    <cellStyle name="Output 2 2 4 2 2 2 8" xfId="31420" xr:uid="{00000000-0005-0000-0000-000052A70000}"/>
    <cellStyle name="Output 2 2 4 2 2 2 9" xfId="35077" xr:uid="{00000000-0005-0000-0000-000053A70000}"/>
    <cellStyle name="Output 2 2 4 2 2 3" xfId="5755" xr:uid="{00000000-0005-0000-0000-000054A70000}"/>
    <cellStyle name="Output 2 2 4 2 2 4" xfId="10113" xr:uid="{00000000-0005-0000-0000-000055A70000}"/>
    <cellStyle name="Output 2 2 4 2 2 5" xfId="13959" xr:uid="{00000000-0005-0000-0000-000056A70000}"/>
    <cellStyle name="Output 2 2 4 2 2 6" xfId="17788" xr:uid="{00000000-0005-0000-0000-000057A70000}"/>
    <cellStyle name="Output 2 2 4 2 2 7" xfId="21727" xr:uid="{00000000-0005-0000-0000-000058A70000}"/>
    <cellStyle name="Output 2 2 4 2 2 8" xfId="25540" xr:uid="{00000000-0005-0000-0000-000059A70000}"/>
    <cellStyle name="Output 2 2 4 2 2 9" xfId="29427" xr:uid="{00000000-0005-0000-0000-00005AA70000}"/>
    <cellStyle name="Output 2 2 4 2 3" xfId="3085" xr:uid="{00000000-0005-0000-0000-00005BA70000}"/>
    <cellStyle name="Output 2 2 4 2 3 10" xfId="38137" xr:uid="{00000000-0005-0000-0000-00005CA70000}"/>
    <cellStyle name="Output 2 2 4 2 3 11" xfId="42149" xr:uid="{00000000-0005-0000-0000-00005DA70000}"/>
    <cellStyle name="Output 2 2 4 2 3 12" xfId="45922" xr:uid="{00000000-0005-0000-0000-00005EA70000}"/>
    <cellStyle name="Output 2 2 4 2 3 2" xfId="6961" xr:uid="{00000000-0005-0000-0000-00005FA70000}"/>
    <cellStyle name="Output 2 2 4 2 3 3" xfId="11390" xr:uid="{00000000-0005-0000-0000-000060A70000}"/>
    <cellStyle name="Output 2 2 4 2 3 4" xfId="15234" xr:uid="{00000000-0005-0000-0000-000061A70000}"/>
    <cellStyle name="Output 2 2 4 2 3 5" xfId="19079" xr:uid="{00000000-0005-0000-0000-000062A70000}"/>
    <cellStyle name="Output 2 2 4 2 3 6" xfId="23001" xr:uid="{00000000-0005-0000-0000-000063A70000}"/>
    <cellStyle name="Output 2 2 4 2 3 7" xfId="26830" xr:uid="{00000000-0005-0000-0000-000064A70000}"/>
    <cellStyle name="Output 2 2 4 2 3 8" xfId="30703" xr:uid="{00000000-0005-0000-0000-000065A70000}"/>
    <cellStyle name="Output 2 2 4 2 3 9" xfId="34360" xr:uid="{00000000-0005-0000-0000-000066A70000}"/>
    <cellStyle name="Output 2 2 4 2 4" xfId="5037" xr:uid="{00000000-0005-0000-0000-000067A70000}"/>
    <cellStyle name="Output 2 2 4 2 5" xfId="9393" xr:uid="{00000000-0005-0000-0000-000068A70000}"/>
    <cellStyle name="Output 2 2 4 2 6" xfId="13233" xr:uid="{00000000-0005-0000-0000-000069A70000}"/>
    <cellStyle name="Output 2 2 4 2 7" xfId="17061" xr:uid="{00000000-0005-0000-0000-00006AA70000}"/>
    <cellStyle name="Output 2 2 4 2 8" xfId="21003" xr:uid="{00000000-0005-0000-0000-00006BA70000}"/>
    <cellStyle name="Output 2 2 4 2 9" xfId="24817" xr:uid="{00000000-0005-0000-0000-00006CA70000}"/>
    <cellStyle name="Output 2 2 4 3" xfId="1469" xr:uid="{00000000-0005-0000-0000-00006DA70000}"/>
    <cellStyle name="Output 2 2 4 3 10" xfId="32756" xr:uid="{00000000-0005-0000-0000-00006EA70000}"/>
    <cellStyle name="Output 2 2 4 3 11" xfId="36526" xr:uid="{00000000-0005-0000-0000-00006FA70000}"/>
    <cellStyle name="Output 2 2 4 3 12" xfId="40517" xr:uid="{00000000-0005-0000-0000-000070A70000}"/>
    <cellStyle name="Output 2 2 4 3 13" xfId="44348" xr:uid="{00000000-0005-0000-0000-000071A70000}"/>
    <cellStyle name="Output 2 2 4 3 2" xfId="3459" xr:uid="{00000000-0005-0000-0000-000072A70000}"/>
    <cellStyle name="Output 2 2 4 3 2 10" xfId="38510" xr:uid="{00000000-0005-0000-0000-000073A70000}"/>
    <cellStyle name="Output 2 2 4 3 2 11" xfId="42521" xr:uid="{00000000-0005-0000-0000-000074A70000}"/>
    <cellStyle name="Output 2 2 4 3 2 12" xfId="46286" xr:uid="{00000000-0005-0000-0000-000075A70000}"/>
    <cellStyle name="Output 2 2 4 3 2 2" xfId="7326" xr:uid="{00000000-0005-0000-0000-000076A70000}"/>
    <cellStyle name="Output 2 2 4 3 2 3" xfId="11761" xr:uid="{00000000-0005-0000-0000-000077A70000}"/>
    <cellStyle name="Output 2 2 4 3 2 4" xfId="15606" xr:uid="{00000000-0005-0000-0000-000078A70000}"/>
    <cellStyle name="Output 2 2 4 3 2 5" xfId="19453" xr:uid="{00000000-0005-0000-0000-000079A70000}"/>
    <cellStyle name="Output 2 2 4 3 2 6" xfId="23369" xr:uid="{00000000-0005-0000-0000-00007AA70000}"/>
    <cellStyle name="Output 2 2 4 3 2 7" xfId="27203" xr:uid="{00000000-0005-0000-0000-00007BA70000}"/>
    <cellStyle name="Output 2 2 4 3 2 8" xfId="31070" xr:uid="{00000000-0005-0000-0000-00007CA70000}"/>
    <cellStyle name="Output 2 2 4 3 2 9" xfId="34724" xr:uid="{00000000-0005-0000-0000-00007DA70000}"/>
    <cellStyle name="Output 2 2 4 3 3" xfId="5402" xr:uid="{00000000-0005-0000-0000-00007EA70000}"/>
    <cellStyle name="Output 2 2 4 3 4" xfId="9760" xr:uid="{00000000-0005-0000-0000-00007FA70000}"/>
    <cellStyle name="Output 2 2 4 3 5" xfId="13606" xr:uid="{00000000-0005-0000-0000-000080A70000}"/>
    <cellStyle name="Output 2 2 4 3 6" xfId="17435" xr:uid="{00000000-0005-0000-0000-000081A70000}"/>
    <cellStyle name="Output 2 2 4 3 7" xfId="21374" xr:uid="{00000000-0005-0000-0000-000082A70000}"/>
    <cellStyle name="Output 2 2 4 3 8" xfId="25187" xr:uid="{00000000-0005-0000-0000-000083A70000}"/>
    <cellStyle name="Output 2 2 4 3 9" xfId="29074" xr:uid="{00000000-0005-0000-0000-000084A70000}"/>
    <cellStyle name="Output 2 2 4 4" xfId="2719" xr:uid="{00000000-0005-0000-0000-000085A70000}"/>
    <cellStyle name="Output 2 2 4 4 10" xfId="37771" xr:uid="{00000000-0005-0000-0000-000086A70000}"/>
    <cellStyle name="Output 2 2 4 4 11" xfId="41785" xr:uid="{00000000-0005-0000-0000-000087A70000}"/>
    <cellStyle name="Output 2 2 4 4 12" xfId="45569" xr:uid="{00000000-0005-0000-0000-000088A70000}"/>
    <cellStyle name="Output 2 2 4 4 2" xfId="6606" xr:uid="{00000000-0005-0000-0000-000089A70000}"/>
    <cellStyle name="Output 2 2 4 4 3" xfId="11030" xr:uid="{00000000-0005-0000-0000-00008AA70000}"/>
    <cellStyle name="Output 2 2 4 4 4" xfId="14875" xr:uid="{00000000-0005-0000-0000-00008BA70000}"/>
    <cellStyle name="Output 2 2 4 4 5" xfId="18713" xr:uid="{00000000-0005-0000-0000-00008CA70000}"/>
    <cellStyle name="Output 2 2 4 4 6" xfId="22644" xr:uid="{00000000-0005-0000-0000-00008DA70000}"/>
    <cellStyle name="Output 2 2 4 4 7" xfId="26464" xr:uid="{00000000-0005-0000-0000-00008EA70000}"/>
    <cellStyle name="Output 2 2 4 4 8" xfId="30343" xr:uid="{00000000-0005-0000-0000-00008FA70000}"/>
    <cellStyle name="Output 2 2 4 4 9" xfId="34007" xr:uid="{00000000-0005-0000-0000-000090A70000}"/>
    <cellStyle name="Output 2 2 4 5" xfId="4682" xr:uid="{00000000-0005-0000-0000-000091A70000}"/>
    <cellStyle name="Output 2 2 4 6" xfId="9024" xr:uid="{00000000-0005-0000-0000-000092A70000}"/>
    <cellStyle name="Output 2 2 4 7" xfId="12862" xr:uid="{00000000-0005-0000-0000-000093A70000}"/>
    <cellStyle name="Output 2 2 4 8" xfId="16692" xr:uid="{00000000-0005-0000-0000-000094A70000}"/>
    <cellStyle name="Output 2 2 4 9" xfId="20629" xr:uid="{00000000-0005-0000-0000-000095A70000}"/>
    <cellStyle name="Output 2 2 5" xfId="887" xr:uid="{00000000-0005-0000-0000-000096A70000}"/>
    <cellStyle name="Output 2 2 5 10" xfId="24611" xr:uid="{00000000-0005-0000-0000-000097A70000}"/>
    <cellStyle name="Output 2 2 5 11" xfId="28501" xr:uid="{00000000-0005-0000-0000-000098A70000}"/>
    <cellStyle name="Output 2 2 5 12" xfId="32188" xr:uid="{00000000-0005-0000-0000-000099A70000}"/>
    <cellStyle name="Output 2 2 5 13" xfId="35945" xr:uid="{00000000-0005-0000-0000-00009AA70000}"/>
    <cellStyle name="Output 2 2 5 14" xfId="39955" xr:uid="{00000000-0005-0000-0000-00009BA70000}"/>
    <cellStyle name="Output 2 2 5 15" xfId="43771" xr:uid="{00000000-0005-0000-0000-00009CA70000}"/>
    <cellStyle name="Output 2 2 5 2" xfId="1224" xr:uid="{00000000-0005-0000-0000-00009DA70000}"/>
    <cellStyle name="Output 2 2 5 2 10" xfId="28832" xr:uid="{00000000-0005-0000-0000-00009EA70000}"/>
    <cellStyle name="Output 2 2 5 2 11" xfId="32516" xr:uid="{00000000-0005-0000-0000-00009FA70000}"/>
    <cellStyle name="Output 2 2 5 2 12" xfId="36282" xr:uid="{00000000-0005-0000-0000-0000A0A70000}"/>
    <cellStyle name="Output 2 2 5 2 13" xfId="40275" xr:uid="{00000000-0005-0000-0000-0000A1A70000}"/>
    <cellStyle name="Output 2 2 5 2 14" xfId="44108" xr:uid="{00000000-0005-0000-0000-0000A2A70000}"/>
    <cellStyle name="Output 2 2 5 2 2" xfId="1946" xr:uid="{00000000-0005-0000-0000-0000A3A70000}"/>
    <cellStyle name="Output 2 2 5 2 2 10" xfId="33233" xr:uid="{00000000-0005-0000-0000-0000A4A70000}"/>
    <cellStyle name="Output 2 2 5 2 2 11" xfId="37003" xr:uid="{00000000-0005-0000-0000-0000A5A70000}"/>
    <cellStyle name="Output 2 2 5 2 2 12" xfId="40994" xr:uid="{00000000-0005-0000-0000-0000A6A70000}"/>
    <cellStyle name="Output 2 2 5 2 2 13" xfId="44825" xr:uid="{00000000-0005-0000-0000-0000A7A70000}"/>
    <cellStyle name="Output 2 2 5 2 2 2" xfId="3936" xr:uid="{00000000-0005-0000-0000-0000A8A70000}"/>
    <cellStyle name="Output 2 2 5 2 2 2 10" xfId="38987" xr:uid="{00000000-0005-0000-0000-0000A9A70000}"/>
    <cellStyle name="Output 2 2 5 2 2 2 11" xfId="42998" xr:uid="{00000000-0005-0000-0000-0000AAA70000}"/>
    <cellStyle name="Output 2 2 5 2 2 2 12" xfId="46763" xr:uid="{00000000-0005-0000-0000-0000ABA70000}"/>
    <cellStyle name="Output 2 2 5 2 2 2 2" xfId="7803" xr:uid="{00000000-0005-0000-0000-0000ACA70000}"/>
    <cellStyle name="Output 2 2 5 2 2 2 3" xfId="12238" xr:uid="{00000000-0005-0000-0000-0000ADA70000}"/>
    <cellStyle name="Output 2 2 5 2 2 2 4" xfId="16083" xr:uid="{00000000-0005-0000-0000-0000AEA70000}"/>
    <cellStyle name="Output 2 2 5 2 2 2 5" xfId="19930" xr:uid="{00000000-0005-0000-0000-0000AFA70000}"/>
    <cellStyle name="Output 2 2 5 2 2 2 6" xfId="23846" xr:uid="{00000000-0005-0000-0000-0000B0A70000}"/>
    <cellStyle name="Output 2 2 5 2 2 2 7" xfId="27680" xr:uid="{00000000-0005-0000-0000-0000B1A70000}"/>
    <cellStyle name="Output 2 2 5 2 2 2 8" xfId="31541" xr:uid="{00000000-0005-0000-0000-0000B2A70000}"/>
    <cellStyle name="Output 2 2 5 2 2 2 9" xfId="35201" xr:uid="{00000000-0005-0000-0000-0000B3A70000}"/>
    <cellStyle name="Output 2 2 5 2 2 3" xfId="5879" xr:uid="{00000000-0005-0000-0000-0000B4A70000}"/>
    <cellStyle name="Output 2 2 5 2 2 4" xfId="10237" xr:uid="{00000000-0005-0000-0000-0000B5A70000}"/>
    <cellStyle name="Output 2 2 5 2 2 5" xfId="14083" xr:uid="{00000000-0005-0000-0000-0000B6A70000}"/>
    <cellStyle name="Output 2 2 5 2 2 6" xfId="17912" xr:uid="{00000000-0005-0000-0000-0000B7A70000}"/>
    <cellStyle name="Output 2 2 5 2 2 7" xfId="21851" xr:uid="{00000000-0005-0000-0000-0000B8A70000}"/>
    <cellStyle name="Output 2 2 5 2 2 8" xfId="25664" xr:uid="{00000000-0005-0000-0000-0000B9A70000}"/>
    <cellStyle name="Output 2 2 5 2 2 9" xfId="29551" xr:uid="{00000000-0005-0000-0000-0000BAA70000}"/>
    <cellStyle name="Output 2 2 5 2 3" xfId="3214" xr:uid="{00000000-0005-0000-0000-0000BBA70000}"/>
    <cellStyle name="Output 2 2 5 2 3 10" xfId="38266" xr:uid="{00000000-0005-0000-0000-0000BCA70000}"/>
    <cellStyle name="Output 2 2 5 2 3 11" xfId="42277" xr:uid="{00000000-0005-0000-0000-0000BDA70000}"/>
    <cellStyle name="Output 2 2 5 2 3 12" xfId="46046" xr:uid="{00000000-0005-0000-0000-0000BEA70000}"/>
    <cellStyle name="Output 2 2 5 2 3 2" xfId="7086" xr:uid="{00000000-0005-0000-0000-0000BFA70000}"/>
    <cellStyle name="Output 2 2 5 2 3 3" xfId="11518" xr:uid="{00000000-0005-0000-0000-0000C0A70000}"/>
    <cellStyle name="Output 2 2 5 2 3 4" xfId="15362" xr:uid="{00000000-0005-0000-0000-0000C1A70000}"/>
    <cellStyle name="Output 2 2 5 2 3 5" xfId="19208" xr:uid="{00000000-0005-0000-0000-0000C2A70000}"/>
    <cellStyle name="Output 2 2 5 2 3 6" xfId="23127" xr:uid="{00000000-0005-0000-0000-0000C3A70000}"/>
    <cellStyle name="Output 2 2 5 2 3 7" xfId="26959" xr:uid="{00000000-0005-0000-0000-0000C4A70000}"/>
    <cellStyle name="Output 2 2 5 2 3 8" xfId="30829" xr:uid="{00000000-0005-0000-0000-0000C5A70000}"/>
    <cellStyle name="Output 2 2 5 2 3 9" xfId="34484" xr:uid="{00000000-0005-0000-0000-0000C6A70000}"/>
    <cellStyle name="Output 2 2 5 2 4" xfId="5162" xr:uid="{00000000-0005-0000-0000-0000C7A70000}"/>
    <cellStyle name="Output 2 2 5 2 5" xfId="9518" xr:uid="{00000000-0005-0000-0000-0000C8A70000}"/>
    <cellStyle name="Output 2 2 5 2 6" xfId="13362" xr:uid="{00000000-0005-0000-0000-0000C9A70000}"/>
    <cellStyle name="Output 2 2 5 2 7" xfId="17190" xr:uid="{00000000-0005-0000-0000-0000CAA70000}"/>
    <cellStyle name="Output 2 2 5 2 8" xfId="21132" xr:uid="{00000000-0005-0000-0000-0000CBA70000}"/>
    <cellStyle name="Output 2 2 5 2 9" xfId="24943" xr:uid="{00000000-0005-0000-0000-0000CCA70000}"/>
    <cellStyle name="Output 2 2 5 3" xfId="1618" xr:uid="{00000000-0005-0000-0000-0000CDA70000}"/>
    <cellStyle name="Output 2 2 5 3 10" xfId="32905" xr:uid="{00000000-0005-0000-0000-0000CEA70000}"/>
    <cellStyle name="Output 2 2 5 3 11" xfId="36675" xr:uid="{00000000-0005-0000-0000-0000CFA70000}"/>
    <cellStyle name="Output 2 2 5 3 12" xfId="40666" xr:uid="{00000000-0005-0000-0000-0000D0A70000}"/>
    <cellStyle name="Output 2 2 5 3 13" xfId="44497" xr:uid="{00000000-0005-0000-0000-0000D1A70000}"/>
    <cellStyle name="Output 2 2 5 3 2" xfId="3608" xr:uid="{00000000-0005-0000-0000-0000D2A70000}"/>
    <cellStyle name="Output 2 2 5 3 2 10" xfId="38659" xr:uid="{00000000-0005-0000-0000-0000D3A70000}"/>
    <cellStyle name="Output 2 2 5 3 2 11" xfId="42670" xr:uid="{00000000-0005-0000-0000-0000D4A70000}"/>
    <cellStyle name="Output 2 2 5 3 2 12" xfId="46435" xr:uid="{00000000-0005-0000-0000-0000D5A70000}"/>
    <cellStyle name="Output 2 2 5 3 2 2" xfId="7475" xr:uid="{00000000-0005-0000-0000-0000D6A70000}"/>
    <cellStyle name="Output 2 2 5 3 2 3" xfId="11910" xr:uid="{00000000-0005-0000-0000-0000D7A70000}"/>
    <cellStyle name="Output 2 2 5 3 2 4" xfId="15755" xr:uid="{00000000-0005-0000-0000-0000D8A70000}"/>
    <cellStyle name="Output 2 2 5 3 2 5" xfId="19602" xr:uid="{00000000-0005-0000-0000-0000D9A70000}"/>
    <cellStyle name="Output 2 2 5 3 2 6" xfId="23518" xr:uid="{00000000-0005-0000-0000-0000DAA70000}"/>
    <cellStyle name="Output 2 2 5 3 2 7" xfId="27352" xr:uid="{00000000-0005-0000-0000-0000DBA70000}"/>
    <cellStyle name="Output 2 2 5 3 2 8" xfId="31217" xr:uid="{00000000-0005-0000-0000-0000DCA70000}"/>
    <cellStyle name="Output 2 2 5 3 2 9" xfId="34873" xr:uid="{00000000-0005-0000-0000-0000DDA70000}"/>
    <cellStyle name="Output 2 2 5 3 3" xfId="5551" xr:uid="{00000000-0005-0000-0000-0000DEA70000}"/>
    <cellStyle name="Output 2 2 5 3 4" xfId="9909" xr:uid="{00000000-0005-0000-0000-0000DFA70000}"/>
    <cellStyle name="Output 2 2 5 3 5" xfId="13755" xr:uid="{00000000-0005-0000-0000-0000E0A70000}"/>
    <cellStyle name="Output 2 2 5 3 6" xfId="17584" xr:uid="{00000000-0005-0000-0000-0000E1A70000}"/>
    <cellStyle name="Output 2 2 5 3 7" xfId="21523" xr:uid="{00000000-0005-0000-0000-0000E2A70000}"/>
    <cellStyle name="Output 2 2 5 3 8" xfId="25336" xr:uid="{00000000-0005-0000-0000-0000E3A70000}"/>
    <cellStyle name="Output 2 2 5 3 9" xfId="29223" xr:uid="{00000000-0005-0000-0000-0000E4A70000}"/>
    <cellStyle name="Output 2 2 5 4" xfId="2877" xr:uid="{00000000-0005-0000-0000-0000E5A70000}"/>
    <cellStyle name="Output 2 2 5 4 10" xfId="37929" xr:uid="{00000000-0005-0000-0000-0000E6A70000}"/>
    <cellStyle name="Output 2 2 5 4 11" xfId="41941" xr:uid="{00000000-0005-0000-0000-0000E7A70000}"/>
    <cellStyle name="Output 2 2 5 4 12" xfId="45718" xr:uid="{00000000-0005-0000-0000-0000E8A70000}"/>
    <cellStyle name="Output 2 2 5 4 2" xfId="6757" xr:uid="{00000000-0005-0000-0000-0000E9A70000}"/>
    <cellStyle name="Output 2 2 5 4 3" xfId="11184" xr:uid="{00000000-0005-0000-0000-0000EAA70000}"/>
    <cellStyle name="Output 2 2 5 4 4" xfId="15029" xr:uid="{00000000-0005-0000-0000-0000EBA70000}"/>
    <cellStyle name="Output 2 2 5 4 5" xfId="18871" xr:uid="{00000000-0005-0000-0000-0000ECA70000}"/>
    <cellStyle name="Output 2 2 5 4 6" xfId="22797" xr:uid="{00000000-0005-0000-0000-0000EDA70000}"/>
    <cellStyle name="Output 2 2 5 4 7" xfId="26622" xr:uid="{00000000-0005-0000-0000-0000EEA70000}"/>
    <cellStyle name="Output 2 2 5 4 8" xfId="30498" xr:uid="{00000000-0005-0000-0000-0000EFA70000}"/>
    <cellStyle name="Output 2 2 5 4 9" xfId="34156" xr:uid="{00000000-0005-0000-0000-0000F0A70000}"/>
    <cellStyle name="Output 2 2 5 5" xfId="4833" xr:uid="{00000000-0005-0000-0000-0000F1A70000}"/>
    <cellStyle name="Output 2 2 5 6" xfId="9187" xr:uid="{00000000-0005-0000-0000-0000F2A70000}"/>
    <cellStyle name="Output 2 2 5 7" xfId="13028" xr:uid="{00000000-0005-0000-0000-0000F3A70000}"/>
    <cellStyle name="Output 2 2 5 8" xfId="16853" xr:uid="{00000000-0005-0000-0000-0000F4A70000}"/>
    <cellStyle name="Output 2 2 5 9" xfId="20795" xr:uid="{00000000-0005-0000-0000-0000F5A70000}"/>
    <cellStyle name="Output 2 2 6" xfId="933" xr:uid="{00000000-0005-0000-0000-0000F6A70000}"/>
    <cellStyle name="Output 2 2 6 10" xfId="28545" xr:uid="{00000000-0005-0000-0000-0000F7A70000}"/>
    <cellStyle name="Output 2 2 6 11" xfId="32234" xr:uid="{00000000-0005-0000-0000-0000F8A70000}"/>
    <cellStyle name="Output 2 2 6 12" xfId="35991" xr:uid="{00000000-0005-0000-0000-0000F9A70000}"/>
    <cellStyle name="Output 2 2 6 13" xfId="39999" xr:uid="{00000000-0005-0000-0000-0000FAA70000}"/>
    <cellStyle name="Output 2 2 6 14" xfId="43817" xr:uid="{00000000-0005-0000-0000-0000FBA70000}"/>
    <cellStyle name="Output 2 2 6 2" xfId="1664" xr:uid="{00000000-0005-0000-0000-0000FCA70000}"/>
    <cellStyle name="Output 2 2 6 2 10" xfId="32951" xr:uid="{00000000-0005-0000-0000-0000FDA70000}"/>
    <cellStyle name="Output 2 2 6 2 11" xfId="36721" xr:uid="{00000000-0005-0000-0000-0000FEA70000}"/>
    <cellStyle name="Output 2 2 6 2 12" xfId="40712" xr:uid="{00000000-0005-0000-0000-0000FFA70000}"/>
    <cellStyle name="Output 2 2 6 2 13" xfId="44543" xr:uid="{00000000-0005-0000-0000-000000A80000}"/>
    <cellStyle name="Output 2 2 6 2 2" xfId="3654" xr:uid="{00000000-0005-0000-0000-000001A80000}"/>
    <cellStyle name="Output 2 2 6 2 2 10" xfId="38705" xr:uid="{00000000-0005-0000-0000-000002A80000}"/>
    <cellStyle name="Output 2 2 6 2 2 11" xfId="42716" xr:uid="{00000000-0005-0000-0000-000003A80000}"/>
    <cellStyle name="Output 2 2 6 2 2 12" xfId="46481" xr:uid="{00000000-0005-0000-0000-000004A80000}"/>
    <cellStyle name="Output 2 2 6 2 2 2" xfId="7521" xr:uid="{00000000-0005-0000-0000-000005A80000}"/>
    <cellStyle name="Output 2 2 6 2 2 3" xfId="11956" xr:uid="{00000000-0005-0000-0000-000006A80000}"/>
    <cellStyle name="Output 2 2 6 2 2 4" xfId="15801" xr:uid="{00000000-0005-0000-0000-000007A80000}"/>
    <cellStyle name="Output 2 2 6 2 2 5" xfId="19648" xr:uid="{00000000-0005-0000-0000-000008A80000}"/>
    <cellStyle name="Output 2 2 6 2 2 6" xfId="23564" xr:uid="{00000000-0005-0000-0000-000009A80000}"/>
    <cellStyle name="Output 2 2 6 2 2 7" xfId="27398" xr:uid="{00000000-0005-0000-0000-00000AA80000}"/>
    <cellStyle name="Output 2 2 6 2 2 8" xfId="31262" xr:uid="{00000000-0005-0000-0000-00000BA80000}"/>
    <cellStyle name="Output 2 2 6 2 2 9" xfId="34919" xr:uid="{00000000-0005-0000-0000-00000CA80000}"/>
    <cellStyle name="Output 2 2 6 2 3" xfId="5597" xr:uid="{00000000-0005-0000-0000-00000DA80000}"/>
    <cellStyle name="Output 2 2 6 2 4" xfId="9955" xr:uid="{00000000-0005-0000-0000-00000EA80000}"/>
    <cellStyle name="Output 2 2 6 2 5" xfId="13801" xr:uid="{00000000-0005-0000-0000-00000FA80000}"/>
    <cellStyle name="Output 2 2 6 2 6" xfId="17630" xr:uid="{00000000-0005-0000-0000-000010A80000}"/>
    <cellStyle name="Output 2 2 6 2 7" xfId="21569" xr:uid="{00000000-0005-0000-0000-000011A80000}"/>
    <cellStyle name="Output 2 2 6 2 8" xfId="25382" xr:uid="{00000000-0005-0000-0000-000012A80000}"/>
    <cellStyle name="Output 2 2 6 2 9" xfId="29269" xr:uid="{00000000-0005-0000-0000-000013A80000}"/>
    <cellStyle name="Output 2 2 6 3" xfId="2923" xr:uid="{00000000-0005-0000-0000-000014A80000}"/>
    <cellStyle name="Output 2 2 6 3 10" xfId="37975" xr:uid="{00000000-0005-0000-0000-000015A80000}"/>
    <cellStyle name="Output 2 2 6 3 11" xfId="41987" xr:uid="{00000000-0005-0000-0000-000016A80000}"/>
    <cellStyle name="Output 2 2 6 3 12" xfId="45764" xr:uid="{00000000-0005-0000-0000-000017A80000}"/>
    <cellStyle name="Output 2 2 6 3 2" xfId="6803" xr:uid="{00000000-0005-0000-0000-000018A80000}"/>
    <cellStyle name="Output 2 2 6 3 3" xfId="11230" xr:uid="{00000000-0005-0000-0000-000019A80000}"/>
    <cellStyle name="Output 2 2 6 3 4" xfId="15075" xr:uid="{00000000-0005-0000-0000-00001AA80000}"/>
    <cellStyle name="Output 2 2 6 3 5" xfId="18917" xr:uid="{00000000-0005-0000-0000-00001BA80000}"/>
    <cellStyle name="Output 2 2 6 3 6" xfId="22843" xr:uid="{00000000-0005-0000-0000-00001CA80000}"/>
    <cellStyle name="Output 2 2 6 3 7" xfId="26668" xr:uid="{00000000-0005-0000-0000-00001DA80000}"/>
    <cellStyle name="Output 2 2 6 3 8" xfId="30543" xr:uid="{00000000-0005-0000-0000-00001EA80000}"/>
    <cellStyle name="Output 2 2 6 3 9" xfId="34202" xr:uid="{00000000-0005-0000-0000-00001FA80000}"/>
    <cellStyle name="Output 2 2 6 4" xfId="4879" xr:uid="{00000000-0005-0000-0000-000020A80000}"/>
    <cellStyle name="Output 2 2 6 5" xfId="9233" xr:uid="{00000000-0005-0000-0000-000021A80000}"/>
    <cellStyle name="Output 2 2 6 6" xfId="13074" xr:uid="{00000000-0005-0000-0000-000022A80000}"/>
    <cellStyle name="Output 2 2 6 7" xfId="16899" xr:uid="{00000000-0005-0000-0000-000023A80000}"/>
    <cellStyle name="Output 2 2 6 8" xfId="20841" xr:uid="{00000000-0005-0000-0000-000024A80000}"/>
    <cellStyle name="Output 2 2 6 9" xfId="24657" xr:uid="{00000000-0005-0000-0000-000025A80000}"/>
    <cellStyle name="Output 2 2 7" xfId="1311" xr:uid="{00000000-0005-0000-0000-000026A80000}"/>
    <cellStyle name="Output 2 2 7 10" xfId="32598" xr:uid="{00000000-0005-0000-0000-000027A80000}"/>
    <cellStyle name="Output 2 2 7 11" xfId="36368" xr:uid="{00000000-0005-0000-0000-000028A80000}"/>
    <cellStyle name="Output 2 2 7 12" xfId="40359" xr:uid="{00000000-0005-0000-0000-000029A80000}"/>
    <cellStyle name="Output 2 2 7 13" xfId="44190" xr:uid="{00000000-0005-0000-0000-00002AA80000}"/>
    <cellStyle name="Output 2 2 7 2" xfId="3301" xr:uid="{00000000-0005-0000-0000-00002BA80000}"/>
    <cellStyle name="Output 2 2 7 2 10" xfId="38352" xr:uid="{00000000-0005-0000-0000-00002CA80000}"/>
    <cellStyle name="Output 2 2 7 2 11" xfId="42363" xr:uid="{00000000-0005-0000-0000-00002DA80000}"/>
    <cellStyle name="Output 2 2 7 2 12" xfId="46128" xr:uid="{00000000-0005-0000-0000-00002EA80000}"/>
    <cellStyle name="Output 2 2 7 2 2" xfId="7168" xr:uid="{00000000-0005-0000-0000-00002FA80000}"/>
    <cellStyle name="Output 2 2 7 2 3" xfId="11603" xr:uid="{00000000-0005-0000-0000-000030A80000}"/>
    <cellStyle name="Output 2 2 7 2 4" xfId="15448" xr:uid="{00000000-0005-0000-0000-000031A80000}"/>
    <cellStyle name="Output 2 2 7 2 5" xfId="19295" xr:uid="{00000000-0005-0000-0000-000032A80000}"/>
    <cellStyle name="Output 2 2 7 2 6" xfId="23211" xr:uid="{00000000-0005-0000-0000-000033A80000}"/>
    <cellStyle name="Output 2 2 7 2 7" xfId="27045" xr:uid="{00000000-0005-0000-0000-000034A80000}"/>
    <cellStyle name="Output 2 2 7 2 8" xfId="30914" xr:uid="{00000000-0005-0000-0000-000035A80000}"/>
    <cellStyle name="Output 2 2 7 2 9" xfId="34566" xr:uid="{00000000-0005-0000-0000-000036A80000}"/>
    <cellStyle name="Output 2 2 7 3" xfId="5244" xr:uid="{00000000-0005-0000-0000-000037A80000}"/>
    <cellStyle name="Output 2 2 7 4" xfId="9602" xr:uid="{00000000-0005-0000-0000-000038A80000}"/>
    <cellStyle name="Output 2 2 7 5" xfId="13448" xr:uid="{00000000-0005-0000-0000-000039A80000}"/>
    <cellStyle name="Output 2 2 7 6" xfId="17277" xr:uid="{00000000-0005-0000-0000-00003AA80000}"/>
    <cellStyle name="Output 2 2 7 7" xfId="21216" xr:uid="{00000000-0005-0000-0000-00003BA80000}"/>
    <cellStyle name="Output 2 2 7 8" xfId="25029" xr:uid="{00000000-0005-0000-0000-00003CA80000}"/>
    <cellStyle name="Output 2 2 7 9" xfId="28916" xr:uid="{00000000-0005-0000-0000-00003DA80000}"/>
    <cellStyle name="Output 2 2 8" xfId="2006" xr:uid="{00000000-0005-0000-0000-00003EA80000}"/>
    <cellStyle name="Output 2 2 8 10" xfId="33293" xr:uid="{00000000-0005-0000-0000-00003FA80000}"/>
    <cellStyle name="Output 2 2 8 11" xfId="37062" xr:uid="{00000000-0005-0000-0000-000040A80000}"/>
    <cellStyle name="Output 2 2 8 12" xfId="41054" xr:uid="{00000000-0005-0000-0000-000041A80000}"/>
    <cellStyle name="Output 2 2 8 13" xfId="44884" xr:uid="{00000000-0005-0000-0000-000042A80000}"/>
    <cellStyle name="Output 2 2 8 2" xfId="3995" xr:uid="{00000000-0005-0000-0000-000043A80000}"/>
    <cellStyle name="Output 2 2 8 2 10" xfId="39046" xr:uid="{00000000-0005-0000-0000-000044A80000}"/>
    <cellStyle name="Output 2 2 8 2 11" xfId="43057" xr:uid="{00000000-0005-0000-0000-000045A80000}"/>
    <cellStyle name="Output 2 2 8 2 12" xfId="46822" xr:uid="{00000000-0005-0000-0000-000046A80000}"/>
    <cellStyle name="Output 2 2 8 2 2" xfId="7862" xr:uid="{00000000-0005-0000-0000-000047A80000}"/>
    <cellStyle name="Output 2 2 8 2 3" xfId="12297" xr:uid="{00000000-0005-0000-0000-000048A80000}"/>
    <cellStyle name="Output 2 2 8 2 4" xfId="16142" xr:uid="{00000000-0005-0000-0000-000049A80000}"/>
    <cellStyle name="Output 2 2 8 2 5" xfId="19989" xr:uid="{00000000-0005-0000-0000-00004AA80000}"/>
    <cellStyle name="Output 2 2 8 2 6" xfId="23905" xr:uid="{00000000-0005-0000-0000-00004BA80000}"/>
    <cellStyle name="Output 2 2 8 2 7" xfId="27739" xr:uid="{00000000-0005-0000-0000-00004CA80000}"/>
    <cellStyle name="Output 2 2 8 2 8" xfId="31599" xr:uid="{00000000-0005-0000-0000-00004DA80000}"/>
    <cellStyle name="Output 2 2 8 2 9" xfId="35260" xr:uid="{00000000-0005-0000-0000-00004EA80000}"/>
    <cellStyle name="Output 2 2 8 3" xfId="5938" xr:uid="{00000000-0005-0000-0000-00004FA80000}"/>
    <cellStyle name="Output 2 2 8 4" xfId="10296" xr:uid="{00000000-0005-0000-0000-000050A80000}"/>
    <cellStyle name="Output 2 2 8 5" xfId="14143" xr:uid="{00000000-0005-0000-0000-000051A80000}"/>
    <cellStyle name="Output 2 2 8 6" xfId="17972" xr:uid="{00000000-0005-0000-0000-000052A80000}"/>
    <cellStyle name="Output 2 2 8 7" xfId="21911" xr:uid="{00000000-0005-0000-0000-000053A80000}"/>
    <cellStyle name="Output 2 2 8 8" xfId="25724" xr:uid="{00000000-0005-0000-0000-000054A80000}"/>
    <cellStyle name="Output 2 2 8 9" xfId="29611" xr:uid="{00000000-0005-0000-0000-000055A80000}"/>
    <cellStyle name="Output 2 2 9" xfId="2053" xr:uid="{00000000-0005-0000-0000-000056A80000}"/>
    <cellStyle name="Output 2 2 9 10" xfId="33337" xr:uid="{00000000-0005-0000-0000-000057A80000}"/>
    <cellStyle name="Output 2 2 9 11" xfId="37109" xr:uid="{00000000-0005-0000-0000-000058A80000}"/>
    <cellStyle name="Output 2 2 9 12" xfId="41099" xr:uid="{00000000-0005-0000-0000-000059A80000}"/>
    <cellStyle name="Output 2 2 9 13" xfId="44928" xr:uid="{00000000-0005-0000-0000-00005AA80000}"/>
    <cellStyle name="Output 2 2 9 2" xfId="4042" xr:uid="{00000000-0005-0000-0000-00005BA80000}"/>
    <cellStyle name="Output 2 2 9 2 10" xfId="39093" xr:uid="{00000000-0005-0000-0000-00005CA80000}"/>
    <cellStyle name="Output 2 2 9 2 11" xfId="43103" xr:uid="{00000000-0005-0000-0000-00005DA80000}"/>
    <cellStyle name="Output 2 2 9 2 12" xfId="46866" xr:uid="{00000000-0005-0000-0000-00005EA80000}"/>
    <cellStyle name="Output 2 2 9 2 2" xfId="7907" xr:uid="{00000000-0005-0000-0000-00005FA80000}"/>
    <cellStyle name="Output 2 2 9 2 3" xfId="12342" xr:uid="{00000000-0005-0000-0000-000060A80000}"/>
    <cellStyle name="Output 2 2 9 2 4" xfId="16188" xr:uid="{00000000-0005-0000-0000-000061A80000}"/>
    <cellStyle name="Output 2 2 9 2 5" xfId="20036" xr:uid="{00000000-0005-0000-0000-000062A80000}"/>
    <cellStyle name="Output 2 2 9 2 6" xfId="23951" xr:uid="{00000000-0005-0000-0000-000063A80000}"/>
    <cellStyle name="Output 2 2 9 2 7" xfId="27786" xr:uid="{00000000-0005-0000-0000-000064A80000}"/>
    <cellStyle name="Output 2 2 9 2 8" xfId="31645" xr:uid="{00000000-0005-0000-0000-000065A80000}"/>
    <cellStyle name="Output 2 2 9 2 9" xfId="35304" xr:uid="{00000000-0005-0000-0000-000066A80000}"/>
    <cellStyle name="Output 2 2 9 3" xfId="5983" xr:uid="{00000000-0005-0000-0000-000067A80000}"/>
    <cellStyle name="Output 2 2 9 4" xfId="10341" xr:uid="{00000000-0005-0000-0000-000068A80000}"/>
    <cellStyle name="Output 2 2 9 5" xfId="14189" xr:uid="{00000000-0005-0000-0000-000069A80000}"/>
    <cellStyle name="Output 2 2 9 6" xfId="18019" xr:uid="{00000000-0005-0000-0000-00006AA80000}"/>
    <cellStyle name="Output 2 2 9 7" xfId="21957" xr:uid="{00000000-0005-0000-0000-00006BA80000}"/>
    <cellStyle name="Output 2 2 9 8" xfId="25771" xr:uid="{00000000-0005-0000-0000-00006CA80000}"/>
    <cellStyle name="Output 2 2 9 9" xfId="29657" xr:uid="{00000000-0005-0000-0000-00006DA80000}"/>
    <cellStyle name="Output 2 20" xfId="8566" xr:uid="{00000000-0005-0000-0000-00006EA80000}"/>
    <cellStyle name="Output 2 21" xfId="9058" xr:uid="{00000000-0005-0000-0000-00006FA80000}"/>
    <cellStyle name="Output 2 22" xfId="8568" xr:uid="{00000000-0005-0000-0000-000070A80000}"/>
    <cellStyle name="Output 2 23" xfId="8611" xr:uid="{00000000-0005-0000-0000-000071A80000}"/>
    <cellStyle name="Output 2 24" xfId="39601" xr:uid="{00000000-0005-0000-0000-000072A80000}"/>
    <cellStyle name="Output 2 25" xfId="47324" xr:uid="{00000000-0005-0000-0000-000073A80000}"/>
    <cellStyle name="Output 2 26" xfId="47413" xr:uid="{00000000-0005-0000-0000-000074A80000}"/>
    <cellStyle name="Output 2 27" xfId="47634" xr:uid="{00000000-0005-0000-0000-000075A80000}"/>
    <cellStyle name="Output 2 3" xfId="585" xr:uid="{00000000-0005-0000-0000-000076A80000}"/>
    <cellStyle name="Output 2 3 10" xfId="8662" xr:uid="{00000000-0005-0000-0000-000077A80000}"/>
    <cellStyle name="Output 2 3 11" xfId="22663" xr:uid="{00000000-0005-0000-0000-000078A80000}"/>
    <cellStyle name="Output 2 3 12" xfId="31355" xr:uid="{00000000-0005-0000-0000-000079A80000}"/>
    <cellStyle name="Output 2 3 13" xfId="21158" xr:uid="{00000000-0005-0000-0000-00007AA80000}"/>
    <cellStyle name="Output 2 3 14" xfId="39682" xr:uid="{00000000-0005-0000-0000-00007BA80000}"/>
    <cellStyle name="Output 2 3 15" xfId="41144" xr:uid="{00000000-0005-0000-0000-00007CA80000}"/>
    <cellStyle name="Output 2 3 2" xfId="965" xr:uid="{00000000-0005-0000-0000-00007DA80000}"/>
    <cellStyle name="Output 2 3 2 10" xfId="28576" xr:uid="{00000000-0005-0000-0000-00007EA80000}"/>
    <cellStyle name="Output 2 3 2 11" xfId="32266" xr:uid="{00000000-0005-0000-0000-00007FA80000}"/>
    <cellStyle name="Output 2 3 2 12" xfId="36023" xr:uid="{00000000-0005-0000-0000-000080A80000}"/>
    <cellStyle name="Output 2 3 2 13" xfId="40030" xr:uid="{00000000-0005-0000-0000-000081A80000}"/>
    <cellStyle name="Output 2 3 2 14" xfId="43849" xr:uid="{00000000-0005-0000-0000-000082A80000}"/>
    <cellStyle name="Output 2 3 2 2" xfId="1696" xr:uid="{00000000-0005-0000-0000-000083A80000}"/>
    <cellStyle name="Output 2 3 2 2 10" xfId="32983" xr:uid="{00000000-0005-0000-0000-000084A80000}"/>
    <cellStyle name="Output 2 3 2 2 11" xfId="36753" xr:uid="{00000000-0005-0000-0000-000085A80000}"/>
    <cellStyle name="Output 2 3 2 2 12" xfId="40744" xr:uid="{00000000-0005-0000-0000-000086A80000}"/>
    <cellStyle name="Output 2 3 2 2 13" xfId="44575" xr:uid="{00000000-0005-0000-0000-000087A80000}"/>
    <cellStyle name="Output 2 3 2 2 2" xfId="3686" xr:uid="{00000000-0005-0000-0000-000088A80000}"/>
    <cellStyle name="Output 2 3 2 2 2 10" xfId="38737" xr:uid="{00000000-0005-0000-0000-000089A80000}"/>
    <cellStyle name="Output 2 3 2 2 2 11" xfId="42748" xr:uid="{00000000-0005-0000-0000-00008AA80000}"/>
    <cellStyle name="Output 2 3 2 2 2 12" xfId="46513" xr:uid="{00000000-0005-0000-0000-00008BA80000}"/>
    <cellStyle name="Output 2 3 2 2 2 2" xfId="7553" xr:uid="{00000000-0005-0000-0000-00008CA80000}"/>
    <cellStyle name="Output 2 3 2 2 2 3" xfId="11988" xr:uid="{00000000-0005-0000-0000-00008DA80000}"/>
    <cellStyle name="Output 2 3 2 2 2 4" xfId="15833" xr:uid="{00000000-0005-0000-0000-00008EA80000}"/>
    <cellStyle name="Output 2 3 2 2 2 5" xfId="19680" xr:uid="{00000000-0005-0000-0000-00008FA80000}"/>
    <cellStyle name="Output 2 3 2 2 2 6" xfId="23596" xr:uid="{00000000-0005-0000-0000-000090A80000}"/>
    <cellStyle name="Output 2 3 2 2 2 7" xfId="27430" xr:uid="{00000000-0005-0000-0000-000091A80000}"/>
    <cellStyle name="Output 2 3 2 2 2 8" xfId="31294" xr:uid="{00000000-0005-0000-0000-000092A80000}"/>
    <cellStyle name="Output 2 3 2 2 2 9" xfId="34951" xr:uid="{00000000-0005-0000-0000-000093A80000}"/>
    <cellStyle name="Output 2 3 2 2 3" xfId="5629" xr:uid="{00000000-0005-0000-0000-000094A80000}"/>
    <cellStyle name="Output 2 3 2 2 4" xfId="9987" xr:uid="{00000000-0005-0000-0000-000095A80000}"/>
    <cellStyle name="Output 2 3 2 2 5" xfId="13833" xr:uid="{00000000-0005-0000-0000-000096A80000}"/>
    <cellStyle name="Output 2 3 2 2 6" xfId="17662" xr:uid="{00000000-0005-0000-0000-000097A80000}"/>
    <cellStyle name="Output 2 3 2 2 7" xfId="21601" xr:uid="{00000000-0005-0000-0000-000098A80000}"/>
    <cellStyle name="Output 2 3 2 2 8" xfId="25414" xr:uid="{00000000-0005-0000-0000-000099A80000}"/>
    <cellStyle name="Output 2 3 2 2 9" xfId="29301" xr:uid="{00000000-0005-0000-0000-00009AA80000}"/>
    <cellStyle name="Output 2 3 2 3" xfId="2955" xr:uid="{00000000-0005-0000-0000-00009BA80000}"/>
    <cellStyle name="Output 2 3 2 3 10" xfId="38007" xr:uid="{00000000-0005-0000-0000-00009CA80000}"/>
    <cellStyle name="Output 2 3 2 3 11" xfId="42019" xr:uid="{00000000-0005-0000-0000-00009DA80000}"/>
    <cellStyle name="Output 2 3 2 3 12" xfId="45796" xr:uid="{00000000-0005-0000-0000-00009EA80000}"/>
    <cellStyle name="Output 2 3 2 3 2" xfId="6835" xr:uid="{00000000-0005-0000-0000-00009FA80000}"/>
    <cellStyle name="Output 2 3 2 3 3" xfId="11262" xr:uid="{00000000-0005-0000-0000-0000A0A80000}"/>
    <cellStyle name="Output 2 3 2 3 4" xfId="15107" xr:uid="{00000000-0005-0000-0000-0000A1A80000}"/>
    <cellStyle name="Output 2 3 2 3 5" xfId="18949" xr:uid="{00000000-0005-0000-0000-0000A2A80000}"/>
    <cellStyle name="Output 2 3 2 3 6" xfId="22875" xr:uid="{00000000-0005-0000-0000-0000A3A80000}"/>
    <cellStyle name="Output 2 3 2 3 7" xfId="26700" xr:uid="{00000000-0005-0000-0000-0000A4A80000}"/>
    <cellStyle name="Output 2 3 2 3 8" xfId="30574" xr:uid="{00000000-0005-0000-0000-0000A5A80000}"/>
    <cellStyle name="Output 2 3 2 3 9" xfId="34234" xr:uid="{00000000-0005-0000-0000-0000A6A80000}"/>
    <cellStyle name="Output 2 3 2 4" xfId="4911" xr:uid="{00000000-0005-0000-0000-0000A7A80000}"/>
    <cellStyle name="Output 2 3 2 5" xfId="9265" xr:uid="{00000000-0005-0000-0000-0000A8A80000}"/>
    <cellStyle name="Output 2 3 2 6" xfId="13106" xr:uid="{00000000-0005-0000-0000-0000A9A80000}"/>
    <cellStyle name="Output 2 3 2 7" xfId="16931" xr:uid="{00000000-0005-0000-0000-0000AAA80000}"/>
    <cellStyle name="Output 2 3 2 8" xfId="20873" xr:uid="{00000000-0005-0000-0000-0000ABA80000}"/>
    <cellStyle name="Output 2 3 2 9" xfId="24689" xr:uid="{00000000-0005-0000-0000-0000ACA80000}"/>
    <cellStyle name="Output 2 3 3" xfId="1343" xr:uid="{00000000-0005-0000-0000-0000ADA80000}"/>
    <cellStyle name="Output 2 3 3 10" xfId="32630" xr:uid="{00000000-0005-0000-0000-0000AEA80000}"/>
    <cellStyle name="Output 2 3 3 11" xfId="36400" xr:uid="{00000000-0005-0000-0000-0000AFA80000}"/>
    <cellStyle name="Output 2 3 3 12" xfId="40391" xr:uid="{00000000-0005-0000-0000-0000B0A80000}"/>
    <cellStyle name="Output 2 3 3 13" xfId="44222" xr:uid="{00000000-0005-0000-0000-0000B1A80000}"/>
    <cellStyle name="Output 2 3 3 2" xfId="3333" xr:uid="{00000000-0005-0000-0000-0000B2A80000}"/>
    <cellStyle name="Output 2 3 3 2 10" xfId="38384" xr:uid="{00000000-0005-0000-0000-0000B3A80000}"/>
    <cellStyle name="Output 2 3 3 2 11" xfId="42395" xr:uid="{00000000-0005-0000-0000-0000B4A80000}"/>
    <cellStyle name="Output 2 3 3 2 12" xfId="46160" xr:uid="{00000000-0005-0000-0000-0000B5A80000}"/>
    <cellStyle name="Output 2 3 3 2 2" xfId="7200" xr:uid="{00000000-0005-0000-0000-0000B6A80000}"/>
    <cellStyle name="Output 2 3 3 2 3" xfId="11635" xr:uid="{00000000-0005-0000-0000-0000B7A80000}"/>
    <cellStyle name="Output 2 3 3 2 4" xfId="15480" xr:uid="{00000000-0005-0000-0000-0000B8A80000}"/>
    <cellStyle name="Output 2 3 3 2 5" xfId="19327" xr:uid="{00000000-0005-0000-0000-0000B9A80000}"/>
    <cellStyle name="Output 2 3 3 2 6" xfId="23243" xr:uid="{00000000-0005-0000-0000-0000BAA80000}"/>
    <cellStyle name="Output 2 3 3 2 7" xfId="27077" xr:uid="{00000000-0005-0000-0000-0000BBA80000}"/>
    <cellStyle name="Output 2 3 3 2 8" xfId="30945" xr:uid="{00000000-0005-0000-0000-0000BCA80000}"/>
    <cellStyle name="Output 2 3 3 2 9" xfId="34598" xr:uid="{00000000-0005-0000-0000-0000BDA80000}"/>
    <cellStyle name="Output 2 3 3 3" xfId="5276" xr:uid="{00000000-0005-0000-0000-0000BEA80000}"/>
    <cellStyle name="Output 2 3 3 4" xfId="9634" xr:uid="{00000000-0005-0000-0000-0000BFA80000}"/>
    <cellStyle name="Output 2 3 3 5" xfId="13480" xr:uid="{00000000-0005-0000-0000-0000C0A80000}"/>
    <cellStyle name="Output 2 3 3 6" xfId="17309" xr:uid="{00000000-0005-0000-0000-0000C1A80000}"/>
    <cellStyle name="Output 2 3 3 7" xfId="21248" xr:uid="{00000000-0005-0000-0000-0000C2A80000}"/>
    <cellStyle name="Output 2 3 3 8" xfId="25061" xr:uid="{00000000-0005-0000-0000-0000C3A80000}"/>
    <cellStyle name="Output 2 3 3 9" xfId="28948" xr:uid="{00000000-0005-0000-0000-0000C4A80000}"/>
    <cellStyle name="Output 2 3 4" xfId="2588" xr:uid="{00000000-0005-0000-0000-0000C5A80000}"/>
    <cellStyle name="Output 2 3 4 10" xfId="37640" xr:uid="{00000000-0005-0000-0000-0000C6A80000}"/>
    <cellStyle name="Output 2 3 4 11" xfId="41654" xr:uid="{00000000-0005-0000-0000-0000C7A80000}"/>
    <cellStyle name="Output 2 3 4 12" xfId="45443" xr:uid="{00000000-0005-0000-0000-0000C8A80000}"/>
    <cellStyle name="Output 2 3 4 2" xfId="6480" xr:uid="{00000000-0005-0000-0000-0000C9A80000}"/>
    <cellStyle name="Output 2 3 4 3" xfId="10903" xr:uid="{00000000-0005-0000-0000-0000CAA80000}"/>
    <cellStyle name="Output 2 3 4 4" xfId="14747" xr:uid="{00000000-0005-0000-0000-0000CBA80000}"/>
    <cellStyle name="Output 2 3 4 5" xfId="18582" xr:uid="{00000000-0005-0000-0000-0000CCA80000}"/>
    <cellStyle name="Output 2 3 4 6" xfId="22517" xr:uid="{00000000-0005-0000-0000-0000CDA80000}"/>
    <cellStyle name="Output 2 3 4 7" xfId="26333" xr:uid="{00000000-0005-0000-0000-0000CEA80000}"/>
    <cellStyle name="Output 2 3 4 8" xfId="30212" xr:uid="{00000000-0005-0000-0000-0000CFA80000}"/>
    <cellStyle name="Output 2 3 4 9" xfId="33881" xr:uid="{00000000-0005-0000-0000-0000D0A80000}"/>
    <cellStyle name="Output 2 3 5" xfId="4556" xr:uid="{00000000-0005-0000-0000-0000D1A80000}"/>
    <cellStyle name="Output 2 3 6" xfId="8895" xr:uid="{00000000-0005-0000-0000-0000D2A80000}"/>
    <cellStyle name="Output 2 3 7" xfId="8677" xr:uid="{00000000-0005-0000-0000-0000D3A80000}"/>
    <cellStyle name="Output 2 3 8" xfId="8488" xr:uid="{00000000-0005-0000-0000-0000D4A80000}"/>
    <cellStyle name="Output 2 3 9" xfId="20498" xr:uid="{00000000-0005-0000-0000-0000D5A80000}"/>
    <cellStyle name="Output 2 4" xfId="757" xr:uid="{00000000-0005-0000-0000-0000D6A80000}"/>
    <cellStyle name="Output 2 4 10" xfId="24486" xr:uid="{00000000-0005-0000-0000-0000D7A80000}"/>
    <cellStyle name="Output 2 4 11" xfId="28376" xr:uid="{00000000-0005-0000-0000-0000D8A80000}"/>
    <cellStyle name="Output 2 4 12" xfId="8449" xr:uid="{00000000-0005-0000-0000-0000D9A80000}"/>
    <cellStyle name="Output 2 4 13" xfId="35821" xr:uid="{00000000-0005-0000-0000-0000DAA80000}"/>
    <cellStyle name="Output 2 4 14" xfId="39840" xr:uid="{00000000-0005-0000-0000-0000DBA80000}"/>
    <cellStyle name="Output 2 4 15" xfId="43647" xr:uid="{00000000-0005-0000-0000-0000DCA80000}"/>
    <cellStyle name="Output 2 4 2" xfId="1127" xr:uid="{00000000-0005-0000-0000-0000DDA80000}"/>
    <cellStyle name="Output 2 4 2 10" xfId="28736" xr:uid="{00000000-0005-0000-0000-0000DEA80000}"/>
    <cellStyle name="Output 2 4 2 11" xfId="32424" xr:uid="{00000000-0005-0000-0000-0000DFA80000}"/>
    <cellStyle name="Output 2 4 2 12" xfId="36185" xr:uid="{00000000-0005-0000-0000-0000E0A80000}"/>
    <cellStyle name="Output 2 4 2 13" xfId="40186" xr:uid="{00000000-0005-0000-0000-0000E1A80000}"/>
    <cellStyle name="Output 2 4 2 14" xfId="44011" xr:uid="{00000000-0005-0000-0000-0000E2A80000}"/>
    <cellStyle name="Output 2 4 2 2" xfId="1854" xr:uid="{00000000-0005-0000-0000-0000E3A80000}"/>
    <cellStyle name="Output 2 4 2 2 10" xfId="33141" xr:uid="{00000000-0005-0000-0000-0000E4A80000}"/>
    <cellStyle name="Output 2 4 2 2 11" xfId="36911" xr:uid="{00000000-0005-0000-0000-0000E5A80000}"/>
    <cellStyle name="Output 2 4 2 2 12" xfId="40902" xr:uid="{00000000-0005-0000-0000-0000E6A80000}"/>
    <cellStyle name="Output 2 4 2 2 13" xfId="44733" xr:uid="{00000000-0005-0000-0000-0000E7A80000}"/>
    <cellStyle name="Output 2 4 2 2 2" xfId="3844" xr:uid="{00000000-0005-0000-0000-0000E8A80000}"/>
    <cellStyle name="Output 2 4 2 2 2 10" xfId="38895" xr:uid="{00000000-0005-0000-0000-0000E9A80000}"/>
    <cellStyle name="Output 2 4 2 2 2 11" xfId="42906" xr:uid="{00000000-0005-0000-0000-0000EAA80000}"/>
    <cellStyle name="Output 2 4 2 2 2 12" xfId="46671" xr:uid="{00000000-0005-0000-0000-0000EBA80000}"/>
    <cellStyle name="Output 2 4 2 2 2 2" xfId="7711" xr:uid="{00000000-0005-0000-0000-0000ECA80000}"/>
    <cellStyle name="Output 2 4 2 2 2 3" xfId="12146" xr:uid="{00000000-0005-0000-0000-0000EDA80000}"/>
    <cellStyle name="Output 2 4 2 2 2 4" xfId="15991" xr:uid="{00000000-0005-0000-0000-0000EEA80000}"/>
    <cellStyle name="Output 2 4 2 2 2 5" xfId="19838" xr:uid="{00000000-0005-0000-0000-0000EFA80000}"/>
    <cellStyle name="Output 2 4 2 2 2 6" xfId="23754" xr:uid="{00000000-0005-0000-0000-0000F0A80000}"/>
    <cellStyle name="Output 2 4 2 2 2 7" xfId="27588" xr:uid="{00000000-0005-0000-0000-0000F1A80000}"/>
    <cellStyle name="Output 2 4 2 2 2 8" xfId="31451" xr:uid="{00000000-0005-0000-0000-0000F2A80000}"/>
    <cellStyle name="Output 2 4 2 2 2 9" xfId="35109" xr:uid="{00000000-0005-0000-0000-0000F3A80000}"/>
    <cellStyle name="Output 2 4 2 2 3" xfId="5787" xr:uid="{00000000-0005-0000-0000-0000F4A80000}"/>
    <cellStyle name="Output 2 4 2 2 4" xfId="10145" xr:uid="{00000000-0005-0000-0000-0000F5A80000}"/>
    <cellStyle name="Output 2 4 2 2 5" xfId="13991" xr:uid="{00000000-0005-0000-0000-0000F6A80000}"/>
    <cellStyle name="Output 2 4 2 2 6" xfId="17820" xr:uid="{00000000-0005-0000-0000-0000F7A80000}"/>
    <cellStyle name="Output 2 4 2 2 7" xfId="21759" xr:uid="{00000000-0005-0000-0000-0000F8A80000}"/>
    <cellStyle name="Output 2 4 2 2 8" xfId="25572" xr:uid="{00000000-0005-0000-0000-0000F9A80000}"/>
    <cellStyle name="Output 2 4 2 2 9" xfId="29459" xr:uid="{00000000-0005-0000-0000-0000FAA80000}"/>
    <cellStyle name="Output 2 4 2 3" xfId="3117" xr:uid="{00000000-0005-0000-0000-0000FBA80000}"/>
    <cellStyle name="Output 2 4 2 3 10" xfId="38169" xr:uid="{00000000-0005-0000-0000-0000FCA80000}"/>
    <cellStyle name="Output 2 4 2 3 11" xfId="42181" xr:uid="{00000000-0005-0000-0000-0000FDA80000}"/>
    <cellStyle name="Output 2 4 2 3 12" xfId="45954" xr:uid="{00000000-0005-0000-0000-0000FEA80000}"/>
    <cellStyle name="Output 2 4 2 3 2" xfId="6993" xr:uid="{00000000-0005-0000-0000-0000FFA80000}"/>
    <cellStyle name="Output 2 4 2 3 3" xfId="11422" xr:uid="{00000000-0005-0000-0000-000000A90000}"/>
    <cellStyle name="Output 2 4 2 3 4" xfId="15266" xr:uid="{00000000-0005-0000-0000-000001A90000}"/>
    <cellStyle name="Output 2 4 2 3 5" xfId="19111" xr:uid="{00000000-0005-0000-0000-000002A90000}"/>
    <cellStyle name="Output 2 4 2 3 6" xfId="23033" xr:uid="{00000000-0005-0000-0000-000003A90000}"/>
    <cellStyle name="Output 2 4 2 3 7" xfId="26862" xr:uid="{00000000-0005-0000-0000-000004A90000}"/>
    <cellStyle name="Output 2 4 2 3 8" xfId="30734" xr:uid="{00000000-0005-0000-0000-000005A90000}"/>
    <cellStyle name="Output 2 4 2 3 9" xfId="34392" xr:uid="{00000000-0005-0000-0000-000006A90000}"/>
    <cellStyle name="Output 2 4 2 4" xfId="5069" xr:uid="{00000000-0005-0000-0000-000007A90000}"/>
    <cellStyle name="Output 2 4 2 5" xfId="9425" xr:uid="{00000000-0005-0000-0000-000008A90000}"/>
    <cellStyle name="Output 2 4 2 6" xfId="13265" xr:uid="{00000000-0005-0000-0000-000009A90000}"/>
    <cellStyle name="Output 2 4 2 7" xfId="17093" xr:uid="{00000000-0005-0000-0000-00000AA90000}"/>
    <cellStyle name="Output 2 4 2 8" xfId="21035" xr:uid="{00000000-0005-0000-0000-00000BA90000}"/>
    <cellStyle name="Output 2 4 2 9" xfId="24849" xr:uid="{00000000-0005-0000-0000-00000CA90000}"/>
    <cellStyle name="Output 2 4 3" xfId="1501" xr:uid="{00000000-0005-0000-0000-00000DA90000}"/>
    <cellStyle name="Output 2 4 3 10" xfId="32788" xr:uid="{00000000-0005-0000-0000-00000EA90000}"/>
    <cellStyle name="Output 2 4 3 11" xfId="36558" xr:uid="{00000000-0005-0000-0000-00000FA90000}"/>
    <cellStyle name="Output 2 4 3 12" xfId="40549" xr:uid="{00000000-0005-0000-0000-000010A90000}"/>
    <cellStyle name="Output 2 4 3 13" xfId="44380" xr:uid="{00000000-0005-0000-0000-000011A90000}"/>
    <cellStyle name="Output 2 4 3 2" xfId="3491" xr:uid="{00000000-0005-0000-0000-000012A90000}"/>
    <cellStyle name="Output 2 4 3 2 10" xfId="38542" xr:uid="{00000000-0005-0000-0000-000013A90000}"/>
    <cellStyle name="Output 2 4 3 2 11" xfId="42553" xr:uid="{00000000-0005-0000-0000-000014A90000}"/>
    <cellStyle name="Output 2 4 3 2 12" xfId="46318" xr:uid="{00000000-0005-0000-0000-000015A90000}"/>
    <cellStyle name="Output 2 4 3 2 2" xfId="7358" xr:uid="{00000000-0005-0000-0000-000016A90000}"/>
    <cellStyle name="Output 2 4 3 2 3" xfId="11793" xr:uid="{00000000-0005-0000-0000-000017A90000}"/>
    <cellStyle name="Output 2 4 3 2 4" xfId="15638" xr:uid="{00000000-0005-0000-0000-000018A90000}"/>
    <cellStyle name="Output 2 4 3 2 5" xfId="19485" xr:uid="{00000000-0005-0000-0000-000019A90000}"/>
    <cellStyle name="Output 2 4 3 2 6" xfId="23401" xr:uid="{00000000-0005-0000-0000-00001AA90000}"/>
    <cellStyle name="Output 2 4 3 2 7" xfId="27235" xr:uid="{00000000-0005-0000-0000-00001BA90000}"/>
    <cellStyle name="Output 2 4 3 2 8" xfId="31102" xr:uid="{00000000-0005-0000-0000-00001CA90000}"/>
    <cellStyle name="Output 2 4 3 2 9" xfId="34756" xr:uid="{00000000-0005-0000-0000-00001DA90000}"/>
    <cellStyle name="Output 2 4 3 3" xfId="5434" xr:uid="{00000000-0005-0000-0000-00001EA90000}"/>
    <cellStyle name="Output 2 4 3 4" xfId="9792" xr:uid="{00000000-0005-0000-0000-00001FA90000}"/>
    <cellStyle name="Output 2 4 3 5" xfId="13638" xr:uid="{00000000-0005-0000-0000-000020A90000}"/>
    <cellStyle name="Output 2 4 3 6" xfId="17467" xr:uid="{00000000-0005-0000-0000-000021A90000}"/>
    <cellStyle name="Output 2 4 3 7" xfId="21406" xr:uid="{00000000-0005-0000-0000-000022A90000}"/>
    <cellStyle name="Output 2 4 3 8" xfId="25219" xr:uid="{00000000-0005-0000-0000-000023A90000}"/>
    <cellStyle name="Output 2 4 3 9" xfId="29106" xr:uid="{00000000-0005-0000-0000-000024A90000}"/>
    <cellStyle name="Output 2 4 4" xfId="2753" xr:uid="{00000000-0005-0000-0000-000025A90000}"/>
    <cellStyle name="Output 2 4 4 10" xfId="37805" xr:uid="{00000000-0005-0000-0000-000026A90000}"/>
    <cellStyle name="Output 2 4 4 11" xfId="41818" xr:uid="{00000000-0005-0000-0000-000027A90000}"/>
    <cellStyle name="Output 2 4 4 12" xfId="45601" xr:uid="{00000000-0005-0000-0000-000028A90000}"/>
    <cellStyle name="Output 2 4 4 2" xfId="6639" xr:uid="{00000000-0005-0000-0000-000029A90000}"/>
    <cellStyle name="Output 2 4 4 3" xfId="11063" xr:uid="{00000000-0005-0000-0000-00002AA90000}"/>
    <cellStyle name="Output 2 4 4 4" xfId="14908" xr:uid="{00000000-0005-0000-0000-00002BA90000}"/>
    <cellStyle name="Output 2 4 4 5" xfId="18747" xr:uid="{00000000-0005-0000-0000-00002CA90000}"/>
    <cellStyle name="Output 2 4 4 6" xfId="22677" xr:uid="{00000000-0005-0000-0000-00002DA90000}"/>
    <cellStyle name="Output 2 4 4 7" xfId="26498" xr:uid="{00000000-0005-0000-0000-00002EA90000}"/>
    <cellStyle name="Output 2 4 4 8" xfId="30376" xr:uid="{00000000-0005-0000-0000-00002FA90000}"/>
    <cellStyle name="Output 2 4 4 9" xfId="34039" xr:uid="{00000000-0005-0000-0000-000030A90000}"/>
    <cellStyle name="Output 2 4 5" xfId="4715" xr:uid="{00000000-0005-0000-0000-000031A90000}"/>
    <cellStyle name="Output 2 4 6" xfId="9062" xr:uid="{00000000-0005-0000-0000-000032A90000}"/>
    <cellStyle name="Output 2 4 7" xfId="12901" xr:uid="{00000000-0005-0000-0000-000033A90000}"/>
    <cellStyle name="Output 2 4 8" xfId="16727" xr:uid="{00000000-0005-0000-0000-000034A90000}"/>
    <cellStyle name="Output 2 4 9" xfId="20666" xr:uid="{00000000-0005-0000-0000-000035A90000}"/>
    <cellStyle name="Output 2 5" xfId="787" xr:uid="{00000000-0005-0000-0000-000036A90000}"/>
    <cellStyle name="Output 2 5 10" xfId="24514" xr:uid="{00000000-0005-0000-0000-000037A90000}"/>
    <cellStyle name="Output 2 5 11" xfId="28402" xr:uid="{00000000-0005-0000-0000-000038A90000}"/>
    <cellStyle name="Output 2 5 12" xfId="32093" xr:uid="{00000000-0005-0000-0000-000039A90000}"/>
    <cellStyle name="Output 2 5 13" xfId="35845" xr:uid="{00000000-0005-0000-0000-00003AA90000}"/>
    <cellStyle name="Output 2 5 14" xfId="39862" xr:uid="{00000000-0005-0000-0000-00003BA90000}"/>
    <cellStyle name="Output 2 5 15" xfId="43671" xr:uid="{00000000-0005-0000-0000-00003CA90000}"/>
    <cellStyle name="Output 2 5 2" xfId="1151" xr:uid="{00000000-0005-0000-0000-00003DA90000}"/>
    <cellStyle name="Output 2 5 2 10" xfId="28760" xr:uid="{00000000-0005-0000-0000-00003EA90000}"/>
    <cellStyle name="Output 2 5 2 11" xfId="32446" xr:uid="{00000000-0005-0000-0000-00003FA90000}"/>
    <cellStyle name="Output 2 5 2 12" xfId="36209" xr:uid="{00000000-0005-0000-0000-000040A90000}"/>
    <cellStyle name="Output 2 5 2 13" xfId="40208" xr:uid="{00000000-0005-0000-0000-000041A90000}"/>
    <cellStyle name="Output 2 5 2 14" xfId="44035" xr:uid="{00000000-0005-0000-0000-000042A90000}"/>
    <cellStyle name="Output 2 5 2 2" xfId="1876" xr:uid="{00000000-0005-0000-0000-000043A90000}"/>
    <cellStyle name="Output 2 5 2 2 10" xfId="33163" xr:uid="{00000000-0005-0000-0000-000044A90000}"/>
    <cellStyle name="Output 2 5 2 2 11" xfId="36933" xr:uid="{00000000-0005-0000-0000-000045A90000}"/>
    <cellStyle name="Output 2 5 2 2 12" xfId="40924" xr:uid="{00000000-0005-0000-0000-000046A90000}"/>
    <cellStyle name="Output 2 5 2 2 13" xfId="44755" xr:uid="{00000000-0005-0000-0000-000047A90000}"/>
    <cellStyle name="Output 2 5 2 2 2" xfId="3866" xr:uid="{00000000-0005-0000-0000-000048A90000}"/>
    <cellStyle name="Output 2 5 2 2 2 10" xfId="38917" xr:uid="{00000000-0005-0000-0000-000049A90000}"/>
    <cellStyle name="Output 2 5 2 2 2 11" xfId="42928" xr:uid="{00000000-0005-0000-0000-00004AA90000}"/>
    <cellStyle name="Output 2 5 2 2 2 12" xfId="46693" xr:uid="{00000000-0005-0000-0000-00004BA90000}"/>
    <cellStyle name="Output 2 5 2 2 2 2" xfId="7733" xr:uid="{00000000-0005-0000-0000-00004CA90000}"/>
    <cellStyle name="Output 2 5 2 2 2 3" xfId="12168" xr:uid="{00000000-0005-0000-0000-00004DA90000}"/>
    <cellStyle name="Output 2 5 2 2 2 4" xfId="16013" xr:uid="{00000000-0005-0000-0000-00004EA90000}"/>
    <cellStyle name="Output 2 5 2 2 2 5" xfId="19860" xr:uid="{00000000-0005-0000-0000-00004FA90000}"/>
    <cellStyle name="Output 2 5 2 2 2 6" xfId="23776" xr:uid="{00000000-0005-0000-0000-000050A90000}"/>
    <cellStyle name="Output 2 5 2 2 2 7" xfId="27610" xr:uid="{00000000-0005-0000-0000-000051A90000}"/>
    <cellStyle name="Output 2 5 2 2 2 8" xfId="31473" xr:uid="{00000000-0005-0000-0000-000052A90000}"/>
    <cellStyle name="Output 2 5 2 2 2 9" xfId="35131" xr:uid="{00000000-0005-0000-0000-000053A90000}"/>
    <cellStyle name="Output 2 5 2 2 3" xfId="5809" xr:uid="{00000000-0005-0000-0000-000054A90000}"/>
    <cellStyle name="Output 2 5 2 2 4" xfId="10167" xr:uid="{00000000-0005-0000-0000-000055A90000}"/>
    <cellStyle name="Output 2 5 2 2 5" xfId="14013" xr:uid="{00000000-0005-0000-0000-000056A90000}"/>
    <cellStyle name="Output 2 5 2 2 6" xfId="17842" xr:uid="{00000000-0005-0000-0000-000057A90000}"/>
    <cellStyle name="Output 2 5 2 2 7" xfId="21781" xr:uid="{00000000-0005-0000-0000-000058A90000}"/>
    <cellStyle name="Output 2 5 2 2 8" xfId="25594" xr:uid="{00000000-0005-0000-0000-000059A90000}"/>
    <cellStyle name="Output 2 5 2 2 9" xfId="29481" xr:uid="{00000000-0005-0000-0000-00005AA90000}"/>
    <cellStyle name="Output 2 5 2 3" xfId="3141" xr:uid="{00000000-0005-0000-0000-00005BA90000}"/>
    <cellStyle name="Output 2 5 2 3 10" xfId="38193" xr:uid="{00000000-0005-0000-0000-00005CA90000}"/>
    <cellStyle name="Output 2 5 2 3 11" xfId="42205" xr:uid="{00000000-0005-0000-0000-00005DA90000}"/>
    <cellStyle name="Output 2 5 2 3 12" xfId="45976" xr:uid="{00000000-0005-0000-0000-00005EA90000}"/>
    <cellStyle name="Output 2 5 2 3 2" xfId="7015" xr:uid="{00000000-0005-0000-0000-00005FA90000}"/>
    <cellStyle name="Output 2 5 2 3 3" xfId="11445" xr:uid="{00000000-0005-0000-0000-000060A90000}"/>
    <cellStyle name="Output 2 5 2 3 4" xfId="15290" xr:uid="{00000000-0005-0000-0000-000061A90000}"/>
    <cellStyle name="Output 2 5 2 3 5" xfId="19135" xr:uid="{00000000-0005-0000-0000-000062A90000}"/>
    <cellStyle name="Output 2 5 2 3 6" xfId="23055" xr:uid="{00000000-0005-0000-0000-000063A90000}"/>
    <cellStyle name="Output 2 5 2 3 7" xfId="26886" xr:uid="{00000000-0005-0000-0000-000064A90000}"/>
    <cellStyle name="Output 2 5 2 3 8" xfId="30758" xr:uid="{00000000-0005-0000-0000-000065A90000}"/>
    <cellStyle name="Output 2 5 2 3 9" xfId="34414" xr:uid="{00000000-0005-0000-0000-000066A90000}"/>
    <cellStyle name="Output 2 5 2 4" xfId="5091" xr:uid="{00000000-0005-0000-0000-000067A90000}"/>
    <cellStyle name="Output 2 5 2 5" xfId="9447" xr:uid="{00000000-0005-0000-0000-000068A90000}"/>
    <cellStyle name="Output 2 5 2 6" xfId="13289" xr:uid="{00000000-0005-0000-0000-000069A90000}"/>
    <cellStyle name="Output 2 5 2 7" xfId="17117" xr:uid="{00000000-0005-0000-0000-00006AA90000}"/>
    <cellStyle name="Output 2 5 2 8" xfId="21059" xr:uid="{00000000-0005-0000-0000-00006BA90000}"/>
    <cellStyle name="Output 2 5 2 9" xfId="24872" xr:uid="{00000000-0005-0000-0000-00006CA90000}"/>
    <cellStyle name="Output 2 5 3" xfId="1523" xr:uid="{00000000-0005-0000-0000-00006DA90000}"/>
    <cellStyle name="Output 2 5 3 10" xfId="32810" xr:uid="{00000000-0005-0000-0000-00006EA90000}"/>
    <cellStyle name="Output 2 5 3 11" xfId="36580" xr:uid="{00000000-0005-0000-0000-00006FA90000}"/>
    <cellStyle name="Output 2 5 3 12" xfId="40571" xr:uid="{00000000-0005-0000-0000-000070A90000}"/>
    <cellStyle name="Output 2 5 3 13" xfId="44402" xr:uid="{00000000-0005-0000-0000-000071A90000}"/>
    <cellStyle name="Output 2 5 3 2" xfId="3513" xr:uid="{00000000-0005-0000-0000-000072A90000}"/>
    <cellStyle name="Output 2 5 3 2 10" xfId="38564" xr:uid="{00000000-0005-0000-0000-000073A90000}"/>
    <cellStyle name="Output 2 5 3 2 11" xfId="42575" xr:uid="{00000000-0005-0000-0000-000074A90000}"/>
    <cellStyle name="Output 2 5 3 2 12" xfId="46340" xr:uid="{00000000-0005-0000-0000-000075A90000}"/>
    <cellStyle name="Output 2 5 3 2 2" xfId="7380" xr:uid="{00000000-0005-0000-0000-000076A90000}"/>
    <cellStyle name="Output 2 5 3 2 3" xfId="11815" xr:uid="{00000000-0005-0000-0000-000077A90000}"/>
    <cellStyle name="Output 2 5 3 2 4" xfId="15660" xr:uid="{00000000-0005-0000-0000-000078A90000}"/>
    <cellStyle name="Output 2 5 3 2 5" xfId="19507" xr:uid="{00000000-0005-0000-0000-000079A90000}"/>
    <cellStyle name="Output 2 5 3 2 6" xfId="23423" xr:uid="{00000000-0005-0000-0000-00007AA90000}"/>
    <cellStyle name="Output 2 5 3 2 7" xfId="27257" xr:uid="{00000000-0005-0000-0000-00007BA90000}"/>
    <cellStyle name="Output 2 5 3 2 8" xfId="31124" xr:uid="{00000000-0005-0000-0000-00007CA90000}"/>
    <cellStyle name="Output 2 5 3 2 9" xfId="34778" xr:uid="{00000000-0005-0000-0000-00007DA90000}"/>
    <cellStyle name="Output 2 5 3 3" xfId="5456" xr:uid="{00000000-0005-0000-0000-00007EA90000}"/>
    <cellStyle name="Output 2 5 3 4" xfId="9814" xr:uid="{00000000-0005-0000-0000-00007FA90000}"/>
    <cellStyle name="Output 2 5 3 5" xfId="13660" xr:uid="{00000000-0005-0000-0000-000080A90000}"/>
    <cellStyle name="Output 2 5 3 6" xfId="17489" xr:uid="{00000000-0005-0000-0000-000081A90000}"/>
    <cellStyle name="Output 2 5 3 7" xfId="21428" xr:uid="{00000000-0005-0000-0000-000082A90000}"/>
    <cellStyle name="Output 2 5 3 8" xfId="25241" xr:uid="{00000000-0005-0000-0000-000083A90000}"/>
    <cellStyle name="Output 2 5 3 9" xfId="29128" xr:uid="{00000000-0005-0000-0000-000084A90000}"/>
    <cellStyle name="Output 2 5 4" xfId="2777" xr:uid="{00000000-0005-0000-0000-000085A90000}"/>
    <cellStyle name="Output 2 5 4 10" xfId="37829" xr:uid="{00000000-0005-0000-0000-000086A90000}"/>
    <cellStyle name="Output 2 5 4 11" xfId="41842" xr:uid="{00000000-0005-0000-0000-000087A90000}"/>
    <cellStyle name="Output 2 5 4 12" xfId="45623" xr:uid="{00000000-0005-0000-0000-000088A90000}"/>
    <cellStyle name="Output 2 5 4 2" xfId="6661" xr:uid="{00000000-0005-0000-0000-000089A90000}"/>
    <cellStyle name="Output 2 5 4 3" xfId="11086" xr:uid="{00000000-0005-0000-0000-00008AA90000}"/>
    <cellStyle name="Output 2 5 4 4" xfId="14932" xr:uid="{00000000-0005-0000-0000-00008BA90000}"/>
    <cellStyle name="Output 2 5 4 5" xfId="18771" xr:uid="{00000000-0005-0000-0000-00008CA90000}"/>
    <cellStyle name="Output 2 5 4 6" xfId="22699" xr:uid="{00000000-0005-0000-0000-00008DA90000}"/>
    <cellStyle name="Output 2 5 4 7" xfId="26522" xr:uid="{00000000-0005-0000-0000-00008EA90000}"/>
    <cellStyle name="Output 2 5 4 8" xfId="30400" xr:uid="{00000000-0005-0000-0000-00008FA90000}"/>
    <cellStyle name="Output 2 5 4 9" xfId="34061" xr:uid="{00000000-0005-0000-0000-000090A90000}"/>
    <cellStyle name="Output 2 5 5" xfId="4737" xr:uid="{00000000-0005-0000-0000-000091A90000}"/>
    <cellStyle name="Output 2 5 6" xfId="9088" xr:uid="{00000000-0005-0000-0000-000092A90000}"/>
    <cellStyle name="Output 2 5 7" xfId="12929" xr:uid="{00000000-0005-0000-0000-000093A90000}"/>
    <cellStyle name="Output 2 5 8" xfId="16755" xr:uid="{00000000-0005-0000-0000-000094A90000}"/>
    <cellStyle name="Output 2 5 9" xfId="20695" xr:uid="{00000000-0005-0000-0000-000095A90000}"/>
    <cellStyle name="Output 2 6" xfId="842" xr:uid="{00000000-0005-0000-0000-000096A90000}"/>
    <cellStyle name="Output 2 6 10" xfId="24566" xr:uid="{00000000-0005-0000-0000-000097A90000}"/>
    <cellStyle name="Output 2 6 11" xfId="28457" xr:uid="{00000000-0005-0000-0000-000098A90000}"/>
    <cellStyle name="Output 2 6 12" xfId="32143" xr:uid="{00000000-0005-0000-0000-000099A90000}"/>
    <cellStyle name="Output 2 6 13" xfId="35900" xr:uid="{00000000-0005-0000-0000-00009AA90000}"/>
    <cellStyle name="Output 2 6 14" xfId="39911" xr:uid="{00000000-0005-0000-0000-00009BA90000}"/>
    <cellStyle name="Output 2 6 15" xfId="43726" xr:uid="{00000000-0005-0000-0000-00009CA90000}"/>
    <cellStyle name="Output 2 6 2" xfId="1185" xr:uid="{00000000-0005-0000-0000-00009DA90000}"/>
    <cellStyle name="Output 2 6 2 10" xfId="28794" xr:uid="{00000000-0005-0000-0000-00009EA90000}"/>
    <cellStyle name="Output 2 6 2 11" xfId="32477" xr:uid="{00000000-0005-0000-0000-00009FA90000}"/>
    <cellStyle name="Output 2 6 2 12" xfId="36243" xr:uid="{00000000-0005-0000-0000-0000A0A90000}"/>
    <cellStyle name="Output 2 6 2 13" xfId="40237" xr:uid="{00000000-0005-0000-0000-0000A1A90000}"/>
    <cellStyle name="Output 2 6 2 14" xfId="44069" xr:uid="{00000000-0005-0000-0000-0000A2A90000}"/>
    <cellStyle name="Output 2 6 2 2" xfId="1907" xr:uid="{00000000-0005-0000-0000-0000A3A90000}"/>
    <cellStyle name="Output 2 6 2 2 10" xfId="33194" xr:uid="{00000000-0005-0000-0000-0000A4A90000}"/>
    <cellStyle name="Output 2 6 2 2 11" xfId="36964" xr:uid="{00000000-0005-0000-0000-0000A5A90000}"/>
    <cellStyle name="Output 2 6 2 2 12" xfId="40955" xr:uid="{00000000-0005-0000-0000-0000A6A90000}"/>
    <cellStyle name="Output 2 6 2 2 13" xfId="44786" xr:uid="{00000000-0005-0000-0000-0000A7A90000}"/>
    <cellStyle name="Output 2 6 2 2 2" xfId="3897" xr:uid="{00000000-0005-0000-0000-0000A8A90000}"/>
    <cellStyle name="Output 2 6 2 2 2 10" xfId="38948" xr:uid="{00000000-0005-0000-0000-0000A9A90000}"/>
    <cellStyle name="Output 2 6 2 2 2 11" xfId="42959" xr:uid="{00000000-0005-0000-0000-0000AAA90000}"/>
    <cellStyle name="Output 2 6 2 2 2 12" xfId="46724" xr:uid="{00000000-0005-0000-0000-0000ABA90000}"/>
    <cellStyle name="Output 2 6 2 2 2 2" xfId="7764" xr:uid="{00000000-0005-0000-0000-0000ACA90000}"/>
    <cellStyle name="Output 2 6 2 2 2 3" xfId="12199" xr:uid="{00000000-0005-0000-0000-0000ADA90000}"/>
    <cellStyle name="Output 2 6 2 2 2 4" xfId="16044" xr:uid="{00000000-0005-0000-0000-0000AEA90000}"/>
    <cellStyle name="Output 2 6 2 2 2 5" xfId="19891" xr:uid="{00000000-0005-0000-0000-0000AFA90000}"/>
    <cellStyle name="Output 2 6 2 2 2 6" xfId="23807" xr:uid="{00000000-0005-0000-0000-0000B0A90000}"/>
    <cellStyle name="Output 2 6 2 2 2 7" xfId="27641" xr:uid="{00000000-0005-0000-0000-0000B1A90000}"/>
    <cellStyle name="Output 2 6 2 2 2 8" xfId="31503" xr:uid="{00000000-0005-0000-0000-0000B2A90000}"/>
    <cellStyle name="Output 2 6 2 2 2 9" xfId="35162" xr:uid="{00000000-0005-0000-0000-0000B3A90000}"/>
    <cellStyle name="Output 2 6 2 2 3" xfId="5840" xr:uid="{00000000-0005-0000-0000-0000B4A90000}"/>
    <cellStyle name="Output 2 6 2 2 4" xfId="10198" xr:uid="{00000000-0005-0000-0000-0000B5A90000}"/>
    <cellStyle name="Output 2 6 2 2 5" xfId="14044" xr:uid="{00000000-0005-0000-0000-0000B6A90000}"/>
    <cellStyle name="Output 2 6 2 2 6" xfId="17873" xr:uid="{00000000-0005-0000-0000-0000B7A90000}"/>
    <cellStyle name="Output 2 6 2 2 7" xfId="21812" xr:uid="{00000000-0005-0000-0000-0000B8A90000}"/>
    <cellStyle name="Output 2 6 2 2 8" xfId="25625" xr:uid="{00000000-0005-0000-0000-0000B9A90000}"/>
    <cellStyle name="Output 2 6 2 2 9" xfId="29512" xr:uid="{00000000-0005-0000-0000-0000BAA90000}"/>
    <cellStyle name="Output 2 6 2 3" xfId="3175" xr:uid="{00000000-0005-0000-0000-0000BBA90000}"/>
    <cellStyle name="Output 2 6 2 3 10" xfId="38227" xr:uid="{00000000-0005-0000-0000-0000BCA90000}"/>
    <cellStyle name="Output 2 6 2 3 11" xfId="42238" xr:uid="{00000000-0005-0000-0000-0000BDA90000}"/>
    <cellStyle name="Output 2 6 2 3 12" xfId="46007" xr:uid="{00000000-0005-0000-0000-0000BEA90000}"/>
    <cellStyle name="Output 2 6 2 3 2" xfId="7047" xr:uid="{00000000-0005-0000-0000-0000BFA90000}"/>
    <cellStyle name="Output 2 6 2 3 3" xfId="11479" xr:uid="{00000000-0005-0000-0000-0000C0A90000}"/>
    <cellStyle name="Output 2 6 2 3 4" xfId="15323" xr:uid="{00000000-0005-0000-0000-0000C1A90000}"/>
    <cellStyle name="Output 2 6 2 3 5" xfId="19169" xr:uid="{00000000-0005-0000-0000-0000C2A90000}"/>
    <cellStyle name="Output 2 6 2 3 6" xfId="23088" xr:uid="{00000000-0005-0000-0000-0000C3A90000}"/>
    <cellStyle name="Output 2 6 2 3 7" xfId="26920" xr:uid="{00000000-0005-0000-0000-0000C4A90000}"/>
    <cellStyle name="Output 2 6 2 3 8" xfId="30791" xr:uid="{00000000-0005-0000-0000-0000C5A90000}"/>
    <cellStyle name="Output 2 6 2 3 9" xfId="34445" xr:uid="{00000000-0005-0000-0000-0000C6A90000}"/>
    <cellStyle name="Output 2 6 2 4" xfId="5123" xr:uid="{00000000-0005-0000-0000-0000C7A90000}"/>
    <cellStyle name="Output 2 6 2 5" xfId="9479" xr:uid="{00000000-0005-0000-0000-0000C8A90000}"/>
    <cellStyle name="Output 2 6 2 6" xfId="13323" xr:uid="{00000000-0005-0000-0000-0000C9A90000}"/>
    <cellStyle name="Output 2 6 2 7" xfId="17151" xr:uid="{00000000-0005-0000-0000-0000CAA90000}"/>
    <cellStyle name="Output 2 6 2 8" xfId="21093" xr:uid="{00000000-0005-0000-0000-0000CBA90000}"/>
    <cellStyle name="Output 2 6 2 9" xfId="24904" xr:uid="{00000000-0005-0000-0000-0000CCA90000}"/>
    <cellStyle name="Output 2 6 3" xfId="1573" xr:uid="{00000000-0005-0000-0000-0000CDA90000}"/>
    <cellStyle name="Output 2 6 3 10" xfId="32860" xr:uid="{00000000-0005-0000-0000-0000CEA90000}"/>
    <cellStyle name="Output 2 6 3 11" xfId="36630" xr:uid="{00000000-0005-0000-0000-0000CFA90000}"/>
    <cellStyle name="Output 2 6 3 12" xfId="40621" xr:uid="{00000000-0005-0000-0000-0000D0A90000}"/>
    <cellStyle name="Output 2 6 3 13" xfId="44452" xr:uid="{00000000-0005-0000-0000-0000D1A90000}"/>
    <cellStyle name="Output 2 6 3 2" xfId="3563" xr:uid="{00000000-0005-0000-0000-0000D2A90000}"/>
    <cellStyle name="Output 2 6 3 2 10" xfId="38614" xr:uid="{00000000-0005-0000-0000-0000D3A90000}"/>
    <cellStyle name="Output 2 6 3 2 11" xfId="42625" xr:uid="{00000000-0005-0000-0000-0000D4A90000}"/>
    <cellStyle name="Output 2 6 3 2 12" xfId="46390" xr:uid="{00000000-0005-0000-0000-0000D5A90000}"/>
    <cellStyle name="Output 2 6 3 2 2" xfId="7430" xr:uid="{00000000-0005-0000-0000-0000D6A90000}"/>
    <cellStyle name="Output 2 6 3 2 3" xfId="11865" xr:uid="{00000000-0005-0000-0000-0000D7A90000}"/>
    <cellStyle name="Output 2 6 3 2 4" xfId="15710" xr:uid="{00000000-0005-0000-0000-0000D8A90000}"/>
    <cellStyle name="Output 2 6 3 2 5" xfId="19557" xr:uid="{00000000-0005-0000-0000-0000D9A90000}"/>
    <cellStyle name="Output 2 6 3 2 6" xfId="23473" xr:uid="{00000000-0005-0000-0000-0000DAA90000}"/>
    <cellStyle name="Output 2 6 3 2 7" xfId="27307" xr:uid="{00000000-0005-0000-0000-0000DBA90000}"/>
    <cellStyle name="Output 2 6 3 2 8" xfId="31173" xr:uid="{00000000-0005-0000-0000-0000DCA90000}"/>
    <cellStyle name="Output 2 6 3 2 9" xfId="34828" xr:uid="{00000000-0005-0000-0000-0000DDA90000}"/>
    <cellStyle name="Output 2 6 3 3" xfId="5506" xr:uid="{00000000-0005-0000-0000-0000DEA90000}"/>
    <cellStyle name="Output 2 6 3 4" xfId="9864" xr:uid="{00000000-0005-0000-0000-0000DFA90000}"/>
    <cellStyle name="Output 2 6 3 5" xfId="13710" xr:uid="{00000000-0005-0000-0000-0000E0A90000}"/>
    <cellStyle name="Output 2 6 3 6" xfId="17539" xr:uid="{00000000-0005-0000-0000-0000E1A90000}"/>
    <cellStyle name="Output 2 6 3 7" xfId="21478" xr:uid="{00000000-0005-0000-0000-0000E2A90000}"/>
    <cellStyle name="Output 2 6 3 8" xfId="25291" xr:uid="{00000000-0005-0000-0000-0000E3A90000}"/>
    <cellStyle name="Output 2 6 3 9" xfId="29178" xr:uid="{00000000-0005-0000-0000-0000E4A90000}"/>
    <cellStyle name="Output 2 6 4" xfId="2832" xr:uid="{00000000-0005-0000-0000-0000E5A90000}"/>
    <cellStyle name="Output 2 6 4 10" xfId="37884" xr:uid="{00000000-0005-0000-0000-0000E6A90000}"/>
    <cellStyle name="Output 2 6 4 11" xfId="41896" xr:uid="{00000000-0005-0000-0000-0000E7A90000}"/>
    <cellStyle name="Output 2 6 4 12" xfId="45673" xr:uid="{00000000-0005-0000-0000-0000E8A90000}"/>
    <cellStyle name="Output 2 6 4 2" xfId="6712" xr:uid="{00000000-0005-0000-0000-0000E9A90000}"/>
    <cellStyle name="Output 2 6 4 3" xfId="11139" xr:uid="{00000000-0005-0000-0000-0000EAA90000}"/>
    <cellStyle name="Output 2 6 4 4" xfId="14984" xr:uid="{00000000-0005-0000-0000-0000EBA90000}"/>
    <cellStyle name="Output 2 6 4 5" xfId="18826" xr:uid="{00000000-0005-0000-0000-0000ECA90000}"/>
    <cellStyle name="Output 2 6 4 6" xfId="22752" xr:uid="{00000000-0005-0000-0000-0000EDA90000}"/>
    <cellStyle name="Output 2 6 4 7" xfId="26577" xr:uid="{00000000-0005-0000-0000-0000EEA90000}"/>
    <cellStyle name="Output 2 6 4 8" xfId="30454" xr:uid="{00000000-0005-0000-0000-0000EFA90000}"/>
    <cellStyle name="Output 2 6 4 9" xfId="34111" xr:uid="{00000000-0005-0000-0000-0000F0A90000}"/>
    <cellStyle name="Output 2 6 5" xfId="4788" xr:uid="{00000000-0005-0000-0000-0000F1A90000}"/>
    <cellStyle name="Output 2 6 6" xfId="9142" xr:uid="{00000000-0005-0000-0000-0000F2A90000}"/>
    <cellStyle name="Output 2 6 7" xfId="12983" xr:uid="{00000000-0005-0000-0000-0000F3A90000}"/>
    <cellStyle name="Output 2 6 8" xfId="16808" xr:uid="{00000000-0005-0000-0000-0000F4A90000}"/>
    <cellStyle name="Output 2 6 9" xfId="20750" xr:uid="{00000000-0005-0000-0000-0000F5A90000}"/>
    <cellStyle name="Output 2 7" xfId="847" xr:uid="{00000000-0005-0000-0000-0000F6A90000}"/>
    <cellStyle name="Output 2 7 10" xfId="28462" xr:uid="{00000000-0005-0000-0000-0000F7A90000}"/>
    <cellStyle name="Output 2 7 11" xfId="32148" xr:uid="{00000000-0005-0000-0000-0000F8A90000}"/>
    <cellStyle name="Output 2 7 12" xfId="35905" xr:uid="{00000000-0005-0000-0000-0000F9A90000}"/>
    <cellStyle name="Output 2 7 13" xfId="39916" xr:uid="{00000000-0005-0000-0000-0000FAA90000}"/>
    <cellStyle name="Output 2 7 14" xfId="43731" xr:uid="{00000000-0005-0000-0000-0000FBA90000}"/>
    <cellStyle name="Output 2 7 2" xfId="1578" xr:uid="{00000000-0005-0000-0000-0000FCA90000}"/>
    <cellStyle name="Output 2 7 2 10" xfId="32865" xr:uid="{00000000-0005-0000-0000-0000FDA90000}"/>
    <cellStyle name="Output 2 7 2 11" xfId="36635" xr:uid="{00000000-0005-0000-0000-0000FEA90000}"/>
    <cellStyle name="Output 2 7 2 12" xfId="40626" xr:uid="{00000000-0005-0000-0000-0000FFA90000}"/>
    <cellStyle name="Output 2 7 2 13" xfId="44457" xr:uid="{00000000-0005-0000-0000-000000AA0000}"/>
    <cellStyle name="Output 2 7 2 2" xfId="3568" xr:uid="{00000000-0005-0000-0000-000001AA0000}"/>
    <cellStyle name="Output 2 7 2 2 10" xfId="38619" xr:uid="{00000000-0005-0000-0000-000002AA0000}"/>
    <cellStyle name="Output 2 7 2 2 11" xfId="42630" xr:uid="{00000000-0005-0000-0000-000003AA0000}"/>
    <cellStyle name="Output 2 7 2 2 12" xfId="46395" xr:uid="{00000000-0005-0000-0000-000004AA0000}"/>
    <cellStyle name="Output 2 7 2 2 2" xfId="7435" xr:uid="{00000000-0005-0000-0000-000005AA0000}"/>
    <cellStyle name="Output 2 7 2 2 3" xfId="11870" xr:uid="{00000000-0005-0000-0000-000006AA0000}"/>
    <cellStyle name="Output 2 7 2 2 4" xfId="15715" xr:uid="{00000000-0005-0000-0000-000007AA0000}"/>
    <cellStyle name="Output 2 7 2 2 5" xfId="19562" xr:uid="{00000000-0005-0000-0000-000008AA0000}"/>
    <cellStyle name="Output 2 7 2 2 6" xfId="23478" xr:uid="{00000000-0005-0000-0000-000009AA0000}"/>
    <cellStyle name="Output 2 7 2 2 7" xfId="27312" xr:uid="{00000000-0005-0000-0000-00000AAA0000}"/>
    <cellStyle name="Output 2 7 2 2 8" xfId="31178" xr:uid="{00000000-0005-0000-0000-00000BAA0000}"/>
    <cellStyle name="Output 2 7 2 2 9" xfId="34833" xr:uid="{00000000-0005-0000-0000-00000CAA0000}"/>
    <cellStyle name="Output 2 7 2 3" xfId="5511" xr:uid="{00000000-0005-0000-0000-00000DAA0000}"/>
    <cellStyle name="Output 2 7 2 4" xfId="9869" xr:uid="{00000000-0005-0000-0000-00000EAA0000}"/>
    <cellStyle name="Output 2 7 2 5" xfId="13715" xr:uid="{00000000-0005-0000-0000-00000FAA0000}"/>
    <cellStyle name="Output 2 7 2 6" xfId="17544" xr:uid="{00000000-0005-0000-0000-000010AA0000}"/>
    <cellStyle name="Output 2 7 2 7" xfId="21483" xr:uid="{00000000-0005-0000-0000-000011AA0000}"/>
    <cellStyle name="Output 2 7 2 8" xfId="25296" xr:uid="{00000000-0005-0000-0000-000012AA0000}"/>
    <cellStyle name="Output 2 7 2 9" xfId="29183" xr:uid="{00000000-0005-0000-0000-000013AA0000}"/>
    <cellStyle name="Output 2 7 3" xfId="2837" xr:uid="{00000000-0005-0000-0000-000014AA0000}"/>
    <cellStyle name="Output 2 7 3 10" xfId="37889" xr:uid="{00000000-0005-0000-0000-000015AA0000}"/>
    <cellStyle name="Output 2 7 3 11" xfId="41901" xr:uid="{00000000-0005-0000-0000-000016AA0000}"/>
    <cellStyle name="Output 2 7 3 12" xfId="45678" xr:uid="{00000000-0005-0000-0000-000017AA0000}"/>
    <cellStyle name="Output 2 7 3 2" xfId="6717" xr:uid="{00000000-0005-0000-0000-000018AA0000}"/>
    <cellStyle name="Output 2 7 3 3" xfId="11144" xr:uid="{00000000-0005-0000-0000-000019AA0000}"/>
    <cellStyle name="Output 2 7 3 4" xfId="14989" xr:uid="{00000000-0005-0000-0000-00001AAA0000}"/>
    <cellStyle name="Output 2 7 3 5" xfId="18831" xr:uid="{00000000-0005-0000-0000-00001BAA0000}"/>
    <cellStyle name="Output 2 7 3 6" xfId="22757" xr:uid="{00000000-0005-0000-0000-00001CAA0000}"/>
    <cellStyle name="Output 2 7 3 7" xfId="26582" xr:uid="{00000000-0005-0000-0000-00001DAA0000}"/>
    <cellStyle name="Output 2 7 3 8" xfId="30459" xr:uid="{00000000-0005-0000-0000-00001EAA0000}"/>
    <cellStyle name="Output 2 7 3 9" xfId="34116" xr:uid="{00000000-0005-0000-0000-00001FAA0000}"/>
    <cellStyle name="Output 2 7 4" xfId="4793" xr:uid="{00000000-0005-0000-0000-000020AA0000}"/>
    <cellStyle name="Output 2 7 5" xfId="9147" xr:uid="{00000000-0005-0000-0000-000021AA0000}"/>
    <cellStyle name="Output 2 7 6" xfId="12988" xr:uid="{00000000-0005-0000-0000-000022AA0000}"/>
    <cellStyle name="Output 2 7 7" xfId="16813" xr:uid="{00000000-0005-0000-0000-000023AA0000}"/>
    <cellStyle name="Output 2 7 8" xfId="20755" xr:uid="{00000000-0005-0000-0000-000024AA0000}"/>
    <cellStyle name="Output 2 7 9" xfId="24571" xr:uid="{00000000-0005-0000-0000-000025AA0000}"/>
    <cellStyle name="Output 2 8" xfId="1259" xr:uid="{00000000-0005-0000-0000-000026AA0000}"/>
    <cellStyle name="Output 2 8 10" xfId="32546" xr:uid="{00000000-0005-0000-0000-000027AA0000}"/>
    <cellStyle name="Output 2 8 11" xfId="36316" xr:uid="{00000000-0005-0000-0000-000028AA0000}"/>
    <cellStyle name="Output 2 8 12" xfId="40308" xr:uid="{00000000-0005-0000-0000-000029AA0000}"/>
    <cellStyle name="Output 2 8 13" xfId="44138" xr:uid="{00000000-0005-0000-0000-00002AAA0000}"/>
    <cellStyle name="Output 2 8 2" xfId="3249" xr:uid="{00000000-0005-0000-0000-00002BAA0000}"/>
    <cellStyle name="Output 2 8 2 10" xfId="38300" xr:uid="{00000000-0005-0000-0000-00002CAA0000}"/>
    <cellStyle name="Output 2 8 2 11" xfId="42311" xr:uid="{00000000-0005-0000-0000-00002DAA0000}"/>
    <cellStyle name="Output 2 8 2 12" xfId="46076" xr:uid="{00000000-0005-0000-0000-00002EAA0000}"/>
    <cellStyle name="Output 2 8 2 2" xfId="7116" xr:uid="{00000000-0005-0000-0000-00002FAA0000}"/>
    <cellStyle name="Output 2 8 2 3" xfId="11551" xr:uid="{00000000-0005-0000-0000-000030AA0000}"/>
    <cellStyle name="Output 2 8 2 4" xfId="15396" xr:uid="{00000000-0005-0000-0000-000031AA0000}"/>
    <cellStyle name="Output 2 8 2 5" xfId="19243" xr:uid="{00000000-0005-0000-0000-000032AA0000}"/>
    <cellStyle name="Output 2 8 2 6" xfId="23159" xr:uid="{00000000-0005-0000-0000-000033AA0000}"/>
    <cellStyle name="Output 2 8 2 7" xfId="26993" xr:uid="{00000000-0005-0000-0000-000034AA0000}"/>
    <cellStyle name="Output 2 8 2 8" xfId="30863" xr:uid="{00000000-0005-0000-0000-000035AA0000}"/>
    <cellStyle name="Output 2 8 2 9" xfId="34514" xr:uid="{00000000-0005-0000-0000-000036AA0000}"/>
    <cellStyle name="Output 2 8 3" xfId="5192" xr:uid="{00000000-0005-0000-0000-000037AA0000}"/>
    <cellStyle name="Output 2 8 4" xfId="9550" xr:uid="{00000000-0005-0000-0000-000038AA0000}"/>
    <cellStyle name="Output 2 8 5" xfId="13396" xr:uid="{00000000-0005-0000-0000-000039AA0000}"/>
    <cellStyle name="Output 2 8 6" xfId="17225" xr:uid="{00000000-0005-0000-0000-00003AAA0000}"/>
    <cellStyle name="Output 2 8 7" xfId="21164" xr:uid="{00000000-0005-0000-0000-00003BAA0000}"/>
    <cellStyle name="Output 2 8 8" xfId="24977" xr:uid="{00000000-0005-0000-0000-00003CAA0000}"/>
    <cellStyle name="Output 2 8 9" xfId="28865" xr:uid="{00000000-0005-0000-0000-00003DAA0000}"/>
    <cellStyle name="Output 2 9" xfId="2115" xr:uid="{00000000-0005-0000-0000-00003EAA0000}"/>
    <cellStyle name="Output 2 9 10" xfId="33419" xr:uid="{00000000-0005-0000-0000-00003FAA0000}"/>
    <cellStyle name="Output 2 9 11" xfId="37167" xr:uid="{00000000-0005-0000-0000-000040AA0000}"/>
    <cellStyle name="Output 2 9 12" xfId="41183" xr:uid="{00000000-0005-0000-0000-000041AA0000}"/>
    <cellStyle name="Output 2 9 13" xfId="44981" xr:uid="{00000000-0005-0000-0000-000042AA0000}"/>
    <cellStyle name="Output 2 9 2" xfId="4099" xr:uid="{00000000-0005-0000-0000-000043AA0000}"/>
    <cellStyle name="Output 2 9 2 10" xfId="39150" xr:uid="{00000000-0005-0000-0000-000044AA0000}"/>
    <cellStyle name="Output 2 9 2 11" xfId="43160" xr:uid="{00000000-0005-0000-0000-000045AA0000}"/>
    <cellStyle name="Output 2 9 2 12" xfId="46919" xr:uid="{00000000-0005-0000-0000-000046AA0000}"/>
    <cellStyle name="Output 2 9 2 2" xfId="7960" xr:uid="{00000000-0005-0000-0000-000047AA0000}"/>
    <cellStyle name="Output 2 9 2 3" xfId="12399" xr:uid="{00000000-0005-0000-0000-000048AA0000}"/>
    <cellStyle name="Output 2 9 2 4" xfId="16244" xr:uid="{00000000-0005-0000-0000-000049AA0000}"/>
    <cellStyle name="Output 2 9 2 5" xfId="20093" xr:uid="{00000000-0005-0000-0000-00004AAA0000}"/>
    <cellStyle name="Output 2 9 2 6" xfId="24007" xr:uid="{00000000-0005-0000-0000-00004BAA0000}"/>
    <cellStyle name="Output 2 9 2 7" xfId="27843" xr:uid="{00000000-0005-0000-0000-00004CAA0000}"/>
    <cellStyle name="Output 2 9 2 8" xfId="31702" xr:uid="{00000000-0005-0000-0000-00004DAA0000}"/>
    <cellStyle name="Output 2 9 2 9" xfId="35357" xr:uid="{00000000-0005-0000-0000-00004EAA0000}"/>
    <cellStyle name="Output 2 9 3" xfId="6035" xr:uid="{00000000-0005-0000-0000-00004FAA0000}"/>
    <cellStyle name="Output 2 9 4" xfId="10433" xr:uid="{00000000-0005-0000-0000-000050AA0000}"/>
    <cellStyle name="Output 2 9 5" xfId="14281" xr:uid="{00000000-0005-0000-0000-000051AA0000}"/>
    <cellStyle name="Output 2 9 6" xfId="18109" xr:uid="{00000000-0005-0000-0000-000052AA0000}"/>
    <cellStyle name="Output 2 9 7" xfId="22051" xr:uid="{00000000-0005-0000-0000-000053AA0000}"/>
    <cellStyle name="Output 2 9 8" xfId="25860" xr:uid="{00000000-0005-0000-0000-000054AA0000}"/>
    <cellStyle name="Output 2 9 9" xfId="29740" xr:uid="{00000000-0005-0000-0000-000055AA0000}"/>
    <cellStyle name="Output 3" xfId="253" xr:uid="{00000000-0005-0000-0000-000056AA0000}"/>
    <cellStyle name="Output 3 10" xfId="2135" xr:uid="{00000000-0005-0000-0000-000057AA0000}"/>
    <cellStyle name="Output 3 10 10" xfId="33437" xr:uid="{00000000-0005-0000-0000-000058AA0000}"/>
    <cellStyle name="Output 3 10 11" xfId="37187" xr:uid="{00000000-0005-0000-0000-000059AA0000}"/>
    <cellStyle name="Output 3 10 12" xfId="41203" xr:uid="{00000000-0005-0000-0000-00005AAA0000}"/>
    <cellStyle name="Output 3 10 13" xfId="44999" xr:uid="{00000000-0005-0000-0000-00005BAA0000}"/>
    <cellStyle name="Output 3 10 2" xfId="4119" xr:uid="{00000000-0005-0000-0000-00005CAA0000}"/>
    <cellStyle name="Output 3 10 2 10" xfId="39170" xr:uid="{00000000-0005-0000-0000-00005DAA0000}"/>
    <cellStyle name="Output 3 10 2 11" xfId="43180" xr:uid="{00000000-0005-0000-0000-00005EAA0000}"/>
    <cellStyle name="Output 3 10 2 12" xfId="46937" xr:uid="{00000000-0005-0000-0000-00005FAA0000}"/>
    <cellStyle name="Output 3 10 2 2" xfId="7978" xr:uid="{00000000-0005-0000-0000-000060AA0000}"/>
    <cellStyle name="Output 3 10 2 3" xfId="12418" xr:uid="{00000000-0005-0000-0000-000061AA0000}"/>
    <cellStyle name="Output 3 10 2 4" xfId="16263" xr:uid="{00000000-0005-0000-0000-000062AA0000}"/>
    <cellStyle name="Output 3 10 2 5" xfId="20113" xr:uid="{00000000-0005-0000-0000-000063AA0000}"/>
    <cellStyle name="Output 3 10 2 6" xfId="24025" xr:uid="{00000000-0005-0000-0000-000064AA0000}"/>
    <cellStyle name="Output 3 10 2 7" xfId="27863" xr:uid="{00000000-0005-0000-0000-000065AA0000}"/>
    <cellStyle name="Output 3 10 2 8" xfId="31722" xr:uid="{00000000-0005-0000-0000-000066AA0000}"/>
    <cellStyle name="Output 3 10 2 9" xfId="35375" xr:uid="{00000000-0005-0000-0000-000067AA0000}"/>
    <cellStyle name="Output 3 10 3" xfId="6052" xr:uid="{00000000-0005-0000-0000-000068AA0000}"/>
    <cellStyle name="Output 3 10 4" xfId="10452" xr:uid="{00000000-0005-0000-0000-000069AA0000}"/>
    <cellStyle name="Output 3 10 5" xfId="14299" xr:uid="{00000000-0005-0000-0000-00006AAA0000}"/>
    <cellStyle name="Output 3 10 6" xfId="18129" xr:uid="{00000000-0005-0000-0000-00006BAA0000}"/>
    <cellStyle name="Output 3 10 7" xfId="22069" xr:uid="{00000000-0005-0000-0000-00006CAA0000}"/>
    <cellStyle name="Output 3 10 8" xfId="25880" xr:uid="{00000000-0005-0000-0000-00006DAA0000}"/>
    <cellStyle name="Output 3 10 9" xfId="29760" xr:uid="{00000000-0005-0000-0000-00006EAA0000}"/>
    <cellStyle name="Output 3 11" xfId="2144" xr:uid="{00000000-0005-0000-0000-00006FAA0000}"/>
    <cellStyle name="Output 3 11 10" xfId="33446" xr:uid="{00000000-0005-0000-0000-000070AA0000}"/>
    <cellStyle name="Output 3 11 11" xfId="37196" xr:uid="{00000000-0005-0000-0000-000071AA0000}"/>
    <cellStyle name="Output 3 11 12" xfId="41212" xr:uid="{00000000-0005-0000-0000-000072AA0000}"/>
    <cellStyle name="Output 3 11 13" xfId="45008" xr:uid="{00000000-0005-0000-0000-000073AA0000}"/>
    <cellStyle name="Output 3 11 2" xfId="4128" xr:uid="{00000000-0005-0000-0000-000074AA0000}"/>
    <cellStyle name="Output 3 11 2 10" xfId="39179" xr:uid="{00000000-0005-0000-0000-000075AA0000}"/>
    <cellStyle name="Output 3 11 2 11" xfId="43189" xr:uid="{00000000-0005-0000-0000-000076AA0000}"/>
    <cellStyle name="Output 3 11 2 12" xfId="46946" xr:uid="{00000000-0005-0000-0000-000077AA0000}"/>
    <cellStyle name="Output 3 11 2 2" xfId="7987" xr:uid="{00000000-0005-0000-0000-000078AA0000}"/>
    <cellStyle name="Output 3 11 2 3" xfId="12427" xr:uid="{00000000-0005-0000-0000-000079AA0000}"/>
    <cellStyle name="Output 3 11 2 4" xfId="16272" xr:uid="{00000000-0005-0000-0000-00007AAA0000}"/>
    <cellStyle name="Output 3 11 2 5" xfId="20122" xr:uid="{00000000-0005-0000-0000-00007BAA0000}"/>
    <cellStyle name="Output 3 11 2 6" xfId="24034" xr:uid="{00000000-0005-0000-0000-00007CAA0000}"/>
    <cellStyle name="Output 3 11 2 7" xfId="27872" xr:uid="{00000000-0005-0000-0000-00007DAA0000}"/>
    <cellStyle name="Output 3 11 2 8" xfId="31731" xr:uid="{00000000-0005-0000-0000-00007EAA0000}"/>
    <cellStyle name="Output 3 11 2 9" xfId="35384" xr:uid="{00000000-0005-0000-0000-00007FAA0000}"/>
    <cellStyle name="Output 3 11 3" xfId="6061" xr:uid="{00000000-0005-0000-0000-000080AA0000}"/>
    <cellStyle name="Output 3 11 4" xfId="10461" xr:uid="{00000000-0005-0000-0000-000081AA0000}"/>
    <cellStyle name="Output 3 11 5" xfId="14308" xr:uid="{00000000-0005-0000-0000-000082AA0000}"/>
    <cellStyle name="Output 3 11 6" xfId="18138" xr:uid="{00000000-0005-0000-0000-000083AA0000}"/>
    <cellStyle name="Output 3 11 7" xfId="22078" xr:uid="{00000000-0005-0000-0000-000084AA0000}"/>
    <cellStyle name="Output 3 11 8" xfId="25889" xr:uid="{00000000-0005-0000-0000-000085AA0000}"/>
    <cellStyle name="Output 3 11 9" xfId="29769" xr:uid="{00000000-0005-0000-0000-000086AA0000}"/>
    <cellStyle name="Output 3 12" xfId="2128" xr:uid="{00000000-0005-0000-0000-000087AA0000}"/>
    <cellStyle name="Output 3 12 10" xfId="33432" xr:uid="{00000000-0005-0000-0000-000088AA0000}"/>
    <cellStyle name="Output 3 12 11" xfId="37180" xr:uid="{00000000-0005-0000-0000-000089AA0000}"/>
    <cellStyle name="Output 3 12 12" xfId="41196" xr:uid="{00000000-0005-0000-0000-00008AAA0000}"/>
    <cellStyle name="Output 3 12 13" xfId="44994" xr:uid="{00000000-0005-0000-0000-00008BAA0000}"/>
    <cellStyle name="Output 3 12 2" xfId="4112" xr:uid="{00000000-0005-0000-0000-00008CAA0000}"/>
    <cellStyle name="Output 3 12 2 10" xfId="39163" xr:uid="{00000000-0005-0000-0000-00008DAA0000}"/>
    <cellStyle name="Output 3 12 2 11" xfId="43173" xr:uid="{00000000-0005-0000-0000-00008EAA0000}"/>
    <cellStyle name="Output 3 12 2 12" xfId="46932" xr:uid="{00000000-0005-0000-0000-00008FAA0000}"/>
    <cellStyle name="Output 3 12 2 2" xfId="7973" xr:uid="{00000000-0005-0000-0000-000090AA0000}"/>
    <cellStyle name="Output 3 12 2 3" xfId="12412" xr:uid="{00000000-0005-0000-0000-000091AA0000}"/>
    <cellStyle name="Output 3 12 2 4" xfId="16257" xr:uid="{00000000-0005-0000-0000-000092AA0000}"/>
    <cellStyle name="Output 3 12 2 5" xfId="20106" xr:uid="{00000000-0005-0000-0000-000093AA0000}"/>
    <cellStyle name="Output 3 12 2 6" xfId="24020" xr:uid="{00000000-0005-0000-0000-000094AA0000}"/>
    <cellStyle name="Output 3 12 2 7" xfId="27856" xr:uid="{00000000-0005-0000-0000-000095AA0000}"/>
    <cellStyle name="Output 3 12 2 8" xfId="31715" xr:uid="{00000000-0005-0000-0000-000096AA0000}"/>
    <cellStyle name="Output 3 12 2 9" xfId="35370" xr:uid="{00000000-0005-0000-0000-000097AA0000}"/>
    <cellStyle name="Output 3 12 3" xfId="6048" xr:uid="{00000000-0005-0000-0000-000098AA0000}"/>
    <cellStyle name="Output 3 12 4" xfId="10446" xr:uid="{00000000-0005-0000-0000-000099AA0000}"/>
    <cellStyle name="Output 3 12 5" xfId="14294" xr:uid="{00000000-0005-0000-0000-00009AAA0000}"/>
    <cellStyle name="Output 3 12 6" xfId="18122" xr:uid="{00000000-0005-0000-0000-00009BAA0000}"/>
    <cellStyle name="Output 3 12 7" xfId="22064" xr:uid="{00000000-0005-0000-0000-00009CAA0000}"/>
    <cellStyle name="Output 3 12 8" xfId="25873" xr:uid="{00000000-0005-0000-0000-00009DAA0000}"/>
    <cellStyle name="Output 3 12 9" xfId="29753" xr:uid="{00000000-0005-0000-0000-00009EAA0000}"/>
    <cellStyle name="Output 3 13" xfId="2087" xr:uid="{00000000-0005-0000-0000-00009FAA0000}"/>
    <cellStyle name="Output 3 13 10" xfId="33394" xr:uid="{00000000-0005-0000-0000-0000A0AA0000}"/>
    <cellStyle name="Output 3 13 11" xfId="37139" xr:uid="{00000000-0005-0000-0000-0000A1AA0000}"/>
    <cellStyle name="Output 3 13 12" xfId="41155" xr:uid="{00000000-0005-0000-0000-0000A2AA0000}"/>
    <cellStyle name="Output 3 13 13" xfId="44956" xr:uid="{00000000-0005-0000-0000-0000A3AA0000}"/>
    <cellStyle name="Output 3 13 2" xfId="4072" xr:uid="{00000000-0005-0000-0000-0000A4AA0000}"/>
    <cellStyle name="Output 3 13 2 10" xfId="39123" xr:uid="{00000000-0005-0000-0000-0000A5AA0000}"/>
    <cellStyle name="Output 3 13 2 11" xfId="43133" xr:uid="{00000000-0005-0000-0000-0000A6AA0000}"/>
    <cellStyle name="Output 3 13 2 12" xfId="46894" xr:uid="{00000000-0005-0000-0000-0000A7AA0000}"/>
    <cellStyle name="Output 3 13 2 2" xfId="7935" xr:uid="{00000000-0005-0000-0000-0000A8AA0000}"/>
    <cellStyle name="Output 3 13 2 3" xfId="12372" xr:uid="{00000000-0005-0000-0000-0000A9AA0000}"/>
    <cellStyle name="Output 3 13 2 4" xfId="16217" xr:uid="{00000000-0005-0000-0000-0000AAAA0000}"/>
    <cellStyle name="Output 3 13 2 5" xfId="20066" xr:uid="{00000000-0005-0000-0000-0000ABAA0000}"/>
    <cellStyle name="Output 3 13 2 6" xfId="23980" xr:uid="{00000000-0005-0000-0000-0000ACAA0000}"/>
    <cellStyle name="Output 3 13 2 7" xfId="27816" xr:uid="{00000000-0005-0000-0000-0000ADAA0000}"/>
    <cellStyle name="Output 3 13 2 8" xfId="31675" xr:uid="{00000000-0005-0000-0000-0000AEAA0000}"/>
    <cellStyle name="Output 3 13 2 9" xfId="35332" xr:uid="{00000000-0005-0000-0000-0000AFAA0000}"/>
    <cellStyle name="Output 3 13 3" xfId="6012" xr:uid="{00000000-0005-0000-0000-0000B0AA0000}"/>
    <cellStyle name="Output 3 13 4" xfId="10406" xr:uid="{00000000-0005-0000-0000-0000B1AA0000}"/>
    <cellStyle name="Output 3 13 5" xfId="14254" xr:uid="{00000000-0005-0000-0000-0000B2AA0000}"/>
    <cellStyle name="Output 3 13 6" xfId="18081" xr:uid="{00000000-0005-0000-0000-0000B3AA0000}"/>
    <cellStyle name="Output 3 13 7" xfId="22023" xr:uid="{00000000-0005-0000-0000-0000B4AA0000}"/>
    <cellStyle name="Output 3 13 8" xfId="25832" xr:uid="{00000000-0005-0000-0000-0000B5AA0000}"/>
    <cellStyle name="Output 3 13 9" xfId="29712" xr:uid="{00000000-0005-0000-0000-0000B6AA0000}"/>
    <cellStyle name="Output 3 14" xfId="2085" xr:uid="{00000000-0005-0000-0000-0000B7AA0000}"/>
    <cellStyle name="Output 3 14 10" xfId="33392" xr:uid="{00000000-0005-0000-0000-0000B8AA0000}"/>
    <cellStyle name="Output 3 14 11" xfId="37137" xr:uid="{00000000-0005-0000-0000-0000B9AA0000}"/>
    <cellStyle name="Output 3 14 12" xfId="41153" xr:uid="{00000000-0005-0000-0000-0000BAAA0000}"/>
    <cellStyle name="Output 3 14 13" xfId="44954" xr:uid="{00000000-0005-0000-0000-0000BBAA0000}"/>
    <cellStyle name="Output 3 14 2" xfId="4070" xr:uid="{00000000-0005-0000-0000-0000BCAA0000}"/>
    <cellStyle name="Output 3 14 2 10" xfId="39121" xr:uid="{00000000-0005-0000-0000-0000BDAA0000}"/>
    <cellStyle name="Output 3 14 2 11" xfId="43131" xr:uid="{00000000-0005-0000-0000-0000BEAA0000}"/>
    <cellStyle name="Output 3 14 2 12" xfId="46892" xr:uid="{00000000-0005-0000-0000-0000BFAA0000}"/>
    <cellStyle name="Output 3 14 2 2" xfId="7933" xr:uid="{00000000-0005-0000-0000-0000C0AA0000}"/>
    <cellStyle name="Output 3 14 2 3" xfId="12370" xr:uid="{00000000-0005-0000-0000-0000C1AA0000}"/>
    <cellStyle name="Output 3 14 2 4" xfId="16215" xr:uid="{00000000-0005-0000-0000-0000C2AA0000}"/>
    <cellStyle name="Output 3 14 2 5" xfId="20064" xr:uid="{00000000-0005-0000-0000-0000C3AA0000}"/>
    <cellStyle name="Output 3 14 2 6" xfId="23978" xr:uid="{00000000-0005-0000-0000-0000C4AA0000}"/>
    <cellStyle name="Output 3 14 2 7" xfId="27814" xr:uid="{00000000-0005-0000-0000-0000C5AA0000}"/>
    <cellStyle name="Output 3 14 2 8" xfId="31673" xr:uid="{00000000-0005-0000-0000-0000C6AA0000}"/>
    <cellStyle name="Output 3 14 2 9" xfId="35330" xr:uid="{00000000-0005-0000-0000-0000C7AA0000}"/>
    <cellStyle name="Output 3 14 3" xfId="6010" xr:uid="{00000000-0005-0000-0000-0000C8AA0000}"/>
    <cellStyle name="Output 3 14 4" xfId="10404" xr:uid="{00000000-0005-0000-0000-0000C9AA0000}"/>
    <cellStyle name="Output 3 14 5" xfId="14252" xr:uid="{00000000-0005-0000-0000-0000CAAA0000}"/>
    <cellStyle name="Output 3 14 6" xfId="18079" xr:uid="{00000000-0005-0000-0000-0000CBAA0000}"/>
    <cellStyle name="Output 3 14 7" xfId="22021" xr:uid="{00000000-0005-0000-0000-0000CCAA0000}"/>
    <cellStyle name="Output 3 14 8" xfId="25830" xr:uid="{00000000-0005-0000-0000-0000CDAA0000}"/>
    <cellStyle name="Output 3 14 9" xfId="29710" xr:uid="{00000000-0005-0000-0000-0000CEAA0000}"/>
    <cellStyle name="Output 3 15" xfId="2522" xr:uid="{00000000-0005-0000-0000-0000CFAA0000}"/>
    <cellStyle name="Output 3 15 10" xfId="37574" xr:uid="{00000000-0005-0000-0000-0000D0AA0000}"/>
    <cellStyle name="Output 3 15 11" xfId="41588" xr:uid="{00000000-0005-0000-0000-0000D1AA0000}"/>
    <cellStyle name="Output 3 15 12" xfId="45377" xr:uid="{00000000-0005-0000-0000-0000D2AA0000}"/>
    <cellStyle name="Output 3 15 2" xfId="6414" xr:uid="{00000000-0005-0000-0000-0000D3AA0000}"/>
    <cellStyle name="Output 3 15 3" xfId="10837" xr:uid="{00000000-0005-0000-0000-0000D4AA0000}"/>
    <cellStyle name="Output 3 15 4" xfId="14681" xr:uid="{00000000-0005-0000-0000-0000D5AA0000}"/>
    <cellStyle name="Output 3 15 5" xfId="18516" xr:uid="{00000000-0005-0000-0000-0000D6AA0000}"/>
    <cellStyle name="Output 3 15 6" xfId="22451" xr:uid="{00000000-0005-0000-0000-0000D7AA0000}"/>
    <cellStyle name="Output 3 15 7" xfId="26267" xr:uid="{00000000-0005-0000-0000-0000D8AA0000}"/>
    <cellStyle name="Output 3 15 8" xfId="30146" xr:uid="{00000000-0005-0000-0000-0000D9AA0000}"/>
    <cellStyle name="Output 3 15 9" xfId="33815" xr:uid="{00000000-0005-0000-0000-0000DAAA0000}"/>
    <cellStyle name="Output 3 16" xfId="4503" xr:uid="{00000000-0005-0000-0000-0000DBAA0000}"/>
    <cellStyle name="Output 3 17" xfId="4506" xr:uid="{00000000-0005-0000-0000-0000DCAA0000}"/>
    <cellStyle name="Output 3 18" xfId="8547" xr:uid="{00000000-0005-0000-0000-0000DDAA0000}"/>
    <cellStyle name="Output 3 19" xfId="8607" xr:uid="{00000000-0005-0000-0000-0000DEAA0000}"/>
    <cellStyle name="Output 3 2" xfId="550" xr:uid="{00000000-0005-0000-0000-0000DFAA0000}"/>
    <cellStyle name="Output 3 2 10" xfId="2202" xr:uid="{00000000-0005-0000-0000-0000E0AA0000}"/>
    <cellStyle name="Output 3 2 10 10" xfId="33503" xr:uid="{00000000-0005-0000-0000-0000E1AA0000}"/>
    <cellStyle name="Output 3 2 10 11" xfId="37254" xr:uid="{00000000-0005-0000-0000-0000E2AA0000}"/>
    <cellStyle name="Output 3 2 10 12" xfId="41270" xr:uid="{00000000-0005-0000-0000-0000E3AA0000}"/>
    <cellStyle name="Output 3 2 10 13" xfId="45065" xr:uid="{00000000-0005-0000-0000-0000E4AA0000}"/>
    <cellStyle name="Output 3 2 10 2" xfId="4185" xr:uid="{00000000-0005-0000-0000-0000E5AA0000}"/>
    <cellStyle name="Output 3 2 10 2 10" xfId="39236" xr:uid="{00000000-0005-0000-0000-0000E6AA0000}"/>
    <cellStyle name="Output 3 2 10 2 11" xfId="43246" xr:uid="{00000000-0005-0000-0000-0000E7AA0000}"/>
    <cellStyle name="Output 3 2 10 2 12" xfId="47003" xr:uid="{00000000-0005-0000-0000-0000E8AA0000}"/>
    <cellStyle name="Output 3 2 10 2 2" xfId="8044" xr:uid="{00000000-0005-0000-0000-0000E9AA0000}"/>
    <cellStyle name="Output 3 2 10 2 3" xfId="12484" xr:uid="{00000000-0005-0000-0000-0000EAAA0000}"/>
    <cellStyle name="Output 3 2 10 2 4" xfId="16329" xr:uid="{00000000-0005-0000-0000-0000EBAA0000}"/>
    <cellStyle name="Output 3 2 10 2 5" xfId="20179" xr:uid="{00000000-0005-0000-0000-0000ECAA0000}"/>
    <cellStyle name="Output 3 2 10 2 6" xfId="24091" xr:uid="{00000000-0005-0000-0000-0000EDAA0000}"/>
    <cellStyle name="Output 3 2 10 2 7" xfId="27929" xr:uid="{00000000-0005-0000-0000-0000EEAA0000}"/>
    <cellStyle name="Output 3 2 10 2 8" xfId="31788" xr:uid="{00000000-0005-0000-0000-0000EFAA0000}"/>
    <cellStyle name="Output 3 2 10 2 9" xfId="35441" xr:uid="{00000000-0005-0000-0000-0000F0AA0000}"/>
    <cellStyle name="Output 3 2 10 3" xfId="6116" xr:uid="{00000000-0005-0000-0000-0000F1AA0000}"/>
    <cellStyle name="Output 3 2 10 4" xfId="10519" xr:uid="{00000000-0005-0000-0000-0000F2AA0000}"/>
    <cellStyle name="Output 3 2 10 5" xfId="14365" xr:uid="{00000000-0005-0000-0000-0000F3AA0000}"/>
    <cellStyle name="Output 3 2 10 6" xfId="18196" xr:uid="{00000000-0005-0000-0000-0000F4AA0000}"/>
    <cellStyle name="Output 3 2 10 7" xfId="22135" xr:uid="{00000000-0005-0000-0000-0000F5AA0000}"/>
    <cellStyle name="Output 3 2 10 8" xfId="25947" xr:uid="{00000000-0005-0000-0000-0000F6AA0000}"/>
    <cellStyle name="Output 3 2 10 9" xfId="29827" xr:uid="{00000000-0005-0000-0000-0000F7AA0000}"/>
    <cellStyle name="Output 3 2 11" xfId="2260" xr:uid="{00000000-0005-0000-0000-0000F8AA0000}"/>
    <cellStyle name="Output 3 2 11 10" xfId="33561" xr:uid="{00000000-0005-0000-0000-0000F9AA0000}"/>
    <cellStyle name="Output 3 2 11 11" xfId="37312" xr:uid="{00000000-0005-0000-0000-0000FAAA0000}"/>
    <cellStyle name="Output 3 2 11 12" xfId="41328" xr:uid="{00000000-0005-0000-0000-0000FBAA0000}"/>
    <cellStyle name="Output 3 2 11 13" xfId="45123" xr:uid="{00000000-0005-0000-0000-0000FCAA0000}"/>
    <cellStyle name="Output 3 2 11 2" xfId="4243" xr:uid="{00000000-0005-0000-0000-0000FDAA0000}"/>
    <cellStyle name="Output 3 2 11 2 10" xfId="39294" xr:uid="{00000000-0005-0000-0000-0000FEAA0000}"/>
    <cellStyle name="Output 3 2 11 2 11" xfId="43304" xr:uid="{00000000-0005-0000-0000-0000FFAA0000}"/>
    <cellStyle name="Output 3 2 11 2 12" xfId="47061" xr:uid="{00000000-0005-0000-0000-000000AB0000}"/>
    <cellStyle name="Output 3 2 11 2 2" xfId="8102" xr:uid="{00000000-0005-0000-0000-000001AB0000}"/>
    <cellStyle name="Output 3 2 11 2 3" xfId="12542" xr:uid="{00000000-0005-0000-0000-000002AB0000}"/>
    <cellStyle name="Output 3 2 11 2 4" xfId="16387" xr:uid="{00000000-0005-0000-0000-000003AB0000}"/>
    <cellStyle name="Output 3 2 11 2 5" xfId="20237" xr:uid="{00000000-0005-0000-0000-000004AB0000}"/>
    <cellStyle name="Output 3 2 11 2 6" xfId="24149" xr:uid="{00000000-0005-0000-0000-000005AB0000}"/>
    <cellStyle name="Output 3 2 11 2 7" xfId="27987" xr:uid="{00000000-0005-0000-0000-000006AB0000}"/>
    <cellStyle name="Output 3 2 11 2 8" xfId="31846" xr:uid="{00000000-0005-0000-0000-000007AB0000}"/>
    <cellStyle name="Output 3 2 11 2 9" xfId="35499" xr:uid="{00000000-0005-0000-0000-000008AB0000}"/>
    <cellStyle name="Output 3 2 11 3" xfId="6174" xr:uid="{00000000-0005-0000-0000-000009AB0000}"/>
    <cellStyle name="Output 3 2 11 4" xfId="10577" xr:uid="{00000000-0005-0000-0000-00000AAB0000}"/>
    <cellStyle name="Output 3 2 11 5" xfId="14423" xr:uid="{00000000-0005-0000-0000-00000BAB0000}"/>
    <cellStyle name="Output 3 2 11 6" xfId="18254" xr:uid="{00000000-0005-0000-0000-00000CAB0000}"/>
    <cellStyle name="Output 3 2 11 7" xfId="22193" xr:uid="{00000000-0005-0000-0000-00000DAB0000}"/>
    <cellStyle name="Output 3 2 11 8" xfId="26005" xr:uid="{00000000-0005-0000-0000-00000EAB0000}"/>
    <cellStyle name="Output 3 2 11 9" xfId="29885" xr:uid="{00000000-0005-0000-0000-00000FAB0000}"/>
    <cellStyle name="Output 3 2 12" xfId="2315" xr:uid="{00000000-0005-0000-0000-000010AB0000}"/>
    <cellStyle name="Output 3 2 12 10" xfId="33616" xr:uid="{00000000-0005-0000-0000-000011AB0000}"/>
    <cellStyle name="Output 3 2 12 11" xfId="37367" xr:uid="{00000000-0005-0000-0000-000012AB0000}"/>
    <cellStyle name="Output 3 2 12 12" xfId="41383" xr:uid="{00000000-0005-0000-0000-000013AB0000}"/>
    <cellStyle name="Output 3 2 12 13" xfId="45178" xr:uid="{00000000-0005-0000-0000-000014AB0000}"/>
    <cellStyle name="Output 3 2 12 2" xfId="4298" xr:uid="{00000000-0005-0000-0000-000015AB0000}"/>
    <cellStyle name="Output 3 2 12 2 10" xfId="39349" xr:uid="{00000000-0005-0000-0000-000016AB0000}"/>
    <cellStyle name="Output 3 2 12 2 11" xfId="43359" xr:uid="{00000000-0005-0000-0000-000017AB0000}"/>
    <cellStyle name="Output 3 2 12 2 12" xfId="47116" xr:uid="{00000000-0005-0000-0000-000018AB0000}"/>
    <cellStyle name="Output 3 2 12 2 2" xfId="8157" xr:uid="{00000000-0005-0000-0000-000019AB0000}"/>
    <cellStyle name="Output 3 2 12 2 3" xfId="12597" xr:uid="{00000000-0005-0000-0000-00001AAB0000}"/>
    <cellStyle name="Output 3 2 12 2 4" xfId="16442" xr:uid="{00000000-0005-0000-0000-00001BAB0000}"/>
    <cellStyle name="Output 3 2 12 2 5" xfId="20292" xr:uid="{00000000-0005-0000-0000-00001CAB0000}"/>
    <cellStyle name="Output 3 2 12 2 6" xfId="24204" xr:uid="{00000000-0005-0000-0000-00001DAB0000}"/>
    <cellStyle name="Output 3 2 12 2 7" xfId="28042" xr:uid="{00000000-0005-0000-0000-00001EAB0000}"/>
    <cellStyle name="Output 3 2 12 2 8" xfId="31901" xr:uid="{00000000-0005-0000-0000-00001FAB0000}"/>
    <cellStyle name="Output 3 2 12 2 9" xfId="35554" xr:uid="{00000000-0005-0000-0000-000020AB0000}"/>
    <cellStyle name="Output 3 2 12 3" xfId="6229" xr:uid="{00000000-0005-0000-0000-000021AB0000}"/>
    <cellStyle name="Output 3 2 12 4" xfId="10632" xr:uid="{00000000-0005-0000-0000-000022AB0000}"/>
    <cellStyle name="Output 3 2 12 5" xfId="14478" xr:uid="{00000000-0005-0000-0000-000023AB0000}"/>
    <cellStyle name="Output 3 2 12 6" xfId="18309" xr:uid="{00000000-0005-0000-0000-000024AB0000}"/>
    <cellStyle name="Output 3 2 12 7" xfId="22248" xr:uid="{00000000-0005-0000-0000-000025AB0000}"/>
    <cellStyle name="Output 3 2 12 8" xfId="26060" xr:uid="{00000000-0005-0000-0000-000026AB0000}"/>
    <cellStyle name="Output 3 2 12 9" xfId="29940" xr:uid="{00000000-0005-0000-0000-000027AB0000}"/>
    <cellStyle name="Output 3 2 13" xfId="2382" xr:uid="{00000000-0005-0000-0000-000028AB0000}"/>
    <cellStyle name="Output 3 2 13 10" xfId="33680" xr:uid="{00000000-0005-0000-0000-000029AB0000}"/>
    <cellStyle name="Output 3 2 13 11" xfId="37434" xr:uid="{00000000-0005-0000-0000-00002AAB0000}"/>
    <cellStyle name="Output 3 2 13 12" xfId="41449" xr:uid="{00000000-0005-0000-0000-00002BAB0000}"/>
    <cellStyle name="Output 3 2 13 13" xfId="45242" xr:uid="{00000000-0005-0000-0000-00002CAB0000}"/>
    <cellStyle name="Output 3 2 13 2" xfId="4365" xr:uid="{00000000-0005-0000-0000-00002DAB0000}"/>
    <cellStyle name="Output 3 2 13 2 10" xfId="39416" xr:uid="{00000000-0005-0000-0000-00002EAB0000}"/>
    <cellStyle name="Output 3 2 13 2 11" xfId="43425" xr:uid="{00000000-0005-0000-0000-00002FAB0000}"/>
    <cellStyle name="Output 3 2 13 2 12" xfId="47180" xr:uid="{00000000-0005-0000-0000-000030AB0000}"/>
    <cellStyle name="Output 3 2 13 2 2" xfId="8222" xr:uid="{00000000-0005-0000-0000-000031AB0000}"/>
    <cellStyle name="Output 3 2 13 2 3" xfId="12663" xr:uid="{00000000-0005-0000-0000-000032AB0000}"/>
    <cellStyle name="Output 3 2 13 2 4" xfId="16508" xr:uid="{00000000-0005-0000-0000-000033AB0000}"/>
    <cellStyle name="Output 3 2 13 2 5" xfId="20359" xr:uid="{00000000-0005-0000-0000-000034AB0000}"/>
    <cellStyle name="Output 3 2 13 2 6" xfId="24270" xr:uid="{00000000-0005-0000-0000-000035AB0000}"/>
    <cellStyle name="Output 3 2 13 2 7" xfId="28109" xr:uid="{00000000-0005-0000-0000-000036AB0000}"/>
    <cellStyle name="Output 3 2 13 2 8" xfId="31967" xr:uid="{00000000-0005-0000-0000-000037AB0000}"/>
    <cellStyle name="Output 3 2 13 2 9" xfId="35618" xr:uid="{00000000-0005-0000-0000-000038AB0000}"/>
    <cellStyle name="Output 3 2 13 3" xfId="6278" xr:uid="{00000000-0005-0000-0000-000039AB0000}"/>
    <cellStyle name="Output 3 2 13 4" xfId="10698" xr:uid="{00000000-0005-0000-0000-00003AAB0000}"/>
    <cellStyle name="Output 3 2 13 5" xfId="14544" xr:uid="{00000000-0005-0000-0000-00003BAB0000}"/>
    <cellStyle name="Output 3 2 13 6" xfId="18376" xr:uid="{00000000-0005-0000-0000-00003CAB0000}"/>
    <cellStyle name="Output 3 2 13 7" xfId="22314" xr:uid="{00000000-0005-0000-0000-00003DAB0000}"/>
    <cellStyle name="Output 3 2 13 8" xfId="26127" xr:uid="{00000000-0005-0000-0000-00003EAB0000}"/>
    <cellStyle name="Output 3 2 13 9" xfId="30007" xr:uid="{00000000-0005-0000-0000-00003FAB0000}"/>
    <cellStyle name="Output 3 2 14" xfId="2432" xr:uid="{00000000-0005-0000-0000-000040AB0000}"/>
    <cellStyle name="Output 3 2 14 10" xfId="33730" xr:uid="{00000000-0005-0000-0000-000041AB0000}"/>
    <cellStyle name="Output 3 2 14 11" xfId="37484" xr:uid="{00000000-0005-0000-0000-000042AB0000}"/>
    <cellStyle name="Output 3 2 14 12" xfId="41499" xr:uid="{00000000-0005-0000-0000-000043AB0000}"/>
    <cellStyle name="Output 3 2 14 13" xfId="45292" xr:uid="{00000000-0005-0000-0000-000044AB0000}"/>
    <cellStyle name="Output 3 2 14 2" xfId="4415" xr:uid="{00000000-0005-0000-0000-000045AB0000}"/>
    <cellStyle name="Output 3 2 14 2 10" xfId="39466" xr:uid="{00000000-0005-0000-0000-000046AB0000}"/>
    <cellStyle name="Output 3 2 14 2 11" xfId="43475" xr:uid="{00000000-0005-0000-0000-000047AB0000}"/>
    <cellStyle name="Output 3 2 14 2 12" xfId="47230" xr:uid="{00000000-0005-0000-0000-000048AB0000}"/>
    <cellStyle name="Output 3 2 14 2 2" xfId="8272" xr:uid="{00000000-0005-0000-0000-000049AB0000}"/>
    <cellStyle name="Output 3 2 14 2 3" xfId="12713" xr:uid="{00000000-0005-0000-0000-00004AAB0000}"/>
    <cellStyle name="Output 3 2 14 2 4" xfId="16558" xr:uid="{00000000-0005-0000-0000-00004BAB0000}"/>
    <cellStyle name="Output 3 2 14 2 5" xfId="20409" xr:uid="{00000000-0005-0000-0000-00004CAB0000}"/>
    <cellStyle name="Output 3 2 14 2 6" xfId="24320" xr:uid="{00000000-0005-0000-0000-00004DAB0000}"/>
    <cellStyle name="Output 3 2 14 2 7" xfId="28159" xr:uid="{00000000-0005-0000-0000-00004EAB0000}"/>
    <cellStyle name="Output 3 2 14 2 8" xfId="32017" xr:uid="{00000000-0005-0000-0000-00004FAB0000}"/>
    <cellStyle name="Output 3 2 14 2 9" xfId="35668" xr:uid="{00000000-0005-0000-0000-000050AB0000}"/>
    <cellStyle name="Output 3 2 14 3" xfId="6328" xr:uid="{00000000-0005-0000-0000-000051AB0000}"/>
    <cellStyle name="Output 3 2 14 4" xfId="10748" xr:uid="{00000000-0005-0000-0000-000052AB0000}"/>
    <cellStyle name="Output 3 2 14 5" xfId="14594" xr:uid="{00000000-0005-0000-0000-000053AB0000}"/>
    <cellStyle name="Output 3 2 14 6" xfId="18426" xr:uid="{00000000-0005-0000-0000-000054AB0000}"/>
    <cellStyle name="Output 3 2 14 7" xfId="22364" xr:uid="{00000000-0005-0000-0000-000055AB0000}"/>
    <cellStyle name="Output 3 2 14 8" xfId="26177" xr:uid="{00000000-0005-0000-0000-000056AB0000}"/>
    <cellStyle name="Output 3 2 14 9" xfId="30056" xr:uid="{00000000-0005-0000-0000-000057AB0000}"/>
    <cellStyle name="Output 3 2 15" xfId="2486" xr:uid="{00000000-0005-0000-0000-000058AB0000}"/>
    <cellStyle name="Output 3 2 15 10" xfId="33781" xr:uid="{00000000-0005-0000-0000-000059AB0000}"/>
    <cellStyle name="Output 3 2 15 11" xfId="37538" xr:uid="{00000000-0005-0000-0000-00005AAB0000}"/>
    <cellStyle name="Output 3 2 15 12" xfId="41552" xr:uid="{00000000-0005-0000-0000-00005BAB0000}"/>
    <cellStyle name="Output 3 2 15 13" xfId="45343" xr:uid="{00000000-0005-0000-0000-00005CAB0000}"/>
    <cellStyle name="Output 3 2 15 2" xfId="4468" xr:uid="{00000000-0005-0000-0000-00005DAB0000}"/>
    <cellStyle name="Output 3 2 15 2 10" xfId="39519" xr:uid="{00000000-0005-0000-0000-00005EAB0000}"/>
    <cellStyle name="Output 3 2 15 2 11" xfId="43528" xr:uid="{00000000-0005-0000-0000-00005FAB0000}"/>
    <cellStyle name="Output 3 2 15 2 12" xfId="47281" xr:uid="{00000000-0005-0000-0000-000060AB0000}"/>
    <cellStyle name="Output 3 2 15 2 2" xfId="8323" xr:uid="{00000000-0005-0000-0000-000061AB0000}"/>
    <cellStyle name="Output 3 2 15 2 3" xfId="12766" xr:uid="{00000000-0005-0000-0000-000062AB0000}"/>
    <cellStyle name="Output 3 2 15 2 4" xfId="16609" xr:uid="{00000000-0005-0000-0000-000063AB0000}"/>
    <cellStyle name="Output 3 2 15 2 5" xfId="20462" xr:uid="{00000000-0005-0000-0000-000064AB0000}"/>
    <cellStyle name="Output 3 2 15 2 6" xfId="24372" xr:uid="{00000000-0005-0000-0000-000065AB0000}"/>
    <cellStyle name="Output 3 2 15 2 7" xfId="28212" xr:uid="{00000000-0005-0000-0000-000066AB0000}"/>
    <cellStyle name="Output 3 2 15 2 8" xfId="32070" xr:uid="{00000000-0005-0000-0000-000067AB0000}"/>
    <cellStyle name="Output 3 2 15 2 9" xfId="35719" xr:uid="{00000000-0005-0000-0000-000068AB0000}"/>
    <cellStyle name="Output 3 2 15 3" xfId="6380" xr:uid="{00000000-0005-0000-0000-000069AB0000}"/>
    <cellStyle name="Output 3 2 15 4" xfId="10801" xr:uid="{00000000-0005-0000-0000-00006AAB0000}"/>
    <cellStyle name="Output 3 2 15 5" xfId="14647" xr:uid="{00000000-0005-0000-0000-00006BAB0000}"/>
    <cellStyle name="Output 3 2 15 6" xfId="18480" xr:uid="{00000000-0005-0000-0000-00006CAB0000}"/>
    <cellStyle name="Output 3 2 15 7" xfId="22417" xr:uid="{00000000-0005-0000-0000-00006DAB0000}"/>
    <cellStyle name="Output 3 2 15 8" xfId="26231" xr:uid="{00000000-0005-0000-0000-00006EAB0000}"/>
    <cellStyle name="Output 3 2 15 9" xfId="30110" xr:uid="{00000000-0005-0000-0000-00006FAB0000}"/>
    <cellStyle name="Output 3 2 16" xfId="2557" xr:uid="{00000000-0005-0000-0000-000070AB0000}"/>
    <cellStyle name="Output 3 2 16 10" xfId="37609" xr:uid="{00000000-0005-0000-0000-000071AB0000}"/>
    <cellStyle name="Output 3 2 16 11" xfId="41623" xr:uid="{00000000-0005-0000-0000-000072AB0000}"/>
    <cellStyle name="Output 3 2 16 12" xfId="45412" xr:uid="{00000000-0005-0000-0000-000073AB0000}"/>
    <cellStyle name="Output 3 2 16 2" xfId="6449" xr:uid="{00000000-0005-0000-0000-000074AB0000}"/>
    <cellStyle name="Output 3 2 16 3" xfId="10872" xr:uid="{00000000-0005-0000-0000-000075AB0000}"/>
    <cellStyle name="Output 3 2 16 4" xfId="14716" xr:uid="{00000000-0005-0000-0000-000076AB0000}"/>
    <cellStyle name="Output 3 2 16 5" xfId="18551" xr:uid="{00000000-0005-0000-0000-000077AB0000}"/>
    <cellStyle name="Output 3 2 16 6" xfId="22486" xr:uid="{00000000-0005-0000-0000-000078AB0000}"/>
    <cellStyle name="Output 3 2 16 7" xfId="26302" xr:uid="{00000000-0005-0000-0000-000079AB0000}"/>
    <cellStyle name="Output 3 2 16 8" xfId="30181" xr:uid="{00000000-0005-0000-0000-00007AAB0000}"/>
    <cellStyle name="Output 3 2 16 9" xfId="33850" xr:uid="{00000000-0005-0000-0000-00007BAB0000}"/>
    <cellStyle name="Output 3 2 17" xfId="4525" xr:uid="{00000000-0005-0000-0000-00007CAB0000}"/>
    <cellStyle name="Output 3 2 18" xfId="8367" xr:uid="{00000000-0005-0000-0000-00007DAB0000}"/>
    <cellStyle name="Output 3 2 19" xfId="8740" xr:uid="{00000000-0005-0000-0000-00007EAB0000}"/>
    <cellStyle name="Output 3 2 2" xfId="686" xr:uid="{00000000-0005-0000-0000-00007FAB0000}"/>
    <cellStyle name="Output 3 2 2 10" xfId="24420" xr:uid="{00000000-0005-0000-0000-000080AB0000}"/>
    <cellStyle name="Output 3 2 2 11" xfId="28313" xr:uid="{00000000-0005-0000-0000-000081AB0000}"/>
    <cellStyle name="Output 3 2 2 12" xfId="31356" xr:uid="{00000000-0005-0000-0000-000082AB0000}"/>
    <cellStyle name="Output 3 2 2 13" xfId="35757" xr:uid="{00000000-0005-0000-0000-000083AB0000}"/>
    <cellStyle name="Output 3 2 2 14" xfId="39780" xr:uid="{00000000-0005-0000-0000-000084AB0000}"/>
    <cellStyle name="Output 3 2 2 15" xfId="43583" xr:uid="{00000000-0005-0000-0000-000085AB0000}"/>
    <cellStyle name="Output 3 2 2 2" xfId="1066" xr:uid="{00000000-0005-0000-0000-000086AB0000}"/>
    <cellStyle name="Output 3 2 2 2 10" xfId="28677" xr:uid="{00000000-0005-0000-0000-000087AB0000}"/>
    <cellStyle name="Output 3 2 2 2 11" xfId="32363" xr:uid="{00000000-0005-0000-0000-000088AB0000}"/>
    <cellStyle name="Output 3 2 2 2 12" xfId="36124" xr:uid="{00000000-0005-0000-0000-000089AB0000}"/>
    <cellStyle name="Output 3 2 2 2 13" xfId="40127" xr:uid="{00000000-0005-0000-0000-00008AAB0000}"/>
    <cellStyle name="Output 3 2 2 2 14" xfId="43950" xr:uid="{00000000-0005-0000-0000-00008BAB0000}"/>
    <cellStyle name="Output 3 2 2 2 2" xfId="1793" xr:uid="{00000000-0005-0000-0000-00008CAB0000}"/>
    <cellStyle name="Output 3 2 2 2 2 10" xfId="33080" xr:uid="{00000000-0005-0000-0000-00008DAB0000}"/>
    <cellStyle name="Output 3 2 2 2 2 11" xfId="36850" xr:uid="{00000000-0005-0000-0000-00008EAB0000}"/>
    <cellStyle name="Output 3 2 2 2 2 12" xfId="40841" xr:uid="{00000000-0005-0000-0000-00008FAB0000}"/>
    <cellStyle name="Output 3 2 2 2 2 13" xfId="44672" xr:uid="{00000000-0005-0000-0000-000090AB0000}"/>
    <cellStyle name="Output 3 2 2 2 2 2" xfId="3783" xr:uid="{00000000-0005-0000-0000-000091AB0000}"/>
    <cellStyle name="Output 3 2 2 2 2 2 10" xfId="38834" xr:uid="{00000000-0005-0000-0000-000092AB0000}"/>
    <cellStyle name="Output 3 2 2 2 2 2 11" xfId="42845" xr:uid="{00000000-0005-0000-0000-000093AB0000}"/>
    <cellStyle name="Output 3 2 2 2 2 2 12" xfId="46610" xr:uid="{00000000-0005-0000-0000-000094AB0000}"/>
    <cellStyle name="Output 3 2 2 2 2 2 2" xfId="7650" xr:uid="{00000000-0005-0000-0000-000095AB0000}"/>
    <cellStyle name="Output 3 2 2 2 2 2 3" xfId="12085" xr:uid="{00000000-0005-0000-0000-000096AB0000}"/>
    <cellStyle name="Output 3 2 2 2 2 2 4" xfId="15930" xr:uid="{00000000-0005-0000-0000-000097AB0000}"/>
    <cellStyle name="Output 3 2 2 2 2 2 5" xfId="19777" xr:uid="{00000000-0005-0000-0000-000098AB0000}"/>
    <cellStyle name="Output 3 2 2 2 2 2 6" xfId="23693" xr:uid="{00000000-0005-0000-0000-000099AB0000}"/>
    <cellStyle name="Output 3 2 2 2 2 2 7" xfId="27527" xr:uid="{00000000-0005-0000-0000-00009AAB0000}"/>
    <cellStyle name="Output 3 2 2 2 2 2 8" xfId="31391" xr:uid="{00000000-0005-0000-0000-00009BAB0000}"/>
    <cellStyle name="Output 3 2 2 2 2 2 9" xfId="35048" xr:uid="{00000000-0005-0000-0000-00009CAB0000}"/>
    <cellStyle name="Output 3 2 2 2 2 3" xfId="5726" xr:uid="{00000000-0005-0000-0000-00009DAB0000}"/>
    <cellStyle name="Output 3 2 2 2 2 4" xfId="10084" xr:uid="{00000000-0005-0000-0000-00009EAB0000}"/>
    <cellStyle name="Output 3 2 2 2 2 5" xfId="13930" xr:uid="{00000000-0005-0000-0000-00009FAB0000}"/>
    <cellStyle name="Output 3 2 2 2 2 6" xfId="17759" xr:uid="{00000000-0005-0000-0000-0000A0AB0000}"/>
    <cellStyle name="Output 3 2 2 2 2 7" xfId="21698" xr:uid="{00000000-0005-0000-0000-0000A1AB0000}"/>
    <cellStyle name="Output 3 2 2 2 2 8" xfId="25511" xr:uid="{00000000-0005-0000-0000-0000A2AB0000}"/>
    <cellStyle name="Output 3 2 2 2 2 9" xfId="29398" xr:uid="{00000000-0005-0000-0000-0000A3AB0000}"/>
    <cellStyle name="Output 3 2 2 2 3" xfId="3056" xr:uid="{00000000-0005-0000-0000-0000A4AB0000}"/>
    <cellStyle name="Output 3 2 2 2 3 10" xfId="38108" xr:uid="{00000000-0005-0000-0000-0000A5AB0000}"/>
    <cellStyle name="Output 3 2 2 2 3 11" xfId="42120" xr:uid="{00000000-0005-0000-0000-0000A6AB0000}"/>
    <cellStyle name="Output 3 2 2 2 3 12" xfId="45893" xr:uid="{00000000-0005-0000-0000-0000A7AB0000}"/>
    <cellStyle name="Output 3 2 2 2 3 2" xfId="6932" xr:uid="{00000000-0005-0000-0000-0000A8AB0000}"/>
    <cellStyle name="Output 3 2 2 2 3 3" xfId="11361" xr:uid="{00000000-0005-0000-0000-0000A9AB0000}"/>
    <cellStyle name="Output 3 2 2 2 3 4" xfId="15205" xr:uid="{00000000-0005-0000-0000-0000AAAB0000}"/>
    <cellStyle name="Output 3 2 2 2 3 5" xfId="19050" xr:uid="{00000000-0005-0000-0000-0000ABAB0000}"/>
    <cellStyle name="Output 3 2 2 2 3 6" xfId="22972" xr:uid="{00000000-0005-0000-0000-0000ACAB0000}"/>
    <cellStyle name="Output 3 2 2 2 3 7" xfId="26801" xr:uid="{00000000-0005-0000-0000-0000ADAB0000}"/>
    <cellStyle name="Output 3 2 2 2 3 8" xfId="30675" xr:uid="{00000000-0005-0000-0000-0000AEAB0000}"/>
    <cellStyle name="Output 3 2 2 2 3 9" xfId="34331" xr:uid="{00000000-0005-0000-0000-0000AFAB0000}"/>
    <cellStyle name="Output 3 2 2 2 4" xfId="5008" xr:uid="{00000000-0005-0000-0000-0000B0AB0000}"/>
    <cellStyle name="Output 3 2 2 2 5" xfId="9364" xr:uid="{00000000-0005-0000-0000-0000B1AB0000}"/>
    <cellStyle name="Output 3 2 2 2 6" xfId="13204" xr:uid="{00000000-0005-0000-0000-0000B2AB0000}"/>
    <cellStyle name="Output 3 2 2 2 7" xfId="17032" xr:uid="{00000000-0005-0000-0000-0000B3AB0000}"/>
    <cellStyle name="Output 3 2 2 2 8" xfId="20974" xr:uid="{00000000-0005-0000-0000-0000B4AB0000}"/>
    <cellStyle name="Output 3 2 2 2 9" xfId="24788" xr:uid="{00000000-0005-0000-0000-0000B5AB0000}"/>
    <cellStyle name="Output 3 2 2 3" xfId="1440" xr:uid="{00000000-0005-0000-0000-0000B6AB0000}"/>
    <cellStyle name="Output 3 2 2 3 10" xfId="32727" xr:uid="{00000000-0005-0000-0000-0000B7AB0000}"/>
    <cellStyle name="Output 3 2 2 3 11" xfId="36497" xr:uid="{00000000-0005-0000-0000-0000B8AB0000}"/>
    <cellStyle name="Output 3 2 2 3 12" xfId="40488" xr:uid="{00000000-0005-0000-0000-0000B9AB0000}"/>
    <cellStyle name="Output 3 2 2 3 13" xfId="44319" xr:uid="{00000000-0005-0000-0000-0000BAAB0000}"/>
    <cellStyle name="Output 3 2 2 3 2" xfId="3430" xr:uid="{00000000-0005-0000-0000-0000BBAB0000}"/>
    <cellStyle name="Output 3 2 2 3 2 10" xfId="38481" xr:uid="{00000000-0005-0000-0000-0000BCAB0000}"/>
    <cellStyle name="Output 3 2 2 3 2 11" xfId="42492" xr:uid="{00000000-0005-0000-0000-0000BDAB0000}"/>
    <cellStyle name="Output 3 2 2 3 2 12" xfId="46257" xr:uid="{00000000-0005-0000-0000-0000BEAB0000}"/>
    <cellStyle name="Output 3 2 2 3 2 2" xfId="7297" xr:uid="{00000000-0005-0000-0000-0000BFAB0000}"/>
    <cellStyle name="Output 3 2 2 3 2 3" xfId="11732" xr:uid="{00000000-0005-0000-0000-0000C0AB0000}"/>
    <cellStyle name="Output 3 2 2 3 2 4" xfId="15577" xr:uid="{00000000-0005-0000-0000-0000C1AB0000}"/>
    <cellStyle name="Output 3 2 2 3 2 5" xfId="19424" xr:uid="{00000000-0005-0000-0000-0000C2AB0000}"/>
    <cellStyle name="Output 3 2 2 3 2 6" xfId="23340" xr:uid="{00000000-0005-0000-0000-0000C3AB0000}"/>
    <cellStyle name="Output 3 2 2 3 2 7" xfId="27174" xr:uid="{00000000-0005-0000-0000-0000C4AB0000}"/>
    <cellStyle name="Output 3 2 2 3 2 8" xfId="31042" xr:uid="{00000000-0005-0000-0000-0000C5AB0000}"/>
    <cellStyle name="Output 3 2 2 3 2 9" xfId="34695" xr:uid="{00000000-0005-0000-0000-0000C6AB0000}"/>
    <cellStyle name="Output 3 2 2 3 3" xfId="5373" xr:uid="{00000000-0005-0000-0000-0000C7AB0000}"/>
    <cellStyle name="Output 3 2 2 3 4" xfId="9731" xr:uid="{00000000-0005-0000-0000-0000C8AB0000}"/>
    <cellStyle name="Output 3 2 2 3 5" xfId="13577" xr:uid="{00000000-0005-0000-0000-0000C9AB0000}"/>
    <cellStyle name="Output 3 2 2 3 6" xfId="17406" xr:uid="{00000000-0005-0000-0000-0000CAAB0000}"/>
    <cellStyle name="Output 3 2 2 3 7" xfId="21345" xr:uid="{00000000-0005-0000-0000-0000CBAB0000}"/>
    <cellStyle name="Output 3 2 2 3 8" xfId="25158" xr:uid="{00000000-0005-0000-0000-0000CCAB0000}"/>
    <cellStyle name="Output 3 2 2 3 9" xfId="29045" xr:uid="{00000000-0005-0000-0000-0000CDAB0000}"/>
    <cellStyle name="Output 3 2 2 4" xfId="2689" xr:uid="{00000000-0005-0000-0000-0000CEAB0000}"/>
    <cellStyle name="Output 3 2 2 4 10" xfId="37741" xr:uid="{00000000-0005-0000-0000-0000CFAB0000}"/>
    <cellStyle name="Output 3 2 2 4 11" xfId="41755" xr:uid="{00000000-0005-0000-0000-0000D0AB0000}"/>
    <cellStyle name="Output 3 2 2 4 12" xfId="45540" xr:uid="{00000000-0005-0000-0000-0000D1AB0000}"/>
    <cellStyle name="Output 3 2 2 4 2" xfId="6577" xr:uid="{00000000-0005-0000-0000-0000D2AB0000}"/>
    <cellStyle name="Output 3 2 2 4 3" xfId="11001" xr:uid="{00000000-0005-0000-0000-0000D3AB0000}"/>
    <cellStyle name="Output 3 2 2 4 4" xfId="14845" xr:uid="{00000000-0005-0000-0000-0000D4AB0000}"/>
    <cellStyle name="Output 3 2 2 4 5" xfId="18683" xr:uid="{00000000-0005-0000-0000-0000D5AB0000}"/>
    <cellStyle name="Output 3 2 2 4 6" xfId="22614" xr:uid="{00000000-0005-0000-0000-0000D6AB0000}"/>
    <cellStyle name="Output 3 2 2 4 7" xfId="26434" xr:uid="{00000000-0005-0000-0000-0000D7AB0000}"/>
    <cellStyle name="Output 3 2 2 4 8" xfId="30313" xr:uid="{00000000-0005-0000-0000-0000D8AB0000}"/>
    <cellStyle name="Output 3 2 2 4 9" xfId="33978" xr:uid="{00000000-0005-0000-0000-0000D9AB0000}"/>
    <cellStyle name="Output 3 2 2 5" xfId="4653" xr:uid="{00000000-0005-0000-0000-0000DAAB0000}"/>
    <cellStyle name="Output 3 2 2 6" xfId="8995" xr:uid="{00000000-0005-0000-0000-0000DBAB0000}"/>
    <cellStyle name="Output 3 2 2 7" xfId="12832" xr:uid="{00000000-0005-0000-0000-0000DCAB0000}"/>
    <cellStyle name="Output 3 2 2 8" xfId="16662" xr:uid="{00000000-0005-0000-0000-0000DDAB0000}"/>
    <cellStyle name="Output 3 2 2 9" xfId="20599" xr:uid="{00000000-0005-0000-0000-0000DEAB0000}"/>
    <cellStyle name="Output 3 2 20" xfId="8861" xr:uid="{00000000-0005-0000-0000-0000DFAB0000}"/>
    <cellStyle name="Output 3 2 21" xfId="8466" xr:uid="{00000000-0005-0000-0000-0000E0AB0000}"/>
    <cellStyle name="Output 3 2 22" xfId="8629" xr:uid="{00000000-0005-0000-0000-0000E1AB0000}"/>
    <cellStyle name="Output 3 2 23" xfId="18056" xr:uid="{00000000-0005-0000-0000-0000E2AB0000}"/>
    <cellStyle name="Output 3 2 24" xfId="8429" xr:uid="{00000000-0005-0000-0000-0000E3AB0000}"/>
    <cellStyle name="Output 3 2 25" xfId="25803" xr:uid="{00000000-0005-0000-0000-0000E4AB0000}"/>
    <cellStyle name="Output 3 2 26" xfId="31416" xr:uid="{00000000-0005-0000-0000-0000E5AB0000}"/>
    <cellStyle name="Output 3 2 27" xfId="10412" xr:uid="{00000000-0005-0000-0000-0000E6AB0000}"/>
    <cellStyle name="Output 3 2 28" xfId="39649" xr:uid="{00000000-0005-0000-0000-0000E7AB0000}"/>
    <cellStyle name="Output 3 2 29" xfId="40256" xr:uid="{00000000-0005-0000-0000-0000E8AB0000}"/>
    <cellStyle name="Output 3 2 3" xfId="625" xr:uid="{00000000-0005-0000-0000-0000E9AB0000}"/>
    <cellStyle name="Output 3 2 3 10" xfId="12604" xr:uid="{00000000-0005-0000-0000-0000EAAB0000}"/>
    <cellStyle name="Output 3 2 3 11" xfId="28252" xr:uid="{00000000-0005-0000-0000-0000EBAB0000}"/>
    <cellStyle name="Output 3 2 3 12" xfId="31242" xr:uid="{00000000-0005-0000-0000-0000ECAB0000}"/>
    <cellStyle name="Output 3 2 3 13" xfId="33378" xr:uid="{00000000-0005-0000-0000-0000EDAB0000}"/>
    <cellStyle name="Output 3 2 3 14" xfId="39720" xr:uid="{00000000-0005-0000-0000-0000EEAB0000}"/>
    <cellStyle name="Output 3 2 3 15" xfId="39561" xr:uid="{00000000-0005-0000-0000-0000EFAB0000}"/>
    <cellStyle name="Output 3 2 3 2" xfId="1005" xr:uid="{00000000-0005-0000-0000-0000F0AB0000}"/>
    <cellStyle name="Output 3 2 3 2 10" xfId="28616" xr:uid="{00000000-0005-0000-0000-0000F1AB0000}"/>
    <cellStyle name="Output 3 2 3 2 11" xfId="32304" xr:uid="{00000000-0005-0000-0000-0000F2AB0000}"/>
    <cellStyle name="Output 3 2 3 2 12" xfId="36063" xr:uid="{00000000-0005-0000-0000-0000F3AB0000}"/>
    <cellStyle name="Output 3 2 3 2 13" xfId="40068" xr:uid="{00000000-0005-0000-0000-0000F4AB0000}"/>
    <cellStyle name="Output 3 2 3 2 14" xfId="43889" xr:uid="{00000000-0005-0000-0000-0000F5AB0000}"/>
    <cellStyle name="Output 3 2 3 2 2" xfId="1734" xr:uid="{00000000-0005-0000-0000-0000F6AB0000}"/>
    <cellStyle name="Output 3 2 3 2 2 10" xfId="33021" xr:uid="{00000000-0005-0000-0000-0000F7AB0000}"/>
    <cellStyle name="Output 3 2 3 2 2 11" xfId="36791" xr:uid="{00000000-0005-0000-0000-0000F8AB0000}"/>
    <cellStyle name="Output 3 2 3 2 2 12" xfId="40782" xr:uid="{00000000-0005-0000-0000-0000F9AB0000}"/>
    <cellStyle name="Output 3 2 3 2 2 13" xfId="44613" xr:uid="{00000000-0005-0000-0000-0000FAAB0000}"/>
    <cellStyle name="Output 3 2 3 2 2 2" xfId="3724" xr:uid="{00000000-0005-0000-0000-0000FBAB0000}"/>
    <cellStyle name="Output 3 2 3 2 2 2 10" xfId="38775" xr:uid="{00000000-0005-0000-0000-0000FCAB0000}"/>
    <cellStyle name="Output 3 2 3 2 2 2 11" xfId="42786" xr:uid="{00000000-0005-0000-0000-0000FDAB0000}"/>
    <cellStyle name="Output 3 2 3 2 2 2 12" xfId="46551" xr:uid="{00000000-0005-0000-0000-0000FEAB0000}"/>
    <cellStyle name="Output 3 2 3 2 2 2 2" xfId="7591" xr:uid="{00000000-0005-0000-0000-0000FFAB0000}"/>
    <cellStyle name="Output 3 2 3 2 2 2 3" xfId="12026" xr:uid="{00000000-0005-0000-0000-000000AC0000}"/>
    <cellStyle name="Output 3 2 3 2 2 2 4" xfId="15871" xr:uid="{00000000-0005-0000-0000-000001AC0000}"/>
    <cellStyle name="Output 3 2 3 2 2 2 5" xfId="19718" xr:uid="{00000000-0005-0000-0000-000002AC0000}"/>
    <cellStyle name="Output 3 2 3 2 2 2 6" xfId="23634" xr:uid="{00000000-0005-0000-0000-000003AC0000}"/>
    <cellStyle name="Output 3 2 3 2 2 2 7" xfId="27468" xr:uid="{00000000-0005-0000-0000-000004AC0000}"/>
    <cellStyle name="Output 3 2 3 2 2 2 8" xfId="31332" xr:uid="{00000000-0005-0000-0000-000005AC0000}"/>
    <cellStyle name="Output 3 2 3 2 2 2 9" xfId="34989" xr:uid="{00000000-0005-0000-0000-000006AC0000}"/>
    <cellStyle name="Output 3 2 3 2 2 3" xfId="5667" xr:uid="{00000000-0005-0000-0000-000007AC0000}"/>
    <cellStyle name="Output 3 2 3 2 2 4" xfId="10025" xr:uid="{00000000-0005-0000-0000-000008AC0000}"/>
    <cellStyle name="Output 3 2 3 2 2 5" xfId="13871" xr:uid="{00000000-0005-0000-0000-000009AC0000}"/>
    <cellStyle name="Output 3 2 3 2 2 6" xfId="17700" xr:uid="{00000000-0005-0000-0000-00000AAC0000}"/>
    <cellStyle name="Output 3 2 3 2 2 7" xfId="21639" xr:uid="{00000000-0005-0000-0000-00000BAC0000}"/>
    <cellStyle name="Output 3 2 3 2 2 8" xfId="25452" xr:uid="{00000000-0005-0000-0000-00000CAC0000}"/>
    <cellStyle name="Output 3 2 3 2 2 9" xfId="29339" xr:uid="{00000000-0005-0000-0000-00000DAC0000}"/>
    <cellStyle name="Output 3 2 3 2 3" xfId="2995" xr:uid="{00000000-0005-0000-0000-00000EAC0000}"/>
    <cellStyle name="Output 3 2 3 2 3 10" xfId="38047" xr:uid="{00000000-0005-0000-0000-00000FAC0000}"/>
    <cellStyle name="Output 3 2 3 2 3 11" xfId="42059" xr:uid="{00000000-0005-0000-0000-000010AC0000}"/>
    <cellStyle name="Output 3 2 3 2 3 12" xfId="45834" xr:uid="{00000000-0005-0000-0000-000011AC0000}"/>
    <cellStyle name="Output 3 2 3 2 3 2" xfId="6873" xr:uid="{00000000-0005-0000-0000-000012AC0000}"/>
    <cellStyle name="Output 3 2 3 2 3 3" xfId="11301" xr:uid="{00000000-0005-0000-0000-000013AC0000}"/>
    <cellStyle name="Output 3 2 3 2 3 4" xfId="15146" xr:uid="{00000000-0005-0000-0000-000014AC0000}"/>
    <cellStyle name="Output 3 2 3 2 3 5" xfId="18989" xr:uid="{00000000-0005-0000-0000-000015AC0000}"/>
    <cellStyle name="Output 3 2 3 2 3 6" xfId="22913" xr:uid="{00000000-0005-0000-0000-000016AC0000}"/>
    <cellStyle name="Output 3 2 3 2 3 7" xfId="26740" xr:uid="{00000000-0005-0000-0000-000017AC0000}"/>
    <cellStyle name="Output 3 2 3 2 3 8" xfId="30614" xr:uid="{00000000-0005-0000-0000-000018AC0000}"/>
    <cellStyle name="Output 3 2 3 2 3 9" xfId="34272" xr:uid="{00000000-0005-0000-0000-000019AC0000}"/>
    <cellStyle name="Output 3 2 3 2 4" xfId="4949" xr:uid="{00000000-0005-0000-0000-00001AAC0000}"/>
    <cellStyle name="Output 3 2 3 2 5" xfId="9304" xr:uid="{00000000-0005-0000-0000-00001BAC0000}"/>
    <cellStyle name="Output 3 2 3 2 6" xfId="13145" xr:uid="{00000000-0005-0000-0000-00001CAC0000}"/>
    <cellStyle name="Output 3 2 3 2 7" xfId="16971" xr:uid="{00000000-0005-0000-0000-00001DAC0000}"/>
    <cellStyle name="Output 3 2 3 2 8" xfId="20913" xr:uid="{00000000-0005-0000-0000-00001EAC0000}"/>
    <cellStyle name="Output 3 2 3 2 9" xfId="24728" xr:uid="{00000000-0005-0000-0000-00001FAC0000}"/>
    <cellStyle name="Output 3 2 3 3" xfId="1381" xr:uid="{00000000-0005-0000-0000-000020AC0000}"/>
    <cellStyle name="Output 3 2 3 3 10" xfId="32668" xr:uid="{00000000-0005-0000-0000-000021AC0000}"/>
    <cellStyle name="Output 3 2 3 3 11" xfId="36438" xr:uid="{00000000-0005-0000-0000-000022AC0000}"/>
    <cellStyle name="Output 3 2 3 3 12" xfId="40429" xr:uid="{00000000-0005-0000-0000-000023AC0000}"/>
    <cellStyle name="Output 3 2 3 3 13" xfId="44260" xr:uid="{00000000-0005-0000-0000-000024AC0000}"/>
    <cellStyle name="Output 3 2 3 3 2" xfId="3371" xr:uid="{00000000-0005-0000-0000-000025AC0000}"/>
    <cellStyle name="Output 3 2 3 3 2 10" xfId="38422" xr:uid="{00000000-0005-0000-0000-000026AC0000}"/>
    <cellStyle name="Output 3 2 3 3 2 11" xfId="42433" xr:uid="{00000000-0005-0000-0000-000027AC0000}"/>
    <cellStyle name="Output 3 2 3 3 2 12" xfId="46198" xr:uid="{00000000-0005-0000-0000-000028AC0000}"/>
    <cellStyle name="Output 3 2 3 3 2 2" xfId="7238" xr:uid="{00000000-0005-0000-0000-000029AC0000}"/>
    <cellStyle name="Output 3 2 3 3 2 3" xfId="11673" xr:uid="{00000000-0005-0000-0000-00002AAC0000}"/>
    <cellStyle name="Output 3 2 3 3 2 4" xfId="15518" xr:uid="{00000000-0005-0000-0000-00002BAC0000}"/>
    <cellStyle name="Output 3 2 3 3 2 5" xfId="19365" xr:uid="{00000000-0005-0000-0000-00002CAC0000}"/>
    <cellStyle name="Output 3 2 3 3 2 6" xfId="23281" xr:uid="{00000000-0005-0000-0000-00002DAC0000}"/>
    <cellStyle name="Output 3 2 3 3 2 7" xfId="27115" xr:uid="{00000000-0005-0000-0000-00002EAC0000}"/>
    <cellStyle name="Output 3 2 3 3 2 8" xfId="30983" xr:uid="{00000000-0005-0000-0000-00002FAC0000}"/>
    <cellStyle name="Output 3 2 3 3 2 9" xfId="34636" xr:uid="{00000000-0005-0000-0000-000030AC0000}"/>
    <cellStyle name="Output 3 2 3 3 3" xfId="5314" xr:uid="{00000000-0005-0000-0000-000031AC0000}"/>
    <cellStyle name="Output 3 2 3 3 4" xfId="9672" xr:uid="{00000000-0005-0000-0000-000032AC0000}"/>
    <cellStyle name="Output 3 2 3 3 5" xfId="13518" xr:uid="{00000000-0005-0000-0000-000033AC0000}"/>
    <cellStyle name="Output 3 2 3 3 6" xfId="17347" xr:uid="{00000000-0005-0000-0000-000034AC0000}"/>
    <cellStyle name="Output 3 2 3 3 7" xfId="21286" xr:uid="{00000000-0005-0000-0000-000035AC0000}"/>
    <cellStyle name="Output 3 2 3 3 8" xfId="25099" xr:uid="{00000000-0005-0000-0000-000036AC0000}"/>
    <cellStyle name="Output 3 2 3 3 9" xfId="28986" xr:uid="{00000000-0005-0000-0000-000037AC0000}"/>
    <cellStyle name="Output 3 2 3 4" xfId="2628" xr:uid="{00000000-0005-0000-0000-000038AC0000}"/>
    <cellStyle name="Output 3 2 3 4 10" xfId="37680" xr:uid="{00000000-0005-0000-0000-000039AC0000}"/>
    <cellStyle name="Output 3 2 3 4 11" xfId="41694" xr:uid="{00000000-0005-0000-0000-00003AAC0000}"/>
    <cellStyle name="Output 3 2 3 4 12" xfId="45481" xr:uid="{00000000-0005-0000-0000-00003BAC0000}"/>
    <cellStyle name="Output 3 2 3 4 2" xfId="6518" xr:uid="{00000000-0005-0000-0000-00003CAC0000}"/>
    <cellStyle name="Output 3 2 3 4 3" xfId="10942" xr:uid="{00000000-0005-0000-0000-00003DAC0000}"/>
    <cellStyle name="Output 3 2 3 4 4" xfId="14786" xr:uid="{00000000-0005-0000-0000-00003EAC0000}"/>
    <cellStyle name="Output 3 2 3 4 5" xfId="18622" xr:uid="{00000000-0005-0000-0000-00003FAC0000}"/>
    <cellStyle name="Output 3 2 3 4 6" xfId="22555" xr:uid="{00000000-0005-0000-0000-000040AC0000}"/>
    <cellStyle name="Output 3 2 3 4 7" xfId="26373" xr:uid="{00000000-0005-0000-0000-000041AC0000}"/>
    <cellStyle name="Output 3 2 3 4 8" xfId="30252" xr:uid="{00000000-0005-0000-0000-000042AC0000}"/>
    <cellStyle name="Output 3 2 3 4 9" xfId="33919" xr:uid="{00000000-0005-0000-0000-000043AC0000}"/>
    <cellStyle name="Output 3 2 3 5" xfId="4594" xr:uid="{00000000-0005-0000-0000-000044AC0000}"/>
    <cellStyle name="Output 3 2 3 6" xfId="8934" xr:uid="{00000000-0005-0000-0000-000045AC0000}"/>
    <cellStyle name="Output 3 2 3 7" xfId="10395" xr:uid="{00000000-0005-0000-0000-000046AC0000}"/>
    <cellStyle name="Output 3 2 3 8" xfId="14239" xr:uid="{00000000-0005-0000-0000-000047AC0000}"/>
    <cellStyle name="Output 3 2 3 9" xfId="20538" xr:uid="{00000000-0005-0000-0000-000048AC0000}"/>
    <cellStyle name="Output 3 2 30" xfId="47361" xr:uid="{00000000-0005-0000-0000-000049AC0000}"/>
    <cellStyle name="Output 3 2 31" xfId="47449" xr:uid="{00000000-0005-0000-0000-00004AAC0000}"/>
    <cellStyle name="Output 3 2 32" xfId="47496" xr:uid="{00000000-0005-0000-0000-00004BAC0000}"/>
    <cellStyle name="Output 3 2 4" xfId="717" xr:uid="{00000000-0005-0000-0000-00004CAC0000}"/>
    <cellStyle name="Output 3 2 4 10" xfId="24450" xr:uid="{00000000-0005-0000-0000-00004DAC0000}"/>
    <cellStyle name="Output 3 2 4 11" xfId="28343" xr:uid="{00000000-0005-0000-0000-00004EAC0000}"/>
    <cellStyle name="Output 3 2 4 12" xfId="29704" xr:uid="{00000000-0005-0000-0000-00004FAC0000}"/>
    <cellStyle name="Output 3 2 4 13" xfId="35788" xr:uid="{00000000-0005-0000-0000-000050AC0000}"/>
    <cellStyle name="Output 3 2 4 14" xfId="39809" xr:uid="{00000000-0005-0000-0000-000051AC0000}"/>
    <cellStyle name="Output 3 2 4 15" xfId="43614" xr:uid="{00000000-0005-0000-0000-000052AC0000}"/>
    <cellStyle name="Output 3 2 4 2" xfId="1096" xr:uid="{00000000-0005-0000-0000-000053AC0000}"/>
    <cellStyle name="Output 3 2 4 2 10" xfId="28706" xr:uid="{00000000-0005-0000-0000-000054AC0000}"/>
    <cellStyle name="Output 3 2 4 2 11" xfId="32393" xr:uid="{00000000-0005-0000-0000-000055AC0000}"/>
    <cellStyle name="Output 3 2 4 2 12" xfId="36154" xr:uid="{00000000-0005-0000-0000-000056AC0000}"/>
    <cellStyle name="Output 3 2 4 2 13" xfId="40156" xr:uid="{00000000-0005-0000-0000-000057AC0000}"/>
    <cellStyle name="Output 3 2 4 2 14" xfId="43980" xr:uid="{00000000-0005-0000-0000-000058AC0000}"/>
    <cellStyle name="Output 3 2 4 2 2" xfId="1823" xr:uid="{00000000-0005-0000-0000-000059AC0000}"/>
    <cellStyle name="Output 3 2 4 2 2 10" xfId="33110" xr:uid="{00000000-0005-0000-0000-00005AAC0000}"/>
    <cellStyle name="Output 3 2 4 2 2 11" xfId="36880" xr:uid="{00000000-0005-0000-0000-00005BAC0000}"/>
    <cellStyle name="Output 3 2 4 2 2 12" xfId="40871" xr:uid="{00000000-0005-0000-0000-00005CAC0000}"/>
    <cellStyle name="Output 3 2 4 2 2 13" xfId="44702" xr:uid="{00000000-0005-0000-0000-00005DAC0000}"/>
    <cellStyle name="Output 3 2 4 2 2 2" xfId="3813" xr:uid="{00000000-0005-0000-0000-00005EAC0000}"/>
    <cellStyle name="Output 3 2 4 2 2 2 10" xfId="38864" xr:uid="{00000000-0005-0000-0000-00005FAC0000}"/>
    <cellStyle name="Output 3 2 4 2 2 2 11" xfId="42875" xr:uid="{00000000-0005-0000-0000-000060AC0000}"/>
    <cellStyle name="Output 3 2 4 2 2 2 12" xfId="46640" xr:uid="{00000000-0005-0000-0000-000061AC0000}"/>
    <cellStyle name="Output 3 2 4 2 2 2 2" xfId="7680" xr:uid="{00000000-0005-0000-0000-000062AC0000}"/>
    <cellStyle name="Output 3 2 4 2 2 2 3" xfId="12115" xr:uid="{00000000-0005-0000-0000-000063AC0000}"/>
    <cellStyle name="Output 3 2 4 2 2 2 4" xfId="15960" xr:uid="{00000000-0005-0000-0000-000064AC0000}"/>
    <cellStyle name="Output 3 2 4 2 2 2 5" xfId="19807" xr:uid="{00000000-0005-0000-0000-000065AC0000}"/>
    <cellStyle name="Output 3 2 4 2 2 2 6" xfId="23723" xr:uid="{00000000-0005-0000-0000-000066AC0000}"/>
    <cellStyle name="Output 3 2 4 2 2 2 7" xfId="27557" xr:uid="{00000000-0005-0000-0000-000067AC0000}"/>
    <cellStyle name="Output 3 2 4 2 2 2 8" xfId="31421" xr:uid="{00000000-0005-0000-0000-000068AC0000}"/>
    <cellStyle name="Output 3 2 4 2 2 2 9" xfId="35078" xr:uid="{00000000-0005-0000-0000-000069AC0000}"/>
    <cellStyle name="Output 3 2 4 2 2 3" xfId="5756" xr:uid="{00000000-0005-0000-0000-00006AAC0000}"/>
    <cellStyle name="Output 3 2 4 2 2 4" xfId="10114" xr:uid="{00000000-0005-0000-0000-00006BAC0000}"/>
    <cellStyle name="Output 3 2 4 2 2 5" xfId="13960" xr:uid="{00000000-0005-0000-0000-00006CAC0000}"/>
    <cellStyle name="Output 3 2 4 2 2 6" xfId="17789" xr:uid="{00000000-0005-0000-0000-00006DAC0000}"/>
    <cellStyle name="Output 3 2 4 2 2 7" xfId="21728" xr:uid="{00000000-0005-0000-0000-00006EAC0000}"/>
    <cellStyle name="Output 3 2 4 2 2 8" xfId="25541" xr:uid="{00000000-0005-0000-0000-00006FAC0000}"/>
    <cellStyle name="Output 3 2 4 2 2 9" xfId="29428" xr:uid="{00000000-0005-0000-0000-000070AC0000}"/>
    <cellStyle name="Output 3 2 4 2 3" xfId="3086" xr:uid="{00000000-0005-0000-0000-000071AC0000}"/>
    <cellStyle name="Output 3 2 4 2 3 10" xfId="38138" xr:uid="{00000000-0005-0000-0000-000072AC0000}"/>
    <cellStyle name="Output 3 2 4 2 3 11" xfId="42150" xr:uid="{00000000-0005-0000-0000-000073AC0000}"/>
    <cellStyle name="Output 3 2 4 2 3 12" xfId="45923" xr:uid="{00000000-0005-0000-0000-000074AC0000}"/>
    <cellStyle name="Output 3 2 4 2 3 2" xfId="6962" xr:uid="{00000000-0005-0000-0000-000075AC0000}"/>
    <cellStyle name="Output 3 2 4 2 3 3" xfId="11391" xr:uid="{00000000-0005-0000-0000-000076AC0000}"/>
    <cellStyle name="Output 3 2 4 2 3 4" xfId="15235" xr:uid="{00000000-0005-0000-0000-000077AC0000}"/>
    <cellStyle name="Output 3 2 4 2 3 5" xfId="19080" xr:uid="{00000000-0005-0000-0000-000078AC0000}"/>
    <cellStyle name="Output 3 2 4 2 3 6" xfId="23002" xr:uid="{00000000-0005-0000-0000-000079AC0000}"/>
    <cellStyle name="Output 3 2 4 2 3 7" xfId="26831" xr:uid="{00000000-0005-0000-0000-00007AAC0000}"/>
    <cellStyle name="Output 3 2 4 2 3 8" xfId="30704" xr:uid="{00000000-0005-0000-0000-00007BAC0000}"/>
    <cellStyle name="Output 3 2 4 2 3 9" xfId="34361" xr:uid="{00000000-0005-0000-0000-00007CAC0000}"/>
    <cellStyle name="Output 3 2 4 2 4" xfId="5038" xr:uid="{00000000-0005-0000-0000-00007DAC0000}"/>
    <cellStyle name="Output 3 2 4 2 5" xfId="9394" xr:uid="{00000000-0005-0000-0000-00007EAC0000}"/>
    <cellStyle name="Output 3 2 4 2 6" xfId="13234" xr:uid="{00000000-0005-0000-0000-00007FAC0000}"/>
    <cellStyle name="Output 3 2 4 2 7" xfId="17062" xr:uid="{00000000-0005-0000-0000-000080AC0000}"/>
    <cellStyle name="Output 3 2 4 2 8" xfId="21004" xr:uid="{00000000-0005-0000-0000-000081AC0000}"/>
    <cellStyle name="Output 3 2 4 2 9" xfId="24818" xr:uid="{00000000-0005-0000-0000-000082AC0000}"/>
    <cellStyle name="Output 3 2 4 3" xfId="1470" xr:uid="{00000000-0005-0000-0000-000083AC0000}"/>
    <cellStyle name="Output 3 2 4 3 10" xfId="32757" xr:uid="{00000000-0005-0000-0000-000084AC0000}"/>
    <cellStyle name="Output 3 2 4 3 11" xfId="36527" xr:uid="{00000000-0005-0000-0000-000085AC0000}"/>
    <cellStyle name="Output 3 2 4 3 12" xfId="40518" xr:uid="{00000000-0005-0000-0000-000086AC0000}"/>
    <cellStyle name="Output 3 2 4 3 13" xfId="44349" xr:uid="{00000000-0005-0000-0000-000087AC0000}"/>
    <cellStyle name="Output 3 2 4 3 2" xfId="3460" xr:uid="{00000000-0005-0000-0000-000088AC0000}"/>
    <cellStyle name="Output 3 2 4 3 2 10" xfId="38511" xr:uid="{00000000-0005-0000-0000-000089AC0000}"/>
    <cellStyle name="Output 3 2 4 3 2 11" xfId="42522" xr:uid="{00000000-0005-0000-0000-00008AAC0000}"/>
    <cellStyle name="Output 3 2 4 3 2 12" xfId="46287" xr:uid="{00000000-0005-0000-0000-00008BAC0000}"/>
    <cellStyle name="Output 3 2 4 3 2 2" xfId="7327" xr:uid="{00000000-0005-0000-0000-00008CAC0000}"/>
    <cellStyle name="Output 3 2 4 3 2 3" xfId="11762" xr:uid="{00000000-0005-0000-0000-00008DAC0000}"/>
    <cellStyle name="Output 3 2 4 3 2 4" xfId="15607" xr:uid="{00000000-0005-0000-0000-00008EAC0000}"/>
    <cellStyle name="Output 3 2 4 3 2 5" xfId="19454" xr:uid="{00000000-0005-0000-0000-00008FAC0000}"/>
    <cellStyle name="Output 3 2 4 3 2 6" xfId="23370" xr:uid="{00000000-0005-0000-0000-000090AC0000}"/>
    <cellStyle name="Output 3 2 4 3 2 7" xfId="27204" xr:uid="{00000000-0005-0000-0000-000091AC0000}"/>
    <cellStyle name="Output 3 2 4 3 2 8" xfId="31071" xr:uid="{00000000-0005-0000-0000-000092AC0000}"/>
    <cellStyle name="Output 3 2 4 3 2 9" xfId="34725" xr:uid="{00000000-0005-0000-0000-000093AC0000}"/>
    <cellStyle name="Output 3 2 4 3 3" xfId="5403" xr:uid="{00000000-0005-0000-0000-000094AC0000}"/>
    <cellStyle name="Output 3 2 4 3 4" xfId="9761" xr:uid="{00000000-0005-0000-0000-000095AC0000}"/>
    <cellStyle name="Output 3 2 4 3 5" xfId="13607" xr:uid="{00000000-0005-0000-0000-000096AC0000}"/>
    <cellStyle name="Output 3 2 4 3 6" xfId="17436" xr:uid="{00000000-0005-0000-0000-000097AC0000}"/>
    <cellStyle name="Output 3 2 4 3 7" xfId="21375" xr:uid="{00000000-0005-0000-0000-000098AC0000}"/>
    <cellStyle name="Output 3 2 4 3 8" xfId="25188" xr:uid="{00000000-0005-0000-0000-000099AC0000}"/>
    <cellStyle name="Output 3 2 4 3 9" xfId="29075" xr:uid="{00000000-0005-0000-0000-00009AAC0000}"/>
    <cellStyle name="Output 3 2 4 4" xfId="2720" xr:uid="{00000000-0005-0000-0000-00009BAC0000}"/>
    <cellStyle name="Output 3 2 4 4 10" xfId="37772" xr:uid="{00000000-0005-0000-0000-00009CAC0000}"/>
    <cellStyle name="Output 3 2 4 4 11" xfId="41786" xr:uid="{00000000-0005-0000-0000-00009DAC0000}"/>
    <cellStyle name="Output 3 2 4 4 12" xfId="45570" xr:uid="{00000000-0005-0000-0000-00009EAC0000}"/>
    <cellStyle name="Output 3 2 4 4 2" xfId="6607" xr:uid="{00000000-0005-0000-0000-00009FAC0000}"/>
    <cellStyle name="Output 3 2 4 4 3" xfId="11031" xr:uid="{00000000-0005-0000-0000-0000A0AC0000}"/>
    <cellStyle name="Output 3 2 4 4 4" xfId="14876" xr:uid="{00000000-0005-0000-0000-0000A1AC0000}"/>
    <cellStyle name="Output 3 2 4 4 5" xfId="18714" xr:uid="{00000000-0005-0000-0000-0000A2AC0000}"/>
    <cellStyle name="Output 3 2 4 4 6" xfId="22645" xr:uid="{00000000-0005-0000-0000-0000A3AC0000}"/>
    <cellStyle name="Output 3 2 4 4 7" xfId="26465" xr:uid="{00000000-0005-0000-0000-0000A4AC0000}"/>
    <cellStyle name="Output 3 2 4 4 8" xfId="30344" xr:uid="{00000000-0005-0000-0000-0000A5AC0000}"/>
    <cellStyle name="Output 3 2 4 4 9" xfId="34008" xr:uid="{00000000-0005-0000-0000-0000A6AC0000}"/>
    <cellStyle name="Output 3 2 4 5" xfId="4683" xr:uid="{00000000-0005-0000-0000-0000A7AC0000}"/>
    <cellStyle name="Output 3 2 4 6" xfId="9025" xr:uid="{00000000-0005-0000-0000-0000A8AC0000}"/>
    <cellStyle name="Output 3 2 4 7" xfId="12863" xr:uid="{00000000-0005-0000-0000-0000A9AC0000}"/>
    <cellStyle name="Output 3 2 4 8" xfId="16693" xr:uid="{00000000-0005-0000-0000-0000AAAC0000}"/>
    <cellStyle name="Output 3 2 4 9" xfId="20630" xr:uid="{00000000-0005-0000-0000-0000ABAC0000}"/>
    <cellStyle name="Output 3 2 5" xfId="886" xr:uid="{00000000-0005-0000-0000-0000ACAC0000}"/>
    <cellStyle name="Output 3 2 5 10" xfId="24610" xr:uid="{00000000-0005-0000-0000-0000ADAC0000}"/>
    <cellStyle name="Output 3 2 5 11" xfId="28500" xr:uid="{00000000-0005-0000-0000-0000AEAC0000}"/>
    <cellStyle name="Output 3 2 5 12" xfId="32187" xr:uid="{00000000-0005-0000-0000-0000AFAC0000}"/>
    <cellStyle name="Output 3 2 5 13" xfId="35944" xr:uid="{00000000-0005-0000-0000-0000B0AC0000}"/>
    <cellStyle name="Output 3 2 5 14" xfId="39954" xr:uid="{00000000-0005-0000-0000-0000B1AC0000}"/>
    <cellStyle name="Output 3 2 5 15" xfId="43770" xr:uid="{00000000-0005-0000-0000-0000B2AC0000}"/>
    <cellStyle name="Output 3 2 5 2" xfId="1223" xr:uid="{00000000-0005-0000-0000-0000B3AC0000}"/>
    <cellStyle name="Output 3 2 5 2 10" xfId="28831" xr:uid="{00000000-0005-0000-0000-0000B4AC0000}"/>
    <cellStyle name="Output 3 2 5 2 11" xfId="32515" xr:uid="{00000000-0005-0000-0000-0000B5AC0000}"/>
    <cellStyle name="Output 3 2 5 2 12" xfId="36281" xr:uid="{00000000-0005-0000-0000-0000B6AC0000}"/>
    <cellStyle name="Output 3 2 5 2 13" xfId="40274" xr:uid="{00000000-0005-0000-0000-0000B7AC0000}"/>
    <cellStyle name="Output 3 2 5 2 14" xfId="44107" xr:uid="{00000000-0005-0000-0000-0000B8AC0000}"/>
    <cellStyle name="Output 3 2 5 2 2" xfId="1945" xr:uid="{00000000-0005-0000-0000-0000B9AC0000}"/>
    <cellStyle name="Output 3 2 5 2 2 10" xfId="33232" xr:uid="{00000000-0005-0000-0000-0000BAAC0000}"/>
    <cellStyle name="Output 3 2 5 2 2 11" xfId="37002" xr:uid="{00000000-0005-0000-0000-0000BBAC0000}"/>
    <cellStyle name="Output 3 2 5 2 2 12" xfId="40993" xr:uid="{00000000-0005-0000-0000-0000BCAC0000}"/>
    <cellStyle name="Output 3 2 5 2 2 13" xfId="44824" xr:uid="{00000000-0005-0000-0000-0000BDAC0000}"/>
    <cellStyle name="Output 3 2 5 2 2 2" xfId="3935" xr:uid="{00000000-0005-0000-0000-0000BEAC0000}"/>
    <cellStyle name="Output 3 2 5 2 2 2 10" xfId="38986" xr:uid="{00000000-0005-0000-0000-0000BFAC0000}"/>
    <cellStyle name="Output 3 2 5 2 2 2 11" xfId="42997" xr:uid="{00000000-0005-0000-0000-0000C0AC0000}"/>
    <cellStyle name="Output 3 2 5 2 2 2 12" xfId="46762" xr:uid="{00000000-0005-0000-0000-0000C1AC0000}"/>
    <cellStyle name="Output 3 2 5 2 2 2 2" xfId="7802" xr:uid="{00000000-0005-0000-0000-0000C2AC0000}"/>
    <cellStyle name="Output 3 2 5 2 2 2 3" xfId="12237" xr:uid="{00000000-0005-0000-0000-0000C3AC0000}"/>
    <cellStyle name="Output 3 2 5 2 2 2 4" xfId="16082" xr:uid="{00000000-0005-0000-0000-0000C4AC0000}"/>
    <cellStyle name="Output 3 2 5 2 2 2 5" xfId="19929" xr:uid="{00000000-0005-0000-0000-0000C5AC0000}"/>
    <cellStyle name="Output 3 2 5 2 2 2 6" xfId="23845" xr:uid="{00000000-0005-0000-0000-0000C6AC0000}"/>
    <cellStyle name="Output 3 2 5 2 2 2 7" xfId="27679" xr:uid="{00000000-0005-0000-0000-0000C7AC0000}"/>
    <cellStyle name="Output 3 2 5 2 2 2 8" xfId="31540" xr:uid="{00000000-0005-0000-0000-0000C8AC0000}"/>
    <cellStyle name="Output 3 2 5 2 2 2 9" xfId="35200" xr:uid="{00000000-0005-0000-0000-0000C9AC0000}"/>
    <cellStyle name="Output 3 2 5 2 2 3" xfId="5878" xr:uid="{00000000-0005-0000-0000-0000CAAC0000}"/>
    <cellStyle name="Output 3 2 5 2 2 4" xfId="10236" xr:uid="{00000000-0005-0000-0000-0000CBAC0000}"/>
    <cellStyle name="Output 3 2 5 2 2 5" xfId="14082" xr:uid="{00000000-0005-0000-0000-0000CCAC0000}"/>
    <cellStyle name="Output 3 2 5 2 2 6" xfId="17911" xr:uid="{00000000-0005-0000-0000-0000CDAC0000}"/>
    <cellStyle name="Output 3 2 5 2 2 7" xfId="21850" xr:uid="{00000000-0005-0000-0000-0000CEAC0000}"/>
    <cellStyle name="Output 3 2 5 2 2 8" xfId="25663" xr:uid="{00000000-0005-0000-0000-0000CFAC0000}"/>
    <cellStyle name="Output 3 2 5 2 2 9" xfId="29550" xr:uid="{00000000-0005-0000-0000-0000D0AC0000}"/>
    <cellStyle name="Output 3 2 5 2 3" xfId="3213" xr:uid="{00000000-0005-0000-0000-0000D1AC0000}"/>
    <cellStyle name="Output 3 2 5 2 3 10" xfId="38265" xr:uid="{00000000-0005-0000-0000-0000D2AC0000}"/>
    <cellStyle name="Output 3 2 5 2 3 11" xfId="42276" xr:uid="{00000000-0005-0000-0000-0000D3AC0000}"/>
    <cellStyle name="Output 3 2 5 2 3 12" xfId="46045" xr:uid="{00000000-0005-0000-0000-0000D4AC0000}"/>
    <cellStyle name="Output 3 2 5 2 3 2" xfId="7085" xr:uid="{00000000-0005-0000-0000-0000D5AC0000}"/>
    <cellStyle name="Output 3 2 5 2 3 3" xfId="11517" xr:uid="{00000000-0005-0000-0000-0000D6AC0000}"/>
    <cellStyle name="Output 3 2 5 2 3 4" xfId="15361" xr:uid="{00000000-0005-0000-0000-0000D7AC0000}"/>
    <cellStyle name="Output 3 2 5 2 3 5" xfId="19207" xr:uid="{00000000-0005-0000-0000-0000D8AC0000}"/>
    <cellStyle name="Output 3 2 5 2 3 6" xfId="23126" xr:uid="{00000000-0005-0000-0000-0000D9AC0000}"/>
    <cellStyle name="Output 3 2 5 2 3 7" xfId="26958" xr:uid="{00000000-0005-0000-0000-0000DAAC0000}"/>
    <cellStyle name="Output 3 2 5 2 3 8" xfId="30828" xr:uid="{00000000-0005-0000-0000-0000DBAC0000}"/>
    <cellStyle name="Output 3 2 5 2 3 9" xfId="34483" xr:uid="{00000000-0005-0000-0000-0000DCAC0000}"/>
    <cellStyle name="Output 3 2 5 2 4" xfId="5161" xr:uid="{00000000-0005-0000-0000-0000DDAC0000}"/>
    <cellStyle name="Output 3 2 5 2 5" xfId="9517" xr:uid="{00000000-0005-0000-0000-0000DEAC0000}"/>
    <cellStyle name="Output 3 2 5 2 6" xfId="13361" xr:uid="{00000000-0005-0000-0000-0000DFAC0000}"/>
    <cellStyle name="Output 3 2 5 2 7" xfId="17189" xr:uid="{00000000-0005-0000-0000-0000E0AC0000}"/>
    <cellStyle name="Output 3 2 5 2 8" xfId="21131" xr:uid="{00000000-0005-0000-0000-0000E1AC0000}"/>
    <cellStyle name="Output 3 2 5 2 9" xfId="24942" xr:uid="{00000000-0005-0000-0000-0000E2AC0000}"/>
    <cellStyle name="Output 3 2 5 3" xfId="1617" xr:uid="{00000000-0005-0000-0000-0000E3AC0000}"/>
    <cellStyle name="Output 3 2 5 3 10" xfId="32904" xr:uid="{00000000-0005-0000-0000-0000E4AC0000}"/>
    <cellStyle name="Output 3 2 5 3 11" xfId="36674" xr:uid="{00000000-0005-0000-0000-0000E5AC0000}"/>
    <cellStyle name="Output 3 2 5 3 12" xfId="40665" xr:uid="{00000000-0005-0000-0000-0000E6AC0000}"/>
    <cellStyle name="Output 3 2 5 3 13" xfId="44496" xr:uid="{00000000-0005-0000-0000-0000E7AC0000}"/>
    <cellStyle name="Output 3 2 5 3 2" xfId="3607" xr:uid="{00000000-0005-0000-0000-0000E8AC0000}"/>
    <cellStyle name="Output 3 2 5 3 2 10" xfId="38658" xr:uid="{00000000-0005-0000-0000-0000E9AC0000}"/>
    <cellStyle name="Output 3 2 5 3 2 11" xfId="42669" xr:uid="{00000000-0005-0000-0000-0000EAAC0000}"/>
    <cellStyle name="Output 3 2 5 3 2 12" xfId="46434" xr:uid="{00000000-0005-0000-0000-0000EBAC0000}"/>
    <cellStyle name="Output 3 2 5 3 2 2" xfId="7474" xr:uid="{00000000-0005-0000-0000-0000ECAC0000}"/>
    <cellStyle name="Output 3 2 5 3 2 3" xfId="11909" xr:uid="{00000000-0005-0000-0000-0000EDAC0000}"/>
    <cellStyle name="Output 3 2 5 3 2 4" xfId="15754" xr:uid="{00000000-0005-0000-0000-0000EEAC0000}"/>
    <cellStyle name="Output 3 2 5 3 2 5" xfId="19601" xr:uid="{00000000-0005-0000-0000-0000EFAC0000}"/>
    <cellStyle name="Output 3 2 5 3 2 6" xfId="23517" xr:uid="{00000000-0005-0000-0000-0000F0AC0000}"/>
    <cellStyle name="Output 3 2 5 3 2 7" xfId="27351" xr:uid="{00000000-0005-0000-0000-0000F1AC0000}"/>
    <cellStyle name="Output 3 2 5 3 2 8" xfId="31216" xr:uid="{00000000-0005-0000-0000-0000F2AC0000}"/>
    <cellStyle name="Output 3 2 5 3 2 9" xfId="34872" xr:uid="{00000000-0005-0000-0000-0000F3AC0000}"/>
    <cellStyle name="Output 3 2 5 3 3" xfId="5550" xr:uid="{00000000-0005-0000-0000-0000F4AC0000}"/>
    <cellStyle name="Output 3 2 5 3 4" xfId="9908" xr:uid="{00000000-0005-0000-0000-0000F5AC0000}"/>
    <cellStyle name="Output 3 2 5 3 5" xfId="13754" xr:uid="{00000000-0005-0000-0000-0000F6AC0000}"/>
    <cellStyle name="Output 3 2 5 3 6" xfId="17583" xr:uid="{00000000-0005-0000-0000-0000F7AC0000}"/>
    <cellStyle name="Output 3 2 5 3 7" xfId="21522" xr:uid="{00000000-0005-0000-0000-0000F8AC0000}"/>
    <cellStyle name="Output 3 2 5 3 8" xfId="25335" xr:uid="{00000000-0005-0000-0000-0000F9AC0000}"/>
    <cellStyle name="Output 3 2 5 3 9" xfId="29222" xr:uid="{00000000-0005-0000-0000-0000FAAC0000}"/>
    <cellStyle name="Output 3 2 5 4" xfId="2876" xr:uid="{00000000-0005-0000-0000-0000FBAC0000}"/>
    <cellStyle name="Output 3 2 5 4 10" xfId="37928" xr:uid="{00000000-0005-0000-0000-0000FCAC0000}"/>
    <cellStyle name="Output 3 2 5 4 11" xfId="41940" xr:uid="{00000000-0005-0000-0000-0000FDAC0000}"/>
    <cellStyle name="Output 3 2 5 4 12" xfId="45717" xr:uid="{00000000-0005-0000-0000-0000FEAC0000}"/>
    <cellStyle name="Output 3 2 5 4 2" xfId="6756" xr:uid="{00000000-0005-0000-0000-0000FFAC0000}"/>
    <cellStyle name="Output 3 2 5 4 3" xfId="11183" xr:uid="{00000000-0005-0000-0000-000000AD0000}"/>
    <cellStyle name="Output 3 2 5 4 4" xfId="15028" xr:uid="{00000000-0005-0000-0000-000001AD0000}"/>
    <cellStyle name="Output 3 2 5 4 5" xfId="18870" xr:uid="{00000000-0005-0000-0000-000002AD0000}"/>
    <cellStyle name="Output 3 2 5 4 6" xfId="22796" xr:uid="{00000000-0005-0000-0000-000003AD0000}"/>
    <cellStyle name="Output 3 2 5 4 7" xfId="26621" xr:uid="{00000000-0005-0000-0000-000004AD0000}"/>
    <cellStyle name="Output 3 2 5 4 8" xfId="30497" xr:uid="{00000000-0005-0000-0000-000005AD0000}"/>
    <cellStyle name="Output 3 2 5 4 9" xfId="34155" xr:uid="{00000000-0005-0000-0000-000006AD0000}"/>
    <cellStyle name="Output 3 2 5 5" xfId="4832" xr:uid="{00000000-0005-0000-0000-000007AD0000}"/>
    <cellStyle name="Output 3 2 5 6" xfId="9186" xr:uid="{00000000-0005-0000-0000-000008AD0000}"/>
    <cellStyle name="Output 3 2 5 7" xfId="13027" xr:uid="{00000000-0005-0000-0000-000009AD0000}"/>
    <cellStyle name="Output 3 2 5 8" xfId="16852" xr:uid="{00000000-0005-0000-0000-00000AAD0000}"/>
    <cellStyle name="Output 3 2 5 9" xfId="20794" xr:uid="{00000000-0005-0000-0000-00000BAD0000}"/>
    <cellStyle name="Output 3 2 6" xfId="932" xr:uid="{00000000-0005-0000-0000-00000CAD0000}"/>
    <cellStyle name="Output 3 2 6 10" xfId="28544" xr:uid="{00000000-0005-0000-0000-00000DAD0000}"/>
    <cellStyle name="Output 3 2 6 11" xfId="32233" xr:uid="{00000000-0005-0000-0000-00000EAD0000}"/>
    <cellStyle name="Output 3 2 6 12" xfId="35990" xr:uid="{00000000-0005-0000-0000-00000FAD0000}"/>
    <cellStyle name="Output 3 2 6 13" xfId="39998" xr:uid="{00000000-0005-0000-0000-000010AD0000}"/>
    <cellStyle name="Output 3 2 6 14" xfId="43816" xr:uid="{00000000-0005-0000-0000-000011AD0000}"/>
    <cellStyle name="Output 3 2 6 2" xfId="1663" xr:uid="{00000000-0005-0000-0000-000012AD0000}"/>
    <cellStyle name="Output 3 2 6 2 10" xfId="32950" xr:uid="{00000000-0005-0000-0000-000013AD0000}"/>
    <cellStyle name="Output 3 2 6 2 11" xfId="36720" xr:uid="{00000000-0005-0000-0000-000014AD0000}"/>
    <cellStyle name="Output 3 2 6 2 12" xfId="40711" xr:uid="{00000000-0005-0000-0000-000015AD0000}"/>
    <cellStyle name="Output 3 2 6 2 13" xfId="44542" xr:uid="{00000000-0005-0000-0000-000016AD0000}"/>
    <cellStyle name="Output 3 2 6 2 2" xfId="3653" xr:uid="{00000000-0005-0000-0000-000017AD0000}"/>
    <cellStyle name="Output 3 2 6 2 2 10" xfId="38704" xr:uid="{00000000-0005-0000-0000-000018AD0000}"/>
    <cellStyle name="Output 3 2 6 2 2 11" xfId="42715" xr:uid="{00000000-0005-0000-0000-000019AD0000}"/>
    <cellStyle name="Output 3 2 6 2 2 12" xfId="46480" xr:uid="{00000000-0005-0000-0000-00001AAD0000}"/>
    <cellStyle name="Output 3 2 6 2 2 2" xfId="7520" xr:uid="{00000000-0005-0000-0000-00001BAD0000}"/>
    <cellStyle name="Output 3 2 6 2 2 3" xfId="11955" xr:uid="{00000000-0005-0000-0000-00001CAD0000}"/>
    <cellStyle name="Output 3 2 6 2 2 4" xfId="15800" xr:uid="{00000000-0005-0000-0000-00001DAD0000}"/>
    <cellStyle name="Output 3 2 6 2 2 5" xfId="19647" xr:uid="{00000000-0005-0000-0000-00001EAD0000}"/>
    <cellStyle name="Output 3 2 6 2 2 6" xfId="23563" xr:uid="{00000000-0005-0000-0000-00001FAD0000}"/>
    <cellStyle name="Output 3 2 6 2 2 7" xfId="27397" xr:uid="{00000000-0005-0000-0000-000020AD0000}"/>
    <cellStyle name="Output 3 2 6 2 2 8" xfId="31261" xr:uid="{00000000-0005-0000-0000-000021AD0000}"/>
    <cellStyle name="Output 3 2 6 2 2 9" xfId="34918" xr:uid="{00000000-0005-0000-0000-000022AD0000}"/>
    <cellStyle name="Output 3 2 6 2 3" xfId="5596" xr:uid="{00000000-0005-0000-0000-000023AD0000}"/>
    <cellStyle name="Output 3 2 6 2 4" xfId="9954" xr:uid="{00000000-0005-0000-0000-000024AD0000}"/>
    <cellStyle name="Output 3 2 6 2 5" xfId="13800" xr:uid="{00000000-0005-0000-0000-000025AD0000}"/>
    <cellStyle name="Output 3 2 6 2 6" xfId="17629" xr:uid="{00000000-0005-0000-0000-000026AD0000}"/>
    <cellStyle name="Output 3 2 6 2 7" xfId="21568" xr:uid="{00000000-0005-0000-0000-000027AD0000}"/>
    <cellStyle name="Output 3 2 6 2 8" xfId="25381" xr:uid="{00000000-0005-0000-0000-000028AD0000}"/>
    <cellStyle name="Output 3 2 6 2 9" xfId="29268" xr:uid="{00000000-0005-0000-0000-000029AD0000}"/>
    <cellStyle name="Output 3 2 6 3" xfId="2922" xr:uid="{00000000-0005-0000-0000-00002AAD0000}"/>
    <cellStyle name="Output 3 2 6 3 10" xfId="37974" xr:uid="{00000000-0005-0000-0000-00002BAD0000}"/>
    <cellStyle name="Output 3 2 6 3 11" xfId="41986" xr:uid="{00000000-0005-0000-0000-00002CAD0000}"/>
    <cellStyle name="Output 3 2 6 3 12" xfId="45763" xr:uid="{00000000-0005-0000-0000-00002DAD0000}"/>
    <cellStyle name="Output 3 2 6 3 2" xfId="6802" xr:uid="{00000000-0005-0000-0000-00002EAD0000}"/>
    <cellStyle name="Output 3 2 6 3 3" xfId="11229" xr:uid="{00000000-0005-0000-0000-00002FAD0000}"/>
    <cellStyle name="Output 3 2 6 3 4" xfId="15074" xr:uid="{00000000-0005-0000-0000-000030AD0000}"/>
    <cellStyle name="Output 3 2 6 3 5" xfId="18916" xr:uid="{00000000-0005-0000-0000-000031AD0000}"/>
    <cellStyle name="Output 3 2 6 3 6" xfId="22842" xr:uid="{00000000-0005-0000-0000-000032AD0000}"/>
    <cellStyle name="Output 3 2 6 3 7" xfId="26667" xr:uid="{00000000-0005-0000-0000-000033AD0000}"/>
    <cellStyle name="Output 3 2 6 3 8" xfId="30542" xr:uid="{00000000-0005-0000-0000-000034AD0000}"/>
    <cellStyle name="Output 3 2 6 3 9" xfId="34201" xr:uid="{00000000-0005-0000-0000-000035AD0000}"/>
    <cellStyle name="Output 3 2 6 4" xfId="4878" xr:uid="{00000000-0005-0000-0000-000036AD0000}"/>
    <cellStyle name="Output 3 2 6 5" xfId="9232" xr:uid="{00000000-0005-0000-0000-000037AD0000}"/>
    <cellStyle name="Output 3 2 6 6" xfId="13073" xr:uid="{00000000-0005-0000-0000-000038AD0000}"/>
    <cellStyle name="Output 3 2 6 7" xfId="16898" xr:uid="{00000000-0005-0000-0000-000039AD0000}"/>
    <cellStyle name="Output 3 2 6 8" xfId="20840" xr:uid="{00000000-0005-0000-0000-00003AAD0000}"/>
    <cellStyle name="Output 3 2 6 9" xfId="24656" xr:uid="{00000000-0005-0000-0000-00003BAD0000}"/>
    <cellStyle name="Output 3 2 7" xfId="1310" xr:uid="{00000000-0005-0000-0000-00003CAD0000}"/>
    <cellStyle name="Output 3 2 7 10" xfId="32597" xr:uid="{00000000-0005-0000-0000-00003DAD0000}"/>
    <cellStyle name="Output 3 2 7 11" xfId="36367" xr:uid="{00000000-0005-0000-0000-00003EAD0000}"/>
    <cellStyle name="Output 3 2 7 12" xfId="40358" xr:uid="{00000000-0005-0000-0000-00003FAD0000}"/>
    <cellStyle name="Output 3 2 7 13" xfId="44189" xr:uid="{00000000-0005-0000-0000-000040AD0000}"/>
    <cellStyle name="Output 3 2 7 2" xfId="3300" xr:uid="{00000000-0005-0000-0000-000041AD0000}"/>
    <cellStyle name="Output 3 2 7 2 10" xfId="38351" xr:uid="{00000000-0005-0000-0000-000042AD0000}"/>
    <cellStyle name="Output 3 2 7 2 11" xfId="42362" xr:uid="{00000000-0005-0000-0000-000043AD0000}"/>
    <cellStyle name="Output 3 2 7 2 12" xfId="46127" xr:uid="{00000000-0005-0000-0000-000044AD0000}"/>
    <cellStyle name="Output 3 2 7 2 2" xfId="7167" xr:uid="{00000000-0005-0000-0000-000045AD0000}"/>
    <cellStyle name="Output 3 2 7 2 3" xfId="11602" xr:uid="{00000000-0005-0000-0000-000046AD0000}"/>
    <cellStyle name="Output 3 2 7 2 4" xfId="15447" xr:uid="{00000000-0005-0000-0000-000047AD0000}"/>
    <cellStyle name="Output 3 2 7 2 5" xfId="19294" xr:uid="{00000000-0005-0000-0000-000048AD0000}"/>
    <cellStyle name="Output 3 2 7 2 6" xfId="23210" xr:uid="{00000000-0005-0000-0000-000049AD0000}"/>
    <cellStyle name="Output 3 2 7 2 7" xfId="27044" xr:uid="{00000000-0005-0000-0000-00004AAD0000}"/>
    <cellStyle name="Output 3 2 7 2 8" xfId="30913" xr:uid="{00000000-0005-0000-0000-00004BAD0000}"/>
    <cellStyle name="Output 3 2 7 2 9" xfId="34565" xr:uid="{00000000-0005-0000-0000-00004CAD0000}"/>
    <cellStyle name="Output 3 2 7 3" xfId="5243" xr:uid="{00000000-0005-0000-0000-00004DAD0000}"/>
    <cellStyle name="Output 3 2 7 4" xfId="9601" xr:uid="{00000000-0005-0000-0000-00004EAD0000}"/>
    <cellStyle name="Output 3 2 7 5" xfId="13447" xr:uid="{00000000-0005-0000-0000-00004FAD0000}"/>
    <cellStyle name="Output 3 2 7 6" xfId="17276" xr:uid="{00000000-0005-0000-0000-000050AD0000}"/>
    <cellStyle name="Output 3 2 7 7" xfId="21215" xr:uid="{00000000-0005-0000-0000-000051AD0000}"/>
    <cellStyle name="Output 3 2 7 8" xfId="25028" xr:uid="{00000000-0005-0000-0000-000052AD0000}"/>
    <cellStyle name="Output 3 2 7 9" xfId="28915" xr:uid="{00000000-0005-0000-0000-000053AD0000}"/>
    <cellStyle name="Output 3 2 8" xfId="2005" xr:uid="{00000000-0005-0000-0000-000054AD0000}"/>
    <cellStyle name="Output 3 2 8 10" xfId="33292" xr:uid="{00000000-0005-0000-0000-000055AD0000}"/>
    <cellStyle name="Output 3 2 8 11" xfId="37061" xr:uid="{00000000-0005-0000-0000-000056AD0000}"/>
    <cellStyle name="Output 3 2 8 12" xfId="41053" xr:uid="{00000000-0005-0000-0000-000057AD0000}"/>
    <cellStyle name="Output 3 2 8 13" xfId="44883" xr:uid="{00000000-0005-0000-0000-000058AD0000}"/>
    <cellStyle name="Output 3 2 8 2" xfId="3994" xr:uid="{00000000-0005-0000-0000-000059AD0000}"/>
    <cellStyle name="Output 3 2 8 2 10" xfId="39045" xr:uid="{00000000-0005-0000-0000-00005AAD0000}"/>
    <cellStyle name="Output 3 2 8 2 11" xfId="43056" xr:uid="{00000000-0005-0000-0000-00005BAD0000}"/>
    <cellStyle name="Output 3 2 8 2 12" xfId="46821" xr:uid="{00000000-0005-0000-0000-00005CAD0000}"/>
    <cellStyle name="Output 3 2 8 2 2" xfId="7861" xr:uid="{00000000-0005-0000-0000-00005DAD0000}"/>
    <cellStyle name="Output 3 2 8 2 3" xfId="12296" xr:uid="{00000000-0005-0000-0000-00005EAD0000}"/>
    <cellStyle name="Output 3 2 8 2 4" xfId="16141" xr:uid="{00000000-0005-0000-0000-00005FAD0000}"/>
    <cellStyle name="Output 3 2 8 2 5" xfId="19988" xr:uid="{00000000-0005-0000-0000-000060AD0000}"/>
    <cellStyle name="Output 3 2 8 2 6" xfId="23904" xr:uid="{00000000-0005-0000-0000-000061AD0000}"/>
    <cellStyle name="Output 3 2 8 2 7" xfId="27738" xr:uid="{00000000-0005-0000-0000-000062AD0000}"/>
    <cellStyle name="Output 3 2 8 2 8" xfId="31598" xr:uid="{00000000-0005-0000-0000-000063AD0000}"/>
    <cellStyle name="Output 3 2 8 2 9" xfId="35259" xr:uid="{00000000-0005-0000-0000-000064AD0000}"/>
    <cellStyle name="Output 3 2 8 3" xfId="5937" xr:uid="{00000000-0005-0000-0000-000065AD0000}"/>
    <cellStyle name="Output 3 2 8 4" xfId="10295" xr:uid="{00000000-0005-0000-0000-000066AD0000}"/>
    <cellStyle name="Output 3 2 8 5" xfId="14142" xr:uid="{00000000-0005-0000-0000-000067AD0000}"/>
    <cellStyle name="Output 3 2 8 6" xfId="17971" xr:uid="{00000000-0005-0000-0000-000068AD0000}"/>
    <cellStyle name="Output 3 2 8 7" xfId="21910" xr:uid="{00000000-0005-0000-0000-000069AD0000}"/>
    <cellStyle name="Output 3 2 8 8" xfId="25723" xr:uid="{00000000-0005-0000-0000-00006AAD0000}"/>
    <cellStyle name="Output 3 2 8 9" xfId="29610" xr:uid="{00000000-0005-0000-0000-00006BAD0000}"/>
    <cellStyle name="Output 3 2 9" xfId="2052" xr:uid="{00000000-0005-0000-0000-00006CAD0000}"/>
    <cellStyle name="Output 3 2 9 10" xfId="33336" xr:uid="{00000000-0005-0000-0000-00006DAD0000}"/>
    <cellStyle name="Output 3 2 9 11" xfId="37108" xr:uid="{00000000-0005-0000-0000-00006EAD0000}"/>
    <cellStyle name="Output 3 2 9 12" xfId="41098" xr:uid="{00000000-0005-0000-0000-00006FAD0000}"/>
    <cellStyle name="Output 3 2 9 13" xfId="44927" xr:uid="{00000000-0005-0000-0000-000070AD0000}"/>
    <cellStyle name="Output 3 2 9 2" xfId="4041" xr:uid="{00000000-0005-0000-0000-000071AD0000}"/>
    <cellStyle name="Output 3 2 9 2 10" xfId="39092" xr:uid="{00000000-0005-0000-0000-000072AD0000}"/>
    <cellStyle name="Output 3 2 9 2 11" xfId="43102" xr:uid="{00000000-0005-0000-0000-000073AD0000}"/>
    <cellStyle name="Output 3 2 9 2 12" xfId="46865" xr:uid="{00000000-0005-0000-0000-000074AD0000}"/>
    <cellStyle name="Output 3 2 9 2 2" xfId="7906" xr:uid="{00000000-0005-0000-0000-000075AD0000}"/>
    <cellStyle name="Output 3 2 9 2 3" xfId="12341" xr:uid="{00000000-0005-0000-0000-000076AD0000}"/>
    <cellStyle name="Output 3 2 9 2 4" xfId="16187" xr:uid="{00000000-0005-0000-0000-000077AD0000}"/>
    <cellStyle name="Output 3 2 9 2 5" xfId="20035" xr:uid="{00000000-0005-0000-0000-000078AD0000}"/>
    <cellStyle name="Output 3 2 9 2 6" xfId="23950" xr:uid="{00000000-0005-0000-0000-000079AD0000}"/>
    <cellStyle name="Output 3 2 9 2 7" xfId="27785" xr:uid="{00000000-0005-0000-0000-00007AAD0000}"/>
    <cellStyle name="Output 3 2 9 2 8" xfId="31644" xr:uid="{00000000-0005-0000-0000-00007BAD0000}"/>
    <cellStyle name="Output 3 2 9 2 9" xfId="35303" xr:uid="{00000000-0005-0000-0000-00007CAD0000}"/>
    <cellStyle name="Output 3 2 9 3" xfId="5982" xr:uid="{00000000-0005-0000-0000-00007DAD0000}"/>
    <cellStyle name="Output 3 2 9 4" xfId="10340" xr:uid="{00000000-0005-0000-0000-00007EAD0000}"/>
    <cellStyle name="Output 3 2 9 5" xfId="14188" xr:uid="{00000000-0005-0000-0000-00007FAD0000}"/>
    <cellStyle name="Output 3 2 9 6" xfId="18018" xr:uid="{00000000-0005-0000-0000-000080AD0000}"/>
    <cellStyle name="Output 3 2 9 7" xfId="21956" xr:uid="{00000000-0005-0000-0000-000081AD0000}"/>
    <cellStyle name="Output 3 2 9 8" xfId="25770" xr:uid="{00000000-0005-0000-0000-000082AD0000}"/>
    <cellStyle name="Output 3 2 9 9" xfId="29656" xr:uid="{00000000-0005-0000-0000-000083AD0000}"/>
    <cellStyle name="Output 3 20" xfId="8567" xr:uid="{00000000-0005-0000-0000-000084AD0000}"/>
    <cellStyle name="Output 3 21" xfId="11060" xr:uid="{00000000-0005-0000-0000-000085AD0000}"/>
    <cellStyle name="Output 3 22" xfId="9448" xr:uid="{00000000-0005-0000-0000-000086AD0000}"/>
    <cellStyle name="Output 3 23" xfId="22029" xr:uid="{00000000-0005-0000-0000-000087AD0000}"/>
    <cellStyle name="Output 3 24" xfId="39602" xr:uid="{00000000-0005-0000-0000-000088AD0000}"/>
    <cellStyle name="Output 3 25" xfId="47325" xr:uid="{00000000-0005-0000-0000-000089AD0000}"/>
    <cellStyle name="Output 3 26" xfId="47414" xr:uid="{00000000-0005-0000-0000-00008AAD0000}"/>
    <cellStyle name="Output 3 27" xfId="47635" xr:uid="{00000000-0005-0000-0000-00008BAD0000}"/>
    <cellStyle name="Output 3 3" xfId="586" xr:uid="{00000000-0005-0000-0000-00008CAD0000}"/>
    <cellStyle name="Output 3 3 10" xfId="9090" xr:uid="{00000000-0005-0000-0000-00008DAD0000}"/>
    <cellStyle name="Output 3 3 11" xfId="25805" xr:uid="{00000000-0005-0000-0000-00008EAD0000}"/>
    <cellStyle name="Output 3 3 12" xfId="28639" xr:uid="{00000000-0005-0000-0000-00008FAD0000}"/>
    <cellStyle name="Output 3 3 13" xfId="33362" xr:uid="{00000000-0005-0000-0000-000090AD0000}"/>
    <cellStyle name="Output 3 3 14" xfId="39683" xr:uid="{00000000-0005-0000-0000-000091AD0000}"/>
    <cellStyle name="Output 3 3 15" xfId="39587" xr:uid="{00000000-0005-0000-0000-000092AD0000}"/>
    <cellStyle name="Output 3 3 2" xfId="966" xr:uid="{00000000-0005-0000-0000-000093AD0000}"/>
    <cellStyle name="Output 3 3 2 10" xfId="28577" xr:uid="{00000000-0005-0000-0000-000094AD0000}"/>
    <cellStyle name="Output 3 3 2 11" xfId="32267" xr:uid="{00000000-0005-0000-0000-000095AD0000}"/>
    <cellStyle name="Output 3 3 2 12" xfId="36024" xr:uid="{00000000-0005-0000-0000-000096AD0000}"/>
    <cellStyle name="Output 3 3 2 13" xfId="40031" xr:uid="{00000000-0005-0000-0000-000097AD0000}"/>
    <cellStyle name="Output 3 3 2 14" xfId="43850" xr:uid="{00000000-0005-0000-0000-000098AD0000}"/>
    <cellStyle name="Output 3 3 2 2" xfId="1697" xr:uid="{00000000-0005-0000-0000-000099AD0000}"/>
    <cellStyle name="Output 3 3 2 2 10" xfId="32984" xr:uid="{00000000-0005-0000-0000-00009AAD0000}"/>
    <cellStyle name="Output 3 3 2 2 11" xfId="36754" xr:uid="{00000000-0005-0000-0000-00009BAD0000}"/>
    <cellStyle name="Output 3 3 2 2 12" xfId="40745" xr:uid="{00000000-0005-0000-0000-00009CAD0000}"/>
    <cellStyle name="Output 3 3 2 2 13" xfId="44576" xr:uid="{00000000-0005-0000-0000-00009DAD0000}"/>
    <cellStyle name="Output 3 3 2 2 2" xfId="3687" xr:uid="{00000000-0005-0000-0000-00009EAD0000}"/>
    <cellStyle name="Output 3 3 2 2 2 10" xfId="38738" xr:uid="{00000000-0005-0000-0000-00009FAD0000}"/>
    <cellStyle name="Output 3 3 2 2 2 11" xfId="42749" xr:uid="{00000000-0005-0000-0000-0000A0AD0000}"/>
    <cellStyle name="Output 3 3 2 2 2 12" xfId="46514" xr:uid="{00000000-0005-0000-0000-0000A1AD0000}"/>
    <cellStyle name="Output 3 3 2 2 2 2" xfId="7554" xr:uid="{00000000-0005-0000-0000-0000A2AD0000}"/>
    <cellStyle name="Output 3 3 2 2 2 3" xfId="11989" xr:uid="{00000000-0005-0000-0000-0000A3AD0000}"/>
    <cellStyle name="Output 3 3 2 2 2 4" xfId="15834" xr:uid="{00000000-0005-0000-0000-0000A4AD0000}"/>
    <cellStyle name="Output 3 3 2 2 2 5" xfId="19681" xr:uid="{00000000-0005-0000-0000-0000A5AD0000}"/>
    <cellStyle name="Output 3 3 2 2 2 6" xfId="23597" xr:uid="{00000000-0005-0000-0000-0000A6AD0000}"/>
    <cellStyle name="Output 3 3 2 2 2 7" xfId="27431" xr:uid="{00000000-0005-0000-0000-0000A7AD0000}"/>
    <cellStyle name="Output 3 3 2 2 2 8" xfId="31295" xr:uid="{00000000-0005-0000-0000-0000A8AD0000}"/>
    <cellStyle name="Output 3 3 2 2 2 9" xfId="34952" xr:uid="{00000000-0005-0000-0000-0000A9AD0000}"/>
    <cellStyle name="Output 3 3 2 2 3" xfId="5630" xr:uid="{00000000-0005-0000-0000-0000AAAD0000}"/>
    <cellStyle name="Output 3 3 2 2 4" xfId="9988" xr:uid="{00000000-0005-0000-0000-0000ABAD0000}"/>
    <cellStyle name="Output 3 3 2 2 5" xfId="13834" xr:uid="{00000000-0005-0000-0000-0000ACAD0000}"/>
    <cellStyle name="Output 3 3 2 2 6" xfId="17663" xr:uid="{00000000-0005-0000-0000-0000ADAD0000}"/>
    <cellStyle name="Output 3 3 2 2 7" xfId="21602" xr:uid="{00000000-0005-0000-0000-0000AEAD0000}"/>
    <cellStyle name="Output 3 3 2 2 8" xfId="25415" xr:uid="{00000000-0005-0000-0000-0000AFAD0000}"/>
    <cellStyle name="Output 3 3 2 2 9" xfId="29302" xr:uid="{00000000-0005-0000-0000-0000B0AD0000}"/>
    <cellStyle name="Output 3 3 2 3" xfId="2956" xr:uid="{00000000-0005-0000-0000-0000B1AD0000}"/>
    <cellStyle name="Output 3 3 2 3 10" xfId="38008" xr:uid="{00000000-0005-0000-0000-0000B2AD0000}"/>
    <cellStyle name="Output 3 3 2 3 11" xfId="42020" xr:uid="{00000000-0005-0000-0000-0000B3AD0000}"/>
    <cellStyle name="Output 3 3 2 3 12" xfId="45797" xr:uid="{00000000-0005-0000-0000-0000B4AD0000}"/>
    <cellStyle name="Output 3 3 2 3 2" xfId="6836" xr:uid="{00000000-0005-0000-0000-0000B5AD0000}"/>
    <cellStyle name="Output 3 3 2 3 3" xfId="11263" xr:uid="{00000000-0005-0000-0000-0000B6AD0000}"/>
    <cellStyle name="Output 3 3 2 3 4" xfId="15108" xr:uid="{00000000-0005-0000-0000-0000B7AD0000}"/>
    <cellStyle name="Output 3 3 2 3 5" xfId="18950" xr:uid="{00000000-0005-0000-0000-0000B8AD0000}"/>
    <cellStyle name="Output 3 3 2 3 6" xfId="22876" xr:uid="{00000000-0005-0000-0000-0000B9AD0000}"/>
    <cellStyle name="Output 3 3 2 3 7" xfId="26701" xr:uid="{00000000-0005-0000-0000-0000BAAD0000}"/>
    <cellStyle name="Output 3 3 2 3 8" xfId="30575" xr:uid="{00000000-0005-0000-0000-0000BBAD0000}"/>
    <cellStyle name="Output 3 3 2 3 9" xfId="34235" xr:uid="{00000000-0005-0000-0000-0000BCAD0000}"/>
    <cellStyle name="Output 3 3 2 4" xfId="4912" xr:uid="{00000000-0005-0000-0000-0000BDAD0000}"/>
    <cellStyle name="Output 3 3 2 5" xfId="9266" xr:uid="{00000000-0005-0000-0000-0000BEAD0000}"/>
    <cellStyle name="Output 3 3 2 6" xfId="13107" xr:uid="{00000000-0005-0000-0000-0000BFAD0000}"/>
    <cellStyle name="Output 3 3 2 7" xfId="16932" xr:uid="{00000000-0005-0000-0000-0000C0AD0000}"/>
    <cellStyle name="Output 3 3 2 8" xfId="20874" xr:uid="{00000000-0005-0000-0000-0000C1AD0000}"/>
    <cellStyle name="Output 3 3 2 9" xfId="24690" xr:uid="{00000000-0005-0000-0000-0000C2AD0000}"/>
    <cellStyle name="Output 3 3 3" xfId="1344" xr:uid="{00000000-0005-0000-0000-0000C3AD0000}"/>
    <cellStyle name="Output 3 3 3 10" xfId="32631" xr:uid="{00000000-0005-0000-0000-0000C4AD0000}"/>
    <cellStyle name="Output 3 3 3 11" xfId="36401" xr:uid="{00000000-0005-0000-0000-0000C5AD0000}"/>
    <cellStyle name="Output 3 3 3 12" xfId="40392" xr:uid="{00000000-0005-0000-0000-0000C6AD0000}"/>
    <cellStyle name="Output 3 3 3 13" xfId="44223" xr:uid="{00000000-0005-0000-0000-0000C7AD0000}"/>
    <cellStyle name="Output 3 3 3 2" xfId="3334" xr:uid="{00000000-0005-0000-0000-0000C8AD0000}"/>
    <cellStyle name="Output 3 3 3 2 10" xfId="38385" xr:uid="{00000000-0005-0000-0000-0000C9AD0000}"/>
    <cellStyle name="Output 3 3 3 2 11" xfId="42396" xr:uid="{00000000-0005-0000-0000-0000CAAD0000}"/>
    <cellStyle name="Output 3 3 3 2 12" xfId="46161" xr:uid="{00000000-0005-0000-0000-0000CBAD0000}"/>
    <cellStyle name="Output 3 3 3 2 2" xfId="7201" xr:uid="{00000000-0005-0000-0000-0000CCAD0000}"/>
    <cellStyle name="Output 3 3 3 2 3" xfId="11636" xr:uid="{00000000-0005-0000-0000-0000CDAD0000}"/>
    <cellStyle name="Output 3 3 3 2 4" xfId="15481" xr:uid="{00000000-0005-0000-0000-0000CEAD0000}"/>
    <cellStyle name="Output 3 3 3 2 5" xfId="19328" xr:uid="{00000000-0005-0000-0000-0000CFAD0000}"/>
    <cellStyle name="Output 3 3 3 2 6" xfId="23244" xr:uid="{00000000-0005-0000-0000-0000D0AD0000}"/>
    <cellStyle name="Output 3 3 3 2 7" xfId="27078" xr:uid="{00000000-0005-0000-0000-0000D1AD0000}"/>
    <cellStyle name="Output 3 3 3 2 8" xfId="30946" xr:uid="{00000000-0005-0000-0000-0000D2AD0000}"/>
    <cellStyle name="Output 3 3 3 2 9" xfId="34599" xr:uid="{00000000-0005-0000-0000-0000D3AD0000}"/>
    <cellStyle name="Output 3 3 3 3" xfId="5277" xr:uid="{00000000-0005-0000-0000-0000D4AD0000}"/>
    <cellStyle name="Output 3 3 3 4" xfId="9635" xr:uid="{00000000-0005-0000-0000-0000D5AD0000}"/>
    <cellStyle name="Output 3 3 3 5" xfId="13481" xr:uid="{00000000-0005-0000-0000-0000D6AD0000}"/>
    <cellStyle name="Output 3 3 3 6" xfId="17310" xr:uid="{00000000-0005-0000-0000-0000D7AD0000}"/>
    <cellStyle name="Output 3 3 3 7" xfId="21249" xr:uid="{00000000-0005-0000-0000-0000D8AD0000}"/>
    <cellStyle name="Output 3 3 3 8" xfId="25062" xr:uid="{00000000-0005-0000-0000-0000D9AD0000}"/>
    <cellStyle name="Output 3 3 3 9" xfId="28949" xr:uid="{00000000-0005-0000-0000-0000DAAD0000}"/>
    <cellStyle name="Output 3 3 4" xfId="2589" xr:uid="{00000000-0005-0000-0000-0000DBAD0000}"/>
    <cellStyle name="Output 3 3 4 10" xfId="37641" xr:uid="{00000000-0005-0000-0000-0000DCAD0000}"/>
    <cellStyle name="Output 3 3 4 11" xfId="41655" xr:uid="{00000000-0005-0000-0000-0000DDAD0000}"/>
    <cellStyle name="Output 3 3 4 12" xfId="45444" xr:uid="{00000000-0005-0000-0000-0000DEAD0000}"/>
    <cellStyle name="Output 3 3 4 2" xfId="6481" xr:uid="{00000000-0005-0000-0000-0000DFAD0000}"/>
    <cellStyle name="Output 3 3 4 3" xfId="10904" xr:uid="{00000000-0005-0000-0000-0000E0AD0000}"/>
    <cellStyle name="Output 3 3 4 4" xfId="14748" xr:uid="{00000000-0005-0000-0000-0000E1AD0000}"/>
    <cellStyle name="Output 3 3 4 5" xfId="18583" xr:uid="{00000000-0005-0000-0000-0000E2AD0000}"/>
    <cellStyle name="Output 3 3 4 6" xfId="22518" xr:uid="{00000000-0005-0000-0000-0000E3AD0000}"/>
    <cellStyle name="Output 3 3 4 7" xfId="26334" xr:uid="{00000000-0005-0000-0000-0000E4AD0000}"/>
    <cellStyle name="Output 3 3 4 8" xfId="30213" xr:uid="{00000000-0005-0000-0000-0000E5AD0000}"/>
    <cellStyle name="Output 3 3 4 9" xfId="33882" xr:uid="{00000000-0005-0000-0000-0000E6AD0000}"/>
    <cellStyle name="Output 3 3 5" xfId="4557" xr:uid="{00000000-0005-0000-0000-0000E7AD0000}"/>
    <cellStyle name="Output 3 3 6" xfId="8896" xr:uid="{00000000-0005-0000-0000-0000E8AD0000}"/>
    <cellStyle name="Output 3 3 7" xfId="10374" xr:uid="{00000000-0005-0000-0000-0000E9AD0000}"/>
    <cellStyle name="Output 3 3 8" xfId="14240" xr:uid="{00000000-0005-0000-0000-0000EAAD0000}"/>
    <cellStyle name="Output 3 3 9" xfId="20499" xr:uid="{00000000-0005-0000-0000-0000EBAD0000}"/>
    <cellStyle name="Output 3 4" xfId="758" xr:uid="{00000000-0005-0000-0000-0000ECAD0000}"/>
    <cellStyle name="Output 3 4 10" xfId="24487" xr:uid="{00000000-0005-0000-0000-0000EDAD0000}"/>
    <cellStyle name="Output 3 4 11" xfId="28377" xr:uid="{00000000-0005-0000-0000-0000EEAD0000}"/>
    <cellStyle name="Output 3 4 12" xfId="8653" xr:uid="{00000000-0005-0000-0000-0000EFAD0000}"/>
    <cellStyle name="Output 3 4 13" xfId="35822" xr:uid="{00000000-0005-0000-0000-0000F0AD0000}"/>
    <cellStyle name="Output 3 4 14" xfId="39841" xr:uid="{00000000-0005-0000-0000-0000F1AD0000}"/>
    <cellStyle name="Output 3 4 15" xfId="43648" xr:uid="{00000000-0005-0000-0000-0000F2AD0000}"/>
    <cellStyle name="Output 3 4 2" xfId="1128" xr:uid="{00000000-0005-0000-0000-0000F3AD0000}"/>
    <cellStyle name="Output 3 4 2 10" xfId="28737" xr:uid="{00000000-0005-0000-0000-0000F4AD0000}"/>
    <cellStyle name="Output 3 4 2 11" xfId="32425" xr:uid="{00000000-0005-0000-0000-0000F5AD0000}"/>
    <cellStyle name="Output 3 4 2 12" xfId="36186" xr:uid="{00000000-0005-0000-0000-0000F6AD0000}"/>
    <cellStyle name="Output 3 4 2 13" xfId="40187" xr:uid="{00000000-0005-0000-0000-0000F7AD0000}"/>
    <cellStyle name="Output 3 4 2 14" xfId="44012" xr:uid="{00000000-0005-0000-0000-0000F8AD0000}"/>
    <cellStyle name="Output 3 4 2 2" xfId="1855" xr:uid="{00000000-0005-0000-0000-0000F9AD0000}"/>
    <cellStyle name="Output 3 4 2 2 10" xfId="33142" xr:uid="{00000000-0005-0000-0000-0000FAAD0000}"/>
    <cellStyle name="Output 3 4 2 2 11" xfId="36912" xr:uid="{00000000-0005-0000-0000-0000FBAD0000}"/>
    <cellStyle name="Output 3 4 2 2 12" xfId="40903" xr:uid="{00000000-0005-0000-0000-0000FCAD0000}"/>
    <cellStyle name="Output 3 4 2 2 13" xfId="44734" xr:uid="{00000000-0005-0000-0000-0000FDAD0000}"/>
    <cellStyle name="Output 3 4 2 2 2" xfId="3845" xr:uid="{00000000-0005-0000-0000-0000FEAD0000}"/>
    <cellStyle name="Output 3 4 2 2 2 10" xfId="38896" xr:uid="{00000000-0005-0000-0000-0000FFAD0000}"/>
    <cellStyle name="Output 3 4 2 2 2 11" xfId="42907" xr:uid="{00000000-0005-0000-0000-000000AE0000}"/>
    <cellStyle name="Output 3 4 2 2 2 12" xfId="46672" xr:uid="{00000000-0005-0000-0000-000001AE0000}"/>
    <cellStyle name="Output 3 4 2 2 2 2" xfId="7712" xr:uid="{00000000-0005-0000-0000-000002AE0000}"/>
    <cellStyle name="Output 3 4 2 2 2 3" xfId="12147" xr:uid="{00000000-0005-0000-0000-000003AE0000}"/>
    <cellStyle name="Output 3 4 2 2 2 4" xfId="15992" xr:uid="{00000000-0005-0000-0000-000004AE0000}"/>
    <cellStyle name="Output 3 4 2 2 2 5" xfId="19839" xr:uid="{00000000-0005-0000-0000-000005AE0000}"/>
    <cellStyle name="Output 3 4 2 2 2 6" xfId="23755" xr:uid="{00000000-0005-0000-0000-000006AE0000}"/>
    <cellStyle name="Output 3 4 2 2 2 7" xfId="27589" xr:uid="{00000000-0005-0000-0000-000007AE0000}"/>
    <cellStyle name="Output 3 4 2 2 2 8" xfId="31452" xr:uid="{00000000-0005-0000-0000-000008AE0000}"/>
    <cellStyle name="Output 3 4 2 2 2 9" xfId="35110" xr:uid="{00000000-0005-0000-0000-000009AE0000}"/>
    <cellStyle name="Output 3 4 2 2 3" xfId="5788" xr:uid="{00000000-0005-0000-0000-00000AAE0000}"/>
    <cellStyle name="Output 3 4 2 2 4" xfId="10146" xr:uid="{00000000-0005-0000-0000-00000BAE0000}"/>
    <cellStyle name="Output 3 4 2 2 5" xfId="13992" xr:uid="{00000000-0005-0000-0000-00000CAE0000}"/>
    <cellStyle name="Output 3 4 2 2 6" xfId="17821" xr:uid="{00000000-0005-0000-0000-00000DAE0000}"/>
    <cellStyle name="Output 3 4 2 2 7" xfId="21760" xr:uid="{00000000-0005-0000-0000-00000EAE0000}"/>
    <cellStyle name="Output 3 4 2 2 8" xfId="25573" xr:uid="{00000000-0005-0000-0000-00000FAE0000}"/>
    <cellStyle name="Output 3 4 2 2 9" xfId="29460" xr:uid="{00000000-0005-0000-0000-000010AE0000}"/>
    <cellStyle name="Output 3 4 2 3" xfId="3118" xr:uid="{00000000-0005-0000-0000-000011AE0000}"/>
    <cellStyle name="Output 3 4 2 3 10" xfId="38170" xr:uid="{00000000-0005-0000-0000-000012AE0000}"/>
    <cellStyle name="Output 3 4 2 3 11" xfId="42182" xr:uid="{00000000-0005-0000-0000-000013AE0000}"/>
    <cellStyle name="Output 3 4 2 3 12" xfId="45955" xr:uid="{00000000-0005-0000-0000-000014AE0000}"/>
    <cellStyle name="Output 3 4 2 3 2" xfId="6994" xr:uid="{00000000-0005-0000-0000-000015AE0000}"/>
    <cellStyle name="Output 3 4 2 3 3" xfId="11423" xr:uid="{00000000-0005-0000-0000-000016AE0000}"/>
    <cellStyle name="Output 3 4 2 3 4" xfId="15267" xr:uid="{00000000-0005-0000-0000-000017AE0000}"/>
    <cellStyle name="Output 3 4 2 3 5" xfId="19112" xr:uid="{00000000-0005-0000-0000-000018AE0000}"/>
    <cellStyle name="Output 3 4 2 3 6" xfId="23034" xr:uid="{00000000-0005-0000-0000-000019AE0000}"/>
    <cellStyle name="Output 3 4 2 3 7" xfId="26863" xr:uid="{00000000-0005-0000-0000-00001AAE0000}"/>
    <cellStyle name="Output 3 4 2 3 8" xfId="30735" xr:uid="{00000000-0005-0000-0000-00001BAE0000}"/>
    <cellStyle name="Output 3 4 2 3 9" xfId="34393" xr:uid="{00000000-0005-0000-0000-00001CAE0000}"/>
    <cellStyle name="Output 3 4 2 4" xfId="5070" xr:uid="{00000000-0005-0000-0000-00001DAE0000}"/>
    <cellStyle name="Output 3 4 2 5" xfId="9426" xr:uid="{00000000-0005-0000-0000-00001EAE0000}"/>
    <cellStyle name="Output 3 4 2 6" xfId="13266" xr:uid="{00000000-0005-0000-0000-00001FAE0000}"/>
    <cellStyle name="Output 3 4 2 7" xfId="17094" xr:uid="{00000000-0005-0000-0000-000020AE0000}"/>
    <cellStyle name="Output 3 4 2 8" xfId="21036" xr:uid="{00000000-0005-0000-0000-000021AE0000}"/>
    <cellStyle name="Output 3 4 2 9" xfId="24850" xr:uid="{00000000-0005-0000-0000-000022AE0000}"/>
    <cellStyle name="Output 3 4 3" xfId="1502" xr:uid="{00000000-0005-0000-0000-000023AE0000}"/>
    <cellStyle name="Output 3 4 3 10" xfId="32789" xr:uid="{00000000-0005-0000-0000-000024AE0000}"/>
    <cellStyle name="Output 3 4 3 11" xfId="36559" xr:uid="{00000000-0005-0000-0000-000025AE0000}"/>
    <cellStyle name="Output 3 4 3 12" xfId="40550" xr:uid="{00000000-0005-0000-0000-000026AE0000}"/>
    <cellStyle name="Output 3 4 3 13" xfId="44381" xr:uid="{00000000-0005-0000-0000-000027AE0000}"/>
    <cellStyle name="Output 3 4 3 2" xfId="3492" xr:uid="{00000000-0005-0000-0000-000028AE0000}"/>
    <cellStyle name="Output 3 4 3 2 10" xfId="38543" xr:uid="{00000000-0005-0000-0000-000029AE0000}"/>
    <cellStyle name="Output 3 4 3 2 11" xfId="42554" xr:uid="{00000000-0005-0000-0000-00002AAE0000}"/>
    <cellStyle name="Output 3 4 3 2 12" xfId="46319" xr:uid="{00000000-0005-0000-0000-00002BAE0000}"/>
    <cellStyle name="Output 3 4 3 2 2" xfId="7359" xr:uid="{00000000-0005-0000-0000-00002CAE0000}"/>
    <cellStyle name="Output 3 4 3 2 3" xfId="11794" xr:uid="{00000000-0005-0000-0000-00002DAE0000}"/>
    <cellStyle name="Output 3 4 3 2 4" xfId="15639" xr:uid="{00000000-0005-0000-0000-00002EAE0000}"/>
    <cellStyle name="Output 3 4 3 2 5" xfId="19486" xr:uid="{00000000-0005-0000-0000-00002FAE0000}"/>
    <cellStyle name="Output 3 4 3 2 6" xfId="23402" xr:uid="{00000000-0005-0000-0000-000030AE0000}"/>
    <cellStyle name="Output 3 4 3 2 7" xfId="27236" xr:uid="{00000000-0005-0000-0000-000031AE0000}"/>
    <cellStyle name="Output 3 4 3 2 8" xfId="31103" xr:uid="{00000000-0005-0000-0000-000032AE0000}"/>
    <cellStyle name="Output 3 4 3 2 9" xfId="34757" xr:uid="{00000000-0005-0000-0000-000033AE0000}"/>
    <cellStyle name="Output 3 4 3 3" xfId="5435" xr:uid="{00000000-0005-0000-0000-000034AE0000}"/>
    <cellStyle name="Output 3 4 3 4" xfId="9793" xr:uid="{00000000-0005-0000-0000-000035AE0000}"/>
    <cellStyle name="Output 3 4 3 5" xfId="13639" xr:uid="{00000000-0005-0000-0000-000036AE0000}"/>
    <cellStyle name="Output 3 4 3 6" xfId="17468" xr:uid="{00000000-0005-0000-0000-000037AE0000}"/>
    <cellStyle name="Output 3 4 3 7" xfId="21407" xr:uid="{00000000-0005-0000-0000-000038AE0000}"/>
    <cellStyle name="Output 3 4 3 8" xfId="25220" xr:uid="{00000000-0005-0000-0000-000039AE0000}"/>
    <cellStyle name="Output 3 4 3 9" xfId="29107" xr:uid="{00000000-0005-0000-0000-00003AAE0000}"/>
    <cellStyle name="Output 3 4 4" xfId="2754" xr:uid="{00000000-0005-0000-0000-00003BAE0000}"/>
    <cellStyle name="Output 3 4 4 10" xfId="37806" xr:uid="{00000000-0005-0000-0000-00003CAE0000}"/>
    <cellStyle name="Output 3 4 4 11" xfId="41819" xr:uid="{00000000-0005-0000-0000-00003DAE0000}"/>
    <cellStyle name="Output 3 4 4 12" xfId="45602" xr:uid="{00000000-0005-0000-0000-00003EAE0000}"/>
    <cellStyle name="Output 3 4 4 2" xfId="6640" xr:uid="{00000000-0005-0000-0000-00003FAE0000}"/>
    <cellStyle name="Output 3 4 4 3" xfId="11064" xr:uid="{00000000-0005-0000-0000-000040AE0000}"/>
    <cellStyle name="Output 3 4 4 4" xfId="14909" xr:uid="{00000000-0005-0000-0000-000041AE0000}"/>
    <cellStyle name="Output 3 4 4 5" xfId="18748" xr:uid="{00000000-0005-0000-0000-000042AE0000}"/>
    <cellStyle name="Output 3 4 4 6" xfId="22678" xr:uid="{00000000-0005-0000-0000-000043AE0000}"/>
    <cellStyle name="Output 3 4 4 7" xfId="26499" xr:uid="{00000000-0005-0000-0000-000044AE0000}"/>
    <cellStyle name="Output 3 4 4 8" xfId="30377" xr:uid="{00000000-0005-0000-0000-000045AE0000}"/>
    <cellStyle name="Output 3 4 4 9" xfId="34040" xr:uid="{00000000-0005-0000-0000-000046AE0000}"/>
    <cellStyle name="Output 3 4 5" xfId="4716" xr:uid="{00000000-0005-0000-0000-000047AE0000}"/>
    <cellStyle name="Output 3 4 6" xfId="9063" xr:uid="{00000000-0005-0000-0000-000048AE0000}"/>
    <cellStyle name="Output 3 4 7" xfId="12902" xr:uid="{00000000-0005-0000-0000-000049AE0000}"/>
    <cellStyle name="Output 3 4 8" xfId="16728" xr:uid="{00000000-0005-0000-0000-00004AAE0000}"/>
    <cellStyle name="Output 3 4 9" xfId="20667" xr:uid="{00000000-0005-0000-0000-00004BAE0000}"/>
    <cellStyle name="Output 3 5" xfId="781" xr:uid="{00000000-0005-0000-0000-00004CAE0000}"/>
    <cellStyle name="Output 3 5 10" xfId="24508" xr:uid="{00000000-0005-0000-0000-00004DAE0000}"/>
    <cellStyle name="Output 3 5 11" xfId="28397" xr:uid="{00000000-0005-0000-0000-00004EAE0000}"/>
    <cellStyle name="Output 3 5 12" xfId="20683" xr:uid="{00000000-0005-0000-0000-00004FAE0000}"/>
    <cellStyle name="Output 3 5 13" xfId="35841" xr:uid="{00000000-0005-0000-0000-000050AE0000}"/>
    <cellStyle name="Output 3 5 14" xfId="39858" xr:uid="{00000000-0005-0000-0000-000051AE0000}"/>
    <cellStyle name="Output 3 5 15" xfId="43667" xr:uid="{00000000-0005-0000-0000-000052AE0000}"/>
    <cellStyle name="Output 3 5 2" xfId="1147" xr:uid="{00000000-0005-0000-0000-000053AE0000}"/>
    <cellStyle name="Output 3 5 2 10" xfId="28756" xr:uid="{00000000-0005-0000-0000-000054AE0000}"/>
    <cellStyle name="Output 3 5 2 11" xfId="32442" xr:uid="{00000000-0005-0000-0000-000055AE0000}"/>
    <cellStyle name="Output 3 5 2 12" xfId="36205" xr:uid="{00000000-0005-0000-0000-000056AE0000}"/>
    <cellStyle name="Output 3 5 2 13" xfId="40204" xr:uid="{00000000-0005-0000-0000-000057AE0000}"/>
    <cellStyle name="Output 3 5 2 14" xfId="44031" xr:uid="{00000000-0005-0000-0000-000058AE0000}"/>
    <cellStyle name="Output 3 5 2 2" xfId="1872" xr:uid="{00000000-0005-0000-0000-000059AE0000}"/>
    <cellStyle name="Output 3 5 2 2 10" xfId="33159" xr:uid="{00000000-0005-0000-0000-00005AAE0000}"/>
    <cellStyle name="Output 3 5 2 2 11" xfId="36929" xr:uid="{00000000-0005-0000-0000-00005BAE0000}"/>
    <cellStyle name="Output 3 5 2 2 12" xfId="40920" xr:uid="{00000000-0005-0000-0000-00005CAE0000}"/>
    <cellStyle name="Output 3 5 2 2 13" xfId="44751" xr:uid="{00000000-0005-0000-0000-00005DAE0000}"/>
    <cellStyle name="Output 3 5 2 2 2" xfId="3862" xr:uid="{00000000-0005-0000-0000-00005EAE0000}"/>
    <cellStyle name="Output 3 5 2 2 2 10" xfId="38913" xr:uid="{00000000-0005-0000-0000-00005FAE0000}"/>
    <cellStyle name="Output 3 5 2 2 2 11" xfId="42924" xr:uid="{00000000-0005-0000-0000-000060AE0000}"/>
    <cellStyle name="Output 3 5 2 2 2 12" xfId="46689" xr:uid="{00000000-0005-0000-0000-000061AE0000}"/>
    <cellStyle name="Output 3 5 2 2 2 2" xfId="7729" xr:uid="{00000000-0005-0000-0000-000062AE0000}"/>
    <cellStyle name="Output 3 5 2 2 2 3" xfId="12164" xr:uid="{00000000-0005-0000-0000-000063AE0000}"/>
    <cellStyle name="Output 3 5 2 2 2 4" xfId="16009" xr:uid="{00000000-0005-0000-0000-000064AE0000}"/>
    <cellStyle name="Output 3 5 2 2 2 5" xfId="19856" xr:uid="{00000000-0005-0000-0000-000065AE0000}"/>
    <cellStyle name="Output 3 5 2 2 2 6" xfId="23772" xr:uid="{00000000-0005-0000-0000-000066AE0000}"/>
    <cellStyle name="Output 3 5 2 2 2 7" xfId="27606" xr:uid="{00000000-0005-0000-0000-000067AE0000}"/>
    <cellStyle name="Output 3 5 2 2 2 8" xfId="31469" xr:uid="{00000000-0005-0000-0000-000068AE0000}"/>
    <cellStyle name="Output 3 5 2 2 2 9" xfId="35127" xr:uid="{00000000-0005-0000-0000-000069AE0000}"/>
    <cellStyle name="Output 3 5 2 2 3" xfId="5805" xr:uid="{00000000-0005-0000-0000-00006AAE0000}"/>
    <cellStyle name="Output 3 5 2 2 4" xfId="10163" xr:uid="{00000000-0005-0000-0000-00006BAE0000}"/>
    <cellStyle name="Output 3 5 2 2 5" xfId="14009" xr:uid="{00000000-0005-0000-0000-00006CAE0000}"/>
    <cellStyle name="Output 3 5 2 2 6" xfId="17838" xr:uid="{00000000-0005-0000-0000-00006DAE0000}"/>
    <cellStyle name="Output 3 5 2 2 7" xfId="21777" xr:uid="{00000000-0005-0000-0000-00006EAE0000}"/>
    <cellStyle name="Output 3 5 2 2 8" xfId="25590" xr:uid="{00000000-0005-0000-0000-00006FAE0000}"/>
    <cellStyle name="Output 3 5 2 2 9" xfId="29477" xr:uid="{00000000-0005-0000-0000-000070AE0000}"/>
    <cellStyle name="Output 3 5 2 3" xfId="3137" xr:uid="{00000000-0005-0000-0000-000071AE0000}"/>
    <cellStyle name="Output 3 5 2 3 10" xfId="38189" xr:uid="{00000000-0005-0000-0000-000072AE0000}"/>
    <cellStyle name="Output 3 5 2 3 11" xfId="42201" xr:uid="{00000000-0005-0000-0000-000073AE0000}"/>
    <cellStyle name="Output 3 5 2 3 12" xfId="45972" xr:uid="{00000000-0005-0000-0000-000074AE0000}"/>
    <cellStyle name="Output 3 5 2 3 2" xfId="7011" xr:uid="{00000000-0005-0000-0000-000075AE0000}"/>
    <cellStyle name="Output 3 5 2 3 3" xfId="11441" xr:uid="{00000000-0005-0000-0000-000076AE0000}"/>
    <cellStyle name="Output 3 5 2 3 4" xfId="15286" xr:uid="{00000000-0005-0000-0000-000077AE0000}"/>
    <cellStyle name="Output 3 5 2 3 5" xfId="19131" xr:uid="{00000000-0005-0000-0000-000078AE0000}"/>
    <cellStyle name="Output 3 5 2 3 6" xfId="23051" xr:uid="{00000000-0005-0000-0000-000079AE0000}"/>
    <cellStyle name="Output 3 5 2 3 7" xfId="26882" xr:uid="{00000000-0005-0000-0000-00007AAE0000}"/>
    <cellStyle name="Output 3 5 2 3 8" xfId="30754" xr:uid="{00000000-0005-0000-0000-00007BAE0000}"/>
    <cellStyle name="Output 3 5 2 3 9" xfId="34410" xr:uid="{00000000-0005-0000-0000-00007CAE0000}"/>
    <cellStyle name="Output 3 5 2 4" xfId="5087" xr:uid="{00000000-0005-0000-0000-00007DAE0000}"/>
    <cellStyle name="Output 3 5 2 5" xfId="9443" xr:uid="{00000000-0005-0000-0000-00007EAE0000}"/>
    <cellStyle name="Output 3 5 2 6" xfId="13285" xr:uid="{00000000-0005-0000-0000-00007FAE0000}"/>
    <cellStyle name="Output 3 5 2 7" xfId="17113" xr:uid="{00000000-0005-0000-0000-000080AE0000}"/>
    <cellStyle name="Output 3 5 2 8" xfId="21055" xr:uid="{00000000-0005-0000-0000-000081AE0000}"/>
    <cellStyle name="Output 3 5 2 9" xfId="24868" xr:uid="{00000000-0005-0000-0000-000082AE0000}"/>
    <cellStyle name="Output 3 5 3" xfId="1519" xr:uid="{00000000-0005-0000-0000-000083AE0000}"/>
    <cellStyle name="Output 3 5 3 10" xfId="32806" xr:uid="{00000000-0005-0000-0000-000084AE0000}"/>
    <cellStyle name="Output 3 5 3 11" xfId="36576" xr:uid="{00000000-0005-0000-0000-000085AE0000}"/>
    <cellStyle name="Output 3 5 3 12" xfId="40567" xr:uid="{00000000-0005-0000-0000-000086AE0000}"/>
    <cellStyle name="Output 3 5 3 13" xfId="44398" xr:uid="{00000000-0005-0000-0000-000087AE0000}"/>
    <cellStyle name="Output 3 5 3 2" xfId="3509" xr:uid="{00000000-0005-0000-0000-000088AE0000}"/>
    <cellStyle name="Output 3 5 3 2 10" xfId="38560" xr:uid="{00000000-0005-0000-0000-000089AE0000}"/>
    <cellStyle name="Output 3 5 3 2 11" xfId="42571" xr:uid="{00000000-0005-0000-0000-00008AAE0000}"/>
    <cellStyle name="Output 3 5 3 2 12" xfId="46336" xr:uid="{00000000-0005-0000-0000-00008BAE0000}"/>
    <cellStyle name="Output 3 5 3 2 2" xfId="7376" xr:uid="{00000000-0005-0000-0000-00008CAE0000}"/>
    <cellStyle name="Output 3 5 3 2 3" xfId="11811" xr:uid="{00000000-0005-0000-0000-00008DAE0000}"/>
    <cellStyle name="Output 3 5 3 2 4" xfId="15656" xr:uid="{00000000-0005-0000-0000-00008EAE0000}"/>
    <cellStyle name="Output 3 5 3 2 5" xfId="19503" xr:uid="{00000000-0005-0000-0000-00008FAE0000}"/>
    <cellStyle name="Output 3 5 3 2 6" xfId="23419" xr:uid="{00000000-0005-0000-0000-000090AE0000}"/>
    <cellStyle name="Output 3 5 3 2 7" xfId="27253" xr:uid="{00000000-0005-0000-0000-000091AE0000}"/>
    <cellStyle name="Output 3 5 3 2 8" xfId="31120" xr:uid="{00000000-0005-0000-0000-000092AE0000}"/>
    <cellStyle name="Output 3 5 3 2 9" xfId="34774" xr:uid="{00000000-0005-0000-0000-000093AE0000}"/>
    <cellStyle name="Output 3 5 3 3" xfId="5452" xr:uid="{00000000-0005-0000-0000-000094AE0000}"/>
    <cellStyle name="Output 3 5 3 4" xfId="9810" xr:uid="{00000000-0005-0000-0000-000095AE0000}"/>
    <cellStyle name="Output 3 5 3 5" xfId="13656" xr:uid="{00000000-0005-0000-0000-000096AE0000}"/>
    <cellStyle name="Output 3 5 3 6" xfId="17485" xr:uid="{00000000-0005-0000-0000-000097AE0000}"/>
    <cellStyle name="Output 3 5 3 7" xfId="21424" xr:uid="{00000000-0005-0000-0000-000098AE0000}"/>
    <cellStyle name="Output 3 5 3 8" xfId="25237" xr:uid="{00000000-0005-0000-0000-000099AE0000}"/>
    <cellStyle name="Output 3 5 3 9" xfId="29124" xr:uid="{00000000-0005-0000-0000-00009AAE0000}"/>
    <cellStyle name="Output 3 5 4" xfId="2773" xr:uid="{00000000-0005-0000-0000-00009BAE0000}"/>
    <cellStyle name="Output 3 5 4 10" xfId="37825" xr:uid="{00000000-0005-0000-0000-00009CAE0000}"/>
    <cellStyle name="Output 3 5 4 11" xfId="41838" xr:uid="{00000000-0005-0000-0000-00009DAE0000}"/>
    <cellStyle name="Output 3 5 4 12" xfId="45619" xr:uid="{00000000-0005-0000-0000-00009EAE0000}"/>
    <cellStyle name="Output 3 5 4 2" xfId="6657" xr:uid="{00000000-0005-0000-0000-00009FAE0000}"/>
    <cellStyle name="Output 3 5 4 3" xfId="11082" xr:uid="{00000000-0005-0000-0000-0000A0AE0000}"/>
    <cellStyle name="Output 3 5 4 4" xfId="14928" xr:uid="{00000000-0005-0000-0000-0000A1AE0000}"/>
    <cellStyle name="Output 3 5 4 5" xfId="18767" xr:uid="{00000000-0005-0000-0000-0000A2AE0000}"/>
    <cellStyle name="Output 3 5 4 6" xfId="22695" xr:uid="{00000000-0005-0000-0000-0000A3AE0000}"/>
    <cellStyle name="Output 3 5 4 7" xfId="26518" xr:uid="{00000000-0005-0000-0000-0000A4AE0000}"/>
    <cellStyle name="Output 3 5 4 8" xfId="30396" xr:uid="{00000000-0005-0000-0000-0000A5AE0000}"/>
    <cellStyle name="Output 3 5 4 9" xfId="34057" xr:uid="{00000000-0005-0000-0000-0000A6AE0000}"/>
    <cellStyle name="Output 3 5 5" xfId="4733" xr:uid="{00000000-0005-0000-0000-0000A7AE0000}"/>
    <cellStyle name="Output 3 5 6" xfId="9083" xr:uid="{00000000-0005-0000-0000-0000A8AE0000}"/>
    <cellStyle name="Output 3 5 7" xfId="12923" xr:uid="{00000000-0005-0000-0000-0000A9AE0000}"/>
    <cellStyle name="Output 3 5 8" xfId="16749" xr:uid="{00000000-0005-0000-0000-0000AAAE0000}"/>
    <cellStyle name="Output 3 5 9" xfId="20690" xr:uid="{00000000-0005-0000-0000-0000ABAE0000}"/>
    <cellStyle name="Output 3 6" xfId="843" xr:uid="{00000000-0005-0000-0000-0000ACAE0000}"/>
    <cellStyle name="Output 3 6 10" xfId="24567" xr:uid="{00000000-0005-0000-0000-0000ADAE0000}"/>
    <cellStyle name="Output 3 6 11" xfId="28458" xr:uid="{00000000-0005-0000-0000-0000AEAE0000}"/>
    <cellStyle name="Output 3 6 12" xfId="32144" xr:uid="{00000000-0005-0000-0000-0000AFAE0000}"/>
    <cellStyle name="Output 3 6 13" xfId="35901" xr:uid="{00000000-0005-0000-0000-0000B0AE0000}"/>
    <cellStyle name="Output 3 6 14" xfId="39912" xr:uid="{00000000-0005-0000-0000-0000B1AE0000}"/>
    <cellStyle name="Output 3 6 15" xfId="43727" xr:uid="{00000000-0005-0000-0000-0000B2AE0000}"/>
    <cellStyle name="Output 3 6 2" xfId="1186" xr:uid="{00000000-0005-0000-0000-0000B3AE0000}"/>
    <cellStyle name="Output 3 6 2 10" xfId="28795" xr:uid="{00000000-0005-0000-0000-0000B4AE0000}"/>
    <cellStyle name="Output 3 6 2 11" xfId="32478" xr:uid="{00000000-0005-0000-0000-0000B5AE0000}"/>
    <cellStyle name="Output 3 6 2 12" xfId="36244" xr:uid="{00000000-0005-0000-0000-0000B6AE0000}"/>
    <cellStyle name="Output 3 6 2 13" xfId="40238" xr:uid="{00000000-0005-0000-0000-0000B7AE0000}"/>
    <cellStyle name="Output 3 6 2 14" xfId="44070" xr:uid="{00000000-0005-0000-0000-0000B8AE0000}"/>
    <cellStyle name="Output 3 6 2 2" xfId="1908" xr:uid="{00000000-0005-0000-0000-0000B9AE0000}"/>
    <cellStyle name="Output 3 6 2 2 10" xfId="33195" xr:uid="{00000000-0005-0000-0000-0000BAAE0000}"/>
    <cellStyle name="Output 3 6 2 2 11" xfId="36965" xr:uid="{00000000-0005-0000-0000-0000BBAE0000}"/>
    <cellStyle name="Output 3 6 2 2 12" xfId="40956" xr:uid="{00000000-0005-0000-0000-0000BCAE0000}"/>
    <cellStyle name="Output 3 6 2 2 13" xfId="44787" xr:uid="{00000000-0005-0000-0000-0000BDAE0000}"/>
    <cellStyle name="Output 3 6 2 2 2" xfId="3898" xr:uid="{00000000-0005-0000-0000-0000BEAE0000}"/>
    <cellStyle name="Output 3 6 2 2 2 10" xfId="38949" xr:uid="{00000000-0005-0000-0000-0000BFAE0000}"/>
    <cellStyle name="Output 3 6 2 2 2 11" xfId="42960" xr:uid="{00000000-0005-0000-0000-0000C0AE0000}"/>
    <cellStyle name="Output 3 6 2 2 2 12" xfId="46725" xr:uid="{00000000-0005-0000-0000-0000C1AE0000}"/>
    <cellStyle name="Output 3 6 2 2 2 2" xfId="7765" xr:uid="{00000000-0005-0000-0000-0000C2AE0000}"/>
    <cellStyle name="Output 3 6 2 2 2 3" xfId="12200" xr:uid="{00000000-0005-0000-0000-0000C3AE0000}"/>
    <cellStyle name="Output 3 6 2 2 2 4" xfId="16045" xr:uid="{00000000-0005-0000-0000-0000C4AE0000}"/>
    <cellStyle name="Output 3 6 2 2 2 5" xfId="19892" xr:uid="{00000000-0005-0000-0000-0000C5AE0000}"/>
    <cellStyle name="Output 3 6 2 2 2 6" xfId="23808" xr:uid="{00000000-0005-0000-0000-0000C6AE0000}"/>
    <cellStyle name="Output 3 6 2 2 2 7" xfId="27642" xr:uid="{00000000-0005-0000-0000-0000C7AE0000}"/>
    <cellStyle name="Output 3 6 2 2 2 8" xfId="31504" xr:uid="{00000000-0005-0000-0000-0000C8AE0000}"/>
    <cellStyle name="Output 3 6 2 2 2 9" xfId="35163" xr:uid="{00000000-0005-0000-0000-0000C9AE0000}"/>
    <cellStyle name="Output 3 6 2 2 3" xfId="5841" xr:uid="{00000000-0005-0000-0000-0000CAAE0000}"/>
    <cellStyle name="Output 3 6 2 2 4" xfId="10199" xr:uid="{00000000-0005-0000-0000-0000CBAE0000}"/>
    <cellStyle name="Output 3 6 2 2 5" xfId="14045" xr:uid="{00000000-0005-0000-0000-0000CCAE0000}"/>
    <cellStyle name="Output 3 6 2 2 6" xfId="17874" xr:uid="{00000000-0005-0000-0000-0000CDAE0000}"/>
    <cellStyle name="Output 3 6 2 2 7" xfId="21813" xr:uid="{00000000-0005-0000-0000-0000CEAE0000}"/>
    <cellStyle name="Output 3 6 2 2 8" xfId="25626" xr:uid="{00000000-0005-0000-0000-0000CFAE0000}"/>
    <cellStyle name="Output 3 6 2 2 9" xfId="29513" xr:uid="{00000000-0005-0000-0000-0000D0AE0000}"/>
    <cellStyle name="Output 3 6 2 3" xfId="3176" xr:uid="{00000000-0005-0000-0000-0000D1AE0000}"/>
    <cellStyle name="Output 3 6 2 3 10" xfId="38228" xr:uid="{00000000-0005-0000-0000-0000D2AE0000}"/>
    <cellStyle name="Output 3 6 2 3 11" xfId="42239" xr:uid="{00000000-0005-0000-0000-0000D3AE0000}"/>
    <cellStyle name="Output 3 6 2 3 12" xfId="46008" xr:uid="{00000000-0005-0000-0000-0000D4AE0000}"/>
    <cellStyle name="Output 3 6 2 3 2" xfId="7048" xr:uid="{00000000-0005-0000-0000-0000D5AE0000}"/>
    <cellStyle name="Output 3 6 2 3 3" xfId="11480" xr:uid="{00000000-0005-0000-0000-0000D6AE0000}"/>
    <cellStyle name="Output 3 6 2 3 4" xfId="15324" xr:uid="{00000000-0005-0000-0000-0000D7AE0000}"/>
    <cellStyle name="Output 3 6 2 3 5" xfId="19170" xr:uid="{00000000-0005-0000-0000-0000D8AE0000}"/>
    <cellStyle name="Output 3 6 2 3 6" xfId="23089" xr:uid="{00000000-0005-0000-0000-0000D9AE0000}"/>
    <cellStyle name="Output 3 6 2 3 7" xfId="26921" xr:uid="{00000000-0005-0000-0000-0000DAAE0000}"/>
    <cellStyle name="Output 3 6 2 3 8" xfId="30792" xr:uid="{00000000-0005-0000-0000-0000DBAE0000}"/>
    <cellStyle name="Output 3 6 2 3 9" xfId="34446" xr:uid="{00000000-0005-0000-0000-0000DCAE0000}"/>
    <cellStyle name="Output 3 6 2 4" xfId="5124" xr:uid="{00000000-0005-0000-0000-0000DDAE0000}"/>
    <cellStyle name="Output 3 6 2 5" xfId="9480" xr:uid="{00000000-0005-0000-0000-0000DEAE0000}"/>
    <cellStyle name="Output 3 6 2 6" xfId="13324" xr:uid="{00000000-0005-0000-0000-0000DFAE0000}"/>
    <cellStyle name="Output 3 6 2 7" xfId="17152" xr:uid="{00000000-0005-0000-0000-0000E0AE0000}"/>
    <cellStyle name="Output 3 6 2 8" xfId="21094" xr:uid="{00000000-0005-0000-0000-0000E1AE0000}"/>
    <cellStyle name="Output 3 6 2 9" xfId="24905" xr:uid="{00000000-0005-0000-0000-0000E2AE0000}"/>
    <cellStyle name="Output 3 6 3" xfId="1574" xr:uid="{00000000-0005-0000-0000-0000E3AE0000}"/>
    <cellStyle name="Output 3 6 3 10" xfId="32861" xr:uid="{00000000-0005-0000-0000-0000E4AE0000}"/>
    <cellStyle name="Output 3 6 3 11" xfId="36631" xr:uid="{00000000-0005-0000-0000-0000E5AE0000}"/>
    <cellStyle name="Output 3 6 3 12" xfId="40622" xr:uid="{00000000-0005-0000-0000-0000E6AE0000}"/>
    <cellStyle name="Output 3 6 3 13" xfId="44453" xr:uid="{00000000-0005-0000-0000-0000E7AE0000}"/>
    <cellStyle name="Output 3 6 3 2" xfId="3564" xr:uid="{00000000-0005-0000-0000-0000E8AE0000}"/>
    <cellStyle name="Output 3 6 3 2 10" xfId="38615" xr:uid="{00000000-0005-0000-0000-0000E9AE0000}"/>
    <cellStyle name="Output 3 6 3 2 11" xfId="42626" xr:uid="{00000000-0005-0000-0000-0000EAAE0000}"/>
    <cellStyle name="Output 3 6 3 2 12" xfId="46391" xr:uid="{00000000-0005-0000-0000-0000EBAE0000}"/>
    <cellStyle name="Output 3 6 3 2 2" xfId="7431" xr:uid="{00000000-0005-0000-0000-0000ECAE0000}"/>
    <cellStyle name="Output 3 6 3 2 3" xfId="11866" xr:uid="{00000000-0005-0000-0000-0000EDAE0000}"/>
    <cellStyle name="Output 3 6 3 2 4" xfId="15711" xr:uid="{00000000-0005-0000-0000-0000EEAE0000}"/>
    <cellStyle name="Output 3 6 3 2 5" xfId="19558" xr:uid="{00000000-0005-0000-0000-0000EFAE0000}"/>
    <cellStyle name="Output 3 6 3 2 6" xfId="23474" xr:uid="{00000000-0005-0000-0000-0000F0AE0000}"/>
    <cellStyle name="Output 3 6 3 2 7" xfId="27308" xr:uid="{00000000-0005-0000-0000-0000F1AE0000}"/>
    <cellStyle name="Output 3 6 3 2 8" xfId="31174" xr:uid="{00000000-0005-0000-0000-0000F2AE0000}"/>
    <cellStyle name="Output 3 6 3 2 9" xfId="34829" xr:uid="{00000000-0005-0000-0000-0000F3AE0000}"/>
    <cellStyle name="Output 3 6 3 3" xfId="5507" xr:uid="{00000000-0005-0000-0000-0000F4AE0000}"/>
    <cellStyle name="Output 3 6 3 4" xfId="9865" xr:uid="{00000000-0005-0000-0000-0000F5AE0000}"/>
    <cellStyle name="Output 3 6 3 5" xfId="13711" xr:uid="{00000000-0005-0000-0000-0000F6AE0000}"/>
    <cellStyle name="Output 3 6 3 6" xfId="17540" xr:uid="{00000000-0005-0000-0000-0000F7AE0000}"/>
    <cellStyle name="Output 3 6 3 7" xfId="21479" xr:uid="{00000000-0005-0000-0000-0000F8AE0000}"/>
    <cellStyle name="Output 3 6 3 8" xfId="25292" xr:uid="{00000000-0005-0000-0000-0000F9AE0000}"/>
    <cellStyle name="Output 3 6 3 9" xfId="29179" xr:uid="{00000000-0005-0000-0000-0000FAAE0000}"/>
    <cellStyle name="Output 3 6 4" xfId="2833" xr:uid="{00000000-0005-0000-0000-0000FBAE0000}"/>
    <cellStyle name="Output 3 6 4 10" xfId="37885" xr:uid="{00000000-0005-0000-0000-0000FCAE0000}"/>
    <cellStyle name="Output 3 6 4 11" xfId="41897" xr:uid="{00000000-0005-0000-0000-0000FDAE0000}"/>
    <cellStyle name="Output 3 6 4 12" xfId="45674" xr:uid="{00000000-0005-0000-0000-0000FEAE0000}"/>
    <cellStyle name="Output 3 6 4 2" xfId="6713" xr:uid="{00000000-0005-0000-0000-0000FFAE0000}"/>
    <cellStyle name="Output 3 6 4 3" xfId="11140" xr:uid="{00000000-0005-0000-0000-000000AF0000}"/>
    <cellStyle name="Output 3 6 4 4" xfId="14985" xr:uid="{00000000-0005-0000-0000-000001AF0000}"/>
    <cellStyle name="Output 3 6 4 5" xfId="18827" xr:uid="{00000000-0005-0000-0000-000002AF0000}"/>
    <cellStyle name="Output 3 6 4 6" xfId="22753" xr:uid="{00000000-0005-0000-0000-000003AF0000}"/>
    <cellStyle name="Output 3 6 4 7" xfId="26578" xr:uid="{00000000-0005-0000-0000-000004AF0000}"/>
    <cellStyle name="Output 3 6 4 8" xfId="30455" xr:uid="{00000000-0005-0000-0000-000005AF0000}"/>
    <cellStyle name="Output 3 6 4 9" xfId="34112" xr:uid="{00000000-0005-0000-0000-000006AF0000}"/>
    <cellStyle name="Output 3 6 5" xfId="4789" xr:uid="{00000000-0005-0000-0000-000007AF0000}"/>
    <cellStyle name="Output 3 6 6" xfId="9143" xr:uid="{00000000-0005-0000-0000-000008AF0000}"/>
    <cellStyle name="Output 3 6 7" xfId="12984" xr:uid="{00000000-0005-0000-0000-000009AF0000}"/>
    <cellStyle name="Output 3 6 8" xfId="16809" xr:uid="{00000000-0005-0000-0000-00000AAF0000}"/>
    <cellStyle name="Output 3 6 9" xfId="20751" xr:uid="{00000000-0005-0000-0000-00000BAF0000}"/>
    <cellStyle name="Output 3 7" xfId="846" xr:uid="{00000000-0005-0000-0000-00000CAF0000}"/>
    <cellStyle name="Output 3 7 10" xfId="28461" xr:uid="{00000000-0005-0000-0000-00000DAF0000}"/>
    <cellStyle name="Output 3 7 11" xfId="32147" xr:uid="{00000000-0005-0000-0000-00000EAF0000}"/>
    <cellStyle name="Output 3 7 12" xfId="35904" xr:uid="{00000000-0005-0000-0000-00000FAF0000}"/>
    <cellStyle name="Output 3 7 13" xfId="39915" xr:uid="{00000000-0005-0000-0000-000010AF0000}"/>
    <cellStyle name="Output 3 7 14" xfId="43730" xr:uid="{00000000-0005-0000-0000-000011AF0000}"/>
    <cellStyle name="Output 3 7 2" xfId="1577" xr:uid="{00000000-0005-0000-0000-000012AF0000}"/>
    <cellStyle name="Output 3 7 2 10" xfId="32864" xr:uid="{00000000-0005-0000-0000-000013AF0000}"/>
    <cellStyle name="Output 3 7 2 11" xfId="36634" xr:uid="{00000000-0005-0000-0000-000014AF0000}"/>
    <cellStyle name="Output 3 7 2 12" xfId="40625" xr:uid="{00000000-0005-0000-0000-000015AF0000}"/>
    <cellStyle name="Output 3 7 2 13" xfId="44456" xr:uid="{00000000-0005-0000-0000-000016AF0000}"/>
    <cellStyle name="Output 3 7 2 2" xfId="3567" xr:uid="{00000000-0005-0000-0000-000017AF0000}"/>
    <cellStyle name="Output 3 7 2 2 10" xfId="38618" xr:uid="{00000000-0005-0000-0000-000018AF0000}"/>
    <cellStyle name="Output 3 7 2 2 11" xfId="42629" xr:uid="{00000000-0005-0000-0000-000019AF0000}"/>
    <cellStyle name="Output 3 7 2 2 12" xfId="46394" xr:uid="{00000000-0005-0000-0000-00001AAF0000}"/>
    <cellStyle name="Output 3 7 2 2 2" xfId="7434" xr:uid="{00000000-0005-0000-0000-00001BAF0000}"/>
    <cellStyle name="Output 3 7 2 2 3" xfId="11869" xr:uid="{00000000-0005-0000-0000-00001CAF0000}"/>
    <cellStyle name="Output 3 7 2 2 4" xfId="15714" xr:uid="{00000000-0005-0000-0000-00001DAF0000}"/>
    <cellStyle name="Output 3 7 2 2 5" xfId="19561" xr:uid="{00000000-0005-0000-0000-00001EAF0000}"/>
    <cellStyle name="Output 3 7 2 2 6" xfId="23477" xr:uid="{00000000-0005-0000-0000-00001FAF0000}"/>
    <cellStyle name="Output 3 7 2 2 7" xfId="27311" xr:uid="{00000000-0005-0000-0000-000020AF0000}"/>
    <cellStyle name="Output 3 7 2 2 8" xfId="31177" xr:uid="{00000000-0005-0000-0000-000021AF0000}"/>
    <cellStyle name="Output 3 7 2 2 9" xfId="34832" xr:uid="{00000000-0005-0000-0000-000022AF0000}"/>
    <cellStyle name="Output 3 7 2 3" xfId="5510" xr:uid="{00000000-0005-0000-0000-000023AF0000}"/>
    <cellStyle name="Output 3 7 2 4" xfId="9868" xr:uid="{00000000-0005-0000-0000-000024AF0000}"/>
    <cellStyle name="Output 3 7 2 5" xfId="13714" xr:uid="{00000000-0005-0000-0000-000025AF0000}"/>
    <cellStyle name="Output 3 7 2 6" xfId="17543" xr:uid="{00000000-0005-0000-0000-000026AF0000}"/>
    <cellStyle name="Output 3 7 2 7" xfId="21482" xr:uid="{00000000-0005-0000-0000-000027AF0000}"/>
    <cellStyle name="Output 3 7 2 8" xfId="25295" xr:uid="{00000000-0005-0000-0000-000028AF0000}"/>
    <cellStyle name="Output 3 7 2 9" xfId="29182" xr:uid="{00000000-0005-0000-0000-000029AF0000}"/>
    <cellStyle name="Output 3 7 3" xfId="2836" xr:uid="{00000000-0005-0000-0000-00002AAF0000}"/>
    <cellStyle name="Output 3 7 3 10" xfId="37888" xr:uid="{00000000-0005-0000-0000-00002BAF0000}"/>
    <cellStyle name="Output 3 7 3 11" xfId="41900" xr:uid="{00000000-0005-0000-0000-00002CAF0000}"/>
    <cellStyle name="Output 3 7 3 12" xfId="45677" xr:uid="{00000000-0005-0000-0000-00002DAF0000}"/>
    <cellStyle name="Output 3 7 3 2" xfId="6716" xr:uid="{00000000-0005-0000-0000-00002EAF0000}"/>
    <cellStyle name="Output 3 7 3 3" xfId="11143" xr:uid="{00000000-0005-0000-0000-00002FAF0000}"/>
    <cellStyle name="Output 3 7 3 4" xfId="14988" xr:uid="{00000000-0005-0000-0000-000030AF0000}"/>
    <cellStyle name="Output 3 7 3 5" xfId="18830" xr:uid="{00000000-0005-0000-0000-000031AF0000}"/>
    <cellStyle name="Output 3 7 3 6" xfId="22756" xr:uid="{00000000-0005-0000-0000-000032AF0000}"/>
    <cellStyle name="Output 3 7 3 7" xfId="26581" xr:uid="{00000000-0005-0000-0000-000033AF0000}"/>
    <cellStyle name="Output 3 7 3 8" xfId="30458" xr:uid="{00000000-0005-0000-0000-000034AF0000}"/>
    <cellStyle name="Output 3 7 3 9" xfId="34115" xr:uid="{00000000-0005-0000-0000-000035AF0000}"/>
    <cellStyle name="Output 3 7 4" xfId="4792" xr:uid="{00000000-0005-0000-0000-000036AF0000}"/>
    <cellStyle name="Output 3 7 5" xfId="9146" xr:uid="{00000000-0005-0000-0000-000037AF0000}"/>
    <cellStyle name="Output 3 7 6" xfId="12987" xr:uid="{00000000-0005-0000-0000-000038AF0000}"/>
    <cellStyle name="Output 3 7 7" xfId="16812" xr:uid="{00000000-0005-0000-0000-000039AF0000}"/>
    <cellStyle name="Output 3 7 8" xfId="20754" xr:uid="{00000000-0005-0000-0000-00003AAF0000}"/>
    <cellStyle name="Output 3 7 9" xfId="24570" xr:uid="{00000000-0005-0000-0000-00003BAF0000}"/>
    <cellStyle name="Output 3 8" xfId="1260" xr:uid="{00000000-0005-0000-0000-00003CAF0000}"/>
    <cellStyle name="Output 3 8 10" xfId="32547" xr:uid="{00000000-0005-0000-0000-00003DAF0000}"/>
    <cellStyle name="Output 3 8 11" xfId="36317" xr:uid="{00000000-0005-0000-0000-00003EAF0000}"/>
    <cellStyle name="Output 3 8 12" xfId="40309" xr:uid="{00000000-0005-0000-0000-00003FAF0000}"/>
    <cellStyle name="Output 3 8 13" xfId="44139" xr:uid="{00000000-0005-0000-0000-000040AF0000}"/>
    <cellStyle name="Output 3 8 2" xfId="3250" xr:uid="{00000000-0005-0000-0000-000041AF0000}"/>
    <cellStyle name="Output 3 8 2 10" xfId="38301" xr:uid="{00000000-0005-0000-0000-000042AF0000}"/>
    <cellStyle name="Output 3 8 2 11" xfId="42312" xr:uid="{00000000-0005-0000-0000-000043AF0000}"/>
    <cellStyle name="Output 3 8 2 12" xfId="46077" xr:uid="{00000000-0005-0000-0000-000044AF0000}"/>
    <cellStyle name="Output 3 8 2 2" xfId="7117" xr:uid="{00000000-0005-0000-0000-000045AF0000}"/>
    <cellStyle name="Output 3 8 2 3" xfId="11552" xr:uid="{00000000-0005-0000-0000-000046AF0000}"/>
    <cellStyle name="Output 3 8 2 4" xfId="15397" xr:uid="{00000000-0005-0000-0000-000047AF0000}"/>
    <cellStyle name="Output 3 8 2 5" xfId="19244" xr:uid="{00000000-0005-0000-0000-000048AF0000}"/>
    <cellStyle name="Output 3 8 2 6" xfId="23160" xr:uid="{00000000-0005-0000-0000-000049AF0000}"/>
    <cellStyle name="Output 3 8 2 7" xfId="26994" xr:uid="{00000000-0005-0000-0000-00004AAF0000}"/>
    <cellStyle name="Output 3 8 2 8" xfId="30864" xr:uid="{00000000-0005-0000-0000-00004BAF0000}"/>
    <cellStyle name="Output 3 8 2 9" xfId="34515" xr:uid="{00000000-0005-0000-0000-00004CAF0000}"/>
    <cellStyle name="Output 3 8 3" xfId="5193" xr:uid="{00000000-0005-0000-0000-00004DAF0000}"/>
    <cellStyle name="Output 3 8 4" xfId="9551" xr:uid="{00000000-0005-0000-0000-00004EAF0000}"/>
    <cellStyle name="Output 3 8 5" xfId="13397" xr:uid="{00000000-0005-0000-0000-00004FAF0000}"/>
    <cellStyle name="Output 3 8 6" xfId="17226" xr:uid="{00000000-0005-0000-0000-000050AF0000}"/>
    <cellStyle name="Output 3 8 7" xfId="21165" xr:uid="{00000000-0005-0000-0000-000051AF0000}"/>
    <cellStyle name="Output 3 8 8" xfId="24978" xr:uid="{00000000-0005-0000-0000-000052AF0000}"/>
    <cellStyle name="Output 3 8 9" xfId="28866" xr:uid="{00000000-0005-0000-0000-000053AF0000}"/>
    <cellStyle name="Output 3 9" xfId="2116" xr:uid="{00000000-0005-0000-0000-000054AF0000}"/>
    <cellStyle name="Output 3 9 10" xfId="33420" xr:uid="{00000000-0005-0000-0000-000055AF0000}"/>
    <cellStyle name="Output 3 9 11" xfId="37168" xr:uid="{00000000-0005-0000-0000-000056AF0000}"/>
    <cellStyle name="Output 3 9 12" xfId="41184" xr:uid="{00000000-0005-0000-0000-000057AF0000}"/>
    <cellStyle name="Output 3 9 13" xfId="44982" xr:uid="{00000000-0005-0000-0000-000058AF0000}"/>
    <cellStyle name="Output 3 9 2" xfId="4100" xr:uid="{00000000-0005-0000-0000-000059AF0000}"/>
    <cellStyle name="Output 3 9 2 10" xfId="39151" xr:uid="{00000000-0005-0000-0000-00005AAF0000}"/>
    <cellStyle name="Output 3 9 2 11" xfId="43161" xr:uid="{00000000-0005-0000-0000-00005BAF0000}"/>
    <cellStyle name="Output 3 9 2 12" xfId="46920" xr:uid="{00000000-0005-0000-0000-00005CAF0000}"/>
    <cellStyle name="Output 3 9 2 2" xfId="7961" xr:uid="{00000000-0005-0000-0000-00005DAF0000}"/>
    <cellStyle name="Output 3 9 2 3" xfId="12400" xr:uid="{00000000-0005-0000-0000-00005EAF0000}"/>
    <cellStyle name="Output 3 9 2 4" xfId="16245" xr:uid="{00000000-0005-0000-0000-00005FAF0000}"/>
    <cellStyle name="Output 3 9 2 5" xfId="20094" xr:uid="{00000000-0005-0000-0000-000060AF0000}"/>
    <cellStyle name="Output 3 9 2 6" xfId="24008" xr:uid="{00000000-0005-0000-0000-000061AF0000}"/>
    <cellStyle name="Output 3 9 2 7" xfId="27844" xr:uid="{00000000-0005-0000-0000-000062AF0000}"/>
    <cellStyle name="Output 3 9 2 8" xfId="31703" xr:uid="{00000000-0005-0000-0000-000063AF0000}"/>
    <cellStyle name="Output 3 9 2 9" xfId="35358" xr:uid="{00000000-0005-0000-0000-000064AF0000}"/>
    <cellStyle name="Output 3 9 3" xfId="6036" xr:uid="{00000000-0005-0000-0000-000065AF0000}"/>
    <cellStyle name="Output 3 9 4" xfId="10434" xr:uid="{00000000-0005-0000-0000-000066AF0000}"/>
    <cellStyle name="Output 3 9 5" xfId="14282" xr:uid="{00000000-0005-0000-0000-000067AF0000}"/>
    <cellStyle name="Output 3 9 6" xfId="18110" xr:uid="{00000000-0005-0000-0000-000068AF0000}"/>
    <cellStyle name="Output 3 9 7" xfId="22052" xr:uid="{00000000-0005-0000-0000-000069AF0000}"/>
    <cellStyle name="Output 3 9 8" xfId="25861" xr:uid="{00000000-0005-0000-0000-00006AAF0000}"/>
    <cellStyle name="Output 3 9 9" xfId="29741" xr:uid="{00000000-0005-0000-0000-00006BAF0000}"/>
    <cellStyle name="Percent" xfId="47723" builtinId="5"/>
    <cellStyle name="Percent 10" xfId="254" xr:uid="{00000000-0005-0000-0000-00006CAF0000}"/>
    <cellStyle name="Percent 11" xfId="255" xr:uid="{00000000-0005-0000-0000-00006DAF0000}"/>
    <cellStyle name="Percent 12" xfId="256" xr:uid="{00000000-0005-0000-0000-00006EAF0000}"/>
    <cellStyle name="Percent 13" xfId="257" xr:uid="{00000000-0005-0000-0000-00006FAF0000}"/>
    <cellStyle name="Percent 14" xfId="258" xr:uid="{00000000-0005-0000-0000-000070AF0000}"/>
    <cellStyle name="Percent 15" xfId="259" xr:uid="{00000000-0005-0000-0000-000071AF0000}"/>
    <cellStyle name="Percent 16" xfId="260" xr:uid="{00000000-0005-0000-0000-000072AF0000}"/>
    <cellStyle name="Percent 17" xfId="261" xr:uid="{00000000-0005-0000-0000-000073AF0000}"/>
    <cellStyle name="Percent 18" xfId="6" xr:uid="{00000000-0005-0000-0000-000074AF0000}"/>
    <cellStyle name="Percent 18 2" xfId="493" xr:uid="{00000000-0005-0000-0000-000075AF0000}"/>
    <cellStyle name="Percent 18 3" xfId="494" xr:uid="{00000000-0005-0000-0000-000076AF0000}"/>
    <cellStyle name="Percent 18 3 2" xfId="495" xr:uid="{00000000-0005-0000-0000-000077AF0000}"/>
    <cellStyle name="Percent 18 3 3" xfId="496" xr:uid="{00000000-0005-0000-0000-000078AF0000}"/>
    <cellStyle name="Percent 18 3 3 2" xfId="497" xr:uid="{00000000-0005-0000-0000-000079AF0000}"/>
    <cellStyle name="Percent 18 3 3 3" xfId="498" xr:uid="{00000000-0005-0000-0000-00007AAF0000}"/>
    <cellStyle name="Percent 18 3 3 3 2" xfId="499" xr:uid="{00000000-0005-0000-0000-00007BAF0000}"/>
    <cellStyle name="Percent 18 4" xfId="500" xr:uid="{00000000-0005-0000-0000-00007CAF0000}"/>
    <cellStyle name="Percent 18 5" xfId="501" xr:uid="{00000000-0005-0000-0000-00007DAF0000}"/>
    <cellStyle name="Percent 18 5 2" xfId="502" xr:uid="{00000000-0005-0000-0000-00007EAF0000}"/>
    <cellStyle name="Percent 18 5 3" xfId="503" xr:uid="{00000000-0005-0000-0000-00007FAF0000}"/>
    <cellStyle name="Percent 18 5 3 2" xfId="504" xr:uid="{00000000-0005-0000-0000-000080AF0000}"/>
    <cellStyle name="Percent 18 6" xfId="505" xr:uid="{00000000-0005-0000-0000-000081AF0000}"/>
    <cellStyle name="Percent 19" xfId="506" xr:uid="{00000000-0005-0000-0000-000082AF0000}"/>
    <cellStyle name="Percent 2" xfId="262" xr:uid="{00000000-0005-0000-0000-000083AF0000}"/>
    <cellStyle name="Percent 2 10" xfId="47636" xr:uid="{00000000-0005-0000-0000-000084AF0000}"/>
    <cellStyle name="Percent 2 11" xfId="47637" xr:uid="{00000000-0005-0000-0000-000085AF0000}"/>
    <cellStyle name="Percent 2 12" xfId="47638" xr:uid="{00000000-0005-0000-0000-000086AF0000}"/>
    <cellStyle name="Percent 2 13" xfId="47639" xr:uid="{00000000-0005-0000-0000-000087AF0000}"/>
    <cellStyle name="Percent 2 14" xfId="47640" xr:uid="{00000000-0005-0000-0000-000088AF0000}"/>
    <cellStyle name="Percent 2 15" xfId="47641" xr:uid="{00000000-0005-0000-0000-000089AF0000}"/>
    <cellStyle name="Percent 2 16" xfId="47642" xr:uid="{00000000-0005-0000-0000-00008AAF0000}"/>
    <cellStyle name="Percent 2 17" xfId="47643" xr:uid="{00000000-0005-0000-0000-00008BAF0000}"/>
    <cellStyle name="Percent 2 18" xfId="47644" xr:uid="{00000000-0005-0000-0000-00008CAF0000}"/>
    <cellStyle name="Percent 2 19" xfId="47645" xr:uid="{00000000-0005-0000-0000-00008DAF0000}"/>
    <cellStyle name="Percent 2 2" xfId="263" xr:uid="{00000000-0005-0000-0000-00008EAF0000}"/>
    <cellStyle name="Percent 2 2 2" xfId="264" xr:uid="{00000000-0005-0000-0000-00008FAF0000}"/>
    <cellStyle name="Percent 2 2 2 2" xfId="507" xr:uid="{00000000-0005-0000-0000-000090AF0000}"/>
    <cellStyle name="Percent 2 2 3" xfId="265" xr:uid="{00000000-0005-0000-0000-000091AF0000}"/>
    <cellStyle name="Percent 2 2 3 2" xfId="266" xr:uid="{00000000-0005-0000-0000-000092AF0000}"/>
    <cellStyle name="Percent 2 2 3 2 2" xfId="508" xr:uid="{00000000-0005-0000-0000-000093AF0000}"/>
    <cellStyle name="Percent 2 2 3 3" xfId="509" xr:uid="{00000000-0005-0000-0000-000094AF0000}"/>
    <cellStyle name="Percent 2 2 4" xfId="267" xr:uid="{00000000-0005-0000-0000-000095AF0000}"/>
    <cellStyle name="Percent 2 2 4 2" xfId="510" xr:uid="{00000000-0005-0000-0000-000096AF0000}"/>
    <cellStyle name="Percent 2 2 5" xfId="511" xr:uid="{00000000-0005-0000-0000-000097AF0000}"/>
    <cellStyle name="Percent 2 2 6" xfId="512" xr:uid="{00000000-0005-0000-0000-000098AF0000}"/>
    <cellStyle name="Percent 2 20" xfId="47646" xr:uid="{00000000-0005-0000-0000-000099AF0000}"/>
    <cellStyle name="Percent 2 21" xfId="47647" xr:uid="{00000000-0005-0000-0000-00009AAF0000}"/>
    <cellStyle name="Percent 2 22" xfId="47648" xr:uid="{00000000-0005-0000-0000-00009BAF0000}"/>
    <cellStyle name="Percent 2 23" xfId="47649" xr:uid="{00000000-0005-0000-0000-00009CAF0000}"/>
    <cellStyle name="Percent 2 3" xfId="294" xr:uid="{00000000-0005-0000-0000-00009DAF0000}"/>
    <cellStyle name="Percent 2 3 2" xfId="513" xr:uid="{00000000-0005-0000-0000-00009EAF0000}"/>
    <cellStyle name="Percent 2 3 3" xfId="776" xr:uid="{00000000-0005-0000-0000-00009FAF0000}"/>
    <cellStyle name="Percent 2 4" xfId="514" xr:uid="{00000000-0005-0000-0000-0000A0AF0000}"/>
    <cellStyle name="Percent 2 4 2" xfId="47650" xr:uid="{00000000-0005-0000-0000-0000A1AF0000}"/>
    <cellStyle name="Percent 2 5" xfId="47651" xr:uid="{00000000-0005-0000-0000-0000A2AF0000}"/>
    <cellStyle name="Percent 2 6" xfId="47652" xr:uid="{00000000-0005-0000-0000-0000A3AF0000}"/>
    <cellStyle name="Percent 2 7" xfId="47653" xr:uid="{00000000-0005-0000-0000-0000A4AF0000}"/>
    <cellStyle name="Percent 2 8" xfId="47654" xr:uid="{00000000-0005-0000-0000-0000A5AF0000}"/>
    <cellStyle name="Percent 2 9" xfId="47655" xr:uid="{00000000-0005-0000-0000-0000A6AF0000}"/>
    <cellStyle name="Percent 20" xfId="4494" xr:uid="{00000000-0005-0000-0000-0000A7AF0000}"/>
    <cellStyle name="Percent 3" xfId="7" xr:uid="{00000000-0005-0000-0000-0000A8AF0000}"/>
    <cellStyle name="Percent 3 10" xfId="47656" xr:uid="{00000000-0005-0000-0000-0000A9AF0000}"/>
    <cellStyle name="Percent 3 11" xfId="47657" xr:uid="{00000000-0005-0000-0000-0000AAAF0000}"/>
    <cellStyle name="Percent 3 12" xfId="47658" xr:uid="{00000000-0005-0000-0000-0000ABAF0000}"/>
    <cellStyle name="Percent 3 13" xfId="47659" xr:uid="{00000000-0005-0000-0000-0000ACAF0000}"/>
    <cellStyle name="Percent 3 14" xfId="47660" xr:uid="{00000000-0005-0000-0000-0000ADAF0000}"/>
    <cellStyle name="Percent 3 15" xfId="47661" xr:uid="{00000000-0005-0000-0000-0000AEAF0000}"/>
    <cellStyle name="Percent 3 16" xfId="47662" xr:uid="{00000000-0005-0000-0000-0000AFAF0000}"/>
    <cellStyle name="Percent 3 17" xfId="47663" xr:uid="{00000000-0005-0000-0000-0000B0AF0000}"/>
    <cellStyle name="Percent 3 18" xfId="47664" xr:uid="{00000000-0005-0000-0000-0000B1AF0000}"/>
    <cellStyle name="Percent 3 19" xfId="47665" xr:uid="{00000000-0005-0000-0000-0000B2AF0000}"/>
    <cellStyle name="Percent 3 2" xfId="269" xr:uid="{00000000-0005-0000-0000-0000B3AF0000}"/>
    <cellStyle name="Percent 3 2 10" xfId="47667" xr:uid="{00000000-0005-0000-0000-0000B4AF0000}"/>
    <cellStyle name="Percent 3 2 11" xfId="47668" xr:uid="{00000000-0005-0000-0000-0000B5AF0000}"/>
    <cellStyle name="Percent 3 2 12" xfId="47669" xr:uid="{00000000-0005-0000-0000-0000B6AF0000}"/>
    <cellStyle name="Percent 3 2 13" xfId="47670" xr:uid="{00000000-0005-0000-0000-0000B7AF0000}"/>
    <cellStyle name="Percent 3 2 14" xfId="47671" xr:uid="{00000000-0005-0000-0000-0000B8AF0000}"/>
    <cellStyle name="Percent 3 2 15" xfId="47672" xr:uid="{00000000-0005-0000-0000-0000B9AF0000}"/>
    <cellStyle name="Percent 3 2 16" xfId="47673" xr:uid="{00000000-0005-0000-0000-0000BAAF0000}"/>
    <cellStyle name="Percent 3 2 17" xfId="47674" xr:uid="{00000000-0005-0000-0000-0000BBAF0000}"/>
    <cellStyle name="Percent 3 2 18" xfId="47675" xr:uid="{00000000-0005-0000-0000-0000BCAF0000}"/>
    <cellStyle name="Percent 3 2 19" xfId="47676" xr:uid="{00000000-0005-0000-0000-0000BDAF0000}"/>
    <cellStyle name="Percent 3 2 2" xfId="515" xr:uid="{00000000-0005-0000-0000-0000BEAF0000}"/>
    <cellStyle name="Percent 3 2 20" xfId="47677" xr:uid="{00000000-0005-0000-0000-0000BFAF0000}"/>
    <cellStyle name="Percent 3 2 21" xfId="47678" xr:uid="{00000000-0005-0000-0000-0000C0AF0000}"/>
    <cellStyle name="Percent 3 2 22" xfId="47679" xr:uid="{00000000-0005-0000-0000-0000C1AF0000}"/>
    <cellStyle name="Percent 3 2 23" xfId="47666" xr:uid="{00000000-0005-0000-0000-0000C2AF0000}"/>
    <cellStyle name="Percent 3 2 3" xfId="516" xr:uid="{00000000-0005-0000-0000-0000C3AF0000}"/>
    <cellStyle name="Percent 3 2 3 2" xfId="47680" xr:uid="{00000000-0005-0000-0000-0000C4AF0000}"/>
    <cellStyle name="Percent 3 2 4" xfId="47681" xr:uid="{00000000-0005-0000-0000-0000C5AF0000}"/>
    <cellStyle name="Percent 3 2 5" xfId="47682" xr:uid="{00000000-0005-0000-0000-0000C6AF0000}"/>
    <cellStyle name="Percent 3 2 6" xfId="47683" xr:uid="{00000000-0005-0000-0000-0000C7AF0000}"/>
    <cellStyle name="Percent 3 2 7" xfId="47684" xr:uid="{00000000-0005-0000-0000-0000C8AF0000}"/>
    <cellStyle name="Percent 3 2 8" xfId="47685" xr:uid="{00000000-0005-0000-0000-0000C9AF0000}"/>
    <cellStyle name="Percent 3 2 9" xfId="47686" xr:uid="{00000000-0005-0000-0000-0000CAAF0000}"/>
    <cellStyle name="Percent 3 20" xfId="47687" xr:uid="{00000000-0005-0000-0000-0000CBAF0000}"/>
    <cellStyle name="Percent 3 21" xfId="47688" xr:uid="{00000000-0005-0000-0000-0000CCAF0000}"/>
    <cellStyle name="Percent 3 22" xfId="47689" xr:uid="{00000000-0005-0000-0000-0000CDAF0000}"/>
    <cellStyle name="Percent 3 23" xfId="47690" xr:uid="{00000000-0005-0000-0000-0000CEAF0000}"/>
    <cellStyle name="Percent 3 3" xfId="270" xr:uid="{00000000-0005-0000-0000-0000CFAF0000}"/>
    <cellStyle name="Percent 3 4" xfId="517" xr:uid="{00000000-0005-0000-0000-0000D0AF0000}"/>
    <cellStyle name="Percent 3 4 2" xfId="47312" xr:uid="{00000000-0005-0000-0000-0000D1AF0000}"/>
    <cellStyle name="Percent 3 4 3" xfId="47691" xr:uid="{00000000-0005-0000-0000-0000D2AF0000}"/>
    <cellStyle name="Percent 3 5" xfId="518" xr:uid="{00000000-0005-0000-0000-0000D3AF0000}"/>
    <cellStyle name="Percent 3 5 2" xfId="47692" xr:uid="{00000000-0005-0000-0000-0000D4AF0000}"/>
    <cellStyle name="Percent 3 6" xfId="750" xr:uid="{00000000-0005-0000-0000-0000D5AF0000}"/>
    <cellStyle name="Percent 3 6 2" xfId="47693" xr:uid="{00000000-0005-0000-0000-0000D6AF0000}"/>
    <cellStyle name="Percent 3 7" xfId="268" xr:uid="{00000000-0005-0000-0000-0000D7AF0000}"/>
    <cellStyle name="Percent 3 8" xfId="47694" xr:uid="{00000000-0005-0000-0000-0000D8AF0000}"/>
    <cellStyle name="Percent 3 9" xfId="47695" xr:uid="{00000000-0005-0000-0000-0000D9AF0000}"/>
    <cellStyle name="Percent 4" xfId="271" xr:uid="{00000000-0005-0000-0000-0000DAAF0000}"/>
    <cellStyle name="Percent 4 2" xfId="272" xr:uid="{00000000-0005-0000-0000-0000DBAF0000}"/>
    <cellStyle name="Percent 4 3" xfId="273" xr:uid="{00000000-0005-0000-0000-0000DCAF0000}"/>
    <cellStyle name="Percent 4 4" xfId="274" xr:uid="{00000000-0005-0000-0000-0000DDAF0000}"/>
    <cellStyle name="Percent 4 5" xfId="275" xr:uid="{00000000-0005-0000-0000-0000DEAF0000}"/>
    <cellStyle name="Percent 4 6" xfId="276" xr:uid="{00000000-0005-0000-0000-0000DFAF0000}"/>
    <cellStyle name="Percent 5" xfId="277" xr:uid="{00000000-0005-0000-0000-0000E0AF0000}"/>
    <cellStyle name="Percent 5 2" xfId="278" xr:uid="{00000000-0005-0000-0000-0000E1AF0000}"/>
    <cellStyle name="Percent 5 2 2" xfId="519" xr:uid="{00000000-0005-0000-0000-0000E2AF0000}"/>
    <cellStyle name="Percent 5 2 3" xfId="47316" xr:uid="{00000000-0005-0000-0000-0000E3AF0000}"/>
    <cellStyle name="Percent 5 3" xfId="279" xr:uid="{00000000-0005-0000-0000-0000E4AF0000}"/>
    <cellStyle name="Percent 5 4" xfId="280" xr:uid="{00000000-0005-0000-0000-0000E5AF0000}"/>
    <cellStyle name="Percent 5 4 2" xfId="520" xr:uid="{00000000-0005-0000-0000-0000E6AF0000}"/>
    <cellStyle name="Percent 5 5" xfId="782" xr:uid="{00000000-0005-0000-0000-0000E7AF0000}"/>
    <cellStyle name="Percent 6" xfId="281" xr:uid="{00000000-0005-0000-0000-0000E8AF0000}"/>
    <cellStyle name="Percent 6 2" xfId="521" xr:uid="{00000000-0005-0000-0000-0000E9AF0000}"/>
    <cellStyle name="Percent 7" xfId="282" xr:uid="{00000000-0005-0000-0000-0000EAAF0000}"/>
    <cellStyle name="Percent 8" xfId="283" xr:uid="{00000000-0005-0000-0000-0000EBAF0000}"/>
    <cellStyle name="Percent 9" xfId="284" xr:uid="{00000000-0005-0000-0000-0000ECAF0000}"/>
    <cellStyle name="PSChar" xfId="526" xr:uid="{00000000-0005-0000-0000-0000EDAF0000}"/>
    <cellStyle name="PSDate" xfId="527" xr:uid="{00000000-0005-0000-0000-0000EEAF0000}"/>
    <cellStyle name="PSDec" xfId="528" xr:uid="{00000000-0005-0000-0000-0000EFAF0000}"/>
    <cellStyle name="PSHeading" xfId="529" xr:uid="{00000000-0005-0000-0000-0000F0AF0000}"/>
    <cellStyle name="PSHeading 10" xfId="39888" xr:uid="{00000000-0005-0000-0000-0000F1AF0000}"/>
    <cellStyle name="PSHeading 11" xfId="47343" xr:uid="{00000000-0005-0000-0000-0000F2AF0000}"/>
    <cellStyle name="PSHeading 12" xfId="47478" xr:uid="{00000000-0005-0000-0000-0000F3AF0000}"/>
    <cellStyle name="PSHeading 2" xfId="788" xr:uid="{00000000-0005-0000-0000-0000F4AF0000}"/>
    <cellStyle name="PSHeading 2 2" xfId="1152" xr:uid="{00000000-0005-0000-0000-0000F5AF0000}"/>
    <cellStyle name="PSHeading 2 2 2" xfId="3142" xr:uid="{00000000-0005-0000-0000-0000F6AF0000}"/>
    <cellStyle name="PSHeading 2 2 2 2" xfId="7016" xr:uid="{00000000-0005-0000-0000-0000F7AF0000}"/>
    <cellStyle name="PSHeading 2 2 2 3" xfId="19136" xr:uid="{00000000-0005-0000-0000-0000F8AF0000}"/>
    <cellStyle name="PSHeading 2 2 2 4" xfId="30759" xr:uid="{00000000-0005-0000-0000-0000F9AF0000}"/>
    <cellStyle name="PSHeading 2 2 2 5" xfId="38194" xr:uid="{00000000-0005-0000-0000-0000FAAF0000}"/>
    <cellStyle name="PSHeading 2 2 3" xfId="5092" xr:uid="{00000000-0005-0000-0000-0000FBAF0000}"/>
    <cellStyle name="PSHeading 2 2 4" xfId="17118" xr:uid="{00000000-0005-0000-0000-0000FCAF0000}"/>
    <cellStyle name="PSHeading 2 2 5" xfId="21060" xr:uid="{00000000-0005-0000-0000-0000FDAF0000}"/>
    <cellStyle name="PSHeading 2 2 6" xfId="28761" xr:uid="{00000000-0005-0000-0000-0000FEAF0000}"/>
    <cellStyle name="PSHeading 2 2 7" xfId="36210" xr:uid="{00000000-0005-0000-0000-0000FFAF0000}"/>
    <cellStyle name="PSHeading 2 2 8" xfId="44036" xr:uid="{00000000-0005-0000-0000-000000B00000}"/>
    <cellStyle name="PSHeading 2 3" xfId="2778" xr:uid="{00000000-0005-0000-0000-000001B00000}"/>
    <cellStyle name="PSHeading 2 3 2" xfId="6662" xr:uid="{00000000-0005-0000-0000-000002B00000}"/>
    <cellStyle name="PSHeading 2 3 3" xfId="18772" xr:uid="{00000000-0005-0000-0000-000003B00000}"/>
    <cellStyle name="PSHeading 2 3 4" xfId="30401" xr:uid="{00000000-0005-0000-0000-000004B00000}"/>
    <cellStyle name="PSHeading 2 3 5" xfId="37830" xr:uid="{00000000-0005-0000-0000-000005B00000}"/>
    <cellStyle name="PSHeading 2 4" xfId="4738" xr:uid="{00000000-0005-0000-0000-000006B00000}"/>
    <cellStyle name="PSHeading 2 5" xfId="16756" xr:uid="{00000000-0005-0000-0000-000007B00000}"/>
    <cellStyle name="PSHeading 2 6" xfId="20696" xr:uid="{00000000-0005-0000-0000-000008B00000}"/>
    <cellStyle name="PSHeading 2 7" xfId="28403" xr:uid="{00000000-0005-0000-0000-000009B00000}"/>
    <cellStyle name="PSHeading 2 8" xfId="35846" xr:uid="{00000000-0005-0000-0000-00000AB00000}"/>
    <cellStyle name="PSHeading 2 9" xfId="43672" xr:uid="{00000000-0005-0000-0000-00000BB00000}"/>
    <cellStyle name="PSHeading 3" xfId="735" xr:uid="{00000000-0005-0000-0000-00000CB00000}"/>
    <cellStyle name="PSHeading 3 2" xfId="2738" xr:uid="{00000000-0005-0000-0000-00000DB00000}"/>
    <cellStyle name="PSHeading 3 2 2" xfId="6625" xr:uid="{00000000-0005-0000-0000-00000EB00000}"/>
    <cellStyle name="PSHeading 3 2 3" xfId="18732" xr:uid="{00000000-0005-0000-0000-00000FB00000}"/>
    <cellStyle name="PSHeading 3 2 4" xfId="30362" xr:uid="{00000000-0005-0000-0000-000010B00000}"/>
    <cellStyle name="PSHeading 3 2 5" xfId="37790" xr:uid="{00000000-0005-0000-0000-000011B00000}"/>
    <cellStyle name="PSHeading 3 3" xfId="4701" xr:uid="{00000000-0005-0000-0000-000012B00000}"/>
    <cellStyle name="PSHeading 3 4" xfId="16711" xr:uid="{00000000-0005-0000-0000-000013B00000}"/>
    <cellStyle name="PSHeading 3 5" xfId="20648" xr:uid="{00000000-0005-0000-0000-000014B00000}"/>
    <cellStyle name="PSHeading 3 6" xfId="28361" xr:uid="{00000000-0005-0000-0000-000015B00000}"/>
    <cellStyle name="PSHeading 3 7" xfId="35806" xr:uid="{00000000-0005-0000-0000-000016B00000}"/>
    <cellStyle name="PSHeading 3 8" xfId="43632" xr:uid="{00000000-0005-0000-0000-000017B00000}"/>
    <cellStyle name="PSHeading 4" xfId="1987" xr:uid="{00000000-0005-0000-0000-000018B00000}"/>
    <cellStyle name="PSHeading 4 2" xfId="33274" xr:uid="{00000000-0005-0000-0000-000019B00000}"/>
    <cellStyle name="PSHeading 4 3" xfId="41035" xr:uid="{00000000-0005-0000-0000-00001AB00000}"/>
    <cellStyle name="PSHeading 5" xfId="2034" xr:uid="{00000000-0005-0000-0000-00001BB00000}"/>
    <cellStyle name="PSHeading 5 2" xfId="4023" xr:uid="{00000000-0005-0000-0000-00001CB00000}"/>
    <cellStyle name="PSHeading 5 2 2" xfId="7888" xr:uid="{00000000-0005-0000-0000-00001DB00000}"/>
    <cellStyle name="PSHeading 5 2 3" xfId="20017" xr:uid="{00000000-0005-0000-0000-00001EB00000}"/>
    <cellStyle name="PSHeading 5 2 4" xfId="31626" xr:uid="{00000000-0005-0000-0000-00001FB00000}"/>
    <cellStyle name="PSHeading 5 2 5" xfId="39074" xr:uid="{00000000-0005-0000-0000-000020B00000}"/>
    <cellStyle name="PSHeading 5 3" xfId="5964" xr:uid="{00000000-0005-0000-0000-000021B00000}"/>
    <cellStyle name="PSHeading 5 4" xfId="18000" xr:uid="{00000000-0005-0000-0000-000022B00000}"/>
    <cellStyle name="PSHeading 5 5" xfId="29638" xr:uid="{00000000-0005-0000-0000-000023B00000}"/>
    <cellStyle name="PSHeading 5 6" xfId="37090" xr:uid="{00000000-0005-0000-0000-000024B00000}"/>
    <cellStyle name="PSHeading 6" xfId="2364" xr:uid="{00000000-0005-0000-0000-000025B00000}"/>
    <cellStyle name="PSHeading 6 2" xfId="4347" xr:uid="{00000000-0005-0000-0000-000026B00000}"/>
    <cellStyle name="PSHeading 6 2 2" xfId="8204" xr:uid="{00000000-0005-0000-0000-000027B00000}"/>
    <cellStyle name="PSHeading 6 2 3" xfId="20341" xr:uid="{00000000-0005-0000-0000-000028B00000}"/>
    <cellStyle name="PSHeading 6 2 4" xfId="31949" xr:uid="{00000000-0005-0000-0000-000029B00000}"/>
    <cellStyle name="PSHeading 6 2 5" xfId="39398" xr:uid="{00000000-0005-0000-0000-00002AB00000}"/>
    <cellStyle name="PSHeading 6 3" xfId="6260" xr:uid="{00000000-0005-0000-0000-00002BB00000}"/>
    <cellStyle name="PSHeading 6 4" xfId="18358" xr:uid="{00000000-0005-0000-0000-00002CB00000}"/>
    <cellStyle name="PSHeading 6 5" xfId="29989" xr:uid="{00000000-0005-0000-0000-00002DB00000}"/>
    <cellStyle name="PSHeading 6 6" xfId="37416" xr:uid="{00000000-0005-0000-0000-00002EB00000}"/>
    <cellStyle name="PSHeading 7" xfId="2468" xr:uid="{00000000-0005-0000-0000-00002FB00000}"/>
    <cellStyle name="PSHeading 7 2" xfId="6362" xr:uid="{00000000-0005-0000-0000-000030B00000}"/>
    <cellStyle name="PSHeading 7 3" xfId="18462" xr:uid="{00000000-0005-0000-0000-000031B00000}"/>
    <cellStyle name="PSHeading 7 4" xfId="30092" xr:uid="{00000000-0005-0000-0000-000032B00000}"/>
    <cellStyle name="PSHeading 7 5" xfId="37520" xr:uid="{00000000-0005-0000-0000-000033B00000}"/>
    <cellStyle name="PSHeading 8" xfId="12919" xr:uid="{00000000-0005-0000-0000-000034B00000}"/>
    <cellStyle name="PSHeading 9" xfId="18061" xr:uid="{00000000-0005-0000-0000-000035B00000}"/>
    <cellStyle name="PSInt" xfId="530" xr:uid="{00000000-0005-0000-0000-000036B00000}"/>
    <cellStyle name="PSSpacer" xfId="531" xr:uid="{00000000-0005-0000-0000-000037B00000}"/>
    <cellStyle name="Style 346" xfId="532" xr:uid="{00000000-0005-0000-0000-000038B00000}"/>
    <cellStyle name="Title" xfId="8" builtinId="15" customBuiltin="1"/>
    <cellStyle name="Title 2" xfId="285" xr:uid="{00000000-0005-0000-0000-00003AB00000}"/>
    <cellStyle name="Title 3" xfId="286" xr:uid="{00000000-0005-0000-0000-00003BB00000}"/>
    <cellStyle name="Total" xfId="24" builtinId="25" customBuiltin="1"/>
    <cellStyle name="Total 2" xfId="287" xr:uid="{00000000-0005-0000-0000-00003DB00000}"/>
    <cellStyle name="Total 2 10" xfId="2101" xr:uid="{00000000-0005-0000-0000-00003EB00000}"/>
    <cellStyle name="Total 2 10 10" xfId="33407" xr:uid="{00000000-0005-0000-0000-00003FB00000}"/>
    <cellStyle name="Total 2 10 11" xfId="37153" xr:uid="{00000000-0005-0000-0000-000040B00000}"/>
    <cellStyle name="Total 2 10 12" xfId="41169" xr:uid="{00000000-0005-0000-0000-000041B00000}"/>
    <cellStyle name="Total 2 10 13" xfId="44969" xr:uid="{00000000-0005-0000-0000-000042B00000}"/>
    <cellStyle name="Total 2 10 2" xfId="4085" xr:uid="{00000000-0005-0000-0000-000043B00000}"/>
    <cellStyle name="Total 2 10 2 10" xfId="39136" xr:uid="{00000000-0005-0000-0000-000044B00000}"/>
    <cellStyle name="Total 2 10 2 11" xfId="43146" xr:uid="{00000000-0005-0000-0000-000045B00000}"/>
    <cellStyle name="Total 2 10 2 12" xfId="46907" xr:uid="{00000000-0005-0000-0000-000046B00000}"/>
    <cellStyle name="Total 2 10 2 2" xfId="7948" xr:uid="{00000000-0005-0000-0000-000047B00000}"/>
    <cellStyle name="Total 2 10 2 3" xfId="12385" xr:uid="{00000000-0005-0000-0000-000048B00000}"/>
    <cellStyle name="Total 2 10 2 4" xfId="16230" xr:uid="{00000000-0005-0000-0000-000049B00000}"/>
    <cellStyle name="Total 2 10 2 5" xfId="20079" xr:uid="{00000000-0005-0000-0000-00004AB00000}"/>
    <cellStyle name="Total 2 10 2 6" xfId="23993" xr:uid="{00000000-0005-0000-0000-00004BB00000}"/>
    <cellStyle name="Total 2 10 2 7" xfId="27829" xr:uid="{00000000-0005-0000-0000-00004CB00000}"/>
    <cellStyle name="Total 2 10 2 8" xfId="31688" xr:uid="{00000000-0005-0000-0000-00004DB00000}"/>
    <cellStyle name="Total 2 10 2 9" xfId="35345" xr:uid="{00000000-0005-0000-0000-00004EB00000}"/>
    <cellStyle name="Total 2 10 3" xfId="6024" xr:uid="{00000000-0005-0000-0000-00004FB00000}"/>
    <cellStyle name="Total 2 10 4" xfId="10420" xr:uid="{00000000-0005-0000-0000-000050B00000}"/>
    <cellStyle name="Total 2 10 5" xfId="14267" xr:uid="{00000000-0005-0000-0000-000051B00000}"/>
    <cellStyle name="Total 2 10 6" xfId="18095" xr:uid="{00000000-0005-0000-0000-000052B00000}"/>
    <cellStyle name="Total 2 10 7" xfId="22037" xr:uid="{00000000-0005-0000-0000-000053B00000}"/>
    <cellStyle name="Total 2 10 8" xfId="25846" xr:uid="{00000000-0005-0000-0000-000054B00000}"/>
    <cellStyle name="Total 2 10 9" xfId="29726" xr:uid="{00000000-0005-0000-0000-000055B00000}"/>
    <cellStyle name="Total 2 11" xfId="2147" xr:uid="{00000000-0005-0000-0000-000056B00000}"/>
    <cellStyle name="Total 2 11 10" xfId="33449" xr:uid="{00000000-0005-0000-0000-000057B00000}"/>
    <cellStyle name="Total 2 11 11" xfId="37199" xr:uid="{00000000-0005-0000-0000-000058B00000}"/>
    <cellStyle name="Total 2 11 12" xfId="41215" xr:uid="{00000000-0005-0000-0000-000059B00000}"/>
    <cellStyle name="Total 2 11 13" xfId="45011" xr:uid="{00000000-0005-0000-0000-00005AB00000}"/>
    <cellStyle name="Total 2 11 2" xfId="4131" xr:uid="{00000000-0005-0000-0000-00005BB00000}"/>
    <cellStyle name="Total 2 11 2 10" xfId="39182" xr:uid="{00000000-0005-0000-0000-00005CB00000}"/>
    <cellStyle name="Total 2 11 2 11" xfId="43192" xr:uid="{00000000-0005-0000-0000-00005DB00000}"/>
    <cellStyle name="Total 2 11 2 12" xfId="46949" xr:uid="{00000000-0005-0000-0000-00005EB00000}"/>
    <cellStyle name="Total 2 11 2 2" xfId="7990" xr:uid="{00000000-0005-0000-0000-00005FB00000}"/>
    <cellStyle name="Total 2 11 2 3" xfId="12430" xr:uid="{00000000-0005-0000-0000-000060B00000}"/>
    <cellStyle name="Total 2 11 2 4" xfId="16275" xr:uid="{00000000-0005-0000-0000-000061B00000}"/>
    <cellStyle name="Total 2 11 2 5" xfId="20125" xr:uid="{00000000-0005-0000-0000-000062B00000}"/>
    <cellStyle name="Total 2 11 2 6" xfId="24037" xr:uid="{00000000-0005-0000-0000-000063B00000}"/>
    <cellStyle name="Total 2 11 2 7" xfId="27875" xr:uid="{00000000-0005-0000-0000-000064B00000}"/>
    <cellStyle name="Total 2 11 2 8" xfId="31734" xr:uid="{00000000-0005-0000-0000-000065B00000}"/>
    <cellStyle name="Total 2 11 2 9" xfId="35387" xr:uid="{00000000-0005-0000-0000-000066B00000}"/>
    <cellStyle name="Total 2 11 3" xfId="6064" xr:uid="{00000000-0005-0000-0000-000067B00000}"/>
    <cellStyle name="Total 2 11 4" xfId="10464" xr:uid="{00000000-0005-0000-0000-000068B00000}"/>
    <cellStyle name="Total 2 11 5" xfId="14311" xr:uid="{00000000-0005-0000-0000-000069B00000}"/>
    <cellStyle name="Total 2 11 6" xfId="18141" xr:uid="{00000000-0005-0000-0000-00006AB00000}"/>
    <cellStyle name="Total 2 11 7" xfId="22081" xr:uid="{00000000-0005-0000-0000-00006BB00000}"/>
    <cellStyle name="Total 2 11 8" xfId="25892" xr:uid="{00000000-0005-0000-0000-00006CB00000}"/>
    <cellStyle name="Total 2 11 9" xfId="29772" xr:uid="{00000000-0005-0000-0000-00006DB00000}"/>
    <cellStyle name="Total 2 12" xfId="2092" xr:uid="{00000000-0005-0000-0000-00006EB00000}"/>
    <cellStyle name="Total 2 12 10" xfId="33399" xr:uid="{00000000-0005-0000-0000-00006FB00000}"/>
    <cellStyle name="Total 2 12 11" xfId="37144" xr:uid="{00000000-0005-0000-0000-000070B00000}"/>
    <cellStyle name="Total 2 12 12" xfId="41160" xr:uid="{00000000-0005-0000-0000-000071B00000}"/>
    <cellStyle name="Total 2 12 13" xfId="44961" xr:uid="{00000000-0005-0000-0000-000072B00000}"/>
    <cellStyle name="Total 2 12 2" xfId="4077" xr:uid="{00000000-0005-0000-0000-000073B00000}"/>
    <cellStyle name="Total 2 12 2 10" xfId="39128" xr:uid="{00000000-0005-0000-0000-000074B00000}"/>
    <cellStyle name="Total 2 12 2 11" xfId="43138" xr:uid="{00000000-0005-0000-0000-000075B00000}"/>
    <cellStyle name="Total 2 12 2 12" xfId="46899" xr:uid="{00000000-0005-0000-0000-000076B00000}"/>
    <cellStyle name="Total 2 12 2 2" xfId="7940" xr:uid="{00000000-0005-0000-0000-000077B00000}"/>
    <cellStyle name="Total 2 12 2 3" xfId="12377" xr:uid="{00000000-0005-0000-0000-000078B00000}"/>
    <cellStyle name="Total 2 12 2 4" xfId="16222" xr:uid="{00000000-0005-0000-0000-000079B00000}"/>
    <cellStyle name="Total 2 12 2 5" xfId="20071" xr:uid="{00000000-0005-0000-0000-00007AB00000}"/>
    <cellStyle name="Total 2 12 2 6" xfId="23985" xr:uid="{00000000-0005-0000-0000-00007BB00000}"/>
    <cellStyle name="Total 2 12 2 7" xfId="27821" xr:uid="{00000000-0005-0000-0000-00007CB00000}"/>
    <cellStyle name="Total 2 12 2 8" xfId="31680" xr:uid="{00000000-0005-0000-0000-00007DB00000}"/>
    <cellStyle name="Total 2 12 2 9" xfId="35337" xr:uid="{00000000-0005-0000-0000-00007EB00000}"/>
    <cellStyle name="Total 2 12 3" xfId="6017" xr:uid="{00000000-0005-0000-0000-00007FB00000}"/>
    <cellStyle name="Total 2 12 4" xfId="10411" xr:uid="{00000000-0005-0000-0000-000080B00000}"/>
    <cellStyle name="Total 2 12 5" xfId="14259" xr:uid="{00000000-0005-0000-0000-000081B00000}"/>
    <cellStyle name="Total 2 12 6" xfId="18086" xr:uid="{00000000-0005-0000-0000-000082B00000}"/>
    <cellStyle name="Total 2 12 7" xfId="22028" xr:uid="{00000000-0005-0000-0000-000083B00000}"/>
    <cellStyle name="Total 2 12 8" xfId="25837" xr:uid="{00000000-0005-0000-0000-000084B00000}"/>
    <cellStyle name="Total 2 12 9" xfId="29717" xr:uid="{00000000-0005-0000-0000-000085B00000}"/>
    <cellStyle name="Total 2 13" xfId="2096" xr:uid="{00000000-0005-0000-0000-000086B00000}"/>
    <cellStyle name="Total 2 13 10" xfId="33402" xr:uid="{00000000-0005-0000-0000-000087B00000}"/>
    <cellStyle name="Total 2 13 11" xfId="37148" xr:uid="{00000000-0005-0000-0000-000088B00000}"/>
    <cellStyle name="Total 2 13 12" xfId="41164" xr:uid="{00000000-0005-0000-0000-000089B00000}"/>
    <cellStyle name="Total 2 13 13" xfId="44964" xr:uid="{00000000-0005-0000-0000-00008AB00000}"/>
    <cellStyle name="Total 2 13 2" xfId="4080" xr:uid="{00000000-0005-0000-0000-00008BB00000}"/>
    <cellStyle name="Total 2 13 2 10" xfId="39131" xr:uid="{00000000-0005-0000-0000-00008CB00000}"/>
    <cellStyle name="Total 2 13 2 11" xfId="43141" xr:uid="{00000000-0005-0000-0000-00008DB00000}"/>
    <cellStyle name="Total 2 13 2 12" xfId="46902" xr:uid="{00000000-0005-0000-0000-00008EB00000}"/>
    <cellStyle name="Total 2 13 2 2" xfId="7943" xr:uid="{00000000-0005-0000-0000-00008FB00000}"/>
    <cellStyle name="Total 2 13 2 3" xfId="12380" xr:uid="{00000000-0005-0000-0000-000090B00000}"/>
    <cellStyle name="Total 2 13 2 4" xfId="16225" xr:uid="{00000000-0005-0000-0000-000091B00000}"/>
    <cellStyle name="Total 2 13 2 5" xfId="20074" xr:uid="{00000000-0005-0000-0000-000092B00000}"/>
    <cellStyle name="Total 2 13 2 6" xfId="23988" xr:uid="{00000000-0005-0000-0000-000093B00000}"/>
    <cellStyle name="Total 2 13 2 7" xfId="27824" xr:uid="{00000000-0005-0000-0000-000094B00000}"/>
    <cellStyle name="Total 2 13 2 8" xfId="31683" xr:uid="{00000000-0005-0000-0000-000095B00000}"/>
    <cellStyle name="Total 2 13 2 9" xfId="35340" xr:uid="{00000000-0005-0000-0000-000096B00000}"/>
    <cellStyle name="Total 2 13 3" xfId="6020" xr:uid="{00000000-0005-0000-0000-000097B00000}"/>
    <cellStyle name="Total 2 13 4" xfId="10415" xr:uid="{00000000-0005-0000-0000-000098B00000}"/>
    <cellStyle name="Total 2 13 5" xfId="14262" xr:uid="{00000000-0005-0000-0000-000099B00000}"/>
    <cellStyle name="Total 2 13 6" xfId="18090" xr:uid="{00000000-0005-0000-0000-00009AB00000}"/>
    <cellStyle name="Total 2 13 7" xfId="22032" xr:uid="{00000000-0005-0000-0000-00009BB00000}"/>
    <cellStyle name="Total 2 13 8" xfId="25841" xr:uid="{00000000-0005-0000-0000-00009CB00000}"/>
    <cellStyle name="Total 2 13 9" xfId="29721" xr:uid="{00000000-0005-0000-0000-00009DB00000}"/>
    <cellStyle name="Total 2 14" xfId="2151" xr:uid="{00000000-0005-0000-0000-00009EB00000}"/>
    <cellStyle name="Total 2 14 10" xfId="33453" xr:uid="{00000000-0005-0000-0000-00009FB00000}"/>
    <cellStyle name="Total 2 14 11" xfId="37203" xr:uid="{00000000-0005-0000-0000-0000A0B00000}"/>
    <cellStyle name="Total 2 14 12" xfId="41219" xr:uid="{00000000-0005-0000-0000-0000A1B00000}"/>
    <cellStyle name="Total 2 14 13" xfId="45015" xr:uid="{00000000-0005-0000-0000-0000A2B00000}"/>
    <cellStyle name="Total 2 14 2" xfId="4135" xr:uid="{00000000-0005-0000-0000-0000A3B00000}"/>
    <cellStyle name="Total 2 14 2 10" xfId="39186" xr:uid="{00000000-0005-0000-0000-0000A4B00000}"/>
    <cellStyle name="Total 2 14 2 11" xfId="43196" xr:uid="{00000000-0005-0000-0000-0000A5B00000}"/>
    <cellStyle name="Total 2 14 2 12" xfId="46953" xr:uid="{00000000-0005-0000-0000-0000A6B00000}"/>
    <cellStyle name="Total 2 14 2 2" xfId="7994" xr:uid="{00000000-0005-0000-0000-0000A7B00000}"/>
    <cellStyle name="Total 2 14 2 3" xfId="12434" xr:uid="{00000000-0005-0000-0000-0000A8B00000}"/>
    <cellStyle name="Total 2 14 2 4" xfId="16279" xr:uid="{00000000-0005-0000-0000-0000A9B00000}"/>
    <cellStyle name="Total 2 14 2 5" xfId="20129" xr:uid="{00000000-0005-0000-0000-0000AAB00000}"/>
    <cellStyle name="Total 2 14 2 6" xfId="24041" xr:uid="{00000000-0005-0000-0000-0000ABB00000}"/>
    <cellStyle name="Total 2 14 2 7" xfId="27879" xr:uid="{00000000-0005-0000-0000-0000ACB00000}"/>
    <cellStyle name="Total 2 14 2 8" xfId="31738" xr:uid="{00000000-0005-0000-0000-0000ADB00000}"/>
    <cellStyle name="Total 2 14 2 9" xfId="35391" xr:uid="{00000000-0005-0000-0000-0000AEB00000}"/>
    <cellStyle name="Total 2 14 3" xfId="6068" xr:uid="{00000000-0005-0000-0000-0000AFB00000}"/>
    <cellStyle name="Total 2 14 4" xfId="10468" xr:uid="{00000000-0005-0000-0000-0000B0B00000}"/>
    <cellStyle name="Total 2 14 5" xfId="14315" xr:uid="{00000000-0005-0000-0000-0000B1B00000}"/>
    <cellStyle name="Total 2 14 6" xfId="18145" xr:uid="{00000000-0005-0000-0000-0000B2B00000}"/>
    <cellStyle name="Total 2 14 7" xfId="22085" xr:uid="{00000000-0005-0000-0000-0000B3B00000}"/>
    <cellStyle name="Total 2 14 8" xfId="25896" xr:uid="{00000000-0005-0000-0000-0000B4B00000}"/>
    <cellStyle name="Total 2 14 9" xfId="29776" xr:uid="{00000000-0005-0000-0000-0000B5B00000}"/>
    <cellStyle name="Total 2 15" xfId="2523" xr:uid="{00000000-0005-0000-0000-0000B6B00000}"/>
    <cellStyle name="Total 2 15 10" xfId="37575" xr:uid="{00000000-0005-0000-0000-0000B7B00000}"/>
    <cellStyle name="Total 2 15 11" xfId="41589" xr:uid="{00000000-0005-0000-0000-0000B8B00000}"/>
    <cellStyle name="Total 2 15 12" xfId="45378" xr:uid="{00000000-0005-0000-0000-0000B9B00000}"/>
    <cellStyle name="Total 2 15 2" xfId="6415" xr:uid="{00000000-0005-0000-0000-0000BAB00000}"/>
    <cellStyle name="Total 2 15 3" xfId="10838" xr:uid="{00000000-0005-0000-0000-0000BBB00000}"/>
    <cellStyle name="Total 2 15 4" xfId="14682" xr:uid="{00000000-0005-0000-0000-0000BCB00000}"/>
    <cellStyle name="Total 2 15 5" xfId="18517" xr:uid="{00000000-0005-0000-0000-0000BDB00000}"/>
    <cellStyle name="Total 2 15 6" xfId="22452" xr:uid="{00000000-0005-0000-0000-0000BEB00000}"/>
    <cellStyle name="Total 2 15 7" xfId="26268" xr:uid="{00000000-0005-0000-0000-0000BFB00000}"/>
    <cellStyle name="Total 2 15 8" xfId="30147" xr:uid="{00000000-0005-0000-0000-0000C0B00000}"/>
    <cellStyle name="Total 2 15 9" xfId="33816" xr:uid="{00000000-0005-0000-0000-0000C1B00000}"/>
    <cellStyle name="Total 2 16" xfId="4504" xr:uid="{00000000-0005-0000-0000-0000C2B00000}"/>
    <cellStyle name="Total 2 17" xfId="4499" xr:uid="{00000000-0005-0000-0000-0000C3B00000}"/>
    <cellStyle name="Total 2 18" xfId="8556" xr:uid="{00000000-0005-0000-0000-0000C4B00000}"/>
    <cellStyle name="Total 2 19" xfId="8473" xr:uid="{00000000-0005-0000-0000-0000C5B00000}"/>
    <cellStyle name="Total 2 2" xfId="548" xr:uid="{00000000-0005-0000-0000-0000C6B00000}"/>
    <cellStyle name="Total 2 2 10" xfId="2200" xr:uid="{00000000-0005-0000-0000-0000C7B00000}"/>
    <cellStyle name="Total 2 2 10 10" xfId="33501" xr:uid="{00000000-0005-0000-0000-0000C8B00000}"/>
    <cellStyle name="Total 2 2 10 11" xfId="37252" xr:uid="{00000000-0005-0000-0000-0000C9B00000}"/>
    <cellStyle name="Total 2 2 10 12" xfId="41268" xr:uid="{00000000-0005-0000-0000-0000CAB00000}"/>
    <cellStyle name="Total 2 2 10 13" xfId="45063" xr:uid="{00000000-0005-0000-0000-0000CBB00000}"/>
    <cellStyle name="Total 2 2 10 2" xfId="4183" xr:uid="{00000000-0005-0000-0000-0000CCB00000}"/>
    <cellStyle name="Total 2 2 10 2 10" xfId="39234" xr:uid="{00000000-0005-0000-0000-0000CDB00000}"/>
    <cellStyle name="Total 2 2 10 2 11" xfId="43244" xr:uid="{00000000-0005-0000-0000-0000CEB00000}"/>
    <cellStyle name="Total 2 2 10 2 12" xfId="47001" xr:uid="{00000000-0005-0000-0000-0000CFB00000}"/>
    <cellStyle name="Total 2 2 10 2 2" xfId="8042" xr:uid="{00000000-0005-0000-0000-0000D0B00000}"/>
    <cellStyle name="Total 2 2 10 2 3" xfId="12482" xr:uid="{00000000-0005-0000-0000-0000D1B00000}"/>
    <cellStyle name="Total 2 2 10 2 4" xfId="16327" xr:uid="{00000000-0005-0000-0000-0000D2B00000}"/>
    <cellStyle name="Total 2 2 10 2 5" xfId="20177" xr:uid="{00000000-0005-0000-0000-0000D3B00000}"/>
    <cellStyle name="Total 2 2 10 2 6" xfId="24089" xr:uid="{00000000-0005-0000-0000-0000D4B00000}"/>
    <cellStyle name="Total 2 2 10 2 7" xfId="27927" xr:uid="{00000000-0005-0000-0000-0000D5B00000}"/>
    <cellStyle name="Total 2 2 10 2 8" xfId="31786" xr:uid="{00000000-0005-0000-0000-0000D6B00000}"/>
    <cellStyle name="Total 2 2 10 2 9" xfId="35439" xr:uid="{00000000-0005-0000-0000-0000D7B00000}"/>
    <cellStyle name="Total 2 2 10 3" xfId="6114" xr:uid="{00000000-0005-0000-0000-0000D8B00000}"/>
    <cellStyle name="Total 2 2 10 4" xfId="10517" xr:uid="{00000000-0005-0000-0000-0000D9B00000}"/>
    <cellStyle name="Total 2 2 10 5" xfId="14363" xr:uid="{00000000-0005-0000-0000-0000DAB00000}"/>
    <cellStyle name="Total 2 2 10 6" xfId="18194" xr:uid="{00000000-0005-0000-0000-0000DBB00000}"/>
    <cellStyle name="Total 2 2 10 7" xfId="22133" xr:uid="{00000000-0005-0000-0000-0000DCB00000}"/>
    <cellStyle name="Total 2 2 10 8" xfId="25945" xr:uid="{00000000-0005-0000-0000-0000DDB00000}"/>
    <cellStyle name="Total 2 2 10 9" xfId="29825" xr:uid="{00000000-0005-0000-0000-0000DEB00000}"/>
    <cellStyle name="Total 2 2 11" xfId="2258" xr:uid="{00000000-0005-0000-0000-0000DFB00000}"/>
    <cellStyle name="Total 2 2 11 10" xfId="33559" xr:uid="{00000000-0005-0000-0000-0000E0B00000}"/>
    <cellStyle name="Total 2 2 11 11" xfId="37310" xr:uid="{00000000-0005-0000-0000-0000E1B00000}"/>
    <cellStyle name="Total 2 2 11 12" xfId="41326" xr:uid="{00000000-0005-0000-0000-0000E2B00000}"/>
    <cellStyle name="Total 2 2 11 13" xfId="45121" xr:uid="{00000000-0005-0000-0000-0000E3B00000}"/>
    <cellStyle name="Total 2 2 11 2" xfId="4241" xr:uid="{00000000-0005-0000-0000-0000E4B00000}"/>
    <cellStyle name="Total 2 2 11 2 10" xfId="39292" xr:uid="{00000000-0005-0000-0000-0000E5B00000}"/>
    <cellStyle name="Total 2 2 11 2 11" xfId="43302" xr:uid="{00000000-0005-0000-0000-0000E6B00000}"/>
    <cellStyle name="Total 2 2 11 2 12" xfId="47059" xr:uid="{00000000-0005-0000-0000-0000E7B00000}"/>
    <cellStyle name="Total 2 2 11 2 2" xfId="8100" xr:uid="{00000000-0005-0000-0000-0000E8B00000}"/>
    <cellStyle name="Total 2 2 11 2 3" xfId="12540" xr:uid="{00000000-0005-0000-0000-0000E9B00000}"/>
    <cellStyle name="Total 2 2 11 2 4" xfId="16385" xr:uid="{00000000-0005-0000-0000-0000EAB00000}"/>
    <cellStyle name="Total 2 2 11 2 5" xfId="20235" xr:uid="{00000000-0005-0000-0000-0000EBB00000}"/>
    <cellStyle name="Total 2 2 11 2 6" xfId="24147" xr:uid="{00000000-0005-0000-0000-0000ECB00000}"/>
    <cellStyle name="Total 2 2 11 2 7" xfId="27985" xr:uid="{00000000-0005-0000-0000-0000EDB00000}"/>
    <cellStyle name="Total 2 2 11 2 8" xfId="31844" xr:uid="{00000000-0005-0000-0000-0000EEB00000}"/>
    <cellStyle name="Total 2 2 11 2 9" xfId="35497" xr:uid="{00000000-0005-0000-0000-0000EFB00000}"/>
    <cellStyle name="Total 2 2 11 3" xfId="6172" xr:uid="{00000000-0005-0000-0000-0000F0B00000}"/>
    <cellStyle name="Total 2 2 11 4" xfId="10575" xr:uid="{00000000-0005-0000-0000-0000F1B00000}"/>
    <cellStyle name="Total 2 2 11 5" xfId="14421" xr:uid="{00000000-0005-0000-0000-0000F2B00000}"/>
    <cellStyle name="Total 2 2 11 6" xfId="18252" xr:uid="{00000000-0005-0000-0000-0000F3B00000}"/>
    <cellStyle name="Total 2 2 11 7" xfId="22191" xr:uid="{00000000-0005-0000-0000-0000F4B00000}"/>
    <cellStyle name="Total 2 2 11 8" xfId="26003" xr:uid="{00000000-0005-0000-0000-0000F5B00000}"/>
    <cellStyle name="Total 2 2 11 9" xfId="29883" xr:uid="{00000000-0005-0000-0000-0000F6B00000}"/>
    <cellStyle name="Total 2 2 12" xfId="2313" xr:uid="{00000000-0005-0000-0000-0000F7B00000}"/>
    <cellStyle name="Total 2 2 12 10" xfId="33614" xr:uid="{00000000-0005-0000-0000-0000F8B00000}"/>
    <cellStyle name="Total 2 2 12 11" xfId="37365" xr:uid="{00000000-0005-0000-0000-0000F9B00000}"/>
    <cellStyle name="Total 2 2 12 12" xfId="41381" xr:uid="{00000000-0005-0000-0000-0000FAB00000}"/>
    <cellStyle name="Total 2 2 12 13" xfId="45176" xr:uid="{00000000-0005-0000-0000-0000FBB00000}"/>
    <cellStyle name="Total 2 2 12 2" xfId="4296" xr:uid="{00000000-0005-0000-0000-0000FCB00000}"/>
    <cellStyle name="Total 2 2 12 2 10" xfId="39347" xr:uid="{00000000-0005-0000-0000-0000FDB00000}"/>
    <cellStyle name="Total 2 2 12 2 11" xfId="43357" xr:uid="{00000000-0005-0000-0000-0000FEB00000}"/>
    <cellStyle name="Total 2 2 12 2 12" xfId="47114" xr:uid="{00000000-0005-0000-0000-0000FFB00000}"/>
    <cellStyle name="Total 2 2 12 2 2" xfId="8155" xr:uid="{00000000-0005-0000-0000-000000B10000}"/>
    <cellStyle name="Total 2 2 12 2 3" xfId="12595" xr:uid="{00000000-0005-0000-0000-000001B10000}"/>
    <cellStyle name="Total 2 2 12 2 4" xfId="16440" xr:uid="{00000000-0005-0000-0000-000002B10000}"/>
    <cellStyle name="Total 2 2 12 2 5" xfId="20290" xr:uid="{00000000-0005-0000-0000-000003B10000}"/>
    <cellStyle name="Total 2 2 12 2 6" xfId="24202" xr:uid="{00000000-0005-0000-0000-000004B10000}"/>
    <cellStyle name="Total 2 2 12 2 7" xfId="28040" xr:uid="{00000000-0005-0000-0000-000005B10000}"/>
    <cellStyle name="Total 2 2 12 2 8" xfId="31899" xr:uid="{00000000-0005-0000-0000-000006B10000}"/>
    <cellStyle name="Total 2 2 12 2 9" xfId="35552" xr:uid="{00000000-0005-0000-0000-000007B10000}"/>
    <cellStyle name="Total 2 2 12 3" xfId="6227" xr:uid="{00000000-0005-0000-0000-000008B10000}"/>
    <cellStyle name="Total 2 2 12 4" xfId="10630" xr:uid="{00000000-0005-0000-0000-000009B10000}"/>
    <cellStyle name="Total 2 2 12 5" xfId="14476" xr:uid="{00000000-0005-0000-0000-00000AB10000}"/>
    <cellStyle name="Total 2 2 12 6" xfId="18307" xr:uid="{00000000-0005-0000-0000-00000BB10000}"/>
    <cellStyle name="Total 2 2 12 7" xfId="22246" xr:uid="{00000000-0005-0000-0000-00000CB10000}"/>
    <cellStyle name="Total 2 2 12 8" xfId="26058" xr:uid="{00000000-0005-0000-0000-00000DB10000}"/>
    <cellStyle name="Total 2 2 12 9" xfId="29938" xr:uid="{00000000-0005-0000-0000-00000EB10000}"/>
    <cellStyle name="Total 2 2 13" xfId="2380" xr:uid="{00000000-0005-0000-0000-00000FB10000}"/>
    <cellStyle name="Total 2 2 13 10" xfId="33678" xr:uid="{00000000-0005-0000-0000-000010B10000}"/>
    <cellStyle name="Total 2 2 13 11" xfId="37432" xr:uid="{00000000-0005-0000-0000-000011B10000}"/>
    <cellStyle name="Total 2 2 13 12" xfId="41447" xr:uid="{00000000-0005-0000-0000-000012B10000}"/>
    <cellStyle name="Total 2 2 13 13" xfId="45240" xr:uid="{00000000-0005-0000-0000-000013B10000}"/>
    <cellStyle name="Total 2 2 13 2" xfId="4363" xr:uid="{00000000-0005-0000-0000-000014B10000}"/>
    <cellStyle name="Total 2 2 13 2 10" xfId="39414" xr:uid="{00000000-0005-0000-0000-000015B10000}"/>
    <cellStyle name="Total 2 2 13 2 11" xfId="43423" xr:uid="{00000000-0005-0000-0000-000016B10000}"/>
    <cellStyle name="Total 2 2 13 2 12" xfId="47178" xr:uid="{00000000-0005-0000-0000-000017B10000}"/>
    <cellStyle name="Total 2 2 13 2 2" xfId="8220" xr:uid="{00000000-0005-0000-0000-000018B10000}"/>
    <cellStyle name="Total 2 2 13 2 3" xfId="12661" xr:uid="{00000000-0005-0000-0000-000019B10000}"/>
    <cellStyle name="Total 2 2 13 2 4" xfId="16506" xr:uid="{00000000-0005-0000-0000-00001AB10000}"/>
    <cellStyle name="Total 2 2 13 2 5" xfId="20357" xr:uid="{00000000-0005-0000-0000-00001BB10000}"/>
    <cellStyle name="Total 2 2 13 2 6" xfId="24268" xr:uid="{00000000-0005-0000-0000-00001CB10000}"/>
    <cellStyle name="Total 2 2 13 2 7" xfId="28107" xr:uid="{00000000-0005-0000-0000-00001DB10000}"/>
    <cellStyle name="Total 2 2 13 2 8" xfId="31965" xr:uid="{00000000-0005-0000-0000-00001EB10000}"/>
    <cellStyle name="Total 2 2 13 2 9" xfId="35616" xr:uid="{00000000-0005-0000-0000-00001FB10000}"/>
    <cellStyle name="Total 2 2 13 3" xfId="6276" xr:uid="{00000000-0005-0000-0000-000020B10000}"/>
    <cellStyle name="Total 2 2 13 4" xfId="10696" xr:uid="{00000000-0005-0000-0000-000021B10000}"/>
    <cellStyle name="Total 2 2 13 5" xfId="14542" xr:uid="{00000000-0005-0000-0000-000022B10000}"/>
    <cellStyle name="Total 2 2 13 6" xfId="18374" xr:uid="{00000000-0005-0000-0000-000023B10000}"/>
    <cellStyle name="Total 2 2 13 7" xfId="22312" xr:uid="{00000000-0005-0000-0000-000024B10000}"/>
    <cellStyle name="Total 2 2 13 8" xfId="26125" xr:uid="{00000000-0005-0000-0000-000025B10000}"/>
    <cellStyle name="Total 2 2 13 9" xfId="30005" xr:uid="{00000000-0005-0000-0000-000026B10000}"/>
    <cellStyle name="Total 2 2 14" xfId="2430" xr:uid="{00000000-0005-0000-0000-000027B10000}"/>
    <cellStyle name="Total 2 2 14 10" xfId="33728" xr:uid="{00000000-0005-0000-0000-000028B10000}"/>
    <cellStyle name="Total 2 2 14 11" xfId="37482" xr:uid="{00000000-0005-0000-0000-000029B10000}"/>
    <cellStyle name="Total 2 2 14 12" xfId="41497" xr:uid="{00000000-0005-0000-0000-00002AB10000}"/>
    <cellStyle name="Total 2 2 14 13" xfId="45290" xr:uid="{00000000-0005-0000-0000-00002BB10000}"/>
    <cellStyle name="Total 2 2 14 2" xfId="4413" xr:uid="{00000000-0005-0000-0000-00002CB10000}"/>
    <cellStyle name="Total 2 2 14 2 10" xfId="39464" xr:uid="{00000000-0005-0000-0000-00002DB10000}"/>
    <cellStyle name="Total 2 2 14 2 11" xfId="43473" xr:uid="{00000000-0005-0000-0000-00002EB10000}"/>
    <cellStyle name="Total 2 2 14 2 12" xfId="47228" xr:uid="{00000000-0005-0000-0000-00002FB10000}"/>
    <cellStyle name="Total 2 2 14 2 2" xfId="8270" xr:uid="{00000000-0005-0000-0000-000030B10000}"/>
    <cellStyle name="Total 2 2 14 2 3" xfId="12711" xr:uid="{00000000-0005-0000-0000-000031B10000}"/>
    <cellStyle name="Total 2 2 14 2 4" xfId="16556" xr:uid="{00000000-0005-0000-0000-000032B10000}"/>
    <cellStyle name="Total 2 2 14 2 5" xfId="20407" xr:uid="{00000000-0005-0000-0000-000033B10000}"/>
    <cellStyle name="Total 2 2 14 2 6" xfId="24318" xr:uid="{00000000-0005-0000-0000-000034B10000}"/>
    <cellStyle name="Total 2 2 14 2 7" xfId="28157" xr:uid="{00000000-0005-0000-0000-000035B10000}"/>
    <cellStyle name="Total 2 2 14 2 8" xfId="32015" xr:uid="{00000000-0005-0000-0000-000036B10000}"/>
    <cellStyle name="Total 2 2 14 2 9" xfId="35666" xr:uid="{00000000-0005-0000-0000-000037B10000}"/>
    <cellStyle name="Total 2 2 14 3" xfId="6326" xr:uid="{00000000-0005-0000-0000-000038B10000}"/>
    <cellStyle name="Total 2 2 14 4" xfId="10746" xr:uid="{00000000-0005-0000-0000-000039B10000}"/>
    <cellStyle name="Total 2 2 14 5" xfId="14592" xr:uid="{00000000-0005-0000-0000-00003AB10000}"/>
    <cellStyle name="Total 2 2 14 6" xfId="18424" xr:uid="{00000000-0005-0000-0000-00003BB10000}"/>
    <cellStyle name="Total 2 2 14 7" xfId="22362" xr:uid="{00000000-0005-0000-0000-00003CB10000}"/>
    <cellStyle name="Total 2 2 14 8" xfId="26175" xr:uid="{00000000-0005-0000-0000-00003DB10000}"/>
    <cellStyle name="Total 2 2 14 9" xfId="30054" xr:uid="{00000000-0005-0000-0000-00003EB10000}"/>
    <cellStyle name="Total 2 2 15" xfId="2484" xr:uid="{00000000-0005-0000-0000-00003FB10000}"/>
    <cellStyle name="Total 2 2 15 10" xfId="33779" xr:uid="{00000000-0005-0000-0000-000040B10000}"/>
    <cellStyle name="Total 2 2 15 11" xfId="37536" xr:uid="{00000000-0005-0000-0000-000041B10000}"/>
    <cellStyle name="Total 2 2 15 12" xfId="41550" xr:uid="{00000000-0005-0000-0000-000042B10000}"/>
    <cellStyle name="Total 2 2 15 13" xfId="45341" xr:uid="{00000000-0005-0000-0000-000043B10000}"/>
    <cellStyle name="Total 2 2 15 2" xfId="4466" xr:uid="{00000000-0005-0000-0000-000044B10000}"/>
    <cellStyle name="Total 2 2 15 2 10" xfId="39517" xr:uid="{00000000-0005-0000-0000-000045B10000}"/>
    <cellStyle name="Total 2 2 15 2 11" xfId="43526" xr:uid="{00000000-0005-0000-0000-000046B10000}"/>
    <cellStyle name="Total 2 2 15 2 12" xfId="47279" xr:uid="{00000000-0005-0000-0000-000047B10000}"/>
    <cellStyle name="Total 2 2 15 2 2" xfId="8321" xr:uid="{00000000-0005-0000-0000-000048B10000}"/>
    <cellStyle name="Total 2 2 15 2 3" xfId="12764" xr:uid="{00000000-0005-0000-0000-000049B10000}"/>
    <cellStyle name="Total 2 2 15 2 4" xfId="16607" xr:uid="{00000000-0005-0000-0000-00004AB10000}"/>
    <cellStyle name="Total 2 2 15 2 5" xfId="20460" xr:uid="{00000000-0005-0000-0000-00004BB10000}"/>
    <cellStyle name="Total 2 2 15 2 6" xfId="24370" xr:uid="{00000000-0005-0000-0000-00004CB10000}"/>
    <cellStyle name="Total 2 2 15 2 7" xfId="28210" xr:uid="{00000000-0005-0000-0000-00004DB10000}"/>
    <cellStyle name="Total 2 2 15 2 8" xfId="32068" xr:uid="{00000000-0005-0000-0000-00004EB10000}"/>
    <cellStyle name="Total 2 2 15 2 9" xfId="35717" xr:uid="{00000000-0005-0000-0000-00004FB10000}"/>
    <cellStyle name="Total 2 2 15 3" xfId="6378" xr:uid="{00000000-0005-0000-0000-000050B10000}"/>
    <cellStyle name="Total 2 2 15 4" xfId="10799" xr:uid="{00000000-0005-0000-0000-000051B10000}"/>
    <cellStyle name="Total 2 2 15 5" xfId="14645" xr:uid="{00000000-0005-0000-0000-000052B10000}"/>
    <cellStyle name="Total 2 2 15 6" xfId="18478" xr:uid="{00000000-0005-0000-0000-000053B10000}"/>
    <cellStyle name="Total 2 2 15 7" xfId="22415" xr:uid="{00000000-0005-0000-0000-000054B10000}"/>
    <cellStyle name="Total 2 2 15 8" xfId="26229" xr:uid="{00000000-0005-0000-0000-000055B10000}"/>
    <cellStyle name="Total 2 2 15 9" xfId="30108" xr:uid="{00000000-0005-0000-0000-000056B10000}"/>
    <cellStyle name="Total 2 2 16" xfId="2555" xr:uid="{00000000-0005-0000-0000-000057B10000}"/>
    <cellStyle name="Total 2 2 16 10" xfId="37607" xr:uid="{00000000-0005-0000-0000-000058B10000}"/>
    <cellStyle name="Total 2 2 16 11" xfId="41621" xr:uid="{00000000-0005-0000-0000-000059B10000}"/>
    <cellStyle name="Total 2 2 16 12" xfId="45410" xr:uid="{00000000-0005-0000-0000-00005AB10000}"/>
    <cellStyle name="Total 2 2 16 2" xfId="6447" xr:uid="{00000000-0005-0000-0000-00005BB10000}"/>
    <cellStyle name="Total 2 2 16 3" xfId="10870" xr:uid="{00000000-0005-0000-0000-00005CB10000}"/>
    <cellStyle name="Total 2 2 16 4" xfId="14714" xr:uid="{00000000-0005-0000-0000-00005DB10000}"/>
    <cellStyle name="Total 2 2 16 5" xfId="18549" xr:uid="{00000000-0005-0000-0000-00005EB10000}"/>
    <cellStyle name="Total 2 2 16 6" xfId="22484" xr:uid="{00000000-0005-0000-0000-00005FB10000}"/>
    <cellStyle name="Total 2 2 16 7" xfId="26300" xr:uid="{00000000-0005-0000-0000-000060B10000}"/>
    <cellStyle name="Total 2 2 16 8" xfId="30179" xr:uid="{00000000-0005-0000-0000-000061B10000}"/>
    <cellStyle name="Total 2 2 16 9" xfId="33848" xr:uid="{00000000-0005-0000-0000-000062B10000}"/>
    <cellStyle name="Total 2 2 17" xfId="4523" xr:uid="{00000000-0005-0000-0000-000063B10000}"/>
    <cellStyle name="Total 2 2 18" xfId="8368" xr:uid="{00000000-0005-0000-0000-000064B10000}"/>
    <cellStyle name="Total 2 2 19" xfId="8738" xr:uid="{00000000-0005-0000-0000-000065B10000}"/>
    <cellStyle name="Total 2 2 2" xfId="684" xr:uid="{00000000-0005-0000-0000-000066B10000}"/>
    <cellStyle name="Total 2 2 2 10" xfId="24418" xr:uid="{00000000-0005-0000-0000-000067B10000}"/>
    <cellStyle name="Total 2 2 2 11" xfId="28311" xr:uid="{00000000-0005-0000-0000-000068B10000}"/>
    <cellStyle name="Total 2 2 2 12" xfId="31007" xr:uid="{00000000-0005-0000-0000-000069B10000}"/>
    <cellStyle name="Total 2 2 2 13" xfId="35755" xr:uid="{00000000-0005-0000-0000-00006AB10000}"/>
    <cellStyle name="Total 2 2 2 14" xfId="39778" xr:uid="{00000000-0005-0000-0000-00006BB10000}"/>
    <cellStyle name="Total 2 2 2 15" xfId="43581" xr:uid="{00000000-0005-0000-0000-00006CB10000}"/>
    <cellStyle name="Total 2 2 2 2" xfId="1064" xr:uid="{00000000-0005-0000-0000-00006DB10000}"/>
    <cellStyle name="Total 2 2 2 2 10" xfId="28675" xr:uid="{00000000-0005-0000-0000-00006EB10000}"/>
    <cellStyle name="Total 2 2 2 2 11" xfId="32361" xr:uid="{00000000-0005-0000-0000-00006FB10000}"/>
    <cellStyle name="Total 2 2 2 2 12" xfId="36122" xr:uid="{00000000-0005-0000-0000-000070B10000}"/>
    <cellStyle name="Total 2 2 2 2 13" xfId="40125" xr:uid="{00000000-0005-0000-0000-000071B10000}"/>
    <cellStyle name="Total 2 2 2 2 14" xfId="43948" xr:uid="{00000000-0005-0000-0000-000072B10000}"/>
    <cellStyle name="Total 2 2 2 2 2" xfId="1791" xr:uid="{00000000-0005-0000-0000-000073B10000}"/>
    <cellStyle name="Total 2 2 2 2 2 10" xfId="33078" xr:uid="{00000000-0005-0000-0000-000074B10000}"/>
    <cellStyle name="Total 2 2 2 2 2 11" xfId="36848" xr:uid="{00000000-0005-0000-0000-000075B10000}"/>
    <cellStyle name="Total 2 2 2 2 2 12" xfId="40839" xr:uid="{00000000-0005-0000-0000-000076B10000}"/>
    <cellStyle name="Total 2 2 2 2 2 13" xfId="44670" xr:uid="{00000000-0005-0000-0000-000077B10000}"/>
    <cellStyle name="Total 2 2 2 2 2 2" xfId="3781" xr:uid="{00000000-0005-0000-0000-000078B10000}"/>
    <cellStyle name="Total 2 2 2 2 2 2 10" xfId="38832" xr:uid="{00000000-0005-0000-0000-000079B10000}"/>
    <cellStyle name="Total 2 2 2 2 2 2 11" xfId="42843" xr:uid="{00000000-0005-0000-0000-00007AB10000}"/>
    <cellStyle name="Total 2 2 2 2 2 2 12" xfId="46608" xr:uid="{00000000-0005-0000-0000-00007BB10000}"/>
    <cellStyle name="Total 2 2 2 2 2 2 2" xfId="7648" xr:uid="{00000000-0005-0000-0000-00007CB10000}"/>
    <cellStyle name="Total 2 2 2 2 2 2 3" xfId="12083" xr:uid="{00000000-0005-0000-0000-00007DB10000}"/>
    <cellStyle name="Total 2 2 2 2 2 2 4" xfId="15928" xr:uid="{00000000-0005-0000-0000-00007EB10000}"/>
    <cellStyle name="Total 2 2 2 2 2 2 5" xfId="19775" xr:uid="{00000000-0005-0000-0000-00007FB10000}"/>
    <cellStyle name="Total 2 2 2 2 2 2 6" xfId="23691" xr:uid="{00000000-0005-0000-0000-000080B10000}"/>
    <cellStyle name="Total 2 2 2 2 2 2 7" xfId="27525" xr:uid="{00000000-0005-0000-0000-000081B10000}"/>
    <cellStyle name="Total 2 2 2 2 2 2 8" xfId="31389" xr:uid="{00000000-0005-0000-0000-000082B10000}"/>
    <cellStyle name="Total 2 2 2 2 2 2 9" xfId="35046" xr:uid="{00000000-0005-0000-0000-000083B10000}"/>
    <cellStyle name="Total 2 2 2 2 2 3" xfId="5724" xr:uid="{00000000-0005-0000-0000-000084B10000}"/>
    <cellStyle name="Total 2 2 2 2 2 4" xfId="10082" xr:uid="{00000000-0005-0000-0000-000085B10000}"/>
    <cellStyle name="Total 2 2 2 2 2 5" xfId="13928" xr:uid="{00000000-0005-0000-0000-000086B10000}"/>
    <cellStyle name="Total 2 2 2 2 2 6" xfId="17757" xr:uid="{00000000-0005-0000-0000-000087B10000}"/>
    <cellStyle name="Total 2 2 2 2 2 7" xfId="21696" xr:uid="{00000000-0005-0000-0000-000088B10000}"/>
    <cellStyle name="Total 2 2 2 2 2 8" xfId="25509" xr:uid="{00000000-0005-0000-0000-000089B10000}"/>
    <cellStyle name="Total 2 2 2 2 2 9" xfId="29396" xr:uid="{00000000-0005-0000-0000-00008AB10000}"/>
    <cellStyle name="Total 2 2 2 2 3" xfId="3054" xr:uid="{00000000-0005-0000-0000-00008BB10000}"/>
    <cellStyle name="Total 2 2 2 2 3 10" xfId="38106" xr:uid="{00000000-0005-0000-0000-00008CB10000}"/>
    <cellStyle name="Total 2 2 2 2 3 11" xfId="42118" xr:uid="{00000000-0005-0000-0000-00008DB10000}"/>
    <cellStyle name="Total 2 2 2 2 3 12" xfId="45891" xr:uid="{00000000-0005-0000-0000-00008EB10000}"/>
    <cellStyle name="Total 2 2 2 2 3 2" xfId="6930" xr:uid="{00000000-0005-0000-0000-00008FB10000}"/>
    <cellStyle name="Total 2 2 2 2 3 3" xfId="11359" xr:uid="{00000000-0005-0000-0000-000090B10000}"/>
    <cellStyle name="Total 2 2 2 2 3 4" xfId="15203" xr:uid="{00000000-0005-0000-0000-000091B10000}"/>
    <cellStyle name="Total 2 2 2 2 3 5" xfId="19048" xr:uid="{00000000-0005-0000-0000-000092B10000}"/>
    <cellStyle name="Total 2 2 2 2 3 6" xfId="22970" xr:uid="{00000000-0005-0000-0000-000093B10000}"/>
    <cellStyle name="Total 2 2 2 2 3 7" xfId="26799" xr:uid="{00000000-0005-0000-0000-000094B10000}"/>
    <cellStyle name="Total 2 2 2 2 3 8" xfId="30673" xr:uid="{00000000-0005-0000-0000-000095B10000}"/>
    <cellStyle name="Total 2 2 2 2 3 9" xfId="34329" xr:uid="{00000000-0005-0000-0000-000096B10000}"/>
    <cellStyle name="Total 2 2 2 2 4" xfId="5006" xr:uid="{00000000-0005-0000-0000-000097B10000}"/>
    <cellStyle name="Total 2 2 2 2 5" xfId="9362" xr:uid="{00000000-0005-0000-0000-000098B10000}"/>
    <cellStyle name="Total 2 2 2 2 6" xfId="13202" xr:uid="{00000000-0005-0000-0000-000099B10000}"/>
    <cellStyle name="Total 2 2 2 2 7" xfId="17030" xr:uid="{00000000-0005-0000-0000-00009AB10000}"/>
    <cellStyle name="Total 2 2 2 2 8" xfId="20972" xr:uid="{00000000-0005-0000-0000-00009BB10000}"/>
    <cellStyle name="Total 2 2 2 2 9" xfId="24786" xr:uid="{00000000-0005-0000-0000-00009CB10000}"/>
    <cellStyle name="Total 2 2 2 3" xfId="1438" xr:uid="{00000000-0005-0000-0000-00009DB10000}"/>
    <cellStyle name="Total 2 2 2 3 10" xfId="32725" xr:uid="{00000000-0005-0000-0000-00009EB10000}"/>
    <cellStyle name="Total 2 2 2 3 11" xfId="36495" xr:uid="{00000000-0005-0000-0000-00009FB10000}"/>
    <cellStyle name="Total 2 2 2 3 12" xfId="40486" xr:uid="{00000000-0005-0000-0000-0000A0B10000}"/>
    <cellStyle name="Total 2 2 2 3 13" xfId="44317" xr:uid="{00000000-0005-0000-0000-0000A1B10000}"/>
    <cellStyle name="Total 2 2 2 3 2" xfId="3428" xr:uid="{00000000-0005-0000-0000-0000A2B10000}"/>
    <cellStyle name="Total 2 2 2 3 2 10" xfId="38479" xr:uid="{00000000-0005-0000-0000-0000A3B10000}"/>
    <cellStyle name="Total 2 2 2 3 2 11" xfId="42490" xr:uid="{00000000-0005-0000-0000-0000A4B10000}"/>
    <cellStyle name="Total 2 2 2 3 2 12" xfId="46255" xr:uid="{00000000-0005-0000-0000-0000A5B10000}"/>
    <cellStyle name="Total 2 2 2 3 2 2" xfId="7295" xr:uid="{00000000-0005-0000-0000-0000A6B10000}"/>
    <cellStyle name="Total 2 2 2 3 2 3" xfId="11730" xr:uid="{00000000-0005-0000-0000-0000A7B10000}"/>
    <cellStyle name="Total 2 2 2 3 2 4" xfId="15575" xr:uid="{00000000-0005-0000-0000-0000A8B10000}"/>
    <cellStyle name="Total 2 2 2 3 2 5" xfId="19422" xr:uid="{00000000-0005-0000-0000-0000A9B10000}"/>
    <cellStyle name="Total 2 2 2 3 2 6" xfId="23338" xr:uid="{00000000-0005-0000-0000-0000AAB10000}"/>
    <cellStyle name="Total 2 2 2 3 2 7" xfId="27172" xr:uid="{00000000-0005-0000-0000-0000ABB10000}"/>
    <cellStyle name="Total 2 2 2 3 2 8" xfId="31040" xr:uid="{00000000-0005-0000-0000-0000ACB10000}"/>
    <cellStyle name="Total 2 2 2 3 2 9" xfId="34693" xr:uid="{00000000-0005-0000-0000-0000ADB10000}"/>
    <cellStyle name="Total 2 2 2 3 3" xfId="5371" xr:uid="{00000000-0005-0000-0000-0000AEB10000}"/>
    <cellStyle name="Total 2 2 2 3 4" xfId="9729" xr:uid="{00000000-0005-0000-0000-0000AFB10000}"/>
    <cellStyle name="Total 2 2 2 3 5" xfId="13575" xr:uid="{00000000-0005-0000-0000-0000B0B10000}"/>
    <cellStyle name="Total 2 2 2 3 6" xfId="17404" xr:uid="{00000000-0005-0000-0000-0000B1B10000}"/>
    <cellStyle name="Total 2 2 2 3 7" xfId="21343" xr:uid="{00000000-0005-0000-0000-0000B2B10000}"/>
    <cellStyle name="Total 2 2 2 3 8" xfId="25156" xr:uid="{00000000-0005-0000-0000-0000B3B10000}"/>
    <cellStyle name="Total 2 2 2 3 9" xfId="29043" xr:uid="{00000000-0005-0000-0000-0000B4B10000}"/>
    <cellStyle name="Total 2 2 2 4" xfId="2687" xr:uid="{00000000-0005-0000-0000-0000B5B10000}"/>
    <cellStyle name="Total 2 2 2 4 10" xfId="37739" xr:uid="{00000000-0005-0000-0000-0000B6B10000}"/>
    <cellStyle name="Total 2 2 2 4 11" xfId="41753" xr:uid="{00000000-0005-0000-0000-0000B7B10000}"/>
    <cellStyle name="Total 2 2 2 4 12" xfId="45538" xr:uid="{00000000-0005-0000-0000-0000B8B10000}"/>
    <cellStyle name="Total 2 2 2 4 2" xfId="6575" xr:uid="{00000000-0005-0000-0000-0000B9B10000}"/>
    <cellStyle name="Total 2 2 2 4 3" xfId="10999" xr:uid="{00000000-0005-0000-0000-0000BAB10000}"/>
    <cellStyle name="Total 2 2 2 4 4" xfId="14843" xr:uid="{00000000-0005-0000-0000-0000BBB10000}"/>
    <cellStyle name="Total 2 2 2 4 5" xfId="18681" xr:uid="{00000000-0005-0000-0000-0000BCB10000}"/>
    <cellStyle name="Total 2 2 2 4 6" xfId="22612" xr:uid="{00000000-0005-0000-0000-0000BDB10000}"/>
    <cellStyle name="Total 2 2 2 4 7" xfId="26432" xr:uid="{00000000-0005-0000-0000-0000BEB10000}"/>
    <cellStyle name="Total 2 2 2 4 8" xfId="30311" xr:uid="{00000000-0005-0000-0000-0000BFB10000}"/>
    <cellStyle name="Total 2 2 2 4 9" xfId="33976" xr:uid="{00000000-0005-0000-0000-0000C0B10000}"/>
    <cellStyle name="Total 2 2 2 5" xfId="4651" xr:uid="{00000000-0005-0000-0000-0000C1B10000}"/>
    <cellStyle name="Total 2 2 2 6" xfId="8993" xr:uid="{00000000-0005-0000-0000-0000C2B10000}"/>
    <cellStyle name="Total 2 2 2 7" xfId="12830" xr:uid="{00000000-0005-0000-0000-0000C3B10000}"/>
    <cellStyle name="Total 2 2 2 8" xfId="16660" xr:uid="{00000000-0005-0000-0000-0000C4B10000}"/>
    <cellStyle name="Total 2 2 2 9" xfId="20597" xr:uid="{00000000-0005-0000-0000-0000C5B10000}"/>
    <cellStyle name="Total 2 2 20" xfId="8859" xr:uid="{00000000-0005-0000-0000-0000C6B10000}"/>
    <cellStyle name="Total 2 2 21" xfId="8599" xr:uid="{00000000-0005-0000-0000-0000C7B10000}"/>
    <cellStyle name="Total 2 2 22" xfId="8631" xr:uid="{00000000-0005-0000-0000-0000C8B10000}"/>
    <cellStyle name="Total 2 2 23" xfId="15291" xr:uid="{00000000-0005-0000-0000-0000C9B10000}"/>
    <cellStyle name="Total 2 2 24" xfId="8646" xr:uid="{00000000-0005-0000-0000-0000CAB10000}"/>
    <cellStyle name="Total 2 2 25" xfId="18050" xr:uid="{00000000-0005-0000-0000-0000CBB10000}"/>
    <cellStyle name="Total 2 2 26" xfId="31066" xr:uid="{00000000-0005-0000-0000-0000CCB10000}"/>
    <cellStyle name="Total 2 2 27" xfId="8396" xr:uid="{00000000-0005-0000-0000-0000CDB10000}"/>
    <cellStyle name="Total 2 2 28" xfId="39647" xr:uid="{00000000-0005-0000-0000-0000CEB10000}"/>
    <cellStyle name="Total 2 2 29" xfId="40340" xr:uid="{00000000-0005-0000-0000-0000CFB10000}"/>
    <cellStyle name="Total 2 2 3" xfId="623" xr:uid="{00000000-0005-0000-0000-0000D0B10000}"/>
    <cellStyle name="Total 2 2 3 10" xfId="10639" xr:uid="{00000000-0005-0000-0000-0000D1B10000}"/>
    <cellStyle name="Total 2 2 3 11" xfId="28250" xr:uid="{00000000-0005-0000-0000-0000D2B10000}"/>
    <cellStyle name="Total 2 2 3 12" xfId="28569" xr:uid="{00000000-0005-0000-0000-0000D3B10000}"/>
    <cellStyle name="Total 2 2 3 13" xfId="28370" xr:uid="{00000000-0005-0000-0000-0000D4B10000}"/>
    <cellStyle name="Total 2 2 3 14" xfId="39718" xr:uid="{00000000-0005-0000-0000-0000D5B10000}"/>
    <cellStyle name="Total 2 2 3 15" xfId="39562" xr:uid="{00000000-0005-0000-0000-0000D6B10000}"/>
    <cellStyle name="Total 2 2 3 2" xfId="1003" xr:uid="{00000000-0005-0000-0000-0000D7B10000}"/>
    <cellStyle name="Total 2 2 3 2 10" xfId="28614" xr:uid="{00000000-0005-0000-0000-0000D8B10000}"/>
    <cellStyle name="Total 2 2 3 2 11" xfId="32302" xr:uid="{00000000-0005-0000-0000-0000D9B10000}"/>
    <cellStyle name="Total 2 2 3 2 12" xfId="36061" xr:uid="{00000000-0005-0000-0000-0000DAB10000}"/>
    <cellStyle name="Total 2 2 3 2 13" xfId="40066" xr:uid="{00000000-0005-0000-0000-0000DBB10000}"/>
    <cellStyle name="Total 2 2 3 2 14" xfId="43887" xr:uid="{00000000-0005-0000-0000-0000DCB10000}"/>
    <cellStyle name="Total 2 2 3 2 2" xfId="1732" xr:uid="{00000000-0005-0000-0000-0000DDB10000}"/>
    <cellStyle name="Total 2 2 3 2 2 10" xfId="33019" xr:uid="{00000000-0005-0000-0000-0000DEB10000}"/>
    <cellStyle name="Total 2 2 3 2 2 11" xfId="36789" xr:uid="{00000000-0005-0000-0000-0000DFB10000}"/>
    <cellStyle name="Total 2 2 3 2 2 12" xfId="40780" xr:uid="{00000000-0005-0000-0000-0000E0B10000}"/>
    <cellStyle name="Total 2 2 3 2 2 13" xfId="44611" xr:uid="{00000000-0005-0000-0000-0000E1B10000}"/>
    <cellStyle name="Total 2 2 3 2 2 2" xfId="3722" xr:uid="{00000000-0005-0000-0000-0000E2B10000}"/>
    <cellStyle name="Total 2 2 3 2 2 2 10" xfId="38773" xr:uid="{00000000-0005-0000-0000-0000E3B10000}"/>
    <cellStyle name="Total 2 2 3 2 2 2 11" xfId="42784" xr:uid="{00000000-0005-0000-0000-0000E4B10000}"/>
    <cellStyle name="Total 2 2 3 2 2 2 12" xfId="46549" xr:uid="{00000000-0005-0000-0000-0000E5B10000}"/>
    <cellStyle name="Total 2 2 3 2 2 2 2" xfId="7589" xr:uid="{00000000-0005-0000-0000-0000E6B10000}"/>
    <cellStyle name="Total 2 2 3 2 2 2 3" xfId="12024" xr:uid="{00000000-0005-0000-0000-0000E7B10000}"/>
    <cellStyle name="Total 2 2 3 2 2 2 4" xfId="15869" xr:uid="{00000000-0005-0000-0000-0000E8B10000}"/>
    <cellStyle name="Total 2 2 3 2 2 2 5" xfId="19716" xr:uid="{00000000-0005-0000-0000-0000E9B10000}"/>
    <cellStyle name="Total 2 2 3 2 2 2 6" xfId="23632" xr:uid="{00000000-0005-0000-0000-0000EAB10000}"/>
    <cellStyle name="Total 2 2 3 2 2 2 7" xfId="27466" xr:uid="{00000000-0005-0000-0000-0000EBB10000}"/>
    <cellStyle name="Total 2 2 3 2 2 2 8" xfId="31330" xr:uid="{00000000-0005-0000-0000-0000ECB10000}"/>
    <cellStyle name="Total 2 2 3 2 2 2 9" xfId="34987" xr:uid="{00000000-0005-0000-0000-0000EDB10000}"/>
    <cellStyle name="Total 2 2 3 2 2 3" xfId="5665" xr:uid="{00000000-0005-0000-0000-0000EEB10000}"/>
    <cellStyle name="Total 2 2 3 2 2 4" xfId="10023" xr:uid="{00000000-0005-0000-0000-0000EFB10000}"/>
    <cellStyle name="Total 2 2 3 2 2 5" xfId="13869" xr:uid="{00000000-0005-0000-0000-0000F0B10000}"/>
    <cellStyle name="Total 2 2 3 2 2 6" xfId="17698" xr:uid="{00000000-0005-0000-0000-0000F1B10000}"/>
    <cellStyle name="Total 2 2 3 2 2 7" xfId="21637" xr:uid="{00000000-0005-0000-0000-0000F2B10000}"/>
    <cellStyle name="Total 2 2 3 2 2 8" xfId="25450" xr:uid="{00000000-0005-0000-0000-0000F3B10000}"/>
    <cellStyle name="Total 2 2 3 2 2 9" xfId="29337" xr:uid="{00000000-0005-0000-0000-0000F4B10000}"/>
    <cellStyle name="Total 2 2 3 2 3" xfId="2993" xr:uid="{00000000-0005-0000-0000-0000F5B10000}"/>
    <cellStyle name="Total 2 2 3 2 3 10" xfId="38045" xr:uid="{00000000-0005-0000-0000-0000F6B10000}"/>
    <cellStyle name="Total 2 2 3 2 3 11" xfId="42057" xr:uid="{00000000-0005-0000-0000-0000F7B10000}"/>
    <cellStyle name="Total 2 2 3 2 3 12" xfId="45832" xr:uid="{00000000-0005-0000-0000-0000F8B10000}"/>
    <cellStyle name="Total 2 2 3 2 3 2" xfId="6871" xr:uid="{00000000-0005-0000-0000-0000F9B10000}"/>
    <cellStyle name="Total 2 2 3 2 3 3" xfId="11299" xr:uid="{00000000-0005-0000-0000-0000FAB10000}"/>
    <cellStyle name="Total 2 2 3 2 3 4" xfId="15144" xr:uid="{00000000-0005-0000-0000-0000FBB10000}"/>
    <cellStyle name="Total 2 2 3 2 3 5" xfId="18987" xr:uid="{00000000-0005-0000-0000-0000FCB10000}"/>
    <cellStyle name="Total 2 2 3 2 3 6" xfId="22911" xr:uid="{00000000-0005-0000-0000-0000FDB10000}"/>
    <cellStyle name="Total 2 2 3 2 3 7" xfId="26738" xr:uid="{00000000-0005-0000-0000-0000FEB10000}"/>
    <cellStyle name="Total 2 2 3 2 3 8" xfId="30612" xr:uid="{00000000-0005-0000-0000-0000FFB10000}"/>
    <cellStyle name="Total 2 2 3 2 3 9" xfId="34270" xr:uid="{00000000-0005-0000-0000-000000B20000}"/>
    <cellStyle name="Total 2 2 3 2 4" xfId="4947" xr:uid="{00000000-0005-0000-0000-000001B20000}"/>
    <cellStyle name="Total 2 2 3 2 5" xfId="9302" xr:uid="{00000000-0005-0000-0000-000002B20000}"/>
    <cellStyle name="Total 2 2 3 2 6" xfId="13143" xr:uid="{00000000-0005-0000-0000-000003B20000}"/>
    <cellStyle name="Total 2 2 3 2 7" xfId="16969" xr:uid="{00000000-0005-0000-0000-000004B20000}"/>
    <cellStyle name="Total 2 2 3 2 8" xfId="20911" xr:uid="{00000000-0005-0000-0000-000005B20000}"/>
    <cellStyle name="Total 2 2 3 2 9" xfId="24726" xr:uid="{00000000-0005-0000-0000-000006B20000}"/>
    <cellStyle name="Total 2 2 3 3" xfId="1379" xr:uid="{00000000-0005-0000-0000-000007B20000}"/>
    <cellStyle name="Total 2 2 3 3 10" xfId="32666" xr:uid="{00000000-0005-0000-0000-000008B20000}"/>
    <cellStyle name="Total 2 2 3 3 11" xfId="36436" xr:uid="{00000000-0005-0000-0000-000009B20000}"/>
    <cellStyle name="Total 2 2 3 3 12" xfId="40427" xr:uid="{00000000-0005-0000-0000-00000AB20000}"/>
    <cellStyle name="Total 2 2 3 3 13" xfId="44258" xr:uid="{00000000-0005-0000-0000-00000BB20000}"/>
    <cellStyle name="Total 2 2 3 3 2" xfId="3369" xr:uid="{00000000-0005-0000-0000-00000CB20000}"/>
    <cellStyle name="Total 2 2 3 3 2 10" xfId="38420" xr:uid="{00000000-0005-0000-0000-00000DB20000}"/>
    <cellStyle name="Total 2 2 3 3 2 11" xfId="42431" xr:uid="{00000000-0005-0000-0000-00000EB20000}"/>
    <cellStyle name="Total 2 2 3 3 2 12" xfId="46196" xr:uid="{00000000-0005-0000-0000-00000FB20000}"/>
    <cellStyle name="Total 2 2 3 3 2 2" xfId="7236" xr:uid="{00000000-0005-0000-0000-000010B20000}"/>
    <cellStyle name="Total 2 2 3 3 2 3" xfId="11671" xr:uid="{00000000-0005-0000-0000-000011B20000}"/>
    <cellStyle name="Total 2 2 3 3 2 4" xfId="15516" xr:uid="{00000000-0005-0000-0000-000012B20000}"/>
    <cellStyle name="Total 2 2 3 3 2 5" xfId="19363" xr:uid="{00000000-0005-0000-0000-000013B20000}"/>
    <cellStyle name="Total 2 2 3 3 2 6" xfId="23279" xr:uid="{00000000-0005-0000-0000-000014B20000}"/>
    <cellStyle name="Total 2 2 3 3 2 7" xfId="27113" xr:uid="{00000000-0005-0000-0000-000015B20000}"/>
    <cellStyle name="Total 2 2 3 3 2 8" xfId="30981" xr:uid="{00000000-0005-0000-0000-000016B20000}"/>
    <cellStyle name="Total 2 2 3 3 2 9" xfId="34634" xr:uid="{00000000-0005-0000-0000-000017B20000}"/>
    <cellStyle name="Total 2 2 3 3 3" xfId="5312" xr:uid="{00000000-0005-0000-0000-000018B20000}"/>
    <cellStyle name="Total 2 2 3 3 4" xfId="9670" xr:uid="{00000000-0005-0000-0000-000019B20000}"/>
    <cellStyle name="Total 2 2 3 3 5" xfId="13516" xr:uid="{00000000-0005-0000-0000-00001AB20000}"/>
    <cellStyle name="Total 2 2 3 3 6" xfId="17345" xr:uid="{00000000-0005-0000-0000-00001BB20000}"/>
    <cellStyle name="Total 2 2 3 3 7" xfId="21284" xr:uid="{00000000-0005-0000-0000-00001CB20000}"/>
    <cellStyle name="Total 2 2 3 3 8" xfId="25097" xr:uid="{00000000-0005-0000-0000-00001DB20000}"/>
    <cellStyle name="Total 2 2 3 3 9" xfId="28984" xr:uid="{00000000-0005-0000-0000-00001EB20000}"/>
    <cellStyle name="Total 2 2 3 4" xfId="2626" xr:uid="{00000000-0005-0000-0000-00001FB20000}"/>
    <cellStyle name="Total 2 2 3 4 10" xfId="37678" xr:uid="{00000000-0005-0000-0000-000020B20000}"/>
    <cellStyle name="Total 2 2 3 4 11" xfId="41692" xr:uid="{00000000-0005-0000-0000-000021B20000}"/>
    <cellStyle name="Total 2 2 3 4 12" xfId="45479" xr:uid="{00000000-0005-0000-0000-000022B20000}"/>
    <cellStyle name="Total 2 2 3 4 2" xfId="6516" xr:uid="{00000000-0005-0000-0000-000023B20000}"/>
    <cellStyle name="Total 2 2 3 4 3" xfId="10940" xr:uid="{00000000-0005-0000-0000-000024B20000}"/>
    <cellStyle name="Total 2 2 3 4 4" xfId="14784" xr:uid="{00000000-0005-0000-0000-000025B20000}"/>
    <cellStyle name="Total 2 2 3 4 5" xfId="18620" xr:uid="{00000000-0005-0000-0000-000026B20000}"/>
    <cellStyle name="Total 2 2 3 4 6" xfId="22553" xr:uid="{00000000-0005-0000-0000-000027B20000}"/>
    <cellStyle name="Total 2 2 3 4 7" xfId="26371" xr:uid="{00000000-0005-0000-0000-000028B20000}"/>
    <cellStyle name="Total 2 2 3 4 8" xfId="30250" xr:uid="{00000000-0005-0000-0000-000029B20000}"/>
    <cellStyle name="Total 2 2 3 4 9" xfId="33917" xr:uid="{00000000-0005-0000-0000-00002AB20000}"/>
    <cellStyle name="Total 2 2 3 5" xfId="4592" xr:uid="{00000000-0005-0000-0000-00002BB20000}"/>
    <cellStyle name="Total 2 2 3 6" xfId="8932" xr:uid="{00000000-0005-0000-0000-00002CB20000}"/>
    <cellStyle name="Total 2 2 3 7" xfId="8699" xr:uid="{00000000-0005-0000-0000-00002DB20000}"/>
    <cellStyle name="Total 2 2 3 8" xfId="8482" xr:uid="{00000000-0005-0000-0000-00002EB20000}"/>
    <cellStyle name="Total 2 2 3 9" xfId="20536" xr:uid="{00000000-0005-0000-0000-00002FB20000}"/>
    <cellStyle name="Total 2 2 30" xfId="47359" xr:uid="{00000000-0005-0000-0000-000030B20000}"/>
    <cellStyle name="Total 2 2 31" xfId="47447" xr:uid="{00000000-0005-0000-0000-000031B20000}"/>
    <cellStyle name="Total 2 2 32" xfId="47494" xr:uid="{00000000-0005-0000-0000-000032B20000}"/>
    <cellStyle name="Total 2 2 4" xfId="719" xr:uid="{00000000-0005-0000-0000-000033B20000}"/>
    <cellStyle name="Total 2 2 4 10" xfId="24452" xr:uid="{00000000-0005-0000-0000-000034B20000}"/>
    <cellStyle name="Total 2 2 4 11" xfId="28345" xr:uid="{00000000-0005-0000-0000-000035B20000}"/>
    <cellStyle name="Total 2 2 4 12" xfId="14220" xr:uid="{00000000-0005-0000-0000-000036B20000}"/>
    <cellStyle name="Total 2 2 4 13" xfId="35790" xr:uid="{00000000-0005-0000-0000-000037B20000}"/>
    <cellStyle name="Total 2 2 4 14" xfId="39811" xr:uid="{00000000-0005-0000-0000-000038B20000}"/>
    <cellStyle name="Total 2 2 4 15" xfId="43616" xr:uid="{00000000-0005-0000-0000-000039B20000}"/>
    <cellStyle name="Total 2 2 4 2" xfId="1098" xr:uid="{00000000-0005-0000-0000-00003AB20000}"/>
    <cellStyle name="Total 2 2 4 2 10" xfId="28708" xr:uid="{00000000-0005-0000-0000-00003BB20000}"/>
    <cellStyle name="Total 2 2 4 2 11" xfId="32395" xr:uid="{00000000-0005-0000-0000-00003CB20000}"/>
    <cellStyle name="Total 2 2 4 2 12" xfId="36156" xr:uid="{00000000-0005-0000-0000-00003DB20000}"/>
    <cellStyle name="Total 2 2 4 2 13" xfId="40158" xr:uid="{00000000-0005-0000-0000-00003EB20000}"/>
    <cellStyle name="Total 2 2 4 2 14" xfId="43982" xr:uid="{00000000-0005-0000-0000-00003FB20000}"/>
    <cellStyle name="Total 2 2 4 2 2" xfId="1825" xr:uid="{00000000-0005-0000-0000-000040B20000}"/>
    <cellStyle name="Total 2 2 4 2 2 10" xfId="33112" xr:uid="{00000000-0005-0000-0000-000041B20000}"/>
    <cellStyle name="Total 2 2 4 2 2 11" xfId="36882" xr:uid="{00000000-0005-0000-0000-000042B20000}"/>
    <cellStyle name="Total 2 2 4 2 2 12" xfId="40873" xr:uid="{00000000-0005-0000-0000-000043B20000}"/>
    <cellStyle name="Total 2 2 4 2 2 13" xfId="44704" xr:uid="{00000000-0005-0000-0000-000044B20000}"/>
    <cellStyle name="Total 2 2 4 2 2 2" xfId="3815" xr:uid="{00000000-0005-0000-0000-000045B20000}"/>
    <cellStyle name="Total 2 2 4 2 2 2 10" xfId="38866" xr:uid="{00000000-0005-0000-0000-000046B20000}"/>
    <cellStyle name="Total 2 2 4 2 2 2 11" xfId="42877" xr:uid="{00000000-0005-0000-0000-000047B20000}"/>
    <cellStyle name="Total 2 2 4 2 2 2 12" xfId="46642" xr:uid="{00000000-0005-0000-0000-000048B20000}"/>
    <cellStyle name="Total 2 2 4 2 2 2 2" xfId="7682" xr:uid="{00000000-0005-0000-0000-000049B20000}"/>
    <cellStyle name="Total 2 2 4 2 2 2 3" xfId="12117" xr:uid="{00000000-0005-0000-0000-00004AB20000}"/>
    <cellStyle name="Total 2 2 4 2 2 2 4" xfId="15962" xr:uid="{00000000-0005-0000-0000-00004BB20000}"/>
    <cellStyle name="Total 2 2 4 2 2 2 5" xfId="19809" xr:uid="{00000000-0005-0000-0000-00004CB20000}"/>
    <cellStyle name="Total 2 2 4 2 2 2 6" xfId="23725" xr:uid="{00000000-0005-0000-0000-00004DB20000}"/>
    <cellStyle name="Total 2 2 4 2 2 2 7" xfId="27559" xr:uid="{00000000-0005-0000-0000-00004EB20000}"/>
    <cellStyle name="Total 2 2 4 2 2 2 8" xfId="31423" xr:uid="{00000000-0005-0000-0000-00004FB20000}"/>
    <cellStyle name="Total 2 2 4 2 2 2 9" xfId="35080" xr:uid="{00000000-0005-0000-0000-000050B20000}"/>
    <cellStyle name="Total 2 2 4 2 2 3" xfId="5758" xr:uid="{00000000-0005-0000-0000-000051B20000}"/>
    <cellStyle name="Total 2 2 4 2 2 4" xfId="10116" xr:uid="{00000000-0005-0000-0000-000052B20000}"/>
    <cellStyle name="Total 2 2 4 2 2 5" xfId="13962" xr:uid="{00000000-0005-0000-0000-000053B20000}"/>
    <cellStyle name="Total 2 2 4 2 2 6" xfId="17791" xr:uid="{00000000-0005-0000-0000-000054B20000}"/>
    <cellStyle name="Total 2 2 4 2 2 7" xfId="21730" xr:uid="{00000000-0005-0000-0000-000055B20000}"/>
    <cellStyle name="Total 2 2 4 2 2 8" xfId="25543" xr:uid="{00000000-0005-0000-0000-000056B20000}"/>
    <cellStyle name="Total 2 2 4 2 2 9" xfId="29430" xr:uid="{00000000-0005-0000-0000-000057B20000}"/>
    <cellStyle name="Total 2 2 4 2 3" xfId="3088" xr:uid="{00000000-0005-0000-0000-000058B20000}"/>
    <cellStyle name="Total 2 2 4 2 3 10" xfId="38140" xr:uid="{00000000-0005-0000-0000-000059B20000}"/>
    <cellStyle name="Total 2 2 4 2 3 11" xfId="42152" xr:uid="{00000000-0005-0000-0000-00005AB20000}"/>
    <cellStyle name="Total 2 2 4 2 3 12" xfId="45925" xr:uid="{00000000-0005-0000-0000-00005BB20000}"/>
    <cellStyle name="Total 2 2 4 2 3 2" xfId="6964" xr:uid="{00000000-0005-0000-0000-00005CB20000}"/>
    <cellStyle name="Total 2 2 4 2 3 3" xfId="11393" xr:uid="{00000000-0005-0000-0000-00005DB20000}"/>
    <cellStyle name="Total 2 2 4 2 3 4" xfId="15237" xr:uid="{00000000-0005-0000-0000-00005EB20000}"/>
    <cellStyle name="Total 2 2 4 2 3 5" xfId="19082" xr:uid="{00000000-0005-0000-0000-00005FB20000}"/>
    <cellStyle name="Total 2 2 4 2 3 6" xfId="23004" xr:uid="{00000000-0005-0000-0000-000060B20000}"/>
    <cellStyle name="Total 2 2 4 2 3 7" xfId="26833" xr:uid="{00000000-0005-0000-0000-000061B20000}"/>
    <cellStyle name="Total 2 2 4 2 3 8" xfId="30706" xr:uid="{00000000-0005-0000-0000-000062B20000}"/>
    <cellStyle name="Total 2 2 4 2 3 9" xfId="34363" xr:uid="{00000000-0005-0000-0000-000063B20000}"/>
    <cellStyle name="Total 2 2 4 2 4" xfId="5040" xr:uid="{00000000-0005-0000-0000-000064B20000}"/>
    <cellStyle name="Total 2 2 4 2 5" xfId="9396" xr:uid="{00000000-0005-0000-0000-000065B20000}"/>
    <cellStyle name="Total 2 2 4 2 6" xfId="13236" xr:uid="{00000000-0005-0000-0000-000066B20000}"/>
    <cellStyle name="Total 2 2 4 2 7" xfId="17064" xr:uid="{00000000-0005-0000-0000-000067B20000}"/>
    <cellStyle name="Total 2 2 4 2 8" xfId="21006" xr:uid="{00000000-0005-0000-0000-000068B20000}"/>
    <cellStyle name="Total 2 2 4 2 9" xfId="24820" xr:uid="{00000000-0005-0000-0000-000069B20000}"/>
    <cellStyle name="Total 2 2 4 3" xfId="1472" xr:uid="{00000000-0005-0000-0000-00006AB20000}"/>
    <cellStyle name="Total 2 2 4 3 10" xfId="32759" xr:uid="{00000000-0005-0000-0000-00006BB20000}"/>
    <cellStyle name="Total 2 2 4 3 11" xfId="36529" xr:uid="{00000000-0005-0000-0000-00006CB20000}"/>
    <cellStyle name="Total 2 2 4 3 12" xfId="40520" xr:uid="{00000000-0005-0000-0000-00006DB20000}"/>
    <cellStyle name="Total 2 2 4 3 13" xfId="44351" xr:uid="{00000000-0005-0000-0000-00006EB20000}"/>
    <cellStyle name="Total 2 2 4 3 2" xfId="3462" xr:uid="{00000000-0005-0000-0000-00006FB20000}"/>
    <cellStyle name="Total 2 2 4 3 2 10" xfId="38513" xr:uid="{00000000-0005-0000-0000-000070B20000}"/>
    <cellStyle name="Total 2 2 4 3 2 11" xfId="42524" xr:uid="{00000000-0005-0000-0000-000071B20000}"/>
    <cellStyle name="Total 2 2 4 3 2 12" xfId="46289" xr:uid="{00000000-0005-0000-0000-000072B20000}"/>
    <cellStyle name="Total 2 2 4 3 2 2" xfId="7329" xr:uid="{00000000-0005-0000-0000-000073B20000}"/>
    <cellStyle name="Total 2 2 4 3 2 3" xfId="11764" xr:uid="{00000000-0005-0000-0000-000074B20000}"/>
    <cellStyle name="Total 2 2 4 3 2 4" xfId="15609" xr:uid="{00000000-0005-0000-0000-000075B20000}"/>
    <cellStyle name="Total 2 2 4 3 2 5" xfId="19456" xr:uid="{00000000-0005-0000-0000-000076B20000}"/>
    <cellStyle name="Total 2 2 4 3 2 6" xfId="23372" xr:uid="{00000000-0005-0000-0000-000077B20000}"/>
    <cellStyle name="Total 2 2 4 3 2 7" xfId="27206" xr:uid="{00000000-0005-0000-0000-000078B20000}"/>
    <cellStyle name="Total 2 2 4 3 2 8" xfId="31073" xr:uid="{00000000-0005-0000-0000-000079B20000}"/>
    <cellStyle name="Total 2 2 4 3 2 9" xfId="34727" xr:uid="{00000000-0005-0000-0000-00007AB20000}"/>
    <cellStyle name="Total 2 2 4 3 3" xfId="5405" xr:uid="{00000000-0005-0000-0000-00007BB20000}"/>
    <cellStyle name="Total 2 2 4 3 4" xfId="9763" xr:uid="{00000000-0005-0000-0000-00007CB20000}"/>
    <cellStyle name="Total 2 2 4 3 5" xfId="13609" xr:uid="{00000000-0005-0000-0000-00007DB20000}"/>
    <cellStyle name="Total 2 2 4 3 6" xfId="17438" xr:uid="{00000000-0005-0000-0000-00007EB20000}"/>
    <cellStyle name="Total 2 2 4 3 7" xfId="21377" xr:uid="{00000000-0005-0000-0000-00007FB20000}"/>
    <cellStyle name="Total 2 2 4 3 8" xfId="25190" xr:uid="{00000000-0005-0000-0000-000080B20000}"/>
    <cellStyle name="Total 2 2 4 3 9" xfId="29077" xr:uid="{00000000-0005-0000-0000-000081B20000}"/>
    <cellStyle name="Total 2 2 4 4" xfId="2722" xr:uid="{00000000-0005-0000-0000-000082B20000}"/>
    <cellStyle name="Total 2 2 4 4 10" xfId="37774" xr:uid="{00000000-0005-0000-0000-000083B20000}"/>
    <cellStyle name="Total 2 2 4 4 11" xfId="41788" xr:uid="{00000000-0005-0000-0000-000084B20000}"/>
    <cellStyle name="Total 2 2 4 4 12" xfId="45572" xr:uid="{00000000-0005-0000-0000-000085B20000}"/>
    <cellStyle name="Total 2 2 4 4 2" xfId="6609" xr:uid="{00000000-0005-0000-0000-000086B20000}"/>
    <cellStyle name="Total 2 2 4 4 3" xfId="11033" xr:uid="{00000000-0005-0000-0000-000087B20000}"/>
    <cellStyle name="Total 2 2 4 4 4" xfId="14878" xr:uid="{00000000-0005-0000-0000-000088B20000}"/>
    <cellStyle name="Total 2 2 4 4 5" xfId="18716" xr:uid="{00000000-0005-0000-0000-000089B20000}"/>
    <cellStyle name="Total 2 2 4 4 6" xfId="22647" xr:uid="{00000000-0005-0000-0000-00008AB20000}"/>
    <cellStyle name="Total 2 2 4 4 7" xfId="26467" xr:uid="{00000000-0005-0000-0000-00008BB20000}"/>
    <cellStyle name="Total 2 2 4 4 8" xfId="30346" xr:uid="{00000000-0005-0000-0000-00008CB20000}"/>
    <cellStyle name="Total 2 2 4 4 9" xfId="34010" xr:uid="{00000000-0005-0000-0000-00008DB20000}"/>
    <cellStyle name="Total 2 2 4 5" xfId="4685" xr:uid="{00000000-0005-0000-0000-00008EB20000}"/>
    <cellStyle name="Total 2 2 4 6" xfId="9027" xr:uid="{00000000-0005-0000-0000-00008FB20000}"/>
    <cellStyle name="Total 2 2 4 7" xfId="12865" xr:uid="{00000000-0005-0000-0000-000090B20000}"/>
    <cellStyle name="Total 2 2 4 8" xfId="16695" xr:uid="{00000000-0005-0000-0000-000091B20000}"/>
    <cellStyle name="Total 2 2 4 9" xfId="20632" xr:uid="{00000000-0005-0000-0000-000092B20000}"/>
    <cellStyle name="Total 2 2 5" xfId="884" xr:uid="{00000000-0005-0000-0000-000093B20000}"/>
    <cellStyle name="Total 2 2 5 10" xfId="24608" xr:uid="{00000000-0005-0000-0000-000094B20000}"/>
    <cellStyle name="Total 2 2 5 11" xfId="28498" xr:uid="{00000000-0005-0000-0000-000095B20000}"/>
    <cellStyle name="Total 2 2 5 12" xfId="32185" xr:uid="{00000000-0005-0000-0000-000096B20000}"/>
    <cellStyle name="Total 2 2 5 13" xfId="35942" xr:uid="{00000000-0005-0000-0000-000097B20000}"/>
    <cellStyle name="Total 2 2 5 14" xfId="39952" xr:uid="{00000000-0005-0000-0000-000098B20000}"/>
    <cellStyle name="Total 2 2 5 15" xfId="43768" xr:uid="{00000000-0005-0000-0000-000099B20000}"/>
    <cellStyle name="Total 2 2 5 2" xfId="1221" xr:uid="{00000000-0005-0000-0000-00009AB20000}"/>
    <cellStyle name="Total 2 2 5 2 10" xfId="28829" xr:uid="{00000000-0005-0000-0000-00009BB20000}"/>
    <cellStyle name="Total 2 2 5 2 11" xfId="32513" xr:uid="{00000000-0005-0000-0000-00009CB20000}"/>
    <cellStyle name="Total 2 2 5 2 12" xfId="36279" xr:uid="{00000000-0005-0000-0000-00009DB20000}"/>
    <cellStyle name="Total 2 2 5 2 13" xfId="40272" xr:uid="{00000000-0005-0000-0000-00009EB20000}"/>
    <cellStyle name="Total 2 2 5 2 14" xfId="44105" xr:uid="{00000000-0005-0000-0000-00009FB20000}"/>
    <cellStyle name="Total 2 2 5 2 2" xfId="1943" xr:uid="{00000000-0005-0000-0000-0000A0B20000}"/>
    <cellStyle name="Total 2 2 5 2 2 10" xfId="33230" xr:uid="{00000000-0005-0000-0000-0000A1B20000}"/>
    <cellStyle name="Total 2 2 5 2 2 11" xfId="37000" xr:uid="{00000000-0005-0000-0000-0000A2B20000}"/>
    <cellStyle name="Total 2 2 5 2 2 12" xfId="40991" xr:uid="{00000000-0005-0000-0000-0000A3B20000}"/>
    <cellStyle name="Total 2 2 5 2 2 13" xfId="44822" xr:uid="{00000000-0005-0000-0000-0000A4B20000}"/>
    <cellStyle name="Total 2 2 5 2 2 2" xfId="3933" xr:uid="{00000000-0005-0000-0000-0000A5B20000}"/>
    <cellStyle name="Total 2 2 5 2 2 2 10" xfId="38984" xr:uid="{00000000-0005-0000-0000-0000A6B20000}"/>
    <cellStyle name="Total 2 2 5 2 2 2 11" xfId="42995" xr:uid="{00000000-0005-0000-0000-0000A7B20000}"/>
    <cellStyle name="Total 2 2 5 2 2 2 12" xfId="46760" xr:uid="{00000000-0005-0000-0000-0000A8B20000}"/>
    <cellStyle name="Total 2 2 5 2 2 2 2" xfId="7800" xr:uid="{00000000-0005-0000-0000-0000A9B20000}"/>
    <cellStyle name="Total 2 2 5 2 2 2 3" xfId="12235" xr:uid="{00000000-0005-0000-0000-0000AAB20000}"/>
    <cellStyle name="Total 2 2 5 2 2 2 4" xfId="16080" xr:uid="{00000000-0005-0000-0000-0000ABB20000}"/>
    <cellStyle name="Total 2 2 5 2 2 2 5" xfId="19927" xr:uid="{00000000-0005-0000-0000-0000ACB20000}"/>
    <cellStyle name="Total 2 2 5 2 2 2 6" xfId="23843" xr:uid="{00000000-0005-0000-0000-0000ADB20000}"/>
    <cellStyle name="Total 2 2 5 2 2 2 7" xfId="27677" xr:uid="{00000000-0005-0000-0000-0000AEB20000}"/>
    <cellStyle name="Total 2 2 5 2 2 2 8" xfId="31538" xr:uid="{00000000-0005-0000-0000-0000AFB20000}"/>
    <cellStyle name="Total 2 2 5 2 2 2 9" xfId="35198" xr:uid="{00000000-0005-0000-0000-0000B0B20000}"/>
    <cellStyle name="Total 2 2 5 2 2 3" xfId="5876" xr:uid="{00000000-0005-0000-0000-0000B1B20000}"/>
    <cellStyle name="Total 2 2 5 2 2 4" xfId="10234" xr:uid="{00000000-0005-0000-0000-0000B2B20000}"/>
    <cellStyle name="Total 2 2 5 2 2 5" xfId="14080" xr:uid="{00000000-0005-0000-0000-0000B3B20000}"/>
    <cellStyle name="Total 2 2 5 2 2 6" xfId="17909" xr:uid="{00000000-0005-0000-0000-0000B4B20000}"/>
    <cellStyle name="Total 2 2 5 2 2 7" xfId="21848" xr:uid="{00000000-0005-0000-0000-0000B5B20000}"/>
    <cellStyle name="Total 2 2 5 2 2 8" xfId="25661" xr:uid="{00000000-0005-0000-0000-0000B6B20000}"/>
    <cellStyle name="Total 2 2 5 2 2 9" xfId="29548" xr:uid="{00000000-0005-0000-0000-0000B7B20000}"/>
    <cellStyle name="Total 2 2 5 2 3" xfId="3211" xr:uid="{00000000-0005-0000-0000-0000B8B20000}"/>
    <cellStyle name="Total 2 2 5 2 3 10" xfId="38263" xr:uid="{00000000-0005-0000-0000-0000B9B20000}"/>
    <cellStyle name="Total 2 2 5 2 3 11" xfId="42274" xr:uid="{00000000-0005-0000-0000-0000BAB20000}"/>
    <cellStyle name="Total 2 2 5 2 3 12" xfId="46043" xr:uid="{00000000-0005-0000-0000-0000BBB20000}"/>
    <cellStyle name="Total 2 2 5 2 3 2" xfId="7083" xr:uid="{00000000-0005-0000-0000-0000BCB20000}"/>
    <cellStyle name="Total 2 2 5 2 3 3" xfId="11515" xr:uid="{00000000-0005-0000-0000-0000BDB20000}"/>
    <cellStyle name="Total 2 2 5 2 3 4" xfId="15359" xr:uid="{00000000-0005-0000-0000-0000BEB20000}"/>
    <cellStyle name="Total 2 2 5 2 3 5" xfId="19205" xr:uid="{00000000-0005-0000-0000-0000BFB20000}"/>
    <cellStyle name="Total 2 2 5 2 3 6" xfId="23124" xr:uid="{00000000-0005-0000-0000-0000C0B20000}"/>
    <cellStyle name="Total 2 2 5 2 3 7" xfId="26956" xr:uid="{00000000-0005-0000-0000-0000C1B20000}"/>
    <cellStyle name="Total 2 2 5 2 3 8" xfId="30826" xr:uid="{00000000-0005-0000-0000-0000C2B20000}"/>
    <cellStyle name="Total 2 2 5 2 3 9" xfId="34481" xr:uid="{00000000-0005-0000-0000-0000C3B20000}"/>
    <cellStyle name="Total 2 2 5 2 4" xfId="5159" xr:uid="{00000000-0005-0000-0000-0000C4B20000}"/>
    <cellStyle name="Total 2 2 5 2 5" xfId="9515" xr:uid="{00000000-0005-0000-0000-0000C5B20000}"/>
    <cellStyle name="Total 2 2 5 2 6" xfId="13359" xr:uid="{00000000-0005-0000-0000-0000C6B20000}"/>
    <cellStyle name="Total 2 2 5 2 7" xfId="17187" xr:uid="{00000000-0005-0000-0000-0000C7B20000}"/>
    <cellStyle name="Total 2 2 5 2 8" xfId="21129" xr:uid="{00000000-0005-0000-0000-0000C8B20000}"/>
    <cellStyle name="Total 2 2 5 2 9" xfId="24940" xr:uid="{00000000-0005-0000-0000-0000C9B20000}"/>
    <cellStyle name="Total 2 2 5 3" xfId="1615" xr:uid="{00000000-0005-0000-0000-0000CAB20000}"/>
    <cellStyle name="Total 2 2 5 3 10" xfId="32902" xr:uid="{00000000-0005-0000-0000-0000CBB20000}"/>
    <cellStyle name="Total 2 2 5 3 11" xfId="36672" xr:uid="{00000000-0005-0000-0000-0000CCB20000}"/>
    <cellStyle name="Total 2 2 5 3 12" xfId="40663" xr:uid="{00000000-0005-0000-0000-0000CDB20000}"/>
    <cellStyle name="Total 2 2 5 3 13" xfId="44494" xr:uid="{00000000-0005-0000-0000-0000CEB20000}"/>
    <cellStyle name="Total 2 2 5 3 2" xfId="3605" xr:uid="{00000000-0005-0000-0000-0000CFB20000}"/>
    <cellStyle name="Total 2 2 5 3 2 10" xfId="38656" xr:uid="{00000000-0005-0000-0000-0000D0B20000}"/>
    <cellStyle name="Total 2 2 5 3 2 11" xfId="42667" xr:uid="{00000000-0005-0000-0000-0000D1B20000}"/>
    <cellStyle name="Total 2 2 5 3 2 12" xfId="46432" xr:uid="{00000000-0005-0000-0000-0000D2B20000}"/>
    <cellStyle name="Total 2 2 5 3 2 2" xfId="7472" xr:uid="{00000000-0005-0000-0000-0000D3B20000}"/>
    <cellStyle name="Total 2 2 5 3 2 3" xfId="11907" xr:uid="{00000000-0005-0000-0000-0000D4B20000}"/>
    <cellStyle name="Total 2 2 5 3 2 4" xfId="15752" xr:uid="{00000000-0005-0000-0000-0000D5B20000}"/>
    <cellStyle name="Total 2 2 5 3 2 5" xfId="19599" xr:uid="{00000000-0005-0000-0000-0000D6B20000}"/>
    <cellStyle name="Total 2 2 5 3 2 6" xfId="23515" xr:uid="{00000000-0005-0000-0000-0000D7B20000}"/>
    <cellStyle name="Total 2 2 5 3 2 7" xfId="27349" xr:uid="{00000000-0005-0000-0000-0000D8B20000}"/>
    <cellStyle name="Total 2 2 5 3 2 8" xfId="31214" xr:uid="{00000000-0005-0000-0000-0000D9B20000}"/>
    <cellStyle name="Total 2 2 5 3 2 9" xfId="34870" xr:uid="{00000000-0005-0000-0000-0000DAB20000}"/>
    <cellStyle name="Total 2 2 5 3 3" xfId="5548" xr:uid="{00000000-0005-0000-0000-0000DBB20000}"/>
    <cellStyle name="Total 2 2 5 3 4" xfId="9906" xr:uid="{00000000-0005-0000-0000-0000DCB20000}"/>
    <cellStyle name="Total 2 2 5 3 5" xfId="13752" xr:uid="{00000000-0005-0000-0000-0000DDB20000}"/>
    <cellStyle name="Total 2 2 5 3 6" xfId="17581" xr:uid="{00000000-0005-0000-0000-0000DEB20000}"/>
    <cellStyle name="Total 2 2 5 3 7" xfId="21520" xr:uid="{00000000-0005-0000-0000-0000DFB20000}"/>
    <cellStyle name="Total 2 2 5 3 8" xfId="25333" xr:uid="{00000000-0005-0000-0000-0000E0B20000}"/>
    <cellStyle name="Total 2 2 5 3 9" xfId="29220" xr:uid="{00000000-0005-0000-0000-0000E1B20000}"/>
    <cellStyle name="Total 2 2 5 4" xfId="2874" xr:uid="{00000000-0005-0000-0000-0000E2B20000}"/>
    <cellStyle name="Total 2 2 5 4 10" xfId="37926" xr:uid="{00000000-0005-0000-0000-0000E3B20000}"/>
    <cellStyle name="Total 2 2 5 4 11" xfId="41938" xr:uid="{00000000-0005-0000-0000-0000E4B20000}"/>
    <cellStyle name="Total 2 2 5 4 12" xfId="45715" xr:uid="{00000000-0005-0000-0000-0000E5B20000}"/>
    <cellStyle name="Total 2 2 5 4 2" xfId="6754" xr:uid="{00000000-0005-0000-0000-0000E6B20000}"/>
    <cellStyle name="Total 2 2 5 4 3" xfId="11181" xr:uid="{00000000-0005-0000-0000-0000E7B20000}"/>
    <cellStyle name="Total 2 2 5 4 4" xfId="15026" xr:uid="{00000000-0005-0000-0000-0000E8B20000}"/>
    <cellStyle name="Total 2 2 5 4 5" xfId="18868" xr:uid="{00000000-0005-0000-0000-0000E9B20000}"/>
    <cellStyle name="Total 2 2 5 4 6" xfId="22794" xr:uid="{00000000-0005-0000-0000-0000EAB20000}"/>
    <cellStyle name="Total 2 2 5 4 7" xfId="26619" xr:uid="{00000000-0005-0000-0000-0000EBB20000}"/>
    <cellStyle name="Total 2 2 5 4 8" xfId="30495" xr:uid="{00000000-0005-0000-0000-0000ECB20000}"/>
    <cellStyle name="Total 2 2 5 4 9" xfId="34153" xr:uid="{00000000-0005-0000-0000-0000EDB20000}"/>
    <cellStyle name="Total 2 2 5 5" xfId="4830" xr:uid="{00000000-0005-0000-0000-0000EEB20000}"/>
    <cellStyle name="Total 2 2 5 6" xfId="9184" xr:uid="{00000000-0005-0000-0000-0000EFB20000}"/>
    <cellStyle name="Total 2 2 5 7" xfId="13025" xr:uid="{00000000-0005-0000-0000-0000F0B20000}"/>
    <cellStyle name="Total 2 2 5 8" xfId="16850" xr:uid="{00000000-0005-0000-0000-0000F1B20000}"/>
    <cellStyle name="Total 2 2 5 9" xfId="20792" xr:uid="{00000000-0005-0000-0000-0000F2B20000}"/>
    <cellStyle name="Total 2 2 6" xfId="930" xr:uid="{00000000-0005-0000-0000-0000F3B20000}"/>
    <cellStyle name="Total 2 2 6 10" xfId="28542" xr:uid="{00000000-0005-0000-0000-0000F4B20000}"/>
    <cellStyle name="Total 2 2 6 11" xfId="32231" xr:uid="{00000000-0005-0000-0000-0000F5B20000}"/>
    <cellStyle name="Total 2 2 6 12" xfId="35988" xr:uid="{00000000-0005-0000-0000-0000F6B20000}"/>
    <cellStyle name="Total 2 2 6 13" xfId="39996" xr:uid="{00000000-0005-0000-0000-0000F7B20000}"/>
    <cellStyle name="Total 2 2 6 14" xfId="43814" xr:uid="{00000000-0005-0000-0000-0000F8B20000}"/>
    <cellStyle name="Total 2 2 6 2" xfId="1661" xr:uid="{00000000-0005-0000-0000-0000F9B20000}"/>
    <cellStyle name="Total 2 2 6 2 10" xfId="32948" xr:uid="{00000000-0005-0000-0000-0000FAB20000}"/>
    <cellStyle name="Total 2 2 6 2 11" xfId="36718" xr:uid="{00000000-0005-0000-0000-0000FBB20000}"/>
    <cellStyle name="Total 2 2 6 2 12" xfId="40709" xr:uid="{00000000-0005-0000-0000-0000FCB20000}"/>
    <cellStyle name="Total 2 2 6 2 13" xfId="44540" xr:uid="{00000000-0005-0000-0000-0000FDB20000}"/>
    <cellStyle name="Total 2 2 6 2 2" xfId="3651" xr:uid="{00000000-0005-0000-0000-0000FEB20000}"/>
    <cellStyle name="Total 2 2 6 2 2 10" xfId="38702" xr:uid="{00000000-0005-0000-0000-0000FFB20000}"/>
    <cellStyle name="Total 2 2 6 2 2 11" xfId="42713" xr:uid="{00000000-0005-0000-0000-000000B30000}"/>
    <cellStyle name="Total 2 2 6 2 2 12" xfId="46478" xr:uid="{00000000-0005-0000-0000-000001B30000}"/>
    <cellStyle name="Total 2 2 6 2 2 2" xfId="7518" xr:uid="{00000000-0005-0000-0000-000002B30000}"/>
    <cellStyle name="Total 2 2 6 2 2 3" xfId="11953" xr:uid="{00000000-0005-0000-0000-000003B30000}"/>
    <cellStyle name="Total 2 2 6 2 2 4" xfId="15798" xr:uid="{00000000-0005-0000-0000-000004B30000}"/>
    <cellStyle name="Total 2 2 6 2 2 5" xfId="19645" xr:uid="{00000000-0005-0000-0000-000005B30000}"/>
    <cellStyle name="Total 2 2 6 2 2 6" xfId="23561" xr:uid="{00000000-0005-0000-0000-000006B30000}"/>
    <cellStyle name="Total 2 2 6 2 2 7" xfId="27395" xr:uid="{00000000-0005-0000-0000-000007B30000}"/>
    <cellStyle name="Total 2 2 6 2 2 8" xfId="31259" xr:uid="{00000000-0005-0000-0000-000008B30000}"/>
    <cellStyle name="Total 2 2 6 2 2 9" xfId="34916" xr:uid="{00000000-0005-0000-0000-000009B30000}"/>
    <cellStyle name="Total 2 2 6 2 3" xfId="5594" xr:uid="{00000000-0005-0000-0000-00000AB30000}"/>
    <cellStyle name="Total 2 2 6 2 4" xfId="9952" xr:uid="{00000000-0005-0000-0000-00000BB30000}"/>
    <cellStyle name="Total 2 2 6 2 5" xfId="13798" xr:uid="{00000000-0005-0000-0000-00000CB30000}"/>
    <cellStyle name="Total 2 2 6 2 6" xfId="17627" xr:uid="{00000000-0005-0000-0000-00000DB30000}"/>
    <cellStyle name="Total 2 2 6 2 7" xfId="21566" xr:uid="{00000000-0005-0000-0000-00000EB30000}"/>
    <cellStyle name="Total 2 2 6 2 8" xfId="25379" xr:uid="{00000000-0005-0000-0000-00000FB30000}"/>
    <cellStyle name="Total 2 2 6 2 9" xfId="29266" xr:uid="{00000000-0005-0000-0000-000010B30000}"/>
    <cellStyle name="Total 2 2 6 3" xfId="2920" xr:uid="{00000000-0005-0000-0000-000011B30000}"/>
    <cellStyle name="Total 2 2 6 3 10" xfId="37972" xr:uid="{00000000-0005-0000-0000-000012B30000}"/>
    <cellStyle name="Total 2 2 6 3 11" xfId="41984" xr:uid="{00000000-0005-0000-0000-000013B30000}"/>
    <cellStyle name="Total 2 2 6 3 12" xfId="45761" xr:uid="{00000000-0005-0000-0000-000014B30000}"/>
    <cellStyle name="Total 2 2 6 3 2" xfId="6800" xr:uid="{00000000-0005-0000-0000-000015B30000}"/>
    <cellStyle name="Total 2 2 6 3 3" xfId="11227" xr:uid="{00000000-0005-0000-0000-000016B30000}"/>
    <cellStyle name="Total 2 2 6 3 4" xfId="15072" xr:uid="{00000000-0005-0000-0000-000017B30000}"/>
    <cellStyle name="Total 2 2 6 3 5" xfId="18914" xr:uid="{00000000-0005-0000-0000-000018B30000}"/>
    <cellStyle name="Total 2 2 6 3 6" xfId="22840" xr:uid="{00000000-0005-0000-0000-000019B30000}"/>
    <cellStyle name="Total 2 2 6 3 7" xfId="26665" xr:uid="{00000000-0005-0000-0000-00001AB30000}"/>
    <cellStyle name="Total 2 2 6 3 8" xfId="30540" xr:uid="{00000000-0005-0000-0000-00001BB30000}"/>
    <cellStyle name="Total 2 2 6 3 9" xfId="34199" xr:uid="{00000000-0005-0000-0000-00001CB30000}"/>
    <cellStyle name="Total 2 2 6 4" xfId="4876" xr:uid="{00000000-0005-0000-0000-00001DB30000}"/>
    <cellStyle name="Total 2 2 6 5" xfId="9230" xr:uid="{00000000-0005-0000-0000-00001EB30000}"/>
    <cellStyle name="Total 2 2 6 6" xfId="13071" xr:uid="{00000000-0005-0000-0000-00001FB30000}"/>
    <cellStyle name="Total 2 2 6 7" xfId="16896" xr:uid="{00000000-0005-0000-0000-000020B30000}"/>
    <cellStyle name="Total 2 2 6 8" xfId="20838" xr:uid="{00000000-0005-0000-0000-000021B30000}"/>
    <cellStyle name="Total 2 2 6 9" xfId="24654" xr:uid="{00000000-0005-0000-0000-000022B30000}"/>
    <cellStyle name="Total 2 2 7" xfId="1308" xr:uid="{00000000-0005-0000-0000-000023B30000}"/>
    <cellStyle name="Total 2 2 7 10" xfId="32595" xr:uid="{00000000-0005-0000-0000-000024B30000}"/>
    <cellStyle name="Total 2 2 7 11" xfId="36365" xr:uid="{00000000-0005-0000-0000-000025B30000}"/>
    <cellStyle name="Total 2 2 7 12" xfId="40356" xr:uid="{00000000-0005-0000-0000-000026B30000}"/>
    <cellStyle name="Total 2 2 7 13" xfId="44187" xr:uid="{00000000-0005-0000-0000-000027B30000}"/>
    <cellStyle name="Total 2 2 7 2" xfId="3298" xr:uid="{00000000-0005-0000-0000-000028B30000}"/>
    <cellStyle name="Total 2 2 7 2 10" xfId="38349" xr:uid="{00000000-0005-0000-0000-000029B30000}"/>
    <cellStyle name="Total 2 2 7 2 11" xfId="42360" xr:uid="{00000000-0005-0000-0000-00002AB30000}"/>
    <cellStyle name="Total 2 2 7 2 12" xfId="46125" xr:uid="{00000000-0005-0000-0000-00002BB30000}"/>
    <cellStyle name="Total 2 2 7 2 2" xfId="7165" xr:uid="{00000000-0005-0000-0000-00002CB30000}"/>
    <cellStyle name="Total 2 2 7 2 3" xfId="11600" xr:uid="{00000000-0005-0000-0000-00002DB30000}"/>
    <cellStyle name="Total 2 2 7 2 4" xfId="15445" xr:uid="{00000000-0005-0000-0000-00002EB30000}"/>
    <cellStyle name="Total 2 2 7 2 5" xfId="19292" xr:uid="{00000000-0005-0000-0000-00002FB30000}"/>
    <cellStyle name="Total 2 2 7 2 6" xfId="23208" xr:uid="{00000000-0005-0000-0000-000030B30000}"/>
    <cellStyle name="Total 2 2 7 2 7" xfId="27042" xr:uid="{00000000-0005-0000-0000-000031B30000}"/>
    <cellStyle name="Total 2 2 7 2 8" xfId="30911" xr:uid="{00000000-0005-0000-0000-000032B30000}"/>
    <cellStyle name="Total 2 2 7 2 9" xfId="34563" xr:uid="{00000000-0005-0000-0000-000033B30000}"/>
    <cellStyle name="Total 2 2 7 3" xfId="5241" xr:uid="{00000000-0005-0000-0000-000034B30000}"/>
    <cellStyle name="Total 2 2 7 4" xfId="9599" xr:uid="{00000000-0005-0000-0000-000035B30000}"/>
    <cellStyle name="Total 2 2 7 5" xfId="13445" xr:uid="{00000000-0005-0000-0000-000036B30000}"/>
    <cellStyle name="Total 2 2 7 6" xfId="17274" xr:uid="{00000000-0005-0000-0000-000037B30000}"/>
    <cellStyle name="Total 2 2 7 7" xfId="21213" xr:uid="{00000000-0005-0000-0000-000038B30000}"/>
    <cellStyle name="Total 2 2 7 8" xfId="25026" xr:uid="{00000000-0005-0000-0000-000039B30000}"/>
    <cellStyle name="Total 2 2 7 9" xfId="28913" xr:uid="{00000000-0005-0000-0000-00003AB30000}"/>
    <cellStyle name="Total 2 2 8" xfId="2003" xr:uid="{00000000-0005-0000-0000-00003BB30000}"/>
    <cellStyle name="Total 2 2 8 10" xfId="33290" xr:uid="{00000000-0005-0000-0000-00003CB30000}"/>
    <cellStyle name="Total 2 2 8 11" xfId="37059" xr:uid="{00000000-0005-0000-0000-00003DB30000}"/>
    <cellStyle name="Total 2 2 8 12" xfId="41051" xr:uid="{00000000-0005-0000-0000-00003EB30000}"/>
    <cellStyle name="Total 2 2 8 13" xfId="44881" xr:uid="{00000000-0005-0000-0000-00003FB30000}"/>
    <cellStyle name="Total 2 2 8 2" xfId="3992" xr:uid="{00000000-0005-0000-0000-000040B30000}"/>
    <cellStyle name="Total 2 2 8 2 10" xfId="39043" xr:uid="{00000000-0005-0000-0000-000041B30000}"/>
    <cellStyle name="Total 2 2 8 2 11" xfId="43054" xr:uid="{00000000-0005-0000-0000-000042B30000}"/>
    <cellStyle name="Total 2 2 8 2 12" xfId="46819" xr:uid="{00000000-0005-0000-0000-000043B30000}"/>
    <cellStyle name="Total 2 2 8 2 2" xfId="7859" xr:uid="{00000000-0005-0000-0000-000044B30000}"/>
    <cellStyle name="Total 2 2 8 2 3" xfId="12294" xr:uid="{00000000-0005-0000-0000-000045B30000}"/>
    <cellStyle name="Total 2 2 8 2 4" xfId="16139" xr:uid="{00000000-0005-0000-0000-000046B30000}"/>
    <cellStyle name="Total 2 2 8 2 5" xfId="19986" xr:uid="{00000000-0005-0000-0000-000047B30000}"/>
    <cellStyle name="Total 2 2 8 2 6" xfId="23902" xr:uid="{00000000-0005-0000-0000-000048B30000}"/>
    <cellStyle name="Total 2 2 8 2 7" xfId="27736" xr:uid="{00000000-0005-0000-0000-000049B30000}"/>
    <cellStyle name="Total 2 2 8 2 8" xfId="31596" xr:uid="{00000000-0005-0000-0000-00004AB30000}"/>
    <cellStyle name="Total 2 2 8 2 9" xfId="35257" xr:uid="{00000000-0005-0000-0000-00004BB30000}"/>
    <cellStyle name="Total 2 2 8 3" xfId="5935" xr:uid="{00000000-0005-0000-0000-00004CB30000}"/>
    <cellStyle name="Total 2 2 8 4" xfId="10293" xr:uid="{00000000-0005-0000-0000-00004DB30000}"/>
    <cellStyle name="Total 2 2 8 5" xfId="14140" xr:uid="{00000000-0005-0000-0000-00004EB30000}"/>
    <cellStyle name="Total 2 2 8 6" xfId="17969" xr:uid="{00000000-0005-0000-0000-00004FB30000}"/>
    <cellStyle name="Total 2 2 8 7" xfId="21908" xr:uid="{00000000-0005-0000-0000-000050B30000}"/>
    <cellStyle name="Total 2 2 8 8" xfId="25721" xr:uid="{00000000-0005-0000-0000-000051B30000}"/>
    <cellStyle name="Total 2 2 8 9" xfId="29608" xr:uid="{00000000-0005-0000-0000-000052B30000}"/>
    <cellStyle name="Total 2 2 9" xfId="2050" xr:uid="{00000000-0005-0000-0000-000053B30000}"/>
    <cellStyle name="Total 2 2 9 10" xfId="33334" xr:uid="{00000000-0005-0000-0000-000054B30000}"/>
    <cellStyle name="Total 2 2 9 11" xfId="37106" xr:uid="{00000000-0005-0000-0000-000055B30000}"/>
    <cellStyle name="Total 2 2 9 12" xfId="41096" xr:uid="{00000000-0005-0000-0000-000056B30000}"/>
    <cellStyle name="Total 2 2 9 13" xfId="44925" xr:uid="{00000000-0005-0000-0000-000057B30000}"/>
    <cellStyle name="Total 2 2 9 2" xfId="4039" xr:uid="{00000000-0005-0000-0000-000058B30000}"/>
    <cellStyle name="Total 2 2 9 2 10" xfId="39090" xr:uid="{00000000-0005-0000-0000-000059B30000}"/>
    <cellStyle name="Total 2 2 9 2 11" xfId="43100" xr:uid="{00000000-0005-0000-0000-00005AB30000}"/>
    <cellStyle name="Total 2 2 9 2 12" xfId="46863" xr:uid="{00000000-0005-0000-0000-00005BB30000}"/>
    <cellStyle name="Total 2 2 9 2 2" xfId="7904" xr:uid="{00000000-0005-0000-0000-00005CB30000}"/>
    <cellStyle name="Total 2 2 9 2 3" xfId="12339" xr:uid="{00000000-0005-0000-0000-00005DB30000}"/>
    <cellStyle name="Total 2 2 9 2 4" xfId="16185" xr:uid="{00000000-0005-0000-0000-00005EB30000}"/>
    <cellStyle name="Total 2 2 9 2 5" xfId="20033" xr:uid="{00000000-0005-0000-0000-00005FB30000}"/>
    <cellStyle name="Total 2 2 9 2 6" xfId="23948" xr:uid="{00000000-0005-0000-0000-000060B30000}"/>
    <cellStyle name="Total 2 2 9 2 7" xfId="27783" xr:uid="{00000000-0005-0000-0000-000061B30000}"/>
    <cellStyle name="Total 2 2 9 2 8" xfId="31642" xr:uid="{00000000-0005-0000-0000-000062B30000}"/>
    <cellStyle name="Total 2 2 9 2 9" xfId="35301" xr:uid="{00000000-0005-0000-0000-000063B30000}"/>
    <cellStyle name="Total 2 2 9 3" xfId="5980" xr:uid="{00000000-0005-0000-0000-000064B30000}"/>
    <cellStyle name="Total 2 2 9 4" xfId="10338" xr:uid="{00000000-0005-0000-0000-000065B30000}"/>
    <cellStyle name="Total 2 2 9 5" xfId="14186" xr:uid="{00000000-0005-0000-0000-000066B30000}"/>
    <cellStyle name="Total 2 2 9 6" xfId="18016" xr:uid="{00000000-0005-0000-0000-000067B30000}"/>
    <cellStyle name="Total 2 2 9 7" xfId="21954" xr:uid="{00000000-0005-0000-0000-000068B30000}"/>
    <cellStyle name="Total 2 2 9 8" xfId="25768" xr:uid="{00000000-0005-0000-0000-000069B30000}"/>
    <cellStyle name="Total 2 2 9 9" xfId="29654" xr:uid="{00000000-0005-0000-0000-00006AB30000}"/>
    <cellStyle name="Total 2 20" xfId="8439" xr:uid="{00000000-0005-0000-0000-00006BB30000}"/>
    <cellStyle name="Total 2 21" xfId="8469" xr:uid="{00000000-0005-0000-0000-00006CB30000}"/>
    <cellStyle name="Total 2 22" xfId="14214" xr:uid="{00000000-0005-0000-0000-00006DB30000}"/>
    <cellStyle name="Total 2 23" xfId="8436" xr:uid="{00000000-0005-0000-0000-00006EB30000}"/>
    <cellStyle name="Total 2 24" xfId="39603" xr:uid="{00000000-0005-0000-0000-00006FB30000}"/>
    <cellStyle name="Total 2 25" xfId="47326" xr:uid="{00000000-0005-0000-0000-000070B30000}"/>
    <cellStyle name="Total 2 26" xfId="47415" xr:uid="{00000000-0005-0000-0000-000071B30000}"/>
    <cellStyle name="Total 2 27" xfId="47696" xr:uid="{00000000-0005-0000-0000-000072B30000}"/>
    <cellStyle name="Total 2 3" xfId="587" xr:uid="{00000000-0005-0000-0000-000073B30000}"/>
    <cellStyle name="Total 2 3 10" xfId="8779" xr:uid="{00000000-0005-0000-0000-000074B30000}"/>
    <cellStyle name="Total 2 3 11" xfId="21892" xr:uid="{00000000-0005-0000-0000-000075B30000}"/>
    <cellStyle name="Total 2 3 12" xfId="28275" xr:uid="{00000000-0005-0000-0000-000076B30000}"/>
    <cellStyle name="Total 2 3 13" xfId="8458" xr:uid="{00000000-0005-0000-0000-000077B30000}"/>
    <cellStyle name="Total 2 3 14" xfId="39684" xr:uid="{00000000-0005-0000-0000-000078B30000}"/>
    <cellStyle name="Total 2 3 15" xfId="39586" xr:uid="{00000000-0005-0000-0000-000079B30000}"/>
    <cellStyle name="Total 2 3 2" xfId="967" xr:uid="{00000000-0005-0000-0000-00007AB30000}"/>
    <cellStyle name="Total 2 3 2 10" xfId="28578" xr:uid="{00000000-0005-0000-0000-00007BB30000}"/>
    <cellStyle name="Total 2 3 2 11" xfId="32268" xr:uid="{00000000-0005-0000-0000-00007CB30000}"/>
    <cellStyle name="Total 2 3 2 12" xfId="36025" xr:uid="{00000000-0005-0000-0000-00007DB30000}"/>
    <cellStyle name="Total 2 3 2 13" xfId="40032" xr:uid="{00000000-0005-0000-0000-00007EB30000}"/>
    <cellStyle name="Total 2 3 2 14" xfId="43851" xr:uid="{00000000-0005-0000-0000-00007FB30000}"/>
    <cellStyle name="Total 2 3 2 2" xfId="1698" xr:uid="{00000000-0005-0000-0000-000080B30000}"/>
    <cellStyle name="Total 2 3 2 2 10" xfId="32985" xr:uid="{00000000-0005-0000-0000-000081B30000}"/>
    <cellStyle name="Total 2 3 2 2 11" xfId="36755" xr:uid="{00000000-0005-0000-0000-000082B30000}"/>
    <cellStyle name="Total 2 3 2 2 12" xfId="40746" xr:uid="{00000000-0005-0000-0000-000083B30000}"/>
    <cellStyle name="Total 2 3 2 2 13" xfId="44577" xr:uid="{00000000-0005-0000-0000-000084B30000}"/>
    <cellStyle name="Total 2 3 2 2 2" xfId="3688" xr:uid="{00000000-0005-0000-0000-000085B30000}"/>
    <cellStyle name="Total 2 3 2 2 2 10" xfId="38739" xr:uid="{00000000-0005-0000-0000-000086B30000}"/>
    <cellStyle name="Total 2 3 2 2 2 11" xfId="42750" xr:uid="{00000000-0005-0000-0000-000087B30000}"/>
    <cellStyle name="Total 2 3 2 2 2 12" xfId="46515" xr:uid="{00000000-0005-0000-0000-000088B30000}"/>
    <cellStyle name="Total 2 3 2 2 2 2" xfId="7555" xr:uid="{00000000-0005-0000-0000-000089B30000}"/>
    <cellStyle name="Total 2 3 2 2 2 3" xfId="11990" xr:uid="{00000000-0005-0000-0000-00008AB30000}"/>
    <cellStyle name="Total 2 3 2 2 2 4" xfId="15835" xr:uid="{00000000-0005-0000-0000-00008BB30000}"/>
    <cellStyle name="Total 2 3 2 2 2 5" xfId="19682" xr:uid="{00000000-0005-0000-0000-00008CB30000}"/>
    <cellStyle name="Total 2 3 2 2 2 6" xfId="23598" xr:uid="{00000000-0005-0000-0000-00008DB30000}"/>
    <cellStyle name="Total 2 3 2 2 2 7" xfId="27432" xr:uid="{00000000-0005-0000-0000-00008EB30000}"/>
    <cellStyle name="Total 2 3 2 2 2 8" xfId="31296" xr:uid="{00000000-0005-0000-0000-00008FB30000}"/>
    <cellStyle name="Total 2 3 2 2 2 9" xfId="34953" xr:uid="{00000000-0005-0000-0000-000090B30000}"/>
    <cellStyle name="Total 2 3 2 2 3" xfId="5631" xr:uid="{00000000-0005-0000-0000-000091B30000}"/>
    <cellStyle name="Total 2 3 2 2 4" xfId="9989" xr:uid="{00000000-0005-0000-0000-000092B30000}"/>
    <cellStyle name="Total 2 3 2 2 5" xfId="13835" xr:uid="{00000000-0005-0000-0000-000093B30000}"/>
    <cellStyle name="Total 2 3 2 2 6" xfId="17664" xr:uid="{00000000-0005-0000-0000-000094B30000}"/>
    <cellStyle name="Total 2 3 2 2 7" xfId="21603" xr:uid="{00000000-0005-0000-0000-000095B30000}"/>
    <cellStyle name="Total 2 3 2 2 8" xfId="25416" xr:uid="{00000000-0005-0000-0000-000096B30000}"/>
    <cellStyle name="Total 2 3 2 2 9" xfId="29303" xr:uid="{00000000-0005-0000-0000-000097B30000}"/>
    <cellStyle name="Total 2 3 2 3" xfId="2957" xr:uid="{00000000-0005-0000-0000-000098B30000}"/>
    <cellStyle name="Total 2 3 2 3 10" xfId="38009" xr:uid="{00000000-0005-0000-0000-000099B30000}"/>
    <cellStyle name="Total 2 3 2 3 11" xfId="42021" xr:uid="{00000000-0005-0000-0000-00009AB30000}"/>
    <cellStyle name="Total 2 3 2 3 12" xfId="45798" xr:uid="{00000000-0005-0000-0000-00009BB30000}"/>
    <cellStyle name="Total 2 3 2 3 2" xfId="6837" xr:uid="{00000000-0005-0000-0000-00009CB30000}"/>
    <cellStyle name="Total 2 3 2 3 3" xfId="11264" xr:uid="{00000000-0005-0000-0000-00009DB30000}"/>
    <cellStyle name="Total 2 3 2 3 4" xfId="15109" xr:uid="{00000000-0005-0000-0000-00009EB30000}"/>
    <cellStyle name="Total 2 3 2 3 5" xfId="18951" xr:uid="{00000000-0005-0000-0000-00009FB30000}"/>
    <cellStyle name="Total 2 3 2 3 6" xfId="22877" xr:uid="{00000000-0005-0000-0000-0000A0B30000}"/>
    <cellStyle name="Total 2 3 2 3 7" xfId="26702" xr:uid="{00000000-0005-0000-0000-0000A1B30000}"/>
    <cellStyle name="Total 2 3 2 3 8" xfId="30576" xr:uid="{00000000-0005-0000-0000-0000A2B30000}"/>
    <cellStyle name="Total 2 3 2 3 9" xfId="34236" xr:uid="{00000000-0005-0000-0000-0000A3B30000}"/>
    <cellStyle name="Total 2 3 2 4" xfId="4913" xr:uid="{00000000-0005-0000-0000-0000A4B30000}"/>
    <cellStyle name="Total 2 3 2 5" xfId="9267" xr:uid="{00000000-0005-0000-0000-0000A5B30000}"/>
    <cellStyle name="Total 2 3 2 6" xfId="13108" xr:uid="{00000000-0005-0000-0000-0000A6B30000}"/>
    <cellStyle name="Total 2 3 2 7" xfId="16933" xr:uid="{00000000-0005-0000-0000-0000A7B30000}"/>
    <cellStyle name="Total 2 3 2 8" xfId="20875" xr:uid="{00000000-0005-0000-0000-0000A8B30000}"/>
    <cellStyle name="Total 2 3 2 9" xfId="24691" xr:uid="{00000000-0005-0000-0000-0000A9B30000}"/>
    <cellStyle name="Total 2 3 3" xfId="1345" xr:uid="{00000000-0005-0000-0000-0000AAB30000}"/>
    <cellStyle name="Total 2 3 3 10" xfId="32632" xr:uid="{00000000-0005-0000-0000-0000ABB30000}"/>
    <cellStyle name="Total 2 3 3 11" xfId="36402" xr:uid="{00000000-0005-0000-0000-0000ACB30000}"/>
    <cellStyle name="Total 2 3 3 12" xfId="40393" xr:uid="{00000000-0005-0000-0000-0000ADB30000}"/>
    <cellStyle name="Total 2 3 3 13" xfId="44224" xr:uid="{00000000-0005-0000-0000-0000AEB30000}"/>
    <cellStyle name="Total 2 3 3 2" xfId="3335" xr:uid="{00000000-0005-0000-0000-0000AFB30000}"/>
    <cellStyle name="Total 2 3 3 2 10" xfId="38386" xr:uid="{00000000-0005-0000-0000-0000B0B30000}"/>
    <cellStyle name="Total 2 3 3 2 11" xfId="42397" xr:uid="{00000000-0005-0000-0000-0000B1B30000}"/>
    <cellStyle name="Total 2 3 3 2 12" xfId="46162" xr:uid="{00000000-0005-0000-0000-0000B2B30000}"/>
    <cellStyle name="Total 2 3 3 2 2" xfId="7202" xr:uid="{00000000-0005-0000-0000-0000B3B30000}"/>
    <cellStyle name="Total 2 3 3 2 3" xfId="11637" xr:uid="{00000000-0005-0000-0000-0000B4B30000}"/>
    <cellStyle name="Total 2 3 3 2 4" xfId="15482" xr:uid="{00000000-0005-0000-0000-0000B5B30000}"/>
    <cellStyle name="Total 2 3 3 2 5" xfId="19329" xr:uid="{00000000-0005-0000-0000-0000B6B30000}"/>
    <cellStyle name="Total 2 3 3 2 6" xfId="23245" xr:uid="{00000000-0005-0000-0000-0000B7B30000}"/>
    <cellStyle name="Total 2 3 3 2 7" xfId="27079" xr:uid="{00000000-0005-0000-0000-0000B8B30000}"/>
    <cellStyle name="Total 2 3 3 2 8" xfId="30947" xr:uid="{00000000-0005-0000-0000-0000B9B30000}"/>
    <cellStyle name="Total 2 3 3 2 9" xfId="34600" xr:uid="{00000000-0005-0000-0000-0000BAB30000}"/>
    <cellStyle name="Total 2 3 3 3" xfId="5278" xr:uid="{00000000-0005-0000-0000-0000BBB30000}"/>
    <cellStyle name="Total 2 3 3 4" xfId="9636" xr:uid="{00000000-0005-0000-0000-0000BCB30000}"/>
    <cellStyle name="Total 2 3 3 5" xfId="13482" xr:uid="{00000000-0005-0000-0000-0000BDB30000}"/>
    <cellStyle name="Total 2 3 3 6" xfId="17311" xr:uid="{00000000-0005-0000-0000-0000BEB30000}"/>
    <cellStyle name="Total 2 3 3 7" xfId="21250" xr:uid="{00000000-0005-0000-0000-0000BFB30000}"/>
    <cellStyle name="Total 2 3 3 8" xfId="25063" xr:uid="{00000000-0005-0000-0000-0000C0B30000}"/>
    <cellStyle name="Total 2 3 3 9" xfId="28950" xr:uid="{00000000-0005-0000-0000-0000C1B30000}"/>
    <cellStyle name="Total 2 3 4" xfId="2590" xr:uid="{00000000-0005-0000-0000-0000C2B30000}"/>
    <cellStyle name="Total 2 3 4 10" xfId="37642" xr:uid="{00000000-0005-0000-0000-0000C3B30000}"/>
    <cellStyle name="Total 2 3 4 11" xfId="41656" xr:uid="{00000000-0005-0000-0000-0000C4B30000}"/>
    <cellStyle name="Total 2 3 4 12" xfId="45445" xr:uid="{00000000-0005-0000-0000-0000C5B30000}"/>
    <cellStyle name="Total 2 3 4 2" xfId="6482" xr:uid="{00000000-0005-0000-0000-0000C6B30000}"/>
    <cellStyle name="Total 2 3 4 3" xfId="10905" xr:uid="{00000000-0005-0000-0000-0000C7B30000}"/>
    <cellStyle name="Total 2 3 4 4" xfId="14749" xr:uid="{00000000-0005-0000-0000-0000C8B30000}"/>
    <cellStyle name="Total 2 3 4 5" xfId="18584" xr:uid="{00000000-0005-0000-0000-0000C9B30000}"/>
    <cellStyle name="Total 2 3 4 6" xfId="22519" xr:uid="{00000000-0005-0000-0000-0000CAB30000}"/>
    <cellStyle name="Total 2 3 4 7" xfId="26335" xr:uid="{00000000-0005-0000-0000-0000CBB30000}"/>
    <cellStyle name="Total 2 3 4 8" xfId="30214" xr:uid="{00000000-0005-0000-0000-0000CCB30000}"/>
    <cellStyle name="Total 2 3 4 9" xfId="33883" xr:uid="{00000000-0005-0000-0000-0000CDB30000}"/>
    <cellStyle name="Total 2 3 5" xfId="4558" xr:uid="{00000000-0005-0000-0000-0000CEB30000}"/>
    <cellStyle name="Total 2 3 6" xfId="8897" xr:uid="{00000000-0005-0000-0000-0000CFB30000}"/>
    <cellStyle name="Total 2 3 7" xfId="8678" xr:uid="{00000000-0005-0000-0000-0000D0B30000}"/>
    <cellStyle name="Total 2 3 8" xfId="8746" xr:uid="{00000000-0005-0000-0000-0000D1B30000}"/>
    <cellStyle name="Total 2 3 9" xfId="20500" xr:uid="{00000000-0005-0000-0000-0000D2B30000}"/>
    <cellStyle name="Total 2 4" xfId="759" xr:uid="{00000000-0005-0000-0000-0000D3B30000}"/>
    <cellStyle name="Total 2 4 10" xfId="24488" xr:uid="{00000000-0005-0000-0000-0000D4B30000}"/>
    <cellStyle name="Total 2 4 11" xfId="28378" xr:uid="{00000000-0005-0000-0000-0000D5B30000}"/>
    <cellStyle name="Total 2 4 12" xfId="29698" xr:uid="{00000000-0005-0000-0000-0000D6B30000}"/>
    <cellStyle name="Total 2 4 13" xfId="35823" xr:uid="{00000000-0005-0000-0000-0000D7B30000}"/>
    <cellStyle name="Total 2 4 14" xfId="39842" xr:uid="{00000000-0005-0000-0000-0000D8B30000}"/>
    <cellStyle name="Total 2 4 15" xfId="43649" xr:uid="{00000000-0005-0000-0000-0000D9B30000}"/>
    <cellStyle name="Total 2 4 2" xfId="1129" xr:uid="{00000000-0005-0000-0000-0000DAB30000}"/>
    <cellStyle name="Total 2 4 2 10" xfId="28738" xr:uid="{00000000-0005-0000-0000-0000DBB30000}"/>
    <cellStyle name="Total 2 4 2 11" xfId="32426" xr:uid="{00000000-0005-0000-0000-0000DCB30000}"/>
    <cellStyle name="Total 2 4 2 12" xfId="36187" xr:uid="{00000000-0005-0000-0000-0000DDB30000}"/>
    <cellStyle name="Total 2 4 2 13" xfId="40188" xr:uid="{00000000-0005-0000-0000-0000DEB30000}"/>
    <cellStyle name="Total 2 4 2 14" xfId="44013" xr:uid="{00000000-0005-0000-0000-0000DFB30000}"/>
    <cellStyle name="Total 2 4 2 2" xfId="1856" xr:uid="{00000000-0005-0000-0000-0000E0B30000}"/>
    <cellStyle name="Total 2 4 2 2 10" xfId="33143" xr:uid="{00000000-0005-0000-0000-0000E1B30000}"/>
    <cellStyle name="Total 2 4 2 2 11" xfId="36913" xr:uid="{00000000-0005-0000-0000-0000E2B30000}"/>
    <cellStyle name="Total 2 4 2 2 12" xfId="40904" xr:uid="{00000000-0005-0000-0000-0000E3B30000}"/>
    <cellStyle name="Total 2 4 2 2 13" xfId="44735" xr:uid="{00000000-0005-0000-0000-0000E4B30000}"/>
    <cellStyle name="Total 2 4 2 2 2" xfId="3846" xr:uid="{00000000-0005-0000-0000-0000E5B30000}"/>
    <cellStyle name="Total 2 4 2 2 2 10" xfId="38897" xr:uid="{00000000-0005-0000-0000-0000E6B30000}"/>
    <cellStyle name="Total 2 4 2 2 2 11" xfId="42908" xr:uid="{00000000-0005-0000-0000-0000E7B30000}"/>
    <cellStyle name="Total 2 4 2 2 2 12" xfId="46673" xr:uid="{00000000-0005-0000-0000-0000E8B30000}"/>
    <cellStyle name="Total 2 4 2 2 2 2" xfId="7713" xr:uid="{00000000-0005-0000-0000-0000E9B30000}"/>
    <cellStyle name="Total 2 4 2 2 2 3" xfId="12148" xr:uid="{00000000-0005-0000-0000-0000EAB30000}"/>
    <cellStyle name="Total 2 4 2 2 2 4" xfId="15993" xr:uid="{00000000-0005-0000-0000-0000EBB30000}"/>
    <cellStyle name="Total 2 4 2 2 2 5" xfId="19840" xr:uid="{00000000-0005-0000-0000-0000ECB30000}"/>
    <cellStyle name="Total 2 4 2 2 2 6" xfId="23756" xr:uid="{00000000-0005-0000-0000-0000EDB30000}"/>
    <cellStyle name="Total 2 4 2 2 2 7" xfId="27590" xr:uid="{00000000-0005-0000-0000-0000EEB30000}"/>
    <cellStyle name="Total 2 4 2 2 2 8" xfId="31453" xr:uid="{00000000-0005-0000-0000-0000EFB30000}"/>
    <cellStyle name="Total 2 4 2 2 2 9" xfId="35111" xr:uid="{00000000-0005-0000-0000-0000F0B30000}"/>
    <cellStyle name="Total 2 4 2 2 3" xfId="5789" xr:uid="{00000000-0005-0000-0000-0000F1B30000}"/>
    <cellStyle name="Total 2 4 2 2 4" xfId="10147" xr:uid="{00000000-0005-0000-0000-0000F2B30000}"/>
    <cellStyle name="Total 2 4 2 2 5" xfId="13993" xr:uid="{00000000-0005-0000-0000-0000F3B30000}"/>
    <cellStyle name="Total 2 4 2 2 6" xfId="17822" xr:uid="{00000000-0005-0000-0000-0000F4B30000}"/>
    <cellStyle name="Total 2 4 2 2 7" xfId="21761" xr:uid="{00000000-0005-0000-0000-0000F5B30000}"/>
    <cellStyle name="Total 2 4 2 2 8" xfId="25574" xr:uid="{00000000-0005-0000-0000-0000F6B30000}"/>
    <cellStyle name="Total 2 4 2 2 9" xfId="29461" xr:uid="{00000000-0005-0000-0000-0000F7B30000}"/>
    <cellStyle name="Total 2 4 2 3" xfId="3119" xr:uid="{00000000-0005-0000-0000-0000F8B30000}"/>
    <cellStyle name="Total 2 4 2 3 10" xfId="38171" xr:uid="{00000000-0005-0000-0000-0000F9B30000}"/>
    <cellStyle name="Total 2 4 2 3 11" xfId="42183" xr:uid="{00000000-0005-0000-0000-0000FAB30000}"/>
    <cellStyle name="Total 2 4 2 3 12" xfId="45956" xr:uid="{00000000-0005-0000-0000-0000FBB30000}"/>
    <cellStyle name="Total 2 4 2 3 2" xfId="6995" xr:uid="{00000000-0005-0000-0000-0000FCB30000}"/>
    <cellStyle name="Total 2 4 2 3 3" xfId="11424" xr:uid="{00000000-0005-0000-0000-0000FDB30000}"/>
    <cellStyle name="Total 2 4 2 3 4" xfId="15268" xr:uid="{00000000-0005-0000-0000-0000FEB30000}"/>
    <cellStyle name="Total 2 4 2 3 5" xfId="19113" xr:uid="{00000000-0005-0000-0000-0000FFB30000}"/>
    <cellStyle name="Total 2 4 2 3 6" xfId="23035" xr:uid="{00000000-0005-0000-0000-000000B40000}"/>
    <cellStyle name="Total 2 4 2 3 7" xfId="26864" xr:uid="{00000000-0005-0000-0000-000001B40000}"/>
    <cellStyle name="Total 2 4 2 3 8" xfId="30736" xr:uid="{00000000-0005-0000-0000-000002B40000}"/>
    <cellStyle name="Total 2 4 2 3 9" xfId="34394" xr:uid="{00000000-0005-0000-0000-000003B40000}"/>
    <cellStyle name="Total 2 4 2 4" xfId="5071" xr:uid="{00000000-0005-0000-0000-000004B40000}"/>
    <cellStyle name="Total 2 4 2 5" xfId="9427" xr:uid="{00000000-0005-0000-0000-000005B40000}"/>
    <cellStyle name="Total 2 4 2 6" xfId="13267" xr:uid="{00000000-0005-0000-0000-000006B40000}"/>
    <cellStyle name="Total 2 4 2 7" xfId="17095" xr:uid="{00000000-0005-0000-0000-000007B40000}"/>
    <cellStyle name="Total 2 4 2 8" xfId="21037" xr:uid="{00000000-0005-0000-0000-000008B40000}"/>
    <cellStyle name="Total 2 4 2 9" xfId="24851" xr:uid="{00000000-0005-0000-0000-000009B40000}"/>
    <cellStyle name="Total 2 4 3" xfId="1503" xr:uid="{00000000-0005-0000-0000-00000AB40000}"/>
    <cellStyle name="Total 2 4 3 10" xfId="32790" xr:uid="{00000000-0005-0000-0000-00000BB40000}"/>
    <cellStyle name="Total 2 4 3 11" xfId="36560" xr:uid="{00000000-0005-0000-0000-00000CB40000}"/>
    <cellStyle name="Total 2 4 3 12" xfId="40551" xr:uid="{00000000-0005-0000-0000-00000DB40000}"/>
    <cellStyle name="Total 2 4 3 13" xfId="44382" xr:uid="{00000000-0005-0000-0000-00000EB40000}"/>
    <cellStyle name="Total 2 4 3 2" xfId="3493" xr:uid="{00000000-0005-0000-0000-00000FB40000}"/>
    <cellStyle name="Total 2 4 3 2 10" xfId="38544" xr:uid="{00000000-0005-0000-0000-000010B40000}"/>
    <cellStyle name="Total 2 4 3 2 11" xfId="42555" xr:uid="{00000000-0005-0000-0000-000011B40000}"/>
    <cellStyle name="Total 2 4 3 2 12" xfId="46320" xr:uid="{00000000-0005-0000-0000-000012B40000}"/>
    <cellStyle name="Total 2 4 3 2 2" xfId="7360" xr:uid="{00000000-0005-0000-0000-000013B40000}"/>
    <cellStyle name="Total 2 4 3 2 3" xfId="11795" xr:uid="{00000000-0005-0000-0000-000014B40000}"/>
    <cellStyle name="Total 2 4 3 2 4" xfId="15640" xr:uid="{00000000-0005-0000-0000-000015B40000}"/>
    <cellStyle name="Total 2 4 3 2 5" xfId="19487" xr:uid="{00000000-0005-0000-0000-000016B40000}"/>
    <cellStyle name="Total 2 4 3 2 6" xfId="23403" xr:uid="{00000000-0005-0000-0000-000017B40000}"/>
    <cellStyle name="Total 2 4 3 2 7" xfId="27237" xr:uid="{00000000-0005-0000-0000-000018B40000}"/>
    <cellStyle name="Total 2 4 3 2 8" xfId="31104" xr:uid="{00000000-0005-0000-0000-000019B40000}"/>
    <cellStyle name="Total 2 4 3 2 9" xfId="34758" xr:uid="{00000000-0005-0000-0000-00001AB40000}"/>
    <cellStyle name="Total 2 4 3 3" xfId="5436" xr:uid="{00000000-0005-0000-0000-00001BB40000}"/>
    <cellStyle name="Total 2 4 3 4" xfId="9794" xr:uid="{00000000-0005-0000-0000-00001CB40000}"/>
    <cellStyle name="Total 2 4 3 5" xfId="13640" xr:uid="{00000000-0005-0000-0000-00001DB40000}"/>
    <cellStyle name="Total 2 4 3 6" xfId="17469" xr:uid="{00000000-0005-0000-0000-00001EB40000}"/>
    <cellStyle name="Total 2 4 3 7" xfId="21408" xr:uid="{00000000-0005-0000-0000-00001FB40000}"/>
    <cellStyle name="Total 2 4 3 8" xfId="25221" xr:uid="{00000000-0005-0000-0000-000020B40000}"/>
    <cellStyle name="Total 2 4 3 9" xfId="29108" xr:uid="{00000000-0005-0000-0000-000021B40000}"/>
    <cellStyle name="Total 2 4 4" xfId="2755" xr:uid="{00000000-0005-0000-0000-000022B40000}"/>
    <cellStyle name="Total 2 4 4 10" xfId="37807" xr:uid="{00000000-0005-0000-0000-000023B40000}"/>
    <cellStyle name="Total 2 4 4 11" xfId="41820" xr:uid="{00000000-0005-0000-0000-000024B40000}"/>
    <cellStyle name="Total 2 4 4 12" xfId="45603" xr:uid="{00000000-0005-0000-0000-000025B40000}"/>
    <cellStyle name="Total 2 4 4 2" xfId="6641" xr:uid="{00000000-0005-0000-0000-000026B40000}"/>
    <cellStyle name="Total 2 4 4 3" xfId="11065" xr:uid="{00000000-0005-0000-0000-000027B40000}"/>
    <cellStyle name="Total 2 4 4 4" xfId="14910" xr:uid="{00000000-0005-0000-0000-000028B40000}"/>
    <cellStyle name="Total 2 4 4 5" xfId="18749" xr:uid="{00000000-0005-0000-0000-000029B40000}"/>
    <cellStyle name="Total 2 4 4 6" xfId="22679" xr:uid="{00000000-0005-0000-0000-00002AB40000}"/>
    <cellStyle name="Total 2 4 4 7" xfId="26500" xr:uid="{00000000-0005-0000-0000-00002BB40000}"/>
    <cellStyle name="Total 2 4 4 8" xfId="30378" xr:uid="{00000000-0005-0000-0000-00002CB40000}"/>
    <cellStyle name="Total 2 4 4 9" xfId="34041" xr:uid="{00000000-0005-0000-0000-00002DB40000}"/>
    <cellStyle name="Total 2 4 5" xfId="4717" xr:uid="{00000000-0005-0000-0000-00002EB40000}"/>
    <cellStyle name="Total 2 4 6" xfId="9064" xr:uid="{00000000-0005-0000-0000-00002FB40000}"/>
    <cellStyle name="Total 2 4 7" xfId="12903" xr:uid="{00000000-0005-0000-0000-000030B40000}"/>
    <cellStyle name="Total 2 4 8" xfId="16729" xr:uid="{00000000-0005-0000-0000-000031B40000}"/>
    <cellStyle name="Total 2 4 9" xfId="20668" xr:uid="{00000000-0005-0000-0000-000032B40000}"/>
    <cellStyle name="Total 2 5" xfId="777" xr:uid="{00000000-0005-0000-0000-000033B40000}"/>
    <cellStyle name="Total 2 5 10" xfId="24505" xr:uid="{00000000-0005-0000-0000-000034B40000}"/>
    <cellStyle name="Total 2 5 11" xfId="28393" xr:uid="{00000000-0005-0000-0000-000035B40000}"/>
    <cellStyle name="Total 2 5 12" xfId="29697" xr:uid="{00000000-0005-0000-0000-000036B40000}"/>
    <cellStyle name="Total 2 5 13" xfId="35837" xr:uid="{00000000-0005-0000-0000-000037B40000}"/>
    <cellStyle name="Total 2 5 14" xfId="39856" xr:uid="{00000000-0005-0000-0000-000038B40000}"/>
    <cellStyle name="Total 2 5 15" xfId="43663" xr:uid="{00000000-0005-0000-0000-000039B40000}"/>
    <cellStyle name="Total 2 5 2" xfId="1143" xr:uid="{00000000-0005-0000-0000-00003AB40000}"/>
    <cellStyle name="Total 2 5 2 10" xfId="28752" xr:uid="{00000000-0005-0000-0000-00003BB40000}"/>
    <cellStyle name="Total 2 5 2 11" xfId="32440" xr:uid="{00000000-0005-0000-0000-00003CB40000}"/>
    <cellStyle name="Total 2 5 2 12" xfId="36201" xr:uid="{00000000-0005-0000-0000-00003DB40000}"/>
    <cellStyle name="Total 2 5 2 13" xfId="40202" xr:uid="{00000000-0005-0000-0000-00003EB40000}"/>
    <cellStyle name="Total 2 5 2 14" xfId="44027" xr:uid="{00000000-0005-0000-0000-00003FB40000}"/>
    <cellStyle name="Total 2 5 2 2" xfId="1870" xr:uid="{00000000-0005-0000-0000-000040B40000}"/>
    <cellStyle name="Total 2 5 2 2 10" xfId="33157" xr:uid="{00000000-0005-0000-0000-000041B40000}"/>
    <cellStyle name="Total 2 5 2 2 11" xfId="36927" xr:uid="{00000000-0005-0000-0000-000042B40000}"/>
    <cellStyle name="Total 2 5 2 2 12" xfId="40918" xr:uid="{00000000-0005-0000-0000-000043B40000}"/>
    <cellStyle name="Total 2 5 2 2 13" xfId="44749" xr:uid="{00000000-0005-0000-0000-000044B40000}"/>
    <cellStyle name="Total 2 5 2 2 2" xfId="3860" xr:uid="{00000000-0005-0000-0000-000045B40000}"/>
    <cellStyle name="Total 2 5 2 2 2 10" xfId="38911" xr:uid="{00000000-0005-0000-0000-000046B40000}"/>
    <cellStyle name="Total 2 5 2 2 2 11" xfId="42922" xr:uid="{00000000-0005-0000-0000-000047B40000}"/>
    <cellStyle name="Total 2 5 2 2 2 12" xfId="46687" xr:uid="{00000000-0005-0000-0000-000048B40000}"/>
    <cellStyle name="Total 2 5 2 2 2 2" xfId="7727" xr:uid="{00000000-0005-0000-0000-000049B40000}"/>
    <cellStyle name="Total 2 5 2 2 2 3" xfId="12162" xr:uid="{00000000-0005-0000-0000-00004AB40000}"/>
    <cellStyle name="Total 2 5 2 2 2 4" xfId="16007" xr:uid="{00000000-0005-0000-0000-00004BB40000}"/>
    <cellStyle name="Total 2 5 2 2 2 5" xfId="19854" xr:uid="{00000000-0005-0000-0000-00004CB40000}"/>
    <cellStyle name="Total 2 5 2 2 2 6" xfId="23770" xr:uid="{00000000-0005-0000-0000-00004DB40000}"/>
    <cellStyle name="Total 2 5 2 2 2 7" xfId="27604" xr:uid="{00000000-0005-0000-0000-00004EB40000}"/>
    <cellStyle name="Total 2 5 2 2 2 8" xfId="31467" xr:uid="{00000000-0005-0000-0000-00004FB40000}"/>
    <cellStyle name="Total 2 5 2 2 2 9" xfId="35125" xr:uid="{00000000-0005-0000-0000-000050B40000}"/>
    <cellStyle name="Total 2 5 2 2 3" xfId="5803" xr:uid="{00000000-0005-0000-0000-000051B40000}"/>
    <cellStyle name="Total 2 5 2 2 4" xfId="10161" xr:uid="{00000000-0005-0000-0000-000052B40000}"/>
    <cellStyle name="Total 2 5 2 2 5" xfId="14007" xr:uid="{00000000-0005-0000-0000-000053B40000}"/>
    <cellStyle name="Total 2 5 2 2 6" xfId="17836" xr:uid="{00000000-0005-0000-0000-000054B40000}"/>
    <cellStyle name="Total 2 5 2 2 7" xfId="21775" xr:uid="{00000000-0005-0000-0000-000055B40000}"/>
    <cellStyle name="Total 2 5 2 2 8" xfId="25588" xr:uid="{00000000-0005-0000-0000-000056B40000}"/>
    <cellStyle name="Total 2 5 2 2 9" xfId="29475" xr:uid="{00000000-0005-0000-0000-000057B40000}"/>
    <cellStyle name="Total 2 5 2 3" xfId="3133" xr:uid="{00000000-0005-0000-0000-000058B40000}"/>
    <cellStyle name="Total 2 5 2 3 10" xfId="38185" xr:uid="{00000000-0005-0000-0000-000059B40000}"/>
    <cellStyle name="Total 2 5 2 3 11" xfId="42197" xr:uid="{00000000-0005-0000-0000-00005AB40000}"/>
    <cellStyle name="Total 2 5 2 3 12" xfId="45970" xr:uid="{00000000-0005-0000-0000-00005BB40000}"/>
    <cellStyle name="Total 2 5 2 3 2" xfId="7009" xr:uid="{00000000-0005-0000-0000-00005CB40000}"/>
    <cellStyle name="Total 2 5 2 3 3" xfId="11438" xr:uid="{00000000-0005-0000-0000-00005DB40000}"/>
    <cellStyle name="Total 2 5 2 3 4" xfId="15282" xr:uid="{00000000-0005-0000-0000-00005EB40000}"/>
    <cellStyle name="Total 2 5 2 3 5" xfId="19127" xr:uid="{00000000-0005-0000-0000-00005FB40000}"/>
    <cellStyle name="Total 2 5 2 3 6" xfId="23049" xr:uid="{00000000-0005-0000-0000-000060B40000}"/>
    <cellStyle name="Total 2 5 2 3 7" xfId="26878" xr:uid="{00000000-0005-0000-0000-000061B40000}"/>
    <cellStyle name="Total 2 5 2 3 8" xfId="30750" xr:uid="{00000000-0005-0000-0000-000062B40000}"/>
    <cellStyle name="Total 2 5 2 3 9" xfId="34408" xr:uid="{00000000-0005-0000-0000-000063B40000}"/>
    <cellStyle name="Total 2 5 2 4" xfId="5085" xr:uid="{00000000-0005-0000-0000-000064B40000}"/>
    <cellStyle name="Total 2 5 2 5" xfId="9441" xr:uid="{00000000-0005-0000-0000-000065B40000}"/>
    <cellStyle name="Total 2 5 2 6" xfId="13281" xr:uid="{00000000-0005-0000-0000-000066B40000}"/>
    <cellStyle name="Total 2 5 2 7" xfId="17109" xr:uid="{00000000-0005-0000-0000-000067B40000}"/>
    <cellStyle name="Total 2 5 2 8" xfId="21051" xr:uid="{00000000-0005-0000-0000-000068B40000}"/>
    <cellStyle name="Total 2 5 2 9" xfId="24865" xr:uid="{00000000-0005-0000-0000-000069B40000}"/>
    <cellStyle name="Total 2 5 3" xfId="1517" xr:uid="{00000000-0005-0000-0000-00006AB40000}"/>
    <cellStyle name="Total 2 5 3 10" xfId="32804" xr:uid="{00000000-0005-0000-0000-00006BB40000}"/>
    <cellStyle name="Total 2 5 3 11" xfId="36574" xr:uid="{00000000-0005-0000-0000-00006CB40000}"/>
    <cellStyle name="Total 2 5 3 12" xfId="40565" xr:uid="{00000000-0005-0000-0000-00006DB40000}"/>
    <cellStyle name="Total 2 5 3 13" xfId="44396" xr:uid="{00000000-0005-0000-0000-00006EB40000}"/>
    <cellStyle name="Total 2 5 3 2" xfId="3507" xr:uid="{00000000-0005-0000-0000-00006FB40000}"/>
    <cellStyle name="Total 2 5 3 2 10" xfId="38558" xr:uid="{00000000-0005-0000-0000-000070B40000}"/>
    <cellStyle name="Total 2 5 3 2 11" xfId="42569" xr:uid="{00000000-0005-0000-0000-000071B40000}"/>
    <cellStyle name="Total 2 5 3 2 12" xfId="46334" xr:uid="{00000000-0005-0000-0000-000072B40000}"/>
    <cellStyle name="Total 2 5 3 2 2" xfId="7374" xr:uid="{00000000-0005-0000-0000-000073B40000}"/>
    <cellStyle name="Total 2 5 3 2 3" xfId="11809" xr:uid="{00000000-0005-0000-0000-000074B40000}"/>
    <cellStyle name="Total 2 5 3 2 4" xfId="15654" xr:uid="{00000000-0005-0000-0000-000075B40000}"/>
    <cellStyle name="Total 2 5 3 2 5" xfId="19501" xr:uid="{00000000-0005-0000-0000-000076B40000}"/>
    <cellStyle name="Total 2 5 3 2 6" xfId="23417" xr:uid="{00000000-0005-0000-0000-000077B40000}"/>
    <cellStyle name="Total 2 5 3 2 7" xfId="27251" xr:uid="{00000000-0005-0000-0000-000078B40000}"/>
    <cellStyle name="Total 2 5 3 2 8" xfId="31118" xr:uid="{00000000-0005-0000-0000-000079B40000}"/>
    <cellStyle name="Total 2 5 3 2 9" xfId="34772" xr:uid="{00000000-0005-0000-0000-00007AB40000}"/>
    <cellStyle name="Total 2 5 3 3" xfId="5450" xr:uid="{00000000-0005-0000-0000-00007BB40000}"/>
    <cellStyle name="Total 2 5 3 4" xfId="9808" xr:uid="{00000000-0005-0000-0000-00007CB40000}"/>
    <cellStyle name="Total 2 5 3 5" xfId="13654" xr:uid="{00000000-0005-0000-0000-00007DB40000}"/>
    <cellStyle name="Total 2 5 3 6" xfId="17483" xr:uid="{00000000-0005-0000-0000-00007EB40000}"/>
    <cellStyle name="Total 2 5 3 7" xfId="21422" xr:uid="{00000000-0005-0000-0000-00007FB40000}"/>
    <cellStyle name="Total 2 5 3 8" xfId="25235" xr:uid="{00000000-0005-0000-0000-000080B40000}"/>
    <cellStyle name="Total 2 5 3 9" xfId="29122" xr:uid="{00000000-0005-0000-0000-000081B40000}"/>
    <cellStyle name="Total 2 5 4" xfId="2769" xr:uid="{00000000-0005-0000-0000-000082B40000}"/>
    <cellStyle name="Total 2 5 4 10" xfId="37821" xr:uid="{00000000-0005-0000-0000-000083B40000}"/>
    <cellStyle name="Total 2 5 4 11" xfId="41834" xr:uid="{00000000-0005-0000-0000-000084B40000}"/>
    <cellStyle name="Total 2 5 4 12" xfId="45617" xr:uid="{00000000-0005-0000-0000-000085B40000}"/>
    <cellStyle name="Total 2 5 4 2" xfId="6655" xr:uid="{00000000-0005-0000-0000-000086B40000}"/>
    <cellStyle name="Total 2 5 4 3" xfId="11079" xr:uid="{00000000-0005-0000-0000-000087B40000}"/>
    <cellStyle name="Total 2 5 4 4" xfId="14924" xr:uid="{00000000-0005-0000-0000-000088B40000}"/>
    <cellStyle name="Total 2 5 4 5" xfId="18763" xr:uid="{00000000-0005-0000-0000-000089B40000}"/>
    <cellStyle name="Total 2 5 4 6" xfId="22693" xr:uid="{00000000-0005-0000-0000-00008AB40000}"/>
    <cellStyle name="Total 2 5 4 7" xfId="26514" xr:uid="{00000000-0005-0000-0000-00008BB40000}"/>
    <cellStyle name="Total 2 5 4 8" xfId="30392" xr:uid="{00000000-0005-0000-0000-00008CB40000}"/>
    <cellStyle name="Total 2 5 4 9" xfId="34055" xr:uid="{00000000-0005-0000-0000-00008DB40000}"/>
    <cellStyle name="Total 2 5 5" xfId="4731" xr:uid="{00000000-0005-0000-0000-00008EB40000}"/>
    <cellStyle name="Total 2 5 6" xfId="9081" xr:uid="{00000000-0005-0000-0000-00008FB40000}"/>
    <cellStyle name="Total 2 5 7" xfId="12920" xr:uid="{00000000-0005-0000-0000-000090B40000}"/>
    <cellStyle name="Total 2 5 8" xfId="16745" xr:uid="{00000000-0005-0000-0000-000091B40000}"/>
    <cellStyle name="Total 2 5 9" xfId="20686" xr:uid="{00000000-0005-0000-0000-000092B40000}"/>
    <cellStyle name="Total 2 6" xfId="844" xr:uid="{00000000-0005-0000-0000-000093B40000}"/>
    <cellStyle name="Total 2 6 10" xfId="24568" xr:uid="{00000000-0005-0000-0000-000094B40000}"/>
    <cellStyle name="Total 2 6 11" xfId="28459" xr:uid="{00000000-0005-0000-0000-000095B40000}"/>
    <cellStyle name="Total 2 6 12" xfId="32145" xr:uid="{00000000-0005-0000-0000-000096B40000}"/>
    <cellStyle name="Total 2 6 13" xfId="35902" xr:uid="{00000000-0005-0000-0000-000097B40000}"/>
    <cellStyle name="Total 2 6 14" xfId="39913" xr:uid="{00000000-0005-0000-0000-000098B40000}"/>
    <cellStyle name="Total 2 6 15" xfId="43728" xr:uid="{00000000-0005-0000-0000-000099B40000}"/>
    <cellStyle name="Total 2 6 2" xfId="1187" xr:uid="{00000000-0005-0000-0000-00009AB40000}"/>
    <cellStyle name="Total 2 6 2 10" xfId="28796" xr:uid="{00000000-0005-0000-0000-00009BB40000}"/>
    <cellStyle name="Total 2 6 2 11" xfId="32479" xr:uid="{00000000-0005-0000-0000-00009CB40000}"/>
    <cellStyle name="Total 2 6 2 12" xfId="36245" xr:uid="{00000000-0005-0000-0000-00009DB40000}"/>
    <cellStyle name="Total 2 6 2 13" xfId="40239" xr:uid="{00000000-0005-0000-0000-00009EB40000}"/>
    <cellStyle name="Total 2 6 2 14" xfId="44071" xr:uid="{00000000-0005-0000-0000-00009FB40000}"/>
    <cellStyle name="Total 2 6 2 2" xfId="1909" xr:uid="{00000000-0005-0000-0000-0000A0B40000}"/>
    <cellStyle name="Total 2 6 2 2 10" xfId="33196" xr:uid="{00000000-0005-0000-0000-0000A1B40000}"/>
    <cellStyle name="Total 2 6 2 2 11" xfId="36966" xr:uid="{00000000-0005-0000-0000-0000A2B40000}"/>
    <cellStyle name="Total 2 6 2 2 12" xfId="40957" xr:uid="{00000000-0005-0000-0000-0000A3B40000}"/>
    <cellStyle name="Total 2 6 2 2 13" xfId="44788" xr:uid="{00000000-0005-0000-0000-0000A4B40000}"/>
    <cellStyle name="Total 2 6 2 2 2" xfId="3899" xr:uid="{00000000-0005-0000-0000-0000A5B40000}"/>
    <cellStyle name="Total 2 6 2 2 2 10" xfId="38950" xr:uid="{00000000-0005-0000-0000-0000A6B40000}"/>
    <cellStyle name="Total 2 6 2 2 2 11" xfId="42961" xr:uid="{00000000-0005-0000-0000-0000A7B40000}"/>
    <cellStyle name="Total 2 6 2 2 2 12" xfId="46726" xr:uid="{00000000-0005-0000-0000-0000A8B40000}"/>
    <cellStyle name="Total 2 6 2 2 2 2" xfId="7766" xr:uid="{00000000-0005-0000-0000-0000A9B40000}"/>
    <cellStyle name="Total 2 6 2 2 2 3" xfId="12201" xr:uid="{00000000-0005-0000-0000-0000AAB40000}"/>
    <cellStyle name="Total 2 6 2 2 2 4" xfId="16046" xr:uid="{00000000-0005-0000-0000-0000ABB40000}"/>
    <cellStyle name="Total 2 6 2 2 2 5" xfId="19893" xr:uid="{00000000-0005-0000-0000-0000ACB40000}"/>
    <cellStyle name="Total 2 6 2 2 2 6" xfId="23809" xr:uid="{00000000-0005-0000-0000-0000ADB40000}"/>
    <cellStyle name="Total 2 6 2 2 2 7" xfId="27643" xr:uid="{00000000-0005-0000-0000-0000AEB40000}"/>
    <cellStyle name="Total 2 6 2 2 2 8" xfId="31505" xr:uid="{00000000-0005-0000-0000-0000AFB40000}"/>
    <cellStyle name="Total 2 6 2 2 2 9" xfId="35164" xr:uid="{00000000-0005-0000-0000-0000B0B40000}"/>
    <cellStyle name="Total 2 6 2 2 3" xfId="5842" xr:uid="{00000000-0005-0000-0000-0000B1B40000}"/>
    <cellStyle name="Total 2 6 2 2 4" xfId="10200" xr:uid="{00000000-0005-0000-0000-0000B2B40000}"/>
    <cellStyle name="Total 2 6 2 2 5" xfId="14046" xr:uid="{00000000-0005-0000-0000-0000B3B40000}"/>
    <cellStyle name="Total 2 6 2 2 6" xfId="17875" xr:uid="{00000000-0005-0000-0000-0000B4B40000}"/>
    <cellStyle name="Total 2 6 2 2 7" xfId="21814" xr:uid="{00000000-0005-0000-0000-0000B5B40000}"/>
    <cellStyle name="Total 2 6 2 2 8" xfId="25627" xr:uid="{00000000-0005-0000-0000-0000B6B40000}"/>
    <cellStyle name="Total 2 6 2 2 9" xfId="29514" xr:uid="{00000000-0005-0000-0000-0000B7B40000}"/>
    <cellStyle name="Total 2 6 2 3" xfId="3177" xr:uid="{00000000-0005-0000-0000-0000B8B40000}"/>
    <cellStyle name="Total 2 6 2 3 10" xfId="38229" xr:uid="{00000000-0005-0000-0000-0000B9B40000}"/>
    <cellStyle name="Total 2 6 2 3 11" xfId="42240" xr:uid="{00000000-0005-0000-0000-0000BAB40000}"/>
    <cellStyle name="Total 2 6 2 3 12" xfId="46009" xr:uid="{00000000-0005-0000-0000-0000BBB40000}"/>
    <cellStyle name="Total 2 6 2 3 2" xfId="7049" xr:uid="{00000000-0005-0000-0000-0000BCB40000}"/>
    <cellStyle name="Total 2 6 2 3 3" xfId="11481" xr:uid="{00000000-0005-0000-0000-0000BDB40000}"/>
    <cellStyle name="Total 2 6 2 3 4" xfId="15325" xr:uid="{00000000-0005-0000-0000-0000BEB40000}"/>
    <cellStyle name="Total 2 6 2 3 5" xfId="19171" xr:uid="{00000000-0005-0000-0000-0000BFB40000}"/>
    <cellStyle name="Total 2 6 2 3 6" xfId="23090" xr:uid="{00000000-0005-0000-0000-0000C0B40000}"/>
    <cellStyle name="Total 2 6 2 3 7" xfId="26922" xr:uid="{00000000-0005-0000-0000-0000C1B40000}"/>
    <cellStyle name="Total 2 6 2 3 8" xfId="30793" xr:uid="{00000000-0005-0000-0000-0000C2B40000}"/>
    <cellStyle name="Total 2 6 2 3 9" xfId="34447" xr:uid="{00000000-0005-0000-0000-0000C3B40000}"/>
    <cellStyle name="Total 2 6 2 4" xfId="5125" xr:uid="{00000000-0005-0000-0000-0000C4B40000}"/>
    <cellStyle name="Total 2 6 2 5" xfId="9481" xr:uid="{00000000-0005-0000-0000-0000C5B40000}"/>
    <cellStyle name="Total 2 6 2 6" xfId="13325" xr:uid="{00000000-0005-0000-0000-0000C6B40000}"/>
    <cellStyle name="Total 2 6 2 7" xfId="17153" xr:uid="{00000000-0005-0000-0000-0000C7B40000}"/>
    <cellStyle name="Total 2 6 2 8" xfId="21095" xr:uid="{00000000-0005-0000-0000-0000C8B40000}"/>
    <cellStyle name="Total 2 6 2 9" xfId="24906" xr:uid="{00000000-0005-0000-0000-0000C9B40000}"/>
    <cellStyle name="Total 2 6 3" xfId="1575" xr:uid="{00000000-0005-0000-0000-0000CAB40000}"/>
    <cellStyle name="Total 2 6 3 10" xfId="32862" xr:uid="{00000000-0005-0000-0000-0000CBB40000}"/>
    <cellStyle name="Total 2 6 3 11" xfId="36632" xr:uid="{00000000-0005-0000-0000-0000CCB40000}"/>
    <cellStyle name="Total 2 6 3 12" xfId="40623" xr:uid="{00000000-0005-0000-0000-0000CDB40000}"/>
    <cellStyle name="Total 2 6 3 13" xfId="44454" xr:uid="{00000000-0005-0000-0000-0000CEB40000}"/>
    <cellStyle name="Total 2 6 3 2" xfId="3565" xr:uid="{00000000-0005-0000-0000-0000CFB40000}"/>
    <cellStyle name="Total 2 6 3 2 10" xfId="38616" xr:uid="{00000000-0005-0000-0000-0000D0B40000}"/>
    <cellStyle name="Total 2 6 3 2 11" xfId="42627" xr:uid="{00000000-0005-0000-0000-0000D1B40000}"/>
    <cellStyle name="Total 2 6 3 2 12" xfId="46392" xr:uid="{00000000-0005-0000-0000-0000D2B40000}"/>
    <cellStyle name="Total 2 6 3 2 2" xfId="7432" xr:uid="{00000000-0005-0000-0000-0000D3B40000}"/>
    <cellStyle name="Total 2 6 3 2 3" xfId="11867" xr:uid="{00000000-0005-0000-0000-0000D4B40000}"/>
    <cellStyle name="Total 2 6 3 2 4" xfId="15712" xr:uid="{00000000-0005-0000-0000-0000D5B40000}"/>
    <cellStyle name="Total 2 6 3 2 5" xfId="19559" xr:uid="{00000000-0005-0000-0000-0000D6B40000}"/>
    <cellStyle name="Total 2 6 3 2 6" xfId="23475" xr:uid="{00000000-0005-0000-0000-0000D7B40000}"/>
    <cellStyle name="Total 2 6 3 2 7" xfId="27309" xr:uid="{00000000-0005-0000-0000-0000D8B40000}"/>
    <cellStyle name="Total 2 6 3 2 8" xfId="31175" xr:uid="{00000000-0005-0000-0000-0000D9B40000}"/>
    <cellStyle name="Total 2 6 3 2 9" xfId="34830" xr:uid="{00000000-0005-0000-0000-0000DAB40000}"/>
    <cellStyle name="Total 2 6 3 3" xfId="5508" xr:uid="{00000000-0005-0000-0000-0000DBB40000}"/>
    <cellStyle name="Total 2 6 3 4" xfId="9866" xr:uid="{00000000-0005-0000-0000-0000DCB40000}"/>
    <cellStyle name="Total 2 6 3 5" xfId="13712" xr:uid="{00000000-0005-0000-0000-0000DDB40000}"/>
    <cellStyle name="Total 2 6 3 6" xfId="17541" xr:uid="{00000000-0005-0000-0000-0000DEB40000}"/>
    <cellStyle name="Total 2 6 3 7" xfId="21480" xr:uid="{00000000-0005-0000-0000-0000DFB40000}"/>
    <cellStyle name="Total 2 6 3 8" xfId="25293" xr:uid="{00000000-0005-0000-0000-0000E0B40000}"/>
    <cellStyle name="Total 2 6 3 9" xfId="29180" xr:uid="{00000000-0005-0000-0000-0000E1B40000}"/>
    <cellStyle name="Total 2 6 4" xfId="2834" xr:uid="{00000000-0005-0000-0000-0000E2B40000}"/>
    <cellStyle name="Total 2 6 4 10" xfId="37886" xr:uid="{00000000-0005-0000-0000-0000E3B40000}"/>
    <cellStyle name="Total 2 6 4 11" xfId="41898" xr:uid="{00000000-0005-0000-0000-0000E4B40000}"/>
    <cellStyle name="Total 2 6 4 12" xfId="45675" xr:uid="{00000000-0005-0000-0000-0000E5B40000}"/>
    <cellStyle name="Total 2 6 4 2" xfId="6714" xr:uid="{00000000-0005-0000-0000-0000E6B40000}"/>
    <cellStyle name="Total 2 6 4 3" xfId="11141" xr:uid="{00000000-0005-0000-0000-0000E7B40000}"/>
    <cellStyle name="Total 2 6 4 4" xfId="14986" xr:uid="{00000000-0005-0000-0000-0000E8B40000}"/>
    <cellStyle name="Total 2 6 4 5" xfId="18828" xr:uid="{00000000-0005-0000-0000-0000E9B40000}"/>
    <cellStyle name="Total 2 6 4 6" xfId="22754" xr:uid="{00000000-0005-0000-0000-0000EAB40000}"/>
    <cellStyle name="Total 2 6 4 7" xfId="26579" xr:uid="{00000000-0005-0000-0000-0000EBB40000}"/>
    <cellStyle name="Total 2 6 4 8" xfId="30456" xr:uid="{00000000-0005-0000-0000-0000ECB40000}"/>
    <cellStyle name="Total 2 6 4 9" xfId="34113" xr:uid="{00000000-0005-0000-0000-0000EDB40000}"/>
    <cellStyle name="Total 2 6 5" xfId="4790" xr:uid="{00000000-0005-0000-0000-0000EEB40000}"/>
    <cellStyle name="Total 2 6 6" xfId="9144" xr:uid="{00000000-0005-0000-0000-0000EFB40000}"/>
    <cellStyle name="Total 2 6 7" xfId="12985" xr:uid="{00000000-0005-0000-0000-0000F0B40000}"/>
    <cellStyle name="Total 2 6 8" xfId="16810" xr:uid="{00000000-0005-0000-0000-0000F1B40000}"/>
    <cellStyle name="Total 2 6 9" xfId="20752" xr:uid="{00000000-0005-0000-0000-0000F2B40000}"/>
    <cellStyle name="Total 2 7" xfId="837" xr:uid="{00000000-0005-0000-0000-0000F3B40000}"/>
    <cellStyle name="Total 2 7 10" xfId="28452" xr:uid="{00000000-0005-0000-0000-0000F4B40000}"/>
    <cellStyle name="Total 2 7 11" xfId="32138" xr:uid="{00000000-0005-0000-0000-0000F5B40000}"/>
    <cellStyle name="Total 2 7 12" xfId="35895" xr:uid="{00000000-0005-0000-0000-0000F6B40000}"/>
    <cellStyle name="Total 2 7 13" xfId="39906" xr:uid="{00000000-0005-0000-0000-0000F7B40000}"/>
    <cellStyle name="Total 2 7 14" xfId="43721" xr:uid="{00000000-0005-0000-0000-0000F8B40000}"/>
    <cellStyle name="Total 2 7 2" xfId="1568" xr:uid="{00000000-0005-0000-0000-0000F9B40000}"/>
    <cellStyle name="Total 2 7 2 10" xfId="32855" xr:uid="{00000000-0005-0000-0000-0000FAB40000}"/>
    <cellStyle name="Total 2 7 2 11" xfId="36625" xr:uid="{00000000-0005-0000-0000-0000FBB40000}"/>
    <cellStyle name="Total 2 7 2 12" xfId="40616" xr:uid="{00000000-0005-0000-0000-0000FCB40000}"/>
    <cellStyle name="Total 2 7 2 13" xfId="44447" xr:uid="{00000000-0005-0000-0000-0000FDB40000}"/>
    <cellStyle name="Total 2 7 2 2" xfId="3558" xr:uid="{00000000-0005-0000-0000-0000FEB40000}"/>
    <cellStyle name="Total 2 7 2 2 10" xfId="38609" xr:uid="{00000000-0005-0000-0000-0000FFB40000}"/>
    <cellStyle name="Total 2 7 2 2 11" xfId="42620" xr:uid="{00000000-0005-0000-0000-000000B50000}"/>
    <cellStyle name="Total 2 7 2 2 12" xfId="46385" xr:uid="{00000000-0005-0000-0000-000001B50000}"/>
    <cellStyle name="Total 2 7 2 2 2" xfId="7425" xr:uid="{00000000-0005-0000-0000-000002B50000}"/>
    <cellStyle name="Total 2 7 2 2 3" xfId="11860" xr:uid="{00000000-0005-0000-0000-000003B50000}"/>
    <cellStyle name="Total 2 7 2 2 4" xfId="15705" xr:uid="{00000000-0005-0000-0000-000004B50000}"/>
    <cellStyle name="Total 2 7 2 2 5" xfId="19552" xr:uid="{00000000-0005-0000-0000-000005B50000}"/>
    <cellStyle name="Total 2 7 2 2 6" xfId="23468" xr:uid="{00000000-0005-0000-0000-000006B50000}"/>
    <cellStyle name="Total 2 7 2 2 7" xfId="27302" xr:uid="{00000000-0005-0000-0000-000007B50000}"/>
    <cellStyle name="Total 2 7 2 2 8" xfId="31168" xr:uid="{00000000-0005-0000-0000-000008B50000}"/>
    <cellStyle name="Total 2 7 2 2 9" xfId="34823" xr:uid="{00000000-0005-0000-0000-000009B50000}"/>
    <cellStyle name="Total 2 7 2 3" xfId="5501" xr:uid="{00000000-0005-0000-0000-00000AB50000}"/>
    <cellStyle name="Total 2 7 2 4" xfId="9859" xr:uid="{00000000-0005-0000-0000-00000BB50000}"/>
    <cellStyle name="Total 2 7 2 5" xfId="13705" xr:uid="{00000000-0005-0000-0000-00000CB50000}"/>
    <cellStyle name="Total 2 7 2 6" xfId="17534" xr:uid="{00000000-0005-0000-0000-00000DB50000}"/>
    <cellStyle name="Total 2 7 2 7" xfId="21473" xr:uid="{00000000-0005-0000-0000-00000EB50000}"/>
    <cellStyle name="Total 2 7 2 8" xfId="25286" xr:uid="{00000000-0005-0000-0000-00000FB50000}"/>
    <cellStyle name="Total 2 7 2 9" xfId="29173" xr:uid="{00000000-0005-0000-0000-000010B50000}"/>
    <cellStyle name="Total 2 7 3" xfId="2827" xr:uid="{00000000-0005-0000-0000-000011B50000}"/>
    <cellStyle name="Total 2 7 3 10" xfId="37879" xr:uid="{00000000-0005-0000-0000-000012B50000}"/>
    <cellStyle name="Total 2 7 3 11" xfId="41891" xr:uid="{00000000-0005-0000-0000-000013B50000}"/>
    <cellStyle name="Total 2 7 3 12" xfId="45668" xr:uid="{00000000-0005-0000-0000-000014B50000}"/>
    <cellStyle name="Total 2 7 3 2" xfId="6707" xr:uid="{00000000-0005-0000-0000-000015B50000}"/>
    <cellStyle name="Total 2 7 3 3" xfId="11134" xr:uid="{00000000-0005-0000-0000-000016B50000}"/>
    <cellStyle name="Total 2 7 3 4" xfId="14979" xr:uid="{00000000-0005-0000-0000-000017B50000}"/>
    <cellStyle name="Total 2 7 3 5" xfId="18821" xr:uid="{00000000-0005-0000-0000-000018B50000}"/>
    <cellStyle name="Total 2 7 3 6" xfId="22747" xr:uid="{00000000-0005-0000-0000-000019B50000}"/>
    <cellStyle name="Total 2 7 3 7" xfId="26572" xr:uid="{00000000-0005-0000-0000-00001AB50000}"/>
    <cellStyle name="Total 2 7 3 8" xfId="30449" xr:uid="{00000000-0005-0000-0000-00001BB50000}"/>
    <cellStyle name="Total 2 7 3 9" xfId="34106" xr:uid="{00000000-0005-0000-0000-00001CB50000}"/>
    <cellStyle name="Total 2 7 4" xfId="4783" xr:uid="{00000000-0005-0000-0000-00001DB50000}"/>
    <cellStyle name="Total 2 7 5" xfId="9137" xr:uid="{00000000-0005-0000-0000-00001EB50000}"/>
    <cellStyle name="Total 2 7 6" xfId="12978" xr:uid="{00000000-0005-0000-0000-00001FB50000}"/>
    <cellStyle name="Total 2 7 7" xfId="16803" xr:uid="{00000000-0005-0000-0000-000020B50000}"/>
    <cellStyle name="Total 2 7 8" xfId="20745" xr:uid="{00000000-0005-0000-0000-000021B50000}"/>
    <cellStyle name="Total 2 7 9" xfId="24561" xr:uid="{00000000-0005-0000-0000-000022B50000}"/>
    <cellStyle name="Total 2 8" xfId="1261" xr:uid="{00000000-0005-0000-0000-000023B50000}"/>
    <cellStyle name="Total 2 8 10" xfId="32548" xr:uid="{00000000-0005-0000-0000-000024B50000}"/>
    <cellStyle name="Total 2 8 11" xfId="36318" xr:uid="{00000000-0005-0000-0000-000025B50000}"/>
    <cellStyle name="Total 2 8 12" xfId="40310" xr:uid="{00000000-0005-0000-0000-000026B50000}"/>
    <cellStyle name="Total 2 8 13" xfId="44140" xr:uid="{00000000-0005-0000-0000-000027B50000}"/>
    <cellStyle name="Total 2 8 2" xfId="3251" xr:uid="{00000000-0005-0000-0000-000028B50000}"/>
    <cellStyle name="Total 2 8 2 10" xfId="38302" xr:uid="{00000000-0005-0000-0000-000029B50000}"/>
    <cellStyle name="Total 2 8 2 11" xfId="42313" xr:uid="{00000000-0005-0000-0000-00002AB50000}"/>
    <cellStyle name="Total 2 8 2 12" xfId="46078" xr:uid="{00000000-0005-0000-0000-00002BB50000}"/>
    <cellStyle name="Total 2 8 2 2" xfId="7118" xr:uid="{00000000-0005-0000-0000-00002CB50000}"/>
    <cellStyle name="Total 2 8 2 3" xfId="11553" xr:uid="{00000000-0005-0000-0000-00002DB50000}"/>
    <cellStyle name="Total 2 8 2 4" xfId="15398" xr:uid="{00000000-0005-0000-0000-00002EB50000}"/>
    <cellStyle name="Total 2 8 2 5" xfId="19245" xr:uid="{00000000-0005-0000-0000-00002FB50000}"/>
    <cellStyle name="Total 2 8 2 6" xfId="23161" xr:uid="{00000000-0005-0000-0000-000030B50000}"/>
    <cellStyle name="Total 2 8 2 7" xfId="26995" xr:uid="{00000000-0005-0000-0000-000031B50000}"/>
    <cellStyle name="Total 2 8 2 8" xfId="30865" xr:uid="{00000000-0005-0000-0000-000032B50000}"/>
    <cellStyle name="Total 2 8 2 9" xfId="34516" xr:uid="{00000000-0005-0000-0000-000033B50000}"/>
    <cellStyle name="Total 2 8 3" xfId="5194" xr:uid="{00000000-0005-0000-0000-000034B50000}"/>
    <cellStyle name="Total 2 8 4" xfId="9552" xr:uid="{00000000-0005-0000-0000-000035B50000}"/>
    <cellStyle name="Total 2 8 5" xfId="13398" xr:uid="{00000000-0005-0000-0000-000036B50000}"/>
    <cellStyle name="Total 2 8 6" xfId="17227" xr:uid="{00000000-0005-0000-0000-000037B50000}"/>
    <cellStyle name="Total 2 8 7" xfId="21166" xr:uid="{00000000-0005-0000-0000-000038B50000}"/>
    <cellStyle name="Total 2 8 8" xfId="24979" xr:uid="{00000000-0005-0000-0000-000039B50000}"/>
    <cellStyle name="Total 2 8 9" xfId="28867" xr:uid="{00000000-0005-0000-0000-00003AB50000}"/>
    <cellStyle name="Total 2 9" xfId="2121" xr:uid="{00000000-0005-0000-0000-00003BB50000}"/>
    <cellStyle name="Total 2 9 10" xfId="33425" xr:uid="{00000000-0005-0000-0000-00003CB50000}"/>
    <cellStyle name="Total 2 9 11" xfId="37173" xr:uid="{00000000-0005-0000-0000-00003DB50000}"/>
    <cellStyle name="Total 2 9 12" xfId="41189" xr:uid="{00000000-0005-0000-0000-00003EB50000}"/>
    <cellStyle name="Total 2 9 13" xfId="44987" xr:uid="{00000000-0005-0000-0000-00003FB50000}"/>
    <cellStyle name="Total 2 9 2" xfId="4105" xr:uid="{00000000-0005-0000-0000-000040B50000}"/>
    <cellStyle name="Total 2 9 2 10" xfId="39156" xr:uid="{00000000-0005-0000-0000-000041B50000}"/>
    <cellStyle name="Total 2 9 2 11" xfId="43166" xr:uid="{00000000-0005-0000-0000-000042B50000}"/>
    <cellStyle name="Total 2 9 2 12" xfId="46925" xr:uid="{00000000-0005-0000-0000-000043B50000}"/>
    <cellStyle name="Total 2 9 2 2" xfId="7966" xr:uid="{00000000-0005-0000-0000-000044B50000}"/>
    <cellStyle name="Total 2 9 2 3" xfId="12405" xr:uid="{00000000-0005-0000-0000-000045B50000}"/>
    <cellStyle name="Total 2 9 2 4" xfId="16250" xr:uid="{00000000-0005-0000-0000-000046B50000}"/>
    <cellStyle name="Total 2 9 2 5" xfId="20099" xr:uid="{00000000-0005-0000-0000-000047B50000}"/>
    <cellStyle name="Total 2 9 2 6" xfId="24013" xr:uid="{00000000-0005-0000-0000-000048B50000}"/>
    <cellStyle name="Total 2 9 2 7" xfId="27849" xr:uid="{00000000-0005-0000-0000-000049B50000}"/>
    <cellStyle name="Total 2 9 2 8" xfId="31708" xr:uid="{00000000-0005-0000-0000-00004AB50000}"/>
    <cellStyle name="Total 2 9 2 9" xfId="35363" xr:uid="{00000000-0005-0000-0000-00004BB50000}"/>
    <cellStyle name="Total 2 9 3" xfId="6041" xr:uid="{00000000-0005-0000-0000-00004CB50000}"/>
    <cellStyle name="Total 2 9 4" xfId="10439" xr:uid="{00000000-0005-0000-0000-00004DB50000}"/>
    <cellStyle name="Total 2 9 5" xfId="14287" xr:uid="{00000000-0005-0000-0000-00004EB50000}"/>
    <cellStyle name="Total 2 9 6" xfId="18115" xr:uid="{00000000-0005-0000-0000-00004FB50000}"/>
    <cellStyle name="Total 2 9 7" xfId="22057" xr:uid="{00000000-0005-0000-0000-000050B50000}"/>
    <cellStyle name="Total 2 9 8" xfId="25866" xr:uid="{00000000-0005-0000-0000-000051B50000}"/>
    <cellStyle name="Total 2 9 9" xfId="29746" xr:uid="{00000000-0005-0000-0000-000052B50000}"/>
    <cellStyle name="Total 3" xfId="288" xr:uid="{00000000-0005-0000-0000-000053B50000}"/>
    <cellStyle name="Total 3 10" xfId="2100" xr:uid="{00000000-0005-0000-0000-000054B50000}"/>
    <cellStyle name="Total 3 10 10" xfId="33406" xr:uid="{00000000-0005-0000-0000-000055B50000}"/>
    <cellStyle name="Total 3 10 11" xfId="37152" xr:uid="{00000000-0005-0000-0000-000056B50000}"/>
    <cellStyle name="Total 3 10 12" xfId="41168" xr:uid="{00000000-0005-0000-0000-000057B50000}"/>
    <cellStyle name="Total 3 10 13" xfId="44968" xr:uid="{00000000-0005-0000-0000-000058B50000}"/>
    <cellStyle name="Total 3 10 2" xfId="4084" xr:uid="{00000000-0005-0000-0000-000059B50000}"/>
    <cellStyle name="Total 3 10 2 10" xfId="39135" xr:uid="{00000000-0005-0000-0000-00005AB50000}"/>
    <cellStyle name="Total 3 10 2 11" xfId="43145" xr:uid="{00000000-0005-0000-0000-00005BB50000}"/>
    <cellStyle name="Total 3 10 2 12" xfId="46906" xr:uid="{00000000-0005-0000-0000-00005CB50000}"/>
    <cellStyle name="Total 3 10 2 2" xfId="7947" xr:uid="{00000000-0005-0000-0000-00005DB50000}"/>
    <cellStyle name="Total 3 10 2 3" xfId="12384" xr:uid="{00000000-0005-0000-0000-00005EB50000}"/>
    <cellStyle name="Total 3 10 2 4" xfId="16229" xr:uid="{00000000-0005-0000-0000-00005FB50000}"/>
    <cellStyle name="Total 3 10 2 5" xfId="20078" xr:uid="{00000000-0005-0000-0000-000060B50000}"/>
    <cellStyle name="Total 3 10 2 6" xfId="23992" xr:uid="{00000000-0005-0000-0000-000061B50000}"/>
    <cellStyle name="Total 3 10 2 7" xfId="27828" xr:uid="{00000000-0005-0000-0000-000062B50000}"/>
    <cellStyle name="Total 3 10 2 8" xfId="31687" xr:uid="{00000000-0005-0000-0000-000063B50000}"/>
    <cellStyle name="Total 3 10 2 9" xfId="35344" xr:uid="{00000000-0005-0000-0000-000064B50000}"/>
    <cellStyle name="Total 3 10 3" xfId="6023" xr:uid="{00000000-0005-0000-0000-000065B50000}"/>
    <cellStyle name="Total 3 10 4" xfId="10419" xr:uid="{00000000-0005-0000-0000-000066B50000}"/>
    <cellStyle name="Total 3 10 5" xfId="14266" xr:uid="{00000000-0005-0000-0000-000067B50000}"/>
    <cellStyle name="Total 3 10 6" xfId="18094" xr:uid="{00000000-0005-0000-0000-000068B50000}"/>
    <cellStyle name="Total 3 10 7" xfId="22036" xr:uid="{00000000-0005-0000-0000-000069B50000}"/>
    <cellStyle name="Total 3 10 8" xfId="25845" xr:uid="{00000000-0005-0000-0000-00006AB50000}"/>
    <cellStyle name="Total 3 10 9" xfId="29725" xr:uid="{00000000-0005-0000-0000-00006BB50000}"/>
    <cellStyle name="Total 3 11" xfId="2148" xr:uid="{00000000-0005-0000-0000-00006CB50000}"/>
    <cellStyle name="Total 3 11 10" xfId="33450" xr:uid="{00000000-0005-0000-0000-00006DB50000}"/>
    <cellStyle name="Total 3 11 11" xfId="37200" xr:uid="{00000000-0005-0000-0000-00006EB50000}"/>
    <cellStyle name="Total 3 11 12" xfId="41216" xr:uid="{00000000-0005-0000-0000-00006FB50000}"/>
    <cellStyle name="Total 3 11 13" xfId="45012" xr:uid="{00000000-0005-0000-0000-000070B50000}"/>
    <cellStyle name="Total 3 11 2" xfId="4132" xr:uid="{00000000-0005-0000-0000-000071B50000}"/>
    <cellStyle name="Total 3 11 2 10" xfId="39183" xr:uid="{00000000-0005-0000-0000-000072B50000}"/>
    <cellStyle name="Total 3 11 2 11" xfId="43193" xr:uid="{00000000-0005-0000-0000-000073B50000}"/>
    <cellStyle name="Total 3 11 2 12" xfId="46950" xr:uid="{00000000-0005-0000-0000-000074B50000}"/>
    <cellStyle name="Total 3 11 2 2" xfId="7991" xr:uid="{00000000-0005-0000-0000-000075B50000}"/>
    <cellStyle name="Total 3 11 2 3" xfId="12431" xr:uid="{00000000-0005-0000-0000-000076B50000}"/>
    <cellStyle name="Total 3 11 2 4" xfId="16276" xr:uid="{00000000-0005-0000-0000-000077B50000}"/>
    <cellStyle name="Total 3 11 2 5" xfId="20126" xr:uid="{00000000-0005-0000-0000-000078B50000}"/>
    <cellStyle name="Total 3 11 2 6" xfId="24038" xr:uid="{00000000-0005-0000-0000-000079B50000}"/>
    <cellStyle name="Total 3 11 2 7" xfId="27876" xr:uid="{00000000-0005-0000-0000-00007AB50000}"/>
    <cellStyle name="Total 3 11 2 8" xfId="31735" xr:uid="{00000000-0005-0000-0000-00007BB50000}"/>
    <cellStyle name="Total 3 11 2 9" xfId="35388" xr:uid="{00000000-0005-0000-0000-00007CB50000}"/>
    <cellStyle name="Total 3 11 3" xfId="6065" xr:uid="{00000000-0005-0000-0000-00007DB50000}"/>
    <cellStyle name="Total 3 11 4" xfId="10465" xr:uid="{00000000-0005-0000-0000-00007EB50000}"/>
    <cellStyle name="Total 3 11 5" xfId="14312" xr:uid="{00000000-0005-0000-0000-00007FB50000}"/>
    <cellStyle name="Total 3 11 6" xfId="18142" xr:uid="{00000000-0005-0000-0000-000080B50000}"/>
    <cellStyle name="Total 3 11 7" xfId="22082" xr:uid="{00000000-0005-0000-0000-000081B50000}"/>
    <cellStyle name="Total 3 11 8" xfId="25893" xr:uid="{00000000-0005-0000-0000-000082B50000}"/>
    <cellStyle name="Total 3 11 9" xfId="29773" xr:uid="{00000000-0005-0000-0000-000083B50000}"/>
    <cellStyle name="Total 3 12" xfId="2102" xr:uid="{00000000-0005-0000-0000-000084B50000}"/>
    <cellStyle name="Total 3 12 10" xfId="33408" xr:uid="{00000000-0005-0000-0000-000085B50000}"/>
    <cellStyle name="Total 3 12 11" xfId="37154" xr:uid="{00000000-0005-0000-0000-000086B50000}"/>
    <cellStyle name="Total 3 12 12" xfId="41170" xr:uid="{00000000-0005-0000-0000-000087B50000}"/>
    <cellStyle name="Total 3 12 13" xfId="44970" xr:uid="{00000000-0005-0000-0000-000088B50000}"/>
    <cellStyle name="Total 3 12 2" xfId="4086" xr:uid="{00000000-0005-0000-0000-000089B50000}"/>
    <cellStyle name="Total 3 12 2 10" xfId="39137" xr:uid="{00000000-0005-0000-0000-00008AB50000}"/>
    <cellStyle name="Total 3 12 2 11" xfId="43147" xr:uid="{00000000-0005-0000-0000-00008BB50000}"/>
    <cellStyle name="Total 3 12 2 12" xfId="46908" xr:uid="{00000000-0005-0000-0000-00008CB50000}"/>
    <cellStyle name="Total 3 12 2 2" xfId="7949" xr:uid="{00000000-0005-0000-0000-00008DB50000}"/>
    <cellStyle name="Total 3 12 2 3" xfId="12386" xr:uid="{00000000-0005-0000-0000-00008EB50000}"/>
    <cellStyle name="Total 3 12 2 4" xfId="16231" xr:uid="{00000000-0005-0000-0000-00008FB50000}"/>
    <cellStyle name="Total 3 12 2 5" xfId="20080" xr:uid="{00000000-0005-0000-0000-000090B50000}"/>
    <cellStyle name="Total 3 12 2 6" xfId="23994" xr:uid="{00000000-0005-0000-0000-000091B50000}"/>
    <cellStyle name="Total 3 12 2 7" xfId="27830" xr:uid="{00000000-0005-0000-0000-000092B50000}"/>
    <cellStyle name="Total 3 12 2 8" xfId="31689" xr:uid="{00000000-0005-0000-0000-000093B50000}"/>
    <cellStyle name="Total 3 12 2 9" xfId="35346" xr:uid="{00000000-0005-0000-0000-000094B50000}"/>
    <cellStyle name="Total 3 12 3" xfId="6025" xr:uid="{00000000-0005-0000-0000-000095B50000}"/>
    <cellStyle name="Total 3 12 4" xfId="10421" xr:uid="{00000000-0005-0000-0000-000096B50000}"/>
    <cellStyle name="Total 3 12 5" xfId="14268" xr:uid="{00000000-0005-0000-0000-000097B50000}"/>
    <cellStyle name="Total 3 12 6" xfId="18096" xr:uid="{00000000-0005-0000-0000-000098B50000}"/>
    <cellStyle name="Total 3 12 7" xfId="22038" xr:uid="{00000000-0005-0000-0000-000099B50000}"/>
    <cellStyle name="Total 3 12 8" xfId="25847" xr:uid="{00000000-0005-0000-0000-00009AB50000}"/>
    <cellStyle name="Total 3 12 9" xfId="29727" xr:uid="{00000000-0005-0000-0000-00009BB50000}"/>
    <cellStyle name="Total 3 13" xfId="2088" xr:uid="{00000000-0005-0000-0000-00009CB50000}"/>
    <cellStyle name="Total 3 13 10" xfId="33395" xr:uid="{00000000-0005-0000-0000-00009DB50000}"/>
    <cellStyle name="Total 3 13 11" xfId="37140" xr:uid="{00000000-0005-0000-0000-00009EB50000}"/>
    <cellStyle name="Total 3 13 12" xfId="41156" xr:uid="{00000000-0005-0000-0000-00009FB50000}"/>
    <cellStyle name="Total 3 13 13" xfId="44957" xr:uid="{00000000-0005-0000-0000-0000A0B50000}"/>
    <cellStyle name="Total 3 13 2" xfId="4073" xr:uid="{00000000-0005-0000-0000-0000A1B50000}"/>
    <cellStyle name="Total 3 13 2 10" xfId="39124" xr:uid="{00000000-0005-0000-0000-0000A2B50000}"/>
    <cellStyle name="Total 3 13 2 11" xfId="43134" xr:uid="{00000000-0005-0000-0000-0000A3B50000}"/>
    <cellStyle name="Total 3 13 2 12" xfId="46895" xr:uid="{00000000-0005-0000-0000-0000A4B50000}"/>
    <cellStyle name="Total 3 13 2 2" xfId="7936" xr:uid="{00000000-0005-0000-0000-0000A5B50000}"/>
    <cellStyle name="Total 3 13 2 3" xfId="12373" xr:uid="{00000000-0005-0000-0000-0000A6B50000}"/>
    <cellStyle name="Total 3 13 2 4" xfId="16218" xr:uid="{00000000-0005-0000-0000-0000A7B50000}"/>
    <cellStyle name="Total 3 13 2 5" xfId="20067" xr:uid="{00000000-0005-0000-0000-0000A8B50000}"/>
    <cellStyle name="Total 3 13 2 6" xfId="23981" xr:uid="{00000000-0005-0000-0000-0000A9B50000}"/>
    <cellStyle name="Total 3 13 2 7" xfId="27817" xr:uid="{00000000-0005-0000-0000-0000AAB50000}"/>
    <cellStyle name="Total 3 13 2 8" xfId="31676" xr:uid="{00000000-0005-0000-0000-0000ABB50000}"/>
    <cellStyle name="Total 3 13 2 9" xfId="35333" xr:uid="{00000000-0005-0000-0000-0000ACB50000}"/>
    <cellStyle name="Total 3 13 3" xfId="6013" xr:uid="{00000000-0005-0000-0000-0000ADB50000}"/>
    <cellStyle name="Total 3 13 4" xfId="10407" xr:uid="{00000000-0005-0000-0000-0000AEB50000}"/>
    <cellStyle name="Total 3 13 5" xfId="14255" xr:uid="{00000000-0005-0000-0000-0000AFB50000}"/>
    <cellStyle name="Total 3 13 6" xfId="18082" xr:uid="{00000000-0005-0000-0000-0000B0B50000}"/>
    <cellStyle name="Total 3 13 7" xfId="22024" xr:uid="{00000000-0005-0000-0000-0000B1B50000}"/>
    <cellStyle name="Total 3 13 8" xfId="25833" xr:uid="{00000000-0005-0000-0000-0000B2B50000}"/>
    <cellStyle name="Total 3 13 9" xfId="29713" xr:uid="{00000000-0005-0000-0000-0000B3B50000}"/>
    <cellStyle name="Total 3 14" xfId="2138" xr:uid="{00000000-0005-0000-0000-0000B4B50000}"/>
    <cellStyle name="Total 3 14 10" xfId="33440" xr:uid="{00000000-0005-0000-0000-0000B5B50000}"/>
    <cellStyle name="Total 3 14 11" xfId="37190" xr:uid="{00000000-0005-0000-0000-0000B6B50000}"/>
    <cellStyle name="Total 3 14 12" xfId="41206" xr:uid="{00000000-0005-0000-0000-0000B7B50000}"/>
    <cellStyle name="Total 3 14 13" xfId="45002" xr:uid="{00000000-0005-0000-0000-0000B8B50000}"/>
    <cellStyle name="Total 3 14 2" xfId="4122" xr:uid="{00000000-0005-0000-0000-0000B9B50000}"/>
    <cellStyle name="Total 3 14 2 10" xfId="39173" xr:uid="{00000000-0005-0000-0000-0000BAB50000}"/>
    <cellStyle name="Total 3 14 2 11" xfId="43183" xr:uid="{00000000-0005-0000-0000-0000BBB50000}"/>
    <cellStyle name="Total 3 14 2 12" xfId="46940" xr:uid="{00000000-0005-0000-0000-0000BCB50000}"/>
    <cellStyle name="Total 3 14 2 2" xfId="7981" xr:uid="{00000000-0005-0000-0000-0000BDB50000}"/>
    <cellStyle name="Total 3 14 2 3" xfId="12421" xr:uid="{00000000-0005-0000-0000-0000BEB50000}"/>
    <cellStyle name="Total 3 14 2 4" xfId="16266" xr:uid="{00000000-0005-0000-0000-0000BFB50000}"/>
    <cellStyle name="Total 3 14 2 5" xfId="20116" xr:uid="{00000000-0005-0000-0000-0000C0B50000}"/>
    <cellStyle name="Total 3 14 2 6" xfId="24028" xr:uid="{00000000-0005-0000-0000-0000C1B50000}"/>
    <cellStyle name="Total 3 14 2 7" xfId="27866" xr:uid="{00000000-0005-0000-0000-0000C2B50000}"/>
    <cellStyle name="Total 3 14 2 8" xfId="31725" xr:uid="{00000000-0005-0000-0000-0000C3B50000}"/>
    <cellStyle name="Total 3 14 2 9" xfId="35378" xr:uid="{00000000-0005-0000-0000-0000C4B50000}"/>
    <cellStyle name="Total 3 14 3" xfId="6055" xr:uid="{00000000-0005-0000-0000-0000C5B50000}"/>
    <cellStyle name="Total 3 14 4" xfId="10455" xr:uid="{00000000-0005-0000-0000-0000C6B50000}"/>
    <cellStyle name="Total 3 14 5" xfId="14302" xr:uid="{00000000-0005-0000-0000-0000C7B50000}"/>
    <cellStyle name="Total 3 14 6" xfId="18132" xr:uid="{00000000-0005-0000-0000-0000C8B50000}"/>
    <cellStyle name="Total 3 14 7" xfId="22072" xr:uid="{00000000-0005-0000-0000-0000C9B50000}"/>
    <cellStyle name="Total 3 14 8" xfId="25883" xr:uid="{00000000-0005-0000-0000-0000CAB50000}"/>
    <cellStyle name="Total 3 14 9" xfId="29763" xr:uid="{00000000-0005-0000-0000-0000CBB50000}"/>
    <cellStyle name="Total 3 15" xfId="2524" xr:uid="{00000000-0005-0000-0000-0000CCB50000}"/>
    <cellStyle name="Total 3 15 10" xfId="37576" xr:uid="{00000000-0005-0000-0000-0000CDB50000}"/>
    <cellStyle name="Total 3 15 11" xfId="41590" xr:uid="{00000000-0005-0000-0000-0000CEB50000}"/>
    <cellStyle name="Total 3 15 12" xfId="45379" xr:uid="{00000000-0005-0000-0000-0000CFB50000}"/>
    <cellStyle name="Total 3 15 2" xfId="6416" xr:uid="{00000000-0005-0000-0000-0000D0B50000}"/>
    <cellStyle name="Total 3 15 3" xfId="10839" xr:uid="{00000000-0005-0000-0000-0000D1B50000}"/>
    <cellStyle name="Total 3 15 4" xfId="14683" xr:uid="{00000000-0005-0000-0000-0000D2B50000}"/>
    <cellStyle name="Total 3 15 5" xfId="18518" xr:uid="{00000000-0005-0000-0000-0000D3B50000}"/>
    <cellStyle name="Total 3 15 6" xfId="22453" xr:uid="{00000000-0005-0000-0000-0000D4B50000}"/>
    <cellStyle name="Total 3 15 7" xfId="26269" xr:uid="{00000000-0005-0000-0000-0000D5B50000}"/>
    <cellStyle name="Total 3 15 8" xfId="30148" xr:uid="{00000000-0005-0000-0000-0000D6B50000}"/>
    <cellStyle name="Total 3 15 9" xfId="33817" xr:uid="{00000000-0005-0000-0000-0000D7B50000}"/>
    <cellStyle name="Total 3 16" xfId="4505" xr:uid="{00000000-0005-0000-0000-0000D8B50000}"/>
    <cellStyle name="Total 3 17" xfId="4500" xr:uid="{00000000-0005-0000-0000-0000D9B50000}"/>
    <cellStyle name="Total 3 18" xfId="8557" xr:uid="{00000000-0005-0000-0000-0000DAB50000}"/>
    <cellStyle name="Total 3 19" xfId="8472" xr:uid="{00000000-0005-0000-0000-0000DBB50000}"/>
    <cellStyle name="Total 3 2" xfId="549" xr:uid="{00000000-0005-0000-0000-0000DCB50000}"/>
    <cellStyle name="Total 3 2 10" xfId="2201" xr:uid="{00000000-0005-0000-0000-0000DDB50000}"/>
    <cellStyle name="Total 3 2 10 10" xfId="33502" xr:uid="{00000000-0005-0000-0000-0000DEB50000}"/>
    <cellStyle name="Total 3 2 10 11" xfId="37253" xr:uid="{00000000-0005-0000-0000-0000DFB50000}"/>
    <cellStyle name="Total 3 2 10 12" xfId="41269" xr:uid="{00000000-0005-0000-0000-0000E0B50000}"/>
    <cellStyle name="Total 3 2 10 13" xfId="45064" xr:uid="{00000000-0005-0000-0000-0000E1B50000}"/>
    <cellStyle name="Total 3 2 10 2" xfId="4184" xr:uid="{00000000-0005-0000-0000-0000E2B50000}"/>
    <cellStyle name="Total 3 2 10 2 10" xfId="39235" xr:uid="{00000000-0005-0000-0000-0000E3B50000}"/>
    <cellStyle name="Total 3 2 10 2 11" xfId="43245" xr:uid="{00000000-0005-0000-0000-0000E4B50000}"/>
    <cellStyle name="Total 3 2 10 2 12" xfId="47002" xr:uid="{00000000-0005-0000-0000-0000E5B50000}"/>
    <cellStyle name="Total 3 2 10 2 2" xfId="8043" xr:uid="{00000000-0005-0000-0000-0000E6B50000}"/>
    <cellStyle name="Total 3 2 10 2 3" xfId="12483" xr:uid="{00000000-0005-0000-0000-0000E7B50000}"/>
    <cellStyle name="Total 3 2 10 2 4" xfId="16328" xr:uid="{00000000-0005-0000-0000-0000E8B50000}"/>
    <cellStyle name="Total 3 2 10 2 5" xfId="20178" xr:uid="{00000000-0005-0000-0000-0000E9B50000}"/>
    <cellStyle name="Total 3 2 10 2 6" xfId="24090" xr:uid="{00000000-0005-0000-0000-0000EAB50000}"/>
    <cellStyle name="Total 3 2 10 2 7" xfId="27928" xr:uid="{00000000-0005-0000-0000-0000EBB50000}"/>
    <cellStyle name="Total 3 2 10 2 8" xfId="31787" xr:uid="{00000000-0005-0000-0000-0000ECB50000}"/>
    <cellStyle name="Total 3 2 10 2 9" xfId="35440" xr:uid="{00000000-0005-0000-0000-0000EDB50000}"/>
    <cellStyle name="Total 3 2 10 3" xfId="6115" xr:uid="{00000000-0005-0000-0000-0000EEB50000}"/>
    <cellStyle name="Total 3 2 10 4" xfId="10518" xr:uid="{00000000-0005-0000-0000-0000EFB50000}"/>
    <cellStyle name="Total 3 2 10 5" xfId="14364" xr:uid="{00000000-0005-0000-0000-0000F0B50000}"/>
    <cellStyle name="Total 3 2 10 6" xfId="18195" xr:uid="{00000000-0005-0000-0000-0000F1B50000}"/>
    <cellStyle name="Total 3 2 10 7" xfId="22134" xr:uid="{00000000-0005-0000-0000-0000F2B50000}"/>
    <cellStyle name="Total 3 2 10 8" xfId="25946" xr:uid="{00000000-0005-0000-0000-0000F3B50000}"/>
    <cellStyle name="Total 3 2 10 9" xfId="29826" xr:uid="{00000000-0005-0000-0000-0000F4B50000}"/>
    <cellStyle name="Total 3 2 11" xfId="2259" xr:uid="{00000000-0005-0000-0000-0000F5B50000}"/>
    <cellStyle name="Total 3 2 11 10" xfId="33560" xr:uid="{00000000-0005-0000-0000-0000F6B50000}"/>
    <cellStyle name="Total 3 2 11 11" xfId="37311" xr:uid="{00000000-0005-0000-0000-0000F7B50000}"/>
    <cellStyle name="Total 3 2 11 12" xfId="41327" xr:uid="{00000000-0005-0000-0000-0000F8B50000}"/>
    <cellStyle name="Total 3 2 11 13" xfId="45122" xr:uid="{00000000-0005-0000-0000-0000F9B50000}"/>
    <cellStyle name="Total 3 2 11 2" xfId="4242" xr:uid="{00000000-0005-0000-0000-0000FAB50000}"/>
    <cellStyle name="Total 3 2 11 2 10" xfId="39293" xr:uid="{00000000-0005-0000-0000-0000FBB50000}"/>
    <cellStyle name="Total 3 2 11 2 11" xfId="43303" xr:uid="{00000000-0005-0000-0000-0000FCB50000}"/>
    <cellStyle name="Total 3 2 11 2 12" xfId="47060" xr:uid="{00000000-0005-0000-0000-0000FDB50000}"/>
    <cellStyle name="Total 3 2 11 2 2" xfId="8101" xr:uid="{00000000-0005-0000-0000-0000FEB50000}"/>
    <cellStyle name="Total 3 2 11 2 3" xfId="12541" xr:uid="{00000000-0005-0000-0000-0000FFB50000}"/>
    <cellStyle name="Total 3 2 11 2 4" xfId="16386" xr:uid="{00000000-0005-0000-0000-000000B60000}"/>
    <cellStyle name="Total 3 2 11 2 5" xfId="20236" xr:uid="{00000000-0005-0000-0000-000001B60000}"/>
    <cellStyle name="Total 3 2 11 2 6" xfId="24148" xr:uid="{00000000-0005-0000-0000-000002B60000}"/>
    <cellStyle name="Total 3 2 11 2 7" xfId="27986" xr:uid="{00000000-0005-0000-0000-000003B60000}"/>
    <cellStyle name="Total 3 2 11 2 8" xfId="31845" xr:uid="{00000000-0005-0000-0000-000004B60000}"/>
    <cellStyle name="Total 3 2 11 2 9" xfId="35498" xr:uid="{00000000-0005-0000-0000-000005B60000}"/>
    <cellStyle name="Total 3 2 11 3" xfId="6173" xr:uid="{00000000-0005-0000-0000-000006B60000}"/>
    <cellStyle name="Total 3 2 11 4" xfId="10576" xr:uid="{00000000-0005-0000-0000-000007B60000}"/>
    <cellStyle name="Total 3 2 11 5" xfId="14422" xr:uid="{00000000-0005-0000-0000-000008B60000}"/>
    <cellStyle name="Total 3 2 11 6" xfId="18253" xr:uid="{00000000-0005-0000-0000-000009B60000}"/>
    <cellStyle name="Total 3 2 11 7" xfId="22192" xr:uid="{00000000-0005-0000-0000-00000AB60000}"/>
    <cellStyle name="Total 3 2 11 8" xfId="26004" xr:uid="{00000000-0005-0000-0000-00000BB60000}"/>
    <cellStyle name="Total 3 2 11 9" xfId="29884" xr:uid="{00000000-0005-0000-0000-00000CB60000}"/>
    <cellStyle name="Total 3 2 12" xfId="2314" xr:uid="{00000000-0005-0000-0000-00000DB60000}"/>
    <cellStyle name="Total 3 2 12 10" xfId="33615" xr:uid="{00000000-0005-0000-0000-00000EB60000}"/>
    <cellStyle name="Total 3 2 12 11" xfId="37366" xr:uid="{00000000-0005-0000-0000-00000FB60000}"/>
    <cellStyle name="Total 3 2 12 12" xfId="41382" xr:uid="{00000000-0005-0000-0000-000010B60000}"/>
    <cellStyle name="Total 3 2 12 13" xfId="45177" xr:uid="{00000000-0005-0000-0000-000011B60000}"/>
    <cellStyle name="Total 3 2 12 2" xfId="4297" xr:uid="{00000000-0005-0000-0000-000012B60000}"/>
    <cellStyle name="Total 3 2 12 2 10" xfId="39348" xr:uid="{00000000-0005-0000-0000-000013B60000}"/>
    <cellStyle name="Total 3 2 12 2 11" xfId="43358" xr:uid="{00000000-0005-0000-0000-000014B60000}"/>
    <cellStyle name="Total 3 2 12 2 12" xfId="47115" xr:uid="{00000000-0005-0000-0000-000015B60000}"/>
    <cellStyle name="Total 3 2 12 2 2" xfId="8156" xr:uid="{00000000-0005-0000-0000-000016B60000}"/>
    <cellStyle name="Total 3 2 12 2 3" xfId="12596" xr:uid="{00000000-0005-0000-0000-000017B60000}"/>
    <cellStyle name="Total 3 2 12 2 4" xfId="16441" xr:uid="{00000000-0005-0000-0000-000018B60000}"/>
    <cellStyle name="Total 3 2 12 2 5" xfId="20291" xr:uid="{00000000-0005-0000-0000-000019B60000}"/>
    <cellStyle name="Total 3 2 12 2 6" xfId="24203" xr:uid="{00000000-0005-0000-0000-00001AB60000}"/>
    <cellStyle name="Total 3 2 12 2 7" xfId="28041" xr:uid="{00000000-0005-0000-0000-00001BB60000}"/>
    <cellStyle name="Total 3 2 12 2 8" xfId="31900" xr:uid="{00000000-0005-0000-0000-00001CB60000}"/>
    <cellStyle name="Total 3 2 12 2 9" xfId="35553" xr:uid="{00000000-0005-0000-0000-00001DB60000}"/>
    <cellStyle name="Total 3 2 12 3" xfId="6228" xr:uid="{00000000-0005-0000-0000-00001EB60000}"/>
    <cellStyle name="Total 3 2 12 4" xfId="10631" xr:uid="{00000000-0005-0000-0000-00001FB60000}"/>
    <cellStyle name="Total 3 2 12 5" xfId="14477" xr:uid="{00000000-0005-0000-0000-000020B60000}"/>
    <cellStyle name="Total 3 2 12 6" xfId="18308" xr:uid="{00000000-0005-0000-0000-000021B60000}"/>
    <cellStyle name="Total 3 2 12 7" xfId="22247" xr:uid="{00000000-0005-0000-0000-000022B60000}"/>
    <cellStyle name="Total 3 2 12 8" xfId="26059" xr:uid="{00000000-0005-0000-0000-000023B60000}"/>
    <cellStyle name="Total 3 2 12 9" xfId="29939" xr:uid="{00000000-0005-0000-0000-000024B60000}"/>
    <cellStyle name="Total 3 2 13" xfId="2381" xr:uid="{00000000-0005-0000-0000-000025B60000}"/>
    <cellStyle name="Total 3 2 13 10" xfId="33679" xr:uid="{00000000-0005-0000-0000-000026B60000}"/>
    <cellStyle name="Total 3 2 13 11" xfId="37433" xr:uid="{00000000-0005-0000-0000-000027B60000}"/>
    <cellStyle name="Total 3 2 13 12" xfId="41448" xr:uid="{00000000-0005-0000-0000-000028B60000}"/>
    <cellStyle name="Total 3 2 13 13" xfId="45241" xr:uid="{00000000-0005-0000-0000-000029B60000}"/>
    <cellStyle name="Total 3 2 13 2" xfId="4364" xr:uid="{00000000-0005-0000-0000-00002AB60000}"/>
    <cellStyle name="Total 3 2 13 2 10" xfId="39415" xr:uid="{00000000-0005-0000-0000-00002BB60000}"/>
    <cellStyle name="Total 3 2 13 2 11" xfId="43424" xr:uid="{00000000-0005-0000-0000-00002CB60000}"/>
    <cellStyle name="Total 3 2 13 2 12" xfId="47179" xr:uid="{00000000-0005-0000-0000-00002DB60000}"/>
    <cellStyle name="Total 3 2 13 2 2" xfId="8221" xr:uid="{00000000-0005-0000-0000-00002EB60000}"/>
    <cellStyle name="Total 3 2 13 2 3" xfId="12662" xr:uid="{00000000-0005-0000-0000-00002FB60000}"/>
    <cellStyle name="Total 3 2 13 2 4" xfId="16507" xr:uid="{00000000-0005-0000-0000-000030B60000}"/>
    <cellStyle name="Total 3 2 13 2 5" xfId="20358" xr:uid="{00000000-0005-0000-0000-000031B60000}"/>
    <cellStyle name="Total 3 2 13 2 6" xfId="24269" xr:uid="{00000000-0005-0000-0000-000032B60000}"/>
    <cellStyle name="Total 3 2 13 2 7" xfId="28108" xr:uid="{00000000-0005-0000-0000-000033B60000}"/>
    <cellStyle name="Total 3 2 13 2 8" xfId="31966" xr:uid="{00000000-0005-0000-0000-000034B60000}"/>
    <cellStyle name="Total 3 2 13 2 9" xfId="35617" xr:uid="{00000000-0005-0000-0000-000035B60000}"/>
    <cellStyle name="Total 3 2 13 3" xfId="6277" xr:uid="{00000000-0005-0000-0000-000036B60000}"/>
    <cellStyle name="Total 3 2 13 4" xfId="10697" xr:uid="{00000000-0005-0000-0000-000037B60000}"/>
    <cellStyle name="Total 3 2 13 5" xfId="14543" xr:uid="{00000000-0005-0000-0000-000038B60000}"/>
    <cellStyle name="Total 3 2 13 6" xfId="18375" xr:uid="{00000000-0005-0000-0000-000039B60000}"/>
    <cellStyle name="Total 3 2 13 7" xfId="22313" xr:uid="{00000000-0005-0000-0000-00003AB60000}"/>
    <cellStyle name="Total 3 2 13 8" xfId="26126" xr:uid="{00000000-0005-0000-0000-00003BB60000}"/>
    <cellStyle name="Total 3 2 13 9" xfId="30006" xr:uid="{00000000-0005-0000-0000-00003CB60000}"/>
    <cellStyle name="Total 3 2 14" xfId="2431" xr:uid="{00000000-0005-0000-0000-00003DB60000}"/>
    <cellStyle name="Total 3 2 14 10" xfId="33729" xr:uid="{00000000-0005-0000-0000-00003EB60000}"/>
    <cellStyle name="Total 3 2 14 11" xfId="37483" xr:uid="{00000000-0005-0000-0000-00003FB60000}"/>
    <cellStyle name="Total 3 2 14 12" xfId="41498" xr:uid="{00000000-0005-0000-0000-000040B60000}"/>
    <cellStyle name="Total 3 2 14 13" xfId="45291" xr:uid="{00000000-0005-0000-0000-000041B60000}"/>
    <cellStyle name="Total 3 2 14 2" xfId="4414" xr:uid="{00000000-0005-0000-0000-000042B60000}"/>
    <cellStyle name="Total 3 2 14 2 10" xfId="39465" xr:uid="{00000000-0005-0000-0000-000043B60000}"/>
    <cellStyle name="Total 3 2 14 2 11" xfId="43474" xr:uid="{00000000-0005-0000-0000-000044B60000}"/>
    <cellStyle name="Total 3 2 14 2 12" xfId="47229" xr:uid="{00000000-0005-0000-0000-000045B60000}"/>
    <cellStyle name="Total 3 2 14 2 2" xfId="8271" xr:uid="{00000000-0005-0000-0000-000046B60000}"/>
    <cellStyle name="Total 3 2 14 2 3" xfId="12712" xr:uid="{00000000-0005-0000-0000-000047B60000}"/>
    <cellStyle name="Total 3 2 14 2 4" xfId="16557" xr:uid="{00000000-0005-0000-0000-000048B60000}"/>
    <cellStyle name="Total 3 2 14 2 5" xfId="20408" xr:uid="{00000000-0005-0000-0000-000049B60000}"/>
    <cellStyle name="Total 3 2 14 2 6" xfId="24319" xr:uid="{00000000-0005-0000-0000-00004AB60000}"/>
    <cellStyle name="Total 3 2 14 2 7" xfId="28158" xr:uid="{00000000-0005-0000-0000-00004BB60000}"/>
    <cellStyle name="Total 3 2 14 2 8" xfId="32016" xr:uid="{00000000-0005-0000-0000-00004CB60000}"/>
    <cellStyle name="Total 3 2 14 2 9" xfId="35667" xr:uid="{00000000-0005-0000-0000-00004DB60000}"/>
    <cellStyle name="Total 3 2 14 3" xfId="6327" xr:uid="{00000000-0005-0000-0000-00004EB60000}"/>
    <cellStyle name="Total 3 2 14 4" xfId="10747" xr:uid="{00000000-0005-0000-0000-00004FB60000}"/>
    <cellStyle name="Total 3 2 14 5" xfId="14593" xr:uid="{00000000-0005-0000-0000-000050B60000}"/>
    <cellStyle name="Total 3 2 14 6" xfId="18425" xr:uid="{00000000-0005-0000-0000-000051B60000}"/>
    <cellStyle name="Total 3 2 14 7" xfId="22363" xr:uid="{00000000-0005-0000-0000-000052B60000}"/>
    <cellStyle name="Total 3 2 14 8" xfId="26176" xr:uid="{00000000-0005-0000-0000-000053B60000}"/>
    <cellStyle name="Total 3 2 14 9" xfId="30055" xr:uid="{00000000-0005-0000-0000-000054B60000}"/>
    <cellStyle name="Total 3 2 15" xfId="2485" xr:uid="{00000000-0005-0000-0000-000055B60000}"/>
    <cellStyle name="Total 3 2 15 10" xfId="33780" xr:uid="{00000000-0005-0000-0000-000056B60000}"/>
    <cellStyle name="Total 3 2 15 11" xfId="37537" xr:uid="{00000000-0005-0000-0000-000057B60000}"/>
    <cellStyle name="Total 3 2 15 12" xfId="41551" xr:uid="{00000000-0005-0000-0000-000058B60000}"/>
    <cellStyle name="Total 3 2 15 13" xfId="45342" xr:uid="{00000000-0005-0000-0000-000059B60000}"/>
    <cellStyle name="Total 3 2 15 2" xfId="4467" xr:uid="{00000000-0005-0000-0000-00005AB60000}"/>
    <cellStyle name="Total 3 2 15 2 10" xfId="39518" xr:uid="{00000000-0005-0000-0000-00005BB60000}"/>
    <cellStyle name="Total 3 2 15 2 11" xfId="43527" xr:uid="{00000000-0005-0000-0000-00005CB60000}"/>
    <cellStyle name="Total 3 2 15 2 12" xfId="47280" xr:uid="{00000000-0005-0000-0000-00005DB60000}"/>
    <cellStyle name="Total 3 2 15 2 2" xfId="8322" xr:uid="{00000000-0005-0000-0000-00005EB60000}"/>
    <cellStyle name="Total 3 2 15 2 3" xfId="12765" xr:uid="{00000000-0005-0000-0000-00005FB60000}"/>
    <cellStyle name="Total 3 2 15 2 4" xfId="16608" xr:uid="{00000000-0005-0000-0000-000060B60000}"/>
    <cellStyle name="Total 3 2 15 2 5" xfId="20461" xr:uid="{00000000-0005-0000-0000-000061B60000}"/>
    <cellStyle name="Total 3 2 15 2 6" xfId="24371" xr:uid="{00000000-0005-0000-0000-000062B60000}"/>
    <cellStyle name="Total 3 2 15 2 7" xfId="28211" xr:uid="{00000000-0005-0000-0000-000063B60000}"/>
    <cellStyle name="Total 3 2 15 2 8" xfId="32069" xr:uid="{00000000-0005-0000-0000-000064B60000}"/>
    <cellStyle name="Total 3 2 15 2 9" xfId="35718" xr:uid="{00000000-0005-0000-0000-000065B60000}"/>
    <cellStyle name="Total 3 2 15 3" xfId="6379" xr:uid="{00000000-0005-0000-0000-000066B60000}"/>
    <cellStyle name="Total 3 2 15 4" xfId="10800" xr:uid="{00000000-0005-0000-0000-000067B60000}"/>
    <cellStyle name="Total 3 2 15 5" xfId="14646" xr:uid="{00000000-0005-0000-0000-000068B60000}"/>
    <cellStyle name="Total 3 2 15 6" xfId="18479" xr:uid="{00000000-0005-0000-0000-000069B60000}"/>
    <cellStyle name="Total 3 2 15 7" xfId="22416" xr:uid="{00000000-0005-0000-0000-00006AB60000}"/>
    <cellStyle name="Total 3 2 15 8" xfId="26230" xr:uid="{00000000-0005-0000-0000-00006BB60000}"/>
    <cellStyle name="Total 3 2 15 9" xfId="30109" xr:uid="{00000000-0005-0000-0000-00006CB60000}"/>
    <cellStyle name="Total 3 2 16" xfId="2556" xr:uid="{00000000-0005-0000-0000-00006DB60000}"/>
    <cellStyle name="Total 3 2 16 10" xfId="37608" xr:uid="{00000000-0005-0000-0000-00006EB60000}"/>
    <cellStyle name="Total 3 2 16 11" xfId="41622" xr:uid="{00000000-0005-0000-0000-00006FB60000}"/>
    <cellStyle name="Total 3 2 16 12" xfId="45411" xr:uid="{00000000-0005-0000-0000-000070B60000}"/>
    <cellStyle name="Total 3 2 16 2" xfId="6448" xr:uid="{00000000-0005-0000-0000-000071B60000}"/>
    <cellStyle name="Total 3 2 16 3" xfId="10871" xr:uid="{00000000-0005-0000-0000-000072B60000}"/>
    <cellStyle name="Total 3 2 16 4" xfId="14715" xr:uid="{00000000-0005-0000-0000-000073B60000}"/>
    <cellStyle name="Total 3 2 16 5" xfId="18550" xr:uid="{00000000-0005-0000-0000-000074B60000}"/>
    <cellStyle name="Total 3 2 16 6" xfId="22485" xr:uid="{00000000-0005-0000-0000-000075B60000}"/>
    <cellStyle name="Total 3 2 16 7" xfId="26301" xr:uid="{00000000-0005-0000-0000-000076B60000}"/>
    <cellStyle name="Total 3 2 16 8" xfId="30180" xr:uid="{00000000-0005-0000-0000-000077B60000}"/>
    <cellStyle name="Total 3 2 16 9" xfId="33849" xr:uid="{00000000-0005-0000-0000-000078B60000}"/>
    <cellStyle name="Total 3 2 17" xfId="4524" xr:uid="{00000000-0005-0000-0000-000079B60000}"/>
    <cellStyle name="Total 3 2 18" xfId="8391" xr:uid="{00000000-0005-0000-0000-00007AB60000}"/>
    <cellStyle name="Total 3 2 19" xfId="8739" xr:uid="{00000000-0005-0000-0000-00007BB60000}"/>
    <cellStyle name="Total 3 2 2" xfId="685" xr:uid="{00000000-0005-0000-0000-00007CB60000}"/>
    <cellStyle name="Total 3 2 2 10" xfId="24419" xr:uid="{00000000-0005-0000-0000-00007DB60000}"/>
    <cellStyle name="Total 3 2 2 11" xfId="28312" xr:uid="{00000000-0005-0000-0000-00007EB60000}"/>
    <cellStyle name="Total 3 2 2 12" xfId="30638" xr:uid="{00000000-0005-0000-0000-00007FB60000}"/>
    <cellStyle name="Total 3 2 2 13" xfId="35756" xr:uid="{00000000-0005-0000-0000-000080B60000}"/>
    <cellStyle name="Total 3 2 2 14" xfId="39779" xr:uid="{00000000-0005-0000-0000-000081B60000}"/>
    <cellStyle name="Total 3 2 2 15" xfId="43582" xr:uid="{00000000-0005-0000-0000-000082B60000}"/>
    <cellStyle name="Total 3 2 2 2" xfId="1065" xr:uid="{00000000-0005-0000-0000-000083B60000}"/>
    <cellStyle name="Total 3 2 2 2 10" xfId="28676" xr:uid="{00000000-0005-0000-0000-000084B60000}"/>
    <cellStyle name="Total 3 2 2 2 11" xfId="32362" xr:uid="{00000000-0005-0000-0000-000085B60000}"/>
    <cellStyle name="Total 3 2 2 2 12" xfId="36123" xr:uid="{00000000-0005-0000-0000-000086B60000}"/>
    <cellStyle name="Total 3 2 2 2 13" xfId="40126" xr:uid="{00000000-0005-0000-0000-000087B60000}"/>
    <cellStyle name="Total 3 2 2 2 14" xfId="43949" xr:uid="{00000000-0005-0000-0000-000088B60000}"/>
    <cellStyle name="Total 3 2 2 2 2" xfId="1792" xr:uid="{00000000-0005-0000-0000-000089B60000}"/>
    <cellStyle name="Total 3 2 2 2 2 10" xfId="33079" xr:uid="{00000000-0005-0000-0000-00008AB60000}"/>
    <cellStyle name="Total 3 2 2 2 2 11" xfId="36849" xr:uid="{00000000-0005-0000-0000-00008BB60000}"/>
    <cellStyle name="Total 3 2 2 2 2 12" xfId="40840" xr:uid="{00000000-0005-0000-0000-00008CB60000}"/>
    <cellStyle name="Total 3 2 2 2 2 13" xfId="44671" xr:uid="{00000000-0005-0000-0000-00008DB60000}"/>
    <cellStyle name="Total 3 2 2 2 2 2" xfId="3782" xr:uid="{00000000-0005-0000-0000-00008EB60000}"/>
    <cellStyle name="Total 3 2 2 2 2 2 10" xfId="38833" xr:uid="{00000000-0005-0000-0000-00008FB60000}"/>
    <cellStyle name="Total 3 2 2 2 2 2 11" xfId="42844" xr:uid="{00000000-0005-0000-0000-000090B60000}"/>
    <cellStyle name="Total 3 2 2 2 2 2 12" xfId="46609" xr:uid="{00000000-0005-0000-0000-000091B60000}"/>
    <cellStyle name="Total 3 2 2 2 2 2 2" xfId="7649" xr:uid="{00000000-0005-0000-0000-000092B60000}"/>
    <cellStyle name="Total 3 2 2 2 2 2 3" xfId="12084" xr:uid="{00000000-0005-0000-0000-000093B60000}"/>
    <cellStyle name="Total 3 2 2 2 2 2 4" xfId="15929" xr:uid="{00000000-0005-0000-0000-000094B60000}"/>
    <cellStyle name="Total 3 2 2 2 2 2 5" xfId="19776" xr:uid="{00000000-0005-0000-0000-000095B60000}"/>
    <cellStyle name="Total 3 2 2 2 2 2 6" xfId="23692" xr:uid="{00000000-0005-0000-0000-000096B60000}"/>
    <cellStyle name="Total 3 2 2 2 2 2 7" xfId="27526" xr:uid="{00000000-0005-0000-0000-000097B60000}"/>
    <cellStyle name="Total 3 2 2 2 2 2 8" xfId="31390" xr:uid="{00000000-0005-0000-0000-000098B60000}"/>
    <cellStyle name="Total 3 2 2 2 2 2 9" xfId="35047" xr:uid="{00000000-0005-0000-0000-000099B60000}"/>
    <cellStyle name="Total 3 2 2 2 2 3" xfId="5725" xr:uid="{00000000-0005-0000-0000-00009AB60000}"/>
    <cellStyle name="Total 3 2 2 2 2 4" xfId="10083" xr:uid="{00000000-0005-0000-0000-00009BB60000}"/>
    <cellStyle name="Total 3 2 2 2 2 5" xfId="13929" xr:uid="{00000000-0005-0000-0000-00009CB60000}"/>
    <cellStyle name="Total 3 2 2 2 2 6" xfId="17758" xr:uid="{00000000-0005-0000-0000-00009DB60000}"/>
    <cellStyle name="Total 3 2 2 2 2 7" xfId="21697" xr:uid="{00000000-0005-0000-0000-00009EB60000}"/>
    <cellStyle name="Total 3 2 2 2 2 8" xfId="25510" xr:uid="{00000000-0005-0000-0000-00009FB60000}"/>
    <cellStyle name="Total 3 2 2 2 2 9" xfId="29397" xr:uid="{00000000-0005-0000-0000-0000A0B60000}"/>
    <cellStyle name="Total 3 2 2 2 3" xfId="3055" xr:uid="{00000000-0005-0000-0000-0000A1B60000}"/>
    <cellStyle name="Total 3 2 2 2 3 10" xfId="38107" xr:uid="{00000000-0005-0000-0000-0000A2B60000}"/>
    <cellStyle name="Total 3 2 2 2 3 11" xfId="42119" xr:uid="{00000000-0005-0000-0000-0000A3B60000}"/>
    <cellStyle name="Total 3 2 2 2 3 12" xfId="45892" xr:uid="{00000000-0005-0000-0000-0000A4B60000}"/>
    <cellStyle name="Total 3 2 2 2 3 2" xfId="6931" xr:uid="{00000000-0005-0000-0000-0000A5B60000}"/>
    <cellStyle name="Total 3 2 2 2 3 3" xfId="11360" xr:uid="{00000000-0005-0000-0000-0000A6B60000}"/>
    <cellStyle name="Total 3 2 2 2 3 4" xfId="15204" xr:uid="{00000000-0005-0000-0000-0000A7B60000}"/>
    <cellStyle name="Total 3 2 2 2 3 5" xfId="19049" xr:uid="{00000000-0005-0000-0000-0000A8B60000}"/>
    <cellStyle name="Total 3 2 2 2 3 6" xfId="22971" xr:uid="{00000000-0005-0000-0000-0000A9B60000}"/>
    <cellStyle name="Total 3 2 2 2 3 7" xfId="26800" xr:uid="{00000000-0005-0000-0000-0000AAB60000}"/>
    <cellStyle name="Total 3 2 2 2 3 8" xfId="30674" xr:uid="{00000000-0005-0000-0000-0000ABB60000}"/>
    <cellStyle name="Total 3 2 2 2 3 9" xfId="34330" xr:uid="{00000000-0005-0000-0000-0000ACB60000}"/>
    <cellStyle name="Total 3 2 2 2 4" xfId="5007" xr:uid="{00000000-0005-0000-0000-0000ADB60000}"/>
    <cellStyle name="Total 3 2 2 2 5" xfId="9363" xr:uid="{00000000-0005-0000-0000-0000AEB60000}"/>
    <cellStyle name="Total 3 2 2 2 6" xfId="13203" xr:uid="{00000000-0005-0000-0000-0000AFB60000}"/>
    <cellStyle name="Total 3 2 2 2 7" xfId="17031" xr:uid="{00000000-0005-0000-0000-0000B0B60000}"/>
    <cellStyle name="Total 3 2 2 2 8" xfId="20973" xr:uid="{00000000-0005-0000-0000-0000B1B60000}"/>
    <cellStyle name="Total 3 2 2 2 9" xfId="24787" xr:uid="{00000000-0005-0000-0000-0000B2B60000}"/>
    <cellStyle name="Total 3 2 2 3" xfId="1439" xr:uid="{00000000-0005-0000-0000-0000B3B60000}"/>
    <cellStyle name="Total 3 2 2 3 10" xfId="32726" xr:uid="{00000000-0005-0000-0000-0000B4B60000}"/>
    <cellStyle name="Total 3 2 2 3 11" xfId="36496" xr:uid="{00000000-0005-0000-0000-0000B5B60000}"/>
    <cellStyle name="Total 3 2 2 3 12" xfId="40487" xr:uid="{00000000-0005-0000-0000-0000B6B60000}"/>
    <cellStyle name="Total 3 2 2 3 13" xfId="44318" xr:uid="{00000000-0005-0000-0000-0000B7B60000}"/>
    <cellStyle name="Total 3 2 2 3 2" xfId="3429" xr:uid="{00000000-0005-0000-0000-0000B8B60000}"/>
    <cellStyle name="Total 3 2 2 3 2 10" xfId="38480" xr:uid="{00000000-0005-0000-0000-0000B9B60000}"/>
    <cellStyle name="Total 3 2 2 3 2 11" xfId="42491" xr:uid="{00000000-0005-0000-0000-0000BAB60000}"/>
    <cellStyle name="Total 3 2 2 3 2 12" xfId="46256" xr:uid="{00000000-0005-0000-0000-0000BBB60000}"/>
    <cellStyle name="Total 3 2 2 3 2 2" xfId="7296" xr:uid="{00000000-0005-0000-0000-0000BCB60000}"/>
    <cellStyle name="Total 3 2 2 3 2 3" xfId="11731" xr:uid="{00000000-0005-0000-0000-0000BDB60000}"/>
    <cellStyle name="Total 3 2 2 3 2 4" xfId="15576" xr:uid="{00000000-0005-0000-0000-0000BEB60000}"/>
    <cellStyle name="Total 3 2 2 3 2 5" xfId="19423" xr:uid="{00000000-0005-0000-0000-0000BFB60000}"/>
    <cellStyle name="Total 3 2 2 3 2 6" xfId="23339" xr:uid="{00000000-0005-0000-0000-0000C0B60000}"/>
    <cellStyle name="Total 3 2 2 3 2 7" xfId="27173" xr:uid="{00000000-0005-0000-0000-0000C1B60000}"/>
    <cellStyle name="Total 3 2 2 3 2 8" xfId="31041" xr:uid="{00000000-0005-0000-0000-0000C2B60000}"/>
    <cellStyle name="Total 3 2 2 3 2 9" xfId="34694" xr:uid="{00000000-0005-0000-0000-0000C3B60000}"/>
    <cellStyle name="Total 3 2 2 3 3" xfId="5372" xr:uid="{00000000-0005-0000-0000-0000C4B60000}"/>
    <cellStyle name="Total 3 2 2 3 4" xfId="9730" xr:uid="{00000000-0005-0000-0000-0000C5B60000}"/>
    <cellStyle name="Total 3 2 2 3 5" xfId="13576" xr:uid="{00000000-0005-0000-0000-0000C6B60000}"/>
    <cellStyle name="Total 3 2 2 3 6" xfId="17405" xr:uid="{00000000-0005-0000-0000-0000C7B60000}"/>
    <cellStyle name="Total 3 2 2 3 7" xfId="21344" xr:uid="{00000000-0005-0000-0000-0000C8B60000}"/>
    <cellStyle name="Total 3 2 2 3 8" xfId="25157" xr:uid="{00000000-0005-0000-0000-0000C9B60000}"/>
    <cellStyle name="Total 3 2 2 3 9" xfId="29044" xr:uid="{00000000-0005-0000-0000-0000CAB60000}"/>
    <cellStyle name="Total 3 2 2 4" xfId="2688" xr:uid="{00000000-0005-0000-0000-0000CBB60000}"/>
    <cellStyle name="Total 3 2 2 4 10" xfId="37740" xr:uid="{00000000-0005-0000-0000-0000CCB60000}"/>
    <cellStyle name="Total 3 2 2 4 11" xfId="41754" xr:uid="{00000000-0005-0000-0000-0000CDB60000}"/>
    <cellStyle name="Total 3 2 2 4 12" xfId="45539" xr:uid="{00000000-0005-0000-0000-0000CEB60000}"/>
    <cellStyle name="Total 3 2 2 4 2" xfId="6576" xr:uid="{00000000-0005-0000-0000-0000CFB60000}"/>
    <cellStyle name="Total 3 2 2 4 3" xfId="11000" xr:uid="{00000000-0005-0000-0000-0000D0B60000}"/>
    <cellStyle name="Total 3 2 2 4 4" xfId="14844" xr:uid="{00000000-0005-0000-0000-0000D1B60000}"/>
    <cellStyle name="Total 3 2 2 4 5" xfId="18682" xr:uid="{00000000-0005-0000-0000-0000D2B60000}"/>
    <cellStyle name="Total 3 2 2 4 6" xfId="22613" xr:uid="{00000000-0005-0000-0000-0000D3B60000}"/>
    <cellStyle name="Total 3 2 2 4 7" xfId="26433" xr:uid="{00000000-0005-0000-0000-0000D4B60000}"/>
    <cellStyle name="Total 3 2 2 4 8" xfId="30312" xr:uid="{00000000-0005-0000-0000-0000D5B60000}"/>
    <cellStyle name="Total 3 2 2 4 9" xfId="33977" xr:uid="{00000000-0005-0000-0000-0000D6B60000}"/>
    <cellStyle name="Total 3 2 2 5" xfId="4652" xr:uid="{00000000-0005-0000-0000-0000D7B60000}"/>
    <cellStyle name="Total 3 2 2 6" xfId="8994" xr:uid="{00000000-0005-0000-0000-0000D8B60000}"/>
    <cellStyle name="Total 3 2 2 7" xfId="12831" xr:uid="{00000000-0005-0000-0000-0000D9B60000}"/>
    <cellStyle name="Total 3 2 2 8" xfId="16661" xr:uid="{00000000-0005-0000-0000-0000DAB60000}"/>
    <cellStyle name="Total 3 2 2 9" xfId="20598" xr:uid="{00000000-0005-0000-0000-0000DBB60000}"/>
    <cellStyle name="Total 3 2 20" xfId="8860" xr:uid="{00000000-0005-0000-0000-0000DCB60000}"/>
    <cellStyle name="Total 3 2 21" xfId="8600" xr:uid="{00000000-0005-0000-0000-0000DDB60000}"/>
    <cellStyle name="Total 3 2 22" xfId="8630" xr:uid="{00000000-0005-0000-0000-0000DEB60000}"/>
    <cellStyle name="Total 3 2 23" xfId="14933" xr:uid="{00000000-0005-0000-0000-0000DFB60000}"/>
    <cellStyle name="Total 3 2 24" xfId="8430" xr:uid="{00000000-0005-0000-0000-0000E0B60000}"/>
    <cellStyle name="Total 3 2 25" xfId="20660" xr:uid="{00000000-0005-0000-0000-0000E1B60000}"/>
    <cellStyle name="Total 3 2 26" xfId="30699" xr:uid="{00000000-0005-0000-0000-0000E2B60000}"/>
    <cellStyle name="Total 3 2 27" xfId="33387" xr:uid="{00000000-0005-0000-0000-0000E3B60000}"/>
    <cellStyle name="Total 3 2 28" xfId="39648" xr:uid="{00000000-0005-0000-0000-0000E4B60000}"/>
    <cellStyle name="Total 3 2 29" xfId="39980" xr:uid="{00000000-0005-0000-0000-0000E5B60000}"/>
    <cellStyle name="Total 3 2 3" xfId="624" xr:uid="{00000000-0005-0000-0000-0000E6B60000}"/>
    <cellStyle name="Total 3 2 3 10" xfId="21994" xr:uid="{00000000-0005-0000-0000-0000E7B60000}"/>
    <cellStyle name="Total 3 2 3 11" xfId="28251" xr:uid="{00000000-0005-0000-0000-0000E8B60000}"/>
    <cellStyle name="Total 3 2 3 12" xfId="30523" xr:uid="{00000000-0005-0000-0000-0000E9B60000}"/>
    <cellStyle name="Total 3 2 3 13" xfId="23999" xr:uid="{00000000-0005-0000-0000-0000EAB60000}"/>
    <cellStyle name="Total 3 2 3 14" xfId="39719" xr:uid="{00000000-0005-0000-0000-0000EBB60000}"/>
    <cellStyle name="Total 3 2 3 15" xfId="41142" xr:uid="{00000000-0005-0000-0000-0000ECB60000}"/>
    <cellStyle name="Total 3 2 3 2" xfId="1004" xr:uid="{00000000-0005-0000-0000-0000EDB60000}"/>
    <cellStyle name="Total 3 2 3 2 10" xfId="28615" xr:uid="{00000000-0005-0000-0000-0000EEB60000}"/>
    <cellStyle name="Total 3 2 3 2 11" xfId="32303" xr:uid="{00000000-0005-0000-0000-0000EFB60000}"/>
    <cellStyle name="Total 3 2 3 2 12" xfId="36062" xr:uid="{00000000-0005-0000-0000-0000F0B60000}"/>
    <cellStyle name="Total 3 2 3 2 13" xfId="40067" xr:uid="{00000000-0005-0000-0000-0000F1B60000}"/>
    <cellStyle name="Total 3 2 3 2 14" xfId="43888" xr:uid="{00000000-0005-0000-0000-0000F2B60000}"/>
    <cellStyle name="Total 3 2 3 2 2" xfId="1733" xr:uid="{00000000-0005-0000-0000-0000F3B60000}"/>
    <cellStyle name="Total 3 2 3 2 2 10" xfId="33020" xr:uid="{00000000-0005-0000-0000-0000F4B60000}"/>
    <cellStyle name="Total 3 2 3 2 2 11" xfId="36790" xr:uid="{00000000-0005-0000-0000-0000F5B60000}"/>
    <cellStyle name="Total 3 2 3 2 2 12" xfId="40781" xr:uid="{00000000-0005-0000-0000-0000F6B60000}"/>
    <cellStyle name="Total 3 2 3 2 2 13" xfId="44612" xr:uid="{00000000-0005-0000-0000-0000F7B60000}"/>
    <cellStyle name="Total 3 2 3 2 2 2" xfId="3723" xr:uid="{00000000-0005-0000-0000-0000F8B60000}"/>
    <cellStyle name="Total 3 2 3 2 2 2 10" xfId="38774" xr:uid="{00000000-0005-0000-0000-0000F9B60000}"/>
    <cellStyle name="Total 3 2 3 2 2 2 11" xfId="42785" xr:uid="{00000000-0005-0000-0000-0000FAB60000}"/>
    <cellStyle name="Total 3 2 3 2 2 2 12" xfId="46550" xr:uid="{00000000-0005-0000-0000-0000FBB60000}"/>
    <cellStyle name="Total 3 2 3 2 2 2 2" xfId="7590" xr:uid="{00000000-0005-0000-0000-0000FCB60000}"/>
    <cellStyle name="Total 3 2 3 2 2 2 3" xfId="12025" xr:uid="{00000000-0005-0000-0000-0000FDB60000}"/>
    <cellStyle name="Total 3 2 3 2 2 2 4" xfId="15870" xr:uid="{00000000-0005-0000-0000-0000FEB60000}"/>
    <cellStyle name="Total 3 2 3 2 2 2 5" xfId="19717" xr:uid="{00000000-0005-0000-0000-0000FFB60000}"/>
    <cellStyle name="Total 3 2 3 2 2 2 6" xfId="23633" xr:uid="{00000000-0005-0000-0000-000000B70000}"/>
    <cellStyle name="Total 3 2 3 2 2 2 7" xfId="27467" xr:uid="{00000000-0005-0000-0000-000001B70000}"/>
    <cellStyle name="Total 3 2 3 2 2 2 8" xfId="31331" xr:uid="{00000000-0005-0000-0000-000002B70000}"/>
    <cellStyle name="Total 3 2 3 2 2 2 9" xfId="34988" xr:uid="{00000000-0005-0000-0000-000003B70000}"/>
    <cellStyle name="Total 3 2 3 2 2 3" xfId="5666" xr:uid="{00000000-0005-0000-0000-000004B70000}"/>
    <cellStyle name="Total 3 2 3 2 2 4" xfId="10024" xr:uid="{00000000-0005-0000-0000-000005B70000}"/>
    <cellStyle name="Total 3 2 3 2 2 5" xfId="13870" xr:uid="{00000000-0005-0000-0000-000006B70000}"/>
    <cellStyle name="Total 3 2 3 2 2 6" xfId="17699" xr:uid="{00000000-0005-0000-0000-000007B70000}"/>
    <cellStyle name="Total 3 2 3 2 2 7" xfId="21638" xr:uid="{00000000-0005-0000-0000-000008B70000}"/>
    <cellStyle name="Total 3 2 3 2 2 8" xfId="25451" xr:uid="{00000000-0005-0000-0000-000009B70000}"/>
    <cellStyle name="Total 3 2 3 2 2 9" xfId="29338" xr:uid="{00000000-0005-0000-0000-00000AB70000}"/>
    <cellStyle name="Total 3 2 3 2 3" xfId="2994" xr:uid="{00000000-0005-0000-0000-00000BB70000}"/>
    <cellStyle name="Total 3 2 3 2 3 10" xfId="38046" xr:uid="{00000000-0005-0000-0000-00000CB70000}"/>
    <cellStyle name="Total 3 2 3 2 3 11" xfId="42058" xr:uid="{00000000-0005-0000-0000-00000DB70000}"/>
    <cellStyle name="Total 3 2 3 2 3 12" xfId="45833" xr:uid="{00000000-0005-0000-0000-00000EB70000}"/>
    <cellStyle name="Total 3 2 3 2 3 2" xfId="6872" xr:uid="{00000000-0005-0000-0000-00000FB70000}"/>
    <cellStyle name="Total 3 2 3 2 3 3" xfId="11300" xr:uid="{00000000-0005-0000-0000-000010B70000}"/>
    <cellStyle name="Total 3 2 3 2 3 4" xfId="15145" xr:uid="{00000000-0005-0000-0000-000011B70000}"/>
    <cellStyle name="Total 3 2 3 2 3 5" xfId="18988" xr:uid="{00000000-0005-0000-0000-000012B70000}"/>
    <cellStyle name="Total 3 2 3 2 3 6" xfId="22912" xr:uid="{00000000-0005-0000-0000-000013B70000}"/>
    <cellStyle name="Total 3 2 3 2 3 7" xfId="26739" xr:uid="{00000000-0005-0000-0000-000014B70000}"/>
    <cellStyle name="Total 3 2 3 2 3 8" xfId="30613" xr:uid="{00000000-0005-0000-0000-000015B70000}"/>
    <cellStyle name="Total 3 2 3 2 3 9" xfId="34271" xr:uid="{00000000-0005-0000-0000-000016B70000}"/>
    <cellStyle name="Total 3 2 3 2 4" xfId="4948" xr:uid="{00000000-0005-0000-0000-000017B70000}"/>
    <cellStyle name="Total 3 2 3 2 5" xfId="9303" xr:uid="{00000000-0005-0000-0000-000018B70000}"/>
    <cellStyle name="Total 3 2 3 2 6" xfId="13144" xr:uid="{00000000-0005-0000-0000-000019B70000}"/>
    <cellStyle name="Total 3 2 3 2 7" xfId="16970" xr:uid="{00000000-0005-0000-0000-00001AB70000}"/>
    <cellStyle name="Total 3 2 3 2 8" xfId="20912" xr:uid="{00000000-0005-0000-0000-00001BB70000}"/>
    <cellStyle name="Total 3 2 3 2 9" xfId="24727" xr:uid="{00000000-0005-0000-0000-00001CB70000}"/>
    <cellStyle name="Total 3 2 3 3" xfId="1380" xr:uid="{00000000-0005-0000-0000-00001DB70000}"/>
    <cellStyle name="Total 3 2 3 3 10" xfId="32667" xr:uid="{00000000-0005-0000-0000-00001EB70000}"/>
    <cellStyle name="Total 3 2 3 3 11" xfId="36437" xr:uid="{00000000-0005-0000-0000-00001FB70000}"/>
    <cellStyle name="Total 3 2 3 3 12" xfId="40428" xr:uid="{00000000-0005-0000-0000-000020B70000}"/>
    <cellStyle name="Total 3 2 3 3 13" xfId="44259" xr:uid="{00000000-0005-0000-0000-000021B70000}"/>
    <cellStyle name="Total 3 2 3 3 2" xfId="3370" xr:uid="{00000000-0005-0000-0000-000022B70000}"/>
    <cellStyle name="Total 3 2 3 3 2 10" xfId="38421" xr:uid="{00000000-0005-0000-0000-000023B70000}"/>
    <cellStyle name="Total 3 2 3 3 2 11" xfId="42432" xr:uid="{00000000-0005-0000-0000-000024B70000}"/>
    <cellStyle name="Total 3 2 3 3 2 12" xfId="46197" xr:uid="{00000000-0005-0000-0000-000025B70000}"/>
    <cellStyle name="Total 3 2 3 3 2 2" xfId="7237" xr:uid="{00000000-0005-0000-0000-000026B70000}"/>
    <cellStyle name="Total 3 2 3 3 2 3" xfId="11672" xr:uid="{00000000-0005-0000-0000-000027B70000}"/>
    <cellStyle name="Total 3 2 3 3 2 4" xfId="15517" xr:uid="{00000000-0005-0000-0000-000028B70000}"/>
    <cellStyle name="Total 3 2 3 3 2 5" xfId="19364" xr:uid="{00000000-0005-0000-0000-000029B70000}"/>
    <cellStyle name="Total 3 2 3 3 2 6" xfId="23280" xr:uid="{00000000-0005-0000-0000-00002AB70000}"/>
    <cellStyle name="Total 3 2 3 3 2 7" xfId="27114" xr:uid="{00000000-0005-0000-0000-00002BB70000}"/>
    <cellStyle name="Total 3 2 3 3 2 8" xfId="30982" xr:uid="{00000000-0005-0000-0000-00002CB70000}"/>
    <cellStyle name="Total 3 2 3 3 2 9" xfId="34635" xr:uid="{00000000-0005-0000-0000-00002DB70000}"/>
    <cellStyle name="Total 3 2 3 3 3" xfId="5313" xr:uid="{00000000-0005-0000-0000-00002EB70000}"/>
    <cellStyle name="Total 3 2 3 3 4" xfId="9671" xr:uid="{00000000-0005-0000-0000-00002FB70000}"/>
    <cellStyle name="Total 3 2 3 3 5" xfId="13517" xr:uid="{00000000-0005-0000-0000-000030B70000}"/>
    <cellStyle name="Total 3 2 3 3 6" xfId="17346" xr:uid="{00000000-0005-0000-0000-000031B70000}"/>
    <cellStyle name="Total 3 2 3 3 7" xfId="21285" xr:uid="{00000000-0005-0000-0000-000032B70000}"/>
    <cellStyle name="Total 3 2 3 3 8" xfId="25098" xr:uid="{00000000-0005-0000-0000-000033B70000}"/>
    <cellStyle name="Total 3 2 3 3 9" xfId="28985" xr:uid="{00000000-0005-0000-0000-000034B70000}"/>
    <cellStyle name="Total 3 2 3 4" xfId="2627" xr:uid="{00000000-0005-0000-0000-000035B70000}"/>
    <cellStyle name="Total 3 2 3 4 10" xfId="37679" xr:uid="{00000000-0005-0000-0000-000036B70000}"/>
    <cellStyle name="Total 3 2 3 4 11" xfId="41693" xr:uid="{00000000-0005-0000-0000-000037B70000}"/>
    <cellStyle name="Total 3 2 3 4 12" xfId="45480" xr:uid="{00000000-0005-0000-0000-000038B70000}"/>
    <cellStyle name="Total 3 2 3 4 2" xfId="6517" xr:uid="{00000000-0005-0000-0000-000039B70000}"/>
    <cellStyle name="Total 3 2 3 4 3" xfId="10941" xr:uid="{00000000-0005-0000-0000-00003AB70000}"/>
    <cellStyle name="Total 3 2 3 4 4" xfId="14785" xr:uid="{00000000-0005-0000-0000-00003BB70000}"/>
    <cellStyle name="Total 3 2 3 4 5" xfId="18621" xr:uid="{00000000-0005-0000-0000-00003CB70000}"/>
    <cellStyle name="Total 3 2 3 4 6" xfId="22554" xr:uid="{00000000-0005-0000-0000-00003DB70000}"/>
    <cellStyle name="Total 3 2 3 4 7" xfId="26372" xr:uid="{00000000-0005-0000-0000-00003EB70000}"/>
    <cellStyle name="Total 3 2 3 4 8" xfId="30251" xr:uid="{00000000-0005-0000-0000-00003FB70000}"/>
    <cellStyle name="Total 3 2 3 4 9" xfId="33918" xr:uid="{00000000-0005-0000-0000-000040B70000}"/>
    <cellStyle name="Total 3 2 3 5" xfId="4593" xr:uid="{00000000-0005-0000-0000-000041B70000}"/>
    <cellStyle name="Total 3 2 3 6" xfId="8933" xr:uid="{00000000-0005-0000-0000-000042B70000}"/>
    <cellStyle name="Total 3 2 3 7" xfId="8397" xr:uid="{00000000-0005-0000-0000-000043B70000}"/>
    <cellStyle name="Total 3 2 3 8" xfId="8481" xr:uid="{00000000-0005-0000-0000-000044B70000}"/>
    <cellStyle name="Total 3 2 3 9" xfId="20537" xr:uid="{00000000-0005-0000-0000-000045B70000}"/>
    <cellStyle name="Total 3 2 30" xfId="47360" xr:uid="{00000000-0005-0000-0000-000046B70000}"/>
    <cellStyle name="Total 3 2 31" xfId="47448" xr:uid="{00000000-0005-0000-0000-000047B70000}"/>
    <cellStyle name="Total 3 2 32" xfId="47495" xr:uid="{00000000-0005-0000-0000-000048B70000}"/>
    <cellStyle name="Total 3 2 4" xfId="718" xr:uid="{00000000-0005-0000-0000-000049B70000}"/>
    <cellStyle name="Total 3 2 4 10" xfId="24451" xr:uid="{00000000-0005-0000-0000-00004AB70000}"/>
    <cellStyle name="Total 3 2 4 11" xfId="28344" xr:uid="{00000000-0005-0000-0000-00004BB70000}"/>
    <cellStyle name="Total 3 2 4 12" xfId="18047" xr:uid="{00000000-0005-0000-0000-00004CB70000}"/>
    <cellStyle name="Total 3 2 4 13" xfId="35789" xr:uid="{00000000-0005-0000-0000-00004DB70000}"/>
    <cellStyle name="Total 3 2 4 14" xfId="39810" xr:uid="{00000000-0005-0000-0000-00004EB70000}"/>
    <cellStyle name="Total 3 2 4 15" xfId="43615" xr:uid="{00000000-0005-0000-0000-00004FB70000}"/>
    <cellStyle name="Total 3 2 4 2" xfId="1097" xr:uid="{00000000-0005-0000-0000-000050B70000}"/>
    <cellStyle name="Total 3 2 4 2 10" xfId="28707" xr:uid="{00000000-0005-0000-0000-000051B70000}"/>
    <cellStyle name="Total 3 2 4 2 11" xfId="32394" xr:uid="{00000000-0005-0000-0000-000052B70000}"/>
    <cellStyle name="Total 3 2 4 2 12" xfId="36155" xr:uid="{00000000-0005-0000-0000-000053B70000}"/>
    <cellStyle name="Total 3 2 4 2 13" xfId="40157" xr:uid="{00000000-0005-0000-0000-000054B70000}"/>
    <cellStyle name="Total 3 2 4 2 14" xfId="43981" xr:uid="{00000000-0005-0000-0000-000055B70000}"/>
    <cellStyle name="Total 3 2 4 2 2" xfId="1824" xr:uid="{00000000-0005-0000-0000-000056B70000}"/>
    <cellStyle name="Total 3 2 4 2 2 10" xfId="33111" xr:uid="{00000000-0005-0000-0000-000057B70000}"/>
    <cellStyle name="Total 3 2 4 2 2 11" xfId="36881" xr:uid="{00000000-0005-0000-0000-000058B70000}"/>
    <cellStyle name="Total 3 2 4 2 2 12" xfId="40872" xr:uid="{00000000-0005-0000-0000-000059B70000}"/>
    <cellStyle name="Total 3 2 4 2 2 13" xfId="44703" xr:uid="{00000000-0005-0000-0000-00005AB70000}"/>
    <cellStyle name="Total 3 2 4 2 2 2" xfId="3814" xr:uid="{00000000-0005-0000-0000-00005BB70000}"/>
    <cellStyle name="Total 3 2 4 2 2 2 10" xfId="38865" xr:uid="{00000000-0005-0000-0000-00005CB70000}"/>
    <cellStyle name="Total 3 2 4 2 2 2 11" xfId="42876" xr:uid="{00000000-0005-0000-0000-00005DB70000}"/>
    <cellStyle name="Total 3 2 4 2 2 2 12" xfId="46641" xr:uid="{00000000-0005-0000-0000-00005EB70000}"/>
    <cellStyle name="Total 3 2 4 2 2 2 2" xfId="7681" xr:uid="{00000000-0005-0000-0000-00005FB70000}"/>
    <cellStyle name="Total 3 2 4 2 2 2 3" xfId="12116" xr:uid="{00000000-0005-0000-0000-000060B70000}"/>
    <cellStyle name="Total 3 2 4 2 2 2 4" xfId="15961" xr:uid="{00000000-0005-0000-0000-000061B70000}"/>
    <cellStyle name="Total 3 2 4 2 2 2 5" xfId="19808" xr:uid="{00000000-0005-0000-0000-000062B70000}"/>
    <cellStyle name="Total 3 2 4 2 2 2 6" xfId="23724" xr:uid="{00000000-0005-0000-0000-000063B70000}"/>
    <cellStyle name="Total 3 2 4 2 2 2 7" xfId="27558" xr:uid="{00000000-0005-0000-0000-000064B70000}"/>
    <cellStyle name="Total 3 2 4 2 2 2 8" xfId="31422" xr:uid="{00000000-0005-0000-0000-000065B70000}"/>
    <cellStyle name="Total 3 2 4 2 2 2 9" xfId="35079" xr:uid="{00000000-0005-0000-0000-000066B70000}"/>
    <cellStyle name="Total 3 2 4 2 2 3" xfId="5757" xr:uid="{00000000-0005-0000-0000-000067B70000}"/>
    <cellStyle name="Total 3 2 4 2 2 4" xfId="10115" xr:uid="{00000000-0005-0000-0000-000068B70000}"/>
    <cellStyle name="Total 3 2 4 2 2 5" xfId="13961" xr:uid="{00000000-0005-0000-0000-000069B70000}"/>
    <cellStyle name="Total 3 2 4 2 2 6" xfId="17790" xr:uid="{00000000-0005-0000-0000-00006AB70000}"/>
    <cellStyle name="Total 3 2 4 2 2 7" xfId="21729" xr:uid="{00000000-0005-0000-0000-00006BB70000}"/>
    <cellStyle name="Total 3 2 4 2 2 8" xfId="25542" xr:uid="{00000000-0005-0000-0000-00006CB70000}"/>
    <cellStyle name="Total 3 2 4 2 2 9" xfId="29429" xr:uid="{00000000-0005-0000-0000-00006DB70000}"/>
    <cellStyle name="Total 3 2 4 2 3" xfId="3087" xr:uid="{00000000-0005-0000-0000-00006EB70000}"/>
    <cellStyle name="Total 3 2 4 2 3 10" xfId="38139" xr:uid="{00000000-0005-0000-0000-00006FB70000}"/>
    <cellStyle name="Total 3 2 4 2 3 11" xfId="42151" xr:uid="{00000000-0005-0000-0000-000070B70000}"/>
    <cellStyle name="Total 3 2 4 2 3 12" xfId="45924" xr:uid="{00000000-0005-0000-0000-000071B70000}"/>
    <cellStyle name="Total 3 2 4 2 3 2" xfId="6963" xr:uid="{00000000-0005-0000-0000-000072B70000}"/>
    <cellStyle name="Total 3 2 4 2 3 3" xfId="11392" xr:uid="{00000000-0005-0000-0000-000073B70000}"/>
    <cellStyle name="Total 3 2 4 2 3 4" xfId="15236" xr:uid="{00000000-0005-0000-0000-000074B70000}"/>
    <cellStyle name="Total 3 2 4 2 3 5" xfId="19081" xr:uid="{00000000-0005-0000-0000-000075B70000}"/>
    <cellStyle name="Total 3 2 4 2 3 6" xfId="23003" xr:uid="{00000000-0005-0000-0000-000076B70000}"/>
    <cellStyle name="Total 3 2 4 2 3 7" xfId="26832" xr:uid="{00000000-0005-0000-0000-000077B70000}"/>
    <cellStyle name="Total 3 2 4 2 3 8" xfId="30705" xr:uid="{00000000-0005-0000-0000-000078B70000}"/>
    <cellStyle name="Total 3 2 4 2 3 9" xfId="34362" xr:uid="{00000000-0005-0000-0000-000079B70000}"/>
    <cellStyle name="Total 3 2 4 2 4" xfId="5039" xr:uid="{00000000-0005-0000-0000-00007AB70000}"/>
    <cellStyle name="Total 3 2 4 2 5" xfId="9395" xr:uid="{00000000-0005-0000-0000-00007BB70000}"/>
    <cellStyle name="Total 3 2 4 2 6" xfId="13235" xr:uid="{00000000-0005-0000-0000-00007CB70000}"/>
    <cellStyle name="Total 3 2 4 2 7" xfId="17063" xr:uid="{00000000-0005-0000-0000-00007DB70000}"/>
    <cellStyle name="Total 3 2 4 2 8" xfId="21005" xr:uid="{00000000-0005-0000-0000-00007EB70000}"/>
    <cellStyle name="Total 3 2 4 2 9" xfId="24819" xr:uid="{00000000-0005-0000-0000-00007FB70000}"/>
    <cellStyle name="Total 3 2 4 3" xfId="1471" xr:uid="{00000000-0005-0000-0000-000080B70000}"/>
    <cellStyle name="Total 3 2 4 3 10" xfId="32758" xr:uid="{00000000-0005-0000-0000-000081B70000}"/>
    <cellStyle name="Total 3 2 4 3 11" xfId="36528" xr:uid="{00000000-0005-0000-0000-000082B70000}"/>
    <cellStyle name="Total 3 2 4 3 12" xfId="40519" xr:uid="{00000000-0005-0000-0000-000083B70000}"/>
    <cellStyle name="Total 3 2 4 3 13" xfId="44350" xr:uid="{00000000-0005-0000-0000-000084B70000}"/>
    <cellStyle name="Total 3 2 4 3 2" xfId="3461" xr:uid="{00000000-0005-0000-0000-000085B70000}"/>
    <cellStyle name="Total 3 2 4 3 2 10" xfId="38512" xr:uid="{00000000-0005-0000-0000-000086B70000}"/>
    <cellStyle name="Total 3 2 4 3 2 11" xfId="42523" xr:uid="{00000000-0005-0000-0000-000087B70000}"/>
    <cellStyle name="Total 3 2 4 3 2 12" xfId="46288" xr:uid="{00000000-0005-0000-0000-000088B70000}"/>
    <cellStyle name="Total 3 2 4 3 2 2" xfId="7328" xr:uid="{00000000-0005-0000-0000-000089B70000}"/>
    <cellStyle name="Total 3 2 4 3 2 3" xfId="11763" xr:uid="{00000000-0005-0000-0000-00008AB70000}"/>
    <cellStyle name="Total 3 2 4 3 2 4" xfId="15608" xr:uid="{00000000-0005-0000-0000-00008BB70000}"/>
    <cellStyle name="Total 3 2 4 3 2 5" xfId="19455" xr:uid="{00000000-0005-0000-0000-00008CB70000}"/>
    <cellStyle name="Total 3 2 4 3 2 6" xfId="23371" xr:uid="{00000000-0005-0000-0000-00008DB70000}"/>
    <cellStyle name="Total 3 2 4 3 2 7" xfId="27205" xr:uid="{00000000-0005-0000-0000-00008EB70000}"/>
    <cellStyle name="Total 3 2 4 3 2 8" xfId="31072" xr:uid="{00000000-0005-0000-0000-00008FB70000}"/>
    <cellStyle name="Total 3 2 4 3 2 9" xfId="34726" xr:uid="{00000000-0005-0000-0000-000090B70000}"/>
    <cellStyle name="Total 3 2 4 3 3" xfId="5404" xr:uid="{00000000-0005-0000-0000-000091B70000}"/>
    <cellStyle name="Total 3 2 4 3 4" xfId="9762" xr:uid="{00000000-0005-0000-0000-000092B70000}"/>
    <cellStyle name="Total 3 2 4 3 5" xfId="13608" xr:uid="{00000000-0005-0000-0000-000093B70000}"/>
    <cellStyle name="Total 3 2 4 3 6" xfId="17437" xr:uid="{00000000-0005-0000-0000-000094B70000}"/>
    <cellStyle name="Total 3 2 4 3 7" xfId="21376" xr:uid="{00000000-0005-0000-0000-000095B70000}"/>
    <cellStyle name="Total 3 2 4 3 8" xfId="25189" xr:uid="{00000000-0005-0000-0000-000096B70000}"/>
    <cellStyle name="Total 3 2 4 3 9" xfId="29076" xr:uid="{00000000-0005-0000-0000-000097B70000}"/>
    <cellStyle name="Total 3 2 4 4" xfId="2721" xr:uid="{00000000-0005-0000-0000-000098B70000}"/>
    <cellStyle name="Total 3 2 4 4 10" xfId="37773" xr:uid="{00000000-0005-0000-0000-000099B70000}"/>
    <cellStyle name="Total 3 2 4 4 11" xfId="41787" xr:uid="{00000000-0005-0000-0000-00009AB70000}"/>
    <cellStyle name="Total 3 2 4 4 12" xfId="45571" xr:uid="{00000000-0005-0000-0000-00009BB70000}"/>
    <cellStyle name="Total 3 2 4 4 2" xfId="6608" xr:uid="{00000000-0005-0000-0000-00009CB70000}"/>
    <cellStyle name="Total 3 2 4 4 3" xfId="11032" xr:uid="{00000000-0005-0000-0000-00009DB70000}"/>
    <cellStyle name="Total 3 2 4 4 4" xfId="14877" xr:uid="{00000000-0005-0000-0000-00009EB70000}"/>
    <cellStyle name="Total 3 2 4 4 5" xfId="18715" xr:uid="{00000000-0005-0000-0000-00009FB70000}"/>
    <cellStyle name="Total 3 2 4 4 6" xfId="22646" xr:uid="{00000000-0005-0000-0000-0000A0B70000}"/>
    <cellStyle name="Total 3 2 4 4 7" xfId="26466" xr:uid="{00000000-0005-0000-0000-0000A1B70000}"/>
    <cellStyle name="Total 3 2 4 4 8" xfId="30345" xr:uid="{00000000-0005-0000-0000-0000A2B70000}"/>
    <cellStyle name="Total 3 2 4 4 9" xfId="34009" xr:uid="{00000000-0005-0000-0000-0000A3B70000}"/>
    <cellStyle name="Total 3 2 4 5" xfId="4684" xr:uid="{00000000-0005-0000-0000-0000A4B70000}"/>
    <cellStyle name="Total 3 2 4 6" xfId="9026" xr:uid="{00000000-0005-0000-0000-0000A5B70000}"/>
    <cellStyle name="Total 3 2 4 7" xfId="12864" xr:uid="{00000000-0005-0000-0000-0000A6B70000}"/>
    <cellStyle name="Total 3 2 4 8" xfId="16694" xr:uid="{00000000-0005-0000-0000-0000A7B70000}"/>
    <cellStyle name="Total 3 2 4 9" xfId="20631" xr:uid="{00000000-0005-0000-0000-0000A8B70000}"/>
    <cellStyle name="Total 3 2 5" xfId="885" xr:uid="{00000000-0005-0000-0000-0000A9B70000}"/>
    <cellStyle name="Total 3 2 5 10" xfId="24609" xr:uid="{00000000-0005-0000-0000-0000AAB70000}"/>
    <cellStyle name="Total 3 2 5 11" xfId="28499" xr:uid="{00000000-0005-0000-0000-0000ABB70000}"/>
    <cellStyle name="Total 3 2 5 12" xfId="32186" xr:uid="{00000000-0005-0000-0000-0000ACB70000}"/>
    <cellStyle name="Total 3 2 5 13" xfId="35943" xr:uid="{00000000-0005-0000-0000-0000ADB70000}"/>
    <cellStyle name="Total 3 2 5 14" xfId="39953" xr:uid="{00000000-0005-0000-0000-0000AEB70000}"/>
    <cellStyle name="Total 3 2 5 15" xfId="43769" xr:uid="{00000000-0005-0000-0000-0000AFB70000}"/>
    <cellStyle name="Total 3 2 5 2" xfId="1222" xr:uid="{00000000-0005-0000-0000-0000B0B70000}"/>
    <cellStyle name="Total 3 2 5 2 10" xfId="28830" xr:uid="{00000000-0005-0000-0000-0000B1B70000}"/>
    <cellStyle name="Total 3 2 5 2 11" xfId="32514" xr:uid="{00000000-0005-0000-0000-0000B2B70000}"/>
    <cellStyle name="Total 3 2 5 2 12" xfId="36280" xr:uid="{00000000-0005-0000-0000-0000B3B70000}"/>
    <cellStyle name="Total 3 2 5 2 13" xfId="40273" xr:uid="{00000000-0005-0000-0000-0000B4B70000}"/>
    <cellStyle name="Total 3 2 5 2 14" xfId="44106" xr:uid="{00000000-0005-0000-0000-0000B5B70000}"/>
    <cellStyle name="Total 3 2 5 2 2" xfId="1944" xr:uid="{00000000-0005-0000-0000-0000B6B70000}"/>
    <cellStyle name="Total 3 2 5 2 2 10" xfId="33231" xr:uid="{00000000-0005-0000-0000-0000B7B70000}"/>
    <cellStyle name="Total 3 2 5 2 2 11" xfId="37001" xr:uid="{00000000-0005-0000-0000-0000B8B70000}"/>
    <cellStyle name="Total 3 2 5 2 2 12" xfId="40992" xr:uid="{00000000-0005-0000-0000-0000B9B70000}"/>
    <cellStyle name="Total 3 2 5 2 2 13" xfId="44823" xr:uid="{00000000-0005-0000-0000-0000BAB70000}"/>
    <cellStyle name="Total 3 2 5 2 2 2" xfId="3934" xr:uid="{00000000-0005-0000-0000-0000BBB70000}"/>
    <cellStyle name="Total 3 2 5 2 2 2 10" xfId="38985" xr:uid="{00000000-0005-0000-0000-0000BCB70000}"/>
    <cellStyle name="Total 3 2 5 2 2 2 11" xfId="42996" xr:uid="{00000000-0005-0000-0000-0000BDB70000}"/>
    <cellStyle name="Total 3 2 5 2 2 2 12" xfId="46761" xr:uid="{00000000-0005-0000-0000-0000BEB70000}"/>
    <cellStyle name="Total 3 2 5 2 2 2 2" xfId="7801" xr:uid="{00000000-0005-0000-0000-0000BFB70000}"/>
    <cellStyle name="Total 3 2 5 2 2 2 3" xfId="12236" xr:uid="{00000000-0005-0000-0000-0000C0B70000}"/>
    <cellStyle name="Total 3 2 5 2 2 2 4" xfId="16081" xr:uid="{00000000-0005-0000-0000-0000C1B70000}"/>
    <cellStyle name="Total 3 2 5 2 2 2 5" xfId="19928" xr:uid="{00000000-0005-0000-0000-0000C2B70000}"/>
    <cellStyle name="Total 3 2 5 2 2 2 6" xfId="23844" xr:uid="{00000000-0005-0000-0000-0000C3B70000}"/>
    <cellStyle name="Total 3 2 5 2 2 2 7" xfId="27678" xr:uid="{00000000-0005-0000-0000-0000C4B70000}"/>
    <cellStyle name="Total 3 2 5 2 2 2 8" xfId="31539" xr:uid="{00000000-0005-0000-0000-0000C5B70000}"/>
    <cellStyle name="Total 3 2 5 2 2 2 9" xfId="35199" xr:uid="{00000000-0005-0000-0000-0000C6B70000}"/>
    <cellStyle name="Total 3 2 5 2 2 3" xfId="5877" xr:uid="{00000000-0005-0000-0000-0000C7B70000}"/>
    <cellStyle name="Total 3 2 5 2 2 4" xfId="10235" xr:uid="{00000000-0005-0000-0000-0000C8B70000}"/>
    <cellStyle name="Total 3 2 5 2 2 5" xfId="14081" xr:uid="{00000000-0005-0000-0000-0000C9B70000}"/>
    <cellStyle name="Total 3 2 5 2 2 6" xfId="17910" xr:uid="{00000000-0005-0000-0000-0000CAB70000}"/>
    <cellStyle name="Total 3 2 5 2 2 7" xfId="21849" xr:uid="{00000000-0005-0000-0000-0000CBB70000}"/>
    <cellStyle name="Total 3 2 5 2 2 8" xfId="25662" xr:uid="{00000000-0005-0000-0000-0000CCB70000}"/>
    <cellStyle name="Total 3 2 5 2 2 9" xfId="29549" xr:uid="{00000000-0005-0000-0000-0000CDB70000}"/>
    <cellStyle name="Total 3 2 5 2 3" xfId="3212" xr:uid="{00000000-0005-0000-0000-0000CEB70000}"/>
    <cellStyle name="Total 3 2 5 2 3 10" xfId="38264" xr:uid="{00000000-0005-0000-0000-0000CFB70000}"/>
    <cellStyle name="Total 3 2 5 2 3 11" xfId="42275" xr:uid="{00000000-0005-0000-0000-0000D0B70000}"/>
    <cellStyle name="Total 3 2 5 2 3 12" xfId="46044" xr:uid="{00000000-0005-0000-0000-0000D1B70000}"/>
    <cellStyle name="Total 3 2 5 2 3 2" xfId="7084" xr:uid="{00000000-0005-0000-0000-0000D2B70000}"/>
    <cellStyle name="Total 3 2 5 2 3 3" xfId="11516" xr:uid="{00000000-0005-0000-0000-0000D3B70000}"/>
    <cellStyle name="Total 3 2 5 2 3 4" xfId="15360" xr:uid="{00000000-0005-0000-0000-0000D4B70000}"/>
    <cellStyle name="Total 3 2 5 2 3 5" xfId="19206" xr:uid="{00000000-0005-0000-0000-0000D5B70000}"/>
    <cellStyle name="Total 3 2 5 2 3 6" xfId="23125" xr:uid="{00000000-0005-0000-0000-0000D6B70000}"/>
    <cellStyle name="Total 3 2 5 2 3 7" xfId="26957" xr:uid="{00000000-0005-0000-0000-0000D7B70000}"/>
    <cellStyle name="Total 3 2 5 2 3 8" xfId="30827" xr:uid="{00000000-0005-0000-0000-0000D8B70000}"/>
    <cellStyle name="Total 3 2 5 2 3 9" xfId="34482" xr:uid="{00000000-0005-0000-0000-0000D9B70000}"/>
    <cellStyle name="Total 3 2 5 2 4" xfId="5160" xr:uid="{00000000-0005-0000-0000-0000DAB70000}"/>
    <cellStyle name="Total 3 2 5 2 5" xfId="9516" xr:uid="{00000000-0005-0000-0000-0000DBB70000}"/>
    <cellStyle name="Total 3 2 5 2 6" xfId="13360" xr:uid="{00000000-0005-0000-0000-0000DCB70000}"/>
    <cellStyle name="Total 3 2 5 2 7" xfId="17188" xr:uid="{00000000-0005-0000-0000-0000DDB70000}"/>
    <cellStyle name="Total 3 2 5 2 8" xfId="21130" xr:uid="{00000000-0005-0000-0000-0000DEB70000}"/>
    <cellStyle name="Total 3 2 5 2 9" xfId="24941" xr:uid="{00000000-0005-0000-0000-0000DFB70000}"/>
    <cellStyle name="Total 3 2 5 3" xfId="1616" xr:uid="{00000000-0005-0000-0000-0000E0B70000}"/>
    <cellStyle name="Total 3 2 5 3 10" xfId="32903" xr:uid="{00000000-0005-0000-0000-0000E1B70000}"/>
    <cellStyle name="Total 3 2 5 3 11" xfId="36673" xr:uid="{00000000-0005-0000-0000-0000E2B70000}"/>
    <cellStyle name="Total 3 2 5 3 12" xfId="40664" xr:uid="{00000000-0005-0000-0000-0000E3B70000}"/>
    <cellStyle name="Total 3 2 5 3 13" xfId="44495" xr:uid="{00000000-0005-0000-0000-0000E4B70000}"/>
    <cellStyle name="Total 3 2 5 3 2" xfId="3606" xr:uid="{00000000-0005-0000-0000-0000E5B70000}"/>
    <cellStyle name="Total 3 2 5 3 2 10" xfId="38657" xr:uid="{00000000-0005-0000-0000-0000E6B70000}"/>
    <cellStyle name="Total 3 2 5 3 2 11" xfId="42668" xr:uid="{00000000-0005-0000-0000-0000E7B70000}"/>
    <cellStyle name="Total 3 2 5 3 2 12" xfId="46433" xr:uid="{00000000-0005-0000-0000-0000E8B70000}"/>
    <cellStyle name="Total 3 2 5 3 2 2" xfId="7473" xr:uid="{00000000-0005-0000-0000-0000E9B70000}"/>
    <cellStyle name="Total 3 2 5 3 2 3" xfId="11908" xr:uid="{00000000-0005-0000-0000-0000EAB70000}"/>
    <cellStyle name="Total 3 2 5 3 2 4" xfId="15753" xr:uid="{00000000-0005-0000-0000-0000EBB70000}"/>
    <cellStyle name="Total 3 2 5 3 2 5" xfId="19600" xr:uid="{00000000-0005-0000-0000-0000ECB70000}"/>
    <cellStyle name="Total 3 2 5 3 2 6" xfId="23516" xr:uid="{00000000-0005-0000-0000-0000EDB70000}"/>
    <cellStyle name="Total 3 2 5 3 2 7" xfId="27350" xr:uid="{00000000-0005-0000-0000-0000EEB70000}"/>
    <cellStyle name="Total 3 2 5 3 2 8" xfId="31215" xr:uid="{00000000-0005-0000-0000-0000EFB70000}"/>
    <cellStyle name="Total 3 2 5 3 2 9" xfId="34871" xr:uid="{00000000-0005-0000-0000-0000F0B70000}"/>
    <cellStyle name="Total 3 2 5 3 3" xfId="5549" xr:uid="{00000000-0005-0000-0000-0000F1B70000}"/>
    <cellStyle name="Total 3 2 5 3 4" xfId="9907" xr:uid="{00000000-0005-0000-0000-0000F2B70000}"/>
    <cellStyle name="Total 3 2 5 3 5" xfId="13753" xr:uid="{00000000-0005-0000-0000-0000F3B70000}"/>
    <cellStyle name="Total 3 2 5 3 6" xfId="17582" xr:uid="{00000000-0005-0000-0000-0000F4B70000}"/>
    <cellStyle name="Total 3 2 5 3 7" xfId="21521" xr:uid="{00000000-0005-0000-0000-0000F5B70000}"/>
    <cellStyle name="Total 3 2 5 3 8" xfId="25334" xr:uid="{00000000-0005-0000-0000-0000F6B70000}"/>
    <cellStyle name="Total 3 2 5 3 9" xfId="29221" xr:uid="{00000000-0005-0000-0000-0000F7B70000}"/>
    <cellStyle name="Total 3 2 5 4" xfId="2875" xr:uid="{00000000-0005-0000-0000-0000F8B70000}"/>
    <cellStyle name="Total 3 2 5 4 10" xfId="37927" xr:uid="{00000000-0005-0000-0000-0000F9B70000}"/>
    <cellStyle name="Total 3 2 5 4 11" xfId="41939" xr:uid="{00000000-0005-0000-0000-0000FAB70000}"/>
    <cellStyle name="Total 3 2 5 4 12" xfId="45716" xr:uid="{00000000-0005-0000-0000-0000FBB70000}"/>
    <cellStyle name="Total 3 2 5 4 2" xfId="6755" xr:uid="{00000000-0005-0000-0000-0000FCB70000}"/>
    <cellStyle name="Total 3 2 5 4 3" xfId="11182" xr:uid="{00000000-0005-0000-0000-0000FDB70000}"/>
    <cellStyle name="Total 3 2 5 4 4" xfId="15027" xr:uid="{00000000-0005-0000-0000-0000FEB70000}"/>
    <cellStyle name="Total 3 2 5 4 5" xfId="18869" xr:uid="{00000000-0005-0000-0000-0000FFB70000}"/>
    <cellStyle name="Total 3 2 5 4 6" xfId="22795" xr:uid="{00000000-0005-0000-0000-000000B80000}"/>
    <cellStyle name="Total 3 2 5 4 7" xfId="26620" xr:uid="{00000000-0005-0000-0000-000001B80000}"/>
    <cellStyle name="Total 3 2 5 4 8" xfId="30496" xr:uid="{00000000-0005-0000-0000-000002B80000}"/>
    <cellStyle name="Total 3 2 5 4 9" xfId="34154" xr:uid="{00000000-0005-0000-0000-000003B80000}"/>
    <cellStyle name="Total 3 2 5 5" xfId="4831" xr:uid="{00000000-0005-0000-0000-000004B80000}"/>
    <cellStyle name="Total 3 2 5 6" xfId="9185" xr:uid="{00000000-0005-0000-0000-000005B80000}"/>
    <cellStyle name="Total 3 2 5 7" xfId="13026" xr:uid="{00000000-0005-0000-0000-000006B80000}"/>
    <cellStyle name="Total 3 2 5 8" xfId="16851" xr:uid="{00000000-0005-0000-0000-000007B80000}"/>
    <cellStyle name="Total 3 2 5 9" xfId="20793" xr:uid="{00000000-0005-0000-0000-000008B80000}"/>
    <cellStyle name="Total 3 2 6" xfId="931" xr:uid="{00000000-0005-0000-0000-000009B80000}"/>
    <cellStyle name="Total 3 2 6 10" xfId="28543" xr:uid="{00000000-0005-0000-0000-00000AB80000}"/>
    <cellStyle name="Total 3 2 6 11" xfId="32232" xr:uid="{00000000-0005-0000-0000-00000BB80000}"/>
    <cellStyle name="Total 3 2 6 12" xfId="35989" xr:uid="{00000000-0005-0000-0000-00000CB80000}"/>
    <cellStyle name="Total 3 2 6 13" xfId="39997" xr:uid="{00000000-0005-0000-0000-00000DB80000}"/>
    <cellStyle name="Total 3 2 6 14" xfId="43815" xr:uid="{00000000-0005-0000-0000-00000EB80000}"/>
    <cellStyle name="Total 3 2 6 2" xfId="1662" xr:uid="{00000000-0005-0000-0000-00000FB80000}"/>
    <cellStyle name="Total 3 2 6 2 10" xfId="32949" xr:uid="{00000000-0005-0000-0000-000010B80000}"/>
    <cellStyle name="Total 3 2 6 2 11" xfId="36719" xr:uid="{00000000-0005-0000-0000-000011B80000}"/>
    <cellStyle name="Total 3 2 6 2 12" xfId="40710" xr:uid="{00000000-0005-0000-0000-000012B80000}"/>
    <cellStyle name="Total 3 2 6 2 13" xfId="44541" xr:uid="{00000000-0005-0000-0000-000013B80000}"/>
    <cellStyle name="Total 3 2 6 2 2" xfId="3652" xr:uid="{00000000-0005-0000-0000-000014B80000}"/>
    <cellStyle name="Total 3 2 6 2 2 10" xfId="38703" xr:uid="{00000000-0005-0000-0000-000015B80000}"/>
    <cellStyle name="Total 3 2 6 2 2 11" xfId="42714" xr:uid="{00000000-0005-0000-0000-000016B80000}"/>
    <cellStyle name="Total 3 2 6 2 2 12" xfId="46479" xr:uid="{00000000-0005-0000-0000-000017B80000}"/>
    <cellStyle name="Total 3 2 6 2 2 2" xfId="7519" xr:uid="{00000000-0005-0000-0000-000018B80000}"/>
    <cellStyle name="Total 3 2 6 2 2 3" xfId="11954" xr:uid="{00000000-0005-0000-0000-000019B80000}"/>
    <cellStyle name="Total 3 2 6 2 2 4" xfId="15799" xr:uid="{00000000-0005-0000-0000-00001AB80000}"/>
    <cellStyle name="Total 3 2 6 2 2 5" xfId="19646" xr:uid="{00000000-0005-0000-0000-00001BB80000}"/>
    <cellStyle name="Total 3 2 6 2 2 6" xfId="23562" xr:uid="{00000000-0005-0000-0000-00001CB80000}"/>
    <cellStyle name="Total 3 2 6 2 2 7" xfId="27396" xr:uid="{00000000-0005-0000-0000-00001DB80000}"/>
    <cellStyle name="Total 3 2 6 2 2 8" xfId="31260" xr:uid="{00000000-0005-0000-0000-00001EB80000}"/>
    <cellStyle name="Total 3 2 6 2 2 9" xfId="34917" xr:uid="{00000000-0005-0000-0000-00001FB80000}"/>
    <cellStyle name="Total 3 2 6 2 3" xfId="5595" xr:uid="{00000000-0005-0000-0000-000020B80000}"/>
    <cellStyle name="Total 3 2 6 2 4" xfId="9953" xr:uid="{00000000-0005-0000-0000-000021B80000}"/>
    <cellStyle name="Total 3 2 6 2 5" xfId="13799" xr:uid="{00000000-0005-0000-0000-000022B80000}"/>
    <cellStyle name="Total 3 2 6 2 6" xfId="17628" xr:uid="{00000000-0005-0000-0000-000023B80000}"/>
    <cellStyle name="Total 3 2 6 2 7" xfId="21567" xr:uid="{00000000-0005-0000-0000-000024B80000}"/>
    <cellStyle name="Total 3 2 6 2 8" xfId="25380" xr:uid="{00000000-0005-0000-0000-000025B80000}"/>
    <cellStyle name="Total 3 2 6 2 9" xfId="29267" xr:uid="{00000000-0005-0000-0000-000026B80000}"/>
    <cellStyle name="Total 3 2 6 3" xfId="2921" xr:uid="{00000000-0005-0000-0000-000027B80000}"/>
    <cellStyle name="Total 3 2 6 3 10" xfId="37973" xr:uid="{00000000-0005-0000-0000-000028B80000}"/>
    <cellStyle name="Total 3 2 6 3 11" xfId="41985" xr:uid="{00000000-0005-0000-0000-000029B80000}"/>
    <cellStyle name="Total 3 2 6 3 12" xfId="45762" xr:uid="{00000000-0005-0000-0000-00002AB80000}"/>
    <cellStyle name="Total 3 2 6 3 2" xfId="6801" xr:uid="{00000000-0005-0000-0000-00002BB80000}"/>
    <cellStyle name="Total 3 2 6 3 3" xfId="11228" xr:uid="{00000000-0005-0000-0000-00002CB80000}"/>
    <cellStyle name="Total 3 2 6 3 4" xfId="15073" xr:uid="{00000000-0005-0000-0000-00002DB80000}"/>
    <cellStyle name="Total 3 2 6 3 5" xfId="18915" xr:uid="{00000000-0005-0000-0000-00002EB80000}"/>
    <cellStyle name="Total 3 2 6 3 6" xfId="22841" xr:uid="{00000000-0005-0000-0000-00002FB80000}"/>
    <cellStyle name="Total 3 2 6 3 7" xfId="26666" xr:uid="{00000000-0005-0000-0000-000030B80000}"/>
    <cellStyle name="Total 3 2 6 3 8" xfId="30541" xr:uid="{00000000-0005-0000-0000-000031B80000}"/>
    <cellStyle name="Total 3 2 6 3 9" xfId="34200" xr:uid="{00000000-0005-0000-0000-000032B80000}"/>
    <cellStyle name="Total 3 2 6 4" xfId="4877" xr:uid="{00000000-0005-0000-0000-000033B80000}"/>
    <cellStyle name="Total 3 2 6 5" xfId="9231" xr:uid="{00000000-0005-0000-0000-000034B80000}"/>
    <cellStyle name="Total 3 2 6 6" xfId="13072" xr:uid="{00000000-0005-0000-0000-000035B80000}"/>
    <cellStyle name="Total 3 2 6 7" xfId="16897" xr:uid="{00000000-0005-0000-0000-000036B80000}"/>
    <cellStyle name="Total 3 2 6 8" xfId="20839" xr:uid="{00000000-0005-0000-0000-000037B80000}"/>
    <cellStyle name="Total 3 2 6 9" xfId="24655" xr:uid="{00000000-0005-0000-0000-000038B80000}"/>
    <cellStyle name="Total 3 2 7" xfId="1309" xr:uid="{00000000-0005-0000-0000-000039B80000}"/>
    <cellStyle name="Total 3 2 7 10" xfId="32596" xr:uid="{00000000-0005-0000-0000-00003AB80000}"/>
    <cellStyle name="Total 3 2 7 11" xfId="36366" xr:uid="{00000000-0005-0000-0000-00003BB80000}"/>
    <cellStyle name="Total 3 2 7 12" xfId="40357" xr:uid="{00000000-0005-0000-0000-00003CB80000}"/>
    <cellStyle name="Total 3 2 7 13" xfId="44188" xr:uid="{00000000-0005-0000-0000-00003DB80000}"/>
    <cellStyle name="Total 3 2 7 2" xfId="3299" xr:uid="{00000000-0005-0000-0000-00003EB80000}"/>
    <cellStyle name="Total 3 2 7 2 10" xfId="38350" xr:uid="{00000000-0005-0000-0000-00003FB80000}"/>
    <cellStyle name="Total 3 2 7 2 11" xfId="42361" xr:uid="{00000000-0005-0000-0000-000040B80000}"/>
    <cellStyle name="Total 3 2 7 2 12" xfId="46126" xr:uid="{00000000-0005-0000-0000-000041B80000}"/>
    <cellStyle name="Total 3 2 7 2 2" xfId="7166" xr:uid="{00000000-0005-0000-0000-000042B80000}"/>
    <cellStyle name="Total 3 2 7 2 3" xfId="11601" xr:uid="{00000000-0005-0000-0000-000043B80000}"/>
    <cellStyle name="Total 3 2 7 2 4" xfId="15446" xr:uid="{00000000-0005-0000-0000-000044B80000}"/>
    <cellStyle name="Total 3 2 7 2 5" xfId="19293" xr:uid="{00000000-0005-0000-0000-000045B80000}"/>
    <cellStyle name="Total 3 2 7 2 6" xfId="23209" xr:uid="{00000000-0005-0000-0000-000046B80000}"/>
    <cellStyle name="Total 3 2 7 2 7" xfId="27043" xr:uid="{00000000-0005-0000-0000-000047B80000}"/>
    <cellStyle name="Total 3 2 7 2 8" xfId="30912" xr:uid="{00000000-0005-0000-0000-000048B80000}"/>
    <cellStyle name="Total 3 2 7 2 9" xfId="34564" xr:uid="{00000000-0005-0000-0000-000049B80000}"/>
    <cellStyle name="Total 3 2 7 3" xfId="5242" xr:uid="{00000000-0005-0000-0000-00004AB80000}"/>
    <cellStyle name="Total 3 2 7 4" xfId="9600" xr:uid="{00000000-0005-0000-0000-00004BB80000}"/>
    <cellStyle name="Total 3 2 7 5" xfId="13446" xr:uid="{00000000-0005-0000-0000-00004CB80000}"/>
    <cellStyle name="Total 3 2 7 6" xfId="17275" xr:uid="{00000000-0005-0000-0000-00004DB80000}"/>
    <cellStyle name="Total 3 2 7 7" xfId="21214" xr:uid="{00000000-0005-0000-0000-00004EB80000}"/>
    <cellStyle name="Total 3 2 7 8" xfId="25027" xr:uid="{00000000-0005-0000-0000-00004FB80000}"/>
    <cellStyle name="Total 3 2 7 9" xfId="28914" xr:uid="{00000000-0005-0000-0000-000050B80000}"/>
    <cellStyle name="Total 3 2 8" xfId="2004" xr:uid="{00000000-0005-0000-0000-000051B80000}"/>
    <cellStyle name="Total 3 2 8 10" xfId="33291" xr:uid="{00000000-0005-0000-0000-000052B80000}"/>
    <cellStyle name="Total 3 2 8 11" xfId="37060" xr:uid="{00000000-0005-0000-0000-000053B80000}"/>
    <cellStyle name="Total 3 2 8 12" xfId="41052" xr:uid="{00000000-0005-0000-0000-000054B80000}"/>
    <cellStyle name="Total 3 2 8 13" xfId="44882" xr:uid="{00000000-0005-0000-0000-000055B80000}"/>
    <cellStyle name="Total 3 2 8 2" xfId="3993" xr:uid="{00000000-0005-0000-0000-000056B80000}"/>
    <cellStyle name="Total 3 2 8 2 10" xfId="39044" xr:uid="{00000000-0005-0000-0000-000057B80000}"/>
    <cellStyle name="Total 3 2 8 2 11" xfId="43055" xr:uid="{00000000-0005-0000-0000-000058B80000}"/>
    <cellStyle name="Total 3 2 8 2 12" xfId="46820" xr:uid="{00000000-0005-0000-0000-000059B80000}"/>
    <cellStyle name="Total 3 2 8 2 2" xfId="7860" xr:uid="{00000000-0005-0000-0000-00005AB80000}"/>
    <cellStyle name="Total 3 2 8 2 3" xfId="12295" xr:uid="{00000000-0005-0000-0000-00005BB80000}"/>
    <cellStyle name="Total 3 2 8 2 4" xfId="16140" xr:uid="{00000000-0005-0000-0000-00005CB80000}"/>
    <cellStyle name="Total 3 2 8 2 5" xfId="19987" xr:uid="{00000000-0005-0000-0000-00005DB80000}"/>
    <cellStyle name="Total 3 2 8 2 6" xfId="23903" xr:uid="{00000000-0005-0000-0000-00005EB80000}"/>
    <cellStyle name="Total 3 2 8 2 7" xfId="27737" xr:uid="{00000000-0005-0000-0000-00005FB80000}"/>
    <cellStyle name="Total 3 2 8 2 8" xfId="31597" xr:uid="{00000000-0005-0000-0000-000060B80000}"/>
    <cellStyle name="Total 3 2 8 2 9" xfId="35258" xr:uid="{00000000-0005-0000-0000-000061B80000}"/>
    <cellStyle name="Total 3 2 8 3" xfId="5936" xr:uid="{00000000-0005-0000-0000-000062B80000}"/>
    <cellStyle name="Total 3 2 8 4" xfId="10294" xr:uid="{00000000-0005-0000-0000-000063B80000}"/>
    <cellStyle name="Total 3 2 8 5" xfId="14141" xr:uid="{00000000-0005-0000-0000-000064B80000}"/>
    <cellStyle name="Total 3 2 8 6" xfId="17970" xr:uid="{00000000-0005-0000-0000-000065B80000}"/>
    <cellStyle name="Total 3 2 8 7" xfId="21909" xr:uid="{00000000-0005-0000-0000-000066B80000}"/>
    <cellStyle name="Total 3 2 8 8" xfId="25722" xr:uid="{00000000-0005-0000-0000-000067B80000}"/>
    <cellStyle name="Total 3 2 8 9" xfId="29609" xr:uid="{00000000-0005-0000-0000-000068B80000}"/>
    <cellStyle name="Total 3 2 9" xfId="2051" xr:uid="{00000000-0005-0000-0000-000069B80000}"/>
    <cellStyle name="Total 3 2 9 10" xfId="33335" xr:uid="{00000000-0005-0000-0000-00006AB80000}"/>
    <cellStyle name="Total 3 2 9 11" xfId="37107" xr:uid="{00000000-0005-0000-0000-00006BB80000}"/>
    <cellStyle name="Total 3 2 9 12" xfId="41097" xr:uid="{00000000-0005-0000-0000-00006CB80000}"/>
    <cellStyle name="Total 3 2 9 13" xfId="44926" xr:uid="{00000000-0005-0000-0000-00006DB80000}"/>
    <cellStyle name="Total 3 2 9 2" xfId="4040" xr:uid="{00000000-0005-0000-0000-00006EB80000}"/>
    <cellStyle name="Total 3 2 9 2 10" xfId="39091" xr:uid="{00000000-0005-0000-0000-00006FB80000}"/>
    <cellStyle name="Total 3 2 9 2 11" xfId="43101" xr:uid="{00000000-0005-0000-0000-000070B80000}"/>
    <cellStyle name="Total 3 2 9 2 12" xfId="46864" xr:uid="{00000000-0005-0000-0000-000071B80000}"/>
    <cellStyle name="Total 3 2 9 2 2" xfId="7905" xr:uid="{00000000-0005-0000-0000-000072B80000}"/>
    <cellStyle name="Total 3 2 9 2 3" xfId="12340" xr:uid="{00000000-0005-0000-0000-000073B80000}"/>
    <cellStyle name="Total 3 2 9 2 4" xfId="16186" xr:uid="{00000000-0005-0000-0000-000074B80000}"/>
    <cellStyle name="Total 3 2 9 2 5" xfId="20034" xr:uid="{00000000-0005-0000-0000-000075B80000}"/>
    <cellStyle name="Total 3 2 9 2 6" xfId="23949" xr:uid="{00000000-0005-0000-0000-000076B80000}"/>
    <cellStyle name="Total 3 2 9 2 7" xfId="27784" xr:uid="{00000000-0005-0000-0000-000077B80000}"/>
    <cellStyle name="Total 3 2 9 2 8" xfId="31643" xr:uid="{00000000-0005-0000-0000-000078B80000}"/>
    <cellStyle name="Total 3 2 9 2 9" xfId="35302" xr:uid="{00000000-0005-0000-0000-000079B80000}"/>
    <cellStyle name="Total 3 2 9 3" xfId="5981" xr:uid="{00000000-0005-0000-0000-00007AB80000}"/>
    <cellStyle name="Total 3 2 9 4" xfId="10339" xr:uid="{00000000-0005-0000-0000-00007BB80000}"/>
    <cellStyle name="Total 3 2 9 5" xfId="14187" xr:uid="{00000000-0005-0000-0000-00007CB80000}"/>
    <cellStyle name="Total 3 2 9 6" xfId="18017" xr:uid="{00000000-0005-0000-0000-00007DB80000}"/>
    <cellStyle name="Total 3 2 9 7" xfId="21955" xr:uid="{00000000-0005-0000-0000-00007EB80000}"/>
    <cellStyle name="Total 3 2 9 8" xfId="25769" xr:uid="{00000000-0005-0000-0000-00007FB80000}"/>
    <cellStyle name="Total 3 2 9 9" xfId="29655" xr:uid="{00000000-0005-0000-0000-000080B80000}"/>
    <cellStyle name="Total 3 20" xfId="8615" xr:uid="{00000000-0005-0000-0000-000081B80000}"/>
    <cellStyle name="Total 3 21" xfId="9331" xr:uid="{00000000-0005-0000-0000-000082B80000}"/>
    <cellStyle name="Total 3 22" xfId="8505" xr:uid="{00000000-0005-0000-0000-000083B80000}"/>
    <cellStyle name="Total 3 23" xfId="16261" xr:uid="{00000000-0005-0000-0000-000084B80000}"/>
    <cellStyle name="Total 3 24" xfId="39604" xr:uid="{00000000-0005-0000-0000-000085B80000}"/>
    <cellStyle name="Total 3 25" xfId="47327" xr:uid="{00000000-0005-0000-0000-000086B80000}"/>
    <cellStyle name="Total 3 26" xfId="47416" xr:uid="{00000000-0005-0000-0000-000087B80000}"/>
    <cellStyle name="Total 3 27" xfId="47697" xr:uid="{00000000-0005-0000-0000-000088B80000}"/>
    <cellStyle name="Total 3 3" xfId="588" xr:uid="{00000000-0005-0000-0000-000089B80000}"/>
    <cellStyle name="Total 3 3 10" xfId="21985" xr:uid="{00000000-0005-0000-0000-00008AB80000}"/>
    <cellStyle name="Total 3 3 11" xfId="21938" xr:uid="{00000000-0005-0000-0000-00008BB80000}"/>
    <cellStyle name="Total 3 3 12" xfId="30336" xr:uid="{00000000-0005-0000-0000-00008CB80000}"/>
    <cellStyle name="Total 3 3 13" xfId="23153" xr:uid="{00000000-0005-0000-0000-00008DB80000}"/>
    <cellStyle name="Total 3 3 14" xfId="39685" xr:uid="{00000000-0005-0000-0000-00008EB80000}"/>
    <cellStyle name="Total 3 3 15" xfId="41140" xr:uid="{00000000-0005-0000-0000-00008FB80000}"/>
    <cellStyle name="Total 3 3 2" xfId="968" xr:uid="{00000000-0005-0000-0000-000090B80000}"/>
    <cellStyle name="Total 3 3 2 10" xfId="28579" xr:uid="{00000000-0005-0000-0000-000091B80000}"/>
    <cellStyle name="Total 3 3 2 11" xfId="32269" xr:uid="{00000000-0005-0000-0000-000092B80000}"/>
    <cellStyle name="Total 3 3 2 12" xfId="36026" xr:uid="{00000000-0005-0000-0000-000093B80000}"/>
    <cellStyle name="Total 3 3 2 13" xfId="40033" xr:uid="{00000000-0005-0000-0000-000094B80000}"/>
    <cellStyle name="Total 3 3 2 14" xfId="43852" xr:uid="{00000000-0005-0000-0000-000095B80000}"/>
    <cellStyle name="Total 3 3 2 2" xfId="1699" xr:uid="{00000000-0005-0000-0000-000096B80000}"/>
    <cellStyle name="Total 3 3 2 2 10" xfId="32986" xr:uid="{00000000-0005-0000-0000-000097B80000}"/>
    <cellStyle name="Total 3 3 2 2 11" xfId="36756" xr:uid="{00000000-0005-0000-0000-000098B80000}"/>
    <cellStyle name="Total 3 3 2 2 12" xfId="40747" xr:uid="{00000000-0005-0000-0000-000099B80000}"/>
    <cellStyle name="Total 3 3 2 2 13" xfId="44578" xr:uid="{00000000-0005-0000-0000-00009AB80000}"/>
    <cellStyle name="Total 3 3 2 2 2" xfId="3689" xr:uid="{00000000-0005-0000-0000-00009BB80000}"/>
    <cellStyle name="Total 3 3 2 2 2 10" xfId="38740" xr:uid="{00000000-0005-0000-0000-00009CB80000}"/>
    <cellStyle name="Total 3 3 2 2 2 11" xfId="42751" xr:uid="{00000000-0005-0000-0000-00009DB80000}"/>
    <cellStyle name="Total 3 3 2 2 2 12" xfId="46516" xr:uid="{00000000-0005-0000-0000-00009EB80000}"/>
    <cellStyle name="Total 3 3 2 2 2 2" xfId="7556" xr:uid="{00000000-0005-0000-0000-00009FB80000}"/>
    <cellStyle name="Total 3 3 2 2 2 3" xfId="11991" xr:uid="{00000000-0005-0000-0000-0000A0B80000}"/>
    <cellStyle name="Total 3 3 2 2 2 4" xfId="15836" xr:uid="{00000000-0005-0000-0000-0000A1B80000}"/>
    <cellStyle name="Total 3 3 2 2 2 5" xfId="19683" xr:uid="{00000000-0005-0000-0000-0000A2B80000}"/>
    <cellStyle name="Total 3 3 2 2 2 6" xfId="23599" xr:uid="{00000000-0005-0000-0000-0000A3B80000}"/>
    <cellStyle name="Total 3 3 2 2 2 7" xfId="27433" xr:uid="{00000000-0005-0000-0000-0000A4B80000}"/>
    <cellStyle name="Total 3 3 2 2 2 8" xfId="31297" xr:uid="{00000000-0005-0000-0000-0000A5B80000}"/>
    <cellStyle name="Total 3 3 2 2 2 9" xfId="34954" xr:uid="{00000000-0005-0000-0000-0000A6B80000}"/>
    <cellStyle name="Total 3 3 2 2 3" xfId="5632" xr:uid="{00000000-0005-0000-0000-0000A7B80000}"/>
    <cellStyle name="Total 3 3 2 2 4" xfId="9990" xr:uid="{00000000-0005-0000-0000-0000A8B80000}"/>
    <cellStyle name="Total 3 3 2 2 5" xfId="13836" xr:uid="{00000000-0005-0000-0000-0000A9B80000}"/>
    <cellStyle name="Total 3 3 2 2 6" xfId="17665" xr:uid="{00000000-0005-0000-0000-0000AAB80000}"/>
    <cellStyle name="Total 3 3 2 2 7" xfId="21604" xr:uid="{00000000-0005-0000-0000-0000ABB80000}"/>
    <cellStyle name="Total 3 3 2 2 8" xfId="25417" xr:uid="{00000000-0005-0000-0000-0000ACB80000}"/>
    <cellStyle name="Total 3 3 2 2 9" xfId="29304" xr:uid="{00000000-0005-0000-0000-0000ADB80000}"/>
    <cellStyle name="Total 3 3 2 3" xfId="2958" xr:uid="{00000000-0005-0000-0000-0000AEB80000}"/>
    <cellStyle name="Total 3 3 2 3 10" xfId="38010" xr:uid="{00000000-0005-0000-0000-0000AFB80000}"/>
    <cellStyle name="Total 3 3 2 3 11" xfId="42022" xr:uid="{00000000-0005-0000-0000-0000B0B80000}"/>
    <cellStyle name="Total 3 3 2 3 12" xfId="45799" xr:uid="{00000000-0005-0000-0000-0000B1B80000}"/>
    <cellStyle name="Total 3 3 2 3 2" xfId="6838" xr:uid="{00000000-0005-0000-0000-0000B2B80000}"/>
    <cellStyle name="Total 3 3 2 3 3" xfId="11265" xr:uid="{00000000-0005-0000-0000-0000B3B80000}"/>
    <cellStyle name="Total 3 3 2 3 4" xfId="15110" xr:uid="{00000000-0005-0000-0000-0000B4B80000}"/>
    <cellStyle name="Total 3 3 2 3 5" xfId="18952" xr:uid="{00000000-0005-0000-0000-0000B5B80000}"/>
    <cellStyle name="Total 3 3 2 3 6" xfId="22878" xr:uid="{00000000-0005-0000-0000-0000B6B80000}"/>
    <cellStyle name="Total 3 3 2 3 7" xfId="26703" xr:uid="{00000000-0005-0000-0000-0000B7B80000}"/>
    <cellStyle name="Total 3 3 2 3 8" xfId="30577" xr:uid="{00000000-0005-0000-0000-0000B8B80000}"/>
    <cellStyle name="Total 3 3 2 3 9" xfId="34237" xr:uid="{00000000-0005-0000-0000-0000B9B80000}"/>
    <cellStyle name="Total 3 3 2 4" xfId="4914" xr:uid="{00000000-0005-0000-0000-0000BAB80000}"/>
    <cellStyle name="Total 3 3 2 5" xfId="9268" xr:uid="{00000000-0005-0000-0000-0000BBB80000}"/>
    <cellStyle name="Total 3 3 2 6" xfId="13109" xr:uid="{00000000-0005-0000-0000-0000BCB80000}"/>
    <cellStyle name="Total 3 3 2 7" xfId="16934" xr:uid="{00000000-0005-0000-0000-0000BDB80000}"/>
    <cellStyle name="Total 3 3 2 8" xfId="20876" xr:uid="{00000000-0005-0000-0000-0000BEB80000}"/>
    <cellStyle name="Total 3 3 2 9" xfId="24692" xr:uid="{00000000-0005-0000-0000-0000BFB80000}"/>
    <cellStyle name="Total 3 3 3" xfId="1346" xr:uid="{00000000-0005-0000-0000-0000C0B80000}"/>
    <cellStyle name="Total 3 3 3 10" xfId="32633" xr:uid="{00000000-0005-0000-0000-0000C1B80000}"/>
    <cellStyle name="Total 3 3 3 11" xfId="36403" xr:uid="{00000000-0005-0000-0000-0000C2B80000}"/>
    <cellStyle name="Total 3 3 3 12" xfId="40394" xr:uid="{00000000-0005-0000-0000-0000C3B80000}"/>
    <cellStyle name="Total 3 3 3 13" xfId="44225" xr:uid="{00000000-0005-0000-0000-0000C4B80000}"/>
    <cellStyle name="Total 3 3 3 2" xfId="3336" xr:uid="{00000000-0005-0000-0000-0000C5B80000}"/>
    <cellStyle name="Total 3 3 3 2 10" xfId="38387" xr:uid="{00000000-0005-0000-0000-0000C6B80000}"/>
    <cellStyle name="Total 3 3 3 2 11" xfId="42398" xr:uid="{00000000-0005-0000-0000-0000C7B80000}"/>
    <cellStyle name="Total 3 3 3 2 12" xfId="46163" xr:uid="{00000000-0005-0000-0000-0000C8B80000}"/>
    <cellStyle name="Total 3 3 3 2 2" xfId="7203" xr:uid="{00000000-0005-0000-0000-0000C9B80000}"/>
    <cellStyle name="Total 3 3 3 2 3" xfId="11638" xr:uid="{00000000-0005-0000-0000-0000CAB80000}"/>
    <cellStyle name="Total 3 3 3 2 4" xfId="15483" xr:uid="{00000000-0005-0000-0000-0000CBB80000}"/>
    <cellStyle name="Total 3 3 3 2 5" xfId="19330" xr:uid="{00000000-0005-0000-0000-0000CCB80000}"/>
    <cellStyle name="Total 3 3 3 2 6" xfId="23246" xr:uid="{00000000-0005-0000-0000-0000CDB80000}"/>
    <cellStyle name="Total 3 3 3 2 7" xfId="27080" xr:uid="{00000000-0005-0000-0000-0000CEB80000}"/>
    <cellStyle name="Total 3 3 3 2 8" xfId="30948" xr:uid="{00000000-0005-0000-0000-0000CFB80000}"/>
    <cellStyle name="Total 3 3 3 2 9" xfId="34601" xr:uid="{00000000-0005-0000-0000-0000D0B80000}"/>
    <cellStyle name="Total 3 3 3 3" xfId="5279" xr:uid="{00000000-0005-0000-0000-0000D1B80000}"/>
    <cellStyle name="Total 3 3 3 4" xfId="9637" xr:uid="{00000000-0005-0000-0000-0000D2B80000}"/>
    <cellStyle name="Total 3 3 3 5" xfId="13483" xr:uid="{00000000-0005-0000-0000-0000D3B80000}"/>
    <cellStyle name="Total 3 3 3 6" xfId="17312" xr:uid="{00000000-0005-0000-0000-0000D4B80000}"/>
    <cellStyle name="Total 3 3 3 7" xfId="21251" xr:uid="{00000000-0005-0000-0000-0000D5B80000}"/>
    <cellStyle name="Total 3 3 3 8" xfId="25064" xr:uid="{00000000-0005-0000-0000-0000D6B80000}"/>
    <cellStyle name="Total 3 3 3 9" xfId="28951" xr:uid="{00000000-0005-0000-0000-0000D7B80000}"/>
    <cellStyle name="Total 3 3 4" xfId="2591" xr:uid="{00000000-0005-0000-0000-0000D8B80000}"/>
    <cellStyle name="Total 3 3 4 10" xfId="37643" xr:uid="{00000000-0005-0000-0000-0000D9B80000}"/>
    <cellStyle name="Total 3 3 4 11" xfId="41657" xr:uid="{00000000-0005-0000-0000-0000DAB80000}"/>
    <cellStyle name="Total 3 3 4 12" xfId="45446" xr:uid="{00000000-0005-0000-0000-0000DBB80000}"/>
    <cellStyle name="Total 3 3 4 2" xfId="6483" xr:uid="{00000000-0005-0000-0000-0000DCB80000}"/>
    <cellStyle name="Total 3 3 4 3" xfId="10906" xr:uid="{00000000-0005-0000-0000-0000DDB80000}"/>
    <cellStyle name="Total 3 3 4 4" xfId="14750" xr:uid="{00000000-0005-0000-0000-0000DEB80000}"/>
    <cellStyle name="Total 3 3 4 5" xfId="18585" xr:uid="{00000000-0005-0000-0000-0000DFB80000}"/>
    <cellStyle name="Total 3 3 4 6" xfId="22520" xr:uid="{00000000-0005-0000-0000-0000E0B80000}"/>
    <cellStyle name="Total 3 3 4 7" xfId="26336" xr:uid="{00000000-0005-0000-0000-0000E1B80000}"/>
    <cellStyle name="Total 3 3 4 8" xfId="30215" xr:uid="{00000000-0005-0000-0000-0000E2B80000}"/>
    <cellStyle name="Total 3 3 4 9" xfId="33884" xr:uid="{00000000-0005-0000-0000-0000E3B80000}"/>
    <cellStyle name="Total 3 3 5" xfId="4559" xr:uid="{00000000-0005-0000-0000-0000E4B80000}"/>
    <cellStyle name="Total 3 3 6" xfId="8898" xr:uid="{00000000-0005-0000-0000-0000E5B80000}"/>
    <cellStyle name="Total 3 3 7" xfId="8679" xr:uid="{00000000-0005-0000-0000-0000E6B80000}"/>
    <cellStyle name="Total 3 3 8" xfId="8606" xr:uid="{00000000-0005-0000-0000-0000E7B80000}"/>
    <cellStyle name="Total 3 3 9" xfId="20501" xr:uid="{00000000-0005-0000-0000-0000E8B80000}"/>
    <cellStyle name="Total 3 4" xfId="760" xr:uid="{00000000-0005-0000-0000-0000E9B80000}"/>
    <cellStyle name="Total 3 4 10" xfId="24489" xr:uid="{00000000-0005-0000-0000-0000EAB80000}"/>
    <cellStyle name="Total 3 4 11" xfId="28379" xr:uid="{00000000-0005-0000-0000-0000EBB80000}"/>
    <cellStyle name="Total 3 4 12" xfId="24515" xr:uid="{00000000-0005-0000-0000-0000ECB80000}"/>
    <cellStyle name="Total 3 4 13" xfId="35824" xr:uid="{00000000-0005-0000-0000-0000EDB80000}"/>
    <cellStyle name="Total 3 4 14" xfId="39843" xr:uid="{00000000-0005-0000-0000-0000EEB80000}"/>
    <cellStyle name="Total 3 4 15" xfId="43650" xr:uid="{00000000-0005-0000-0000-0000EFB80000}"/>
    <cellStyle name="Total 3 4 2" xfId="1130" xr:uid="{00000000-0005-0000-0000-0000F0B80000}"/>
    <cellStyle name="Total 3 4 2 10" xfId="28739" xr:uid="{00000000-0005-0000-0000-0000F1B80000}"/>
    <cellStyle name="Total 3 4 2 11" xfId="32427" xr:uid="{00000000-0005-0000-0000-0000F2B80000}"/>
    <cellStyle name="Total 3 4 2 12" xfId="36188" xr:uid="{00000000-0005-0000-0000-0000F3B80000}"/>
    <cellStyle name="Total 3 4 2 13" xfId="40189" xr:uid="{00000000-0005-0000-0000-0000F4B80000}"/>
    <cellStyle name="Total 3 4 2 14" xfId="44014" xr:uid="{00000000-0005-0000-0000-0000F5B80000}"/>
    <cellStyle name="Total 3 4 2 2" xfId="1857" xr:uid="{00000000-0005-0000-0000-0000F6B80000}"/>
    <cellStyle name="Total 3 4 2 2 10" xfId="33144" xr:uid="{00000000-0005-0000-0000-0000F7B80000}"/>
    <cellStyle name="Total 3 4 2 2 11" xfId="36914" xr:uid="{00000000-0005-0000-0000-0000F8B80000}"/>
    <cellStyle name="Total 3 4 2 2 12" xfId="40905" xr:uid="{00000000-0005-0000-0000-0000F9B80000}"/>
    <cellStyle name="Total 3 4 2 2 13" xfId="44736" xr:uid="{00000000-0005-0000-0000-0000FAB80000}"/>
    <cellStyle name="Total 3 4 2 2 2" xfId="3847" xr:uid="{00000000-0005-0000-0000-0000FBB80000}"/>
    <cellStyle name="Total 3 4 2 2 2 10" xfId="38898" xr:uid="{00000000-0005-0000-0000-0000FCB80000}"/>
    <cellStyle name="Total 3 4 2 2 2 11" xfId="42909" xr:uid="{00000000-0005-0000-0000-0000FDB80000}"/>
    <cellStyle name="Total 3 4 2 2 2 12" xfId="46674" xr:uid="{00000000-0005-0000-0000-0000FEB80000}"/>
    <cellStyle name="Total 3 4 2 2 2 2" xfId="7714" xr:uid="{00000000-0005-0000-0000-0000FFB80000}"/>
    <cellStyle name="Total 3 4 2 2 2 3" xfId="12149" xr:uid="{00000000-0005-0000-0000-000000B90000}"/>
    <cellStyle name="Total 3 4 2 2 2 4" xfId="15994" xr:uid="{00000000-0005-0000-0000-000001B90000}"/>
    <cellStyle name="Total 3 4 2 2 2 5" xfId="19841" xr:uid="{00000000-0005-0000-0000-000002B90000}"/>
    <cellStyle name="Total 3 4 2 2 2 6" xfId="23757" xr:uid="{00000000-0005-0000-0000-000003B90000}"/>
    <cellStyle name="Total 3 4 2 2 2 7" xfId="27591" xr:uid="{00000000-0005-0000-0000-000004B90000}"/>
    <cellStyle name="Total 3 4 2 2 2 8" xfId="31454" xr:uid="{00000000-0005-0000-0000-000005B90000}"/>
    <cellStyle name="Total 3 4 2 2 2 9" xfId="35112" xr:uid="{00000000-0005-0000-0000-000006B90000}"/>
    <cellStyle name="Total 3 4 2 2 3" xfId="5790" xr:uid="{00000000-0005-0000-0000-000007B90000}"/>
    <cellStyle name="Total 3 4 2 2 4" xfId="10148" xr:uid="{00000000-0005-0000-0000-000008B90000}"/>
    <cellStyle name="Total 3 4 2 2 5" xfId="13994" xr:uid="{00000000-0005-0000-0000-000009B90000}"/>
    <cellStyle name="Total 3 4 2 2 6" xfId="17823" xr:uid="{00000000-0005-0000-0000-00000AB90000}"/>
    <cellStyle name="Total 3 4 2 2 7" xfId="21762" xr:uid="{00000000-0005-0000-0000-00000BB90000}"/>
    <cellStyle name="Total 3 4 2 2 8" xfId="25575" xr:uid="{00000000-0005-0000-0000-00000CB90000}"/>
    <cellStyle name="Total 3 4 2 2 9" xfId="29462" xr:uid="{00000000-0005-0000-0000-00000DB90000}"/>
    <cellStyle name="Total 3 4 2 3" xfId="3120" xr:uid="{00000000-0005-0000-0000-00000EB90000}"/>
    <cellStyle name="Total 3 4 2 3 10" xfId="38172" xr:uid="{00000000-0005-0000-0000-00000FB90000}"/>
    <cellStyle name="Total 3 4 2 3 11" xfId="42184" xr:uid="{00000000-0005-0000-0000-000010B90000}"/>
    <cellStyle name="Total 3 4 2 3 12" xfId="45957" xr:uid="{00000000-0005-0000-0000-000011B90000}"/>
    <cellStyle name="Total 3 4 2 3 2" xfId="6996" xr:uid="{00000000-0005-0000-0000-000012B90000}"/>
    <cellStyle name="Total 3 4 2 3 3" xfId="11425" xr:uid="{00000000-0005-0000-0000-000013B90000}"/>
    <cellStyle name="Total 3 4 2 3 4" xfId="15269" xr:uid="{00000000-0005-0000-0000-000014B90000}"/>
    <cellStyle name="Total 3 4 2 3 5" xfId="19114" xr:uid="{00000000-0005-0000-0000-000015B90000}"/>
    <cellStyle name="Total 3 4 2 3 6" xfId="23036" xr:uid="{00000000-0005-0000-0000-000016B90000}"/>
    <cellStyle name="Total 3 4 2 3 7" xfId="26865" xr:uid="{00000000-0005-0000-0000-000017B90000}"/>
    <cellStyle name="Total 3 4 2 3 8" xfId="30737" xr:uid="{00000000-0005-0000-0000-000018B90000}"/>
    <cellStyle name="Total 3 4 2 3 9" xfId="34395" xr:uid="{00000000-0005-0000-0000-000019B90000}"/>
    <cellStyle name="Total 3 4 2 4" xfId="5072" xr:uid="{00000000-0005-0000-0000-00001AB90000}"/>
    <cellStyle name="Total 3 4 2 5" xfId="9428" xr:uid="{00000000-0005-0000-0000-00001BB90000}"/>
    <cellStyle name="Total 3 4 2 6" xfId="13268" xr:uid="{00000000-0005-0000-0000-00001CB90000}"/>
    <cellStyle name="Total 3 4 2 7" xfId="17096" xr:uid="{00000000-0005-0000-0000-00001DB90000}"/>
    <cellStyle name="Total 3 4 2 8" xfId="21038" xr:uid="{00000000-0005-0000-0000-00001EB90000}"/>
    <cellStyle name="Total 3 4 2 9" xfId="24852" xr:uid="{00000000-0005-0000-0000-00001FB90000}"/>
    <cellStyle name="Total 3 4 3" xfId="1504" xr:uid="{00000000-0005-0000-0000-000020B90000}"/>
    <cellStyle name="Total 3 4 3 10" xfId="32791" xr:uid="{00000000-0005-0000-0000-000021B90000}"/>
    <cellStyle name="Total 3 4 3 11" xfId="36561" xr:uid="{00000000-0005-0000-0000-000022B90000}"/>
    <cellStyle name="Total 3 4 3 12" xfId="40552" xr:uid="{00000000-0005-0000-0000-000023B90000}"/>
    <cellStyle name="Total 3 4 3 13" xfId="44383" xr:uid="{00000000-0005-0000-0000-000024B90000}"/>
    <cellStyle name="Total 3 4 3 2" xfId="3494" xr:uid="{00000000-0005-0000-0000-000025B90000}"/>
    <cellStyle name="Total 3 4 3 2 10" xfId="38545" xr:uid="{00000000-0005-0000-0000-000026B90000}"/>
    <cellStyle name="Total 3 4 3 2 11" xfId="42556" xr:uid="{00000000-0005-0000-0000-000027B90000}"/>
    <cellStyle name="Total 3 4 3 2 12" xfId="46321" xr:uid="{00000000-0005-0000-0000-000028B90000}"/>
    <cellStyle name="Total 3 4 3 2 2" xfId="7361" xr:uid="{00000000-0005-0000-0000-000029B90000}"/>
    <cellStyle name="Total 3 4 3 2 3" xfId="11796" xr:uid="{00000000-0005-0000-0000-00002AB90000}"/>
    <cellStyle name="Total 3 4 3 2 4" xfId="15641" xr:uid="{00000000-0005-0000-0000-00002BB90000}"/>
    <cellStyle name="Total 3 4 3 2 5" xfId="19488" xr:uid="{00000000-0005-0000-0000-00002CB90000}"/>
    <cellStyle name="Total 3 4 3 2 6" xfId="23404" xr:uid="{00000000-0005-0000-0000-00002DB90000}"/>
    <cellStyle name="Total 3 4 3 2 7" xfId="27238" xr:uid="{00000000-0005-0000-0000-00002EB90000}"/>
    <cellStyle name="Total 3 4 3 2 8" xfId="31105" xr:uid="{00000000-0005-0000-0000-00002FB90000}"/>
    <cellStyle name="Total 3 4 3 2 9" xfId="34759" xr:uid="{00000000-0005-0000-0000-000030B90000}"/>
    <cellStyle name="Total 3 4 3 3" xfId="5437" xr:uid="{00000000-0005-0000-0000-000031B90000}"/>
    <cellStyle name="Total 3 4 3 4" xfId="9795" xr:uid="{00000000-0005-0000-0000-000032B90000}"/>
    <cellStyle name="Total 3 4 3 5" xfId="13641" xr:uid="{00000000-0005-0000-0000-000033B90000}"/>
    <cellStyle name="Total 3 4 3 6" xfId="17470" xr:uid="{00000000-0005-0000-0000-000034B90000}"/>
    <cellStyle name="Total 3 4 3 7" xfId="21409" xr:uid="{00000000-0005-0000-0000-000035B90000}"/>
    <cellStyle name="Total 3 4 3 8" xfId="25222" xr:uid="{00000000-0005-0000-0000-000036B90000}"/>
    <cellStyle name="Total 3 4 3 9" xfId="29109" xr:uid="{00000000-0005-0000-0000-000037B90000}"/>
    <cellStyle name="Total 3 4 4" xfId="2756" xr:uid="{00000000-0005-0000-0000-000038B90000}"/>
    <cellStyle name="Total 3 4 4 10" xfId="37808" xr:uid="{00000000-0005-0000-0000-000039B90000}"/>
    <cellStyle name="Total 3 4 4 11" xfId="41821" xr:uid="{00000000-0005-0000-0000-00003AB90000}"/>
    <cellStyle name="Total 3 4 4 12" xfId="45604" xr:uid="{00000000-0005-0000-0000-00003BB90000}"/>
    <cellStyle name="Total 3 4 4 2" xfId="6642" xr:uid="{00000000-0005-0000-0000-00003CB90000}"/>
    <cellStyle name="Total 3 4 4 3" xfId="11066" xr:uid="{00000000-0005-0000-0000-00003DB90000}"/>
    <cellStyle name="Total 3 4 4 4" xfId="14911" xr:uid="{00000000-0005-0000-0000-00003EB90000}"/>
    <cellStyle name="Total 3 4 4 5" xfId="18750" xr:uid="{00000000-0005-0000-0000-00003FB90000}"/>
    <cellStyle name="Total 3 4 4 6" xfId="22680" xr:uid="{00000000-0005-0000-0000-000040B90000}"/>
    <cellStyle name="Total 3 4 4 7" xfId="26501" xr:uid="{00000000-0005-0000-0000-000041B90000}"/>
    <cellStyle name="Total 3 4 4 8" xfId="30379" xr:uid="{00000000-0005-0000-0000-000042B90000}"/>
    <cellStyle name="Total 3 4 4 9" xfId="34042" xr:uid="{00000000-0005-0000-0000-000043B90000}"/>
    <cellStyle name="Total 3 4 5" xfId="4718" xr:uid="{00000000-0005-0000-0000-000044B90000}"/>
    <cellStyle name="Total 3 4 6" xfId="9065" xr:uid="{00000000-0005-0000-0000-000045B90000}"/>
    <cellStyle name="Total 3 4 7" xfId="12904" xr:uid="{00000000-0005-0000-0000-000046B90000}"/>
    <cellStyle name="Total 3 4 8" xfId="16730" xr:uid="{00000000-0005-0000-0000-000047B90000}"/>
    <cellStyle name="Total 3 4 9" xfId="20669" xr:uid="{00000000-0005-0000-0000-000048B90000}"/>
    <cellStyle name="Total 3 5" xfId="778" xr:uid="{00000000-0005-0000-0000-000049B90000}"/>
    <cellStyle name="Total 3 5 10" xfId="24506" xr:uid="{00000000-0005-0000-0000-00004AB90000}"/>
    <cellStyle name="Total 3 5 11" xfId="28394" xr:uid="{00000000-0005-0000-0000-00004BB90000}"/>
    <cellStyle name="Total 3 5 12" xfId="8414" xr:uid="{00000000-0005-0000-0000-00004CB90000}"/>
    <cellStyle name="Total 3 5 13" xfId="35838" xr:uid="{00000000-0005-0000-0000-00004DB90000}"/>
    <cellStyle name="Total 3 5 14" xfId="39857" xr:uid="{00000000-0005-0000-0000-00004EB90000}"/>
    <cellStyle name="Total 3 5 15" xfId="43664" xr:uid="{00000000-0005-0000-0000-00004FB90000}"/>
    <cellStyle name="Total 3 5 2" xfId="1144" xr:uid="{00000000-0005-0000-0000-000050B90000}"/>
    <cellStyle name="Total 3 5 2 10" xfId="28753" xr:uid="{00000000-0005-0000-0000-000051B90000}"/>
    <cellStyle name="Total 3 5 2 11" xfId="32441" xr:uid="{00000000-0005-0000-0000-000052B90000}"/>
    <cellStyle name="Total 3 5 2 12" xfId="36202" xr:uid="{00000000-0005-0000-0000-000053B90000}"/>
    <cellStyle name="Total 3 5 2 13" xfId="40203" xr:uid="{00000000-0005-0000-0000-000054B90000}"/>
    <cellStyle name="Total 3 5 2 14" xfId="44028" xr:uid="{00000000-0005-0000-0000-000055B90000}"/>
    <cellStyle name="Total 3 5 2 2" xfId="1871" xr:uid="{00000000-0005-0000-0000-000056B90000}"/>
    <cellStyle name="Total 3 5 2 2 10" xfId="33158" xr:uid="{00000000-0005-0000-0000-000057B90000}"/>
    <cellStyle name="Total 3 5 2 2 11" xfId="36928" xr:uid="{00000000-0005-0000-0000-000058B90000}"/>
    <cellStyle name="Total 3 5 2 2 12" xfId="40919" xr:uid="{00000000-0005-0000-0000-000059B90000}"/>
    <cellStyle name="Total 3 5 2 2 13" xfId="44750" xr:uid="{00000000-0005-0000-0000-00005AB90000}"/>
    <cellStyle name="Total 3 5 2 2 2" xfId="3861" xr:uid="{00000000-0005-0000-0000-00005BB90000}"/>
    <cellStyle name="Total 3 5 2 2 2 10" xfId="38912" xr:uid="{00000000-0005-0000-0000-00005CB90000}"/>
    <cellStyle name="Total 3 5 2 2 2 11" xfId="42923" xr:uid="{00000000-0005-0000-0000-00005DB90000}"/>
    <cellStyle name="Total 3 5 2 2 2 12" xfId="46688" xr:uid="{00000000-0005-0000-0000-00005EB90000}"/>
    <cellStyle name="Total 3 5 2 2 2 2" xfId="7728" xr:uid="{00000000-0005-0000-0000-00005FB90000}"/>
    <cellStyle name="Total 3 5 2 2 2 3" xfId="12163" xr:uid="{00000000-0005-0000-0000-000060B90000}"/>
    <cellStyle name="Total 3 5 2 2 2 4" xfId="16008" xr:uid="{00000000-0005-0000-0000-000061B90000}"/>
    <cellStyle name="Total 3 5 2 2 2 5" xfId="19855" xr:uid="{00000000-0005-0000-0000-000062B90000}"/>
    <cellStyle name="Total 3 5 2 2 2 6" xfId="23771" xr:uid="{00000000-0005-0000-0000-000063B90000}"/>
    <cellStyle name="Total 3 5 2 2 2 7" xfId="27605" xr:uid="{00000000-0005-0000-0000-000064B90000}"/>
    <cellStyle name="Total 3 5 2 2 2 8" xfId="31468" xr:uid="{00000000-0005-0000-0000-000065B90000}"/>
    <cellStyle name="Total 3 5 2 2 2 9" xfId="35126" xr:uid="{00000000-0005-0000-0000-000066B90000}"/>
    <cellStyle name="Total 3 5 2 2 3" xfId="5804" xr:uid="{00000000-0005-0000-0000-000067B90000}"/>
    <cellStyle name="Total 3 5 2 2 4" xfId="10162" xr:uid="{00000000-0005-0000-0000-000068B90000}"/>
    <cellStyle name="Total 3 5 2 2 5" xfId="14008" xr:uid="{00000000-0005-0000-0000-000069B90000}"/>
    <cellStyle name="Total 3 5 2 2 6" xfId="17837" xr:uid="{00000000-0005-0000-0000-00006AB90000}"/>
    <cellStyle name="Total 3 5 2 2 7" xfId="21776" xr:uid="{00000000-0005-0000-0000-00006BB90000}"/>
    <cellStyle name="Total 3 5 2 2 8" xfId="25589" xr:uid="{00000000-0005-0000-0000-00006CB90000}"/>
    <cellStyle name="Total 3 5 2 2 9" xfId="29476" xr:uid="{00000000-0005-0000-0000-00006DB90000}"/>
    <cellStyle name="Total 3 5 2 3" xfId="3134" xr:uid="{00000000-0005-0000-0000-00006EB90000}"/>
    <cellStyle name="Total 3 5 2 3 10" xfId="38186" xr:uid="{00000000-0005-0000-0000-00006FB90000}"/>
    <cellStyle name="Total 3 5 2 3 11" xfId="42198" xr:uid="{00000000-0005-0000-0000-000070B90000}"/>
    <cellStyle name="Total 3 5 2 3 12" xfId="45971" xr:uid="{00000000-0005-0000-0000-000071B90000}"/>
    <cellStyle name="Total 3 5 2 3 2" xfId="7010" xr:uid="{00000000-0005-0000-0000-000072B90000}"/>
    <cellStyle name="Total 3 5 2 3 3" xfId="11439" xr:uid="{00000000-0005-0000-0000-000073B90000}"/>
    <cellStyle name="Total 3 5 2 3 4" xfId="15283" xr:uid="{00000000-0005-0000-0000-000074B90000}"/>
    <cellStyle name="Total 3 5 2 3 5" xfId="19128" xr:uid="{00000000-0005-0000-0000-000075B90000}"/>
    <cellStyle name="Total 3 5 2 3 6" xfId="23050" xr:uid="{00000000-0005-0000-0000-000076B90000}"/>
    <cellStyle name="Total 3 5 2 3 7" xfId="26879" xr:uid="{00000000-0005-0000-0000-000077B90000}"/>
    <cellStyle name="Total 3 5 2 3 8" xfId="30751" xr:uid="{00000000-0005-0000-0000-000078B90000}"/>
    <cellStyle name="Total 3 5 2 3 9" xfId="34409" xr:uid="{00000000-0005-0000-0000-000079B90000}"/>
    <cellStyle name="Total 3 5 2 4" xfId="5086" xr:uid="{00000000-0005-0000-0000-00007AB90000}"/>
    <cellStyle name="Total 3 5 2 5" xfId="9442" xr:uid="{00000000-0005-0000-0000-00007BB90000}"/>
    <cellStyle name="Total 3 5 2 6" xfId="13282" xr:uid="{00000000-0005-0000-0000-00007CB90000}"/>
    <cellStyle name="Total 3 5 2 7" xfId="17110" xr:uid="{00000000-0005-0000-0000-00007DB90000}"/>
    <cellStyle name="Total 3 5 2 8" xfId="21052" xr:uid="{00000000-0005-0000-0000-00007EB90000}"/>
    <cellStyle name="Total 3 5 2 9" xfId="24866" xr:uid="{00000000-0005-0000-0000-00007FB90000}"/>
    <cellStyle name="Total 3 5 3" xfId="1518" xr:uid="{00000000-0005-0000-0000-000080B90000}"/>
    <cellStyle name="Total 3 5 3 10" xfId="32805" xr:uid="{00000000-0005-0000-0000-000081B90000}"/>
    <cellStyle name="Total 3 5 3 11" xfId="36575" xr:uid="{00000000-0005-0000-0000-000082B90000}"/>
    <cellStyle name="Total 3 5 3 12" xfId="40566" xr:uid="{00000000-0005-0000-0000-000083B90000}"/>
    <cellStyle name="Total 3 5 3 13" xfId="44397" xr:uid="{00000000-0005-0000-0000-000084B90000}"/>
    <cellStyle name="Total 3 5 3 2" xfId="3508" xr:uid="{00000000-0005-0000-0000-000085B90000}"/>
    <cellStyle name="Total 3 5 3 2 10" xfId="38559" xr:uid="{00000000-0005-0000-0000-000086B90000}"/>
    <cellStyle name="Total 3 5 3 2 11" xfId="42570" xr:uid="{00000000-0005-0000-0000-000087B90000}"/>
    <cellStyle name="Total 3 5 3 2 12" xfId="46335" xr:uid="{00000000-0005-0000-0000-000088B90000}"/>
    <cellStyle name="Total 3 5 3 2 2" xfId="7375" xr:uid="{00000000-0005-0000-0000-000089B90000}"/>
    <cellStyle name="Total 3 5 3 2 3" xfId="11810" xr:uid="{00000000-0005-0000-0000-00008AB90000}"/>
    <cellStyle name="Total 3 5 3 2 4" xfId="15655" xr:uid="{00000000-0005-0000-0000-00008BB90000}"/>
    <cellStyle name="Total 3 5 3 2 5" xfId="19502" xr:uid="{00000000-0005-0000-0000-00008CB90000}"/>
    <cellStyle name="Total 3 5 3 2 6" xfId="23418" xr:uid="{00000000-0005-0000-0000-00008DB90000}"/>
    <cellStyle name="Total 3 5 3 2 7" xfId="27252" xr:uid="{00000000-0005-0000-0000-00008EB90000}"/>
    <cellStyle name="Total 3 5 3 2 8" xfId="31119" xr:uid="{00000000-0005-0000-0000-00008FB90000}"/>
    <cellStyle name="Total 3 5 3 2 9" xfId="34773" xr:uid="{00000000-0005-0000-0000-000090B90000}"/>
    <cellStyle name="Total 3 5 3 3" xfId="5451" xr:uid="{00000000-0005-0000-0000-000091B90000}"/>
    <cellStyle name="Total 3 5 3 4" xfId="9809" xr:uid="{00000000-0005-0000-0000-000092B90000}"/>
    <cellStyle name="Total 3 5 3 5" xfId="13655" xr:uid="{00000000-0005-0000-0000-000093B90000}"/>
    <cellStyle name="Total 3 5 3 6" xfId="17484" xr:uid="{00000000-0005-0000-0000-000094B90000}"/>
    <cellStyle name="Total 3 5 3 7" xfId="21423" xr:uid="{00000000-0005-0000-0000-000095B90000}"/>
    <cellStyle name="Total 3 5 3 8" xfId="25236" xr:uid="{00000000-0005-0000-0000-000096B90000}"/>
    <cellStyle name="Total 3 5 3 9" xfId="29123" xr:uid="{00000000-0005-0000-0000-000097B90000}"/>
    <cellStyle name="Total 3 5 4" xfId="2770" xr:uid="{00000000-0005-0000-0000-000098B90000}"/>
    <cellStyle name="Total 3 5 4 10" xfId="37822" xr:uid="{00000000-0005-0000-0000-000099B90000}"/>
    <cellStyle name="Total 3 5 4 11" xfId="41835" xr:uid="{00000000-0005-0000-0000-00009AB90000}"/>
    <cellStyle name="Total 3 5 4 12" xfId="45618" xr:uid="{00000000-0005-0000-0000-00009BB90000}"/>
    <cellStyle name="Total 3 5 4 2" xfId="6656" xr:uid="{00000000-0005-0000-0000-00009CB90000}"/>
    <cellStyle name="Total 3 5 4 3" xfId="11080" xr:uid="{00000000-0005-0000-0000-00009DB90000}"/>
    <cellStyle name="Total 3 5 4 4" xfId="14925" xr:uid="{00000000-0005-0000-0000-00009EB90000}"/>
    <cellStyle name="Total 3 5 4 5" xfId="18764" xr:uid="{00000000-0005-0000-0000-00009FB90000}"/>
    <cellStyle name="Total 3 5 4 6" xfId="22694" xr:uid="{00000000-0005-0000-0000-0000A0B90000}"/>
    <cellStyle name="Total 3 5 4 7" xfId="26515" xr:uid="{00000000-0005-0000-0000-0000A1B90000}"/>
    <cellStyle name="Total 3 5 4 8" xfId="30393" xr:uid="{00000000-0005-0000-0000-0000A2B90000}"/>
    <cellStyle name="Total 3 5 4 9" xfId="34056" xr:uid="{00000000-0005-0000-0000-0000A3B90000}"/>
    <cellStyle name="Total 3 5 5" xfId="4732" xr:uid="{00000000-0005-0000-0000-0000A4B90000}"/>
    <cellStyle name="Total 3 5 6" xfId="9082" xr:uid="{00000000-0005-0000-0000-0000A5B90000}"/>
    <cellStyle name="Total 3 5 7" xfId="12921" xr:uid="{00000000-0005-0000-0000-0000A6B90000}"/>
    <cellStyle name="Total 3 5 8" xfId="16746" xr:uid="{00000000-0005-0000-0000-0000A7B90000}"/>
    <cellStyle name="Total 3 5 9" xfId="20687" xr:uid="{00000000-0005-0000-0000-0000A8B90000}"/>
    <cellStyle name="Total 3 6" xfId="845" xr:uid="{00000000-0005-0000-0000-0000A9B90000}"/>
    <cellStyle name="Total 3 6 10" xfId="24569" xr:uid="{00000000-0005-0000-0000-0000AAB90000}"/>
    <cellStyle name="Total 3 6 11" xfId="28460" xr:uid="{00000000-0005-0000-0000-0000ABB90000}"/>
    <cellStyle name="Total 3 6 12" xfId="32146" xr:uid="{00000000-0005-0000-0000-0000ACB90000}"/>
    <cellStyle name="Total 3 6 13" xfId="35903" xr:uid="{00000000-0005-0000-0000-0000ADB90000}"/>
    <cellStyle name="Total 3 6 14" xfId="39914" xr:uid="{00000000-0005-0000-0000-0000AEB90000}"/>
    <cellStyle name="Total 3 6 15" xfId="43729" xr:uid="{00000000-0005-0000-0000-0000AFB90000}"/>
    <cellStyle name="Total 3 6 2" xfId="1188" xr:uid="{00000000-0005-0000-0000-0000B0B90000}"/>
    <cellStyle name="Total 3 6 2 10" xfId="28797" xr:uid="{00000000-0005-0000-0000-0000B1B90000}"/>
    <cellStyle name="Total 3 6 2 11" xfId="32480" xr:uid="{00000000-0005-0000-0000-0000B2B90000}"/>
    <cellStyle name="Total 3 6 2 12" xfId="36246" xr:uid="{00000000-0005-0000-0000-0000B3B90000}"/>
    <cellStyle name="Total 3 6 2 13" xfId="40240" xr:uid="{00000000-0005-0000-0000-0000B4B90000}"/>
    <cellStyle name="Total 3 6 2 14" xfId="44072" xr:uid="{00000000-0005-0000-0000-0000B5B90000}"/>
    <cellStyle name="Total 3 6 2 2" xfId="1910" xr:uid="{00000000-0005-0000-0000-0000B6B90000}"/>
    <cellStyle name="Total 3 6 2 2 10" xfId="33197" xr:uid="{00000000-0005-0000-0000-0000B7B90000}"/>
    <cellStyle name="Total 3 6 2 2 11" xfId="36967" xr:uid="{00000000-0005-0000-0000-0000B8B90000}"/>
    <cellStyle name="Total 3 6 2 2 12" xfId="40958" xr:uid="{00000000-0005-0000-0000-0000B9B90000}"/>
    <cellStyle name="Total 3 6 2 2 13" xfId="44789" xr:uid="{00000000-0005-0000-0000-0000BAB90000}"/>
    <cellStyle name="Total 3 6 2 2 2" xfId="3900" xr:uid="{00000000-0005-0000-0000-0000BBB90000}"/>
    <cellStyle name="Total 3 6 2 2 2 10" xfId="38951" xr:uid="{00000000-0005-0000-0000-0000BCB90000}"/>
    <cellStyle name="Total 3 6 2 2 2 11" xfId="42962" xr:uid="{00000000-0005-0000-0000-0000BDB90000}"/>
    <cellStyle name="Total 3 6 2 2 2 12" xfId="46727" xr:uid="{00000000-0005-0000-0000-0000BEB90000}"/>
    <cellStyle name="Total 3 6 2 2 2 2" xfId="7767" xr:uid="{00000000-0005-0000-0000-0000BFB90000}"/>
    <cellStyle name="Total 3 6 2 2 2 3" xfId="12202" xr:uid="{00000000-0005-0000-0000-0000C0B90000}"/>
    <cellStyle name="Total 3 6 2 2 2 4" xfId="16047" xr:uid="{00000000-0005-0000-0000-0000C1B90000}"/>
    <cellStyle name="Total 3 6 2 2 2 5" xfId="19894" xr:uid="{00000000-0005-0000-0000-0000C2B90000}"/>
    <cellStyle name="Total 3 6 2 2 2 6" xfId="23810" xr:uid="{00000000-0005-0000-0000-0000C3B90000}"/>
    <cellStyle name="Total 3 6 2 2 2 7" xfId="27644" xr:uid="{00000000-0005-0000-0000-0000C4B90000}"/>
    <cellStyle name="Total 3 6 2 2 2 8" xfId="31506" xr:uid="{00000000-0005-0000-0000-0000C5B90000}"/>
    <cellStyle name="Total 3 6 2 2 2 9" xfId="35165" xr:uid="{00000000-0005-0000-0000-0000C6B90000}"/>
    <cellStyle name="Total 3 6 2 2 3" xfId="5843" xr:uid="{00000000-0005-0000-0000-0000C7B90000}"/>
    <cellStyle name="Total 3 6 2 2 4" xfId="10201" xr:uid="{00000000-0005-0000-0000-0000C8B90000}"/>
    <cellStyle name="Total 3 6 2 2 5" xfId="14047" xr:uid="{00000000-0005-0000-0000-0000C9B90000}"/>
    <cellStyle name="Total 3 6 2 2 6" xfId="17876" xr:uid="{00000000-0005-0000-0000-0000CAB90000}"/>
    <cellStyle name="Total 3 6 2 2 7" xfId="21815" xr:uid="{00000000-0005-0000-0000-0000CBB90000}"/>
    <cellStyle name="Total 3 6 2 2 8" xfId="25628" xr:uid="{00000000-0005-0000-0000-0000CCB90000}"/>
    <cellStyle name="Total 3 6 2 2 9" xfId="29515" xr:uid="{00000000-0005-0000-0000-0000CDB90000}"/>
    <cellStyle name="Total 3 6 2 3" xfId="3178" xr:uid="{00000000-0005-0000-0000-0000CEB90000}"/>
    <cellStyle name="Total 3 6 2 3 10" xfId="38230" xr:uid="{00000000-0005-0000-0000-0000CFB90000}"/>
    <cellStyle name="Total 3 6 2 3 11" xfId="42241" xr:uid="{00000000-0005-0000-0000-0000D0B90000}"/>
    <cellStyle name="Total 3 6 2 3 12" xfId="46010" xr:uid="{00000000-0005-0000-0000-0000D1B90000}"/>
    <cellStyle name="Total 3 6 2 3 2" xfId="7050" xr:uid="{00000000-0005-0000-0000-0000D2B90000}"/>
    <cellStyle name="Total 3 6 2 3 3" xfId="11482" xr:uid="{00000000-0005-0000-0000-0000D3B90000}"/>
    <cellStyle name="Total 3 6 2 3 4" xfId="15326" xr:uid="{00000000-0005-0000-0000-0000D4B90000}"/>
    <cellStyle name="Total 3 6 2 3 5" xfId="19172" xr:uid="{00000000-0005-0000-0000-0000D5B90000}"/>
    <cellStyle name="Total 3 6 2 3 6" xfId="23091" xr:uid="{00000000-0005-0000-0000-0000D6B90000}"/>
    <cellStyle name="Total 3 6 2 3 7" xfId="26923" xr:uid="{00000000-0005-0000-0000-0000D7B90000}"/>
    <cellStyle name="Total 3 6 2 3 8" xfId="30794" xr:uid="{00000000-0005-0000-0000-0000D8B90000}"/>
    <cellStyle name="Total 3 6 2 3 9" xfId="34448" xr:uid="{00000000-0005-0000-0000-0000D9B90000}"/>
    <cellStyle name="Total 3 6 2 4" xfId="5126" xr:uid="{00000000-0005-0000-0000-0000DAB90000}"/>
    <cellStyle name="Total 3 6 2 5" xfId="9482" xr:uid="{00000000-0005-0000-0000-0000DBB90000}"/>
    <cellStyle name="Total 3 6 2 6" xfId="13326" xr:uid="{00000000-0005-0000-0000-0000DCB90000}"/>
    <cellStyle name="Total 3 6 2 7" xfId="17154" xr:uid="{00000000-0005-0000-0000-0000DDB90000}"/>
    <cellStyle name="Total 3 6 2 8" xfId="21096" xr:uid="{00000000-0005-0000-0000-0000DEB90000}"/>
    <cellStyle name="Total 3 6 2 9" xfId="24907" xr:uid="{00000000-0005-0000-0000-0000DFB90000}"/>
    <cellStyle name="Total 3 6 3" xfId="1576" xr:uid="{00000000-0005-0000-0000-0000E0B90000}"/>
    <cellStyle name="Total 3 6 3 10" xfId="32863" xr:uid="{00000000-0005-0000-0000-0000E1B90000}"/>
    <cellStyle name="Total 3 6 3 11" xfId="36633" xr:uid="{00000000-0005-0000-0000-0000E2B90000}"/>
    <cellStyle name="Total 3 6 3 12" xfId="40624" xr:uid="{00000000-0005-0000-0000-0000E3B90000}"/>
    <cellStyle name="Total 3 6 3 13" xfId="44455" xr:uid="{00000000-0005-0000-0000-0000E4B90000}"/>
    <cellStyle name="Total 3 6 3 2" xfId="3566" xr:uid="{00000000-0005-0000-0000-0000E5B90000}"/>
    <cellStyle name="Total 3 6 3 2 10" xfId="38617" xr:uid="{00000000-0005-0000-0000-0000E6B90000}"/>
    <cellStyle name="Total 3 6 3 2 11" xfId="42628" xr:uid="{00000000-0005-0000-0000-0000E7B90000}"/>
    <cellStyle name="Total 3 6 3 2 12" xfId="46393" xr:uid="{00000000-0005-0000-0000-0000E8B90000}"/>
    <cellStyle name="Total 3 6 3 2 2" xfId="7433" xr:uid="{00000000-0005-0000-0000-0000E9B90000}"/>
    <cellStyle name="Total 3 6 3 2 3" xfId="11868" xr:uid="{00000000-0005-0000-0000-0000EAB90000}"/>
    <cellStyle name="Total 3 6 3 2 4" xfId="15713" xr:uid="{00000000-0005-0000-0000-0000EBB90000}"/>
    <cellStyle name="Total 3 6 3 2 5" xfId="19560" xr:uid="{00000000-0005-0000-0000-0000ECB90000}"/>
    <cellStyle name="Total 3 6 3 2 6" xfId="23476" xr:uid="{00000000-0005-0000-0000-0000EDB90000}"/>
    <cellStyle name="Total 3 6 3 2 7" xfId="27310" xr:uid="{00000000-0005-0000-0000-0000EEB90000}"/>
    <cellStyle name="Total 3 6 3 2 8" xfId="31176" xr:uid="{00000000-0005-0000-0000-0000EFB90000}"/>
    <cellStyle name="Total 3 6 3 2 9" xfId="34831" xr:uid="{00000000-0005-0000-0000-0000F0B90000}"/>
    <cellStyle name="Total 3 6 3 3" xfId="5509" xr:uid="{00000000-0005-0000-0000-0000F1B90000}"/>
    <cellStyle name="Total 3 6 3 4" xfId="9867" xr:uid="{00000000-0005-0000-0000-0000F2B90000}"/>
    <cellStyle name="Total 3 6 3 5" xfId="13713" xr:uid="{00000000-0005-0000-0000-0000F3B90000}"/>
    <cellStyle name="Total 3 6 3 6" xfId="17542" xr:uid="{00000000-0005-0000-0000-0000F4B90000}"/>
    <cellStyle name="Total 3 6 3 7" xfId="21481" xr:uid="{00000000-0005-0000-0000-0000F5B90000}"/>
    <cellStyle name="Total 3 6 3 8" xfId="25294" xr:uid="{00000000-0005-0000-0000-0000F6B90000}"/>
    <cellStyle name="Total 3 6 3 9" xfId="29181" xr:uid="{00000000-0005-0000-0000-0000F7B90000}"/>
    <cellStyle name="Total 3 6 4" xfId="2835" xr:uid="{00000000-0005-0000-0000-0000F8B90000}"/>
    <cellStyle name="Total 3 6 4 10" xfId="37887" xr:uid="{00000000-0005-0000-0000-0000F9B90000}"/>
    <cellStyle name="Total 3 6 4 11" xfId="41899" xr:uid="{00000000-0005-0000-0000-0000FAB90000}"/>
    <cellStyle name="Total 3 6 4 12" xfId="45676" xr:uid="{00000000-0005-0000-0000-0000FBB90000}"/>
    <cellStyle name="Total 3 6 4 2" xfId="6715" xr:uid="{00000000-0005-0000-0000-0000FCB90000}"/>
    <cellStyle name="Total 3 6 4 3" xfId="11142" xr:uid="{00000000-0005-0000-0000-0000FDB90000}"/>
    <cellStyle name="Total 3 6 4 4" xfId="14987" xr:uid="{00000000-0005-0000-0000-0000FEB90000}"/>
    <cellStyle name="Total 3 6 4 5" xfId="18829" xr:uid="{00000000-0005-0000-0000-0000FFB90000}"/>
    <cellStyle name="Total 3 6 4 6" xfId="22755" xr:uid="{00000000-0005-0000-0000-000000BA0000}"/>
    <cellStyle name="Total 3 6 4 7" xfId="26580" xr:uid="{00000000-0005-0000-0000-000001BA0000}"/>
    <cellStyle name="Total 3 6 4 8" xfId="30457" xr:uid="{00000000-0005-0000-0000-000002BA0000}"/>
    <cellStyle name="Total 3 6 4 9" xfId="34114" xr:uid="{00000000-0005-0000-0000-000003BA0000}"/>
    <cellStyle name="Total 3 6 5" xfId="4791" xr:uid="{00000000-0005-0000-0000-000004BA0000}"/>
    <cellStyle name="Total 3 6 6" xfId="9145" xr:uid="{00000000-0005-0000-0000-000005BA0000}"/>
    <cellStyle name="Total 3 6 7" xfId="12986" xr:uid="{00000000-0005-0000-0000-000006BA0000}"/>
    <cellStyle name="Total 3 6 8" xfId="16811" xr:uid="{00000000-0005-0000-0000-000007BA0000}"/>
    <cellStyle name="Total 3 6 9" xfId="20753" xr:uid="{00000000-0005-0000-0000-000008BA0000}"/>
    <cellStyle name="Total 3 7" xfId="836" xr:uid="{00000000-0005-0000-0000-000009BA0000}"/>
    <cellStyle name="Total 3 7 10" xfId="28451" xr:uid="{00000000-0005-0000-0000-00000ABA0000}"/>
    <cellStyle name="Total 3 7 11" xfId="32137" xr:uid="{00000000-0005-0000-0000-00000BBA0000}"/>
    <cellStyle name="Total 3 7 12" xfId="35894" xr:uid="{00000000-0005-0000-0000-00000CBA0000}"/>
    <cellStyle name="Total 3 7 13" xfId="39905" xr:uid="{00000000-0005-0000-0000-00000DBA0000}"/>
    <cellStyle name="Total 3 7 14" xfId="43720" xr:uid="{00000000-0005-0000-0000-00000EBA0000}"/>
    <cellStyle name="Total 3 7 2" xfId="1567" xr:uid="{00000000-0005-0000-0000-00000FBA0000}"/>
    <cellStyle name="Total 3 7 2 10" xfId="32854" xr:uid="{00000000-0005-0000-0000-000010BA0000}"/>
    <cellStyle name="Total 3 7 2 11" xfId="36624" xr:uid="{00000000-0005-0000-0000-000011BA0000}"/>
    <cellStyle name="Total 3 7 2 12" xfId="40615" xr:uid="{00000000-0005-0000-0000-000012BA0000}"/>
    <cellStyle name="Total 3 7 2 13" xfId="44446" xr:uid="{00000000-0005-0000-0000-000013BA0000}"/>
    <cellStyle name="Total 3 7 2 2" xfId="3557" xr:uid="{00000000-0005-0000-0000-000014BA0000}"/>
    <cellStyle name="Total 3 7 2 2 10" xfId="38608" xr:uid="{00000000-0005-0000-0000-000015BA0000}"/>
    <cellStyle name="Total 3 7 2 2 11" xfId="42619" xr:uid="{00000000-0005-0000-0000-000016BA0000}"/>
    <cellStyle name="Total 3 7 2 2 12" xfId="46384" xr:uid="{00000000-0005-0000-0000-000017BA0000}"/>
    <cellStyle name="Total 3 7 2 2 2" xfId="7424" xr:uid="{00000000-0005-0000-0000-000018BA0000}"/>
    <cellStyle name="Total 3 7 2 2 3" xfId="11859" xr:uid="{00000000-0005-0000-0000-000019BA0000}"/>
    <cellStyle name="Total 3 7 2 2 4" xfId="15704" xr:uid="{00000000-0005-0000-0000-00001ABA0000}"/>
    <cellStyle name="Total 3 7 2 2 5" xfId="19551" xr:uid="{00000000-0005-0000-0000-00001BBA0000}"/>
    <cellStyle name="Total 3 7 2 2 6" xfId="23467" xr:uid="{00000000-0005-0000-0000-00001CBA0000}"/>
    <cellStyle name="Total 3 7 2 2 7" xfId="27301" xr:uid="{00000000-0005-0000-0000-00001DBA0000}"/>
    <cellStyle name="Total 3 7 2 2 8" xfId="31167" xr:uid="{00000000-0005-0000-0000-00001EBA0000}"/>
    <cellStyle name="Total 3 7 2 2 9" xfId="34822" xr:uid="{00000000-0005-0000-0000-00001FBA0000}"/>
    <cellStyle name="Total 3 7 2 3" xfId="5500" xr:uid="{00000000-0005-0000-0000-000020BA0000}"/>
    <cellStyle name="Total 3 7 2 4" xfId="9858" xr:uid="{00000000-0005-0000-0000-000021BA0000}"/>
    <cellStyle name="Total 3 7 2 5" xfId="13704" xr:uid="{00000000-0005-0000-0000-000022BA0000}"/>
    <cellStyle name="Total 3 7 2 6" xfId="17533" xr:uid="{00000000-0005-0000-0000-000023BA0000}"/>
    <cellStyle name="Total 3 7 2 7" xfId="21472" xr:uid="{00000000-0005-0000-0000-000024BA0000}"/>
    <cellStyle name="Total 3 7 2 8" xfId="25285" xr:uid="{00000000-0005-0000-0000-000025BA0000}"/>
    <cellStyle name="Total 3 7 2 9" xfId="29172" xr:uid="{00000000-0005-0000-0000-000026BA0000}"/>
    <cellStyle name="Total 3 7 3" xfId="2826" xr:uid="{00000000-0005-0000-0000-000027BA0000}"/>
    <cellStyle name="Total 3 7 3 10" xfId="37878" xr:uid="{00000000-0005-0000-0000-000028BA0000}"/>
    <cellStyle name="Total 3 7 3 11" xfId="41890" xr:uid="{00000000-0005-0000-0000-000029BA0000}"/>
    <cellStyle name="Total 3 7 3 12" xfId="45667" xr:uid="{00000000-0005-0000-0000-00002ABA0000}"/>
    <cellStyle name="Total 3 7 3 2" xfId="6706" xr:uid="{00000000-0005-0000-0000-00002BBA0000}"/>
    <cellStyle name="Total 3 7 3 3" xfId="11133" xr:uid="{00000000-0005-0000-0000-00002CBA0000}"/>
    <cellStyle name="Total 3 7 3 4" xfId="14978" xr:uid="{00000000-0005-0000-0000-00002DBA0000}"/>
    <cellStyle name="Total 3 7 3 5" xfId="18820" xr:uid="{00000000-0005-0000-0000-00002EBA0000}"/>
    <cellStyle name="Total 3 7 3 6" xfId="22746" xr:uid="{00000000-0005-0000-0000-00002FBA0000}"/>
    <cellStyle name="Total 3 7 3 7" xfId="26571" xr:uid="{00000000-0005-0000-0000-000030BA0000}"/>
    <cellStyle name="Total 3 7 3 8" xfId="30448" xr:uid="{00000000-0005-0000-0000-000031BA0000}"/>
    <cellStyle name="Total 3 7 3 9" xfId="34105" xr:uid="{00000000-0005-0000-0000-000032BA0000}"/>
    <cellStyle name="Total 3 7 4" xfId="4782" xr:uid="{00000000-0005-0000-0000-000033BA0000}"/>
    <cellStyle name="Total 3 7 5" xfId="9136" xr:uid="{00000000-0005-0000-0000-000034BA0000}"/>
    <cellStyle name="Total 3 7 6" xfId="12977" xr:uid="{00000000-0005-0000-0000-000035BA0000}"/>
    <cellStyle name="Total 3 7 7" xfId="16802" xr:uid="{00000000-0005-0000-0000-000036BA0000}"/>
    <cellStyle name="Total 3 7 8" xfId="20744" xr:uid="{00000000-0005-0000-0000-000037BA0000}"/>
    <cellStyle name="Total 3 7 9" xfId="24560" xr:uid="{00000000-0005-0000-0000-000038BA0000}"/>
    <cellStyle name="Total 3 8" xfId="1262" xr:uid="{00000000-0005-0000-0000-000039BA0000}"/>
    <cellStyle name="Total 3 8 10" xfId="32549" xr:uid="{00000000-0005-0000-0000-00003ABA0000}"/>
    <cellStyle name="Total 3 8 11" xfId="36319" xr:uid="{00000000-0005-0000-0000-00003BBA0000}"/>
    <cellStyle name="Total 3 8 12" xfId="40311" xr:uid="{00000000-0005-0000-0000-00003CBA0000}"/>
    <cellStyle name="Total 3 8 13" xfId="44141" xr:uid="{00000000-0005-0000-0000-00003DBA0000}"/>
    <cellStyle name="Total 3 8 2" xfId="3252" xr:uid="{00000000-0005-0000-0000-00003EBA0000}"/>
    <cellStyle name="Total 3 8 2 10" xfId="38303" xr:uid="{00000000-0005-0000-0000-00003FBA0000}"/>
    <cellStyle name="Total 3 8 2 11" xfId="42314" xr:uid="{00000000-0005-0000-0000-000040BA0000}"/>
    <cellStyle name="Total 3 8 2 12" xfId="46079" xr:uid="{00000000-0005-0000-0000-000041BA0000}"/>
    <cellStyle name="Total 3 8 2 2" xfId="7119" xr:uid="{00000000-0005-0000-0000-000042BA0000}"/>
    <cellStyle name="Total 3 8 2 3" xfId="11554" xr:uid="{00000000-0005-0000-0000-000043BA0000}"/>
    <cellStyle name="Total 3 8 2 4" xfId="15399" xr:uid="{00000000-0005-0000-0000-000044BA0000}"/>
    <cellStyle name="Total 3 8 2 5" xfId="19246" xr:uid="{00000000-0005-0000-0000-000045BA0000}"/>
    <cellStyle name="Total 3 8 2 6" xfId="23162" xr:uid="{00000000-0005-0000-0000-000046BA0000}"/>
    <cellStyle name="Total 3 8 2 7" xfId="26996" xr:uid="{00000000-0005-0000-0000-000047BA0000}"/>
    <cellStyle name="Total 3 8 2 8" xfId="30866" xr:uid="{00000000-0005-0000-0000-000048BA0000}"/>
    <cellStyle name="Total 3 8 2 9" xfId="34517" xr:uid="{00000000-0005-0000-0000-000049BA0000}"/>
    <cellStyle name="Total 3 8 3" xfId="5195" xr:uid="{00000000-0005-0000-0000-00004ABA0000}"/>
    <cellStyle name="Total 3 8 4" xfId="9553" xr:uid="{00000000-0005-0000-0000-00004BBA0000}"/>
    <cellStyle name="Total 3 8 5" xfId="13399" xr:uid="{00000000-0005-0000-0000-00004CBA0000}"/>
    <cellStyle name="Total 3 8 6" xfId="17228" xr:uid="{00000000-0005-0000-0000-00004DBA0000}"/>
    <cellStyle name="Total 3 8 7" xfId="21167" xr:uid="{00000000-0005-0000-0000-00004EBA0000}"/>
    <cellStyle name="Total 3 8 8" xfId="24980" xr:uid="{00000000-0005-0000-0000-00004FBA0000}"/>
    <cellStyle name="Total 3 8 9" xfId="28868" xr:uid="{00000000-0005-0000-0000-000050BA0000}"/>
    <cellStyle name="Total 3 9" xfId="2122" xr:uid="{00000000-0005-0000-0000-000051BA0000}"/>
    <cellStyle name="Total 3 9 10" xfId="33426" xr:uid="{00000000-0005-0000-0000-000052BA0000}"/>
    <cellStyle name="Total 3 9 11" xfId="37174" xr:uid="{00000000-0005-0000-0000-000053BA0000}"/>
    <cellStyle name="Total 3 9 12" xfId="41190" xr:uid="{00000000-0005-0000-0000-000054BA0000}"/>
    <cellStyle name="Total 3 9 13" xfId="44988" xr:uid="{00000000-0005-0000-0000-000055BA0000}"/>
    <cellStyle name="Total 3 9 2" xfId="4106" xr:uid="{00000000-0005-0000-0000-000056BA0000}"/>
    <cellStyle name="Total 3 9 2 10" xfId="39157" xr:uid="{00000000-0005-0000-0000-000057BA0000}"/>
    <cellStyle name="Total 3 9 2 11" xfId="43167" xr:uid="{00000000-0005-0000-0000-000058BA0000}"/>
    <cellStyle name="Total 3 9 2 12" xfId="46926" xr:uid="{00000000-0005-0000-0000-000059BA0000}"/>
    <cellStyle name="Total 3 9 2 2" xfId="7967" xr:uid="{00000000-0005-0000-0000-00005ABA0000}"/>
    <cellStyle name="Total 3 9 2 3" xfId="12406" xr:uid="{00000000-0005-0000-0000-00005BBA0000}"/>
    <cellStyle name="Total 3 9 2 4" xfId="16251" xr:uid="{00000000-0005-0000-0000-00005CBA0000}"/>
    <cellStyle name="Total 3 9 2 5" xfId="20100" xr:uid="{00000000-0005-0000-0000-00005DBA0000}"/>
    <cellStyle name="Total 3 9 2 6" xfId="24014" xr:uid="{00000000-0005-0000-0000-00005EBA0000}"/>
    <cellStyle name="Total 3 9 2 7" xfId="27850" xr:uid="{00000000-0005-0000-0000-00005FBA0000}"/>
    <cellStyle name="Total 3 9 2 8" xfId="31709" xr:uid="{00000000-0005-0000-0000-000060BA0000}"/>
    <cellStyle name="Total 3 9 2 9" xfId="35364" xr:uid="{00000000-0005-0000-0000-000061BA0000}"/>
    <cellStyle name="Total 3 9 3" xfId="6042" xr:uid="{00000000-0005-0000-0000-000062BA0000}"/>
    <cellStyle name="Total 3 9 4" xfId="10440" xr:uid="{00000000-0005-0000-0000-000063BA0000}"/>
    <cellStyle name="Total 3 9 5" xfId="14288" xr:uid="{00000000-0005-0000-0000-000064BA0000}"/>
    <cellStyle name="Total 3 9 6" xfId="18116" xr:uid="{00000000-0005-0000-0000-000065BA0000}"/>
    <cellStyle name="Total 3 9 7" xfId="22058" xr:uid="{00000000-0005-0000-0000-000066BA0000}"/>
    <cellStyle name="Total 3 9 8" xfId="25867" xr:uid="{00000000-0005-0000-0000-000067BA0000}"/>
    <cellStyle name="Total 3 9 9" xfId="29747" xr:uid="{00000000-0005-0000-0000-000068BA0000}"/>
    <cellStyle name="Warning Text" xfId="21" builtinId="11" customBuiltin="1"/>
    <cellStyle name="Warning Text 2" xfId="289" xr:uid="{00000000-0005-0000-0000-00006ABA0000}"/>
    <cellStyle name="Warning Text 3" xfId="290" xr:uid="{00000000-0005-0000-0000-00006BBA0000}"/>
  </cellStyles>
  <dxfs count="52">
    <dxf>
      <border>
        <bottom style="thin">
          <color theme="3" tint="0.39994506668294322"/>
        </bottom>
        <vertical/>
        <horizontal/>
      </border>
    </dxf>
    <dxf>
      <border>
        <bottom style="dashed">
          <color theme="4" tint="0.39994506668294322"/>
        </bottom>
        <vertical/>
        <horizontal/>
      </border>
    </dxf>
    <dxf>
      <border>
        <bottom style="thin">
          <color theme="3" tint="0.39994506668294322"/>
        </bottom>
        <vertical/>
        <horizontal/>
      </border>
    </dxf>
    <dxf>
      <border>
        <bottom style="dashed">
          <color theme="4" tint="0.39994506668294322"/>
        </bottom>
        <vertical/>
        <horizontal/>
      </border>
    </dxf>
    <dxf>
      <border>
        <bottom style="thin">
          <color theme="3" tint="0.39994506668294322"/>
        </bottom>
        <vertical/>
        <horizontal/>
      </border>
    </dxf>
    <dxf>
      <border>
        <bottom style="thin">
          <color theme="3" tint="0.39994506668294322"/>
        </bottom>
        <vertical/>
        <horizontal/>
      </border>
    </dxf>
    <dxf>
      <border>
        <bottom style="dashed">
          <color theme="4" tint="0.39994506668294322"/>
        </bottom>
        <vertical/>
        <horizontal/>
      </border>
    </dxf>
    <dxf>
      <border>
        <bottom style="dashed">
          <color theme="4" tint="0.39994506668294322"/>
        </bottom>
        <vertical/>
        <horizontal/>
      </border>
    </dxf>
    <dxf>
      <border>
        <bottom style="thin">
          <color theme="3" tint="0.39994506668294322"/>
        </bottom>
        <vertical/>
        <horizontal/>
      </border>
    </dxf>
    <dxf>
      <border>
        <bottom style="dashed">
          <color theme="4" tint="0.39994506668294322"/>
        </bottom>
        <vertical/>
        <horizontal/>
      </border>
    </dxf>
    <dxf>
      <border>
        <bottom style="thin">
          <color theme="3" tint="0.39994506668294322"/>
        </bottom>
        <vertical/>
        <horizontal/>
      </border>
    </dxf>
    <dxf>
      <border>
        <bottom style="dashed">
          <color theme="4" tint="0.39994506668294322"/>
        </bottom>
        <vertical/>
        <horizontal/>
      </border>
    </dxf>
    <dxf>
      <border>
        <bottom style="thin">
          <color theme="3" tint="0.39994506668294322"/>
        </bottom>
        <vertical/>
        <horizontal/>
      </border>
    </dxf>
    <dxf>
      <border>
        <bottom style="dashed">
          <color theme="4" tint="0.39994506668294322"/>
        </bottom>
        <vertical/>
        <horizontal/>
      </border>
    </dxf>
    <dxf>
      <border>
        <bottom style="thin">
          <color theme="3" tint="0.39994506668294322"/>
        </bottom>
        <vertical/>
        <horizontal/>
      </border>
    </dxf>
    <dxf>
      <border>
        <bottom style="dashed">
          <color theme="4" tint="0.39994506668294322"/>
        </bottom>
        <vertical/>
        <horizontal/>
      </border>
    </dxf>
    <dxf>
      <border>
        <bottom style="thin">
          <color theme="3" tint="0.39994506668294322"/>
        </bottom>
        <vertical/>
        <horizontal/>
      </border>
    </dxf>
    <dxf>
      <border>
        <bottom style="dashed">
          <color theme="4" tint="0.39994506668294322"/>
        </bottom>
        <vertical/>
        <horizontal/>
      </border>
    </dxf>
    <dxf>
      <border>
        <bottom style="thin">
          <color theme="3" tint="0.39994506668294322"/>
        </bottom>
        <vertical/>
        <horizontal/>
      </border>
    </dxf>
    <dxf>
      <border>
        <bottom style="dashed">
          <color theme="4" tint="0.39994506668294322"/>
        </bottom>
        <vertical/>
        <horizontal/>
      </border>
    </dxf>
    <dxf>
      <border>
        <bottom style="thin">
          <color theme="3" tint="0.39994506668294322"/>
        </bottom>
        <vertical/>
        <horizontal/>
      </border>
    </dxf>
    <dxf>
      <border>
        <bottom style="dashed">
          <color theme="4" tint="0.39994506668294322"/>
        </bottom>
        <vertical/>
        <horizontal/>
      </border>
    </dxf>
    <dxf>
      <border>
        <bottom style="thin">
          <color theme="3" tint="0.39994506668294322"/>
        </bottom>
        <vertical/>
        <horizontal/>
      </border>
    </dxf>
    <dxf>
      <border>
        <bottom style="dashed">
          <color theme="4" tint="0.39994506668294322"/>
        </bottom>
        <vertical/>
        <horizontal/>
      </border>
    </dxf>
    <dxf>
      <border>
        <bottom style="thin">
          <color theme="3" tint="0.39994506668294322"/>
        </bottom>
        <vertical/>
        <horizontal/>
      </border>
    </dxf>
    <dxf>
      <border>
        <bottom style="dashed">
          <color theme="4" tint="0.39994506668294322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74" formatCode="_(&quot;$&quot;* #,##0_);_(&quot;$&quot;* \(#,##0\);_(&quot;$&quot;* &quot;-&quot;??_);_(@_)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74" formatCode="_(&quot;$&quot;* #,##0_);_(&quot;$&quot;* \(#,##0\);_(&quot;$&quot;* &quot;-&quot;??_);_(@_)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74" formatCode="_(&quot;$&quot;* #,##0_);_(&quot;$&quot;* \(#,##0\);_(&quot;$&quot;* &quot;-&quot;??_);_(@_)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74" formatCode="_(&quot;$&quot;* #,##0_);_(&quot;$&quot;* \(#,##0\);_(&quot;$&quot;* &quot;-&quot;??_);_(@_)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74" formatCode="_(&quot;$&quot;* #,##0_);_(&quot;$&quot;* \(#,##0\);_(&quot;$&quot;* &quot;-&quot;??_);_(@_)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74" formatCode="_(&quot;$&quot;* #,##0_);_(&quot;$&quot;* \(#,##0\);_(&quot;$&quot;* &quot;-&quot;??_);_(@_)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74" formatCode="_(&quot;$&quot;* #,##0_);_(&quot;$&quot;* \(#,##0\);_(&quot;$&quot;* &quot;-&quot;??_);_(@_)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3" formatCode="0%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5" formatCode="#,##0_);\(#,##0\)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5" formatCode="#,##0_);\(#,##0\)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5" formatCode="#,##0_);\(#,##0\)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5" formatCode="#,##0_);\(#,##0\)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5" formatCode="#,##0_);\(#,##0\)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5" formatCode="#,##0_);\(#,##0\)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5" formatCode="#,##0_);\(#,##0\)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5" formatCode="#,##0_);\(#,##0\)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5" formatCode="#,##0_);\(#,##0\)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5" formatCode="#,##0_);\(#,##0\)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5" formatCode="#,##0_);\(#,##0\)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3" formatCode="0%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27F7F1-07DB-4353-B48E-EEDD26714A56}" name="Summary" displayName="Summary" ref="A7:X167" totalsRowShown="0" headerRowDxfId="51" dataDxfId="50">
  <autoFilter ref="A7:X167" xr:uid="{4619474F-5F52-42D2-A2CC-198C6ADFC9E8}"/>
  <tableColumns count="24">
    <tableColumn id="1" xr3:uid="{EE27735C-D9BD-4E14-A29B-3FBC70386FCE}" name="Year" dataDxfId="49"/>
    <tableColumn id="2" xr3:uid="{DFA0C3A2-2A4F-4691-831A-DE1138CF467E}" name="Program" dataDxfId="48"/>
    <tableColumn id="3" xr3:uid="{166DAC0A-3A47-46F4-903B-E90E027BB18C}" name="Offering" dataDxfId="47"/>
    <tableColumn id="24" xr3:uid="{41F33359-8F0C-4E41-B301-44E8B631051F}" name="Metric" dataDxfId="46"/>
    <tableColumn id="4" xr3:uid="{B40D5585-A163-49E2-98E4-48942903F271}" name="% Results Adjustment" dataDxfId="45"/>
    <tableColumn id="5" xr3:uid="{102A7B2E-1E15-4712-B0ED-48BA76E2A78D}" name="Number of Projects/Units" dataDxfId="44" dataCellStyle="Comma">
      <calculatedColumnFormula>SUMIFS('All Measure &amp; TRC+ Calc'!F:F,'All Measure &amp; TRC+ Calc'!$D:$D,$C8,'All Measure &amp; TRC+ Calc'!$B:$B,$A8)*$E8</calculatedColumnFormula>
    </tableColumn>
    <tableColumn id="6" xr3:uid="{DCD796AF-DBB6-4B32-ACAE-DE9A49184A39}" name="Gas Gross Annual Savings (m3) " dataDxfId="43" dataCellStyle="Comma">
      <calculatedColumnFormula>SUMIFS('All Measure &amp; TRC+ Calc'!AD:AD,'All Measure &amp; TRC+ Calc'!$D:$D,$C8,'All Measure &amp; TRC+ Calc'!$B:$B,$A8)*$E8</calculatedColumnFormula>
    </tableColumn>
    <tableColumn id="7" xr3:uid="{8A3AE60D-262C-4627-BCF3-89C4D193A1FC}" name="Gas Net Annual Savings (m3) " dataDxfId="42" dataCellStyle="Comma">
      <calculatedColumnFormula>SUMIFS('All Measure &amp; TRC+ Calc'!AE:AE,'All Measure &amp; TRC+ Calc'!$D:$D,$C8,'All Measure &amp; TRC+ Calc'!$B:$B,$A8)*$E8</calculatedColumnFormula>
    </tableColumn>
    <tableColumn id="8" xr3:uid="{644F10DB-A31A-46BE-9E80-EB633A801160}" name="Electric Annual Gross Savings (kWh) " dataDxfId="41" dataCellStyle="Comma">
      <calculatedColumnFormula>SUMIFS('All Measure &amp; TRC+ Calc'!AH:AH,'All Measure &amp; TRC+ Calc'!$D:$D,$C8,'All Measure &amp; TRC+ Calc'!$B:$B,$A8)*$E8</calculatedColumnFormula>
    </tableColumn>
    <tableColumn id="9" xr3:uid="{ACAE3CD2-0958-4D99-93E8-830288325320}" name="Electric Annual Net Savings (kWh) " dataDxfId="40" dataCellStyle="Comma">
      <calculatedColumnFormula>SUMIFS('All Measure &amp; TRC+ Calc'!AI:AI,'All Measure &amp; TRC+ Calc'!$D:$D,$C8,'All Measure &amp; TRC+ Calc'!$B:$B,$A8)*$E8</calculatedColumnFormula>
    </tableColumn>
    <tableColumn id="10" xr3:uid="{5654D8EF-C351-40E6-BB8B-157EB39D9373}" name="Electric Demand Annual Gross Savings at Summer Peak (kW) " dataDxfId="39" dataCellStyle="Comma">
      <calculatedColumnFormula>SUMIFS('All Measure &amp; TRC+ Calc'!AL:AL,'All Measure &amp; TRC+ Calc'!$D:$D,$C8,'All Measure &amp; TRC+ Calc'!$B:$B,$A8)*$E8</calculatedColumnFormula>
    </tableColumn>
    <tableColumn id="11" xr3:uid="{1B9D7070-2E4C-4EE3-A412-70881B7BC3E0}" name="Electric Demand Annual Net Savings at Summer Peak (kW) " dataDxfId="38" dataCellStyle="Comma">
      <calculatedColumnFormula>SUMIFS('All Measure &amp; TRC+ Calc'!AM:AM,'All Measure &amp; TRC+ Calc'!$D:$D,$C8,'All Measure &amp; TRC+ Calc'!$B:$B,$A8)*$E8</calculatedColumnFormula>
    </tableColumn>
    <tableColumn id="12" xr3:uid="{6F1E6852-DF5B-4E3C-A6DF-28BE3A111964}" name="Water Annual Gross Savings (m3) " dataDxfId="37" dataCellStyle="Comma">
      <calculatedColumnFormula>SUMIFS('All Measure &amp; TRC+ Calc'!AJ:AJ,'All Measure &amp; TRC+ Calc'!$D:$D,$C8,'All Measure &amp; TRC+ Calc'!$B:$B,$A8)*$E8</calculatedColumnFormula>
    </tableColumn>
    <tableColumn id="13" xr3:uid="{154530ED-A300-4536-B8B0-CA7E0386DAE0}" name="Water Annual Net Savings (m3) " dataDxfId="36" dataCellStyle="Comma">
      <calculatedColumnFormula>SUMIFS('All Measure &amp; TRC+ Calc'!AK:AK,'All Measure &amp; TRC+ Calc'!$D:$D,$C8,'All Measure &amp; TRC+ Calc'!$B:$B,$A8)*$E8</calculatedColumnFormula>
    </tableColumn>
    <tableColumn id="27" xr3:uid="{6160BDBE-865D-443E-8CE5-4AB0EFCE8941}" name="Gas Gross Cumulative Savings (m3)" dataDxfId="35" dataCellStyle="Comma">
      <calculatedColumnFormula>SUMIFS('All Measure &amp; TRC+ Calc'!AF:AF,'All Measure &amp; TRC+ Calc'!$D:$D,$C8,'All Measure &amp; TRC+ Calc'!$B:$B,$A8)*$E8</calculatedColumnFormula>
    </tableColumn>
    <tableColumn id="26" xr3:uid="{47E68FDE-7116-4E14-82FA-4E1B66BB3C5D}" name="Gas Net Cumulative Savings (m3)" dataDxfId="34" dataCellStyle="Comma">
      <calculatedColumnFormula>SUMIFS('All Measure &amp; TRC+ Calc'!AG:AG,'All Measure &amp; TRC+ Calc'!$D:$D,$C8,'All Measure &amp; TRC+ Calc'!$B:$B,$A8)*$E8</calculatedColumnFormula>
    </tableColumn>
    <tableColumn id="14" xr3:uid="{FFE7FA69-4295-4B60-B712-4149ECB32DBE}" name="Budget %  Adjustment" dataDxfId="33"/>
    <tableColumn id="15" xr3:uid="{8C788336-53A4-42C4-AC7E-881DFC483D35}" name="Incentives" dataDxfId="32" dataCellStyle="Currency">
      <calculatedColumnFormula>SUMIFS(Budget!$E:$E,Budget!$A:$A,$A8,Budget!$C:$C,$C8,Budget!$D:$D,R$7)*Summary[[#This Row],[Budget %  Adjustment]]</calculatedColumnFormula>
    </tableColumn>
    <tableColumn id="16" xr3:uid="{04C29CEE-30D6-4426-8E08-EBEDD5C73646}" name="Promo" dataDxfId="31" dataCellStyle="Currency">
      <calculatedColumnFormula>SUMIFS(Budget!$E:$E,Budget!$A:$A,$A8,Budget!$C:$C,$C8,Budget!$D:$D,S$7)*Summary[[#This Row],[Budget %  Adjustment]]</calculatedColumnFormula>
    </tableColumn>
    <tableColumn id="17" xr3:uid="{5FDB40B7-1F68-4A64-850C-581703633B51}" name="Delivery" dataDxfId="30" dataCellStyle="Currency">
      <calculatedColumnFormula>SUMIFS(Budget!$E:$E,Budget!$A:$A,$A8,Budget!$C:$C,$C8,Budget!$D:$D,T$7)*Summary[[#This Row],[Budget %  Adjustment]]</calculatedColumnFormula>
    </tableColumn>
    <tableColumn id="18" xr3:uid="{01762A30-D8C8-4098-82FF-EE2373475661}" name="Admin" dataDxfId="29" dataCellStyle="Currency">
      <calculatedColumnFormula>SUMIFS(Budget!$E:$E,Budget!$A:$A,$A8,Budget!$C:$C,$C8,Budget!$D:$D,U$7)*Summary[[#This Row],[Budget %  Adjustment]]</calculatedColumnFormula>
    </tableColumn>
    <tableColumn id="25" xr3:uid="{5EB93A20-694A-4E67-A300-1109FD3344EE}" name="Promo/Delivery Costs " dataDxfId="28" dataCellStyle="Currency">
      <calculatedColumnFormula>Summary[[#This Row],[Promo]]+Summary[[#This Row],[Delivery]]</calculatedColumnFormula>
    </tableColumn>
    <tableColumn id="22" xr3:uid="{663810DE-DD9F-4571-BB34-89DC04A3EED9}" name="Program Costs (w/o Incentives)" dataDxfId="27" dataCellStyle="Currency">
      <calculatedColumnFormula>SUM(S8:U8)</calculatedColumnFormula>
    </tableColumn>
    <tableColumn id="23" xr3:uid="{754560F9-3EB2-475C-91D0-D029A00C7E06}" name="Total Cost" dataDxfId="26" dataCellStyle="Currency">
      <calculatedColumnFormula>SUM(R8:U8)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760D-F7F3-4243-A783-7A2DA1B6D9C0}">
  <sheetPr codeName="Sheet7">
    <pageSetUpPr fitToPage="1"/>
  </sheetPr>
  <dimension ref="A1:J81"/>
  <sheetViews>
    <sheetView showGridLines="0" tabSelected="1" topLeftCell="C1" zoomScaleNormal="100" workbookViewId="0">
      <selection activeCell="C1" sqref="C1"/>
    </sheetView>
  </sheetViews>
  <sheetFormatPr defaultColWidth="8.85546875" defaultRowHeight="12.75" outlineLevelCol="1" x14ac:dyDescent="0.25"/>
  <cols>
    <col min="1" max="1" width="15.28515625" style="60" hidden="1" customWidth="1" outlineLevel="1"/>
    <col min="2" max="2" width="46.28515625" style="60" hidden="1" customWidth="1" outlineLevel="1"/>
    <col min="3" max="3" width="5.7109375" style="60" customWidth="1" collapsed="1"/>
    <col min="4" max="4" width="32.42578125" style="60" customWidth="1"/>
    <col min="5" max="5" width="24.42578125" style="91" customWidth="1"/>
    <col min="6" max="6" width="10.28515625" style="91" bestFit="1" customWidth="1"/>
    <col min="7" max="7" width="10.28515625" style="91" customWidth="1"/>
    <col min="8" max="10" width="14.7109375" style="60" customWidth="1"/>
    <col min="11" max="11" width="5.7109375" style="60" customWidth="1"/>
    <col min="12" max="16384" width="8.85546875" style="60"/>
  </cols>
  <sheetData>
    <row r="1" spans="1:10" x14ac:dyDescent="0.25">
      <c r="D1" s="391" t="s">
        <v>390</v>
      </c>
      <c r="E1" s="391"/>
      <c r="F1" s="391"/>
      <c r="G1" s="391"/>
      <c r="H1" s="391"/>
      <c r="I1" s="391"/>
      <c r="J1" s="391"/>
    </row>
    <row r="2" spans="1:10" x14ac:dyDescent="0.25">
      <c r="D2" s="391" t="s">
        <v>391</v>
      </c>
      <c r="E2" s="391"/>
      <c r="F2" s="391"/>
      <c r="G2" s="391"/>
      <c r="H2" s="391"/>
      <c r="I2" s="391"/>
      <c r="J2" s="391"/>
    </row>
    <row r="4" spans="1:10" ht="27" x14ac:dyDescent="0.25">
      <c r="A4" s="66" t="s">
        <v>359</v>
      </c>
      <c r="B4" s="61">
        <v>2027</v>
      </c>
      <c r="D4" s="311" t="s">
        <v>212</v>
      </c>
      <c r="E4" s="311" t="s">
        <v>39</v>
      </c>
      <c r="F4" s="311" t="s">
        <v>204</v>
      </c>
      <c r="G4" s="311" t="s">
        <v>210</v>
      </c>
      <c r="H4" s="312" t="s">
        <v>213</v>
      </c>
      <c r="I4" s="312" t="s">
        <v>205</v>
      </c>
      <c r="J4" s="312" t="s">
        <v>214</v>
      </c>
    </row>
    <row r="5" spans="1:10" ht="13.9" customHeight="1" x14ac:dyDescent="0.25">
      <c r="A5" s="61"/>
      <c r="B5" s="61"/>
      <c r="D5" s="388" t="s">
        <v>215</v>
      </c>
      <c r="E5" s="388"/>
      <c r="F5" s="388"/>
      <c r="G5" s="388"/>
      <c r="H5" s="388"/>
      <c r="I5" s="388"/>
      <c r="J5" s="388"/>
    </row>
    <row r="6" spans="1:10" ht="63.75" x14ac:dyDescent="0.25">
      <c r="A6" s="61" t="s">
        <v>11</v>
      </c>
      <c r="B6" s="61" t="s">
        <v>133</v>
      </c>
      <c r="D6" s="40" t="s">
        <v>216</v>
      </c>
      <c r="E6" s="40" t="s">
        <v>217</v>
      </c>
      <c r="F6" s="39">
        <v>1</v>
      </c>
      <c r="G6" s="313" t="s">
        <v>324</v>
      </c>
      <c r="H6" s="314">
        <f>I6*0.7</f>
        <v>10684990.4</v>
      </c>
      <c r="I6" s="314">
        <f>SUMIFS(Summary[Gas Net Annual Savings (m3) ],Summary[Program],A6,Summary[Year],$B$4,Summary[Metric],B6)-I7</f>
        <v>15264272.000000002</v>
      </c>
      <c r="J6" s="314">
        <f>I6*1.3</f>
        <v>19843553.600000001</v>
      </c>
    </row>
    <row r="7" spans="1:10" ht="27" x14ac:dyDescent="0.25">
      <c r="A7" s="61" t="s">
        <v>11</v>
      </c>
      <c r="B7" s="61" t="s">
        <v>333</v>
      </c>
      <c r="D7" s="40" t="s">
        <v>274</v>
      </c>
      <c r="E7" s="41" t="s">
        <v>323</v>
      </c>
      <c r="F7" s="39">
        <v>1</v>
      </c>
      <c r="G7" s="39" t="s">
        <v>325</v>
      </c>
      <c r="H7" s="314">
        <f>I7*0.7</f>
        <v>3253129.3199999994</v>
      </c>
      <c r="I7" s="314">
        <f>SUMIFS(Summary[Gas Net Annual Savings (m3) ],Summary[Offering],B7,Summary[Year],$B$4)</f>
        <v>4647327.5999999996</v>
      </c>
      <c r="J7" s="314">
        <f>I7*1.3</f>
        <v>6041525.8799999999</v>
      </c>
    </row>
    <row r="8" spans="1:10" ht="13.9" customHeight="1" x14ac:dyDescent="0.25">
      <c r="A8" s="61"/>
      <c r="B8" s="61"/>
      <c r="D8" s="388" t="s">
        <v>218</v>
      </c>
      <c r="E8" s="388"/>
      <c r="F8" s="388"/>
      <c r="G8" s="388"/>
      <c r="H8" s="388"/>
      <c r="I8" s="388"/>
      <c r="J8" s="388"/>
    </row>
    <row r="9" spans="1:10" ht="27" x14ac:dyDescent="0.25">
      <c r="A9" s="61" t="s">
        <v>12</v>
      </c>
      <c r="B9" s="61" t="s">
        <v>206</v>
      </c>
      <c r="D9" s="36" t="s">
        <v>22</v>
      </c>
      <c r="E9" s="41" t="s">
        <v>219</v>
      </c>
      <c r="F9" s="39">
        <v>0.5</v>
      </c>
      <c r="G9" s="384">
        <v>0.25</v>
      </c>
      <c r="H9" s="314">
        <f>I9*0.7</f>
        <v>1556915.2782139974</v>
      </c>
      <c r="I9" s="314">
        <f>SUMIFS(Summary[Gas Net Annual Savings (m3) ],Summary[Program],A9,Summary[Year],$B$4,Summary[Metric],B9)</f>
        <v>2224164.6831628536</v>
      </c>
      <c r="J9" s="314">
        <f>I9*1.3</f>
        <v>2891414.0881117098</v>
      </c>
    </row>
    <row r="10" spans="1:10" ht="27" x14ac:dyDescent="0.25">
      <c r="A10" s="61" t="s">
        <v>12</v>
      </c>
      <c r="B10" s="61" t="s">
        <v>207</v>
      </c>
      <c r="D10" s="315" t="s">
        <v>21</v>
      </c>
      <c r="E10" s="40" t="s">
        <v>220</v>
      </c>
      <c r="F10" s="39">
        <v>0.5</v>
      </c>
      <c r="G10" s="385"/>
      <c r="H10" s="314">
        <f>I10*0.7</f>
        <v>1717171.5815800002</v>
      </c>
      <c r="I10" s="314">
        <f>SUMIFS(Summary[Gas Net Annual Savings (m3) ],Summary[Program],A10,Summary[Year],$B$4,Summary[Metric],B10)</f>
        <v>2453102.2594000003</v>
      </c>
      <c r="J10" s="314">
        <f>I10*1.3</f>
        <v>3189032.9372200007</v>
      </c>
    </row>
    <row r="11" spans="1:10" ht="13.9" customHeight="1" x14ac:dyDescent="0.25">
      <c r="A11" s="61"/>
      <c r="B11" s="61"/>
      <c r="D11" s="388" t="s">
        <v>221</v>
      </c>
      <c r="E11" s="388"/>
      <c r="F11" s="388"/>
      <c r="G11" s="388"/>
      <c r="H11" s="388"/>
      <c r="I11" s="388"/>
      <c r="J11" s="388"/>
    </row>
    <row r="12" spans="1:10" ht="48" customHeight="1" x14ac:dyDescent="0.25">
      <c r="A12" s="61" t="s">
        <v>13</v>
      </c>
      <c r="B12" s="61" t="s">
        <v>208</v>
      </c>
      <c r="C12" s="89"/>
      <c r="D12" s="389" t="s">
        <v>222</v>
      </c>
      <c r="E12" s="41" t="s">
        <v>223</v>
      </c>
      <c r="F12" s="39">
        <v>0.5</v>
      </c>
      <c r="G12" s="384">
        <v>0.25</v>
      </c>
      <c r="H12" s="314">
        <f>I12*0.7</f>
        <v>12752960.843142441</v>
      </c>
      <c r="I12" s="314">
        <f>'Summary - CI LargeSmall'!E25</f>
        <v>18218515.490203489</v>
      </c>
      <c r="J12" s="314">
        <f>I12*1.3</f>
        <v>23684070.137264535</v>
      </c>
    </row>
    <row r="13" spans="1:10" ht="48" customHeight="1" x14ac:dyDescent="0.25">
      <c r="A13" s="61" t="s">
        <v>13</v>
      </c>
      <c r="B13" s="61" t="s">
        <v>209</v>
      </c>
      <c r="C13" s="89"/>
      <c r="D13" s="390"/>
      <c r="E13" s="36" t="s">
        <v>224</v>
      </c>
      <c r="F13" s="39">
        <v>0.5</v>
      </c>
      <c r="G13" s="385"/>
      <c r="H13" s="314">
        <f>I13*0.7</f>
        <v>7627309.6155720726</v>
      </c>
      <c r="I13" s="314">
        <f>'Summary - CI LargeSmall'!F25</f>
        <v>10896156.59367439</v>
      </c>
      <c r="J13" s="314">
        <f>I13*1.3</f>
        <v>14165003.571776707</v>
      </c>
    </row>
    <row r="14" spans="1:10" ht="13.9" customHeight="1" x14ac:dyDescent="0.25">
      <c r="A14" s="61"/>
      <c r="B14" s="61"/>
      <c r="D14" s="388" t="s">
        <v>225</v>
      </c>
      <c r="E14" s="388"/>
      <c r="F14" s="388"/>
      <c r="G14" s="388"/>
      <c r="H14" s="388"/>
      <c r="I14" s="388"/>
      <c r="J14" s="388"/>
    </row>
    <row r="15" spans="1:10" ht="27" x14ac:dyDescent="0.25">
      <c r="A15" s="61" t="s">
        <v>14</v>
      </c>
      <c r="B15" s="61" t="s">
        <v>133</v>
      </c>
      <c r="D15" s="36" t="s">
        <v>8</v>
      </c>
      <c r="E15" s="40" t="s">
        <v>217</v>
      </c>
      <c r="F15" s="39">
        <v>1</v>
      </c>
      <c r="G15" s="39">
        <v>0.25</v>
      </c>
      <c r="H15" s="314">
        <f>I15*0.7</f>
        <v>37950428.08133132</v>
      </c>
      <c r="I15" s="314">
        <f>SUMIFS(Summary[Gas Net Annual Savings (m3) ],Summary[Program],A15,Summary[Year],$B$4,Summary[Metric],B15)</f>
        <v>54214897.259044752</v>
      </c>
      <c r="J15" s="314">
        <f>I15*1.3</f>
        <v>70479366.436758175</v>
      </c>
    </row>
    <row r="16" spans="1:10" ht="45" customHeight="1" x14ac:dyDescent="0.25">
      <c r="A16" s="90"/>
      <c r="B16" s="61"/>
      <c r="D16" s="387" t="s">
        <v>226</v>
      </c>
      <c r="E16" s="387"/>
      <c r="F16" s="387"/>
      <c r="G16" s="387"/>
      <c r="H16" s="387"/>
      <c r="I16" s="387"/>
      <c r="J16" s="387"/>
    </row>
    <row r="17" spans="1:10" ht="30" customHeight="1" x14ac:dyDescent="0.25">
      <c r="A17" s="90"/>
      <c r="B17" s="61"/>
      <c r="C17" s="89"/>
      <c r="D17" s="383" t="s">
        <v>362</v>
      </c>
      <c r="E17" s="383"/>
      <c r="F17" s="383"/>
      <c r="G17" s="383"/>
      <c r="H17" s="383"/>
      <c r="I17" s="383"/>
      <c r="J17" s="383"/>
    </row>
    <row r="18" spans="1:10" ht="30" customHeight="1" x14ac:dyDescent="0.25">
      <c r="A18" s="61"/>
      <c r="B18" s="61"/>
      <c r="D18" s="386" t="s">
        <v>328</v>
      </c>
      <c r="E18" s="386"/>
      <c r="F18" s="386"/>
      <c r="G18" s="386"/>
      <c r="H18" s="386"/>
      <c r="I18" s="386"/>
      <c r="J18" s="386"/>
    </row>
    <row r="19" spans="1:10" x14ac:dyDescent="0.25">
      <c r="A19" s="61"/>
      <c r="B19" s="61"/>
      <c r="D19" s="91"/>
      <c r="H19" s="91"/>
      <c r="I19" s="91"/>
      <c r="J19" s="91"/>
    </row>
    <row r="20" spans="1:10" x14ac:dyDescent="0.25">
      <c r="A20" s="61"/>
      <c r="B20" s="61"/>
      <c r="D20" s="91"/>
      <c r="H20" s="91"/>
      <c r="I20" s="91"/>
      <c r="J20" s="91"/>
    </row>
    <row r="21" spans="1:10" x14ac:dyDescent="0.25">
      <c r="A21" s="61"/>
      <c r="B21" s="61"/>
      <c r="D21" s="391" t="s">
        <v>392</v>
      </c>
      <c r="E21" s="391"/>
      <c r="F21" s="391"/>
      <c r="G21" s="391"/>
      <c r="H21" s="391"/>
      <c r="I21" s="391"/>
      <c r="J21" s="391"/>
    </row>
    <row r="22" spans="1:10" x14ac:dyDescent="0.25">
      <c r="A22" s="61"/>
      <c r="B22" s="61"/>
      <c r="D22" s="391" t="s">
        <v>393</v>
      </c>
      <c r="E22" s="391"/>
      <c r="F22" s="391"/>
      <c r="G22" s="391"/>
      <c r="H22" s="391"/>
      <c r="I22" s="391"/>
      <c r="J22" s="391"/>
    </row>
    <row r="23" spans="1:10" x14ac:dyDescent="0.25">
      <c r="A23" s="61"/>
      <c r="B23" s="61"/>
      <c r="D23" s="91"/>
      <c r="H23" s="91"/>
      <c r="I23" s="91"/>
      <c r="J23" s="91"/>
    </row>
    <row r="24" spans="1:10" ht="27" x14ac:dyDescent="0.25">
      <c r="A24" s="61"/>
      <c r="B24" s="61">
        <v>2028</v>
      </c>
      <c r="D24" s="311" t="s">
        <v>212</v>
      </c>
      <c r="E24" s="311" t="s">
        <v>39</v>
      </c>
      <c r="F24" s="311" t="s">
        <v>204</v>
      </c>
      <c r="G24" s="311" t="s">
        <v>210</v>
      </c>
      <c r="H24" s="312" t="s">
        <v>213</v>
      </c>
      <c r="I24" s="312" t="s">
        <v>205</v>
      </c>
      <c r="J24" s="312" t="s">
        <v>214</v>
      </c>
    </row>
    <row r="25" spans="1:10" ht="13.9" customHeight="1" x14ac:dyDescent="0.25">
      <c r="A25" s="61"/>
      <c r="B25" s="61"/>
      <c r="D25" s="388" t="s">
        <v>215</v>
      </c>
      <c r="E25" s="388"/>
      <c r="F25" s="388"/>
      <c r="G25" s="388"/>
      <c r="H25" s="388"/>
      <c r="I25" s="388"/>
      <c r="J25" s="388"/>
    </row>
    <row r="26" spans="1:10" ht="63.75" x14ac:dyDescent="0.25">
      <c r="A26" s="61" t="s">
        <v>11</v>
      </c>
      <c r="B26" s="61" t="s">
        <v>133</v>
      </c>
      <c r="D26" s="40" t="s">
        <v>216</v>
      </c>
      <c r="E26" s="40" t="s">
        <v>217</v>
      </c>
      <c r="F26" s="39">
        <v>1</v>
      </c>
      <c r="G26" s="313" t="s">
        <v>324</v>
      </c>
      <c r="H26" s="314">
        <f>I26*0.7</f>
        <v>12424043.1</v>
      </c>
      <c r="I26" s="314">
        <f>SUMIFS(Summary[Gas Net Annual Savings (m3) ],Summary[Program],A26,Summary[Year],$B$24,Summary[Metric],B26)-I27</f>
        <v>17748633</v>
      </c>
      <c r="J26" s="314">
        <f>I26*1.3</f>
        <v>23073222.900000002</v>
      </c>
    </row>
    <row r="27" spans="1:10" ht="27" x14ac:dyDescent="0.25">
      <c r="A27" s="61" t="s">
        <v>11</v>
      </c>
      <c r="B27" s="61" t="s">
        <v>333</v>
      </c>
      <c r="D27" s="40" t="s">
        <v>333</v>
      </c>
      <c r="E27" s="41" t="s">
        <v>323</v>
      </c>
      <c r="F27" s="39">
        <v>1</v>
      </c>
      <c r="G27" s="39" t="s">
        <v>325</v>
      </c>
      <c r="H27" s="314">
        <f>I27*0.7</f>
        <v>3256466.9199999995</v>
      </c>
      <c r="I27" s="314">
        <f>SUMIFS(Summary[Gas Net Annual Savings (m3) ],Summary[Offering],B27,Summary[Year],$B$24)</f>
        <v>4652095.5999999996</v>
      </c>
      <c r="J27" s="314">
        <f>I27*1.3</f>
        <v>6047724.2799999993</v>
      </c>
    </row>
    <row r="28" spans="1:10" ht="13.9" customHeight="1" x14ac:dyDescent="0.25">
      <c r="A28" s="61"/>
      <c r="B28" s="61"/>
      <c r="D28" s="388" t="s">
        <v>218</v>
      </c>
      <c r="E28" s="388"/>
      <c r="F28" s="388"/>
      <c r="G28" s="388"/>
      <c r="H28" s="388"/>
      <c r="I28" s="388"/>
      <c r="J28" s="388"/>
    </row>
    <row r="29" spans="1:10" ht="27" x14ac:dyDescent="0.25">
      <c r="A29" s="61" t="s">
        <v>12</v>
      </c>
      <c r="B29" s="61" t="s">
        <v>206</v>
      </c>
      <c r="D29" s="36" t="s">
        <v>22</v>
      </c>
      <c r="E29" s="41" t="s">
        <v>219</v>
      </c>
      <c r="F29" s="39">
        <v>0.5</v>
      </c>
      <c r="G29" s="384">
        <v>0.25</v>
      </c>
      <c r="H29" s="314">
        <f>I29*0.7</f>
        <v>1691199.2710501149</v>
      </c>
      <c r="I29" s="314">
        <f>SUMIFS(Summary[Gas Net Annual Savings (m3) ],Summary[Program],A29,Summary[Year],$B$24,Summary[Metric],B29)</f>
        <v>2415998.9586430215</v>
      </c>
      <c r="J29" s="314">
        <f>I29*1.3</f>
        <v>3140798.6462359279</v>
      </c>
    </row>
    <row r="30" spans="1:10" ht="27" x14ac:dyDescent="0.25">
      <c r="A30" s="61" t="s">
        <v>12</v>
      </c>
      <c r="B30" s="61" t="s">
        <v>207</v>
      </c>
      <c r="D30" s="315" t="s">
        <v>21</v>
      </c>
      <c r="E30" s="40" t="s">
        <v>220</v>
      </c>
      <c r="F30" s="39">
        <v>0.5</v>
      </c>
      <c r="G30" s="385"/>
      <c r="H30" s="314">
        <f>I30*0.7</f>
        <v>1734869.5811299996</v>
      </c>
      <c r="I30" s="314">
        <f>SUMIFS(Summary[Gas Net Annual Savings (m3) ],Summary[Program],A30,Summary[Year],$B$24,Summary[Metric],B30)</f>
        <v>2478385.1158999996</v>
      </c>
      <c r="J30" s="314">
        <f>I30*1.3</f>
        <v>3221900.6506699994</v>
      </c>
    </row>
    <row r="31" spans="1:10" ht="13.9" customHeight="1" x14ac:dyDescent="0.25">
      <c r="A31" s="61"/>
      <c r="B31" s="61"/>
      <c r="D31" s="388" t="s">
        <v>221</v>
      </c>
      <c r="E31" s="388"/>
      <c r="F31" s="388"/>
      <c r="G31" s="388"/>
      <c r="H31" s="388"/>
      <c r="I31" s="388"/>
      <c r="J31" s="388"/>
    </row>
    <row r="32" spans="1:10" ht="48" customHeight="1" x14ac:dyDescent="0.25">
      <c r="A32" s="61" t="s">
        <v>13</v>
      </c>
      <c r="B32" s="61" t="s">
        <v>208</v>
      </c>
      <c r="C32" s="89"/>
      <c r="D32" s="389" t="s">
        <v>222</v>
      </c>
      <c r="E32" s="41" t="s">
        <v>223</v>
      </c>
      <c r="F32" s="39">
        <v>0.5</v>
      </c>
      <c r="G32" s="384">
        <v>0.25</v>
      </c>
      <c r="H32" s="314">
        <f>I32*0.7</f>
        <v>14589805.992908277</v>
      </c>
      <c r="I32" s="314">
        <f>'Summary - CI LargeSmall'!E37</f>
        <v>20842579.989868969</v>
      </c>
      <c r="J32" s="314">
        <f>I32*1.3</f>
        <v>27095353.986829661</v>
      </c>
    </row>
    <row r="33" spans="1:10" ht="48" customHeight="1" x14ac:dyDescent="0.25">
      <c r="A33" s="61" t="s">
        <v>13</v>
      </c>
      <c r="B33" s="61" t="s">
        <v>209</v>
      </c>
      <c r="C33" s="89"/>
      <c r="D33" s="390"/>
      <c r="E33" s="36" t="s">
        <v>224</v>
      </c>
      <c r="F33" s="39">
        <v>0.5</v>
      </c>
      <c r="G33" s="385"/>
      <c r="H33" s="314">
        <f>I33*0.7</f>
        <v>8410860.3518664837</v>
      </c>
      <c r="I33" s="314">
        <f>'Summary - CI LargeSmall'!F37</f>
        <v>12015514.788380692</v>
      </c>
      <c r="J33" s="314">
        <f>I33*1.3</f>
        <v>15620169.2248949</v>
      </c>
    </row>
    <row r="34" spans="1:10" ht="13.9" customHeight="1" x14ac:dyDescent="0.25">
      <c r="A34" s="61"/>
      <c r="B34" s="61"/>
      <c r="D34" s="388" t="s">
        <v>225</v>
      </c>
      <c r="E34" s="388"/>
      <c r="F34" s="388"/>
      <c r="G34" s="388"/>
      <c r="H34" s="388"/>
      <c r="I34" s="388"/>
      <c r="J34" s="388"/>
    </row>
    <row r="35" spans="1:10" ht="27" x14ac:dyDescent="0.25">
      <c r="A35" s="61" t="s">
        <v>14</v>
      </c>
      <c r="B35" s="61" t="s">
        <v>133</v>
      </c>
      <c r="D35" s="36" t="s">
        <v>8</v>
      </c>
      <c r="E35" s="40" t="s">
        <v>217</v>
      </c>
      <c r="F35" s="39">
        <v>1</v>
      </c>
      <c r="G35" s="39">
        <v>0.25</v>
      </c>
      <c r="H35" s="314">
        <f>I35*0.7</f>
        <v>40590695.935029186</v>
      </c>
      <c r="I35" s="314">
        <f>SUMIFS(Summary[Gas Net Annual Savings (m3) ],Summary[Program],A35,Summary[Year],$B$24,Summary[Metric],B35)</f>
        <v>57986708.478613123</v>
      </c>
      <c r="J35" s="314">
        <f>I35*1.3</f>
        <v>75382721.022197068</v>
      </c>
    </row>
    <row r="36" spans="1:10" ht="45" customHeight="1" x14ac:dyDescent="0.25">
      <c r="A36" s="90"/>
      <c r="B36" s="61"/>
      <c r="D36" s="387" t="s">
        <v>226</v>
      </c>
      <c r="E36" s="387"/>
      <c r="F36" s="387"/>
      <c r="G36" s="387"/>
      <c r="H36" s="387"/>
      <c r="I36" s="387"/>
      <c r="J36" s="387"/>
    </row>
    <row r="37" spans="1:10" ht="30" customHeight="1" x14ac:dyDescent="0.25">
      <c r="A37" s="90"/>
      <c r="B37" s="61"/>
      <c r="C37" s="89"/>
      <c r="D37" s="383" t="s">
        <v>362</v>
      </c>
      <c r="E37" s="383"/>
      <c r="F37" s="383"/>
      <c r="G37" s="383"/>
      <c r="H37" s="383"/>
      <c r="I37" s="383"/>
      <c r="J37" s="383"/>
    </row>
    <row r="38" spans="1:10" ht="30" customHeight="1" x14ac:dyDescent="0.25">
      <c r="A38" s="61"/>
      <c r="B38" s="90"/>
      <c r="D38" s="386" t="s">
        <v>328</v>
      </c>
      <c r="E38" s="386"/>
      <c r="F38" s="386"/>
      <c r="G38" s="386"/>
      <c r="H38" s="386"/>
      <c r="I38" s="386"/>
      <c r="J38" s="386"/>
    </row>
    <row r="39" spans="1:10" x14ac:dyDescent="0.25">
      <c r="A39" s="61"/>
      <c r="B39" s="90"/>
      <c r="D39" s="91"/>
      <c r="H39" s="91"/>
      <c r="I39" s="91"/>
      <c r="J39" s="91"/>
    </row>
    <row r="40" spans="1:10" x14ac:dyDescent="0.25">
      <c r="A40" s="61"/>
      <c r="B40" s="90"/>
      <c r="D40" s="91"/>
      <c r="H40" s="91"/>
      <c r="I40" s="91"/>
      <c r="J40" s="91"/>
    </row>
    <row r="41" spans="1:10" x14ac:dyDescent="0.25">
      <c r="A41" s="61"/>
      <c r="B41" s="90"/>
      <c r="D41" s="391" t="s">
        <v>395</v>
      </c>
      <c r="E41" s="391"/>
      <c r="F41" s="391"/>
      <c r="G41" s="391"/>
      <c r="H41" s="391"/>
      <c r="I41" s="391"/>
      <c r="J41" s="391"/>
    </row>
    <row r="42" spans="1:10" x14ac:dyDescent="0.25">
      <c r="A42" s="61"/>
      <c r="B42" s="90"/>
      <c r="D42" s="391" t="s">
        <v>394</v>
      </c>
      <c r="E42" s="391"/>
      <c r="F42" s="391"/>
      <c r="G42" s="391"/>
      <c r="H42" s="391"/>
      <c r="I42" s="391"/>
      <c r="J42" s="391"/>
    </row>
    <row r="43" spans="1:10" x14ac:dyDescent="0.25">
      <c r="A43" s="61"/>
      <c r="B43" s="61"/>
    </row>
    <row r="44" spans="1:10" ht="27" x14ac:dyDescent="0.25">
      <c r="A44" s="61"/>
      <c r="B44" s="61">
        <v>2029</v>
      </c>
      <c r="D44" s="311" t="s">
        <v>212</v>
      </c>
      <c r="E44" s="311" t="s">
        <v>39</v>
      </c>
      <c r="F44" s="311" t="s">
        <v>204</v>
      </c>
      <c r="G44" s="311" t="s">
        <v>210</v>
      </c>
      <c r="H44" s="312" t="s">
        <v>213</v>
      </c>
      <c r="I44" s="312" t="s">
        <v>205</v>
      </c>
      <c r="J44" s="312" t="s">
        <v>214</v>
      </c>
    </row>
    <row r="45" spans="1:10" ht="13.9" customHeight="1" x14ac:dyDescent="0.25">
      <c r="A45" s="61"/>
      <c r="B45" s="61"/>
      <c r="D45" s="388" t="s">
        <v>215</v>
      </c>
      <c r="E45" s="388"/>
      <c r="F45" s="388"/>
      <c r="G45" s="388"/>
      <c r="H45" s="388"/>
      <c r="I45" s="388"/>
      <c r="J45" s="388"/>
    </row>
    <row r="46" spans="1:10" ht="63.75" x14ac:dyDescent="0.25">
      <c r="A46" s="61" t="s">
        <v>11</v>
      </c>
      <c r="B46" s="61" t="s">
        <v>133</v>
      </c>
      <c r="D46" s="40" t="s">
        <v>216</v>
      </c>
      <c r="E46" s="40" t="s">
        <v>217</v>
      </c>
      <c r="F46" s="39">
        <v>1</v>
      </c>
      <c r="G46" s="313" t="s">
        <v>324</v>
      </c>
      <c r="H46" s="314">
        <f>I46*0.7</f>
        <v>13418276.760000002</v>
      </c>
      <c r="I46" s="314">
        <f>SUMIFS(Summary[Gas Net Annual Savings (m3) ],Summary[Program],A46,Summary[Year],$B$44,Summary[Metric],B46)-I47</f>
        <v>19168966.800000004</v>
      </c>
      <c r="J46" s="314">
        <f>I46*1.3</f>
        <v>24919656.840000007</v>
      </c>
    </row>
    <row r="47" spans="1:10" ht="27" x14ac:dyDescent="0.25">
      <c r="A47" s="61" t="s">
        <v>11</v>
      </c>
      <c r="B47" s="61" t="s">
        <v>333</v>
      </c>
      <c r="D47" s="40" t="s">
        <v>333</v>
      </c>
      <c r="E47" s="41" t="s">
        <v>323</v>
      </c>
      <c r="F47" s="39">
        <v>1</v>
      </c>
      <c r="G47" s="39" t="s">
        <v>325</v>
      </c>
      <c r="H47" s="314">
        <f>I47*0.7</f>
        <v>3261473.3199999994</v>
      </c>
      <c r="I47" s="314">
        <f>SUMIFS(Summary[Gas Net Annual Savings (m3) ],Summary[Offering],B47,Summary[Year],$B$44)</f>
        <v>4659247.5999999996</v>
      </c>
      <c r="J47" s="314">
        <f>I47*1.3</f>
        <v>6057021.8799999999</v>
      </c>
    </row>
    <row r="48" spans="1:10" ht="13.9" customHeight="1" x14ac:dyDescent="0.25">
      <c r="A48" s="61"/>
      <c r="B48" s="61"/>
      <c r="D48" s="388" t="s">
        <v>218</v>
      </c>
      <c r="E48" s="388"/>
      <c r="F48" s="388"/>
      <c r="G48" s="388"/>
      <c r="H48" s="388"/>
      <c r="I48" s="388"/>
      <c r="J48" s="388"/>
    </row>
    <row r="49" spans="1:10" ht="27" x14ac:dyDescent="0.25">
      <c r="A49" s="61" t="s">
        <v>12</v>
      </c>
      <c r="B49" s="61" t="s">
        <v>206</v>
      </c>
      <c r="D49" s="36" t="s">
        <v>22</v>
      </c>
      <c r="E49" s="41" t="s">
        <v>219</v>
      </c>
      <c r="F49" s="39">
        <v>0.5</v>
      </c>
      <c r="G49" s="384">
        <v>0.25</v>
      </c>
      <c r="H49" s="314">
        <f>I49*0.7</f>
        <v>1811106.6638862325</v>
      </c>
      <c r="I49" s="314">
        <f>SUMIFS(Summary[Gas Net Annual Savings (m3) ],Summary[Program],A49,Summary[Year],$B$44,Summary[Metric],B49)</f>
        <v>2587295.2341231895</v>
      </c>
      <c r="J49" s="314">
        <f>I49*1.3</f>
        <v>3363483.8043601466</v>
      </c>
    </row>
    <row r="50" spans="1:10" ht="27" x14ac:dyDescent="0.25">
      <c r="A50" s="61" t="s">
        <v>12</v>
      </c>
      <c r="B50" s="61" t="s">
        <v>207</v>
      </c>
      <c r="D50" s="315" t="s">
        <v>21</v>
      </c>
      <c r="E50" s="40" t="s">
        <v>220</v>
      </c>
      <c r="F50" s="39">
        <v>0.5</v>
      </c>
      <c r="G50" s="385"/>
      <c r="H50" s="314">
        <f>I50*0.7</f>
        <v>1755839.1374299997</v>
      </c>
      <c r="I50" s="314">
        <f>SUMIFS(Summary[Gas Net Annual Savings (m3) ],Summary[Program],A50,Summary[Year],$B$44,Summary[Metric],B50)</f>
        <v>2508341.6248999997</v>
      </c>
      <c r="J50" s="314">
        <f>I50*1.3</f>
        <v>3260844.1123699998</v>
      </c>
    </row>
    <row r="51" spans="1:10" ht="13.9" customHeight="1" x14ac:dyDescent="0.25">
      <c r="A51" s="61"/>
      <c r="B51" s="61"/>
      <c r="D51" s="388" t="s">
        <v>221</v>
      </c>
      <c r="E51" s="388"/>
      <c r="F51" s="388"/>
      <c r="G51" s="388"/>
      <c r="H51" s="388"/>
      <c r="I51" s="388"/>
      <c r="J51" s="388"/>
    </row>
    <row r="52" spans="1:10" ht="48" customHeight="1" x14ac:dyDescent="0.25">
      <c r="A52" s="61" t="s">
        <v>13</v>
      </c>
      <c r="B52" s="61" t="s">
        <v>208</v>
      </c>
      <c r="C52" s="89"/>
      <c r="D52" s="389" t="s">
        <v>222</v>
      </c>
      <c r="E52" s="41" t="s">
        <v>223</v>
      </c>
      <c r="F52" s="39">
        <v>0.5</v>
      </c>
      <c r="G52" s="384">
        <v>0.25</v>
      </c>
      <c r="H52" s="314">
        <f>I52*0.7</f>
        <v>15833143.645015303</v>
      </c>
      <c r="I52" s="314">
        <f>'Summary - CI LargeSmall'!E49</f>
        <v>22618776.635736149</v>
      </c>
      <c r="J52" s="314">
        <f>I52*1.3</f>
        <v>29404409.626456995</v>
      </c>
    </row>
    <row r="53" spans="1:10" ht="48" customHeight="1" x14ac:dyDescent="0.25">
      <c r="A53" s="61" t="s">
        <v>13</v>
      </c>
      <c r="B53" s="61" t="s">
        <v>209</v>
      </c>
      <c r="C53" s="89"/>
      <c r="D53" s="390"/>
      <c r="E53" s="36" t="s">
        <v>224</v>
      </c>
      <c r="F53" s="39">
        <v>0.5</v>
      </c>
      <c r="G53" s="385"/>
      <c r="H53" s="314">
        <f>I53*0.7</f>
        <v>8995555.6916446853</v>
      </c>
      <c r="I53" s="314">
        <f>'Summary - CI LargeSmall'!F49</f>
        <v>12850793.845206695</v>
      </c>
      <c r="J53" s="314">
        <f>I53*1.3</f>
        <v>16706031.998768704</v>
      </c>
    </row>
    <row r="54" spans="1:10" ht="13.9" customHeight="1" x14ac:dyDescent="0.25">
      <c r="A54" s="61"/>
      <c r="B54" s="61"/>
      <c r="D54" s="388" t="s">
        <v>225</v>
      </c>
      <c r="E54" s="388"/>
      <c r="F54" s="388"/>
      <c r="G54" s="388"/>
      <c r="H54" s="388"/>
      <c r="I54" s="388"/>
      <c r="J54" s="388"/>
    </row>
    <row r="55" spans="1:10" ht="27" x14ac:dyDescent="0.25">
      <c r="A55" s="61" t="s">
        <v>14</v>
      </c>
      <c r="B55" s="61" t="s">
        <v>133</v>
      </c>
      <c r="D55" s="36" t="s">
        <v>8</v>
      </c>
      <c r="E55" s="40" t="s">
        <v>217</v>
      </c>
      <c r="F55" s="39">
        <v>1</v>
      </c>
      <c r="G55" s="39">
        <v>0.25</v>
      </c>
      <c r="H55" s="314">
        <f>I55*0.7</f>
        <v>42202388.07036259</v>
      </c>
      <c r="I55" s="314">
        <f>SUMIFS(Summary[Gas Net Annual Savings (m3) ],Summary[Program],A55,Summary[Year],$B$44,Summary[Metric],B55)</f>
        <v>60289125.814803705</v>
      </c>
      <c r="J55" s="314">
        <f>I55*1.3</f>
        <v>78375863.559244812</v>
      </c>
    </row>
    <row r="56" spans="1:10" ht="45" customHeight="1" x14ac:dyDescent="0.25">
      <c r="A56" s="90"/>
      <c r="B56" s="61"/>
      <c r="D56" s="387" t="s">
        <v>226</v>
      </c>
      <c r="E56" s="387"/>
      <c r="F56" s="387"/>
      <c r="G56" s="387"/>
      <c r="H56" s="387"/>
      <c r="I56" s="387"/>
      <c r="J56" s="387"/>
    </row>
    <row r="57" spans="1:10" ht="30" customHeight="1" x14ac:dyDescent="0.25">
      <c r="A57" s="90"/>
      <c r="B57" s="61"/>
      <c r="C57" s="89"/>
      <c r="D57" s="383" t="s">
        <v>362</v>
      </c>
      <c r="E57" s="383"/>
      <c r="F57" s="383"/>
      <c r="G57" s="383"/>
      <c r="H57" s="383"/>
      <c r="I57" s="383"/>
      <c r="J57" s="383"/>
    </row>
    <row r="58" spans="1:10" ht="30" customHeight="1" x14ac:dyDescent="0.25">
      <c r="A58" s="61"/>
      <c r="B58" s="90"/>
      <c r="D58" s="386" t="s">
        <v>328</v>
      </c>
      <c r="E58" s="386"/>
      <c r="F58" s="386"/>
      <c r="G58" s="386"/>
      <c r="H58" s="386"/>
      <c r="I58" s="386"/>
      <c r="J58" s="386"/>
    </row>
    <row r="59" spans="1:10" x14ac:dyDescent="0.25">
      <c r="A59" s="61"/>
      <c r="B59" s="61"/>
    </row>
    <row r="60" spans="1:10" x14ac:dyDescent="0.25">
      <c r="A60" s="61"/>
      <c r="B60" s="61"/>
    </row>
    <row r="61" spans="1:10" x14ac:dyDescent="0.25">
      <c r="A61" s="61"/>
      <c r="B61" s="61"/>
      <c r="D61" s="391" t="s">
        <v>397</v>
      </c>
      <c r="E61" s="391"/>
      <c r="F61" s="391"/>
      <c r="G61" s="391"/>
      <c r="H61" s="391"/>
      <c r="I61" s="391"/>
      <c r="J61" s="391"/>
    </row>
    <row r="62" spans="1:10" x14ac:dyDescent="0.25">
      <c r="A62" s="61"/>
      <c r="B62" s="61"/>
      <c r="D62" s="391" t="s">
        <v>396</v>
      </c>
      <c r="E62" s="391"/>
      <c r="F62" s="391"/>
      <c r="G62" s="391"/>
      <c r="H62" s="391"/>
      <c r="I62" s="391"/>
      <c r="J62" s="391"/>
    </row>
    <row r="63" spans="1:10" x14ac:dyDescent="0.25">
      <c r="A63" s="61"/>
      <c r="B63" s="61"/>
    </row>
    <row r="64" spans="1:10" ht="27" x14ac:dyDescent="0.25">
      <c r="A64" s="61"/>
      <c r="B64" s="61">
        <v>2030</v>
      </c>
      <c r="D64" s="311" t="s">
        <v>212</v>
      </c>
      <c r="E64" s="311" t="s">
        <v>39</v>
      </c>
      <c r="F64" s="311" t="s">
        <v>204</v>
      </c>
      <c r="G64" s="311" t="s">
        <v>210</v>
      </c>
      <c r="H64" s="312" t="s">
        <v>213</v>
      </c>
      <c r="I64" s="312" t="s">
        <v>205</v>
      </c>
      <c r="J64" s="312" t="s">
        <v>214</v>
      </c>
    </row>
    <row r="65" spans="1:10" ht="13.9" customHeight="1" x14ac:dyDescent="0.25">
      <c r="A65" s="61"/>
      <c r="B65" s="61"/>
      <c r="D65" s="388" t="s">
        <v>215</v>
      </c>
      <c r="E65" s="388"/>
      <c r="F65" s="388"/>
      <c r="G65" s="388"/>
      <c r="H65" s="388"/>
      <c r="I65" s="388"/>
      <c r="J65" s="388"/>
    </row>
    <row r="66" spans="1:10" ht="63.75" x14ac:dyDescent="0.25">
      <c r="A66" s="61" t="s">
        <v>11</v>
      </c>
      <c r="B66" s="61" t="s">
        <v>133</v>
      </c>
      <c r="D66" s="40" t="s">
        <v>216</v>
      </c>
      <c r="E66" s="40" t="s">
        <v>217</v>
      </c>
      <c r="F66" s="39">
        <v>1</v>
      </c>
      <c r="G66" s="316" t="s">
        <v>326</v>
      </c>
      <c r="H66" s="314">
        <f>I66*0.7</f>
        <v>14274010.625</v>
      </c>
      <c r="I66" s="314">
        <f>SUMIFS(Summary[Gas Net Annual Savings (m3) ],Summary[Program],A66,Summary[Year],$B$64,Summary[Metric],B66)-I67</f>
        <v>20391443.75</v>
      </c>
      <c r="J66" s="314">
        <f>I66*1.3</f>
        <v>26508876.875</v>
      </c>
    </row>
    <row r="67" spans="1:10" ht="27" x14ac:dyDescent="0.25">
      <c r="A67" s="61" t="s">
        <v>11</v>
      </c>
      <c r="B67" s="61" t="s">
        <v>333</v>
      </c>
      <c r="D67" s="40" t="s">
        <v>333</v>
      </c>
      <c r="E67" s="41" t="s">
        <v>323</v>
      </c>
      <c r="F67" s="39">
        <v>1</v>
      </c>
      <c r="G67" s="42" t="s">
        <v>327</v>
      </c>
      <c r="H67" s="314">
        <f>I67*0.7</f>
        <v>3263142.1199999996</v>
      </c>
      <c r="I67" s="314">
        <f>SUMIFS(Summary[Gas Net Annual Savings (m3) ],Summary[Offering],B67,Summary[Year],$B$64)</f>
        <v>4661631.5999999996</v>
      </c>
      <c r="J67" s="314">
        <f>I67*1.3</f>
        <v>6060121.0800000001</v>
      </c>
    </row>
    <row r="68" spans="1:10" ht="13.9" customHeight="1" x14ac:dyDescent="0.25">
      <c r="A68" s="61"/>
      <c r="B68" s="61"/>
      <c r="D68" s="388" t="s">
        <v>218</v>
      </c>
      <c r="E68" s="388"/>
      <c r="F68" s="388"/>
      <c r="G68" s="388"/>
      <c r="H68" s="388"/>
      <c r="I68" s="388"/>
      <c r="J68" s="388"/>
    </row>
    <row r="69" spans="1:10" ht="27" x14ac:dyDescent="0.25">
      <c r="A69" s="61" t="s">
        <v>12</v>
      </c>
      <c r="B69" s="61" t="s">
        <v>206</v>
      </c>
      <c r="D69" s="36" t="s">
        <v>22</v>
      </c>
      <c r="E69" s="41" t="s">
        <v>219</v>
      </c>
      <c r="F69" s="39">
        <v>0.5</v>
      </c>
      <c r="G69" s="384">
        <v>0.24</v>
      </c>
      <c r="H69" s="314">
        <f>I69*0.7</f>
        <v>1961478.7567223501</v>
      </c>
      <c r="I69" s="314">
        <f>SUMIFS(Summary[Gas Net Annual Savings (m3) ],Summary[Program],A69,Summary[Year],$B$64,Summary[Metric],B69)</f>
        <v>2802112.5096033574</v>
      </c>
      <c r="J69" s="314">
        <f>I69*1.3</f>
        <v>3642746.2624843647</v>
      </c>
    </row>
    <row r="70" spans="1:10" ht="27" x14ac:dyDescent="0.25">
      <c r="A70" s="61" t="s">
        <v>12</v>
      </c>
      <c r="B70" s="61" t="s">
        <v>207</v>
      </c>
      <c r="D70" s="315" t="s">
        <v>21</v>
      </c>
      <c r="E70" s="40" t="s">
        <v>220</v>
      </c>
      <c r="F70" s="39">
        <v>0.5</v>
      </c>
      <c r="G70" s="385"/>
      <c r="H70" s="314">
        <f>I70*0.7</f>
        <v>1758171.1379399996</v>
      </c>
      <c r="I70" s="314">
        <f>SUMIFS(Summary[Gas Net Annual Savings (m3) ],Summary[Program],A70,Summary[Year],$B$64,Summary[Metric],B70)</f>
        <v>2511673.0541999997</v>
      </c>
      <c r="J70" s="314">
        <f>I70*1.3</f>
        <v>3265174.9704599995</v>
      </c>
    </row>
    <row r="71" spans="1:10" ht="13.9" customHeight="1" x14ac:dyDescent="0.25">
      <c r="A71" s="61"/>
      <c r="B71" s="61"/>
      <c r="D71" s="388" t="s">
        <v>221</v>
      </c>
      <c r="E71" s="388"/>
      <c r="F71" s="388"/>
      <c r="G71" s="388"/>
      <c r="H71" s="388"/>
      <c r="I71" s="388"/>
      <c r="J71" s="388"/>
    </row>
    <row r="72" spans="1:10" ht="48" customHeight="1" x14ac:dyDescent="0.25">
      <c r="A72" s="61" t="s">
        <v>13</v>
      </c>
      <c r="B72" s="61" t="s">
        <v>208</v>
      </c>
      <c r="C72" s="89"/>
      <c r="D72" s="389" t="s">
        <v>222</v>
      </c>
      <c r="E72" s="41" t="s">
        <v>223</v>
      </c>
      <c r="F72" s="39">
        <v>0.5</v>
      </c>
      <c r="G72" s="384">
        <v>0.24</v>
      </c>
      <c r="H72" s="314">
        <f>I72*0.7</f>
        <v>16692218.214951959</v>
      </c>
      <c r="I72" s="314">
        <f>'Summary - CI LargeSmall'!E61</f>
        <v>23846026.021359943</v>
      </c>
      <c r="J72" s="314">
        <f>I72*1.3</f>
        <v>30999833.827767927</v>
      </c>
    </row>
    <row r="73" spans="1:10" ht="48" customHeight="1" x14ac:dyDescent="0.25">
      <c r="A73" s="61" t="s">
        <v>13</v>
      </c>
      <c r="B73" s="61" t="s">
        <v>209</v>
      </c>
      <c r="C73" s="89"/>
      <c r="D73" s="390"/>
      <c r="E73" s="36" t="s">
        <v>224</v>
      </c>
      <c r="F73" s="39">
        <v>0.5</v>
      </c>
      <c r="G73" s="385"/>
      <c r="H73" s="314">
        <f>I73*0.7</f>
        <v>9421917.4141604919</v>
      </c>
      <c r="I73" s="314">
        <f>'Summary - CI LargeSmall'!F61</f>
        <v>13459882.020229276</v>
      </c>
      <c r="J73" s="314">
        <f>I73*1.3</f>
        <v>17497846.626298059</v>
      </c>
    </row>
    <row r="74" spans="1:10" ht="13.9" customHeight="1" x14ac:dyDescent="0.25">
      <c r="A74" s="61"/>
      <c r="B74" s="61"/>
      <c r="D74" s="388" t="s">
        <v>225</v>
      </c>
      <c r="E74" s="388"/>
      <c r="F74" s="388"/>
      <c r="G74" s="388"/>
      <c r="H74" s="388"/>
      <c r="I74" s="388"/>
      <c r="J74" s="388"/>
    </row>
    <row r="75" spans="1:10" ht="27" x14ac:dyDescent="0.25">
      <c r="A75" s="61" t="s">
        <v>14</v>
      </c>
      <c r="B75" s="61" t="s">
        <v>133</v>
      </c>
      <c r="D75" s="36" t="s">
        <v>8</v>
      </c>
      <c r="E75" s="40" t="s">
        <v>217</v>
      </c>
      <c r="F75" s="39">
        <v>1</v>
      </c>
      <c r="G75" s="39">
        <v>0.24</v>
      </c>
      <c r="H75" s="314">
        <f>I75*0.7</f>
        <v>43942652.170491554</v>
      </c>
      <c r="I75" s="314">
        <f>SUMIFS(Summary[Gas Net Annual Savings (m3) ],Summary[Program],A75,Summary[Year],$B$64,Summary[Metric],B75)</f>
        <v>62775217.38641651</v>
      </c>
      <c r="J75" s="314">
        <f>I75*1.3</f>
        <v>81607782.602341458</v>
      </c>
    </row>
    <row r="76" spans="1:10" x14ac:dyDescent="0.25">
      <c r="A76" s="61"/>
      <c r="B76" s="61"/>
      <c r="D76" s="388" t="s">
        <v>227</v>
      </c>
      <c r="E76" s="388"/>
      <c r="F76" s="388"/>
      <c r="G76" s="388"/>
      <c r="H76" s="388"/>
      <c r="I76" s="388"/>
      <c r="J76" s="388"/>
    </row>
    <row r="77" spans="1:10" ht="27" x14ac:dyDescent="0.25">
      <c r="A77" s="90" t="s">
        <v>15</v>
      </c>
      <c r="B77" s="90" t="s">
        <v>133</v>
      </c>
      <c r="D77" s="317" t="s">
        <v>27</v>
      </c>
      <c r="E77" s="40" t="s">
        <v>360</v>
      </c>
      <c r="F77" s="39">
        <v>1</v>
      </c>
      <c r="G77" s="39">
        <v>0.04</v>
      </c>
      <c r="H77" s="314">
        <f>I77*0.7</f>
        <v>56818967.956688017</v>
      </c>
      <c r="I77" s="314">
        <f>SUMIFS(Summary[Gas Net Annual Savings (m3) ],Summary[Program],A77,Summary[Metric],B77)</f>
        <v>81169954.223840028</v>
      </c>
      <c r="J77" s="314">
        <f>I77*1.3</f>
        <v>105520940.49099204</v>
      </c>
    </row>
    <row r="78" spans="1:10" ht="45" customHeight="1" x14ac:dyDescent="0.25">
      <c r="A78" s="89"/>
      <c r="D78" s="387" t="s">
        <v>226</v>
      </c>
      <c r="E78" s="387"/>
      <c r="F78" s="387"/>
      <c r="G78" s="387"/>
      <c r="H78" s="387"/>
      <c r="I78" s="387"/>
      <c r="J78" s="387"/>
    </row>
    <row r="79" spans="1:10" ht="30" customHeight="1" x14ac:dyDescent="0.25">
      <c r="A79" s="89"/>
      <c r="C79" s="89"/>
      <c r="D79" s="383" t="s">
        <v>362</v>
      </c>
      <c r="E79" s="383"/>
      <c r="F79" s="383"/>
      <c r="G79" s="383"/>
      <c r="H79" s="383"/>
      <c r="I79" s="383"/>
      <c r="J79" s="383"/>
    </row>
    <row r="80" spans="1:10" ht="30" customHeight="1" x14ac:dyDescent="0.25">
      <c r="B80" s="89"/>
      <c r="D80" s="386" t="s">
        <v>328</v>
      </c>
      <c r="E80" s="386"/>
      <c r="F80" s="386"/>
      <c r="G80" s="386"/>
      <c r="H80" s="386"/>
      <c r="I80" s="386"/>
      <c r="J80" s="386"/>
    </row>
    <row r="81" spans="4:10" ht="45" customHeight="1" x14ac:dyDescent="0.25">
      <c r="D81" s="383" t="s">
        <v>361</v>
      </c>
      <c r="E81" s="383"/>
      <c r="F81" s="383"/>
      <c r="G81" s="383"/>
      <c r="H81" s="383"/>
      <c r="I81" s="383"/>
      <c r="J81" s="383"/>
    </row>
  </sheetData>
  <mergeCells count="50">
    <mergeCell ref="D1:J1"/>
    <mergeCell ref="D2:J2"/>
    <mergeCell ref="D21:J21"/>
    <mergeCell ref="D22:J22"/>
    <mergeCell ref="D41:J41"/>
    <mergeCell ref="D5:J5"/>
    <mergeCell ref="D8:J8"/>
    <mergeCell ref="D11:J11"/>
    <mergeCell ref="D12:D13"/>
    <mergeCell ref="D14:J14"/>
    <mergeCell ref="D80:J80"/>
    <mergeCell ref="D16:J16"/>
    <mergeCell ref="D17:J17"/>
    <mergeCell ref="D25:J25"/>
    <mergeCell ref="D48:J48"/>
    <mergeCell ref="D51:J51"/>
    <mergeCell ref="D52:D53"/>
    <mergeCell ref="D37:J37"/>
    <mergeCell ref="D45:J45"/>
    <mergeCell ref="D28:J28"/>
    <mergeCell ref="D31:J31"/>
    <mergeCell ref="D32:D33"/>
    <mergeCell ref="D38:J38"/>
    <mergeCell ref="D79:J79"/>
    <mergeCell ref="D34:J34"/>
    <mergeCell ref="G49:G50"/>
    <mergeCell ref="G69:G70"/>
    <mergeCell ref="G72:G73"/>
    <mergeCell ref="D68:J68"/>
    <mergeCell ref="D58:J58"/>
    <mergeCell ref="D42:J42"/>
    <mergeCell ref="D61:J61"/>
    <mergeCell ref="D62:J62"/>
    <mergeCell ref="G52:G53"/>
    <mergeCell ref="D81:J81"/>
    <mergeCell ref="G29:G30"/>
    <mergeCell ref="G9:G10"/>
    <mergeCell ref="G12:G13"/>
    <mergeCell ref="G32:G33"/>
    <mergeCell ref="D18:J18"/>
    <mergeCell ref="D36:J36"/>
    <mergeCell ref="D74:J74"/>
    <mergeCell ref="D78:J78"/>
    <mergeCell ref="D71:J71"/>
    <mergeCell ref="D72:D73"/>
    <mergeCell ref="D54:J54"/>
    <mergeCell ref="D56:J56"/>
    <mergeCell ref="D57:J57"/>
    <mergeCell ref="D65:J65"/>
    <mergeCell ref="D76:J76"/>
  </mergeCells>
  <pageMargins left="0.7" right="0.7" top="0.75" bottom="0.75" header="0.3" footer="0.3"/>
  <pageSetup scale="7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96BA5-895D-42E5-AB48-E4C675FB48B5}">
  <sheetPr codeName="Sheet3"/>
  <dimension ref="A1:P189"/>
  <sheetViews>
    <sheetView showGridLines="0" topLeftCell="B1" zoomScaleNormal="100" workbookViewId="0">
      <selection activeCell="B1" sqref="B1"/>
    </sheetView>
  </sheetViews>
  <sheetFormatPr defaultColWidth="9.140625" defaultRowHeight="12.75" outlineLevelCol="1" x14ac:dyDescent="0.25"/>
  <cols>
    <col min="1" max="1" width="9.28515625" style="136" hidden="1" customWidth="1" outlineLevel="1"/>
    <col min="2" max="2" width="5.7109375" style="136" customWidth="1" collapsed="1"/>
    <col min="3" max="3" width="37.42578125" style="136" bestFit="1" customWidth="1"/>
    <col min="4" max="16" width="15.7109375" style="136" customWidth="1"/>
    <col min="17" max="16384" width="9.140625" style="136"/>
  </cols>
  <sheetData>
    <row r="1" spans="1:16" ht="16.5" thickBot="1" x14ac:dyDescent="0.3">
      <c r="A1" s="153"/>
      <c r="C1" s="220" t="s">
        <v>372</v>
      </c>
      <c r="D1" s="154"/>
      <c r="E1" s="155"/>
      <c r="F1" s="155"/>
      <c r="G1" s="155"/>
      <c r="H1" s="155"/>
      <c r="I1" s="155"/>
      <c r="J1" s="155"/>
    </row>
    <row r="2" spans="1:16" ht="13.5" thickTop="1" x14ac:dyDescent="0.25">
      <c r="A2" s="153"/>
    </row>
    <row r="3" spans="1:16" x14ac:dyDescent="0.25">
      <c r="A3" s="153"/>
      <c r="D3" s="396" t="s">
        <v>365</v>
      </c>
      <c r="E3" s="397"/>
      <c r="F3" s="397"/>
      <c r="G3" s="397"/>
      <c r="H3" s="397"/>
      <c r="I3" s="397"/>
      <c r="J3" s="398"/>
      <c r="K3" s="396" t="s">
        <v>179</v>
      </c>
      <c r="L3" s="397"/>
      <c r="M3" s="397"/>
      <c r="N3" s="398"/>
      <c r="O3" s="175" t="s">
        <v>31</v>
      </c>
      <c r="P3" s="175" t="s">
        <v>211</v>
      </c>
    </row>
    <row r="4" spans="1:16" x14ac:dyDescent="0.25">
      <c r="A4" s="153"/>
      <c r="D4" s="240">
        <v>2027</v>
      </c>
      <c r="E4" s="241">
        <f t="shared" ref="E4:P4" si="0">D4</f>
        <v>2027</v>
      </c>
      <c r="F4" s="241">
        <f t="shared" si="0"/>
        <v>2027</v>
      </c>
      <c r="G4" s="241">
        <f t="shared" si="0"/>
        <v>2027</v>
      </c>
      <c r="H4" s="241">
        <f t="shared" si="0"/>
        <v>2027</v>
      </c>
      <c r="I4" s="241">
        <f>G4</f>
        <v>2027</v>
      </c>
      <c r="J4" s="242">
        <f>I4</f>
        <v>2027</v>
      </c>
      <c r="K4" s="240">
        <f>J4</f>
        <v>2027</v>
      </c>
      <c r="L4" s="241">
        <f t="shared" si="0"/>
        <v>2027</v>
      </c>
      <c r="M4" s="241">
        <f t="shared" si="0"/>
        <v>2027</v>
      </c>
      <c r="N4" s="241">
        <f t="shared" si="0"/>
        <v>2027</v>
      </c>
      <c r="O4" s="243">
        <f t="shared" si="0"/>
        <v>2027</v>
      </c>
      <c r="P4" s="243">
        <f t="shared" si="0"/>
        <v>2027</v>
      </c>
    </row>
    <row r="5" spans="1:16" ht="38.25" x14ac:dyDescent="0.25">
      <c r="A5" s="153"/>
      <c r="C5" s="157"/>
      <c r="D5" s="225" t="s">
        <v>180</v>
      </c>
      <c r="E5" s="226" t="s">
        <v>181</v>
      </c>
      <c r="F5" s="226" t="s">
        <v>182</v>
      </c>
      <c r="G5" s="226" t="s">
        <v>188</v>
      </c>
      <c r="H5" s="226" t="s">
        <v>188</v>
      </c>
      <c r="I5" s="226" t="s">
        <v>183</v>
      </c>
      <c r="J5" s="228" t="s">
        <v>366</v>
      </c>
      <c r="K5" s="225" t="s">
        <v>184</v>
      </c>
      <c r="L5" s="226" t="s">
        <v>185</v>
      </c>
      <c r="M5" s="226" t="s">
        <v>155</v>
      </c>
      <c r="N5" s="227" t="s">
        <v>186</v>
      </c>
      <c r="O5" s="229" t="s">
        <v>368</v>
      </c>
      <c r="P5" s="229" t="s">
        <v>211</v>
      </c>
    </row>
    <row r="6" spans="1:16" x14ac:dyDescent="0.25">
      <c r="A6" s="153">
        <v>2027</v>
      </c>
      <c r="C6" s="182" t="s">
        <v>135</v>
      </c>
      <c r="D6" s="158">
        <f t="shared" ref="D6:N6" si="1">SUM(D7:D13)</f>
        <v>85849575.531503856</v>
      </c>
      <c r="E6" s="158">
        <f t="shared" si="1"/>
        <v>0</v>
      </c>
      <c r="F6" s="158">
        <f t="shared" si="1"/>
        <v>4443468.5289641842</v>
      </c>
      <c r="G6" s="158">
        <f t="shared" si="1"/>
        <v>18902614.787802674</v>
      </c>
      <c r="H6" s="158">
        <f t="shared" si="1"/>
        <v>77247.510674355508</v>
      </c>
      <c r="I6" s="158">
        <f t="shared" si="1"/>
        <v>0</v>
      </c>
      <c r="J6" s="201">
        <f t="shared" si="1"/>
        <v>109272906.35894507</v>
      </c>
      <c r="K6" s="161">
        <f t="shared" si="1"/>
        <v>94876394.400000006</v>
      </c>
      <c r="L6" s="160">
        <f t="shared" si="1"/>
        <v>12438844.759778284</v>
      </c>
      <c r="M6" s="160">
        <f t="shared" si="1"/>
        <v>14807006</v>
      </c>
      <c r="N6" s="162">
        <f t="shared" si="1"/>
        <v>122122245.15977828</v>
      </c>
      <c r="O6" s="230">
        <f t="shared" ref="O6:O45" si="2">J6-N6</f>
        <v>-12849338.80083321</v>
      </c>
      <c r="P6" s="233">
        <f t="shared" ref="P6:P45" si="3">IFERROR(J6/N6,0)</f>
        <v>0.89478297926784911</v>
      </c>
    </row>
    <row r="7" spans="1:16" x14ac:dyDescent="0.25">
      <c r="A7" s="153">
        <v>2027</v>
      </c>
      <c r="C7" s="149" t="s">
        <v>159</v>
      </c>
      <c r="D7" s="165">
        <f>SUMIFS('All Measure &amp; TRC+ Calc'!AT:AT,'All Measure &amp; TRC+ Calc'!$D:$D,$C7,'All Measure &amp; TRC+ Calc'!$B:$B,D$4)</f>
        <v>26642165.394210752</v>
      </c>
      <c r="E7" s="165">
        <f>SUMIFS('All Measure &amp; TRC+ Calc'!AU:AU,'All Measure &amp; TRC+ Calc'!$D:$D,$C7,'All Measure &amp; TRC+ Calc'!$B:$B,E$4)</f>
        <v>0</v>
      </c>
      <c r="F7" s="165">
        <f>SUMIFS('All Measure &amp; TRC+ Calc'!AV:AV,'All Measure &amp; TRC+ Calc'!$D:$D,$C7,'All Measure &amp; TRC+ Calc'!$B:$B,F$4)</f>
        <v>251063.44638781826</v>
      </c>
      <c r="G7" s="165">
        <f>SUMIFS('All Measure &amp; TRC+ Calc'!AW:AW,'All Measure &amp; TRC+ Calc'!$D:$D,$C7,'All Measure &amp; TRC+ Calc'!$B:$B,G$4)</f>
        <v>212481.27937288475</v>
      </c>
      <c r="H7" s="165">
        <f>SUMIFS('All Measure &amp; TRC+ Calc'!AX:AX,'All Measure &amp; TRC+ Calc'!$D:$D,$C7,'All Measure &amp; TRC+ Calc'!$B:$B,H$4)</f>
        <v>26403.982103836526</v>
      </c>
      <c r="I7" s="166">
        <f>SUMIFS('All Measure &amp; TRC+ Calc'!AY:AY,'All Measure &amp; TRC+ Calc'!$D:$D,$C7,'All Measure &amp; TRC+ Calc'!$B:$B,$A7)</f>
        <v>0</v>
      </c>
      <c r="J7" s="191">
        <f>SUMIFS('All Measure &amp; TRC+ Calc'!BF:BF,'All Measure &amp; TRC+ Calc'!$D:$D,$C7,'All Measure &amp; TRC+ Calc'!$B:$B,$A7)</f>
        <v>27132114.102075294</v>
      </c>
      <c r="K7" s="167">
        <f>SUMIFS('All Measure &amp; TRC+ Calc'!AQ:AQ,'All Measure &amp; TRC+ Calc'!$D:$D,$C7,'All Measure &amp; TRC+ Calc'!$B:$B,K$4)</f>
        <v>43903980</v>
      </c>
      <c r="L7" s="164">
        <f>SUMIFS('All Measure &amp; TRC+ Calc'!BG:BG,'All Measure &amp; TRC+ Calc'!$D:$D,$C7,'All Measure &amp; TRC+ Calc'!$B:$B,$A7)-K7</f>
        <v>0</v>
      </c>
      <c r="M7" s="164">
        <f>SUMIFS(Budget!$E:$E,Budget!$C:$C,$C7,Budget!$D:$D,"&lt;&gt;Incentives",Budget!$A:$A,M$4)</f>
        <v>2430000</v>
      </c>
      <c r="N7" s="168">
        <f t="shared" ref="N7:N13" si="4">SUM(K7:M7)</f>
        <v>46333980</v>
      </c>
      <c r="O7" s="231">
        <f t="shared" si="2"/>
        <v>-19201865.897924706</v>
      </c>
      <c r="P7" s="234">
        <f t="shared" si="3"/>
        <v>0.58557702364604325</v>
      </c>
    </row>
    <row r="8" spans="1:16" x14ac:dyDescent="0.25">
      <c r="A8" s="153">
        <v>2027</v>
      </c>
      <c r="C8" s="149" t="s">
        <v>130</v>
      </c>
      <c r="D8" s="165">
        <f>SUMIFS('All Measure &amp; TRC+ Calc'!AT:AT,'All Measure &amp; TRC+ Calc'!$D:$D,$C8,'All Measure &amp; TRC+ Calc'!$B:$B,D$4)</f>
        <v>20691600.811619114</v>
      </c>
      <c r="E8" s="165">
        <f>SUMIFS('All Measure &amp; TRC+ Calc'!AU:AU,'All Measure &amp; TRC+ Calc'!$D:$D,$C8,'All Measure &amp; TRC+ Calc'!$B:$B,E$4)</f>
        <v>0</v>
      </c>
      <c r="F8" s="165">
        <f>SUMIFS('All Measure &amp; TRC+ Calc'!AV:AV,'All Measure &amp; TRC+ Calc'!$D:$D,$C8,'All Measure &amp; TRC+ Calc'!$B:$B,F$4)</f>
        <v>789291.44970022154</v>
      </c>
      <c r="G8" s="165">
        <f>SUMIFS('All Measure &amp; TRC+ Calc'!AW:AW,'All Measure &amp; TRC+ Calc'!$D:$D,$C8,'All Measure &amp; TRC+ Calc'!$B:$B,G$4)</f>
        <v>3637968.7393692923</v>
      </c>
      <c r="H8" s="165">
        <f>SUMIFS('All Measure &amp; TRC+ Calc'!AX:AX,'All Measure &amp; TRC+ Calc'!$D:$D,$C8,'All Measure &amp; TRC+ Calc'!$B:$B,H$4)</f>
        <v>36558.217167926807</v>
      </c>
      <c r="I8" s="166">
        <f>SUMIFS('All Measure &amp; TRC+ Calc'!AY:AY,'All Measure &amp; TRC+ Calc'!$D:$D,$C8,'All Measure &amp; TRC+ Calc'!$B:$B,$A8)</f>
        <v>0</v>
      </c>
      <c r="J8" s="191">
        <f>SUMIFS('All Measure &amp; TRC+ Calc'!BF:BF,'All Measure &amp; TRC+ Calc'!$D:$D,$C8,'All Measure &amp; TRC+ Calc'!$B:$B,$A8)</f>
        <v>25155419.217856552</v>
      </c>
      <c r="K8" s="167">
        <f>SUMIFS('All Measure &amp; TRC+ Calc'!AQ:AQ,'All Measure &amp; TRC+ Calc'!$D:$D,$C8,'All Measure &amp; TRC+ Calc'!$B:$B,K$4)</f>
        <v>20060600</v>
      </c>
      <c r="L8" s="164">
        <f>SUMIFS('All Measure &amp; TRC+ Calc'!BG:BG,'All Measure &amp; TRC+ Calc'!$D:$D,$C8,'All Measure &amp; TRC+ Calc'!$B:$B,$A8)-K8</f>
        <v>0</v>
      </c>
      <c r="M8" s="164">
        <f>SUMIFS(Budget!$E:$E,Budget!$C:$C,$C8,Budget!$D:$D,"&lt;&gt;Incentives",Budget!$A:$A,M$4)</f>
        <v>1969275</v>
      </c>
      <c r="N8" s="168">
        <f t="shared" si="4"/>
        <v>22029875</v>
      </c>
      <c r="O8" s="231">
        <f t="shared" si="2"/>
        <v>3125544.2178565525</v>
      </c>
      <c r="P8" s="234">
        <f t="shared" si="3"/>
        <v>1.141877528486047</v>
      </c>
    </row>
    <row r="9" spans="1:16" x14ac:dyDescent="0.25">
      <c r="A9" s="153">
        <v>2027</v>
      </c>
      <c r="C9" s="149" t="s">
        <v>333</v>
      </c>
      <c r="D9" s="165">
        <f>SUMIFS('All Measure &amp; TRC+ Calc'!AT:AT,'All Measure &amp; TRC+ Calc'!$D:$D,$C9,'All Measure &amp; TRC+ Calc'!$B:$B,D$4)</f>
        <v>19237662.621852167</v>
      </c>
      <c r="E9" s="165">
        <f>SUMIFS('All Measure &amp; TRC+ Calc'!AU:AU,'All Measure &amp; TRC+ Calc'!$D:$D,$C9,'All Measure &amp; TRC+ Calc'!$B:$B,E$4)</f>
        <v>0</v>
      </c>
      <c r="F9" s="165">
        <f>SUMIFS('All Measure &amp; TRC+ Calc'!AV:AV,'All Measure &amp; TRC+ Calc'!$D:$D,$C9,'All Measure &amp; TRC+ Calc'!$B:$B,F$4)</f>
        <v>0</v>
      </c>
      <c r="G9" s="165">
        <f>SUMIFS('All Measure &amp; TRC+ Calc'!AW:AW,'All Measure &amp; TRC+ Calc'!$D:$D,$C9,'All Measure &amp; TRC+ Calc'!$B:$B,G$4)</f>
        <v>5983116.7593015172</v>
      </c>
      <c r="H9" s="165">
        <f>SUMIFS('All Measure &amp; TRC+ Calc'!AX:AX,'All Measure &amp; TRC+ Calc'!$D:$D,$C9,'All Measure &amp; TRC+ Calc'!$B:$B,H$4)</f>
        <v>0</v>
      </c>
      <c r="I9" s="166">
        <f>SUMIFS('All Measure &amp; TRC+ Calc'!AY:AY,'All Measure &amp; TRC+ Calc'!$D:$D,$C9,'All Measure &amp; TRC+ Calc'!$B:$B,$A9)</f>
        <v>0</v>
      </c>
      <c r="J9" s="191">
        <f>SUMIFS('All Measure &amp; TRC+ Calc'!BF:BF,'All Measure &amp; TRC+ Calc'!$D:$D,$C9,'All Measure &amp; TRC+ Calc'!$B:$B,$A9)</f>
        <v>25220779.381153688</v>
      </c>
      <c r="K9" s="167">
        <f>SUMIFS('All Measure &amp; TRC+ Calc'!AQ:AQ,'All Measure &amp; TRC+ Calc'!$D:$D,$C9,'All Measure &amp; TRC+ Calc'!$B:$B,K$4)</f>
        <v>17325146.399999999</v>
      </c>
      <c r="L9" s="164">
        <f>SUMIFS('All Measure &amp; TRC+ Calc'!BG:BG,'All Measure &amp; TRC+ Calc'!$D:$D,$C9,'All Measure &amp; TRC+ Calc'!$B:$B,$A9)-K9</f>
        <v>12438844.759778284</v>
      </c>
      <c r="M9" s="164">
        <f>SUMIFS(Budget!$E:$E,Budget!$C:$C,$C9,Budget!$D:$D,"&lt;&gt;Incentives",Budget!$A:$A,M$4)</f>
        <v>1654600</v>
      </c>
      <c r="N9" s="168">
        <f t="shared" ref="N9" si="5">SUM(K9:M9)</f>
        <v>31418591.159778282</v>
      </c>
      <c r="O9" s="231">
        <f t="shared" si="2"/>
        <v>-6197811.7786245942</v>
      </c>
      <c r="P9" s="234">
        <f t="shared" si="3"/>
        <v>0.80273425542520949</v>
      </c>
    </row>
    <row r="10" spans="1:16" x14ac:dyDescent="0.25">
      <c r="A10" s="153">
        <v>2027</v>
      </c>
      <c r="C10" s="149" t="s">
        <v>160</v>
      </c>
      <c r="D10" s="165">
        <f>SUMIFS('All Measure &amp; TRC+ Calc'!AT:AT,'All Measure &amp; TRC+ Calc'!$D:$D,$C10,'All Measure &amp; TRC+ Calc'!$B:$B,D$4)</f>
        <v>8890199.6334516425</v>
      </c>
      <c r="E10" s="165">
        <f>SUMIFS('All Measure &amp; TRC+ Calc'!AU:AU,'All Measure &amp; TRC+ Calc'!$D:$D,$C10,'All Measure &amp; TRC+ Calc'!$B:$B,E$4)</f>
        <v>0</v>
      </c>
      <c r="F10" s="165">
        <f>SUMIFS('All Measure &amp; TRC+ Calc'!AV:AV,'All Measure &amp; TRC+ Calc'!$D:$D,$C10,'All Measure &amp; TRC+ Calc'!$B:$B,F$4)</f>
        <v>2416534.981465051</v>
      </c>
      <c r="G10" s="165">
        <f>SUMIFS('All Measure &amp; TRC+ Calc'!AW:AW,'All Measure &amp; TRC+ Calc'!$D:$D,$C10,'All Measure &amp; TRC+ Calc'!$B:$B,G$4)</f>
        <v>6255849.2778185373</v>
      </c>
      <c r="H10" s="165">
        <f>SUMIFS('All Measure &amp; TRC+ Calc'!AX:AX,'All Measure &amp; TRC+ Calc'!$D:$D,$C10,'All Measure &amp; TRC+ Calc'!$B:$B,H$4)</f>
        <v>0</v>
      </c>
      <c r="I10" s="166">
        <f>SUMIFS('All Measure &amp; TRC+ Calc'!AY:AY,'All Measure &amp; TRC+ Calc'!$D:$D,$C10,'All Measure &amp; TRC+ Calc'!$B:$B,$A10)</f>
        <v>0</v>
      </c>
      <c r="J10" s="191">
        <f>SUMIFS('All Measure &amp; TRC+ Calc'!BF:BF,'All Measure &amp; TRC+ Calc'!$D:$D,$C10,'All Measure &amp; TRC+ Calc'!$B:$B,$A10)</f>
        <v>17562583.892735232</v>
      </c>
      <c r="K10" s="167">
        <f>SUMIFS('All Measure &amp; TRC+ Calc'!AQ:AQ,'All Measure &amp; TRC+ Calc'!$D:$D,$C10,'All Measure &amp; TRC+ Calc'!$B:$B,K$4)</f>
        <v>6543568</v>
      </c>
      <c r="L10" s="164">
        <f>SUMIFS('All Measure &amp; TRC+ Calc'!BG:BG,'All Measure &amp; TRC+ Calc'!$D:$D,$C10,'All Measure &amp; TRC+ Calc'!$B:$B,$A10)-K10</f>
        <v>0</v>
      </c>
      <c r="M10" s="164">
        <f>SUMIFS(Budget!$E:$E,Budget!$C:$C,$C10,Budget!$D:$D,"&lt;&gt;Incentives",Budget!$A:$A,M$4)</f>
        <v>2994393</v>
      </c>
      <c r="N10" s="168">
        <f t="shared" si="4"/>
        <v>9537961</v>
      </c>
      <c r="O10" s="231">
        <f t="shared" si="2"/>
        <v>8024622.8927352317</v>
      </c>
      <c r="P10" s="234">
        <f t="shared" si="3"/>
        <v>1.8413352594684789</v>
      </c>
    </row>
    <row r="11" spans="1:16" x14ac:dyDescent="0.25">
      <c r="A11" s="153">
        <v>2027</v>
      </c>
      <c r="C11" s="149" t="s">
        <v>161</v>
      </c>
      <c r="D11" s="165">
        <f>SUMIFS('All Measure &amp; TRC+ Calc'!AT:AT,'All Measure &amp; TRC+ Calc'!$D:$D,$C11,'All Measure &amp; TRC+ Calc'!$B:$B,D$4)</f>
        <v>9672415.6403926741</v>
      </c>
      <c r="E11" s="165">
        <f>SUMIFS('All Measure &amp; TRC+ Calc'!AU:AU,'All Measure &amp; TRC+ Calc'!$D:$D,$C11,'All Measure &amp; TRC+ Calc'!$B:$B,E$4)</f>
        <v>0</v>
      </c>
      <c r="F11" s="165">
        <f>SUMIFS('All Measure &amp; TRC+ Calc'!AV:AV,'All Measure &amp; TRC+ Calc'!$D:$D,$C11,'All Measure &amp; TRC+ Calc'!$B:$B,F$4)</f>
        <v>819447.4745226365</v>
      </c>
      <c r="G11" s="165">
        <f>SUMIFS('All Measure &amp; TRC+ Calc'!AW:AW,'All Measure &amp; TRC+ Calc'!$D:$D,$C11,'All Measure &amp; TRC+ Calc'!$B:$B,G$4)</f>
        <v>2744487.5423352737</v>
      </c>
      <c r="H11" s="165">
        <f>SUMIFS('All Measure &amp; TRC+ Calc'!AX:AX,'All Measure &amp; TRC+ Calc'!$D:$D,$C11,'All Measure &amp; TRC+ Calc'!$B:$B,H$4)</f>
        <v>14285.311402592171</v>
      </c>
      <c r="I11" s="166">
        <f>SUMIFS('All Measure &amp; TRC+ Calc'!AY:AY,'All Measure &amp; TRC+ Calc'!$D:$D,$C11,'All Measure &amp; TRC+ Calc'!$B:$B,$A11)</f>
        <v>0</v>
      </c>
      <c r="J11" s="191">
        <f>SUMIFS('All Measure &amp; TRC+ Calc'!BF:BF,'All Measure &amp; TRC+ Calc'!$D:$D,$C11,'All Measure &amp; TRC+ Calc'!$B:$B,$A11)</f>
        <v>13250635.968653176</v>
      </c>
      <c r="K11" s="167">
        <f>SUMIFS('All Measure &amp; TRC+ Calc'!AQ:AQ,'All Measure &amp; TRC+ Calc'!$D:$D,$C11,'All Measure &amp; TRC+ Calc'!$B:$B,K$4)</f>
        <v>7043100</v>
      </c>
      <c r="L11" s="164">
        <f>SUMIFS('All Measure &amp; TRC+ Calc'!BG:BG,'All Measure &amp; TRC+ Calc'!$D:$D,$C11,'All Measure &amp; TRC+ Calc'!$B:$B,$A11)-K11</f>
        <v>0</v>
      </c>
      <c r="M11" s="164">
        <f>SUMIFS(Budget!$E:$E,Budget!$C:$C,$C11,Budget!$D:$D,"&lt;&gt;Incentives",Budget!$A:$A,M$4)</f>
        <v>725000</v>
      </c>
      <c r="N11" s="168">
        <f t="shared" si="4"/>
        <v>7768100</v>
      </c>
      <c r="O11" s="231">
        <f t="shared" si="2"/>
        <v>5482535.968653176</v>
      </c>
      <c r="P11" s="234">
        <f t="shared" si="3"/>
        <v>1.705775668265493</v>
      </c>
    </row>
    <row r="12" spans="1:16" x14ac:dyDescent="0.25">
      <c r="A12" s="153">
        <v>2027</v>
      </c>
      <c r="C12" s="149" t="s">
        <v>162</v>
      </c>
      <c r="D12" s="165">
        <f>SUMIFS('All Measure &amp; TRC+ Calc'!AT:AT,'All Measure &amp; TRC+ Calc'!$D:$D,$C12,'All Measure &amp; TRC+ Calc'!$B:$B,D$4)</f>
        <v>715531.42997750826</v>
      </c>
      <c r="E12" s="165">
        <f>SUMIFS('All Measure &amp; TRC+ Calc'!AU:AU,'All Measure &amp; TRC+ Calc'!$D:$D,$C12,'All Measure &amp; TRC+ Calc'!$B:$B,E$4)</f>
        <v>0</v>
      </c>
      <c r="F12" s="165">
        <f>SUMIFS('All Measure &amp; TRC+ Calc'!AV:AV,'All Measure &amp; TRC+ Calc'!$D:$D,$C12,'All Measure &amp; TRC+ Calc'!$B:$B,F$4)</f>
        <v>167131.1768884575</v>
      </c>
      <c r="G12" s="165">
        <f>SUMIFS('All Measure &amp; TRC+ Calc'!AW:AW,'All Measure &amp; TRC+ Calc'!$D:$D,$C12,'All Measure &amp; TRC+ Calc'!$B:$B,G$4)</f>
        <v>68711.189605167368</v>
      </c>
      <c r="H12" s="165">
        <f>SUMIFS('All Measure &amp; TRC+ Calc'!AX:AX,'All Measure &amp; TRC+ Calc'!$D:$D,$C12,'All Measure &amp; TRC+ Calc'!$B:$B,H$4)</f>
        <v>0</v>
      </c>
      <c r="I12" s="166">
        <f>SUMIFS('All Measure &amp; TRC+ Calc'!AY:AY,'All Measure &amp; TRC+ Calc'!$D:$D,$C12,'All Measure &amp; TRC+ Calc'!$B:$B,$A12)</f>
        <v>0</v>
      </c>
      <c r="J12" s="191">
        <f>SUMIFS('All Measure &amp; TRC+ Calc'!BF:BF,'All Measure &amp; TRC+ Calc'!$D:$D,$C12,'All Measure &amp; TRC+ Calc'!$B:$B,$A12)</f>
        <v>951373.79647113313</v>
      </c>
      <c r="K12" s="167">
        <f>SUMIFS('All Measure &amp; TRC+ Calc'!AQ:AQ,'All Measure &amp; TRC+ Calc'!$D:$D,$C12,'All Measure &amp; TRC+ Calc'!$B:$B,K$4)</f>
        <v>0</v>
      </c>
      <c r="L12" s="164">
        <f>SUMIFS('All Measure &amp; TRC+ Calc'!BG:BG,'All Measure &amp; TRC+ Calc'!$D:$D,$C12,'All Measure &amp; TRC+ Calc'!$B:$B,$A12)-K12</f>
        <v>0</v>
      </c>
      <c r="M12" s="164">
        <f>SUMIFS(Budget!$E:$E,Budget!$C:$C,$C12,Budget!$D:$D,"&lt;&gt;Incentives",Budget!$A:$A,M$4)</f>
        <v>2460000</v>
      </c>
      <c r="N12" s="168">
        <f t="shared" si="4"/>
        <v>2460000</v>
      </c>
      <c r="O12" s="231">
        <f t="shared" si="2"/>
        <v>-1508626.2035288669</v>
      </c>
      <c r="P12" s="234">
        <f t="shared" si="3"/>
        <v>0.38673731563867203</v>
      </c>
    </row>
    <row r="13" spans="1:16" x14ac:dyDescent="0.25">
      <c r="A13" s="153">
        <v>2027</v>
      </c>
      <c r="C13" s="149" t="s">
        <v>17</v>
      </c>
      <c r="D13" s="169">
        <v>0</v>
      </c>
      <c r="E13" s="169">
        <v>0</v>
      </c>
      <c r="F13" s="169">
        <v>0</v>
      </c>
      <c r="G13" s="169">
        <v>0</v>
      </c>
      <c r="H13" s="169">
        <v>0</v>
      </c>
      <c r="I13" s="169">
        <v>0</v>
      </c>
      <c r="J13" s="197">
        <v>0</v>
      </c>
      <c r="K13" s="171">
        <v>0</v>
      </c>
      <c r="L13" s="170">
        <v>0</v>
      </c>
      <c r="M13" s="164">
        <f>SUMIFS(Budget!$E:$E,Budget!$C:$C,$C13,Budget!$D:$D,"&lt;&gt;Incentives",Budget!$A:$A,M$4)</f>
        <v>2573738</v>
      </c>
      <c r="N13" s="168">
        <f t="shared" si="4"/>
        <v>2573738</v>
      </c>
      <c r="O13" s="231">
        <f t="shared" si="2"/>
        <v>-2573738</v>
      </c>
      <c r="P13" s="235">
        <f t="shared" si="3"/>
        <v>0</v>
      </c>
    </row>
    <row r="14" spans="1:16" x14ac:dyDescent="0.25">
      <c r="A14" s="153">
        <v>2027</v>
      </c>
      <c r="C14" s="150" t="s">
        <v>138</v>
      </c>
      <c r="D14" s="158">
        <f t="shared" ref="D14:N14" si="6">SUM(D15:D23)</f>
        <v>107429245.89899564</v>
      </c>
      <c r="E14" s="158">
        <f t="shared" si="6"/>
        <v>1797604.1545316093</v>
      </c>
      <c r="F14" s="158">
        <f t="shared" si="6"/>
        <v>6031298.8042644393</v>
      </c>
      <c r="G14" s="158">
        <f t="shared" si="6"/>
        <v>10577042.70918324</v>
      </c>
      <c r="H14" s="158">
        <f t="shared" ref="H14" si="7">SUM(H15:H23)</f>
        <v>331474.23936813325</v>
      </c>
      <c r="I14" s="158">
        <f t="shared" si="6"/>
        <v>0</v>
      </c>
      <c r="J14" s="201">
        <f t="shared" si="6"/>
        <v>126166665.80634306</v>
      </c>
      <c r="K14" s="163">
        <f t="shared" si="6"/>
        <v>60417831.532541923</v>
      </c>
      <c r="L14" s="160">
        <f t="shared" si="6"/>
        <v>9389675.8885724582</v>
      </c>
      <c r="M14" s="160">
        <f t="shared" si="6"/>
        <v>10467355</v>
      </c>
      <c r="N14" s="162">
        <f t="shared" si="6"/>
        <v>80274862.421114385</v>
      </c>
      <c r="O14" s="230">
        <f t="shared" si="2"/>
        <v>45891803.385228679</v>
      </c>
      <c r="P14" s="233">
        <f t="shared" si="3"/>
        <v>1.571683363896466</v>
      </c>
    </row>
    <row r="15" spans="1:16" x14ac:dyDescent="0.25">
      <c r="A15" s="153">
        <v>2027</v>
      </c>
      <c r="C15" s="149" t="s">
        <v>9</v>
      </c>
      <c r="D15" s="165">
        <f>SUMIFS('All Measure &amp; TRC+ Calc'!AT:AT,'All Measure &amp; TRC+ Calc'!$D:$D,$C15,'All Measure &amp; TRC+ Calc'!$B:$B,D$4)</f>
        <v>69455292.018015668</v>
      </c>
      <c r="E15" s="165">
        <f>SUMIFS('All Measure &amp; TRC+ Calc'!AU:AU,'All Measure &amp; TRC+ Calc'!$D:$D,$C15,'All Measure &amp; TRC+ Calc'!$B:$B,E$4)</f>
        <v>217890.14597094347</v>
      </c>
      <c r="F15" s="165">
        <f>SUMIFS('All Measure &amp; TRC+ Calc'!AV:AV,'All Measure &amp; TRC+ Calc'!$D:$D,$C15,'All Measure &amp; TRC+ Calc'!$B:$B,F$4)</f>
        <v>1299296.8249305373</v>
      </c>
      <c r="G15" s="165">
        <f>SUMIFS('All Measure &amp; TRC+ Calc'!AW:AW,'All Measure &amp; TRC+ Calc'!$D:$D,$C15,'All Measure &amp; TRC+ Calc'!$B:$B,G$4)</f>
        <v>3632143.3843015432</v>
      </c>
      <c r="H15" s="165">
        <f>SUMIFS('All Measure &amp; TRC+ Calc'!AX:AX,'All Measure &amp; TRC+ Calc'!$D:$D,$C15,'All Measure &amp; TRC+ Calc'!$B:$B,H$4)</f>
        <v>79378.776522935543</v>
      </c>
      <c r="I15" s="166">
        <f>SUMIFS('All Measure &amp; TRC+ Calc'!AY:AY,'All Measure &amp; TRC+ Calc'!$D:$D,$C15,'All Measure &amp; TRC+ Calc'!$B:$B,$A15)</f>
        <v>0</v>
      </c>
      <c r="J15" s="191">
        <f>SUMIFS('All Measure &amp; TRC+ Calc'!BF:BF,'All Measure &amp; TRC+ Calc'!$D:$D,$C15,'All Measure &amp; TRC+ Calc'!$B:$B,$A15)</f>
        <v>74684001.149741635</v>
      </c>
      <c r="K15" s="167">
        <f>SUMIFS('All Measure &amp; TRC+ Calc'!AQ:AQ,'All Measure &amp; TRC+ Calc'!$D:$D,$C15,'All Measure &amp; TRC+ Calc'!$B:$B,K$4)</f>
        <v>39808962.617130987</v>
      </c>
      <c r="L15" s="164">
        <f>SUMIFS('All Measure &amp; TRC+ Calc'!BG:BG,'All Measure &amp; TRC+ Calc'!$D:$D,$C15,'All Measure &amp; TRC+ Calc'!$B:$B,$A15)-K15</f>
        <v>6567628.6539812237</v>
      </c>
      <c r="M15" s="164">
        <f>SUMIFS(Budget!$E:$E,Budget!$C:$C,$C15,Budget!$D:$D,"&lt;&gt;Incentives",Budget!$A:$A,M$4)</f>
        <v>916000</v>
      </c>
      <c r="N15" s="168">
        <f t="shared" ref="N15:N23" si="8">SUM(K15:M15)</f>
        <v>47292591.271112211</v>
      </c>
      <c r="O15" s="231">
        <f t="shared" si="2"/>
        <v>27391409.878629424</v>
      </c>
      <c r="P15" s="234">
        <f t="shared" si="3"/>
        <v>1.5791902947673953</v>
      </c>
    </row>
    <row r="16" spans="1:16" x14ac:dyDescent="0.25">
      <c r="A16" s="153">
        <v>2027</v>
      </c>
      <c r="C16" s="149" t="s">
        <v>163</v>
      </c>
      <c r="D16" s="165">
        <f>SUMIFS('All Measure &amp; TRC+ Calc'!AT:AT,'All Measure &amp; TRC+ Calc'!$D:$D,$C16,'All Measure &amp; TRC+ Calc'!$B:$B,D$4)</f>
        <v>11295951.665387176</v>
      </c>
      <c r="E16" s="165">
        <f>SUMIFS('All Measure &amp; TRC+ Calc'!AU:AU,'All Measure &amp; TRC+ Calc'!$D:$D,$C16,'All Measure &amp; TRC+ Calc'!$B:$B,E$4)</f>
        <v>177637.16234616181</v>
      </c>
      <c r="F16" s="165">
        <f>SUMIFS('All Measure &amp; TRC+ Calc'!AV:AV,'All Measure &amp; TRC+ Calc'!$D:$D,$C16,'All Measure &amp; TRC+ Calc'!$B:$B,F$4)</f>
        <v>995595.23392229562</v>
      </c>
      <c r="G16" s="165">
        <f>SUMIFS('All Measure &amp; TRC+ Calc'!AW:AW,'All Measure &amp; TRC+ Calc'!$D:$D,$C16,'All Measure &amp; TRC+ Calc'!$B:$B,G$4)</f>
        <v>1509005.3546392052</v>
      </c>
      <c r="H16" s="165">
        <f>SUMIFS('All Measure &amp; TRC+ Calc'!AX:AX,'All Measure &amp; TRC+ Calc'!$D:$D,$C16,'All Measure &amp; TRC+ Calc'!$B:$B,H$4)</f>
        <v>82193.858604325869</v>
      </c>
      <c r="I16" s="166">
        <f>SUMIFS('All Measure &amp; TRC+ Calc'!AY:AY,'All Measure &amp; TRC+ Calc'!$D:$D,$C16,'All Measure &amp; TRC+ Calc'!$B:$B,$A16)</f>
        <v>0</v>
      </c>
      <c r="J16" s="191">
        <f>SUMIFS('All Measure &amp; TRC+ Calc'!BF:BF,'All Measure &amp; TRC+ Calc'!$D:$D,$C16,'All Measure &amp; TRC+ Calc'!$B:$B,$A16)</f>
        <v>14060383.27489916</v>
      </c>
      <c r="K16" s="167">
        <f>SUMIFS('All Measure &amp; TRC+ Calc'!AQ:AQ,'All Measure &amp; TRC+ Calc'!$D:$D,$C16,'All Measure &amp; TRC+ Calc'!$B:$B,K$4)</f>
        <v>6909701.7262485381</v>
      </c>
      <c r="L16" s="164">
        <f>SUMIFS('All Measure &amp; TRC+ Calc'!BG:BG,'All Measure &amp; TRC+ Calc'!$D:$D,$C16,'All Measure &amp; TRC+ Calc'!$B:$B,$A16)-K16</f>
        <v>2748664.6051269751</v>
      </c>
      <c r="M16" s="164">
        <f>SUMIFS(Budget!$E:$E,Budget!$C:$C,$C16,Budget!$D:$D,"&lt;&gt;Incentives",Budget!$A:$A,M$4)</f>
        <v>919100</v>
      </c>
      <c r="N16" s="168">
        <f t="shared" si="8"/>
        <v>10577466.331375513</v>
      </c>
      <c r="O16" s="231">
        <f t="shared" si="2"/>
        <v>3482916.9435236473</v>
      </c>
      <c r="P16" s="234">
        <f t="shared" si="3"/>
        <v>1.3292770531627609</v>
      </c>
    </row>
    <row r="17" spans="1:16" x14ac:dyDescent="0.25">
      <c r="A17" s="153">
        <v>2027</v>
      </c>
      <c r="C17" s="149" t="s">
        <v>164</v>
      </c>
      <c r="D17" s="165">
        <f>SUMIFS('All Measure &amp; TRC+ Calc'!AT:AT,'All Measure &amp; TRC+ Calc'!$D:$D,$C17,'All Measure &amp; TRC+ Calc'!$B:$B,D$4)</f>
        <v>20514270.142990172</v>
      </c>
      <c r="E17" s="165">
        <f>SUMIFS('All Measure &amp; TRC+ Calc'!AU:AU,'All Measure &amp; TRC+ Calc'!$D:$D,$C17,'All Measure &amp; TRC+ Calc'!$B:$B,E$4)</f>
        <v>0</v>
      </c>
      <c r="F17" s="165">
        <f>SUMIFS('All Measure &amp; TRC+ Calc'!AV:AV,'All Measure &amp; TRC+ Calc'!$D:$D,$C17,'All Measure &amp; TRC+ Calc'!$B:$B,F$4)</f>
        <v>2200589.8212802839</v>
      </c>
      <c r="G17" s="165">
        <f>SUMIFS('All Measure &amp; TRC+ Calc'!AW:AW,'All Measure &amp; TRC+ Calc'!$D:$D,$C17,'All Measure &amp; TRC+ Calc'!$B:$B,G$4)</f>
        <v>4395893.9762620144</v>
      </c>
      <c r="H17" s="165">
        <f>SUMIFS('All Measure &amp; TRC+ Calc'!AX:AX,'All Measure &amp; TRC+ Calc'!$D:$D,$C17,'All Measure &amp; TRC+ Calc'!$B:$B,H$4)</f>
        <v>122051.10950269031</v>
      </c>
      <c r="I17" s="166">
        <f>SUMIFS('All Measure &amp; TRC+ Calc'!AY:AY,'All Measure &amp; TRC+ Calc'!$D:$D,$C17,'All Measure &amp; TRC+ Calc'!$B:$B,$A17)</f>
        <v>0</v>
      </c>
      <c r="J17" s="191">
        <f>SUMIFS('All Measure &amp; TRC+ Calc'!BF:BF,'All Measure &amp; TRC+ Calc'!$D:$D,$C17,'All Measure &amp; TRC+ Calc'!$B:$B,$A17)</f>
        <v>27232805.050035156</v>
      </c>
      <c r="K17" s="167">
        <f>SUMIFS('All Measure &amp; TRC+ Calc'!AQ:AQ,'All Measure &amp; TRC+ Calc'!$D:$D,$C17,'All Measure &amp; TRC+ Calc'!$B:$B,K$4)</f>
        <v>9478519.9663026575</v>
      </c>
      <c r="L17" s="164">
        <f>SUMIFS('All Measure &amp; TRC+ Calc'!BG:BG,'All Measure &amp; TRC+ Calc'!$D:$D,$C17,'All Measure &amp; TRC+ Calc'!$B:$B,$A17)-K17</f>
        <v>0</v>
      </c>
      <c r="M17" s="164">
        <f>SUMIFS(Budget!$E:$E,Budget!$C:$C,$C17,Budget!$D:$D,"&lt;&gt;Incentives",Budget!$A:$A,M$4)</f>
        <v>928300</v>
      </c>
      <c r="N17" s="168">
        <f t="shared" si="8"/>
        <v>10406819.966302657</v>
      </c>
      <c r="O17" s="231">
        <f t="shared" si="2"/>
        <v>16825985.083732501</v>
      </c>
      <c r="P17" s="234">
        <f t="shared" si="3"/>
        <v>2.6168229236419132</v>
      </c>
    </row>
    <row r="18" spans="1:16" x14ac:dyDescent="0.25">
      <c r="A18" s="153">
        <v>2027</v>
      </c>
      <c r="C18" s="149" t="s">
        <v>165</v>
      </c>
      <c r="D18" s="165">
        <f>SUMIFS('All Measure &amp; TRC+ Calc'!AT:AT,'All Measure &amp; TRC+ Calc'!$D:$D,$C18,'All Measure &amp; TRC+ Calc'!$B:$B,D$4)</f>
        <v>5721475.0730617419</v>
      </c>
      <c r="E18" s="165">
        <f>SUMIFS('All Measure &amp; TRC+ Calc'!AU:AU,'All Measure &amp; TRC+ Calc'!$D:$D,$C18,'All Measure &amp; TRC+ Calc'!$B:$B,E$4)</f>
        <v>1402076.846214504</v>
      </c>
      <c r="F18" s="165">
        <f>SUMIFS('All Measure &amp; TRC+ Calc'!AV:AV,'All Measure &amp; TRC+ Calc'!$D:$D,$C18,'All Measure &amp; TRC+ Calc'!$B:$B,F$4)</f>
        <v>1532372.8897804809</v>
      </c>
      <c r="G18" s="165">
        <f>SUMIFS('All Measure &amp; TRC+ Calc'!AW:AW,'All Measure &amp; TRC+ Calc'!$D:$D,$C18,'All Measure &amp; TRC+ Calc'!$B:$B,G$4)</f>
        <v>1031049.0693356316</v>
      </c>
      <c r="H18" s="165">
        <f>SUMIFS('All Measure &amp; TRC+ Calc'!AX:AX,'All Measure &amp; TRC+ Calc'!$D:$D,$C18,'All Measure &amp; TRC+ Calc'!$B:$B,H$4)</f>
        <v>47474.189096938695</v>
      </c>
      <c r="I18" s="166">
        <f>SUMIFS('All Measure &amp; TRC+ Calc'!AY:AY,'All Measure &amp; TRC+ Calc'!$D:$D,$C18,'All Measure &amp; TRC+ Calc'!$B:$B,$A18)</f>
        <v>0</v>
      </c>
      <c r="J18" s="191">
        <f>SUMIFS('All Measure &amp; TRC+ Calc'!BF:BF,'All Measure &amp; TRC+ Calc'!$D:$D,$C18,'All Measure &amp; TRC+ Calc'!$B:$B,$A18)</f>
        <v>9734448.0674892962</v>
      </c>
      <c r="K18" s="167">
        <f>SUMIFS('All Measure &amp; TRC+ Calc'!AQ:AQ,'All Measure &amp; TRC+ Calc'!$D:$D,$C18,'All Measure &amp; TRC+ Calc'!$B:$B,K$4)</f>
        <v>3976776.4090909092</v>
      </c>
      <c r="L18" s="164">
        <f>SUMIFS('All Measure &amp; TRC+ Calc'!BG:BG,'All Measure &amp; TRC+ Calc'!$D:$D,$C18,'All Measure &amp; TRC+ Calc'!$B:$B,$A18)-K18</f>
        <v>0</v>
      </c>
      <c r="M18" s="164">
        <f>SUMIFS(Budget!$E:$E,Budget!$C:$C,$C18,Budget!$D:$D,"&lt;&gt;Incentives",Budget!$A:$A,M$4)</f>
        <v>1243000</v>
      </c>
      <c r="N18" s="168">
        <f t="shared" si="8"/>
        <v>5219776.4090909092</v>
      </c>
      <c r="O18" s="231">
        <f t="shared" si="2"/>
        <v>4514671.658398387</v>
      </c>
      <c r="P18" s="234">
        <f t="shared" si="3"/>
        <v>1.8649166754605635</v>
      </c>
    </row>
    <row r="19" spans="1:16" x14ac:dyDescent="0.25">
      <c r="A19" s="153">
        <v>2027</v>
      </c>
      <c r="C19" s="149" t="s">
        <v>166</v>
      </c>
      <c r="D19" s="165">
        <f>SUMIFS('All Measure &amp; TRC+ Calc'!AT:AT,'All Measure &amp; TRC+ Calc'!$D:$D,$C19,'All Measure &amp; TRC+ Calc'!$B:$B,D$4)</f>
        <v>287138.21302399482</v>
      </c>
      <c r="E19" s="165">
        <f>SUMIFS('All Measure &amp; TRC+ Calc'!AU:AU,'All Measure &amp; TRC+ Calc'!$D:$D,$C19,'All Measure &amp; TRC+ Calc'!$B:$B,E$4)</f>
        <v>0</v>
      </c>
      <c r="F19" s="165">
        <f>SUMIFS('All Measure &amp; TRC+ Calc'!AV:AV,'All Measure &amp; TRC+ Calc'!$D:$D,$C19,'All Measure &amp; TRC+ Calc'!$B:$B,F$4)</f>
        <v>0</v>
      </c>
      <c r="G19" s="165">
        <f>SUMIFS('All Measure &amp; TRC+ Calc'!AW:AW,'All Measure &amp; TRC+ Calc'!$D:$D,$C19,'All Measure &amp; TRC+ Calc'!$B:$B,G$4)</f>
        <v>0</v>
      </c>
      <c r="H19" s="165">
        <f>SUMIFS('All Measure &amp; TRC+ Calc'!AX:AX,'All Measure &amp; TRC+ Calc'!$D:$D,$C19,'All Measure &amp; TRC+ Calc'!$B:$B,H$4)</f>
        <v>0</v>
      </c>
      <c r="I19" s="166">
        <f>SUMIFS('All Measure &amp; TRC+ Calc'!AY:AY,'All Measure &amp; TRC+ Calc'!$D:$D,$C19,'All Measure &amp; TRC+ Calc'!$B:$B,$A19)</f>
        <v>0</v>
      </c>
      <c r="J19" s="191">
        <f>SUMIFS('All Measure &amp; TRC+ Calc'!BF:BF,'All Measure &amp; TRC+ Calc'!$D:$D,$C19,'All Measure &amp; TRC+ Calc'!$B:$B,$A19)</f>
        <v>287138.21302399482</v>
      </c>
      <c r="K19" s="167">
        <f>SUMIFS('All Measure &amp; TRC+ Calc'!AQ:AQ,'All Measure &amp; TRC+ Calc'!$D:$D,$C19,'All Measure &amp; TRC+ Calc'!$B:$B,K$4)</f>
        <v>49147.613768829862</v>
      </c>
      <c r="L19" s="164">
        <f>SUMIFS('All Measure &amp; TRC+ Calc'!BG:BG,'All Measure &amp; TRC+ Calc'!$D:$D,$C19,'All Measure &amp; TRC+ Calc'!$B:$B,$A19)-K19</f>
        <v>0</v>
      </c>
      <c r="M19" s="164">
        <f>SUMIFS(Budget!$E:$E,Budget!$C:$C,$C19,Budget!$D:$D,"&lt;&gt;Incentives",Budget!$A:$A,M$4)</f>
        <v>326000</v>
      </c>
      <c r="N19" s="168">
        <f t="shared" si="8"/>
        <v>375147.61376882985</v>
      </c>
      <c r="O19" s="231">
        <f t="shared" si="2"/>
        <v>-88009.400744835031</v>
      </c>
      <c r="P19" s="234">
        <f t="shared" si="3"/>
        <v>0.7654006116134664</v>
      </c>
    </row>
    <row r="20" spans="1:16" x14ac:dyDescent="0.25">
      <c r="A20" s="153">
        <v>2027</v>
      </c>
      <c r="C20" s="149" t="s">
        <v>167</v>
      </c>
      <c r="D20" s="165">
        <f>SUMIFS('All Measure &amp; TRC+ Calc'!AT:AT,'All Measure &amp; TRC+ Calc'!$D:$D,$C20,'All Measure &amp; TRC+ Calc'!$B:$B,D$4)</f>
        <v>155118.78651690081</v>
      </c>
      <c r="E20" s="165">
        <f>SUMIFS('All Measure &amp; TRC+ Calc'!AU:AU,'All Measure &amp; TRC+ Calc'!$D:$D,$C20,'All Measure &amp; TRC+ Calc'!$B:$B,E$4)</f>
        <v>0</v>
      </c>
      <c r="F20" s="165">
        <f>SUMIFS('All Measure &amp; TRC+ Calc'!AV:AV,'All Measure &amp; TRC+ Calc'!$D:$D,$C20,'All Measure &amp; TRC+ Calc'!$B:$B,F$4)</f>
        <v>3444.0343508419928</v>
      </c>
      <c r="G20" s="165">
        <f>SUMIFS('All Measure &amp; TRC+ Calc'!AW:AW,'All Measure &amp; TRC+ Calc'!$D:$D,$C20,'All Measure &amp; TRC+ Calc'!$B:$B,G$4)</f>
        <v>8950.9246448439626</v>
      </c>
      <c r="H20" s="165">
        <f>SUMIFS('All Measure &amp; TRC+ Calc'!AX:AX,'All Measure &amp; TRC+ Calc'!$D:$D,$C20,'All Measure &amp; TRC+ Calc'!$B:$B,H$4)</f>
        <v>376.30564124282586</v>
      </c>
      <c r="I20" s="166">
        <f>SUMIFS('All Measure &amp; TRC+ Calc'!AY:AY,'All Measure &amp; TRC+ Calc'!$D:$D,$C20,'All Measure &amp; TRC+ Calc'!$B:$B,$A20)</f>
        <v>0</v>
      </c>
      <c r="J20" s="191">
        <f>SUMIFS('All Measure &amp; TRC+ Calc'!BF:BF,'All Measure &amp; TRC+ Calc'!$D:$D,$C20,'All Measure &amp; TRC+ Calc'!$B:$B,$A20)</f>
        <v>167890.05115382961</v>
      </c>
      <c r="K20" s="167">
        <f>SUMIFS('All Measure &amp; TRC+ Calc'!AQ:AQ,'All Measure &amp; TRC+ Calc'!$D:$D,$C20,'All Measure &amp; TRC+ Calc'!$B:$B,K$4)</f>
        <v>194723.20000000001</v>
      </c>
      <c r="L20" s="164">
        <f>SUMIFS('All Measure &amp; TRC+ Calc'!BG:BG,'All Measure &amp; TRC+ Calc'!$D:$D,$C20,'All Measure &amp; TRC+ Calc'!$B:$B,$A20)-K20</f>
        <v>73382.629464258614</v>
      </c>
      <c r="M20" s="164">
        <f>SUMIFS(Budget!$E:$E,Budget!$C:$C,$C20,Budget!$D:$D,"&lt;&gt;Incentives",Budget!$A:$A,M$4)</f>
        <v>127806</v>
      </c>
      <c r="N20" s="168">
        <f t="shared" si="8"/>
        <v>395911.82946425863</v>
      </c>
      <c r="O20" s="231">
        <f t="shared" si="2"/>
        <v>-228021.77831042901</v>
      </c>
      <c r="P20" s="234">
        <f t="shared" si="3"/>
        <v>0.42405919363666317</v>
      </c>
    </row>
    <row r="21" spans="1:16" x14ac:dyDescent="0.25">
      <c r="A21" s="153">
        <v>2027</v>
      </c>
      <c r="C21" s="149" t="s">
        <v>168</v>
      </c>
      <c r="D21" s="165">
        <f>SUMIFS('All Measure &amp; TRC+ Calc'!AT:AT,'All Measure &amp; TRC+ Calc'!$D:$D,$C21,'All Measure &amp; TRC+ Calc'!$B:$B,D$4)</f>
        <v>0</v>
      </c>
      <c r="E21" s="165">
        <f>SUMIFS('All Measure &amp; TRC+ Calc'!AU:AU,'All Measure &amp; TRC+ Calc'!$D:$D,$C21,'All Measure &amp; TRC+ Calc'!$B:$B,E$4)</f>
        <v>0</v>
      </c>
      <c r="F21" s="165">
        <f>SUMIFS('All Measure &amp; TRC+ Calc'!AV:AV,'All Measure &amp; TRC+ Calc'!$D:$D,$C21,'All Measure &amp; TRC+ Calc'!$B:$B,F$4)</f>
        <v>0</v>
      </c>
      <c r="G21" s="165">
        <f>SUMIFS('All Measure &amp; TRC+ Calc'!AW:AW,'All Measure &amp; TRC+ Calc'!$D:$D,$C21,'All Measure &amp; TRC+ Calc'!$B:$B,G$4)</f>
        <v>0</v>
      </c>
      <c r="H21" s="165">
        <f>SUMIFS('All Measure &amp; TRC+ Calc'!AX:AX,'All Measure &amp; TRC+ Calc'!$D:$D,$C21,'All Measure &amp; TRC+ Calc'!$B:$B,H$4)</f>
        <v>0</v>
      </c>
      <c r="I21" s="166">
        <f>SUMIFS('All Measure &amp; TRC+ Calc'!AY:AY,'All Measure &amp; TRC+ Calc'!$D:$D,$C21,'All Measure &amp; TRC+ Calc'!$B:$B,$A21)</f>
        <v>0</v>
      </c>
      <c r="J21" s="191">
        <f>SUMIFS('All Measure &amp; TRC+ Calc'!BF:BF,'All Measure &amp; TRC+ Calc'!$D:$D,$C21,'All Measure &amp; TRC+ Calc'!$B:$B,$A21)</f>
        <v>0</v>
      </c>
      <c r="K21" s="167">
        <f>SUMIFS('All Measure &amp; TRC+ Calc'!AQ:AQ,'All Measure &amp; TRC+ Calc'!$D:$D,$C21,'All Measure &amp; TRC+ Calc'!$B:$B,K$4)</f>
        <v>0</v>
      </c>
      <c r="L21" s="164">
        <f>SUMIFS('All Measure &amp; TRC+ Calc'!BG:BG,'All Measure &amp; TRC+ Calc'!$D:$D,$C21,'All Measure &amp; TRC+ Calc'!$B:$B,$A21)-K21</f>
        <v>0</v>
      </c>
      <c r="M21" s="164">
        <f>SUMIFS(Budget!$E:$E,Budget!$C:$C,$C21,Budget!$D:$D,"&lt;&gt;Incentives",Budget!$A:$A,M$4)</f>
        <v>280000</v>
      </c>
      <c r="N21" s="168">
        <f t="shared" si="8"/>
        <v>280000</v>
      </c>
      <c r="O21" s="231">
        <f t="shared" si="2"/>
        <v>-280000</v>
      </c>
      <c r="P21" s="234">
        <f t="shared" si="3"/>
        <v>0</v>
      </c>
    </row>
    <row r="22" spans="1:16" x14ac:dyDescent="0.25">
      <c r="A22" s="153">
        <v>2027</v>
      </c>
      <c r="C22" s="149" t="s">
        <v>18</v>
      </c>
      <c r="D22" s="165">
        <f>SUMIFS('All Measure &amp; TRC+ Calc'!AT:AT,'All Measure &amp; TRC+ Calc'!$D:$D,$C22,'All Measure &amp; TRC+ Calc'!$B:$B,D$4)</f>
        <v>0</v>
      </c>
      <c r="E22" s="165">
        <f>SUMIFS('All Measure &amp; TRC+ Calc'!AU:AU,'All Measure &amp; TRC+ Calc'!$D:$D,$C22,'All Measure &amp; TRC+ Calc'!$B:$B,E$4)</f>
        <v>0</v>
      </c>
      <c r="F22" s="165">
        <f>SUMIFS('All Measure &amp; TRC+ Calc'!AV:AV,'All Measure &amp; TRC+ Calc'!$D:$D,$C22,'All Measure &amp; TRC+ Calc'!$B:$B,F$4)</f>
        <v>0</v>
      </c>
      <c r="G22" s="165">
        <f>SUMIFS('All Measure &amp; TRC+ Calc'!AW:AW,'All Measure &amp; TRC+ Calc'!$D:$D,$C22,'All Measure &amp; TRC+ Calc'!$B:$B,G$4)</f>
        <v>0</v>
      </c>
      <c r="H22" s="165">
        <f>SUMIFS('All Measure &amp; TRC+ Calc'!AX:AX,'All Measure &amp; TRC+ Calc'!$D:$D,$C22,'All Measure &amp; TRC+ Calc'!$B:$B,H$4)</f>
        <v>0</v>
      </c>
      <c r="I22" s="166">
        <f>SUMIFS('All Measure &amp; TRC+ Calc'!AY:AY,'All Measure &amp; TRC+ Calc'!$D:$D,$C22,'All Measure &amp; TRC+ Calc'!$B:$B,$A22)</f>
        <v>0</v>
      </c>
      <c r="J22" s="191">
        <f>SUMIFS('All Measure &amp; TRC+ Calc'!BF:BF,'All Measure &amp; TRC+ Calc'!$D:$D,$C22,'All Measure &amp; TRC+ Calc'!$B:$B,$A22)</f>
        <v>0</v>
      </c>
      <c r="K22" s="167">
        <f>SUMIFS('All Measure &amp; TRC+ Calc'!AQ:AQ,'All Measure &amp; TRC+ Calc'!$D:$D,$C22,'All Measure &amp; TRC+ Calc'!$B:$B,K$4)</f>
        <v>0</v>
      </c>
      <c r="L22" s="164">
        <f>SUMIFS('All Measure &amp; TRC+ Calc'!BG:BG,'All Measure &amp; TRC+ Calc'!$D:$D,$C22,'All Measure &amp; TRC+ Calc'!$B:$B,$A22)-K22</f>
        <v>0</v>
      </c>
      <c r="M22" s="164">
        <f>SUMIFS(Budget!$E:$E,Budget!$C:$C,$C22,Budget!$D:$D,"&lt;&gt;Incentives",Budget!$A:$A,M$4)</f>
        <v>200000</v>
      </c>
      <c r="N22" s="168">
        <f t="shared" si="8"/>
        <v>200000</v>
      </c>
      <c r="O22" s="231">
        <f t="shared" si="2"/>
        <v>-200000</v>
      </c>
      <c r="P22" s="234">
        <f t="shared" si="3"/>
        <v>0</v>
      </c>
    </row>
    <row r="23" spans="1:16" x14ac:dyDescent="0.25">
      <c r="A23" s="153">
        <v>2027</v>
      </c>
      <c r="C23" s="149" t="s">
        <v>19</v>
      </c>
      <c r="D23" s="169">
        <v>0</v>
      </c>
      <c r="E23" s="169">
        <v>0</v>
      </c>
      <c r="F23" s="169">
        <v>0</v>
      </c>
      <c r="G23" s="169">
        <v>0</v>
      </c>
      <c r="H23" s="169">
        <v>0</v>
      </c>
      <c r="I23" s="169">
        <v>0</v>
      </c>
      <c r="J23" s="197">
        <v>0</v>
      </c>
      <c r="K23" s="171">
        <v>0</v>
      </c>
      <c r="L23" s="170">
        <v>0</v>
      </c>
      <c r="M23" s="164">
        <f>SUMIFS(Budget!$E:$E,Budget!$C:$C,$C23,Budget!$D:$D,"&lt;&gt;Incentives",Budget!$A:$A,M$4)</f>
        <v>5527149</v>
      </c>
      <c r="N23" s="168">
        <f t="shared" si="8"/>
        <v>5527149</v>
      </c>
      <c r="O23" s="231">
        <f t="shared" si="2"/>
        <v>-5527149</v>
      </c>
      <c r="P23" s="235">
        <f t="shared" si="3"/>
        <v>0</v>
      </c>
    </row>
    <row r="24" spans="1:16" x14ac:dyDescent="0.25">
      <c r="A24" s="153">
        <v>2027</v>
      </c>
      <c r="C24" s="150" t="s">
        <v>139</v>
      </c>
      <c r="D24" s="158">
        <f t="shared" ref="D24:N24" si="9">SUM(D25:D28)</f>
        <v>206756157.6676051</v>
      </c>
      <c r="E24" s="158">
        <f t="shared" si="9"/>
        <v>36401.467487054484</v>
      </c>
      <c r="F24" s="158">
        <f t="shared" si="9"/>
        <v>86552.450768666356</v>
      </c>
      <c r="G24" s="158">
        <f t="shared" si="9"/>
        <v>96325.928636201483</v>
      </c>
      <c r="H24" s="158">
        <f t="shared" si="9"/>
        <v>7095.828391386799</v>
      </c>
      <c r="I24" s="158">
        <f t="shared" si="9"/>
        <v>0</v>
      </c>
      <c r="J24" s="201">
        <f t="shared" si="9"/>
        <v>206982533.34288839</v>
      </c>
      <c r="K24" s="163">
        <f t="shared" si="9"/>
        <v>46861381.655199915</v>
      </c>
      <c r="L24" s="160">
        <f t="shared" si="9"/>
        <v>0</v>
      </c>
      <c r="M24" s="160">
        <f t="shared" si="9"/>
        <v>6264162</v>
      </c>
      <c r="N24" s="162">
        <f t="shared" si="9"/>
        <v>53125543.655199915</v>
      </c>
      <c r="O24" s="230">
        <f t="shared" si="2"/>
        <v>153856989.68768847</v>
      </c>
      <c r="P24" s="233">
        <f t="shared" si="3"/>
        <v>3.8961019333047142</v>
      </c>
    </row>
    <row r="25" spans="1:16" x14ac:dyDescent="0.25">
      <c r="A25" s="153">
        <v>2027</v>
      </c>
      <c r="C25" s="149" t="s">
        <v>8</v>
      </c>
      <c r="D25" s="165">
        <f>SUMIFS('All Measure &amp; TRC+ Calc'!AT:AT,'All Measure &amp; TRC+ Calc'!$D:$D,$C25,'All Measure &amp; TRC+ Calc'!$B:$B,D$4)</f>
        <v>206756157.6676051</v>
      </c>
      <c r="E25" s="165">
        <f>SUMIFS('All Measure &amp; TRC+ Calc'!AU:AU,'All Measure &amp; TRC+ Calc'!$D:$D,$C25,'All Measure &amp; TRC+ Calc'!$B:$B,E$4)</f>
        <v>36401.467487054484</v>
      </c>
      <c r="F25" s="165">
        <f>SUMIFS('All Measure &amp; TRC+ Calc'!AV:AV,'All Measure &amp; TRC+ Calc'!$D:$D,$C25,'All Measure &amp; TRC+ Calc'!$B:$B,F$4)</f>
        <v>86552.450768666356</v>
      </c>
      <c r="G25" s="165">
        <f>SUMIFS('All Measure &amp; TRC+ Calc'!AW:AW,'All Measure &amp; TRC+ Calc'!$D:$D,$C25,'All Measure &amp; TRC+ Calc'!$B:$B,G$4)</f>
        <v>96325.928636201483</v>
      </c>
      <c r="H25" s="165">
        <f>SUMIFS('All Measure &amp; TRC+ Calc'!AX:AX,'All Measure &amp; TRC+ Calc'!$D:$D,$C25,'All Measure &amp; TRC+ Calc'!$B:$B,H$4)</f>
        <v>7095.828391386799</v>
      </c>
      <c r="I25" s="166">
        <f>SUMIFS('All Measure &amp; TRC+ Calc'!AY:AY,'All Measure &amp; TRC+ Calc'!$D:$D,$C25,'All Measure &amp; TRC+ Calc'!$B:$B,$A25)</f>
        <v>0</v>
      </c>
      <c r="J25" s="191">
        <f>SUMIFS('All Measure &amp; TRC+ Calc'!BF:BF,'All Measure &amp; TRC+ Calc'!$D:$D,$C25,'All Measure &amp; TRC+ Calc'!$B:$B,$A25)</f>
        <v>206982533.34288839</v>
      </c>
      <c r="K25" s="167">
        <f>SUMIFS('All Measure &amp; TRC+ Calc'!AQ:AQ,'All Measure &amp; TRC+ Calc'!$D:$D,$C25,'All Measure &amp; TRC+ Calc'!$B:$B,K$4)</f>
        <v>46861381.655199915</v>
      </c>
      <c r="L25" s="164">
        <f>SUMIFS('All Measure &amp; TRC+ Calc'!BG:BG,'All Measure &amp; TRC+ Calc'!$D:$D,$C25,'All Measure &amp; TRC+ Calc'!$B:$B,$A25)-K25</f>
        <v>0</v>
      </c>
      <c r="M25" s="164">
        <f>SUMIFS(Budget!$E:$E,Budget!$C:$C,$C25,Budget!$D:$D,"&lt;&gt;Incentives",Budget!$A:$A,M$4)</f>
        <v>970000</v>
      </c>
      <c r="N25" s="168">
        <f t="shared" ref="N25:N28" si="10">SUM(K25:M25)</f>
        <v>47831381.655199915</v>
      </c>
      <c r="O25" s="231">
        <f t="shared" si="2"/>
        <v>159151151.68768847</v>
      </c>
      <c r="P25" s="234">
        <f t="shared" si="3"/>
        <v>4.3273375382495685</v>
      </c>
    </row>
    <row r="26" spans="1:16" x14ac:dyDescent="0.25">
      <c r="A26" s="153">
        <v>2027</v>
      </c>
      <c r="C26" s="149" t="s">
        <v>24</v>
      </c>
      <c r="D26" s="165">
        <f>SUMIFS('All Measure &amp; TRC+ Calc'!AT:AT,'All Measure &amp; TRC+ Calc'!$D:$D,$C26,'All Measure &amp; TRC+ Calc'!$B:$B,D$4)</f>
        <v>0</v>
      </c>
      <c r="E26" s="165">
        <f>SUMIFS('All Measure &amp; TRC+ Calc'!AU:AU,'All Measure &amp; TRC+ Calc'!$D:$D,$C26,'All Measure &amp; TRC+ Calc'!$B:$B,E$4)</f>
        <v>0</v>
      </c>
      <c r="F26" s="165">
        <f>SUMIFS('All Measure &amp; TRC+ Calc'!AV:AV,'All Measure &amp; TRC+ Calc'!$D:$D,$C26,'All Measure &amp; TRC+ Calc'!$B:$B,F$4)</f>
        <v>0</v>
      </c>
      <c r="G26" s="165">
        <f>SUMIFS('All Measure &amp; TRC+ Calc'!AW:AW,'All Measure &amp; TRC+ Calc'!$D:$D,$C26,'All Measure &amp; TRC+ Calc'!$B:$B,G$4)</f>
        <v>0</v>
      </c>
      <c r="H26" s="165">
        <f>SUMIFS('All Measure &amp; TRC+ Calc'!AX:AX,'All Measure &amp; TRC+ Calc'!$D:$D,$C26,'All Measure &amp; TRC+ Calc'!$B:$B,H$4)</f>
        <v>0</v>
      </c>
      <c r="I26" s="166">
        <f>SUMIFS('All Measure &amp; TRC+ Calc'!AY:AY,'All Measure &amp; TRC+ Calc'!$D:$D,$C26,'All Measure &amp; TRC+ Calc'!$B:$B,$A26)</f>
        <v>0</v>
      </c>
      <c r="J26" s="191">
        <f>SUMIFS('All Measure &amp; TRC+ Calc'!BF:BF,'All Measure &amp; TRC+ Calc'!$D:$D,$C26,'All Measure &amp; TRC+ Calc'!$B:$B,$A26)</f>
        <v>0</v>
      </c>
      <c r="K26" s="167">
        <f>SUMIFS('All Measure &amp; TRC+ Calc'!AQ:AQ,'All Measure &amp; TRC+ Calc'!$D:$D,$C26,'All Measure &amp; TRC+ Calc'!$B:$B,K$4)</f>
        <v>0</v>
      </c>
      <c r="L26" s="164">
        <f>SUMIFS('All Measure &amp; TRC+ Calc'!BG:BG,'All Measure &amp; TRC+ Calc'!$D:$D,$C26,'All Measure &amp; TRC+ Calc'!$B:$B,$A26)-K26</f>
        <v>0</v>
      </c>
      <c r="M26" s="164">
        <f>SUMIFS(Budget!$E:$E,Budget!$C:$C,$C26,Budget!$D:$D,"&lt;&gt;Incentives",Budget!$A:$A,M$4)</f>
        <v>200000</v>
      </c>
      <c r="N26" s="168">
        <f t="shared" si="10"/>
        <v>200000</v>
      </c>
      <c r="O26" s="231">
        <f t="shared" si="2"/>
        <v>-200000</v>
      </c>
      <c r="P26" s="234">
        <f t="shared" si="3"/>
        <v>0</v>
      </c>
    </row>
    <row r="27" spans="1:16" x14ac:dyDescent="0.25">
      <c r="A27" s="153">
        <v>2027</v>
      </c>
      <c r="C27" s="149" t="s">
        <v>171</v>
      </c>
      <c r="D27" s="165">
        <f>SUMIFS('All Measure &amp; TRC+ Calc'!AT:AT,'All Measure &amp; TRC+ Calc'!$D:$D,$C27,'All Measure &amp; TRC+ Calc'!$B:$B,D$4)</f>
        <v>0</v>
      </c>
      <c r="E27" s="165">
        <f>SUMIFS('All Measure &amp; TRC+ Calc'!AU:AU,'All Measure &amp; TRC+ Calc'!$D:$D,$C27,'All Measure &amp; TRC+ Calc'!$B:$B,E$4)</f>
        <v>0</v>
      </c>
      <c r="F27" s="165">
        <f>SUMIFS('All Measure &amp; TRC+ Calc'!AV:AV,'All Measure &amp; TRC+ Calc'!$D:$D,$C27,'All Measure &amp; TRC+ Calc'!$B:$B,F$4)</f>
        <v>0</v>
      </c>
      <c r="G27" s="165">
        <f>SUMIFS('All Measure &amp; TRC+ Calc'!AW:AW,'All Measure &amp; TRC+ Calc'!$D:$D,$C27,'All Measure &amp; TRC+ Calc'!$B:$B,G$4)</f>
        <v>0</v>
      </c>
      <c r="H27" s="165">
        <f>SUMIFS('All Measure &amp; TRC+ Calc'!AX:AX,'All Measure &amp; TRC+ Calc'!$D:$D,$C27,'All Measure &amp; TRC+ Calc'!$B:$B,H$4)</f>
        <v>0</v>
      </c>
      <c r="I27" s="166">
        <f>SUMIFS('All Measure &amp; TRC+ Calc'!AY:AY,'All Measure &amp; TRC+ Calc'!$D:$D,$C27,'All Measure &amp; TRC+ Calc'!$B:$B,$A27)</f>
        <v>0</v>
      </c>
      <c r="J27" s="191">
        <f>SUMIFS('All Measure &amp; TRC+ Calc'!BF:BF,'All Measure &amp; TRC+ Calc'!$D:$D,$C27,'All Measure &amp; TRC+ Calc'!$B:$B,$A27)</f>
        <v>0</v>
      </c>
      <c r="K27" s="167">
        <f>SUMIFS('All Measure &amp; TRC+ Calc'!AQ:AQ,'All Measure &amp; TRC+ Calc'!$D:$D,$C27,'All Measure &amp; TRC+ Calc'!$B:$B,K$4)</f>
        <v>0</v>
      </c>
      <c r="L27" s="164">
        <f>SUMIFS('All Measure &amp; TRC+ Calc'!BG:BG,'All Measure &amp; TRC+ Calc'!$D:$D,$C27,'All Measure &amp; TRC+ Calc'!$B:$B,$A27)-K27</f>
        <v>0</v>
      </c>
      <c r="M27" s="164">
        <f>SUMIFS(Budget!$E:$E,Budget!$C:$C,$C27,Budget!$D:$D,"&lt;&gt;Incentives",Budget!$A:$A,M$4)</f>
        <v>280000</v>
      </c>
      <c r="N27" s="168">
        <f t="shared" si="10"/>
        <v>280000</v>
      </c>
      <c r="O27" s="231">
        <f t="shared" si="2"/>
        <v>-280000</v>
      </c>
      <c r="P27" s="234">
        <f t="shared" si="3"/>
        <v>0</v>
      </c>
    </row>
    <row r="28" spans="1:16" x14ac:dyDescent="0.25">
      <c r="A28" s="153">
        <v>2027</v>
      </c>
      <c r="C28" s="149" t="s">
        <v>25</v>
      </c>
      <c r="D28" s="169">
        <v>0</v>
      </c>
      <c r="E28" s="169">
        <v>0</v>
      </c>
      <c r="F28" s="169">
        <v>0</v>
      </c>
      <c r="G28" s="169">
        <v>0</v>
      </c>
      <c r="H28" s="169">
        <v>0</v>
      </c>
      <c r="I28" s="169">
        <v>0</v>
      </c>
      <c r="J28" s="197">
        <v>0</v>
      </c>
      <c r="K28" s="171">
        <v>0</v>
      </c>
      <c r="L28" s="170">
        <v>0</v>
      </c>
      <c r="M28" s="164">
        <f>SUMIFS(Budget!$E:$E,Budget!$C:$C,$C28,Budget!$D:$D,"&lt;&gt;Incentives",Budget!$A:$A,M$4)</f>
        <v>4814162</v>
      </c>
      <c r="N28" s="168">
        <f t="shared" si="10"/>
        <v>4814162</v>
      </c>
      <c r="O28" s="231">
        <f t="shared" si="2"/>
        <v>-4814162</v>
      </c>
      <c r="P28" s="235">
        <f t="shared" si="3"/>
        <v>0</v>
      </c>
    </row>
    <row r="29" spans="1:16" x14ac:dyDescent="0.25">
      <c r="A29" s="153">
        <v>2027</v>
      </c>
      <c r="C29" s="150" t="s">
        <v>137</v>
      </c>
      <c r="D29" s="158">
        <f t="shared" ref="D29:N29" si="11">SUM(D30:D32)</f>
        <v>22309585.994623028</v>
      </c>
      <c r="E29" s="158">
        <f t="shared" si="11"/>
        <v>127900.72909831493</v>
      </c>
      <c r="F29" s="158">
        <f t="shared" si="11"/>
        <v>898517.05567866319</v>
      </c>
      <c r="G29" s="158">
        <f t="shared" si="11"/>
        <v>2766545.8448373871</v>
      </c>
      <c r="H29" s="158">
        <f t="shared" ref="H29" si="12">SUM(H30:H32)</f>
        <v>102653.78090624578</v>
      </c>
      <c r="I29" s="158">
        <f t="shared" si="11"/>
        <v>0</v>
      </c>
      <c r="J29" s="201">
        <f t="shared" si="11"/>
        <v>26205203.405143637</v>
      </c>
      <c r="K29" s="163">
        <f t="shared" si="11"/>
        <v>20713913.380000003</v>
      </c>
      <c r="L29" s="160">
        <f t="shared" si="11"/>
        <v>370318.76979965717</v>
      </c>
      <c r="M29" s="160">
        <f t="shared" si="11"/>
        <v>6912061</v>
      </c>
      <c r="N29" s="162">
        <f t="shared" si="11"/>
        <v>27996293.14979966</v>
      </c>
      <c r="O29" s="230">
        <f t="shared" si="2"/>
        <v>-1791089.7446560226</v>
      </c>
      <c r="P29" s="233">
        <f t="shared" si="3"/>
        <v>0.93602403950149948</v>
      </c>
    </row>
    <row r="30" spans="1:16" x14ac:dyDescent="0.25">
      <c r="A30" s="153">
        <v>2027</v>
      </c>
      <c r="C30" s="149" t="s">
        <v>22</v>
      </c>
      <c r="D30" s="165">
        <f>SUMIFS('All Measure &amp; TRC+ Calc'!AT:AT,'All Measure &amp; TRC+ Calc'!$D:$D,$C30,'All Measure &amp; TRC+ Calc'!$B:$B,D$4)</f>
        <v>11758404.530594865</v>
      </c>
      <c r="E30" s="165">
        <f>SUMIFS('All Measure &amp; TRC+ Calc'!AU:AU,'All Measure &amp; TRC+ Calc'!$D:$D,$C30,'All Measure &amp; TRC+ Calc'!$B:$B,E$4)</f>
        <v>127900.72909831493</v>
      </c>
      <c r="F30" s="165">
        <f>SUMIFS('All Measure &amp; TRC+ Calc'!AV:AV,'All Measure &amp; TRC+ Calc'!$D:$D,$C30,'All Measure &amp; TRC+ Calc'!$B:$B,F$4)</f>
        <v>260980.69915648623</v>
      </c>
      <c r="G30" s="165">
        <f>SUMIFS('All Measure &amp; TRC+ Calc'!AW:AW,'All Measure &amp; TRC+ Calc'!$D:$D,$C30,'All Measure &amp; TRC+ Calc'!$B:$B,G$4)</f>
        <v>675618.57405965019</v>
      </c>
      <c r="H30" s="165">
        <f>SUMIFS('All Measure &amp; TRC+ Calc'!AX:AX,'All Measure &amp; TRC+ Calc'!$D:$D,$C30,'All Measure &amp; TRC+ Calc'!$B:$B,H$4)</f>
        <v>0</v>
      </c>
      <c r="I30" s="166">
        <f>SUMIFS('All Measure &amp; TRC+ Calc'!AY:AY,'All Measure &amp; TRC+ Calc'!$D:$D,$C30,'All Measure &amp; TRC+ Calc'!$B:$B,$A30)</f>
        <v>0</v>
      </c>
      <c r="J30" s="191">
        <f>SUMIFS('All Measure &amp; TRC+ Calc'!BF:BF,'All Measure &amp; TRC+ Calc'!$D:$D,$C30,'All Measure &amp; TRC+ Calc'!$B:$B,$A30)</f>
        <v>12822904.532909317</v>
      </c>
      <c r="K30" s="167">
        <f>SUMIFS('All Measure &amp; TRC+ Calc'!AQ:AQ,'All Measure &amp; TRC+ Calc'!$D:$D,$C30,'All Measure &amp; TRC+ Calc'!$B:$B,K$4)</f>
        <v>12011307.380000001</v>
      </c>
      <c r="L30" s="164">
        <f>SUMIFS('All Measure &amp; TRC+ Calc'!BG:BG,'All Measure &amp; TRC+ Calc'!$D:$D,$C30,'All Measure &amp; TRC+ Calc'!$B:$B,$A30)-K30</f>
        <v>0</v>
      </c>
      <c r="M30" s="164">
        <f>SUMIFS(Budget!$E:$E,Budget!$C:$C,$C30,Budget!$D:$D,"&lt;&gt;Incentives",Budget!$A:$A,M$4)</f>
        <v>3803720</v>
      </c>
      <c r="N30" s="168">
        <f>SUM(K30:M30)</f>
        <v>15815027.380000001</v>
      </c>
      <c r="O30" s="231">
        <f t="shared" si="2"/>
        <v>-2992122.8470906839</v>
      </c>
      <c r="P30" s="234">
        <f t="shared" si="3"/>
        <v>0.81080507954892433</v>
      </c>
    </row>
    <row r="31" spans="1:16" x14ac:dyDescent="0.25">
      <c r="A31" s="153">
        <v>2027</v>
      </c>
      <c r="C31" s="149" t="s">
        <v>21</v>
      </c>
      <c r="D31" s="165">
        <f>SUMIFS('All Measure &amp; TRC+ Calc'!AT:AT,'All Measure &amp; TRC+ Calc'!$D:$D,$C31,'All Measure &amp; TRC+ Calc'!$B:$B,D$4)</f>
        <v>10551181.464028161</v>
      </c>
      <c r="E31" s="165">
        <f>SUMIFS('All Measure &amp; TRC+ Calc'!AU:AU,'All Measure &amp; TRC+ Calc'!$D:$D,$C31,'All Measure &amp; TRC+ Calc'!$B:$B,E$4)</f>
        <v>0</v>
      </c>
      <c r="F31" s="165">
        <f>SUMIFS('All Measure &amp; TRC+ Calc'!AV:AV,'All Measure &amp; TRC+ Calc'!$D:$D,$C31,'All Measure &amp; TRC+ Calc'!$B:$B,F$4)</f>
        <v>637536.356522177</v>
      </c>
      <c r="G31" s="165">
        <f>SUMIFS('All Measure &amp; TRC+ Calc'!AW:AW,'All Measure &amp; TRC+ Calc'!$D:$D,$C31,'All Measure &amp; TRC+ Calc'!$B:$B,G$4)</f>
        <v>2090927.2707777368</v>
      </c>
      <c r="H31" s="165">
        <f>SUMIFS('All Measure &amp; TRC+ Calc'!AX:AX,'All Measure &amp; TRC+ Calc'!$D:$D,$C31,'All Measure &amp; TRC+ Calc'!$B:$B,H$4)</f>
        <v>102653.78090624578</v>
      </c>
      <c r="I31" s="166">
        <f>SUMIFS('All Measure &amp; TRC+ Calc'!AY:AY,'All Measure &amp; TRC+ Calc'!$D:$D,$C31,'All Measure &amp; TRC+ Calc'!$B:$B,$A31)</f>
        <v>0</v>
      </c>
      <c r="J31" s="191">
        <f>SUMIFS('All Measure &amp; TRC+ Calc'!BF:BF,'All Measure &amp; TRC+ Calc'!$D:$D,$C31,'All Measure &amp; TRC+ Calc'!$B:$B,$A31)</f>
        <v>13382298.87223432</v>
      </c>
      <c r="K31" s="167">
        <f>SUMIFS('All Measure &amp; TRC+ Calc'!AQ:AQ,'All Measure &amp; TRC+ Calc'!$D:$D,$C31,'All Measure &amp; TRC+ Calc'!$B:$B,K$4)</f>
        <v>8702606</v>
      </c>
      <c r="L31" s="164">
        <f>SUMIFS('All Measure &amp; TRC+ Calc'!BG:BG,'All Measure &amp; TRC+ Calc'!$D:$D,$C31,'All Measure &amp; TRC+ Calc'!$B:$B,$A31)-K31</f>
        <v>370318.76979965717</v>
      </c>
      <c r="M31" s="164">
        <f>SUMIFS(Budget!$E:$E,Budget!$C:$C,$C31,Budget!$D:$D,"&lt;&gt;Incentives",Budget!$A:$A,M$4)</f>
        <v>1270000</v>
      </c>
      <c r="N31" s="168">
        <f>SUM(K31:M31)</f>
        <v>10342924.769799657</v>
      </c>
      <c r="O31" s="231">
        <f t="shared" si="2"/>
        <v>3039374.1024346631</v>
      </c>
      <c r="P31" s="234">
        <f t="shared" si="3"/>
        <v>1.2938602155658467</v>
      </c>
    </row>
    <row r="32" spans="1:16" x14ac:dyDescent="0.25">
      <c r="A32" s="153">
        <v>2027</v>
      </c>
      <c r="C32" s="149" t="s">
        <v>23</v>
      </c>
      <c r="D32" s="169">
        <v>0</v>
      </c>
      <c r="E32" s="169">
        <v>0</v>
      </c>
      <c r="F32" s="169">
        <v>0</v>
      </c>
      <c r="G32" s="169">
        <v>0</v>
      </c>
      <c r="H32" s="169">
        <v>0</v>
      </c>
      <c r="I32" s="169">
        <v>0</v>
      </c>
      <c r="J32" s="197">
        <v>0</v>
      </c>
      <c r="K32" s="171">
        <v>0</v>
      </c>
      <c r="L32" s="170">
        <v>0</v>
      </c>
      <c r="M32" s="164">
        <f>SUMIFS(Budget!$E:$E,Budget!$C:$C,$C32,Budget!$D:$D,"&lt;&gt;Incentives",Budget!$A:$A,M$4)</f>
        <v>1838341</v>
      </c>
      <c r="N32" s="168">
        <f>SUM(K32:M32)</f>
        <v>1838341</v>
      </c>
      <c r="O32" s="231">
        <f t="shared" si="2"/>
        <v>-1838341</v>
      </c>
      <c r="P32" s="235">
        <f t="shared" si="3"/>
        <v>0</v>
      </c>
    </row>
    <row r="33" spans="1:16" x14ac:dyDescent="0.25">
      <c r="A33" s="153">
        <v>2027</v>
      </c>
      <c r="C33" s="150" t="s">
        <v>140</v>
      </c>
      <c r="D33" s="158">
        <f t="shared" ref="D33:N33" si="13">SUM(D34:D35)</f>
        <v>49307631.164054997</v>
      </c>
      <c r="E33" s="158">
        <f t="shared" si="13"/>
        <v>302120.33888109907</v>
      </c>
      <c r="F33" s="158">
        <f t="shared" si="13"/>
        <v>264771.91739027825</v>
      </c>
      <c r="G33" s="158">
        <f t="shared" si="13"/>
        <v>176979.76696047149</v>
      </c>
      <c r="H33" s="158">
        <f t="shared" ref="H33" si="14">SUM(H34:H35)</f>
        <v>0</v>
      </c>
      <c r="I33" s="158">
        <f t="shared" si="13"/>
        <v>0</v>
      </c>
      <c r="J33" s="201">
        <f t="shared" si="13"/>
        <v>50051503.187286846</v>
      </c>
      <c r="K33" s="163">
        <f t="shared" si="13"/>
        <v>8872082.5453613047</v>
      </c>
      <c r="L33" s="160">
        <f t="shared" si="13"/>
        <v>0</v>
      </c>
      <c r="M33" s="160">
        <f t="shared" si="13"/>
        <v>300945</v>
      </c>
      <c r="N33" s="162">
        <f t="shared" si="13"/>
        <v>9173027.5453613047</v>
      </c>
      <c r="O33" s="230">
        <f t="shared" si="2"/>
        <v>40878475.641925544</v>
      </c>
      <c r="P33" s="233">
        <f t="shared" si="3"/>
        <v>5.4563777269585678</v>
      </c>
    </row>
    <row r="34" spans="1:16" x14ac:dyDescent="0.25">
      <c r="A34" s="153">
        <v>2027</v>
      </c>
      <c r="C34" s="149" t="s">
        <v>27</v>
      </c>
      <c r="D34" s="165">
        <f>SUMIFS('All Measure &amp; TRC+ Calc'!AT:AT,'All Measure &amp; TRC+ Calc'!$D:$D,$C34,'All Measure &amp; TRC+ Calc'!$B:$B,D$4)</f>
        <v>49307631.164054997</v>
      </c>
      <c r="E34" s="165">
        <f>SUMIFS('All Measure &amp; TRC+ Calc'!AU:AU,'All Measure &amp; TRC+ Calc'!$D:$D,$C34,'All Measure &amp; TRC+ Calc'!$B:$B,E$4)</f>
        <v>302120.33888109907</v>
      </c>
      <c r="F34" s="165">
        <f>SUMIFS('All Measure &amp; TRC+ Calc'!AV:AV,'All Measure &amp; TRC+ Calc'!$D:$D,$C34,'All Measure &amp; TRC+ Calc'!$B:$B,F$4)</f>
        <v>264771.91739027825</v>
      </c>
      <c r="G34" s="165">
        <f>SUMIFS('All Measure &amp; TRC+ Calc'!AW:AW,'All Measure &amp; TRC+ Calc'!$D:$D,$C34,'All Measure &amp; TRC+ Calc'!$B:$B,G$4)</f>
        <v>176979.76696047149</v>
      </c>
      <c r="H34" s="165">
        <f>SUMIFS('All Measure &amp; TRC+ Calc'!AX:AX,'All Measure &amp; TRC+ Calc'!$D:$D,$C34,'All Measure &amp; TRC+ Calc'!$B:$B,H$4)</f>
        <v>0</v>
      </c>
      <c r="I34" s="166">
        <f>SUMIFS('All Measure &amp; TRC+ Calc'!AY:AY,'All Measure &amp; TRC+ Calc'!$D:$D,$C34,'All Measure &amp; TRC+ Calc'!$B:$B,$A34)</f>
        <v>0</v>
      </c>
      <c r="J34" s="191">
        <f>SUMIFS('All Measure &amp; TRC+ Calc'!BF:BF,'All Measure &amp; TRC+ Calc'!$D:$D,$C34,'All Measure &amp; TRC+ Calc'!$B:$B,$A34)</f>
        <v>50051503.187286846</v>
      </c>
      <c r="K34" s="167">
        <f>SUMIFS('All Measure &amp; TRC+ Calc'!AQ:AQ,'All Measure &amp; TRC+ Calc'!$D:$D,$C34,'All Measure &amp; TRC+ Calc'!$B:$B,K$4)</f>
        <v>8872082.5453613047</v>
      </c>
      <c r="L34" s="164">
        <f>SUMIFS('All Measure &amp; TRC+ Calc'!BG:BG,'All Measure &amp; TRC+ Calc'!$D:$D,$C34,'All Measure &amp; TRC+ Calc'!$B:$B,$A34)-K34</f>
        <v>0</v>
      </c>
      <c r="M34" s="164">
        <f>SUMIFS(Budget!$E:$E,Budget!$C:$C,$C34,Budget!$D:$D,"&lt;&gt;Incentives",Budget!$A:$A,M$4)</f>
        <v>25000</v>
      </c>
      <c r="N34" s="168">
        <f>SUM(K34:M34)</f>
        <v>8897082.5453613047</v>
      </c>
      <c r="O34" s="231">
        <f t="shared" si="2"/>
        <v>41154420.641925544</v>
      </c>
      <c r="P34" s="234">
        <f t="shared" si="3"/>
        <v>5.6256084994268525</v>
      </c>
    </row>
    <row r="35" spans="1:16" x14ac:dyDescent="0.25">
      <c r="A35" s="153">
        <v>2027</v>
      </c>
      <c r="C35" s="149" t="s">
        <v>28</v>
      </c>
      <c r="D35" s="169">
        <v>0</v>
      </c>
      <c r="E35" s="169">
        <v>0</v>
      </c>
      <c r="F35" s="169">
        <v>0</v>
      </c>
      <c r="G35" s="169">
        <v>0</v>
      </c>
      <c r="H35" s="169">
        <v>0</v>
      </c>
      <c r="I35" s="169">
        <v>0</v>
      </c>
      <c r="J35" s="197">
        <v>0</v>
      </c>
      <c r="K35" s="171">
        <v>0</v>
      </c>
      <c r="L35" s="170">
        <v>0</v>
      </c>
      <c r="M35" s="164">
        <f>SUMIFS(Budget!$E:$E,Budget!$C:$C,$C35,Budget!$D:$D,"&lt;&gt;Incentives",Budget!$A:$A,M$4)</f>
        <v>275945</v>
      </c>
      <c r="N35" s="168">
        <f>SUM(K35:M35)</f>
        <v>275945</v>
      </c>
      <c r="O35" s="231">
        <f t="shared" si="2"/>
        <v>-275945</v>
      </c>
      <c r="P35" s="235">
        <f t="shared" si="3"/>
        <v>0</v>
      </c>
    </row>
    <row r="36" spans="1:16" x14ac:dyDescent="0.25">
      <c r="A36" s="153">
        <v>2027</v>
      </c>
      <c r="C36" s="150" t="s">
        <v>187</v>
      </c>
      <c r="D36" s="237">
        <f t="shared" ref="D36:L36" si="15">SUM(D37:D44)</f>
        <v>0</v>
      </c>
      <c r="E36" s="237">
        <f t="shared" si="15"/>
        <v>0</v>
      </c>
      <c r="F36" s="237">
        <f t="shared" si="15"/>
        <v>0</v>
      </c>
      <c r="G36" s="237">
        <f t="shared" si="15"/>
        <v>0</v>
      </c>
      <c r="H36" s="237">
        <f t="shared" si="15"/>
        <v>0</v>
      </c>
      <c r="I36" s="237">
        <f t="shared" si="15"/>
        <v>0</v>
      </c>
      <c r="J36" s="206">
        <f t="shared" si="15"/>
        <v>0</v>
      </c>
      <c r="K36" s="238">
        <f t="shared" si="15"/>
        <v>0</v>
      </c>
      <c r="L36" s="239">
        <f t="shared" si="15"/>
        <v>0</v>
      </c>
      <c r="M36" s="160">
        <f>SUM(M37:M44)</f>
        <v>17637852</v>
      </c>
      <c r="N36" s="162">
        <f>SUM(N37:N44)</f>
        <v>17637852</v>
      </c>
      <c r="O36" s="230">
        <f t="shared" si="2"/>
        <v>-17637852</v>
      </c>
      <c r="P36" s="233">
        <f t="shared" si="3"/>
        <v>0</v>
      </c>
    </row>
    <row r="37" spans="1:16" x14ac:dyDescent="0.25">
      <c r="A37" s="153">
        <v>2027</v>
      </c>
      <c r="C37" s="149" t="s">
        <v>30</v>
      </c>
      <c r="D37" s="169">
        <v>0</v>
      </c>
      <c r="E37" s="169">
        <v>0</v>
      </c>
      <c r="F37" s="169">
        <v>0</v>
      </c>
      <c r="G37" s="169">
        <v>0</v>
      </c>
      <c r="H37" s="169">
        <v>0</v>
      </c>
      <c r="I37" s="169">
        <v>0</v>
      </c>
      <c r="J37" s="197">
        <v>0</v>
      </c>
      <c r="K37" s="171">
        <v>0</v>
      </c>
      <c r="L37" s="170">
        <v>0</v>
      </c>
      <c r="M37" s="164">
        <f>SUMIFS(Budget!$E:$E,Budget!$C:$C,$C37,Budget!$D:$D,"&lt;&gt;Incentives",Budget!$A:$A,M$4)</f>
        <v>7703652</v>
      </c>
      <c r="N37" s="168">
        <f t="shared" ref="N37:N44" si="16">SUM(K37:M37)</f>
        <v>7703652</v>
      </c>
      <c r="O37" s="231">
        <f t="shared" si="2"/>
        <v>-7703652</v>
      </c>
      <c r="P37" s="235">
        <f t="shared" si="3"/>
        <v>0</v>
      </c>
    </row>
    <row r="38" spans="1:16" x14ac:dyDescent="0.25">
      <c r="A38" s="153">
        <v>2027</v>
      </c>
      <c r="C38" s="149" t="s">
        <v>32</v>
      </c>
      <c r="D38" s="169">
        <v>0</v>
      </c>
      <c r="E38" s="169">
        <v>0</v>
      </c>
      <c r="F38" s="169">
        <v>0</v>
      </c>
      <c r="G38" s="169">
        <v>0</v>
      </c>
      <c r="H38" s="169">
        <v>0</v>
      </c>
      <c r="I38" s="169">
        <v>0</v>
      </c>
      <c r="J38" s="197">
        <v>0</v>
      </c>
      <c r="K38" s="171">
        <v>0</v>
      </c>
      <c r="L38" s="170">
        <v>0</v>
      </c>
      <c r="M38" s="164">
        <f>SUMIFS(Budget!$E:$E,Budget!$C:$C,$C38,Budget!$D:$D,"&lt;&gt;Incentives",Budget!$A:$A,M$4)</f>
        <v>1583000</v>
      </c>
      <c r="N38" s="168">
        <f t="shared" si="16"/>
        <v>1583000</v>
      </c>
      <c r="O38" s="231">
        <f t="shared" si="2"/>
        <v>-1583000</v>
      </c>
      <c r="P38" s="235">
        <f t="shared" si="3"/>
        <v>0</v>
      </c>
    </row>
    <row r="39" spans="1:16" x14ac:dyDescent="0.25">
      <c r="A39" s="153">
        <v>2027</v>
      </c>
      <c r="C39" s="149" t="s">
        <v>177</v>
      </c>
      <c r="D39" s="169">
        <v>0</v>
      </c>
      <c r="E39" s="169">
        <v>0</v>
      </c>
      <c r="F39" s="169">
        <v>0</v>
      </c>
      <c r="G39" s="169">
        <v>0</v>
      </c>
      <c r="H39" s="169">
        <v>0</v>
      </c>
      <c r="I39" s="169">
        <v>0</v>
      </c>
      <c r="J39" s="197">
        <v>0</v>
      </c>
      <c r="K39" s="171">
        <v>0</v>
      </c>
      <c r="L39" s="170">
        <v>0</v>
      </c>
      <c r="M39" s="164">
        <f>SUMIFS(Budget!$E:$E,Budget!$C:$C,$C39,Budget!$D:$D,"&lt;&gt;Incentives",Budget!$A:$A,M$4)</f>
        <v>610000</v>
      </c>
      <c r="N39" s="168">
        <f t="shared" si="16"/>
        <v>610000</v>
      </c>
      <c r="O39" s="231">
        <f t="shared" si="2"/>
        <v>-610000</v>
      </c>
      <c r="P39" s="235">
        <f t="shared" si="3"/>
        <v>0</v>
      </c>
    </row>
    <row r="40" spans="1:16" x14ac:dyDescent="0.25">
      <c r="A40" s="153">
        <v>2027</v>
      </c>
      <c r="C40" s="149" t="s">
        <v>34</v>
      </c>
      <c r="D40" s="169">
        <v>0</v>
      </c>
      <c r="E40" s="169">
        <v>0</v>
      </c>
      <c r="F40" s="169">
        <v>0</v>
      </c>
      <c r="G40" s="169">
        <v>0</v>
      </c>
      <c r="H40" s="169">
        <v>0</v>
      </c>
      <c r="I40" s="169">
        <v>0</v>
      </c>
      <c r="J40" s="197">
        <v>0</v>
      </c>
      <c r="K40" s="171">
        <v>0</v>
      </c>
      <c r="L40" s="170">
        <v>0</v>
      </c>
      <c r="M40" s="164">
        <f>SUMIFS(Budget!$E:$E,Budget!$C:$C,$C40,Budget!$D:$D,"&lt;&gt;Incentives",Budget!$A:$A,M$4)</f>
        <v>3100000</v>
      </c>
      <c r="N40" s="168">
        <f t="shared" si="16"/>
        <v>3100000</v>
      </c>
      <c r="O40" s="231">
        <f t="shared" si="2"/>
        <v>-3100000</v>
      </c>
      <c r="P40" s="235">
        <f t="shared" si="3"/>
        <v>0</v>
      </c>
    </row>
    <row r="41" spans="1:16" x14ac:dyDescent="0.25">
      <c r="A41" s="153">
        <v>2027</v>
      </c>
      <c r="C41" s="149" t="s">
        <v>36</v>
      </c>
      <c r="D41" s="169">
        <v>0</v>
      </c>
      <c r="E41" s="169">
        <v>0</v>
      </c>
      <c r="F41" s="169">
        <v>0</v>
      </c>
      <c r="G41" s="169">
        <v>0</v>
      </c>
      <c r="H41" s="169">
        <v>0</v>
      </c>
      <c r="I41" s="169">
        <v>0</v>
      </c>
      <c r="J41" s="197">
        <v>0</v>
      </c>
      <c r="K41" s="171">
        <v>0</v>
      </c>
      <c r="L41" s="170">
        <v>0</v>
      </c>
      <c r="M41" s="164">
        <f>SUMIFS(Budget!$E:$E,Budget!$C:$C,$C41,Budget!$D:$D,"&lt;&gt;Incentives",Budget!$A:$A,M$4)</f>
        <v>828000</v>
      </c>
      <c r="N41" s="168">
        <f t="shared" si="16"/>
        <v>828000</v>
      </c>
      <c r="O41" s="231">
        <f t="shared" si="2"/>
        <v>-828000</v>
      </c>
      <c r="P41" s="235">
        <f t="shared" si="3"/>
        <v>0</v>
      </c>
    </row>
    <row r="42" spans="1:16" x14ac:dyDescent="0.25">
      <c r="A42" s="153">
        <v>2027</v>
      </c>
      <c r="C42" s="149" t="s">
        <v>35</v>
      </c>
      <c r="D42" s="169">
        <v>0</v>
      </c>
      <c r="E42" s="169">
        <v>0</v>
      </c>
      <c r="F42" s="169">
        <v>0</v>
      </c>
      <c r="G42" s="169">
        <v>0</v>
      </c>
      <c r="H42" s="169">
        <v>0</v>
      </c>
      <c r="I42" s="169">
        <v>0</v>
      </c>
      <c r="J42" s="197">
        <v>0</v>
      </c>
      <c r="K42" s="171">
        <v>0</v>
      </c>
      <c r="L42" s="170">
        <v>0</v>
      </c>
      <c r="M42" s="164">
        <f>SUMIFS(Budget!$E:$E,Budget!$C:$C,$C42,Budget!$D:$D,"&lt;&gt;Incentives",Budget!$A:$A,M$4)</f>
        <v>590000</v>
      </c>
      <c r="N42" s="168">
        <f t="shared" si="16"/>
        <v>590000</v>
      </c>
      <c r="O42" s="231">
        <f t="shared" si="2"/>
        <v>-590000</v>
      </c>
      <c r="P42" s="235">
        <f t="shared" si="3"/>
        <v>0</v>
      </c>
    </row>
    <row r="43" spans="1:16" x14ac:dyDescent="0.25">
      <c r="A43" s="153">
        <v>2027</v>
      </c>
      <c r="C43" s="149" t="s">
        <v>38</v>
      </c>
      <c r="D43" s="169">
        <v>0</v>
      </c>
      <c r="E43" s="169">
        <v>0</v>
      </c>
      <c r="F43" s="169">
        <v>0</v>
      </c>
      <c r="G43" s="169">
        <v>0</v>
      </c>
      <c r="H43" s="169">
        <v>0</v>
      </c>
      <c r="I43" s="169">
        <v>0</v>
      </c>
      <c r="J43" s="197">
        <v>0</v>
      </c>
      <c r="K43" s="171">
        <v>0</v>
      </c>
      <c r="L43" s="170">
        <v>0</v>
      </c>
      <c r="M43" s="164">
        <f>SUMIFS(Budget!$E:$E,Budget!$C:$C,$C43,Budget!$D:$D,"&lt;&gt;Incentives",Budget!$A:$A,M$4)</f>
        <v>3223200</v>
      </c>
      <c r="N43" s="168">
        <f t="shared" si="16"/>
        <v>3223200</v>
      </c>
      <c r="O43" s="231">
        <f t="shared" si="2"/>
        <v>-3223200</v>
      </c>
      <c r="P43" s="235">
        <f t="shared" si="3"/>
        <v>0</v>
      </c>
    </row>
    <row r="44" spans="1:16" ht="13.5" thickBot="1" x14ac:dyDescent="0.3">
      <c r="A44" s="153">
        <v>2027</v>
      </c>
      <c r="C44" s="207" t="s">
        <v>178</v>
      </c>
      <c r="D44" s="169">
        <v>0</v>
      </c>
      <c r="E44" s="169">
        <v>0</v>
      </c>
      <c r="F44" s="169">
        <v>0</v>
      </c>
      <c r="G44" s="169">
        <v>0</v>
      </c>
      <c r="H44" s="169">
        <v>0</v>
      </c>
      <c r="I44" s="169">
        <v>0</v>
      </c>
      <c r="J44" s="210">
        <v>0</v>
      </c>
      <c r="K44" s="171">
        <v>0</v>
      </c>
      <c r="L44" s="170">
        <v>0</v>
      </c>
      <c r="M44" s="164">
        <f>SUMIFS(Budget!$E:$E,Budget!$C:$C,$C44,Budget!$D:$D,"&lt;&gt;Incentives",Budget!$A:$A,M$4)</f>
        <v>0</v>
      </c>
      <c r="N44" s="168">
        <f t="shared" si="16"/>
        <v>0</v>
      </c>
      <c r="O44" s="232">
        <f t="shared" si="2"/>
        <v>0</v>
      </c>
      <c r="P44" s="236">
        <f t="shared" si="3"/>
        <v>0</v>
      </c>
    </row>
    <row r="45" spans="1:16" ht="13.5" thickTop="1" x14ac:dyDescent="0.25">
      <c r="A45" s="153">
        <v>2027</v>
      </c>
      <c r="C45" s="215" t="s">
        <v>131</v>
      </c>
      <c r="D45" s="216">
        <f t="shared" ref="D45:N45" si="17">SUM(D6,D14,D24,D29,D33,D36)</f>
        <v>471652196.25678259</v>
      </c>
      <c r="E45" s="216">
        <f t="shared" si="17"/>
        <v>2264026.6899980777</v>
      </c>
      <c r="F45" s="216">
        <f t="shared" si="17"/>
        <v>11724608.757066231</v>
      </c>
      <c r="G45" s="216">
        <f t="shared" si="17"/>
        <v>32519509.037419971</v>
      </c>
      <c r="H45" s="216">
        <f t="shared" si="17"/>
        <v>518471.35934012127</v>
      </c>
      <c r="I45" s="216">
        <f t="shared" si="17"/>
        <v>0</v>
      </c>
      <c r="J45" s="221">
        <f t="shared" si="17"/>
        <v>518678812.10060704</v>
      </c>
      <c r="K45" s="223">
        <f t="shared" si="17"/>
        <v>231741603.51310316</v>
      </c>
      <c r="L45" s="222">
        <f t="shared" si="17"/>
        <v>22198839.418150399</v>
      </c>
      <c r="M45" s="222">
        <f t="shared" si="17"/>
        <v>56389381</v>
      </c>
      <c r="N45" s="224">
        <f t="shared" si="17"/>
        <v>310329823.93125355</v>
      </c>
      <c r="O45" s="224">
        <f t="shared" si="2"/>
        <v>208348988.16935349</v>
      </c>
      <c r="P45" s="217">
        <f t="shared" si="3"/>
        <v>1.6713791975582355</v>
      </c>
    </row>
    <row r="46" spans="1:16" x14ac:dyDescent="0.25">
      <c r="A46" s="153"/>
      <c r="F46" s="139"/>
      <c r="G46" s="139"/>
      <c r="H46" s="139"/>
    </row>
    <row r="47" spans="1:16" x14ac:dyDescent="0.25">
      <c r="A47" s="153"/>
    </row>
    <row r="48" spans="1:16" x14ac:dyDescent="0.25">
      <c r="A48" s="153"/>
    </row>
    <row r="49" spans="1:16" ht="16.5" thickBot="1" x14ac:dyDescent="0.3">
      <c r="A49" s="153"/>
      <c r="C49" s="220" t="s">
        <v>371</v>
      </c>
      <c r="D49" s="154"/>
      <c r="E49" s="155"/>
      <c r="F49" s="155"/>
      <c r="G49" s="155"/>
      <c r="H49" s="155"/>
      <c r="I49" s="155"/>
      <c r="J49" s="155"/>
    </row>
    <row r="50" spans="1:16" ht="13.5" thickTop="1" x14ac:dyDescent="0.25">
      <c r="A50" s="153"/>
    </row>
    <row r="51" spans="1:16" x14ac:dyDescent="0.25">
      <c r="A51" s="153"/>
      <c r="D51" s="396" t="s">
        <v>365</v>
      </c>
      <c r="E51" s="397"/>
      <c r="F51" s="397"/>
      <c r="G51" s="397"/>
      <c r="H51" s="397"/>
      <c r="I51" s="397"/>
      <c r="J51" s="398"/>
      <c r="K51" s="396" t="s">
        <v>179</v>
      </c>
      <c r="L51" s="397"/>
      <c r="M51" s="397"/>
      <c r="N51" s="398"/>
      <c r="O51" s="175" t="s">
        <v>31</v>
      </c>
      <c r="P51" s="175" t="s">
        <v>211</v>
      </c>
    </row>
    <row r="52" spans="1:16" x14ac:dyDescent="0.25">
      <c r="A52" s="153"/>
      <c r="D52" s="240">
        <v>2028</v>
      </c>
      <c r="E52" s="241">
        <f t="shared" ref="E52:P52" si="18">D52</f>
        <v>2028</v>
      </c>
      <c r="F52" s="241">
        <f t="shared" si="18"/>
        <v>2028</v>
      </c>
      <c r="G52" s="241">
        <f t="shared" si="18"/>
        <v>2028</v>
      </c>
      <c r="H52" s="241">
        <f t="shared" si="18"/>
        <v>2028</v>
      </c>
      <c r="I52" s="241">
        <f>G52</f>
        <v>2028</v>
      </c>
      <c r="J52" s="242">
        <f>I52</f>
        <v>2028</v>
      </c>
      <c r="K52" s="240">
        <f>J52</f>
        <v>2028</v>
      </c>
      <c r="L52" s="241">
        <f t="shared" si="18"/>
        <v>2028</v>
      </c>
      <c r="M52" s="241">
        <f t="shared" si="18"/>
        <v>2028</v>
      </c>
      <c r="N52" s="241">
        <f t="shared" si="18"/>
        <v>2028</v>
      </c>
      <c r="O52" s="243">
        <f t="shared" si="18"/>
        <v>2028</v>
      </c>
      <c r="P52" s="243">
        <f t="shared" si="18"/>
        <v>2028</v>
      </c>
    </row>
    <row r="53" spans="1:16" ht="38.25" x14ac:dyDescent="0.25">
      <c r="A53" s="153"/>
      <c r="C53" s="157"/>
      <c r="D53" s="225" t="s">
        <v>180</v>
      </c>
      <c r="E53" s="226" t="s">
        <v>181</v>
      </c>
      <c r="F53" s="226" t="s">
        <v>182</v>
      </c>
      <c r="G53" s="226" t="s">
        <v>188</v>
      </c>
      <c r="H53" s="226" t="s">
        <v>188</v>
      </c>
      <c r="I53" s="226" t="s">
        <v>183</v>
      </c>
      <c r="J53" s="228" t="s">
        <v>366</v>
      </c>
      <c r="K53" s="225" t="s">
        <v>184</v>
      </c>
      <c r="L53" s="226" t="s">
        <v>185</v>
      </c>
      <c r="M53" s="226" t="s">
        <v>155</v>
      </c>
      <c r="N53" s="227" t="s">
        <v>186</v>
      </c>
      <c r="O53" s="229" t="s">
        <v>368</v>
      </c>
      <c r="P53" s="229" t="s">
        <v>211</v>
      </c>
    </row>
    <row r="54" spans="1:16" x14ac:dyDescent="0.25">
      <c r="A54" s="153">
        <v>2028</v>
      </c>
      <c r="C54" s="182" t="s">
        <v>135</v>
      </c>
      <c r="D54" s="158">
        <f t="shared" ref="D54:N54" si="19">SUM(D55:D61)</f>
        <v>93098426.743920684</v>
      </c>
      <c r="E54" s="158">
        <f t="shared" si="19"/>
        <v>0</v>
      </c>
      <c r="F54" s="158">
        <f t="shared" si="19"/>
        <v>4543811.1994087482</v>
      </c>
      <c r="G54" s="158">
        <f t="shared" si="19"/>
        <v>20818957.719556984</v>
      </c>
      <c r="H54" s="158">
        <f t="shared" si="19"/>
        <v>89567.385216673109</v>
      </c>
      <c r="I54" s="158">
        <f t="shared" si="19"/>
        <v>0</v>
      </c>
      <c r="J54" s="201">
        <f t="shared" si="19"/>
        <v>118550763.04810309</v>
      </c>
      <c r="K54" s="161">
        <f t="shared" si="19"/>
        <v>95954002.400000006</v>
      </c>
      <c r="L54" s="160">
        <f t="shared" si="19"/>
        <v>14603487.128923014</v>
      </c>
      <c r="M54" s="160">
        <f t="shared" si="19"/>
        <v>14547211</v>
      </c>
      <c r="N54" s="162">
        <f t="shared" si="19"/>
        <v>125104700.528923</v>
      </c>
      <c r="O54" s="230">
        <f t="shared" ref="O54:O93" si="20">J54-N54</f>
        <v>-6553937.4808199108</v>
      </c>
      <c r="P54" s="233">
        <f t="shared" ref="P54:P93" si="21">IFERROR(J54/N54,0)</f>
        <v>0.94761238024541927</v>
      </c>
    </row>
    <row r="55" spans="1:16" x14ac:dyDescent="0.25">
      <c r="A55" s="153">
        <v>2028</v>
      </c>
      <c r="C55" s="149" t="s">
        <v>159</v>
      </c>
      <c r="D55" s="165">
        <f>SUMIFS('All Measure &amp; TRC+ Calc'!AT:AT,'All Measure &amp; TRC+ Calc'!$D:$D,$C55,'All Measure &amp; TRC+ Calc'!$B:$B,D$52)</f>
        <v>24909268.021760479</v>
      </c>
      <c r="E55" s="165">
        <f>SUMIFS('All Measure &amp; TRC+ Calc'!AU:AU,'All Measure &amp; TRC+ Calc'!$D:$D,$C55,'All Measure &amp; TRC+ Calc'!$B:$B,E$52)</f>
        <v>0</v>
      </c>
      <c r="F55" s="165">
        <f>SUMIFS('All Measure &amp; TRC+ Calc'!AV:AV,'All Measure &amp; TRC+ Calc'!$D:$D,$C55,'All Measure &amp; TRC+ Calc'!$B:$B,F$52)</f>
        <v>221277.2390062715</v>
      </c>
      <c r="G55" s="165">
        <f>SUMIFS('All Measure &amp; TRC+ Calc'!AW:AW,'All Measure &amp; TRC+ Calc'!$D:$D,$C55,'All Measure &amp; TRC+ Calc'!$B:$B,G$52)</f>
        <v>201386.45215856397</v>
      </c>
      <c r="H55" s="165">
        <f>SUMIFS('All Measure &amp; TRC+ Calc'!AX:AX,'All Measure &amp; TRC+ Calc'!$D:$D,$C55,'All Measure &amp; TRC+ Calc'!$B:$B,H$52)</f>
        <v>25208.409794174804</v>
      </c>
      <c r="I55" s="166">
        <f>SUMIFS('All Measure &amp; TRC+ Calc'!AY:AY,'All Measure &amp; TRC+ Calc'!$D:$D,$C55,'All Measure &amp; TRC+ Calc'!$B:$B,$A55)</f>
        <v>0</v>
      </c>
      <c r="J55" s="191">
        <f>SUMIFS('All Measure &amp; TRC+ Calc'!BF:BF,'All Measure &amp; TRC+ Calc'!$D:$D,$C55,'All Measure &amp; TRC+ Calc'!$B:$B,$A55)</f>
        <v>25357140.122719485</v>
      </c>
      <c r="K55" s="167">
        <f>SUMIFS('All Measure &amp; TRC+ Calc'!AQ:AQ,'All Measure &amp; TRC+ Calc'!$D:$D,$C55,'All Measure &amp; TRC+ Calc'!$B:$B,K$52)</f>
        <v>39513582</v>
      </c>
      <c r="L55" s="164">
        <f>SUMIFS('All Measure &amp; TRC+ Calc'!BG:BG,'All Measure &amp; TRC+ Calc'!$D:$D,$C55,'All Measure &amp; TRC+ Calc'!$B:$B,$A55)-K55</f>
        <v>0</v>
      </c>
      <c r="M55" s="164">
        <f>SUMIFS(Budget!$E:$E,Budget!$C:$C,$C55,Budget!$D:$D,"&lt;&gt;Incentives",Budget!$A:$A,M$52)</f>
        <v>2136120</v>
      </c>
      <c r="N55" s="168">
        <f t="shared" ref="N55:N61" si="22">SUM(K55:M55)</f>
        <v>41649702</v>
      </c>
      <c r="O55" s="231">
        <f t="shared" si="20"/>
        <v>-16292561.877280515</v>
      </c>
      <c r="P55" s="234">
        <f t="shared" si="21"/>
        <v>0.60881924491847472</v>
      </c>
    </row>
    <row r="56" spans="1:16" x14ac:dyDescent="0.25">
      <c r="A56" s="153">
        <v>2028</v>
      </c>
      <c r="C56" s="149" t="s">
        <v>130</v>
      </c>
      <c r="D56" s="165">
        <f>SUMIFS('All Measure &amp; TRC+ Calc'!AT:AT,'All Measure &amp; TRC+ Calc'!$D:$D,$C56,'All Measure &amp; TRC+ Calc'!$B:$B,D$52)</f>
        <v>26077677.40334437</v>
      </c>
      <c r="E56" s="165">
        <f>SUMIFS('All Measure &amp; TRC+ Calc'!AU:AU,'All Measure &amp; TRC+ Calc'!$D:$D,$C56,'All Measure &amp; TRC+ Calc'!$B:$B,E$52)</f>
        <v>0</v>
      </c>
      <c r="F56" s="165">
        <f>SUMIFS('All Measure &amp; TRC+ Calc'!AV:AV,'All Measure &amp; TRC+ Calc'!$D:$D,$C56,'All Measure &amp; TRC+ Calc'!$B:$B,F$52)</f>
        <v>939493.39121377352</v>
      </c>
      <c r="G56" s="165">
        <f>SUMIFS('All Measure &amp; TRC+ Calc'!AW:AW,'All Measure &amp; TRC+ Calc'!$D:$D,$C56,'All Measure &amp; TRC+ Calc'!$B:$B,G$52)</f>
        <v>4626418.8469059942</v>
      </c>
      <c r="H56" s="165">
        <f>SUMIFS('All Measure &amp; TRC+ Calc'!AX:AX,'All Measure &amp; TRC+ Calc'!$D:$D,$C56,'All Measure &amp; TRC+ Calc'!$B:$B,H$52)</f>
        <v>47040.280181504277</v>
      </c>
      <c r="I56" s="166">
        <f>SUMIFS('All Measure &amp; TRC+ Calc'!AY:AY,'All Measure &amp; TRC+ Calc'!$D:$D,$C56,'All Measure &amp; TRC+ Calc'!$B:$B,$A56)</f>
        <v>0</v>
      </c>
      <c r="J56" s="191">
        <f>SUMIFS('All Measure &amp; TRC+ Calc'!BF:BF,'All Measure &amp; TRC+ Calc'!$D:$D,$C56,'All Measure &amp; TRC+ Calc'!$B:$B,$A56)</f>
        <v>31690629.921645641</v>
      </c>
      <c r="K56" s="167">
        <f>SUMIFS('All Measure &amp; TRC+ Calc'!AQ:AQ,'All Measure &amp; TRC+ Calc'!$D:$D,$C56,'All Measure &amp; TRC+ Calc'!$B:$B,K$52)</f>
        <v>24564000</v>
      </c>
      <c r="L56" s="164">
        <f>SUMIFS('All Measure &amp; TRC+ Calc'!BG:BG,'All Measure &amp; TRC+ Calc'!$D:$D,$C56,'All Measure &amp; TRC+ Calc'!$B:$B,$A56)-K56</f>
        <v>0</v>
      </c>
      <c r="M56" s="164">
        <f>SUMIFS(Budget!$E:$E,Budget!$C:$C,$C56,Budget!$D:$D,"&lt;&gt;Incentives",Budget!$A:$A,M$52)</f>
        <v>2014117</v>
      </c>
      <c r="N56" s="168">
        <f t="shared" si="22"/>
        <v>26578117</v>
      </c>
      <c r="O56" s="231">
        <f t="shared" si="20"/>
        <v>5112512.9216456413</v>
      </c>
      <c r="P56" s="234">
        <f t="shared" si="21"/>
        <v>1.192357980877488</v>
      </c>
    </row>
    <row r="57" spans="1:16" x14ac:dyDescent="0.25">
      <c r="A57" s="153">
        <v>2028</v>
      </c>
      <c r="C57" s="149" t="s">
        <v>333</v>
      </c>
      <c r="D57" s="165">
        <f>SUMIFS('All Measure &amp; TRC+ Calc'!AT:AT,'All Measure &amp; TRC+ Calc'!$D:$D,$C57,'All Measure &amp; TRC+ Calc'!$B:$B,D$52)</f>
        <v>20036215.271388624</v>
      </c>
      <c r="E57" s="165">
        <f>SUMIFS('All Measure &amp; TRC+ Calc'!AU:AU,'All Measure &amp; TRC+ Calc'!$D:$D,$C57,'All Measure &amp; TRC+ Calc'!$B:$B,E$52)</f>
        <v>0</v>
      </c>
      <c r="F57" s="165">
        <f>SUMIFS('All Measure &amp; TRC+ Calc'!AV:AV,'All Measure &amp; TRC+ Calc'!$D:$D,$C57,'All Measure &amp; TRC+ Calc'!$B:$B,F$52)</f>
        <v>0</v>
      </c>
      <c r="G57" s="165">
        <f>SUMIFS('All Measure &amp; TRC+ Calc'!AW:AW,'All Measure &amp; TRC+ Calc'!$D:$D,$C57,'All Measure &amp; TRC+ Calc'!$B:$B,G$52)</f>
        <v>5971864.5617300905</v>
      </c>
      <c r="H57" s="165">
        <f>SUMIFS('All Measure &amp; TRC+ Calc'!AX:AX,'All Measure &amp; TRC+ Calc'!$D:$D,$C57,'All Measure &amp; TRC+ Calc'!$B:$B,H$52)</f>
        <v>0</v>
      </c>
      <c r="I57" s="166">
        <f>SUMIFS('All Measure &amp; TRC+ Calc'!AY:AY,'All Measure &amp; TRC+ Calc'!$D:$D,$C57,'All Measure &amp; TRC+ Calc'!$B:$B,$A57)</f>
        <v>0</v>
      </c>
      <c r="J57" s="191">
        <f>SUMIFS('All Measure &amp; TRC+ Calc'!BF:BF,'All Measure &amp; TRC+ Calc'!$D:$D,$C57,'All Measure &amp; TRC+ Calc'!$B:$B,$A57)</f>
        <v>26008079.833118718</v>
      </c>
      <c r="K57" s="167">
        <f>SUMIFS('All Measure &amp; TRC+ Calc'!AQ:AQ,'All Measure &amp; TRC+ Calc'!$D:$D,$C57,'All Measure &amp; TRC+ Calc'!$B:$B,K$52)</f>
        <v>17339802.399999999</v>
      </c>
      <c r="L57" s="164">
        <f>SUMIFS('All Measure &amp; TRC+ Calc'!BG:BG,'All Measure &amp; TRC+ Calc'!$D:$D,$C57,'All Measure &amp; TRC+ Calc'!$B:$B,$A57)-K57</f>
        <v>14603487.128923014</v>
      </c>
      <c r="M57" s="164">
        <f>SUMIFS(Budget!$E:$E,Budget!$C:$C,$C57,Budget!$D:$D,"&lt;&gt;Incentives",Budget!$A:$A,M$52)</f>
        <v>1185079</v>
      </c>
      <c r="N57" s="168">
        <f t="shared" ref="N57" si="23">SUM(K57:M57)</f>
        <v>33128368.528923012</v>
      </c>
      <c r="O57" s="231">
        <f t="shared" si="20"/>
        <v>-7120288.6958042942</v>
      </c>
      <c r="P57" s="234">
        <f t="shared" si="21"/>
        <v>0.78506974499550553</v>
      </c>
    </row>
    <row r="58" spans="1:16" x14ac:dyDescent="0.25">
      <c r="A58" s="153">
        <v>2028</v>
      </c>
      <c r="C58" s="149" t="s">
        <v>160</v>
      </c>
      <c r="D58" s="165">
        <f>SUMIFS('All Measure &amp; TRC+ Calc'!AT:AT,'All Measure &amp; TRC+ Calc'!$D:$D,$C58,'All Measure &amp; TRC+ Calc'!$B:$B,D$52)</f>
        <v>9270822.3397757281</v>
      </c>
      <c r="E58" s="165">
        <f>SUMIFS('All Measure &amp; TRC+ Calc'!AU:AU,'All Measure &amp; TRC+ Calc'!$D:$D,$C58,'All Measure &amp; TRC+ Calc'!$B:$B,E$52)</f>
        <v>0</v>
      </c>
      <c r="F58" s="165">
        <f>SUMIFS('All Measure &amp; TRC+ Calc'!AV:AV,'All Measure &amp; TRC+ Calc'!$D:$D,$C58,'All Measure &amp; TRC+ Calc'!$B:$B,F$52)</f>
        <v>2315435.3240537071</v>
      </c>
      <c r="G58" s="165">
        <f>SUMIFS('All Measure &amp; TRC+ Calc'!AW:AW,'All Measure &amp; TRC+ Calc'!$D:$D,$C58,'All Measure &amp; TRC+ Calc'!$B:$B,G$52)</f>
        <v>6674786.1940418854</v>
      </c>
      <c r="H58" s="165">
        <f>SUMIFS('All Measure &amp; TRC+ Calc'!AX:AX,'All Measure &amp; TRC+ Calc'!$D:$D,$C58,'All Measure &amp; TRC+ Calc'!$B:$B,H$52)</f>
        <v>0</v>
      </c>
      <c r="I58" s="166">
        <f>SUMIFS('All Measure &amp; TRC+ Calc'!AY:AY,'All Measure &amp; TRC+ Calc'!$D:$D,$C58,'All Measure &amp; TRC+ Calc'!$B:$B,$A58)</f>
        <v>0</v>
      </c>
      <c r="J58" s="191">
        <f>SUMIFS('All Measure &amp; TRC+ Calc'!BF:BF,'All Measure &amp; TRC+ Calc'!$D:$D,$C58,'All Measure &amp; TRC+ Calc'!$B:$B,$A58)</f>
        <v>18261043.857871324</v>
      </c>
      <c r="K58" s="167">
        <f>SUMIFS('All Measure &amp; TRC+ Calc'!AQ:AQ,'All Measure &amp; TRC+ Calc'!$D:$D,$C58,'All Measure &amp; TRC+ Calc'!$B:$B,K$52)</f>
        <v>6543568.0000000009</v>
      </c>
      <c r="L58" s="164">
        <f>SUMIFS('All Measure &amp; TRC+ Calc'!BG:BG,'All Measure &amp; TRC+ Calc'!$D:$D,$C58,'All Measure &amp; TRC+ Calc'!$B:$B,$A58)-K58</f>
        <v>0</v>
      </c>
      <c r="M58" s="164">
        <f>SUMIFS(Budget!$E:$E,Budget!$C:$C,$C58,Budget!$D:$D,"&lt;&gt;Incentives",Budget!$A:$A,M$52)</f>
        <v>2957399</v>
      </c>
      <c r="N58" s="168">
        <f t="shared" si="22"/>
        <v>9500967</v>
      </c>
      <c r="O58" s="231">
        <f t="shared" si="20"/>
        <v>8760076.8578713238</v>
      </c>
      <c r="P58" s="234">
        <f t="shared" si="21"/>
        <v>1.922019501580347</v>
      </c>
    </row>
    <row r="59" spans="1:16" x14ac:dyDescent="0.25">
      <c r="A59" s="153">
        <v>2028</v>
      </c>
      <c r="C59" s="149" t="s">
        <v>161</v>
      </c>
      <c r="D59" s="165">
        <f>SUMIFS('All Measure &amp; TRC+ Calc'!AT:AT,'All Measure &amp; TRC+ Calc'!$D:$D,$C59,'All Measure &amp; TRC+ Calc'!$B:$B,D$52)</f>
        <v>11390119.440471571</v>
      </c>
      <c r="E59" s="165">
        <f>SUMIFS('All Measure &amp; TRC+ Calc'!AU:AU,'All Measure &amp; TRC+ Calc'!$D:$D,$C59,'All Measure &amp; TRC+ Calc'!$B:$B,E$52)</f>
        <v>0</v>
      </c>
      <c r="F59" s="165">
        <f>SUMIFS('All Measure &amp; TRC+ Calc'!AV:AV,'All Measure &amp; TRC+ Calc'!$D:$D,$C59,'All Measure &amp; TRC+ Calc'!$B:$B,F$52)</f>
        <v>884503.7068349414</v>
      </c>
      <c r="G59" s="165">
        <f>SUMIFS('All Measure &amp; TRC+ Calc'!AW:AW,'All Measure &amp; TRC+ Calc'!$D:$D,$C59,'All Measure &amp; TRC+ Calc'!$B:$B,G$52)</f>
        <v>3255974.605773923</v>
      </c>
      <c r="H59" s="165">
        <f>SUMIFS('All Measure &amp; TRC+ Calc'!AX:AX,'All Measure &amp; TRC+ Calc'!$D:$D,$C59,'All Measure &amp; TRC+ Calc'!$B:$B,H$52)</f>
        <v>17318.695240994028</v>
      </c>
      <c r="I59" s="166">
        <f>SUMIFS('All Measure &amp; TRC+ Calc'!AY:AY,'All Measure &amp; TRC+ Calc'!$D:$D,$C59,'All Measure &amp; TRC+ Calc'!$B:$B,$A59)</f>
        <v>0</v>
      </c>
      <c r="J59" s="191">
        <f>SUMIFS('All Measure &amp; TRC+ Calc'!BF:BF,'All Measure &amp; TRC+ Calc'!$D:$D,$C59,'All Measure &amp; TRC+ Calc'!$B:$B,$A59)</f>
        <v>15547916.448321428</v>
      </c>
      <c r="K59" s="167">
        <f>SUMIFS('All Measure &amp; TRC+ Calc'!AQ:AQ,'All Measure &amp; TRC+ Calc'!$D:$D,$C59,'All Measure &amp; TRC+ Calc'!$B:$B,K$52)</f>
        <v>7993050</v>
      </c>
      <c r="L59" s="164">
        <f>SUMIFS('All Measure &amp; TRC+ Calc'!BG:BG,'All Measure &amp; TRC+ Calc'!$D:$D,$C59,'All Measure &amp; TRC+ Calc'!$B:$B,$A59)-K59</f>
        <v>0</v>
      </c>
      <c r="M59" s="164">
        <f>SUMIFS(Budget!$E:$E,Budget!$C:$C,$C59,Budget!$D:$D,"&lt;&gt;Incentives",Budget!$A:$A,M$52)</f>
        <v>991770</v>
      </c>
      <c r="N59" s="168">
        <f t="shared" si="22"/>
        <v>8984820</v>
      </c>
      <c r="O59" s="231">
        <f t="shared" si="20"/>
        <v>6563096.4483214281</v>
      </c>
      <c r="P59" s="234">
        <f t="shared" si="21"/>
        <v>1.7304649896515933</v>
      </c>
    </row>
    <row r="60" spans="1:16" x14ac:dyDescent="0.25">
      <c r="A60" s="153">
        <v>2028</v>
      </c>
      <c r="C60" s="149" t="s">
        <v>162</v>
      </c>
      <c r="D60" s="165">
        <f>SUMIFS('All Measure &amp; TRC+ Calc'!AT:AT,'All Measure &amp; TRC+ Calc'!$D:$D,$C60,'All Measure &amp; TRC+ Calc'!$B:$B,D$52)</f>
        <v>1414324.2671799064</v>
      </c>
      <c r="E60" s="165">
        <f>SUMIFS('All Measure &amp; TRC+ Calc'!AU:AU,'All Measure &amp; TRC+ Calc'!$D:$D,$C60,'All Measure &amp; TRC+ Calc'!$B:$B,E$52)</f>
        <v>0</v>
      </c>
      <c r="F60" s="165">
        <f>SUMIFS('All Measure &amp; TRC+ Calc'!AV:AV,'All Measure &amp; TRC+ Calc'!$D:$D,$C60,'All Measure &amp; TRC+ Calc'!$B:$B,F$52)</f>
        <v>183101.53830005467</v>
      </c>
      <c r="G60" s="165">
        <f>SUMIFS('All Measure &amp; TRC+ Calc'!AW:AW,'All Measure &amp; TRC+ Calc'!$D:$D,$C60,'All Measure &amp; TRC+ Calc'!$B:$B,G$52)</f>
        <v>88527.05894652917</v>
      </c>
      <c r="H60" s="165">
        <f>SUMIFS('All Measure &amp; TRC+ Calc'!AX:AX,'All Measure &amp; TRC+ Calc'!$D:$D,$C60,'All Measure &amp; TRC+ Calc'!$B:$B,H$52)</f>
        <v>0</v>
      </c>
      <c r="I60" s="166">
        <f>SUMIFS('All Measure &amp; TRC+ Calc'!AY:AY,'All Measure &amp; TRC+ Calc'!$D:$D,$C60,'All Measure &amp; TRC+ Calc'!$B:$B,$A60)</f>
        <v>0</v>
      </c>
      <c r="J60" s="191">
        <f>SUMIFS('All Measure &amp; TRC+ Calc'!BF:BF,'All Measure &amp; TRC+ Calc'!$D:$D,$C60,'All Measure &amp; TRC+ Calc'!$B:$B,$A60)</f>
        <v>1685952.8644264902</v>
      </c>
      <c r="K60" s="167">
        <f>SUMIFS('All Measure &amp; TRC+ Calc'!AQ:AQ,'All Measure &amp; TRC+ Calc'!$D:$D,$C60,'All Measure &amp; TRC+ Calc'!$B:$B,K$52)</f>
        <v>0</v>
      </c>
      <c r="L60" s="164">
        <f>SUMIFS('All Measure &amp; TRC+ Calc'!BG:BG,'All Measure &amp; TRC+ Calc'!$D:$D,$C60,'All Measure &amp; TRC+ Calc'!$B:$B,$A60)-K60</f>
        <v>0</v>
      </c>
      <c r="M60" s="164">
        <f>SUMIFS(Budget!$E:$E,Budget!$C:$C,$C60,Budget!$D:$D,"&lt;&gt;Incentives",Budget!$A:$A,M$52)</f>
        <v>2644720</v>
      </c>
      <c r="N60" s="168">
        <f t="shared" si="22"/>
        <v>2644720</v>
      </c>
      <c r="O60" s="231">
        <f t="shared" si="20"/>
        <v>-958767.13557350985</v>
      </c>
      <c r="P60" s="234">
        <f t="shared" si="21"/>
        <v>0.63747877447385359</v>
      </c>
    </row>
    <row r="61" spans="1:16" x14ac:dyDescent="0.25">
      <c r="A61" s="153">
        <v>2028</v>
      </c>
      <c r="C61" s="149" t="s">
        <v>17</v>
      </c>
      <c r="D61" s="169">
        <v>0</v>
      </c>
      <c r="E61" s="169">
        <v>0</v>
      </c>
      <c r="F61" s="169">
        <v>0</v>
      </c>
      <c r="G61" s="169">
        <v>0</v>
      </c>
      <c r="H61" s="169">
        <v>0</v>
      </c>
      <c r="I61" s="169">
        <v>0</v>
      </c>
      <c r="J61" s="197">
        <v>0</v>
      </c>
      <c r="K61" s="171">
        <v>0</v>
      </c>
      <c r="L61" s="170">
        <v>0</v>
      </c>
      <c r="M61" s="164">
        <f>SUMIFS(Budget!$E:$E,Budget!$C:$C,$C61,Budget!$D:$D,"&lt;&gt;Incentives",Budget!$A:$A,M$52)</f>
        <v>2618006</v>
      </c>
      <c r="N61" s="168">
        <f t="shared" si="22"/>
        <v>2618006</v>
      </c>
      <c r="O61" s="231">
        <f t="shared" si="20"/>
        <v>-2618006</v>
      </c>
      <c r="P61" s="235">
        <f t="shared" si="21"/>
        <v>0</v>
      </c>
    </row>
    <row r="62" spans="1:16" x14ac:dyDescent="0.25">
      <c r="A62" s="153">
        <v>2028</v>
      </c>
      <c r="C62" s="150" t="s">
        <v>138</v>
      </c>
      <c r="D62" s="158">
        <f t="shared" ref="D62:N62" si="24">SUM(D63:D71)</f>
        <v>126470010.72578429</v>
      </c>
      <c r="E62" s="158">
        <f t="shared" si="24"/>
        <v>2114820.8573241984</v>
      </c>
      <c r="F62" s="158">
        <f t="shared" si="24"/>
        <v>6800319.5767058246</v>
      </c>
      <c r="G62" s="158">
        <f t="shared" si="24"/>
        <v>13012448.700023932</v>
      </c>
      <c r="H62" s="158">
        <f t="shared" ref="H62" si="25">SUM(H63:H71)</f>
        <v>429758.81400627957</v>
      </c>
      <c r="I62" s="158">
        <f t="shared" si="24"/>
        <v>0</v>
      </c>
      <c r="J62" s="201">
        <f t="shared" si="24"/>
        <v>148827358.67384455</v>
      </c>
      <c r="K62" s="163">
        <f t="shared" si="24"/>
        <v>69618589.881000623</v>
      </c>
      <c r="L62" s="160">
        <f t="shared" si="24"/>
        <v>10923633.731652014</v>
      </c>
      <c r="M62" s="160">
        <f t="shared" si="24"/>
        <v>11022875</v>
      </c>
      <c r="N62" s="162">
        <f t="shared" si="24"/>
        <v>91565098.612652645</v>
      </c>
      <c r="O62" s="230">
        <f t="shared" si="20"/>
        <v>57262260.061191902</v>
      </c>
      <c r="P62" s="233">
        <f t="shared" si="21"/>
        <v>1.6253721224440345</v>
      </c>
    </row>
    <row r="63" spans="1:16" x14ac:dyDescent="0.25">
      <c r="A63" s="153">
        <v>2028</v>
      </c>
      <c r="C63" s="149" t="s">
        <v>9</v>
      </c>
      <c r="D63" s="165">
        <f>SUMIFS('All Measure &amp; TRC+ Calc'!AT:AT,'All Measure &amp; TRC+ Calc'!$D:$D,$C63,'All Measure &amp; TRC+ Calc'!$B:$B,D$52)</f>
        <v>82207094.602821872</v>
      </c>
      <c r="E63" s="165">
        <f>SUMIFS('All Measure &amp; TRC+ Calc'!AU:AU,'All Measure &amp; TRC+ Calc'!$D:$D,$C63,'All Measure &amp; TRC+ Calc'!$B:$B,E$52)</f>
        <v>266697.53866843478</v>
      </c>
      <c r="F63" s="165">
        <f>SUMIFS('All Measure &amp; TRC+ Calc'!AV:AV,'All Measure &amp; TRC+ Calc'!$D:$D,$C63,'All Measure &amp; TRC+ Calc'!$B:$B,F$52)</f>
        <v>1538091.6418832566</v>
      </c>
      <c r="G63" s="165">
        <f>SUMIFS('All Measure &amp; TRC+ Calc'!AW:AW,'All Measure &amp; TRC+ Calc'!$D:$D,$C63,'All Measure &amp; TRC+ Calc'!$B:$B,G$52)</f>
        <v>4596459.801408872</v>
      </c>
      <c r="H63" s="165">
        <f>SUMIFS('All Measure &amp; TRC+ Calc'!AX:AX,'All Measure &amp; TRC+ Calc'!$D:$D,$C63,'All Measure &amp; TRC+ Calc'!$B:$B,H$52)</f>
        <v>103131.17509776952</v>
      </c>
      <c r="I63" s="166">
        <f>SUMIFS('All Measure &amp; TRC+ Calc'!AY:AY,'All Measure &amp; TRC+ Calc'!$D:$D,$C63,'All Measure &amp; TRC+ Calc'!$B:$B,$A63)</f>
        <v>0</v>
      </c>
      <c r="J63" s="191">
        <f>SUMIFS('All Measure &amp; TRC+ Calc'!BF:BF,'All Measure &amp; TRC+ Calc'!$D:$D,$C63,'All Measure &amp; TRC+ Calc'!$B:$B,$A63)</f>
        <v>88711474.759880185</v>
      </c>
      <c r="K63" s="167">
        <f>SUMIFS('All Measure &amp; TRC+ Calc'!AQ:AQ,'All Measure &amp; TRC+ Calc'!$D:$D,$C63,'All Measure &amp; TRC+ Calc'!$B:$B,K$52)</f>
        <v>46564765.580743931</v>
      </c>
      <c r="L63" s="164">
        <f>SUMIFS('All Measure &amp; TRC+ Calc'!BG:BG,'All Measure &amp; TRC+ Calc'!$D:$D,$C63,'All Measure &amp; TRC+ Calc'!$B:$B,$A63)-K63</f>
        <v>7654208.0466118082</v>
      </c>
      <c r="M63" s="164">
        <f>SUMIFS(Budget!$E:$E,Budget!$C:$C,$C63,Budget!$D:$D,"&lt;&gt;Incentives",Budget!$A:$A,M$52)</f>
        <v>984904</v>
      </c>
      <c r="N63" s="168">
        <f t="shared" ref="N63:N71" si="26">SUM(K63:M63)</f>
        <v>55203877.627355739</v>
      </c>
      <c r="O63" s="231">
        <f t="shared" si="20"/>
        <v>33507597.132524446</v>
      </c>
      <c r="P63" s="234">
        <f t="shared" si="21"/>
        <v>1.6069790488036313</v>
      </c>
    </row>
    <row r="64" spans="1:16" x14ac:dyDescent="0.25">
      <c r="A64" s="153">
        <v>2028</v>
      </c>
      <c r="C64" s="149" t="s">
        <v>163</v>
      </c>
      <c r="D64" s="165">
        <f>SUMIFS('All Measure &amp; TRC+ Calc'!AT:AT,'All Measure &amp; TRC+ Calc'!$D:$D,$C64,'All Measure &amp; TRC+ Calc'!$B:$B,D$52)</f>
        <v>13003703.170496559</v>
      </c>
      <c r="E64" s="165">
        <f>SUMIFS('All Measure &amp; TRC+ Calc'!AU:AU,'All Measure &amp; TRC+ Calc'!$D:$D,$C64,'All Measure &amp; TRC+ Calc'!$B:$B,E$52)</f>
        <v>198446.0870781407</v>
      </c>
      <c r="F64" s="165">
        <f>SUMIFS('All Measure &amp; TRC+ Calc'!AV:AV,'All Measure &amp; TRC+ Calc'!$D:$D,$C64,'All Measure &amp; TRC+ Calc'!$B:$B,F$52)</f>
        <v>1081164.8260744524</v>
      </c>
      <c r="G64" s="165">
        <f>SUMIFS('All Measure &amp; TRC+ Calc'!AW:AW,'All Measure &amp; TRC+ Calc'!$D:$D,$C64,'All Measure &amp; TRC+ Calc'!$B:$B,G$52)</f>
        <v>1762461.0083360253</v>
      </c>
      <c r="H64" s="165">
        <f>SUMIFS('All Measure &amp; TRC+ Calc'!AX:AX,'All Measure &amp; TRC+ Calc'!$D:$D,$C64,'All Measure &amp; TRC+ Calc'!$B:$B,H$52)</f>
        <v>96360.200681972085</v>
      </c>
      <c r="I64" s="166">
        <f>SUMIFS('All Measure &amp; TRC+ Calc'!AY:AY,'All Measure &amp; TRC+ Calc'!$D:$D,$C64,'All Measure &amp; TRC+ Calc'!$B:$B,$A64)</f>
        <v>0</v>
      </c>
      <c r="J64" s="191">
        <f>SUMIFS('All Measure &amp; TRC+ Calc'!BF:BF,'All Measure &amp; TRC+ Calc'!$D:$D,$C64,'All Measure &amp; TRC+ Calc'!$B:$B,$A64)</f>
        <v>16142135.292667147</v>
      </c>
      <c r="K64" s="167">
        <f>SUMIFS('All Measure &amp; TRC+ Calc'!AQ:AQ,'All Measure &amp; TRC+ Calc'!$D:$D,$C64,'All Measure &amp; TRC+ Calc'!$B:$B,K$52)</f>
        <v>7667835.5680916682</v>
      </c>
      <c r="L64" s="164">
        <f>SUMIFS('All Measure &amp; TRC+ Calc'!BG:BG,'All Measure &amp; TRC+ Calc'!$D:$D,$C64,'All Measure &amp; TRC+ Calc'!$B:$B,$A64)-K64</f>
        <v>3148184.0780144371</v>
      </c>
      <c r="M64" s="164">
        <f>SUMIFS(Budget!$E:$E,Budget!$C:$C,$C64,Budget!$D:$D,"&lt;&gt;Incentives",Budget!$A:$A,M$52)</f>
        <v>985768</v>
      </c>
      <c r="N64" s="168">
        <f t="shared" si="26"/>
        <v>11801787.646106105</v>
      </c>
      <c r="O64" s="231">
        <f t="shared" si="20"/>
        <v>4340347.6465610415</v>
      </c>
      <c r="P64" s="234">
        <f t="shared" si="21"/>
        <v>1.3677703562132046</v>
      </c>
    </row>
    <row r="65" spans="1:16" x14ac:dyDescent="0.25">
      <c r="A65" s="153">
        <v>2028</v>
      </c>
      <c r="C65" s="149" t="s">
        <v>164</v>
      </c>
      <c r="D65" s="165">
        <f>SUMIFS('All Measure &amp; TRC+ Calc'!AT:AT,'All Measure &amp; TRC+ Calc'!$D:$D,$C65,'All Measure &amp; TRC+ Calc'!$B:$B,D$52)</f>
        <v>23656357.949583329</v>
      </c>
      <c r="E65" s="165">
        <f>SUMIFS('All Measure &amp; TRC+ Calc'!AU:AU,'All Measure &amp; TRC+ Calc'!$D:$D,$C65,'All Measure &amp; TRC+ Calc'!$B:$B,E$52)</f>
        <v>0</v>
      </c>
      <c r="F65" s="165">
        <f>SUMIFS('All Measure &amp; TRC+ Calc'!AV:AV,'All Measure &amp; TRC+ Calc'!$D:$D,$C65,'All Measure &amp; TRC+ Calc'!$B:$B,F$52)</f>
        <v>2439779.3477387326</v>
      </c>
      <c r="G65" s="165">
        <f>SUMIFS('All Measure &amp; TRC+ Calc'!AW:AW,'All Measure &amp; TRC+ Calc'!$D:$D,$C65,'All Measure &amp; TRC+ Calc'!$B:$B,G$52)</f>
        <v>5409853.0304519348</v>
      </c>
      <c r="H65" s="165">
        <f>SUMIFS('All Measure &amp; TRC+ Calc'!AX:AX,'All Measure &amp; TRC+ Calc'!$D:$D,$C65,'All Measure &amp; TRC+ Calc'!$B:$B,H$52)</f>
        <v>147447.23588628165</v>
      </c>
      <c r="I65" s="166">
        <f>SUMIFS('All Measure &amp; TRC+ Calc'!AY:AY,'All Measure &amp; TRC+ Calc'!$D:$D,$C65,'All Measure &amp; TRC+ Calc'!$B:$B,$A65)</f>
        <v>0</v>
      </c>
      <c r="J65" s="191">
        <f>SUMIFS('All Measure &amp; TRC+ Calc'!BF:BF,'All Measure &amp; TRC+ Calc'!$D:$D,$C65,'All Measure &amp; TRC+ Calc'!$B:$B,$A65)</f>
        <v>31653437.563660283</v>
      </c>
      <c r="K65" s="167">
        <f>SUMIFS('All Measure &amp; TRC+ Calc'!AQ:AQ,'All Measure &amp; TRC+ Calc'!$D:$D,$C65,'All Measure &amp; TRC+ Calc'!$B:$B,K$52)</f>
        <v>10456166.594430307</v>
      </c>
      <c r="L65" s="164">
        <f>SUMIFS('All Measure &amp; TRC+ Calc'!BG:BG,'All Measure &amp; TRC+ Calc'!$D:$D,$C65,'All Measure &amp; TRC+ Calc'!$B:$B,$A65)-K65</f>
        <v>0</v>
      </c>
      <c r="M65" s="164">
        <f>SUMIFS(Budget!$E:$E,Budget!$C:$C,$C65,Budget!$D:$D,"&lt;&gt;Incentives",Budget!$A:$A,M$52)</f>
        <v>1026253</v>
      </c>
      <c r="N65" s="168">
        <f t="shared" si="26"/>
        <v>11482419.594430307</v>
      </c>
      <c r="O65" s="231">
        <f t="shared" si="20"/>
        <v>20171017.969229974</v>
      </c>
      <c r="P65" s="234">
        <f t="shared" si="21"/>
        <v>2.7566870643722323</v>
      </c>
    </row>
    <row r="66" spans="1:16" x14ac:dyDescent="0.25">
      <c r="A66" s="153">
        <v>2028</v>
      </c>
      <c r="C66" s="149" t="s">
        <v>165</v>
      </c>
      <c r="D66" s="165">
        <f>SUMIFS('All Measure &amp; TRC+ Calc'!AT:AT,'All Measure &amp; TRC+ Calc'!$D:$D,$C66,'All Measure &amp; TRC+ Calc'!$B:$B,D$52)</f>
        <v>6909762.2383121587</v>
      </c>
      <c r="E66" s="165">
        <f>SUMIFS('All Measure &amp; TRC+ Calc'!AU:AU,'All Measure &amp; TRC+ Calc'!$D:$D,$C66,'All Measure &amp; TRC+ Calc'!$B:$B,E$52)</f>
        <v>1649677.2315776227</v>
      </c>
      <c r="F66" s="165">
        <f>SUMIFS('All Measure &amp; TRC+ Calc'!AV:AV,'All Measure &amp; TRC+ Calc'!$D:$D,$C66,'All Measure &amp; TRC+ Calc'!$B:$B,F$52)</f>
        <v>1736273.5372578644</v>
      </c>
      <c r="G66" s="165">
        <f>SUMIFS('All Measure &amp; TRC+ Calc'!AW:AW,'All Measure &amp; TRC+ Calc'!$D:$D,$C66,'All Measure &amp; TRC+ Calc'!$B:$B,G$52)</f>
        <v>1230524.4283729405</v>
      </c>
      <c r="H66" s="165">
        <f>SUMIFS('All Measure &amp; TRC+ Calc'!AX:AX,'All Measure &amp; TRC+ Calc'!$D:$D,$C66,'All Measure &amp; TRC+ Calc'!$B:$B,H$52)</f>
        <v>82226.819196130018</v>
      </c>
      <c r="I66" s="166">
        <f>SUMIFS('All Measure &amp; TRC+ Calc'!AY:AY,'All Measure &amp; TRC+ Calc'!$D:$D,$C66,'All Measure &amp; TRC+ Calc'!$B:$B,$A66)</f>
        <v>0</v>
      </c>
      <c r="J66" s="191">
        <f>SUMIFS('All Measure &amp; TRC+ Calc'!BF:BF,'All Measure &amp; TRC+ Calc'!$D:$D,$C66,'All Measure &amp; TRC+ Calc'!$B:$B,$A66)</f>
        <v>11608464.254716717</v>
      </c>
      <c r="K66" s="167">
        <f>SUMIFS('All Measure &amp; TRC+ Calc'!AQ:AQ,'All Measure &amp; TRC+ Calc'!$D:$D,$C66,'All Measure &amp; TRC+ Calc'!$B:$B,K$52)</f>
        <v>4573861.345676275</v>
      </c>
      <c r="L66" s="164">
        <f>SUMIFS('All Measure &amp; TRC+ Calc'!BG:BG,'All Measure &amp; TRC+ Calc'!$D:$D,$C66,'All Measure &amp; TRC+ Calc'!$B:$B,$A66)-K66</f>
        <v>0</v>
      </c>
      <c r="M66" s="164">
        <f>SUMIFS(Budget!$E:$E,Budget!$C:$C,$C66,Budget!$D:$D,"&lt;&gt;Incentives",Budget!$A:$A,M$52)</f>
        <v>1430183</v>
      </c>
      <c r="N66" s="168">
        <f t="shared" si="26"/>
        <v>6004044.345676275</v>
      </c>
      <c r="O66" s="231">
        <f t="shared" si="20"/>
        <v>5604419.9090404417</v>
      </c>
      <c r="P66" s="234">
        <f t="shared" si="21"/>
        <v>1.933440791968231</v>
      </c>
    </row>
    <row r="67" spans="1:16" x14ac:dyDescent="0.25">
      <c r="A67" s="153">
        <v>2028</v>
      </c>
      <c r="C67" s="149" t="s">
        <v>166</v>
      </c>
      <c r="D67" s="165">
        <f>SUMIFS('All Measure &amp; TRC+ Calc'!AT:AT,'All Measure &amp; TRC+ Calc'!$D:$D,$C67,'All Measure &amp; TRC+ Calc'!$B:$B,D$52)</f>
        <v>458584.00003833271</v>
      </c>
      <c r="E67" s="165">
        <f>SUMIFS('All Measure &amp; TRC+ Calc'!AU:AU,'All Measure &amp; TRC+ Calc'!$D:$D,$C67,'All Measure &amp; TRC+ Calc'!$B:$B,E$52)</f>
        <v>0</v>
      </c>
      <c r="F67" s="165">
        <f>SUMIFS('All Measure &amp; TRC+ Calc'!AV:AV,'All Measure &amp; TRC+ Calc'!$D:$D,$C67,'All Measure &amp; TRC+ Calc'!$B:$B,F$52)</f>
        <v>0</v>
      </c>
      <c r="G67" s="165">
        <f>SUMIFS('All Measure &amp; TRC+ Calc'!AW:AW,'All Measure &amp; TRC+ Calc'!$D:$D,$C67,'All Measure &amp; TRC+ Calc'!$B:$B,G$52)</f>
        <v>0</v>
      </c>
      <c r="H67" s="165">
        <f>SUMIFS('All Measure &amp; TRC+ Calc'!AX:AX,'All Measure &amp; TRC+ Calc'!$D:$D,$C67,'All Measure &amp; TRC+ Calc'!$B:$B,H$52)</f>
        <v>0</v>
      </c>
      <c r="I67" s="166">
        <f>SUMIFS('All Measure &amp; TRC+ Calc'!AY:AY,'All Measure &amp; TRC+ Calc'!$D:$D,$C67,'All Measure &amp; TRC+ Calc'!$B:$B,$A67)</f>
        <v>0</v>
      </c>
      <c r="J67" s="191">
        <f>SUMIFS('All Measure &amp; TRC+ Calc'!BF:BF,'All Measure &amp; TRC+ Calc'!$D:$D,$C67,'All Measure &amp; TRC+ Calc'!$B:$B,$A67)</f>
        <v>458584.00003833271</v>
      </c>
      <c r="K67" s="167">
        <f>SUMIFS('All Measure &amp; TRC+ Calc'!AQ:AQ,'All Measure &amp; TRC+ Calc'!$D:$D,$C67,'All Measure &amp; TRC+ Calc'!$B:$B,K$52)</f>
        <v>73624.792058437481</v>
      </c>
      <c r="L67" s="164">
        <f>SUMIFS('All Measure &amp; TRC+ Calc'!BG:BG,'All Measure &amp; TRC+ Calc'!$D:$D,$C67,'All Measure &amp; TRC+ Calc'!$B:$B,$A67)-K67</f>
        <v>0</v>
      </c>
      <c r="M67" s="164">
        <f>SUMIFS(Budget!$E:$E,Budget!$C:$C,$C67,Budget!$D:$D,"&lt;&gt;Incentives",Budget!$A:$A,M$52)</f>
        <v>348900</v>
      </c>
      <c r="N67" s="168">
        <f t="shared" si="26"/>
        <v>422524.79205843748</v>
      </c>
      <c r="O67" s="231">
        <f t="shared" si="20"/>
        <v>36059.207979895233</v>
      </c>
      <c r="P67" s="234">
        <f t="shared" si="21"/>
        <v>1.0853422299889754</v>
      </c>
    </row>
    <row r="68" spans="1:16" x14ac:dyDescent="0.25">
      <c r="A68" s="153">
        <v>2028</v>
      </c>
      <c r="C68" s="149" t="s">
        <v>167</v>
      </c>
      <c r="D68" s="165">
        <f>SUMIFS('All Measure &amp; TRC+ Calc'!AT:AT,'All Measure &amp; TRC+ Calc'!$D:$D,$C68,'All Measure &amp; TRC+ Calc'!$B:$B,D$52)</f>
        <v>234508.76453205157</v>
      </c>
      <c r="E68" s="165">
        <f>SUMIFS('All Measure &amp; TRC+ Calc'!AU:AU,'All Measure &amp; TRC+ Calc'!$D:$D,$C68,'All Measure &amp; TRC+ Calc'!$B:$B,E$52)</f>
        <v>0</v>
      </c>
      <c r="F68" s="165">
        <f>SUMIFS('All Measure &amp; TRC+ Calc'!AV:AV,'All Measure &amp; TRC+ Calc'!$D:$D,$C68,'All Measure &amp; TRC+ Calc'!$B:$B,F$52)</f>
        <v>5010.2237515192282</v>
      </c>
      <c r="G68" s="165">
        <f>SUMIFS('All Measure &amp; TRC+ Calc'!AW:AW,'All Measure &amp; TRC+ Calc'!$D:$D,$C68,'All Measure &amp; TRC+ Calc'!$B:$B,G$52)</f>
        <v>13150.431454158519</v>
      </c>
      <c r="H68" s="165">
        <f>SUMIFS('All Measure &amp; TRC+ Calc'!AX:AX,'All Measure &amp; TRC+ Calc'!$D:$D,$C68,'All Measure &amp; TRC+ Calc'!$B:$B,H$52)</f>
        <v>593.38314412625471</v>
      </c>
      <c r="I68" s="166">
        <f>SUMIFS('All Measure &amp; TRC+ Calc'!AY:AY,'All Measure &amp; TRC+ Calc'!$D:$D,$C68,'All Measure &amp; TRC+ Calc'!$B:$B,$A68)</f>
        <v>0</v>
      </c>
      <c r="J68" s="191">
        <f>SUMIFS('All Measure &amp; TRC+ Calc'!BF:BF,'All Measure &amp; TRC+ Calc'!$D:$D,$C68,'All Measure &amp; TRC+ Calc'!$B:$B,$A68)</f>
        <v>253262.80288185558</v>
      </c>
      <c r="K68" s="167">
        <f>SUMIFS('All Measure &amp; TRC+ Calc'!AQ:AQ,'All Measure &amp; TRC+ Calc'!$D:$D,$C68,'All Measure &amp; TRC+ Calc'!$B:$B,K$52)</f>
        <v>282336</v>
      </c>
      <c r="L68" s="164">
        <f>SUMIFS('All Measure &amp; TRC+ Calc'!BG:BG,'All Measure &amp; TRC+ Calc'!$D:$D,$C68,'All Measure &amp; TRC+ Calc'!$B:$B,$A68)-K68</f>
        <v>121241.60702576942</v>
      </c>
      <c r="M68" s="164">
        <f>SUMIFS(Budget!$E:$E,Budget!$C:$C,$C68,Budget!$D:$D,"&lt;&gt;Incentives",Budget!$A:$A,M$52)</f>
        <v>136396</v>
      </c>
      <c r="N68" s="168">
        <f t="shared" si="26"/>
        <v>539973.60702576942</v>
      </c>
      <c r="O68" s="231">
        <f t="shared" si="20"/>
        <v>-286710.80414391385</v>
      </c>
      <c r="P68" s="234">
        <f t="shared" si="21"/>
        <v>0.46902811468296263</v>
      </c>
    </row>
    <row r="69" spans="1:16" x14ac:dyDescent="0.25">
      <c r="A69" s="153">
        <v>2028</v>
      </c>
      <c r="C69" s="149" t="s">
        <v>168</v>
      </c>
      <c r="D69" s="165">
        <f>SUMIFS('All Measure &amp; TRC+ Calc'!AT:AT,'All Measure &amp; TRC+ Calc'!$D:$D,$C69,'All Measure &amp; TRC+ Calc'!$B:$B,D$52)</f>
        <v>0</v>
      </c>
      <c r="E69" s="165">
        <f>SUMIFS('All Measure &amp; TRC+ Calc'!AU:AU,'All Measure &amp; TRC+ Calc'!$D:$D,$C69,'All Measure &amp; TRC+ Calc'!$B:$B,E$52)</f>
        <v>0</v>
      </c>
      <c r="F69" s="165">
        <f>SUMIFS('All Measure &amp; TRC+ Calc'!AV:AV,'All Measure &amp; TRC+ Calc'!$D:$D,$C69,'All Measure &amp; TRC+ Calc'!$B:$B,F$52)</f>
        <v>0</v>
      </c>
      <c r="G69" s="165">
        <f>SUMIFS('All Measure &amp; TRC+ Calc'!AW:AW,'All Measure &amp; TRC+ Calc'!$D:$D,$C69,'All Measure &amp; TRC+ Calc'!$B:$B,G$52)</f>
        <v>0</v>
      </c>
      <c r="H69" s="165">
        <f>SUMIFS('All Measure &amp; TRC+ Calc'!AX:AX,'All Measure &amp; TRC+ Calc'!$D:$D,$C69,'All Measure &amp; TRC+ Calc'!$B:$B,H$52)</f>
        <v>0</v>
      </c>
      <c r="I69" s="166">
        <f>SUMIFS('All Measure &amp; TRC+ Calc'!AY:AY,'All Measure &amp; TRC+ Calc'!$D:$D,$C69,'All Measure &amp; TRC+ Calc'!$B:$B,$A69)</f>
        <v>0</v>
      </c>
      <c r="J69" s="191">
        <f>SUMIFS('All Measure &amp; TRC+ Calc'!BF:BF,'All Measure &amp; TRC+ Calc'!$D:$D,$C69,'All Measure &amp; TRC+ Calc'!$B:$B,$A69)</f>
        <v>0</v>
      </c>
      <c r="K69" s="167">
        <f>SUMIFS('All Measure &amp; TRC+ Calc'!AQ:AQ,'All Measure &amp; TRC+ Calc'!$D:$D,$C69,'All Measure &amp; TRC+ Calc'!$B:$B,K$52)</f>
        <v>0</v>
      </c>
      <c r="L69" s="164">
        <f>SUMIFS('All Measure &amp; TRC+ Calc'!BG:BG,'All Measure &amp; TRC+ Calc'!$D:$D,$C69,'All Measure &amp; TRC+ Calc'!$B:$B,$A69)-K69</f>
        <v>0</v>
      </c>
      <c r="M69" s="164">
        <f>SUMIFS(Budget!$E:$E,Budget!$C:$C,$C69,Budget!$D:$D,"&lt;&gt;Incentives",Budget!$A:$A,M$52)</f>
        <v>284816</v>
      </c>
      <c r="N69" s="168">
        <f t="shared" si="26"/>
        <v>284816</v>
      </c>
      <c r="O69" s="231">
        <f t="shared" si="20"/>
        <v>-284816</v>
      </c>
      <c r="P69" s="234">
        <f t="shared" si="21"/>
        <v>0</v>
      </c>
    </row>
    <row r="70" spans="1:16" x14ac:dyDescent="0.25">
      <c r="A70" s="153">
        <v>2028</v>
      </c>
      <c r="C70" s="149" t="s">
        <v>18</v>
      </c>
      <c r="D70" s="165">
        <f>SUMIFS('All Measure &amp; TRC+ Calc'!AT:AT,'All Measure &amp; TRC+ Calc'!$D:$D,$C70,'All Measure &amp; TRC+ Calc'!$B:$B,D$52)</f>
        <v>0</v>
      </c>
      <c r="E70" s="165">
        <f>SUMIFS('All Measure &amp; TRC+ Calc'!AU:AU,'All Measure &amp; TRC+ Calc'!$D:$D,$C70,'All Measure &amp; TRC+ Calc'!$B:$B,E$52)</f>
        <v>0</v>
      </c>
      <c r="F70" s="165">
        <f>SUMIFS('All Measure &amp; TRC+ Calc'!AV:AV,'All Measure &amp; TRC+ Calc'!$D:$D,$C70,'All Measure &amp; TRC+ Calc'!$B:$B,F$52)</f>
        <v>0</v>
      </c>
      <c r="G70" s="165">
        <f>SUMIFS('All Measure &amp; TRC+ Calc'!AW:AW,'All Measure &amp; TRC+ Calc'!$D:$D,$C70,'All Measure &amp; TRC+ Calc'!$B:$B,G$52)</f>
        <v>0</v>
      </c>
      <c r="H70" s="165">
        <f>SUMIFS('All Measure &amp; TRC+ Calc'!AX:AX,'All Measure &amp; TRC+ Calc'!$D:$D,$C70,'All Measure &amp; TRC+ Calc'!$B:$B,H$52)</f>
        <v>0</v>
      </c>
      <c r="I70" s="166">
        <f>SUMIFS('All Measure &amp; TRC+ Calc'!AY:AY,'All Measure &amp; TRC+ Calc'!$D:$D,$C70,'All Measure &amp; TRC+ Calc'!$B:$B,$A70)</f>
        <v>0</v>
      </c>
      <c r="J70" s="191">
        <f>SUMIFS('All Measure &amp; TRC+ Calc'!BF:BF,'All Measure &amp; TRC+ Calc'!$D:$D,$C70,'All Measure &amp; TRC+ Calc'!$B:$B,$A70)</f>
        <v>0</v>
      </c>
      <c r="K70" s="167">
        <f>SUMIFS('All Measure &amp; TRC+ Calc'!AQ:AQ,'All Measure &amp; TRC+ Calc'!$D:$D,$C70,'All Measure &amp; TRC+ Calc'!$B:$B,K$52)</f>
        <v>0</v>
      </c>
      <c r="L70" s="164">
        <f>SUMIFS('All Measure &amp; TRC+ Calc'!BG:BG,'All Measure &amp; TRC+ Calc'!$D:$D,$C70,'All Measure &amp; TRC+ Calc'!$B:$B,$A70)-K70</f>
        <v>0</v>
      </c>
      <c r="M70" s="164">
        <f>SUMIFS(Budget!$E:$E,Budget!$C:$C,$C70,Budget!$D:$D,"&lt;&gt;Incentives",Budget!$A:$A,M$52)</f>
        <v>203440</v>
      </c>
      <c r="N70" s="168">
        <f t="shared" si="26"/>
        <v>203440</v>
      </c>
      <c r="O70" s="231">
        <f t="shared" si="20"/>
        <v>-203440</v>
      </c>
      <c r="P70" s="234">
        <f t="shared" si="21"/>
        <v>0</v>
      </c>
    </row>
    <row r="71" spans="1:16" x14ac:dyDescent="0.25">
      <c r="A71" s="153">
        <v>2028</v>
      </c>
      <c r="C71" s="149" t="s">
        <v>19</v>
      </c>
      <c r="D71" s="169">
        <v>0</v>
      </c>
      <c r="E71" s="169">
        <v>0</v>
      </c>
      <c r="F71" s="169">
        <v>0</v>
      </c>
      <c r="G71" s="169">
        <v>0</v>
      </c>
      <c r="H71" s="169">
        <v>0</v>
      </c>
      <c r="I71" s="169">
        <v>0</v>
      </c>
      <c r="J71" s="197">
        <v>0</v>
      </c>
      <c r="K71" s="171">
        <v>0</v>
      </c>
      <c r="L71" s="170">
        <v>0</v>
      </c>
      <c r="M71" s="164">
        <f>SUMIFS(Budget!$E:$E,Budget!$C:$C,$C71,Budget!$D:$D,"&lt;&gt;Incentives",Budget!$A:$A,M$52)</f>
        <v>5622215</v>
      </c>
      <c r="N71" s="168">
        <f t="shared" si="26"/>
        <v>5622215</v>
      </c>
      <c r="O71" s="231">
        <f t="shared" si="20"/>
        <v>-5622215</v>
      </c>
      <c r="P71" s="235">
        <f t="shared" si="21"/>
        <v>0</v>
      </c>
    </row>
    <row r="72" spans="1:16" x14ac:dyDescent="0.25">
      <c r="A72" s="153">
        <v>2028</v>
      </c>
      <c r="C72" s="150" t="s">
        <v>139</v>
      </c>
      <c r="D72" s="158">
        <f t="shared" ref="D72:N72" si="27">SUM(D73:D76)</f>
        <v>231987861.91535252</v>
      </c>
      <c r="E72" s="158">
        <f t="shared" si="27"/>
        <v>40665.63939268086</v>
      </c>
      <c r="F72" s="158">
        <f t="shared" si="27"/>
        <v>91519.408697509862</v>
      </c>
      <c r="G72" s="158">
        <f t="shared" si="27"/>
        <v>108748.28582056703</v>
      </c>
      <c r="H72" s="158">
        <f t="shared" si="27"/>
        <v>8149.468465882941</v>
      </c>
      <c r="I72" s="158">
        <f t="shared" si="27"/>
        <v>0</v>
      </c>
      <c r="J72" s="201">
        <f t="shared" si="27"/>
        <v>232236944.71772915</v>
      </c>
      <c r="K72" s="163">
        <f t="shared" si="27"/>
        <v>49361831.187199913</v>
      </c>
      <c r="L72" s="160">
        <f t="shared" si="27"/>
        <v>0</v>
      </c>
      <c r="M72" s="160">
        <f t="shared" si="27"/>
        <v>6371906</v>
      </c>
      <c r="N72" s="162">
        <f t="shared" si="27"/>
        <v>55733737.187199913</v>
      </c>
      <c r="O72" s="230">
        <f t="shared" si="20"/>
        <v>176503207.53052923</v>
      </c>
      <c r="P72" s="233">
        <f t="shared" si="21"/>
        <v>4.1669006321554525</v>
      </c>
    </row>
    <row r="73" spans="1:16" x14ac:dyDescent="0.25">
      <c r="A73" s="153">
        <v>2028</v>
      </c>
      <c r="C73" s="149" t="s">
        <v>8</v>
      </c>
      <c r="D73" s="165">
        <f>SUMIFS('All Measure &amp; TRC+ Calc'!AT:AT,'All Measure &amp; TRC+ Calc'!$D:$D,$C73,'All Measure &amp; TRC+ Calc'!$B:$B,D$52)</f>
        <v>231987861.91535252</v>
      </c>
      <c r="E73" s="165">
        <f>SUMIFS('All Measure &amp; TRC+ Calc'!AU:AU,'All Measure &amp; TRC+ Calc'!$D:$D,$C73,'All Measure &amp; TRC+ Calc'!$B:$B,E$52)</f>
        <v>40665.63939268086</v>
      </c>
      <c r="F73" s="165">
        <f>SUMIFS('All Measure &amp; TRC+ Calc'!AV:AV,'All Measure &amp; TRC+ Calc'!$D:$D,$C73,'All Measure &amp; TRC+ Calc'!$B:$B,F$52)</f>
        <v>91519.408697509862</v>
      </c>
      <c r="G73" s="165">
        <f>SUMIFS('All Measure &amp; TRC+ Calc'!AW:AW,'All Measure &amp; TRC+ Calc'!$D:$D,$C73,'All Measure &amp; TRC+ Calc'!$B:$B,G$52)</f>
        <v>108748.28582056703</v>
      </c>
      <c r="H73" s="165">
        <f>SUMIFS('All Measure &amp; TRC+ Calc'!AX:AX,'All Measure &amp; TRC+ Calc'!$D:$D,$C73,'All Measure &amp; TRC+ Calc'!$B:$B,H$52)</f>
        <v>8149.468465882941</v>
      </c>
      <c r="I73" s="166">
        <f>SUMIFS('All Measure &amp; TRC+ Calc'!AY:AY,'All Measure &amp; TRC+ Calc'!$D:$D,$C73,'All Measure &amp; TRC+ Calc'!$B:$B,$A73)</f>
        <v>0</v>
      </c>
      <c r="J73" s="191">
        <f>SUMIFS('All Measure &amp; TRC+ Calc'!BF:BF,'All Measure &amp; TRC+ Calc'!$D:$D,$C73,'All Measure &amp; TRC+ Calc'!$B:$B,$A73)</f>
        <v>232236944.71772915</v>
      </c>
      <c r="K73" s="167">
        <f>SUMIFS('All Measure &amp; TRC+ Calc'!AQ:AQ,'All Measure &amp; TRC+ Calc'!$D:$D,$C73,'All Measure &amp; TRC+ Calc'!$B:$B,K$52)</f>
        <v>49361831.187199913</v>
      </c>
      <c r="L73" s="164">
        <f>SUMIFS('All Measure &amp; TRC+ Calc'!BG:BG,'All Measure &amp; TRC+ Calc'!$D:$D,$C73,'All Measure &amp; TRC+ Calc'!$B:$B,$A73)-K73</f>
        <v>0</v>
      </c>
      <c r="M73" s="164">
        <f>SUMIFS(Budget!$E:$E,Budget!$C:$C,$C73,Budget!$D:$D,"&lt;&gt;Incentives",Budget!$A:$A,M$52)</f>
        <v>986684</v>
      </c>
      <c r="N73" s="168">
        <f t="shared" ref="N73:N76" si="28">SUM(K73:M73)</f>
        <v>50348515.187199913</v>
      </c>
      <c r="O73" s="231">
        <f t="shared" si="20"/>
        <v>181888429.53052923</v>
      </c>
      <c r="P73" s="234">
        <f t="shared" si="21"/>
        <v>4.6125877566449205</v>
      </c>
    </row>
    <row r="74" spans="1:16" x14ac:dyDescent="0.25">
      <c r="A74" s="153">
        <v>2028</v>
      </c>
      <c r="C74" s="149" t="s">
        <v>24</v>
      </c>
      <c r="D74" s="165">
        <f>SUMIFS('All Measure &amp; TRC+ Calc'!AT:AT,'All Measure &amp; TRC+ Calc'!$D:$D,$C74,'All Measure &amp; TRC+ Calc'!$B:$B,D$52)</f>
        <v>0</v>
      </c>
      <c r="E74" s="165">
        <f>SUMIFS('All Measure &amp; TRC+ Calc'!AU:AU,'All Measure &amp; TRC+ Calc'!$D:$D,$C74,'All Measure &amp; TRC+ Calc'!$B:$B,E$52)</f>
        <v>0</v>
      </c>
      <c r="F74" s="165">
        <f>SUMIFS('All Measure &amp; TRC+ Calc'!AV:AV,'All Measure &amp; TRC+ Calc'!$D:$D,$C74,'All Measure &amp; TRC+ Calc'!$B:$B,F$52)</f>
        <v>0</v>
      </c>
      <c r="G74" s="165">
        <f>SUMIFS('All Measure &amp; TRC+ Calc'!AW:AW,'All Measure &amp; TRC+ Calc'!$D:$D,$C74,'All Measure &amp; TRC+ Calc'!$B:$B,G$52)</f>
        <v>0</v>
      </c>
      <c r="H74" s="165">
        <f>SUMIFS('All Measure &amp; TRC+ Calc'!AX:AX,'All Measure &amp; TRC+ Calc'!$D:$D,$C74,'All Measure &amp; TRC+ Calc'!$B:$B,H$52)</f>
        <v>0</v>
      </c>
      <c r="I74" s="166">
        <f>SUMIFS('All Measure &amp; TRC+ Calc'!AY:AY,'All Measure &amp; TRC+ Calc'!$D:$D,$C74,'All Measure &amp; TRC+ Calc'!$B:$B,$A74)</f>
        <v>0</v>
      </c>
      <c r="J74" s="191">
        <f>SUMIFS('All Measure &amp; TRC+ Calc'!BF:BF,'All Measure &amp; TRC+ Calc'!$D:$D,$C74,'All Measure &amp; TRC+ Calc'!$B:$B,$A74)</f>
        <v>0</v>
      </c>
      <c r="K74" s="167">
        <f>SUMIFS('All Measure &amp; TRC+ Calc'!AQ:AQ,'All Measure &amp; TRC+ Calc'!$D:$D,$C74,'All Measure &amp; TRC+ Calc'!$B:$B,K$52)</f>
        <v>0</v>
      </c>
      <c r="L74" s="164">
        <f>SUMIFS('All Measure &amp; TRC+ Calc'!BG:BG,'All Measure &amp; TRC+ Calc'!$D:$D,$C74,'All Measure &amp; TRC+ Calc'!$B:$B,$A74)-K74</f>
        <v>0</v>
      </c>
      <c r="M74" s="164">
        <f>SUMIFS(Budget!$E:$E,Budget!$C:$C,$C74,Budget!$D:$D,"&lt;&gt;Incentives",Budget!$A:$A,M$52)</f>
        <v>203440</v>
      </c>
      <c r="N74" s="168">
        <f t="shared" si="28"/>
        <v>203440</v>
      </c>
      <c r="O74" s="231">
        <f t="shared" si="20"/>
        <v>-203440</v>
      </c>
      <c r="P74" s="234">
        <f t="shared" si="21"/>
        <v>0</v>
      </c>
    </row>
    <row r="75" spans="1:16" x14ac:dyDescent="0.25">
      <c r="A75" s="153">
        <v>2028</v>
      </c>
      <c r="C75" s="149" t="s">
        <v>171</v>
      </c>
      <c r="D75" s="165">
        <f>SUMIFS('All Measure &amp; TRC+ Calc'!AT:AT,'All Measure &amp; TRC+ Calc'!$D:$D,$C75,'All Measure &amp; TRC+ Calc'!$B:$B,D$52)</f>
        <v>0</v>
      </c>
      <c r="E75" s="165">
        <f>SUMIFS('All Measure &amp; TRC+ Calc'!AU:AU,'All Measure &amp; TRC+ Calc'!$D:$D,$C75,'All Measure &amp; TRC+ Calc'!$B:$B,E$52)</f>
        <v>0</v>
      </c>
      <c r="F75" s="165">
        <f>SUMIFS('All Measure &amp; TRC+ Calc'!AV:AV,'All Measure &amp; TRC+ Calc'!$D:$D,$C75,'All Measure &amp; TRC+ Calc'!$B:$B,F$52)</f>
        <v>0</v>
      </c>
      <c r="G75" s="165">
        <f>SUMIFS('All Measure &amp; TRC+ Calc'!AW:AW,'All Measure &amp; TRC+ Calc'!$D:$D,$C75,'All Measure &amp; TRC+ Calc'!$B:$B,G$52)</f>
        <v>0</v>
      </c>
      <c r="H75" s="165">
        <f>SUMIFS('All Measure &amp; TRC+ Calc'!AX:AX,'All Measure &amp; TRC+ Calc'!$D:$D,$C75,'All Measure &amp; TRC+ Calc'!$B:$B,H$52)</f>
        <v>0</v>
      </c>
      <c r="I75" s="166">
        <f>SUMIFS('All Measure &amp; TRC+ Calc'!AY:AY,'All Measure &amp; TRC+ Calc'!$D:$D,$C75,'All Measure &amp; TRC+ Calc'!$B:$B,$A75)</f>
        <v>0</v>
      </c>
      <c r="J75" s="191">
        <f>SUMIFS('All Measure &amp; TRC+ Calc'!BF:BF,'All Measure &amp; TRC+ Calc'!$D:$D,$C75,'All Measure &amp; TRC+ Calc'!$B:$B,$A75)</f>
        <v>0</v>
      </c>
      <c r="K75" s="167">
        <f>SUMIFS('All Measure &amp; TRC+ Calc'!AQ:AQ,'All Measure &amp; TRC+ Calc'!$D:$D,$C75,'All Measure &amp; TRC+ Calc'!$B:$B,K$52)</f>
        <v>0</v>
      </c>
      <c r="L75" s="164">
        <f>SUMIFS('All Measure &amp; TRC+ Calc'!BG:BG,'All Measure &amp; TRC+ Calc'!$D:$D,$C75,'All Measure &amp; TRC+ Calc'!$B:$B,$A75)-K75</f>
        <v>0</v>
      </c>
      <c r="M75" s="164">
        <f>SUMIFS(Budget!$E:$E,Budget!$C:$C,$C75,Budget!$D:$D,"&lt;&gt;Incentives",Budget!$A:$A,M$52)</f>
        <v>284816</v>
      </c>
      <c r="N75" s="168">
        <f t="shared" si="28"/>
        <v>284816</v>
      </c>
      <c r="O75" s="231">
        <f t="shared" si="20"/>
        <v>-284816</v>
      </c>
      <c r="P75" s="234">
        <f t="shared" si="21"/>
        <v>0</v>
      </c>
    </row>
    <row r="76" spans="1:16" x14ac:dyDescent="0.25">
      <c r="A76" s="153">
        <v>2028</v>
      </c>
      <c r="C76" s="149" t="s">
        <v>25</v>
      </c>
      <c r="D76" s="169">
        <v>0</v>
      </c>
      <c r="E76" s="169">
        <v>0</v>
      </c>
      <c r="F76" s="169">
        <v>0</v>
      </c>
      <c r="G76" s="169">
        <v>0</v>
      </c>
      <c r="H76" s="169">
        <v>0</v>
      </c>
      <c r="I76" s="169">
        <v>0</v>
      </c>
      <c r="J76" s="197">
        <v>0</v>
      </c>
      <c r="K76" s="171">
        <v>0</v>
      </c>
      <c r="L76" s="170">
        <v>0</v>
      </c>
      <c r="M76" s="164">
        <f>SUMIFS(Budget!$E:$E,Budget!$C:$C,$C76,Budget!$D:$D,"&lt;&gt;Incentives",Budget!$A:$A,M$52)</f>
        <v>4896966</v>
      </c>
      <c r="N76" s="168">
        <f t="shared" si="28"/>
        <v>4896966</v>
      </c>
      <c r="O76" s="231">
        <f t="shared" si="20"/>
        <v>-4896966</v>
      </c>
      <c r="P76" s="235">
        <f t="shared" si="21"/>
        <v>0</v>
      </c>
    </row>
    <row r="77" spans="1:16" x14ac:dyDescent="0.25">
      <c r="A77" s="153">
        <v>2028</v>
      </c>
      <c r="C77" s="150" t="s">
        <v>137</v>
      </c>
      <c r="D77" s="158">
        <f t="shared" ref="D77:N77" si="29">SUM(D78:D80)</f>
        <v>24176786.577193022</v>
      </c>
      <c r="E77" s="158">
        <f t="shared" si="29"/>
        <v>138132.78742618012</v>
      </c>
      <c r="F77" s="158">
        <f t="shared" si="29"/>
        <v>942619.69127885951</v>
      </c>
      <c r="G77" s="158">
        <f t="shared" si="29"/>
        <v>3131369.7459623497</v>
      </c>
      <c r="H77" s="158">
        <f t="shared" ref="H77" si="30">SUM(H78:H80)</f>
        <v>110423.20458383371</v>
      </c>
      <c r="I77" s="158">
        <f t="shared" si="29"/>
        <v>0</v>
      </c>
      <c r="J77" s="201">
        <f t="shared" si="29"/>
        <v>28499332.006444246</v>
      </c>
      <c r="K77" s="163">
        <f t="shared" si="29"/>
        <v>22313582.519999996</v>
      </c>
      <c r="L77" s="160">
        <f t="shared" si="29"/>
        <v>429283.24108151346</v>
      </c>
      <c r="M77" s="160">
        <f t="shared" si="29"/>
        <v>7270520</v>
      </c>
      <c r="N77" s="162">
        <f t="shared" si="29"/>
        <v>30013385.761081509</v>
      </c>
      <c r="O77" s="230">
        <f t="shared" si="20"/>
        <v>-1514053.7546372637</v>
      </c>
      <c r="P77" s="233">
        <f t="shared" si="21"/>
        <v>0.9495540500931906</v>
      </c>
    </row>
    <row r="78" spans="1:16" x14ac:dyDescent="0.25">
      <c r="A78" s="153">
        <v>2028</v>
      </c>
      <c r="C78" s="149" t="s">
        <v>22</v>
      </c>
      <c r="D78" s="165">
        <f>SUMIFS('All Measure &amp; TRC+ Calc'!AT:AT,'All Measure &amp; TRC+ Calc'!$D:$D,$C78,'All Measure &amp; TRC+ Calc'!$B:$B,D$52)</f>
        <v>13117354.642205654</v>
      </c>
      <c r="E78" s="165">
        <f>SUMIFS('All Measure &amp; TRC+ Calc'!AU:AU,'All Measure &amp; TRC+ Calc'!$D:$D,$C78,'All Measure &amp; TRC+ Calc'!$B:$B,E$52)</f>
        <v>138132.78742618012</v>
      </c>
      <c r="F78" s="165">
        <f>SUMIFS('All Measure &amp; TRC+ Calc'!AV:AV,'All Measure &amp; TRC+ Calc'!$D:$D,$C78,'All Measure &amp; TRC+ Calc'!$B:$B,F$52)</f>
        <v>307681.20474448719</v>
      </c>
      <c r="G78" s="165">
        <f>SUMIFS('All Measure &amp; TRC+ Calc'!AW:AW,'All Measure &amp; TRC+ Calc'!$D:$D,$C78,'All Measure &amp; TRC+ Calc'!$B:$B,G$52)</f>
        <v>886963.34389474022</v>
      </c>
      <c r="H78" s="165">
        <f>SUMIFS('All Measure &amp; TRC+ Calc'!AX:AX,'All Measure &amp; TRC+ Calc'!$D:$D,$C78,'All Measure &amp; TRC+ Calc'!$B:$B,H$52)</f>
        <v>0</v>
      </c>
      <c r="I78" s="166">
        <f>SUMIFS('All Measure &amp; TRC+ Calc'!AY:AY,'All Measure &amp; TRC+ Calc'!$D:$D,$C78,'All Measure &amp; TRC+ Calc'!$B:$B,$A78)</f>
        <v>0</v>
      </c>
      <c r="J78" s="191">
        <f>SUMIFS('All Measure &amp; TRC+ Calc'!BF:BF,'All Measure &amp; TRC+ Calc'!$D:$D,$C78,'All Measure &amp; TRC+ Calc'!$B:$B,$A78)</f>
        <v>14450131.97827106</v>
      </c>
      <c r="K78" s="167">
        <f>SUMIFS('All Measure &amp; TRC+ Calc'!AQ:AQ,'All Measure &amp; TRC+ Calc'!$D:$D,$C78,'All Measure &amp; TRC+ Calc'!$B:$B,K$52)</f>
        <v>13256512.519999998</v>
      </c>
      <c r="L78" s="164">
        <f>SUMIFS('All Measure &amp; TRC+ Calc'!BG:BG,'All Measure &amp; TRC+ Calc'!$D:$D,$C78,'All Measure &amp; TRC+ Calc'!$B:$B,$A78)-K78</f>
        <v>0</v>
      </c>
      <c r="M78" s="164">
        <f>SUMIFS(Budget!$E:$E,Budget!$C:$C,$C78,Budget!$D:$D,"&lt;&gt;Incentives",Budget!$A:$A,M$52)</f>
        <v>4032425</v>
      </c>
      <c r="N78" s="168">
        <f>SUM(K78:M78)</f>
        <v>17288937.519999996</v>
      </c>
      <c r="O78" s="231">
        <f t="shared" si="20"/>
        <v>-2838805.5417289361</v>
      </c>
      <c r="P78" s="234">
        <f t="shared" si="21"/>
        <v>0.83580219788260668</v>
      </c>
    </row>
    <row r="79" spans="1:16" x14ac:dyDescent="0.25">
      <c r="A79" s="153">
        <v>2028</v>
      </c>
      <c r="C79" s="149" t="s">
        <v>21</v>
      </c>
      <c r="D79" s="165">
        <f>SUMIFS('All Measure &amp; TRC+ Calc'!AT:AT,'All Measure &amp; TRC+ Calc'!$D:$D,$C79,'All Measure &amp; TRC+ Calc'!$B:$B,D$52)</f>
        <v>11059431.93498737</v>
      </c>
      <c r="E79" s="165">
        <f>SUMIFS('All Measure &amp; TRC+ Calc'!AU:AU,'All Measure &amp; TRC+ Calc'!$D:$D,$C79,'All Measure &amp; TRC+ Calc'!$B:$B,E$52)</f>
        <v>0</v>
      </c>
      <c r="F79" s="165">
        <f>SUMIFS('All Measure &amp; TRC+ Calc'!AV:AV,'All Measure &amp; TRC+ Calc'!$D:$D,$C79,'All Measure &amp; TRC+ Calc'!$B:$B,F$52)</f>
        <v>634938.48653437232</v>
      </c>
      <c r="G79" s="165">
        <f>SUMIFS('All Measure &amp; TRC+ Calc'!AW:AW,'All Measure &amp; TRC+ Calc'!$D:$D,$C79,'All Measure &amp; TRC+ Calc'!$B:$B,G$52)</f>
        <v>2244406.4020676096</v>
      </c>
      <c r="H79" s="165">
        <f>SUMIFS('All Measure &amp; TRC+ Calc'!AX:AX,'All Measure &amp; TRC+ Calc'!$D:$D,$C79,'All Measure &amp; TRC+ Calc'!$B:$B,H$52)</f>
        <v>110423.20458383371</v>
      </c>
      <c r="I79" s="166">
        <f>SUMIFS('All Measure &amp; TRC+ Calc'!AY:AY,'All Measure &amp; TRC+ Calc'!$D:$D,$C79,'All Measure &amp; TRC+ Calc'!$B:$B,$A79)</f>
        <v>0</v>
      </c>
      <c r="J79" s="191">
        <f>SUMIFS('All Measure &amp; TRC+ Calc'!BF:BF,'All Measure &amp; TRC+ Calc'!$D:$D,$C79,'All Measure &amp; TRC+ Calc'!$B:$B,$A79)</f>
        <v>14049200.028173188</v>
      </c>
      <c r="K79" s="167">
        <f>SUMIFS('All Measure &amp; TRC+ Calc'!AQ:AQ,'All Measure &amp; TRC+ Calc'!$D:$D,$C79,'All Measure &amp; TRC+ Calc'!$B:$B,K$52)</f>
        <v>9057070</v>
      </c>
      <c r="L79" s="164">
        <f>SUMIFS('All Measure &amp; TRC+ Calc'!BG:BG,'All Measure &amp; TRC+ Calc'!$D:$D,$C79,'All Measure &amp; TRC+ Calc'!$B:$B,$A79)-K79</f>
        <v>429283.24108151346</v>
      </c>
      <c r="M79" s="164">
        <f>SUMIFS(Budget!$E:$E,Budget!$C:$C,$C79,Budget!$D:$D,"&lt;&gt;Incentives",Budget!$A:$A,M$52)</f>
        <v>1368134</v>
      </c>
      <c r="N79" s="168">
        <f>SUM(K79:M79)</f>
        <v>10854487.241081513</v>
      </c>
      <c r="O79" s="231">
        <f t="shared" si="20"/>
        <v>3194712.7870916743</v>
      </c>
      <c r="P79" s="234">
        <f t="shared" si="21"/>
        <v>1.2943218519803024</v>
      </c>
    </row>
    <row r="80" spans="1:16" x14ac:dyDescent="0.25">
      <c r="A80" s="153">
        <v>2028</v>
      </c>
      <c r="C80" s="149" t="s">
        <v>23</v>
      </c>
      <c r="D80" s="169">
        <v>0</v>
      </c>
      <c r="E80" s="169">
        <v>0</v>
      </c>
      <c r="F80" s="169">
        <v>0</v>
      </c>
      <c r="G80" s="169">
        <v>0</v>
      </c>
      <c r="H80" s="169">
        <v>0</v>
      </c>
      <c r="I80" s="169">
        <v>0</v>
      </c>
      <c r="J80" s="197">
        <v>0</v>
      </c>
      <c r="K80" s="171">
        <v>0</v>
      </c>
      <c r="L80" s="170">
        <v>0</v>
      </c>
      <c r="M80" s="164">
        <f>SUMIFS(Budget!$E:$E,Budget!$C:$C,$C80,Budget!$D:$D,"&lt;&gt;Incentives",Budget!$A:$A,M$52)</f>
        <v>1869961</v>
      </c>
      <c r="N80" s="168">
        <f>SUM(K80:M80)</f>
        <v>1869961</v>
      </c>
      <c r="O80" s="231">
        <f t="shared" si="20"/>
        <v>-1869961</v>
      </c>
      <c r="P80" s="235">
        <f t="shared" si="21"/>
        <v>0</v>
      </c>
    </row>
    <row r="81" spans="1:16" x14ac:dyDescent="0.25">
      <c r="A81" s="153">
        <v>2028</v>
      </c>
      <c r="C81" s="150" t="s">
        <v>140</v>
      </c>
      <c r="D81" s="158">
        <f t="shared" ref="D81:N81" si="31">SUM(D82:D83)</f>
        <v>57151753.009904079</v>
      </c>
      <c r="E81" s="158">
        <f t="shared" si="31"/>
        <v>340358.85341410973</v>
      </c>
      <c r="F81" s="158">
        <f t="shared" si="31"/>
        <v>282723.86890791048</v>
      </c>
      <c r="G81" s="158">
        <f t="shared" si="31"/>
        <v>208109.56789132653</v>
      </c>
      <c r="H81" s="158">
        <f t="shared" ref="H81" si="32">SUM(H82:H83)</f>
        <v>0</v>
      </c>
      <c r="I81" s="158">
        <f t="shared" si="31"/>
        <v>0</v>
      </c>
      <c r="J81" s="201">
        <f t="shared" si="31"/>
        <v>57982945.300117433</v>
      </c>
      <c r="K81" s="163">
        <f t="shared" si="31"/>
        <v>9799016.5426378585</v>
      </c>
      <c r="L81" s="160">
        <f t="shared" si="31"/>
        <v>0</v>
      </c>
      <c r="M81" s="160">
        <f t="shared" si="31"/>
        <v>306121</v>
      </c>
      <c r="N81" s="162">
        <f t="shared" si="31"/>
        <v>10105137.542637859</v>
      </c>
      <c r="O81" s="230">
        <f t="shared" si="20"/>
        <v>47877807.757479578</v>
      </c>
      <c r="P81" s="233">
        <f t="shared" si="21"/>
        <v>5.7379669554682273</v>
      </c>
    </row>
    <row r="82" spans="1:16" x14ac:dyDescent="0.25">
      <c r="A82" s="153">
        <v>2028</v>
      </c>
      <c r="C82" s="149" t="s">
        <v>27</v>
      </c>
      <c r="D82" s="165">
        <f>SUMIFS('All Measure &amp; TRC+ Calc'!AT:AT,'All Measure &amp; TRC+ Calc'!$D:$D,$C82,'All Measure &amp; TRC+ Calc'!$B:$B,D$52)</f>
        <v>57151753.009904079</v>
      </c>
      <c r="E82" s="165">
        <f>SUMIFS('All Measure &amp; TRC+ Calc'!AU:AU,'All Measure &amp; TRC+ Calc'!$D:$D,$C82,'All Measure &amp; TRC+ Calc'!$B:$B,E$52)</f>
        <v>340358.85341410973</v>
      </c>
      <c r="F82" s="165">
        <f>SUMIFS('All Measure &amp; TRC+ Calc'!AV:AV,'All Measure &amp; TRC+ Calc'!$D:$D,$C82,'All Measure &amp; TRC+ Calc'!$B:$B,F$52)</f>
        <v>282723.86890791048</v>
      </c>
      <c r="G82" s="165">
        <f>SUMIFS('All Measure &amp; TRC+ Calc'!AW:AW,'All Measure &amp; TRC+ Calc'!$D:$D,$C82,'All Measure &amp; TRC+ Calc'!$B:$B,G$52)</f>
        <v>208109.56789132653</v>
      </c>
      <c r="H82" s="165">
        <f>SUMIFS('All Measure &amp; TRC+ Calc'!AX:AX,'All Measure &amp; TRC+ Calc'!$D:$D,$C82,'All Measure &amp; TRC+ Calc'!$B:$B,H$52)</f>
        <v>0</v>
      </c>
      <c r="I82" s="166">
        <f>SUMIFS('All Measure &amp; TRC+ Calc'!AY:AY,'All Measure &amp; TRC+ Calc'!$D:$D,$C82,'All Measure &amp; TRC+ Calc'!$B:$B,$A82)</f>
        <v>0</v>
      </c>
      <c r="J82" s="191">
        <f>SUMIFS('All Measure &amp; TRC+ Calc'!BF:BF,'All Measure &amp; TRC+ Calc'!$D:$D,$C82,'All Measure &amp; TRC+ Calc'!$B:$B,$A82)</f>
        <v>57982945.300117433</v>
      </c>
      <c r="K82" s="167">
        <f>SUMIFS('All Measure &amp; TRC+ Calc'!AQ:AQ,'All Measure &amp; TRC+ Calc'!$D:$D,$C82,'All Measure &amp; TRC+ Calc'!$B:$B,K$52)</f>
        <v>9799016.5426378585</v>
      </c>
      <c r="L82" s="164">
        <f>SUMIFS('All Measure &amp; TRC+ Calc'!BG:BG,'All Measure &amp; TRC+ Calc'!$D:$D,$C82,'All Measure &amp; TRC+ Calc'!$B:$B,$A82)-K82</f>
        <v>0</v>
      </c>
      <c r="M82" s="164">
        <f>SUMIFS(Budget!$E:$E,Budget!$C:$C,$C82,Budget!$D:$D,"&lt;&gt;Incentives",Budget!$A:$A,M$52)</f>
        <v>25430</v>
      </c>
      <c r="N82" s="168">
        <f>SUM(K82:M82)</f>
        <v>9824446.5426378585</v>
      </c>
      <c r="O82" s="231">
        <f t="shared" si="20"/>
        <v>48158498.757479578</v>
      </c>
      <c r="P82" s="234">
        <f t="shared" si="21"/>
        <v>5.9019045040830402</v>
      </c>
    </row>
    <row r="83" spans="1:16" x14ac:dyDescent="0.25">
      <c r="A83" s="153">
        <v>2028</v>
      </c>
      <c r="C83" s="149" t="s">
        <v>28</v>
      </c>
      <c r="D83" s="169">
        <v>0</v>
      </c>
      <c r="E83" s="169">
        <v>0</v>
      </c>
      <c r="F83" s="169">
        <v>0</v>
      </c>
      <c r="G83" s="169">
        <v>0</v>
      </c>
      <c r="H83" s="169">
        <v>0</v>
      </c>
      <c r="I83" s="169">
        <v>0</v>
      </c>
      <c r="J83" s="197">
        <v>0</v>
      </c>
      <c r="K83" s="171">
        <v>0</v>
      </c>
      <c r="L83" s="170">
        <v>0</v>
      </c>
      <c r="M83" s="164">
        <f>SUMIFS(Budget!$E:$E,Budget!$C:$C,$C83,Budget!$D:$D,"&lt;&gt;Incentives",Budget!$A:$A,M$52)</f>
        <v>280691</v>
      </c>
      <c r="N83" s="168">
        <f>SUM(K83:M83)</f>
        <v>280691</v>
      </c>
      <c r="O83" s="231">
        <f t="shared" si="20"/>
        <v>-280691</v>
      </c>
      <c r="P83" s="235">
        <f t="shared" si="21"/>
        <v>0</v>
      </c>
    </row>
    <row r="84" spans="1:16" x14ac:dyDescent="0.25">
      <c r="A84" s="153">
        <v>2028</v>
      </c>
      <c r="C84" s="150" t="s">
        <v>187</v>
      </c>
      <c r="D84" s="237">
        <f t="shared" ref="D84" si="33">SUM(D85:D92)</f>
        <v>0</v>
      </c>
      <c r="E84" s="237">
        <f t="shared" ref="E84" si="34">SUM(E85:E92)</f>
        <v>0</v>
      </c>
      <c r="F84" s="237">
        <f t="shared" ref="F84" si="35">SUM(F85:F92)</f>
        <v>0</v>
      </c>
      <c r="G84" s="237">
        <f t="shared" ref="G84" si="36">SUM(G85:G92)</f>
        <v>0</v>
      </c>
      <c r="H84" s="237">
        <f t="shared" ref="H84" si="37">SUM(H85:H92)</f>
        <v>0</v>
      </c>
      <c r="I84" s="237">
        <f t="shared" ref="I84" si="38">SUM(I85:I92)</f>
        <v>0</v>
      </c>
      <c r="J84" s="206">
        <f t="shared" ref="J84" si="39">SUM(J85:J92)</f>
        <v>0</v>
      </c>
      <c r="K84" s="238">
        <f t="shared" ref="K84" si="40">SUM(K85:K92)</f>
        <v>0</v>
      </c>
      <c r="L84" s="239">
        <f t="shared" ref="L84" si="41">SUM(L85:L92)</f>
        <v>0</v>
      </c>
      <c r="M84" s="160">
        <f>SUM(M85:M92)</f>
        <v>17737784</v>
      </c>
      <c r="N84" s="162">
        <f>SUM(N85:N92)</f>
        <v>17737784</v>
      </c>
      <c r="O84" s="230">
        <f t="shared" si="20"/>
        <v>-17737784</v>
      </c>
      <c r="P84" s="233">
        <f t="shared" si="21"/>
        <v>0</v>
      </c>
    </row>
    <row r="85" spans="1:16" x14ac:dyDescent="0.25">
      <c r="A85" s="153">
        <v>2028</v>
      </c>
      <c r="C85" s="149" t="s">
        <v>30</v>
      </c>
      <c r="D85" s="169">
        <v>0</v>
      </c>
      <c r="E85" s="169">
        <v>0</v>
      </c>
      <c r="F85" s="169">
        <v>0</v>
      </c>
      <c r="G85" s="169">
        <v>0</v>
      </c>
      <c r="H85" s="169">
        <v>0</v>
      </c>
      <c r="I85" s="169">
        <v>0</v>
      </c>
      <c r="J85" s="197">
        <v>0</v>
      </c>
      <c r="K85" s="171">
        <v>0</v>
      </c>
      <c r="L85" s="170">
        <v>0</v>
      </c>
      <c r="M85" s="164">
        <f>SUMIFS(Budget!$E:$E,Budget!$C:$C,$C85,Budget!$D:$D,"&lt;&gt;Incentives",Budget!$A:$A,M$52)</f>
        <v>7836155</v>
      </c>
      <c r="N85" s="168">
        <f t="shared" ref="N85:N92" si="42">SUM(K85:M85)</f>
        <v>7836155</v>
      </c>
      <c r="O85" s="231">
        <f t="shared" si="20"/>
        <v>-7836155</v>
      </c>
      <c r="P85" s="235">
        <f t="shared" si="21"/>
        <v>0</v>
      </c>
    </row>
    <row r="86" spans="1:16" x14ac:dyDescent="0.25">
      <c r="A86" s="153">
        <v>2028</v>
      </c>
      <c r="C86" s="149" t="s">
        <v>32</v>
      </c>
      <c r="D86" s="169">
        <v>0</v>
      </c>
      <c r="E86" s="169">
        <v>0</v>
      </c>
      <c r="F86" s="169">
        <v>0</v>
      </c>
      <c r="G86" s="169">
        <v>0</v>
      </c>
      <c r="H86" s="169">
        <v>0</v>
      </c>
      <c r="I86" s="169">
        <v>0</v>
      </c>
      <c r="J86" s="197">
        <v>0</v>
      </c>
      <c r="K86" s="171">
        <v>0</v>
      </c>
      <c r="L86" s="170">
        <v>0</v>
      </c>
      <c r="M86" s="164">
        <f>SUMIFS(Budget!$E:$E,Budget!$C:$C,$C86,Budget!$D:$D,"&lt;&gt;Incentives",Budget!$A:$A,M$52)</f>
        <v>1406788</v>
      </c>
      <c r="N86" s="168">
        <f t="shared" si="42"/>
        <v>1406788</v>
      </c>
      <c r="O86" s="231">
        <f t="shared" si="20"/>
        <v>-1406788</v>
      </c>
      <c r="P86" s="235">
        <f t="shared" si="21"/>
        <v>0</v>
      </c>
    </row>
    <row r="87" spans="1:16" x14ac:dyDescent="0.25">
      <c r="A87" s="153">
        <v>2028</v>
      </c>
      <c r="C87" s="149" t="s">
        <v>177</v>
      </c>
      <c r="D87" s="169">
        <v>0</v>
      </c>
      <c r="E87" s="169">
        <v>0</v>
      </c>
      <c r="F87" s="169">
        <v>0</v>
      </c>
      <c r="G87" s="169">
        <v>0</v>
      </c>
      <c r="H87" s="169">
        <v>0</v>
      </c>
      <c r="I87" s="169">
        <v>0</v>
      </c>
      <c r="J87" s="197">
        <v>0</v>
      </c>
      <c r="K87" s="171">
        <v>0</v>
      </c>
      <c r="L87" s="170">
        <v>0</v>
      </c>
      <c r="M87" s="164">
        <f>SUMIFS(Budget!$E:$E,Budget!$C:$C,$C87,Budget!$D:$D,"&lt;&gt;Incentives",Budget!$A:$A,M$52)</f>
        <v>620492</v>
      </c>
      <c r="N87" s="168">
        <f t="shared" si="42"/>
        <v>620492</v>
      </c>
      <c r="O87" s="231">
        <f t="shared" si="20"/>
        <v>-620492</v>
      </c>
      <c r="P87" s="235">
        <f t="shared" si="21"/>
        <v>0</v>
      </c>
    </row>
    <row r="88" spans="1:16" x14ac:dyDescent="0.25">
      <c r="A88" s="153">
        <v>2028</v>
      </c>
      <c r="C88" s="149" t="s">
        <v>34</v>
      </c>
      <c r="D88" s="169">
        <v>0</v>
      </c>
      <c r="E88" s="169">
        <v>0</v>
      </c>
      <c r="F88" s="169">
        <v>0</v>
      </c>
      <c r="G88" s="169">
        <v>0</v>
      </c>
      <c r="H88" s="169">
        <v>0</v>
      </c>
      <c r="I88" s="169">
        <v>0</v>
      </c>
      <c r="J88" s="197">
        <v>0</v>
      </c>
      <c r="K88" s="171">
        <v>0</v>
      </c>
      <c r="L88" s="170">
        <v>0</v>
      </c>
      <c r="M88" s="164">
        <f>SUMIFS(Budget!$E:$E,Budget!$C:$C,$C88,Budget!$D:$D,"&lt;&gt;Incentives",Budget!$A:$A,M$52)</f>
        <v>3153320</v>
      </c>
      <c r="N88" s="168">
        <f t="shared" si="42"/>
        <v>3153320</v>
      </c>
      <c r="O88" s="231">
        <f t="shared" si="20"/>
        <v>-3153320</v>
      </c>
      <c r="P88" s="235">
        <f t="shared" si="21"/>
        <v>0</v>
      </c>
    </row>
    <row r="89" spans="1:16" x14ac:dyDescent="0.25">
      <c r="A89" s="153">
        <v>2028</v>
      </c>
      <c r="C89" s="149" t="s">
        <v>36</v>
      </c>
      <c r="D89" s="169">
        <v>0</v>
      </c>
      <c r="E89" s="169">
        <v>0</v>
      </c>
      <c r="F89" s="169">
        <v>0</v>
      </c>
      <c r="G89" s="169">
        <v>0</v>
      </c>
      <c r="H89" s="169">
        <v>0</v>
      </c>
      <c r="I89" s="169">
        <v>0</v>
      </c>
      <c r="J89" s="197">
        <v>0</v>
      </c>
      <c r="K89" s="171">
        <v>0</v>
      </c>
      <c r="L89" s="170">
        <v>0</v>
      </c>
      <c r="M89" s="164">
        <f>SUMIFS(Budget!$E:$E,Budget!$C:$C,$C89,Budget!$D:$D,"&lt;&gt;Incentives",Budget!$A:$A,M$52)</f>
        <v>842242</v>
      </c>
      <c r="N89" s="168">
        <f t="shared" si="42"/>
        <v>842242</v>
      </c>
      <c r="O89" s="231">
        <f t="shared" si="20"/>
        <v>-842242</v>
      </c>
      <c r="P89" s="235">
        <f t="shared" si="21"/>
        <v>0</v>
      </c>
    </row>
    <row r="90" spans="1:16" x14ac:dyDescent="0.25">
      <c r="A90" s="153">
        <v>2028</v>
      </c>
      <c r="C90" s="149" t="s">
        <v>35</v>
      </c>
      <c r="D90" s="169">
        <v>0</v>
      </c>
      <c r="E90" s="169">
        <v>0</v>
      </c>
      <c r="F90" s="169">
        <v>0</v>
      </c>
      <c r="G90" s="169">
        <v>0</v>
      </c>
      <c r="H90" s="169">
        <v>0</v>
      </c>
      <c r="I90" s="169">
        <v>0</v>
      </c>
      <c r="J90" s="197">
        <v>0</v>
      </c>
      <c r="K90" s="171">
        <v>0</v>
      </c>
      <c r="L90" s="170">
        <v>0</v>
      </c>
      <c r="M90" s="164">
        <f>SUMIFS(Budget!$E:$E,Budget!$C:$C,$C90,Budget!$D:$D,"&lt;&gt;Incentives",Budget!$A:$A,M$52)</f>
        <v>600148</v>
      </c>
      <c r="N90" s="168">
        <f t="shared" si="42"/>
        <v>600148</v>
      </c>
      <c r="O90" s="231">
        <f t="shared" si="20"/>
        <v>-600148</v>
      </c>
      <c r="P90" s="235">
        <f t="shared" si="21"/>
        <v>0</v>
      </c>
    </row>
    <row r="91" spans="1:16" x14ac:dyDescent="0.25">
      <c r="A91" s="153">
        <v>2028</v>
      </c>
      <c r="C91" s="149" t="s">
        <v>38</v>
      </c>
      <c r="D91" s="169">
        <v>0</v>
      </c>
      <c r="E91" s="169">
        <v>0</v>
      </c>
      <c r="F91" s="169">
        <v>0</v>
      </c>
      <c r="G91" s="169">
        <v>0</v>
      </c>
      <c r="H91" s="169">
        <v>0</v>
      </c>
      <c r="I91" s="169">
        <v>0</v>
      </c>
      <c r="J91" s="197">
        <v>0</v>
      </c>
      <c r="K91" s="171">
        <v>0</v>
      </c>
      <c r="L91" s="170">
        <v>0</v>
      </c>
      <c r="M91" s="164">
        <f>SUMIFS(Budget!$E:$E,Budget!$C:$C,$C91,Budget!$D:$D,"&lt;&gt;Incentives",Budget!$A:$A,M$52)</f>
        <v>3278639</v>
      </c>
      <c r="N91" s="168">
        <f t="shared" si="42"/>
        <v>3278639</v>
      </c>
      <c r="O91" s="231">
        <f t="shared" si="20"/>
        <v>-3278639</v>
      </c>
      <c r="P91" s="235">
        <f t="shared" si="21"/>
        <v>0</v>
      </c>
    </row>
    <row r="92" spans="1:16" ht="13.5" thickBot="1" x14ac:dyDescent="0.3">
      <c r="A92" s="153">
        <v>2028</v>
      </c>
      <c r="C92" s="207" t="s">
        <v>178</v>
      </c>
      <c r="D92" s="169">
        <v>0</v>
      </c>
      <c r="E92" s="169">
        <v>0</v>
      </c>
      <c r="F92" s="169">
        <v>0</v>
      </c>
      <c r="G92" s="169">
        <v>0</v>
      </c>
      <c r="H92" s="169">
        <v>0</v>
      </c>
      <c r="I92" s="169">
        <v>0</v>
      </c>
      <c r="J92" s="210">
        <v>0</v>
      </c>
      <c r="K92" s="171">
        <v>0</v>
      </c>
      <c r="L92" s="170">
        <v>0</v>
      </c>
      <c r="M92" s="164">
        <f>SUMIFS(Budget!$E:$E,Budget!$C:$C,$C92,Budget!$D:$D,"&lt;&gt;Incentives",Budget!$A:$A,M$52)</f>
        <v>0</v>
      </c>
      <c r="N92" s="168">
        <f t="shared" si="42"/>
        <v>0</v>
      </c>
      <c r="O92" s="232">
        <f t="shared" si="20"/>
        <v>0</v>
      </c>
      <c r="P92" s="236">
        <f t="shared" si="21"/>
        <v>0</v>
      </c>
    </row>
    <row r="93" spans="1:16" ht="13.5" thickTop="1" x14ac:dyDescent="0.25">
      <c r="A93" s="153">
        <v>2028</v>
      </c>
      <c r="C93" s="215" t="s">
        <v>131</v>
      </c>
      <c r="D93" s="216">
        <f t="shared" ref="D93:N93" si="43">SUM(D54,D62,D72,D77,D81,D84)</f>
        <v>532884838.97215462</v>
      </c>
      <c r="E93" s="216">
        <f t="shared" si="43"/>
        <v>2633978.1375571694</v>
      </c>
      <c r="F93" s="216">
        <f t="shared" si="43"/>
        <v>12660993.744998852</v>
      </c>
      <c r="G93" s="216">
        <f t="shared" si="43"/>
        <v>37279634.019255161</v>
      </c>
      <c r="H93" s="216">
        <f t="shared" si="43"/>
        <v>637898.87227266934</v>
      </c>
      <c r="I93" s="216">
        <f t="shared" si="43"/>
        <v>0</v>
      </c>
      <c r="J93" s="221">
        <f t="shared" si="43"/>
        <v>586097343.74623847</v>
      </c>
      <c r="K93" s="223">
        <f t="shared" si="43"/>
        <v>247047022.5308384</v>
      </c>
      <c r="L93" s="222">
        <f t="shared" si="43"/>
        <v>25956404.101656541</v>
      </c>
      <c r="M93" s="222">
        <f t="shared" si="43"/>
        <v>57256417</v>
      </c>
      <c r="N93" s="224">
        <f t="shared" si="43"/>
        <v>330259843.63249493</v>
      </c>
      <c r="O93" s="224">
        <f t="shared" si="20"/>
        <v>255837500.11374354</v>
      </c>
      <c r="P93" s="217">
        <f t="shared" si="21"/>
        <v>1.774655184535342</v>
      </c>
    </row>
    <row r="94" spans="1:16" x14ac:dyDescent="0.25">
      <c r="A94" s="153"/>
      <c r="F94" s="139"/>
      <c r="G94" s="139"/>
      <c r="H94" s="139"/>
    </row>
    <row r="95" spans="1:16" x14ac:dyDescent="0.25">
      <c r="A95" s="153"/>
    </row>
    <row r="96" spans="1:16" x14ac:dyDescent="0.25">
      <c r="A96" s="153"/>
    </row>
    <row r="97" spans="1:16" ht="16.5" thickBot="1" x14ac:dyDescent="0.3">
      <c r="A97" s="153"/>
      <c r="C97" s="220" t="s">
        <v>369</v>
      </c>
      <c r="D97" s="154"/>
      <c r="E97" s="155"/>
      <c r="F97" s="155"/>
      <c r="G97" s="155"/>
      <c r="H97" s="155"/>
      <c r="I97" s="155"/>
      <c r="J97" s="155"/>
    </row>
    <row r="98" spans="1:16" ht="13.5" thickTop="1" x14ac:dyDescent="0.25">
      <c r="A98" s="153"/>
    </row>
    <row r="99" spans="1:16" x14ac:dyDescent="0.25">
      <c r="A99" s="153"/>
      <c r="D99" s="396" t="s">
        <v>365</v>
      </c>
      <c r="E99" s="397"/>
      <c r="F99" s="397"/>
      <c r="G99" s="397"/>
      <c r="H99" s="397"/>
      <c r="I99" s="397"/>
      <c r="J99" s="398"/>
      <c r="K99" s="396" t="s">
        <v>179</v>
      </c>
      <c r="L99" s="397"/>
      <c r="M99" s="397"/>
      <c r="N99" s="398"/>
      <c r="O99" s="175" t="s">
        <v>31</v>
      </c>
      <c r="P99" s="175" t="s">
        <v>211</v>
      </c>
    </row>
    <row r="100" spans="1:16" x14ac:dyDescent="0.25">
      <c r="A100" s="153"/>
      <c r="D100" s="240">
        <v>2029</v>
      </c>
      <c r="E100" s="241">
        <f t="shared" ref="E100:P100" si="44">D100</f>
        <v>2029</v>
      </c>
      <c r="F100" s="241">
        <f t="shared" si="44"/>
        <v>2029</v>
      </c>
      <c r="G100" s="241">
        <f t="shared" si="44"/>
        <v>2029</v>
      </c>
      <c r="H100" s="241">
        <f t="shared" si="44"/>
        <v>2029</v>
      </c>
      <c r="I100" s="241">
        <f>G100</f>
        <v>2029</v>
      </c>
      <c r="J100" s="242">
        <f>I100</f>
        <v>2029</v>
      </c>
      <c r="K100" s="240">
        <f>J100</f>
        <v>2029</v>
      </c>
      <c r="L100" s="241">
        <f t="shared" si="44"/>
        <v>2029</v>
      </c>
      <c r="M100" s="241">
        <f t="shared" si="44"/>
        <v>2029</v>
      </c>
      <c r="N100" s="241">
        <f t="shared" si="44"/>
        <v>2029</v>
      </c>
      <c r="O100" s="243">
        <f t="shared" si="44"/>
        <v>2029</v>
      </c>
      <c r="P100" s="243">
        <f t="shared" si="44"/>
        <v>2029</v>
      </c>
    </row>
    <row r="101" spans="1:16" ht="38.25" x14ac:dyDescent="0.25">
      <c r="A101" s="153"/>
      <c r="C101" s="157"/>
      <c r="D101" s="225" t="s">
        <v>180</v>
      </c>
      <c r="E101" s="226" t="s">
        <v>181</v>
      </c>
      <c r="F101" s="226" t="s">
        <v>182</v>
      </c>
      <c r="G101" s="226" t="s">
        <v>188</v>
      </c>
      <c r="H101" s="226" t="s">
        <v>188</v>
      </c>
      <c r="I101" s="226" t="s">
        <v>183</v>
      </c>
      <c r="J101" s="228" t="s">
        <v>366</v>
      </c>
      <c r="K101" s="225" t="s">
        <v>184</v>
      </c>
      <c r="L101" s="226" t="s">
        <v>185</v>
      </c>
      <c r="M101" s="226" t="s">
        <v>155</v>
      </c>
      <c r="N101" s="227" t="s">
        <v>186</v>
      </c>
      <c r="O101" s="229" t="s">
        <v>368</v>
      </c>
      <c r="P101" s="229" t="s">
        <v>211</v>
      </c>
    </row>
    <row r="102" spans="1:16" x14ac:dyDescent="0.25">
      <c r="A102" s="153">
        <v>2029</v>
      </c>
      <c r="C102" s="182" t="s">
        <v>135</v>
      </c>
      <c r="D102" s="158">
        <f t="shared" ref="D102:N102" si="45">SUM(D103:D109)</f>
        <v>98618450.887555152</v>
      </c>
      <c r="E102" s="158">
        <f t="shared" si="45"/>
        <v>0</v>
      </c>
      <c r="F102" s="158">
        <f t="shared" si="45"/>
        <v>4648022.7764580743</v>
      </c>
      <c r="G102" s="158">
        <f t="shared" si="45"/>
        <v>22357959.115763027</v>
      </c>
      <c r="H102" s="158">
        <f t="shared" si="45"/>
        <v>99711.550933685299</v>
      </c>
      <c r="I102" s="158">
        <f t="shared" si="45"/>
        <v>0</v>
      </c>
      <c r="J102" s="201">
        <f t="shared" si="45"/>
        <v>125724144.33070993</v>
      </c>
      <c r="K102" s="161">
        <f t="shared" si="45"/>
        <v>95870018</v>
      </c>
      <c r="L102" s="160">
        <f t="shared" si="45"/>
        <v>17015373.271940164</v>
      </c>
      <c r="M102" s="160">
        <f t="shared" si="45"/>
        <v>14998577</v>
      </c>
      <c r="N102" s="162">
        <f t="shared" si="45"/>
        <v>127883968.27194017</v>
      </c>
      <c r="O102" s="230">
        <f t="shared" ref="O102:O141" si="46">J102-N102</f>
        <v>-2159823.9412302375</v>
      </c>
      <c r="P102" s="233">
        <f t="shared" ref="P102:P141" si="47">IFERROR(J102/N102,0)</f>
        <v>0.98311106567605522</v>
      </c>
    </row>
    <row r="103" spans="1:16" x14ac:dyDescent="0.25">
      <c r="A103" s="153">
        <v>2029</v>
      </c>
      <c r="C103" s="149" t="s">
        <v>159</v>
      </c>
      <c r="D103" s="165">
        <f>SUMIFS('All Measure &amp; TRC+ Calc'!AT:AT,'All Measure &amp; TRC+ Calc'!$D:$D,$C103,'All Measure &amp; TRC+ Calc'!$B:$B,D$100)</f>
        <v>23507613.323524244</v>
      </c>
      <c r="E103" s="165">
        <f>SUMIFS('All Measure &amp; TRC+ Calc'!AU:AU,'All Measure &amp; TRC+ Calc'!$D:$D,$C103,'All Measure &amp; TRC+ Calc'!$B:$B,E$100)</f>
        <v>0</v>
      </c>
      <c r="F103" s="165">
        <f>SUMIFS('All Measure &amp; TRC+ Calc'!AV:AV,'All Measure &amp; TRC+ Calc'!$D:$D,$C103,'All Measure &amp; TRC+ Calc'!$B:$B,F$100)</f>
        <v>197534.63288223496</v>
      </c>
      <c r="G103" s="165">
        <f>SUMIFS('All Measure &amp; TRC+ Calc'!AW:AW,'All Measure &amp; TRC+ Calc'!$D:$D,$C103,'All Measure &amp; TRC+ Calc'!$B:$B,G$100)</f>
        <v>192231.20093487011</v>
      </c>
      <c r="H103" s="165">
        <f>SUMIFS('All Measure &amp; TRC+ Calc'!AX:AX,'All Measure &amp; TRC+ Calc'!$D:$D,$C103,'All Measure &amp; TRC+ Calc'!$B:$B,H$100)</f>
        <v>24364.096122135248</v>
      </c>
      <c r="I103" s="166">
        <f>SUMIFS('All Measure &amp; TRC+ Calc'!AY:AY,'All Measure &amp; TRC+ Calc'!$D:$D,$C103,'All Measure &amp; TRC+ Calc'!$B:$B,$A103)</f>
        <v>0</v>
      </c>
      <c r="J103" s="191">
        <f>SUMIFS('All Measure &amp; TRC+ Calc'!BF:BF,'All Measure &amp; TRC+ Calc'!$D:$D,$C103,'All Measure &amp; TRC+ Calc'!$B:$B,$A103)</f>
        <v>23921743.253463481</v>
      </c>
      <c r="K103" s="167">
        <f>SUMIFS('All Measure &amp; TRC+ Calc'!AQ:AQ,'All Measure &amp; TRC+ Calc'!$D:$D,$C103,'All Measure &amp; TRC+ Calc'!$B:$B,K$100)</f>
        <v>36001263.600000001</v>
      </c>
      <c r="L103" s="164">
        <f>SUMIFS('All Measure &amp; TRC+ Calc'!BG:BG,'All Measure &amp; TRC+ Calc'!$D:$D,$C103,'All Measure &amp; TRC+ Calc'!$B:$B,$A103)-K103</f>
        <v>0</v>
      </c>
      <c r="M103" s="164">
        <f>SUMIFS(Budget!$E:$E,Budget!$C:$C,$C103,Budget!$D:$D,"&lt;&gt;Incentives",Budget!$A:$A,M$100)</f>
        <v>1919361</v>
      </c>
      <c r="N103" s="168">
        <f t="shared" ref="N103:N109" si="48">SUM(K103:M103)</f>
        <v>37920624.600000001</v>
      </c>
      <c r="O103" s="231">
        <f t="shared" si="46"/>
        <v>-13998881.346536521</v>
      </c>
      <c r="P103" s="234">
        <f t="shared" si="47"/>
        <v>0.63083726878969915</v>
      </c>
    </row>
    <row r="104" spans="1:16" x14ac:dyDescent="0.25">
      <c r="A104" s="153">
        <v>2029</v>
      </c>
      <c r="C104" s="149" t="s">
        <v>130</v>
      </c>
      <c r="D104" s="165">
        <f>SUMIFS('All Measure &amp; TRC+ Calc'!AT:AT,'All Measure &amp; TRC+ Calc'!$D:$D,$C104,'All Measure &amp; TRC+ Calc'!$B:$B,D$100)</f>
        <v>29575545.798138961</v>
      </c>
      <c r="E104" s="165">
        <f>SUMIFS('All Measure &amp; TRC+ Calc'!AU:AU,'All Measure &amp; TRC+ Calc'!$D:$D,$C104,'All Measure &amp; TRC+ Calc'!$B:$B,E$100)</f>
        <v>0</v>
      </c>
      <c r="F104" s="165">
        <f>SUMIFS('All Measure &amp; TRC+ Calc'!AV:AV,'All Measure &amp; TRC+ Calc'!$D:$D,$C104,'All Measure &amp; TRC+ Calc'!$B:$B,F$100)</f>
        <v>1010801.83964101</v>
      </c>
      <c r="G104" s="165">
        <f>SUMIFS('All Measure &amp; TRC+ Calc'!AW:AW,'All Measure &amp; TRC+ Calc'!$D:$D,$C104,'All Measure &amp; TRC+ Calc'!$B:$B,G$100)</f>
        <v>5291853.4673442077</v>
      </c>
      <c r="H104" s="165">
        <f>SUMIFS('All Measure &amp; TRC+ Calc'!AX:AX,'All Measure &amp; TRC+ Calc'!$D:$D,$C104,'All Measure &amp; TRC+ Calc'!$B:$B,H$100)</f>
        <v>54679.323910947773</v>
      </c>
      <c r="I104" s="166">
        <f>SUMIFS('All Measure &amp; TRC+ Calc'!AY:AY,'All Measure &amp; TRC+ Calc'!$D:$D,$C104,'All Measure &amp; TRC+ Calc'!$B:$B,$A104)</f>
        <v>0</v>
      </c>
      <c r="J104" s="191">
        <f>SUMIFS('All Measure &amp; TRC+ Calc'!BF:BF,'All Measure &amp; TRC+ Calc'!$D:$D,$C104,'All Measure &amp; TRC+ Calc'!$B:$B,$A104)</f>
        <v>35932880.429035127</v>
      </c>
      <c r="K104" s="167">
        <f>SUMIFS('All Measure &amp; TRC+ Calc'!AQ:AQ,'All Measure &amp; TRC+ Calc'!$D:$D,$C104,'All Measure &amp; TRC+ Calc'!$B:$B,K$100)</f>
        <v>27020400</v>
      </c>
      <c r="L104" s="164">
        <f>SUMIFS('All Measure &amp; TRC+ Calc'!BG:BG,'All Measure &amp; TRC+ Calc'!$D:$D,$C104,'All Measure &amp; TRC+ Calc'!$B:$B,$A104)-K104</f>
        <v>0</v>
      </c>
      <c r="M104" s="164">
        <f>SUMIFS(Budget!$E:$E,Budget!$C:$C,$C104,Budget!$D:$D,"&lt;&gt;Incentives",Budget!$A:$A,M$100)</f>
        <v>2112642</v>
      </c>
      <c r="N104" s="168">
        <f t="shared" si="48"/>
        <v>29133042</v>
      </c>
      <c r="O104" s="231">
        <f t="shared" si="46"/>
        <v>6799838.4290351272</v>
      </c>
      <c r="P104" s="234">
        <f t="shared" si="47"/>
        <v>1.2334063991338469</v>
      </c>
    </row>
    <row r="105" spans="1:16" x14ac:dyDescent="0.25">
      <c r="A105" s="153">
        <v>2029</v>
      </c>
      <c r="C105" s="149" t="s">
        <v>333</v>
      </c>
      <c r="D105" s="165">
        <f>SUMIFS('All Measure &amp; TRC+ Calc'!AT:AT,'All Measure &amp; TRC+ Calc'!$D:$D,$C105,'All Measure &amp; TRC+ Calc'!$B:$B,D$100)</f>
        <v>20790925.378538962</v>
      </c>
      <c r="E105" s="165">
        <f>SUMIFS('All Measure &amp; TRC+ Calc'!AU:AU,'All Measure &amp; TRC+ Calc'!$D:$D,$C105,'All Measure &amp; TRC+ Calc'!$B:$B,E$100)</f>
        <v>0</v>
      </c>
      <c r="F105" s="165">
        <f>SUMIFS('All Measure &amp; TRC+ Calc'!AV:AV,'All Measure &amp; TRC+ Calc'!$D:$D,$C105,'All Measure &amp; TRC+ Calc'!$B:$B,F$100)</f>
        <v>0</v>
      </c>
      <c r="G105" s="165">
        <f>SUMIFS('All Measure &amp; TRC+ Calc'!AW:AW,'All Measure &amp; TRC+ Calc'!$D:$D,$C105,'All Measure &amp; TRC+ Calc'!$B:$B,G$100)</f>
        <v>5903094.2515463922</v>
      </c>
      <c r="H105" s="165">
        <f>SUMIFS('All Measure &amp; TRC+ Calc'!AX:AX,'All Measure &amp; TRC+ Calc'!$D:$D,$C105,'All Measure &amp; TRC+ Calc'!$B:$B,H$100)</f>
        <v>0</v>
      </c>
      <c r="I105" s="166">
        <f>SUMIFS('All Measure &amp; TRC+ Calc'!AY:AY,'All Measure &amp; TRC+ Calc'!$D:$D,$C105,'All Measure &amp; TRC+ Calc'!$B:$B,$A105)</f>
        <v>0</v>
      </c>
      <c r="J105" s="191">
        <f>SUMIFS('All Measure &amp; TRC+ Calc'!BF:BF,'All Measure &amp; TRC+ Calc'!$D:$D,$C105,'All Measure &amp; TRC+ Calc'!$B:$B,$A105)</f>
        <v>26694019.630085353</v>
      </c>
      <c r="K105" s="167">
        <f>SUMIFS('All Measure &amp; TRC+ Calc'!AQ:AQ,'All Measure &amp; TRC+ Calc'!$D:$D,$C105,'All Measure &amp; TRC+ Calc'!$B:$B,K$100)</f>
        <v>17361786.399999999</v>
      </c>
      <c r="L105" s="164">
        <f>SUMIFS('All Measure &amp; TRC+ Calc'!BG:BG,'All Measure &amp; TRC+ Calc'!$D:$D,$C105,'All Measure &amp; TRC+ Calc'!$B:$B,$A105)-K105</f>
        <v>17015373.271940164</v>
      </c>
      <c r="M105" s="164">
        <f>SUMIFS(Budget!$E:$E,Budget!$C:$C,$C105,Budget!$D:$D,"&lt;&gt;Incentives",Budget!$A:$A,M$100)</f>
        <v>1240290</v>
      </c>
      <c r="N105" s="168">
        <f t="shared" ref="N105" si="49">SUM(K105:M105)</f>
        <v>35617449.671940163</v>
      </c>
      <c r="O105" s="231">
        <f t="shared" si="46"/>
        <v>-8923430.04185481</v>
      </c>
      <c r="P105" s="234">
        <f t="shared" si="47"/>
        <v>0.74946465499227499</v>
      </c>
    </row>
    <row r="106" spans="1:16" x14ac:dyDescent="0.25">
      <c r="A106" s="153">
        <v>2029</v>
      </c>
      <c r="C106" s="149" t="s">
        <v>160</v>
      </c>
      <c r="D106" s="165">
        <f>SUMIFS('All Measure &amp; TRC+ Calc'!AT:AT,'All Measure &amp; TRC+ Calc'!$D:$D,$C106,'All Measure &amp; TRC+ Calc'!$B:$B,D$100)</f>
        <v>9610242.876641212</v>
      </c>
      <c r="E106" s="165">
        <f>SUMIFS('All Measure &amp; TRC+ Calc'!AU:AU,'All Measure &amp; TRC+ Calc'!$D:$D,$C106,'All Measure &amp; TRC+ Calc'!$B:$B,E$100)</f>
        <v>0</v>
      </c>
      <c r="F106" s="165">
        <f>SUMIFS('All Measure &amp; TRC+ Calc'!AV:AV,'All Measure &amp; TRC+ Calc'!$D:$D,$C106,'All Measure &amp; TRC+ Calc'!$B:$B,F$100)</f>
        <v>2233793.0337276338</v>
      </c>
      <c r="G106" s="165">
        <f>SUMIFS('All Measure &amp; TRC+ Calc'!AW:AW,'All Measure &amp; TRC+ Calc'!$D:$D,$C106,'All Measure &amp; TRC+ Calc'!$B:$B,G$100)</f>
        <v>7058014.0764447581</v>
      </c>
      <c r="H106" s="165">
        <f>SUMIFS('All Measure &amp; TRC+ Calc'!AX:AX,'All Measure &amp; TRC+ Calc'!$D:$D,$C106,'All Measure &amp; TRC+ Calc'!$B:$B,H$100)</f>
        <v>0</v>
      </c>
      <c r="I106" s="166">
        <f>SUMIFS('All Measure &amp; TRC+ Calc'!AY:AY,'All Measure &amp; TRC+ Calc'!$D:$D,$C106,'All Measure &amp; TRC+ Calc'!$B:$B,$A106)</f>
        <v>0</v>
      </c>
      <c r="J106" s="191">
        <f>SUMIFS('All Measure &amp; TRC+ Calc'!BF:BF,'All Measure &amp; TRC+ Calc'!$D:$D,$C106,'All Measure &amp; TRC+ Calc'!$B:$B,$A106)</f>
        <v>18902049.986813609</v>
      </c>
      <c r="K106" s="167">
        <f>SUMIFS('All Measure &amp; TRC+ Calc'!AQ:AQ,'All Measure &amp; TRC+ Calc'!$D:$D,$C106,'All Measure &amp; TRC+ Calc'!$B:$B,K$100)</f>
        <v>6543568.0000000009</v>
      </c>
      <c r="L106" s="164">
        <f>SUMIFS('All Measure &amp; TRC+ Calc'!BG:BG,'All Measure &amp; TRC+ Calc'!$D:$D,$C106,'All Measure &amp; TRC+ Calc'!$B:$B,$A106)-K106</f>
        <v>0</v>
      </c>
      <c r="M106" s="164">
        <f>SUMIFS(Budget!$E:$E,Budget!$C:$C,$C106,Budget!$D:$D,"&lt;&gt;Incentives",Budget!$A:$A,M$100)</f>
        <v>3002067</v>
      </c>
      <c r="N106" s="168">
        <f t="shared" si="48"/>
        <v>9545635</v>
      </c>
      <c r="O106" s="231">
        <f t="shared" si="46"/>
        <v>9356414.9868136086</v>
      </c>
      <c r="P106" s="234">
        <f t="shared" si="47"/>
        <v>1.980177325742458</v>
      </c>
    </row>
    <row r="107" spans="1:16" x14ac:dyDescent="0.25">
      <c r="A107" s="153">
        <v>2029</v>
      </c>
      <c r="C107" s="149" t="s">
        <v>161</v>
      </c>
      <c r="D107" s="165">
        <f>SUMIFS('All Measure &amp; TRC+ Calc'!AT:AT,'All Measure &amp; TRC+ Calc'!$D:$D,$C107,'All Measure &amp; TRC+ Calc'!$B:$B,D$100)</f>
        <v>13178973.801048152</v>
      </c>
      <c r="E107" s="165">
        <f>SUMIFS('All Measure &amp; TRC+ Calc'!AU:AU,'All Measure &amp; TRC+ Calc'!$D:$D,$C107,'All Measure &amp; TRC+ Calc'!$B:$B,E$100)</f>
        <v>0</v>
      </c>
      <c r="F107" s="165">
        <f>SUMIFS('All Measure &amp; TRC+ Calc'!AV:AV,'All Measure &amp; TRC+ Calc'!$D:$D,$C107,'All Measure &amp; TRC+ Calc'!$B:$B,F$100)</f>
        <v>948930.73941122391</v>
      </c>
      <c r="G107" s="165">
        <f>SUMIFS('All Measure &amp; TRC+ Calc'!AW:AW,'All Measure &amp; TRC+ Calc'!$D:$D,$C107,'All Measure &amp; TRC+ Calc'!$B:$B,G$100)</f>
        <v>3791338.2092322698</v>
      </c>
      <c r="H107" s="165">
        <f>SUMIFS('All Measure &amp; TRC+ Calc'!AX:AX,'All Measure &amp; TRC+ Calc'!$D:$D,$C107,'All Measure &amp; TRC+ Calc'!$B:$B,H$100)</f>
        <v>20668.130900602275</v>
      </c>
      <c r="I107" s="166">
        <f>SUMIFS('All Measure &amp; TRC+ Calc'!AY:AY,'All Measure &amp; TRC+ Calc'!$D:$D,$C107,'All Measure &amp; TRC+ Calc'!$B:$B,$A107)</f>
        <v>0</v>
      </c>
      <c r="J107" s="191">
        <f>SUMIFS('All Measure &amp; TRC+ Calc'!BF:BF,'All Measure &amp; TRC+ Calc'!$D:$D,$C107,'All Measure &amp; TRC+ Calc'!$B:$B,$A107)</f>
        <v>17939910.880592249</v>
      </c>
      <c r="K107" s="167">
        <f>SUMIFS('All Measure &amp; TRC+ Calc'!AQ:AQ,'All Measure &amp; TRC+ Calc'!$D:$D,$C107,'All Measure &amp; TRC+ Calc'!$B:$B,K$100)</f>
        <v>8943000</v>
      </c>
      <c r="L107" s="164">
        <f>SUMIFS('All Measure &amp; TRC+ Calc'!BG:BG,'All Measure &amp; TRC+ Calc'!$D:$D,$C107,'All Measure &amp; TRC+ Calc'!$B:$B,$A107)-K107</f>
        <v>0</v>
      </c>
      <c r="M107" s="164">
        <f>SUMIFS(Budget!$E:$E,Budget!$C:$C,$C107,Budget!$D:$D,"&lt;&gt;Incentives",Budget!$A:$A,M$100)</f>
        <v>1060563</v>
      </c>
      <c r="N107" s="168">
        <f t="shared" si="48"/>
        <v>10003563</v>
      </c>
      <c r="O107" s="231">
        <f t="shared" si="46"/>
        <v>7936347.8805922493</v>
      </c>
      <c r="P107" s="234">
        <f t="shared" si="47"/>
        <v>1.7933521167000448</v>
      </c>
    </row>
    <row r="108" spans="1:16" x14ac:dyDescent="0.25">
      <c r="A108" s="153">
        <v>2029</v>
      </c>
      <c r="C108" s="149" t="s">
        <v>162</v>
      </c>
      <c r="D108" s="165">
        <f>SUMIFS('All Measure &amp; TRC+ Calc'!AT:AT,'All Measure &amp; TRC+ Calc'!$D:$D,$C108,'All Measure &amp; TRC+ Calc'!$B:$B,D$100)</f>
        <v>1955149.7096636223</v>
      </c>
      <c r="E108" s="165">
        <f>SUMIFS('All Measure &amp; TRC+ Calc'!AU:AU,'All Measure &amp; TRC+ Calc'!$D:$D,$C108,'All Measure &amp; TRC+ Calc'!$B:$B,E$100)</f>
        <v>0</v>
      </c>
      <c r="F108" s="165">
        <f>SUMIFS('All Measure &amp; TRC+ Calc'!AV:AV,'All Measure &amp; TRC+ Calc'!$D:$D,$C108,'All Measure &amp; TRC+ Calc'!$B:$B,F$100)</f>
        <v>256962.53079597201</v>
      </c>
      <c r="G108" s="165">
        <f>SUMIFS('All Measure &amp; TRC+ Calc'!AW:AW,'All Measure &amp; TRC+ Calc'!$D:$D,$C108,'All Measure &amp; TRC+ Calc'!$B:$B,G$100)</f>
        <v>121427.91026052792</v>
      </c>
      <c r="H108" s="165">
        <f>SUMIFS('All Measure &amp; TRC+ Calc'!AX:AX,'All Measure &amp; TRC+ Calc'!$D:$D,$C108,'All Measure &amp; TRC+ Calc'!$B:$B,H$100)</f>
        <v>0</v>
      </c>
      <c r="I108" s="166">
        <f>SUMIFS('All Measure &amp; TRC+ Calc'!AY:AY,'All Measure &amp; TRC+ Calc'!$D:$D,$C108,'All Measure &amp; TRC+ Calc'!$B:$B,$A108)</f>
        <v>0</v>
      </c>
      <c r="J108" s="191">
        <f>SUMIFS('All Measure &amp; TRC+ Calc'!BF:BF,'All Measure &amp; TRC+ Calc'!$D:$D,$C108,'All Measure &amp; TRC+ Calc'!$B:$B,$A108)</f>
        <v>2333540.1507201223</v>
      </c>
      <c r="K108" s="167">
        <f>SUMIFS('All Measure &amp; TRC+ Calc'!AQ:AQ,'All Measure &amp; TRC+ Calc'!$D:$D,$C108,'All Measure &amp; TRC+ Calc'!$B:$B,K$100)</f>
        <v>0</v>
      </c>
      <c r="L108" s="164">
        <f>SUMIFS('All Measure &amp; TRC+ Calc'!BG:BG,'All Measure &amp; TRC+ Calc'!$D:$D,$C108,'All Measure &amp; TRC+ Calc'!$B:$B,$A108)-K108</f>
        <v>0</v>
      </c>
      <c r="M108" s="164">
        <f>SUMIFS(Budget!$E:$E,Budget!$C:$C,$C108,Budget!$D:$D,"&lt;&gt;Incentives",Budget!$A:$A,M$100)</f>
        <v>3000618</v>
      </c>
      <c r="N108" s="168">
        <f t="shared" si="48"/>
        <v>3000618</v>
      </c>
      <c r="O108" s="231">
        <f t="shared" si="46"/>
        <v>-667077.84927987773</v>
      </c>
      <c r="P108" s="234">
        <f t="shared" si="47"/>
        <v>0.77768651348492956</v>
      </c>
    </row>
    <row r="109" spans="1:16" x14ac:dyDescent="0.25">
      <c r="A109" s="153">
        <v>2029</v>
      </c>
      <c r="C109" s="149" t="s">
        <v>17</v>
      </c>
      <c r="D109" s="169">
        <v>0</v>
      </c>
      <c r="E109" s="169">
        <v>0</v>
      </c>
      <c r="F109" s="169">
        <v>0</v>
      </c>
      <c r="G109" s="169">
        <v>0</v>
      </c>
      <c r="H109" s="169">
        <v>0</v>
      </c>
      <c r="I109" s="169">
        <v>0</v>
      </c>
      <c r="J109" s="197">
        <v>0</v>
      </c>
      <c r="K109" s="171">
        <v>0</v>
      </c>
      <c r="L109" s="170">
        <v>0</v>
      </c>
      <c r="M109" s="164">
        <f>SUMIFS(Budget!$E:$E,Budget!$C:$C,$C109,Budget!$D:$D,"&lt;&gt;Incentives",Budget!$A:$A,M$100)</f>
        <v>2663036</v>
      </c>
      <c r="N109" s="168">
        <f t="shared" si="48"/>
        <v>2663036</v>
      </c>
      <c r="O109" s="231">
        <f t="shared" si="46"/>
        <v>-2663036</v>
      </c>
      <c r="P109" s="235">
        <f t="shared" si="47"/>
        <v>0</v>
      </c>
    </row>
    <row r="110" spans="1:16" x14ac:dyDescent="0.25">
      <c r="A110" s="153">
        <v>2029</v>
      </c>
      <c r="C110" s="150" t="s">
        <v>138</v>
      </c>
      <c r="D110" s="158">
        <f t="shared" ref="D110:N110" si="50">SUM(D111:D119)</f>
        <v>141746191.50745767</v>
      </c>
      <c r="E110" s="158">
        <f t="shared" si="50"/>
        <v>2377400.0365424482</v>
      </c>
      <c r="F110" s="158">
        <f t="shared" si="50"/>
        <v>7377532.7725561233</v>
      </c>
      <c r="G110" s="158">
        <f t="shared" si="50"/>
        <v>14359630.082589662</v>
      </c>
      <c r="H110" s="158">
        <f t="shared" ref="H110" si="51">SUM(H111:H119)</f>
        <v>912936.43992539565</v>
      </c>
      <c r="I110" s="158">
        <f t="shared" si="50"/>
        <v>0</v>
      </c>
      <c r="J110" s="201">
        <f t="shared" si="50"/>
        <v>166773690.8390713</v>
      </c>
      <c r="K110" s="163">
        <f t="shared" si="50"/>
        <v>75591913.640206829</v>
      </c>
      <c r="L110" s="160">
        <f t="shared" si="50"/>
        <v>12886408.272738431</v>
      </c>
      <c r="M110" s="160">
        <f t="shared" si="50"/>
        <v>11418416</v>
      </c>
      <c r="N110" s="162">
        <f t="shared" si="50"/>
        <v>99896737.912945256</v>
      </c>
      <c r="O110" s="230">
        <f t="shared" si="46"/>
        <v>66876952.926126048</v>
      </c>
      <c r="P110" s="233">
        <f t="shared" si="47"/>
        <v>1.6694608284847678</v>
      </c>
    </row>
    <row r="111" spans="1:16" x14ac:dyDescent="0.25">
      <c r="A111" s="153">
        <v>2029</v>
      </c>
      <c r="C111" s="149" t="s">
        <v>9</v>
      </c>
      <c r="D111" s="165">
        <f>SUMIFS('All Measure &amp; TRC+ Calc'!AT:AT,'All Measure &amp; TRC+ Calc'!$D:$D,$C111,'All Measure &amp; TRC+ Calc'!$B:$B,D$100)</f>
        <v>92239952.453455135</v>
      </c>
      <c r="E111" s="165">
        <f>SUMIFS('All Measure &amp; TRC+ Calc'!AU:AU,'All Measure &amp; TRC+ Calc'!$D:$D,$C111,'All Measure &amp; TRC+ Calc'!$B:$B,E$100)</f>
        <v>308302.35470071068</v>
      </c>
      <c r="F111" s="165">
        <f>SUMIFS('All Measure &amp; TRC+ Calc'!AV:AV,'All Measure &amp; TRC+ Calc'!$D:$D,$C111,'All Measure &amp; TRC+ Calc'!$B:$B,F$100)</f>
        <v>1736421.2736091535</v>
      </c>
      <c r="G111" s="165">
        <f>SUMIFS('All Measure &amp; TRC+ Calc'!AW:AW,'All Measure &amp; TRC+ Calc'!$D:$D,$C111,'All Measure &amp; TRC+ Calc'!$B:$B,G$100)</f>
        <v>5140029.5107732108</v>
      </c>
      <c r="H111" s="165">
        <f>SUMIFS('All Measure &amp; TRC+ Calc'!AX:AX,'All Measure &amp; TRC+ Calc'!$D:$D,$C111,'All Measure &amp; TRC+ Calc'!$B:$B,H$100)</f>
        <v>232524.53870038781</v>
      </c>
      <c r="I111" s="166">
        <f>SUMIFS('All Measure &amp; TRC+ Calc'!AY:AY,'All Measure &amp; TRC+ Calc'!$D:$D,$C111,'All Measure &amp; TRC+ Calc'!$B:$B,$A111)</f>
        <v>0</v>
      </c>
      <c r="J111" s="191">
        <f>SUMIFS('All Measure &amp; TRC+ Calc'!BF:BF,'All Measure &amp; TRC+ Calc'!$D:$D,$C111,'All Measure &amp; TRC+ Calc'!$B:$B,$A111)</f>
        <v>99657230.131238624</v>
      </c>
      <c r="K111" s="167">
        <f>SUMIFS('All Measure &amp; TRC+ Calc'!AQ:AQ,'All Measure &amp; TRC+ Calc'!$D:$D,$C111,'All Measure &amp; TRC+ Calc'!$B:$B,K$100)</f>
        <v>50480374.755554743</v>
      </c>
      <c r="L111" s="164">
        <f>SUMIFS('All Measure &amp; TRC+ Calc'!BG:BG,'All Measure &amp; TRC+ Calc'!$D:$D,$C111,'All Measure &amp; TRC+ Calc'!$B:$B,$A111)-K111</f>
        <v>9009130.4982854351</v>
      </c>
      <c r="M111" s="164">
        <f>SUMIFS(Budget!$E:$E,Budget!$C:$C,$C111,Budget!$D:$D,"&lt;&gt;Incentives",Budget!$A:$A,M$100)</f>
        <v>1042456</v>
      </c>
      <c r="N111" s="168">
        <f t="shared" ref="N111:N119" si="52">SUM(K111:M111)</f>
        <v>60531961.253840178</v>
      </c>
      <c r="O111" s="231">
        <f t="shared" si="46"/>
        <v>39125268.877398446</v>
      </c>
      <c r="P111" s="234">
        <f t="shared" si="47"/>
        <v>1.6463571981969496</v>
      </c>
    </row>
    <row r="112" spans="1:16" x14ac:dyDescent="0.25">
      <c r="A112" s="153">
        <v>2029</v>
      </c>
      <c r="C112" s="149" t="s">
        <v>163</v>
      </c>
      <c r="D112" s="165">
        <f>SUMIFS('All Measure &amp; TRC+ Calc'!AT:AT,'All Measure &amp; TRC+ Calc'!$D:$D,$C112,'All Measure &amp; TRC+ Calc'!$B:$B,D$100)</f>
        <v>14817045.901610434</v>
      </c>
      <c r="E112" s="165">
        <f>SUMIFS('All Measure &amp; TRC+ Calc'!AU:AU,'All Measure &amp; TRC+ Calc'!$D:$D,$C112,'All Measure &amp; TRC+ Calc'!$B:$B,E$100)</f>
        <v>220016.3139344604</v>
      </c>
      <c r="F112" s="165">
        <f>SUMIFS('All Measure &amp; TRC+ Calc'!AV:AV,'All Measure &amp; TRC+ Calc'!$D:$D,$C112,'All Measure &amp; TRC+ Calc'!$B:$B,F$100)</f>
        <v>1189035.0250769032</v>
      </c>
      <c r="G112" s="165">
        <f>SUMIFS('All Measure &amp; TRC+ Calc'!AW:AW,'All Measure &amp; TRC+ Calc'!$D:$D,$C112,'All Measure &amp; TRC+ Calc'!$B:$B,G$100)</f>
        <v>1954149.4597809999</v>
      </c>
      <c r="H112" s="165">
        <f>SUMIFS('All Measure &amp; TRC+ Calc'!AX:AX,'All Measure &amp; TRC+ Calc'!$D:$D,$C112,'All Measure &amp; TRC+ Calc'!$B:$B,H$100)</f>
        <v>206734.95357840075</v>
      </c>
      <c r="I112" s="166">
        <f>SUMIFS('All Measure &amp; TRC+ Calc'!AY:AY,'All Measure &amp; TRC+ Calc'!$D:$D,$C112,'All Measure &amp; TRC+ Calc'!$B:$B,$A112)</f>
        <v>0</v>
      </c>
      <c r="J112" s="191">
        <f>SUMIFS('All Measure &amp; TRC+ Calc'!BF:BF,'All Measure &amp; TRC+ Calc'!$D:$D,$C112,'All Measure &amp; TRC+ Calc'!$B:$B,$A112)</f>
        <v>18386981.653981198</v>
      </c>
      <c r="K112" s="167">
        <f>SUMIFS('All Measure &amp; TRC+ Calc'!AQ:AQ,'All Measure &amp; TRC+ Calc'!$D:$D,$C112,'All Measure &amp; TRC+ Calc'!$B:$B,K$100)</f>
        <v>8425584.3402594626</v>
      </c>
      <c r="L112" s="164">
        <f>SUMIFS('All Measure &amp; TRC+ Calc'!BG:BG,'All Measure &amp; TRC+ Calc'!$D:$D,$C112,'All Measure &amp; TRC+ Calc'!$B:$B,$A112)-K112</f>
        <v>3599914.374989368</v>
      </c>
      <c r="M112" s="164">
        <f>SUMIFS(Budget!$E:$E,Budget!$C:$C,$C112,Budget!$D:$D,"&lt;&gt;Incentives",Budget!$A:$A,M$100)</f>
        <v>1054873</v>
      </c>
      <c r="N112" s="168">
        <f t="shared" si="52"/>
        <v>13080371.715248831</v>
      </c>
      <c r="O112" s="231">
        <f t="shared" si="46"/>
        <v>5306609.938732367</v>
      </c>
      <c r="P112" s="234">
        <f t="shared" si="47"/>
        <v>1.4056925945419447</v>
      </c>
    </row>
    <row r="113" spans="1:16" x14ac:dyDescent="0.25">
      <c r="A113" s="153">
        <v>2029</v>
      </c>
      <c r="C113" s="149" t="s">
        <v>164</v>
      </c>
      <c r="D113" s="165">
        <f>SUMIFS('All Measure &amp; TRC+ Calc'!AT:AT,'All Measure &amp; TRC+ Calc'!$D:$D,$C113,'All Measure &amp; TRC+ Calc'!$B:$B,D$100)</f>
        <v>25800590.109600507</v>
      </c>
      <c r="E113" s="165">
        <f>SUMIFS('All Measure &amp; TRC+ Calc'!AU:AU,'All Measure &amp; TRC+ Calc'!$D:$D,$C113,'All Measure &amp; TRC+ Calc'!$B:$B,E$100)</f>
        <v>0</v>
      </c>
      <c r="F113" s="165">
        <f>SUMIFS('All Measure &amp; TRC+ Calc'!AV:AV,'All Measure &amp; TRC+ Calc'!$D:$D,$C113,'All Measure &amp; TRC+ Calc'!$B:$B,F$100)</f>
        <v>2542027.9734919369</v>
      </c>
      <c r="G113" s="165">
        <f>SUMIFS('All Measure &amp; TRC+ Calc'!AW:AW,'All Measure &amp; TRC+ Calc'!$D:$D,$C113,'All Measure &amp; TRC+ Calc'!$B:$B,G$100)</f>
        <v>5877877.5337199606</v>
      </c>
      <c r="H113" s="165">
        <f>SUMIFS('All Measure &amp; TRC+ Calc'!AX:AX,'All Measure &amp; TRC+ Calc'!$D:$D,$C113,'All Measure &amp; TRC+ Calc'!$B:$B,H$100)</f>
        <v>312808.27829009766</v>
      </c>
      <c r="I113" s="166">
        <f>SUMIFS('All Measure &amp; TRC+ Calc'!AY:AY,'All Measure &amp; TRC+ Calc'!$D:$D,$C113,'All Measure &amp; TRC+ Calc'!$B:$B,$A113)</f>
        <v>0</v>
      </c>
      <c r="J113" s="191">
        <f>SUMIFS('All Measure &amp; TRC+ Calc'!BF:BF,'All Measure &amp; TRC+ Calc'!$D:$D,$C113,'All Measure &amp; TRC+ Calc'!$B:$B,$A113)</f>
        <v>34533303.895102501</v>
      </c>
      <c r="K113" s="167">
        <f>SUMIFS('All Measure &amp; TRC+ Calc'!AQ:AQ,'All Measure &amp; TRC+ Calc'!$D:$D,$C113,'All Measure &amp; TRC+ Calc'!$B:$B,K$100)</f>
        <v>11011070.712189002</v>
      </c>
      <c r="L113" s="164">
        <f>SUMIFS('All Measure &amp; TRC+ Calc'!BG:BG,'All Measure &amp; TRC+ Calc'!$D:$D,$C113,'All Measure &amp; TRC+ Calc'!$B:$B,$A113)-K113</f>
        <v>0</v>
      </c>
      <c r="M113" s="164">
        <f>SUMIFS(Budget!$E:$E,Budget!$C:$C,$C113,Budget!$D:$D,"&lt;&gt;Incentives",Budget!$A:$A,M$100)</f>
        <v>1080534</v>
      </c>
      <c r="N113" s="168">
        <f t="shared" si="52"/>
        <v>12091604.712189002</v>
      </c>
      <c r="O113" s="231">
        <f t="shared" si="46"/>
        <v>22441699.182913497</v>
      </c>
      <c r="P113" s="234">
        <f t="shared" si="47"/>
        <v>2.8559736045862492</v>
      </c>
    </row>
    <row r="114" spans="1:16" x14ac:dyDescent="0.25">
      <c r="A114" s="153">
        <v>2029</v>
      </c>
      <c r="C114" s="149" t="s">
        <v>165</v>
      </c>
      <c r="D114" s="165">
        <f>SUMIFS('All Measure &amp; TRC+ Calc'!AT:AT,'All Measure &amp; TRC+ Calc'!$D:$D,$C114,'All Measure &amp; TRC+ Calc'!$B:$B,D$100)</f>
        <v>7892711.4935860354</v>
      </c>
      <c r="E114" s="165">
        <f>SUMIFS('All Measure &amp; TRC+ Calc'!AU:AU,'All Measure &amp; TRC+ Calc'!$D:$D,$C114,'All Measure &amp; TRC+ Calc'!$B:$B,E$100)</f>
        <v>1849081.3679072768</v>
      </c>
      <c r="F114" s="165">
        <f>SUMIFS('All Measure &amp; TRC+ Calc'!AV:AV,'All Measure &amp; TRC+ Calc'!$D:$D,$C114,'All Measure &amp; TRC+ Calc'!$B:$B,F$100)</f>
        <v>1900246.4740664938</v>
      </c>
      <c r="G114" s="165">
        <f>SUMIFS('All Measure &amp; TRC+ Calc'!AW:AW,'All Measure &amp; TRC+ Calc'!$D:$D,$C114,'All Measure &amp; TRC+ Calc'!$B:$B,G$100)</f>
        <v>1361047.8922909249</v>
      </c>
      <c r="H114" s="165">
        <f>SUMIFS('All Measure &amp; TRC+ Calc'!AX:AX,'All Measure &amp; TRC+ Calc'!$D:$D,$C114,'All Measure &amp; TRC+ Calc'!$B:$B,H$100)</f>
        <v>159609.74767793115</v>
      </c>
      <c r="I114" s="166">
        <f>SUMIFS('All Measure &amp; TRC+ Calc'!AY:AY,'All Measure &amp; TRC+ Calc'!$D:$D,$C114,'All Measure &amp; TRC+ Calc'!$B:$B,$A114)</f>
        <v>0</v>
      </c>
      <c r="J114" s="191">
        <f>SUMIFS('All Measure &amp; TRC+ Calc'!BF:BF,'All Measure &amp; TRC+ Calc'!$D:$D,$C114,'All Measure &amp; TRC+ Calc'!$B:$B,$A114)</f>
        <v>13162696.975528659</v>
      </c>
      <c r="K114" s="167">
        <f>SUMIFS('All Measure &amp; TRC+ Calc'!AQ:AQ,'All Measure &amp; TRC+ Calc'!$D:$D,$C114,'All Measure &amp; TRC+ Calc'!$B:$B,K$100)</f>
        <v>5032498.2084257212</v>
      </c>
      <c r="L114" s="164">
        <f>SUMIFS('All Measure &amp; TRC+ Calc'!BG:BG,'All Measure &amp; TRC+ Calc'!$D:$D,$C114,'All Measure &amp; TRC+ Calc'!$B:$B,$A114)-K114</f>
        <v>0</v>
      </c>
      <c r="M114" s="164">
        <f>SUMIFS(Budget!$E:$E,Budget!$C:$C,$C114,Budget!$D:$D,"&lt;&gt;Incentives",Budget!$A:$A,M$100)</f>
        <v>1538074</v>
      </c>
      <c r="N114" s="168">
        <f t="shared" si="52"/>
        <v>6570572.2084257212</v>
      </c>
      <c r="O114" s="231">
        <f t="shared" si="46"/>
        <v>6592124.7671029381</v>
      </c>
      <c r="P114" s="234">
        <f t="shared" si="47"/>
        <v>2.0032801646483054</v>
      </c>
    </row>
    <row r="115" spans="1:16" x14ac:dyDescent="0.25">
      <c r="A115" s="153">
        <v>2029</v>
      </c>
      <c r="C115" s="149" t="s">
        <v>166</v>
      </c>
      <c r="D115" s="165">
        <f>SUMIFS('All Measure &amp; TRC+ Calc'!AT:AT,'All Measure &amp; TRC+ Calc'!$D:$D,$C115,'All Measure &amp; TRC+ Calc'!$B:$B,D$100)</f>
        <v>509841.56191915635</v>
      </c>
      <c r="E115" s="165">
        <f>SUMIFS('All Measure &amp; TRC+ Calc'!AU:AU,'All Measure &amp; TRC+ Calc'!$D:$D,$C115,'All Measure &amp; TRC+ Calc'!$B:$B,E$100)</f>
        <v>0</v>
      </c>
      <c r="F115" s="165">
        <f>SUMIFS('All Measure &amp; TRC+ Calc'!AV:AV,'All Measure &amp; TRC+ Calc'!$D:$D,$C115,'All Measure &amp; TRC+ Calc'!$B:$B,F$100)</f>
        <v>0</v>
      </c>
      <c r="G115" s="165">
        <f>SUMIFS('All Measure &amp; TRC+ Calc'!AW:AW,'All Measure &amp; TRC+ Calc'!$D:$D,$C115,'All Measure &amp; TRC+ Calc'!$B:$B,G$100)</f>
        <v>0</v>
      </c>
      <c r="H115" s="165">
        <f>SUMIFS('All Measure &amp; TRC+ Calc'!AX:AX,'All Measure &amp; TRC+ Calc'!$D:$D,$C115,'All Measure &amp; TRC+ Calc'!$B:$B,H$100)</f>
        <v>0</v>
      </c>
      <c r="I115" s="166">
        <f>SUMIFS('All Measure &amp; TRC+ Calc'!AY:AY,'All Measure &amp; TRC+ Calc'!$D:$D,$C115,'All Measure &amp; TRC+ Calc'!$B:$B,$A115)</f>
        <v>0</v>
      </c>
      <c r="J115" s="191">
        <f>SUMIFS('All Measure &amp; TRC+ Calc'!BF:BF,'All Measure &amp; TRC+ Calc'!$D:$D,$C115,'All Measure &amp; TRC+ Calc'!$B:$B,$A115)</f>
        <v>509841.56191915635</v>
      </c>
      <c r="K115" s="167">
        <f>SUMIFS('All Measure &amp; TRC+ Calc'!AQ:AQ,'All Measure &amp; TRC+ Calc'!$D:$D,$C115,'All Measure &amp; TRC+ Calc'!$B:$B,K$100)</f>
        <v>77713.623777913192</v>
      </c>
      <c r="L115" s="164">
        <f>SUMIFS('All Measure &amp; TRC+ Calc'!BG:BG,'All Measure &amp; TRC+ Calc'!$D:$D,$C115,'All Measure &amp; TRC+ Calc'!$B:$B,$A115)-K115</f>
        <v>0</v>
      </c>
      <c r="M115" s="164">
        <f>SUMIFS(Budget!$E:$E,Budget!$C:$C,$C115,Budget!$D:$D,"&lt;&gt;Incentives",Budget!$A:$A,M$100)</f>
        <v>342795</v>
      </c>
      <c r="N115" s="168">
        <f t="shared" si="52"/>
        <v>420508.62377791316</v>
      </c>
      <c r="O115" s="231">
        <f t="shared" si="46"/>
        <v>89332.938141243183</v>
      </c>
      <c r="P115" s="234">
        <f t="shared" si="47"/>
        <v>1.2124402047659868</v>
      </c>
    </row>
    <row r="116" spans="1:16" x14ac:dyDescent="0.25">
      <c r="A116" s="153">
        <v>2029</v>
      </c>
      <c r="C116" s="149" t="s">
        <v>167</v>
      </c>
      <c r="D116" s="165">
        <f>SUMIFS('All Measure &amp; TRC+ Calc'!AT:AT,'All Measure &amp; TRC+ Calc'!$D:$D,$C116,'All Measure &amp; TRC+ Calc'!$B:$B,D$100)</f>
        <v>486049.98728640529</v>
      </c>
      <c r="E116" s="165">
        <f>SUMIFS('All Measure &amp; TRC+ Calc'!AU:AU,'All Measure &amp; TRC+ Calc'!$D:$D,$C116,'All Measure &amp; TRC+ Calc'!$B:$B,E$100)</f>
        <v>0</v>
      </c>
      <c r="F116" s="165">
        <f>SUMIFS('All Measure &amp; TRC+ Calc'!AV:AV,'All Measure &amp; TRC+ Calc'!$D:$D,$C116,'All Measure &amp; TRC+ Calc'!$B:$B,F$100)</f>
        <v>9802.0263116361093</v>
      </c>
      <c r="G116" s="165">
        <f>SUMIFS('All Measure &amp; TRC+ Calc'!AW:AW,'All Measure &amp; TRC+ Calc'!$D:$D,$C116,'All Measure &amp; TRC+ Calc'!$B:$B,G$100)</f>
        <v>26525.686024564828</v>
      </c>
      <c r="H116" s="165">
        <f>SUMIFS('All Measure &amp; TRC+ Calc'!AX:AX,'All Measure &amp; TRC+ Calc'!$D:$D,$C116,'All Measure &amp; TRC+ Calc'!$B:$B,H$100)</f>
        <v>1258.9216785782619</v>
      </c>
      <c r="I116" s="166">
        <f>SUMIFS('All Measure &amp; TRC+ Calc'!AY:AY,'All Measure &amp; TRC+ Calc'!$D:$D,$C116,'All Measure &amp; TRC+ Calc'!$B:$B,$A116)</f>
        <v>0</v>
      </c>
      <c r="J116" s="191">
        <f>SUMIFS('All Measure &amp; TRC+ Calc'!BF:BF,'All Measure &amp; TRC+ Calc'!$D:$D,$C116,'All Measure &amp; TRC+ Calc'!$B:$B,$A116)</f>
        <v>523636.62130118447</v>
      </c>
      <c r="K116" s="167">
        <f>SUMIFS('All Measure &amp; TRC+ Calc'!AQ:AQ,'All Measure &amp; TRC+ Calc'!$D:$D,$C116,'All Measure &amp; TRC+ Calc'!$B:$B,K$100)</f>
        <v>564672</v>
      </c>
      <c r="L116" s="164">
        <f>SUMIFS('All Measure &amp; TRC+ Calc'!BG:BG,'All Measure &amp; TRC+ Calc'!$D:$D,$C116,'All Measure &amp; TRC+ Calc'!$B:$B,$A116)-K116</f>
        <v>277363.39946362819</v>
      </c>
      <c r="M116" s="164">
        <f>SUMIFS(Budget!$E:$E,Budget!$C:$C,$C116,Budget!$D:$D,"&lt;&gt;Incentives",Budget!$A:$A,M$100)</f>
        <v>144112</v>
      </c>
      <c r="N116" s="168">
        <f t="shared" si="52"/>
        <v>986147.39946362819</v>
      </c>
      <c r="O116" s="231">
        <f t="shared" si="46"/>
        <v>-462510.77816244372</v>
      </c>
      <c r="P116" s="234">
        <f t="shared" si="47"/>
        <v>0.53099224475569651</v>
      </c>
    </row>
    <row r="117" spans="1:16" x14ac:dyDescent="0.25">
      <c r="A117" s="153">
        <v>2029</v>
      </c>
      <c r="C117" s="149" t="s">
        <v>168</v>
      </c>
      <c r="D117" s="165">
        <f>SUMIFS('All Measure &amp; TRC+ Calc'!AT:AT,'All Measure &amp; TRC+ Calc'!$D:$D,$C117,'All Measure &amp; TRC+ Calc'!$B:$B,D$100)</f>
        <v>0</v>
      </c>
      <c r="E117" s="165">
        <f>SUMIFS('All Measure &amp; TRC+ Calc'!AU:AU,'All Measure &amp; TRC+ Calc'!$D:$D,$C117,'All Measure &amp; TRC+ Calc'!$B:$B,E$100)</f>
        <v>0</v>
      </c>
      <c r="F117" s="165">
        <f>SUMIFS('All Measure &amp; TRC+ Calc'!AV:AV,'All Measure &amp; TRC+ Calc'!$D:$D,$C117,'All Measure &amp; TRC+ Calc'!$B:$B,F$100)</f>
        <v>0</v>
      </c>
      <c r="G117" s="165">
        <f>SUMIFS('All Measure &amp; TRC+ Calc'!AW:AW,'All Measure &amp; TRC+ Calc'!$D:$D,$C117,'All Measure &amp; TRC+ Calc'!$B:$B,G$100)</f>
        <v>0</v>
      </c>
      <c r="H117" s="165">
        <f>SUMIFS('All Measure &amp; TRC+ Calc'!AX:AX,'All Measure &amp; TRC+ Calc'!$D:$D,$C117,'All Measure &amp; TRC+ Calc'!$B:$B,H$100)</f>
        <v>0</v>
      </c>
      <c r="I117" s="166">
        <f>SUMIFS('All Measure &amp; TRC+ Calc'!AY:AY,'All Measure &amp; TRC+ Calc'!$D:$D,$C117,'All Measure &amp; TRC+ Calc'!$B:$B,$A117)</f>
        <v>0</v>
      </c>
      <c r="J117" s="191">
        <f>SUMIFS('All Measure &amp; TRC+ Calc'!BF:BF,'All Measure &amp; TRC+ Calc'!$D:$D,$C117,'All Measure &amp; TRC+ Calc'!$B:$B,$A117)</f>
        <v>0</v>
      </c>
      <c r="K117" s="167">
        <f>SUMIFS('All Measure &amp; TRC+ Calc'!AQ:AQ,'All Measure &amp; TRC+ Calc'!$D:$D,$C117,'All Measure &amp; TRC+ Calc'!$B:$B,K$100)</f>
        <v>0</v>
      </c>
      <c r="L117" s="164">
        <f>SUMIFS('All Measure &amp; TRC+ Calc'!BG:BG,'All Measure &amp; TRC+ Calc'!$D:$D,$C117,'All Measure &amp; TRC+ Calc'!$B:$B,$A117)-K117</f>
        <v>0</v>
      </c>
      <c r="M117" s="164">
        <f>SUMIFS(Budget!$E:$E,Budget!$C:$C,$C117,Budget!$D:$D,"&lt;&gt;Incentives",Budget!$A:$A,M$100)</f>
        <v>289715</v>
      </c>
      <c r="N117" s="168">
        <f t="shared" si="52"/>
        <v>289715</v>
      </c>
      <c r="O117" s="231">
        <f t="shared" si="46"/>
        <v>-289715</v>
      </c>
      <c r="P117" s="234">
        <f t="shared" si="47"/>
        <v>0</v>
      </c>
    </row>
    <row r="118" spans="1:16" x14ac:dyDescent="0.25">
      <c r="A118" s="153">
        <v>2029</v>
      </c>
      <c r="C118" s="149" t="s">
        <v>18</v>
      </c>
      <c r="D118" s="165">
        <f>SUMIFS('All Measure &amp; TRC+ Calc'!AT:AT,'All Measure &amp; TRC+ Calc'!$D:$D,$C118,'All Measure &amp; TRC+ Calc'!$B:$B,D$100)</f>
        <v>0</v>
      </c>
      <c r="E118" s="165">
        <f>SUMIFS('All Measure &amp; TRC+ Calc'!AU:AU,'All Measure &amp; TRC+ Calc'!$D:$D,$C118,'All Measure &amp; TRC+ Calc'!$B:$B,E$100)</f>
        <v>0</v>
      </c>
      <c r="F118" s="165">
        <f>SUMIFS('All Measure &amp; TRC+ Calc'!AV:AV,'All Measure &amp; TRC+ Calc'!$D:$D,$C118,'All Measure &amp; TRC+ Calc'!$B:$B,F$100)</f>
        <v>0</v>
      </c>
      <c r="G118" s="165">
        <f>SUMIFS('All Measure &amp; TRC+ Calc'!AW:AW,'All Measure &amp; TRC+ Calc'!$D:$D,$C118,'All Measure &amp; TRC+ Calc'!$B:$B,G$100)</f>
        <v>0</v>
      </c>
      <c r="H118" s="165">
        <f>SUMIFS('All Measure &amp; TRC+ Calc'!AX:AX,'All Measure &amp; TRC+ Calc'!$D:$D,$C118,'All Measure &amp; TRC+ Calc'!$B:$B,H$100)</f>
        <v>0</v>
      </c>
      <c r="I118" s="166">
        <f>SUMIFS('All Measure &amp; TRC+ Calc'!AY:AY,'All Measure &amp; TRC+ Calc'!$D:$D,$C118,'All Measure &amp; TRC+ Calc'!$B:$B,$A118)</f>
        <v>0</v>
      </c>
      <c r="J118" s="191">
        <f>SUMIFS('All Measure &amp; TRC+ Calc'!BF:BF,'All Measure &amp; TRC+ Calc'!$D:$D,$C118,'All Measure &amp; TRC+ Calc'!$B:$B,$A118)</f>
        <v>0</v>
      </c>
      <c r="K118" s="167">
        <f>SUMIFS('All Measure &amp; TRC+ Calc'!AQ:AQ,'All Measure &amp; TRC+ Calc'!$D:$D,$C118,'All Measure &amp; TRC+ Calc'!$B:$B,K$100)</f>
        <v>0</v>
      </c>
      <c r="L118" s="164">
        <f>SUMIFS('All Measure &amp; TRC+ Calc'!BG:BG,'All Measure &amp; TRC+ Calc'!$D:$D,$C118,'All Measure &amp; TRC+ Calc'!$B:$B,$A118)-K118</f>
        <v>0</v>
      </c>
      <c r="M118" s="164">
        <f>SUMIFS(Budget!$E:$E,Budget!$C:$C,$C118,Budget!$D:$D,"&lt;&gt;Incentives",Budget!$A:$A,M$100)</f>
        <v>206939</v>
      </c>
      <c r="N118" s="168">
        <f t="shared" si="52"/>
        <v>206939</v>
      </c>
      <c r="O118" s="231">
        <f t="shared" si="46"/>
        <v>-206939</v>
      </c>
      <c r="P118" s="234">
        <f t="shared" si="47"/>
        <v>0</v>
      </c>
    </row>
    <row r="119" spans="1:16" x14ac:dyDescent="0.25">
      <c r="A119" s="153">
        <v>2029</v>
      </c>
      <c r="C119" s="149" t="s">
        <v>19</v>
      </c>
      <c r="D119" s="169">
        <v>0</v>
      </c>
      <c r="E119" s="169">
        <v>0</v>
      </c>
      <c r="F119" s="169">
        <v>0</v>
      </c>
      <c r="G119" s="169">
        <v>0</v>
      </c>
      <c r="H119" s="169">
        <v>0</v>
      </c>
      <c r="I119" s="169">
        <v>0</v>
      </c>
      <c r="J119" s="197">
        <v>0</v>
      </c>
      <c r="K119" s="171">
        <v>0</v>
      </c>
      <c r="L119" s="170">
        <v>0</v>
      </c>
      <c r="M119" s="164">
        <f>SUMIFS(Budget!$E:$E,Budget!$C:$C,$C119,Budget!$D:$D,"&lt;&gt;Incentives",Budget!$A:$A,M$100)</f>
        <v>5718918</v>
      </c>
      <c r="N119" s="168">
        <f t="shared" si="52"/>
        <v>5718918</v>
      </c>
      <c r="O119" s="231">
        <f t="shared" si="46"/>
        <v>-5718918</v>
      </c>
      <c r="P119" s="235">
        <f t="shared" si="47"/>
        <v>0</v>
      </c>
    </row>
    <row r="120" spans="1:16" x14ac:dyDescent="0.25">
      <c r="A120" s="153">
        <v>2029</v>
      </c>
      <c r="C120" s="150" t="s">
        <v>139</v>
      </c>
      <c r="D120" s="158">
        <f t="shared" ref="D120:N120" si="53">SUM(D121:D124)</f>
        <v>250623345.1824621</v>
      </c>
      <c r="E120" s="158">
        <f t="shared" si="53"/>
        <v>43282.384884035986</v>
      </c>
      <c r="F120" s="158">
        <f t="shared" si="53"/>
        <v>94357.599365182075</v>
      </c>
      <c r="G120" s="158">
        <f t="shared" si="53"/>
        <v>119985.36453170812</v>
      </c>
      <c r="H120" s="158">
        <f t="shared" si="53"/>
        <v>9049.4169512948429</v>
      </c>
      <c r="I120" s="158">
        <f t="shared" si="53"/>
        <v>0</v>
      </c>
      <c r="J120" s="201">
        <f t="shared" si="53"/>
        <v>250890019.94819432</v>
      </c>
      <c r="K120" s="163">
        <f t="shared" si="53"/>
        <v>51113430.35119991</v>
      </c>
      <c r="L120" s="160">
        <f t="shared" si="53"/>
        <v>0</v>
      </c>
      <c r="M120" s="160">
        <f t="shared" si="53"/>
        <v>6481502</v>
      </c>
      <c r="N120" s="162">
        <f t="shared" si="53"/>
        <v>57594932.35119991</v>
      </c>
      <c r="O120" s="230">
        <f t="shared" si="46"/>
        <v>193295087.5969944</v>
      </c>
      <c r="P120" s="233">
        <f t="shared" si="47"/>
        <v>4.3561127638509571</v>
      </c>
    </row>
    <row r="121" spans="1:16" x14ac:dyDescent="0.25">
      <c r="A121" s="153">
        <v>2029</v>
      </c>
      <c r="C121" s="149" t="s">
        <v>8</v>
      </c>
      <c r="D121" s="165">
        <f>SUMIFS('All Measure &amp; TRC+ Calc'!AT:AT,'All Measure &amp; TRC+ Calc'!$D:$D,$C121,'All Measure &amp; TRC+ Calc'!$B:$B,D$100)</f>
        <v>250623345.1824621</v>
      </c>
      <c r="E121" s="165">
        <f>SUMIFS('All Measure &amp; TRC+ Calc'!AU:AU,'All Measure &amp; TRC+ Calc'!$D:$D,$C121,'All Measure &amp; TRC+ Calc'!$B:$B,E$100)</f>
        <v>43282.384884035986</v>
      </c>
      <c r="F121" s="165">
        <f>SUMIFS('All Measure &amp; TRC+ Calc'!AV:AV,'All Measure &amp; TRC+ Calc'!$D:$D,$C121,'All Measure &amp; TRC+ Calc'!$B:$B,F$100)</f>
        <v>94357.599365182075</v>
      </c>
      <c r="G121" s="165">
        <f>SUMIFS('All Measure &amp; TRC+ Calc'!AW:AW,'All Measure &amp; TRC+ Calc'!$D:$D,$C121,'All Measure &amp; TRC+ Calc'!$B:$B,G$100)</f>
        <v>119985.36453170812</v>
      </c>
      <c r="H121" s="165">
        <f>SUMIFS('All Measure &amp; TRC+ Calc'!AX:AX,'All Measure &amp; TRC+ Calc'!$D:$D,$C121,'All Measure &amp; TRC+ Calc'!$B:$B,H$100)</f>
        <v>9049.4169512948429</v>
      </c>
      <c r="I121" s="166">
        <f>SUMIFS('All Measure &amp; TRC+ Calc'!AY:AY,'All Measure &amp; TRC+ Calc'!$D:$D,$C121,'All Measure &amp; TRC+ Calc'!$B:$B,$A121)</f>
        <v>0</v>
      </c>
      <c r="J121" s="191">
        <f>SUMIFS('All Measure &amp; TRC+ Calc'!BF:BF,'All Measure &amp; TRC+ Calc'!$D:$D,$C121,'All Measure &amp; TRC+ Calc'!$B:$B,$A121)</f>
        <v>250890019.94819432</v>
      </c>
      <c r="K121" s="167">
        <f>SUMIFS('All Measure &amp; TRC+ Calc'!AQ:AQ,'All Measure &amp; TRC+ Calc'!$D:$D,$C121,'All Measure &amp; TRC+ Calc'!$B:$B,K$100)</f>
        <v>51113430.35119991</v>
      </c>
      <c r="L121" s="164">
        <f>SUMIFS('All Measure &amp; TRC+ Calc'!BG:BG,'All Measure &amp; TRC+ Calc'!$D:$D,$C121,'All Measure &amp; TRC+ Calc'!$B:$B,$A121)-K121</f>
        <v>0</v>
      </c>
      <c r="M121" s="164">
        <f>SUMIFS(Budget!$E:$E,Budget!$C:$C,$C121,Budget!$D:$D,"&lt;&gt;Incentives",Budget!$A:$A,M$100)</f>
        <v>1003655</v>
      </c>
      <c r="N121" s="168">
        <f t="shared" ref="N121:N124" si="54">SUM(K121:M121)</f>
        <v>52117085.35119991</v>
      </c>
      <c r="O121" s="231">
        <f t="shared" si="46"/>
        <v>198772934.5969944</v>
      </c>
      <c r="P121" s="234">
        <f t="shared" si="47"/>
        <v>4.8139687447509569</v>
      </c>
    </row>
    <row r="122" spans="1:16" x14ac:dyDescent="0.25">
      <c r="A122" s="153">
        <v>2029</v>
      </c>
      <c r="C122" s="149" t="s">
        <v>24</v>
      </c>
      <c r="D122" s="165">
        <f>SUMIFS('All Measure &amp; TRC+ Calc'!AT:AT,'All Measure &amp; TRC+ Calc'!$D:$D,$C122,'All Measure &amp; TRC+ Calc'!$B:$B,D$100)</f>
        <v>0</v>
      </c>
      <c r="E122" s="165">
        <f>SUMIFS('All Measure &amp; TRC+ Calc'!AU:AU,'All Measure &amp; TRC+ Calc'!$D:$D,$C122,'All Measure &amp; TRC+ Calc'!$B:$B,E$100)</f>
        <v>0</v>
      </c>
      <c r="F122" s="165">
        <f>SUMIFS('All Measure &amp; TRC+ Calc'!AV:AV,'All Measure &amp; TRC+ Calc'!$D:$D,$C122,'All Measure &amp; TRC+ Calc'!$B:$B,F$100)</f>
        <v>0</v>
      </c>
      <c r="G122" s="165">
        <f>SUMIFS('All Measure &amp; TRC+ Calc'!AW:AW,'All Measure &amp; TRC+ Calc'!$D:$D,$C122,'All Measure &amp; TRC+ Calc'!$B:$B,G$100)</f>
        <v>0</v>
      </c>
      <c r="H122" s="165">
        <f>SUMIFS('All Measure &amp; TRC+ Calc'!AX:AX,'All Measure &amp; TRC+ Calc'!$D:$D,$C122,'All Measure &amp; TRC+ Calc'!$B:$B,H$100)</f>
        <v>0</v>
      </c>
      <c r="I122" s="166">
        <f>SUMIFS('All Measure &amp; TRC+ Calc'!AY:AY,'All Measure &amp; TRC+ Calc'!$D:$D,$C122,'All Measure &amp; TRC+ Calc'!$B:$B,$A122)</f>
        <v>0</v>
      </c>
      <c r="J122" s="191">
        <f>SUMIFS('All Measure &amp; TRC+ Calc'!BF:BF,'All Measure &amp; TRC+ Calc'!$D:$D,$C122,'All Measure &amp; TRC+ Calc'!$B:$B,$A122)</f>
        <v>0</v>
      </c>
      <c r="K122" s="167">
        <f>SUMIFS('All Measure &amp; TRC+ Calc'!AQ:AQ,'All Measure &amp; TRC+ Calc'!$D:$D,$C122,'All Measure &amp; TRC+ Calc'!$B:$B,K$100)</f>
        <v>0</v>
      </c>
      <c r="L122" s="164">
        <f>SUMIFS('All Measure &amp; TRC+ Calc'!BG:BG,'All Measure &amp; TRC+ Calc'!$D:$D,$C122,'All Measure &amp; TRC+ Calc'!$B:$B,$A122)-K122</f>
        <v>0</v>
      </c>
      <c r="M122" s="164">
        <f>SUMIFS(Budget!$E:$E,Budget!$C:$C,$C122,Budget!$D:$D,"&lt;&gt;Incentives",Budget!$A:$A,M$100)</f>
        <v>206939</v>
      </c>
      <c r="N122" s="168">
        <f t="shared" si="54"/>
        <v>206939</v>
      </c>
      <c r="O122" s="231">
        <f t="shared" si="46"/>
        <v>-206939</v>
      </c>
      <c r="P122" s="234">
        <f t="shared" si="47"/>
        <v>0</v>
      </c>
    </row>
    <row r="123" spans="1:16" x14ac:dyDescent="0.25">
      <c r="A123" s="153">
        <v>2029</v>
      </c>
      <c r="C123" s="149" t="s">
        <v>171</v>
      </c>
      <c r="D123" s="165">
        <f>SUMIFS('All Measure &amp; TRC+ Calc'!AT:AT,'All Measure &amp; TRC+ Calc'!$D:$D,$C123,'All Measure &amp; TRC+ Calc'!$B:$B,D$100)</f>
        <v>0</v>
      </c>
      <c r="E123" s="165">
        <f>SUMIFS('All Measure &amp; TRC+ Calc'!AU:AU,'All Measure &amp; TRC+ Calc'!$D:$D,$C123,'All Measure &amp; TRC+ Calc'!$B:$B,E$100)</f>
        <v>0</v>
      </c>
      <c r="F123" s="165">
        <f>SUMIFS('All Measure &amp; TRC+ Calc'!AV:AV,'All Measure &amp; TRC+ Calc'!$D:$D,$C123,'All Measure &amp; TRC+ Calc'!$B:$B,F$100)</f>
        <v>0</v>
      </c>
      <c r="G123" s="165">
        <f>SUMIFS('All Measure &amp; TRC+ Calc'!AW:AW,'All Measure &amp; TRC+ Calc'!$D:$D,$C123,'All Measure &amp; TRC+ Calc'!$B:$B,G$100)</f>
        <v>0</v>
      </c>
      <c r="H123" s="165">
        <f>SUMIFS('All Measure &amp; TRC+ Calc'!AX:AX,'All Measure &amp; TRC+ Calc'!$D:$D,$C123,'All Measure &amp; TRC+ Calc'!$B:$B,H$100)</f>
        <v>0</v>
      </c>
      <c r="I123" s="166">
        <f>SUMIFS('All Measure &amp; TRC+ Calc'!AY:AY,'All Measure &amp; TRC+ Calc'!$D:$D,$C123,'All Measure &amp; TRC+ Calc'!$B:$B,$A123)</f>
        <v>0</v>
      </c>
      <c r="J123" s="191">
        <f>SUMIFS('All Measure &amp; TRC+ Calc'!BF:BF,'All Measure &amp; TRC+ Calc'!$D:$D,$C123,'All Measure &amp; TRC+ Calc'!$B:$B,$A123)</f>
        <v>0</v>
      </c>
      <c r="K123" s="167">
        <f>SUMIFS('All Measure &amp; TRC+ Calc'!AQ:AQ,'All Measure &amp; TRC+ Calc'!$D:$D,$C123,'All Measure &amp; TRC+ Calc'!$B:$B,K$100)</f>
        <v>0</v>
      </c>
      <c r="L123" s="164">
        <f>SUMIFS('All Measure &amp; TRC+ Calc'!BG:BG,'All Measure &amp; TRC+ Calc'!$D:$D,$C123,'All Measure &amp; TRC+ Calc'!$B:$B,$A123)-K123</f>
        <v>0</v>
      </c>
      <c r="M123" s="164">
        <f>SUMIFS(Budget!$E:$E,Budget!$C:$C,$C123,Budget!$D:$D,"&lt;&gt;Incentives",Budget!$A:$A,M$100)</f>
        <v>289715</v>
      </c>
      <c r="N123" s="168">
        <f t="shared" si="54"/>
        <v>289715</v>
      </c>
      <c r="O123" s="231">
        <f t="shared" si="46"/>
        <v>-289715</v>
      </c>
      <c r="P123" s="234">
        <f t="shared" si="47"/>
        <v>0</v>
      </c>
    </row>
    <row r="124" spans="1:16" x14ac:dyDescent="0.25">
      <c r="A124" s="153">
        <v>2029</v>
      </c>
      <c r="C124" s="149" t="s">
        <v>25</v>
      </c>
      <c r="D124" s="169">
        <v>0</v>
      </c>
      <c r="E124" s="169">
        <v>0</v>
      </c>
      <c r="F124" s="169">
        <v>0</v>
      </c>
      <c r="G124" s="169">
        <v>0</v>
      </c>
      <c r="H124" s="169">
        <v>0</v>
      </c>
      <c r="I124" s="169">
        <v>0</v>
      </c>
      <c r="J124" s="197">
        <v>0</v>
      </c>
      <c r="K124" s="171">
        <v>0</v>
      </c>
      <c r="L124" s="170">
        <v>0</v>
      </c>
      <c r="M124" s="164">
        <f>SUMIFS(Budget!$E:$E,Budget!$C:$C,$C124,Budget!$D:$D,"&lt;&gt;Incentives",Budget!$A:$A,M$100)</f>
        <v>4981193</v>
      </c>
      <c r="N124" s="168">
        <f t="shared" si="54"/>
        <v>4981193</v>
      </c>
      <c r="O124" s="231">
        <f t="shared" si="46"/>
        <v>-4981193</v>
      </c>
      <c r="P124" s="235">
        <f t="shared" si="47"/>
        <v>0</v>
      </c>
    </row>
    <row r="125" spans="1:16" x14ac:dyDescent="0.25">
      <c r="A125" s="153">
        <v>2029</v>
      </c>
      <c r="C125" s="150" t="s">
        <v>137</v>
      </c>
      <c r="D125" s="158">
        <f t="shared" ref="D125:N125" si="55">SUM(D126:D128)</f>
        <v>26066120.533798188</v>
      </c>
      <c r="E125" s="158">
        <f t="shared" si="55"/>
        <v>148722.96779552064</v>
      </c>
      <c r="F125" s="158">
        <f t="shared" si="55"/>
        <v>987383.52606713586</v>
      </c>
      <c r="G125" s="158">
        <f t="shared" si="55"/>
        <v>3536289.3013293752</v>
      </c>
      <c r="H125" s="158">
        <f t="shared" ref="H125" si="56">SUM(H126:H128)</f>
        <v>121999.87747883967</v>
      </c>
      <c r="I125" s="158">
        <f t="shared" si="55"/>
        <v>0</v>
      </c>
      <c r="J125" s="201">
        <f t="shared" si="55"/>
        <v>30860516.206469059</v>
      </c>
      <c r="K125" s="163">
        <f t="shared" si="55"/>
        <v>23967307.159999996</v>
      </c>
      <c r="L125" s="160">
        <f t="shared" si="55"/>
        <v>546395.55572854728</v>
      </c>
      <c r="M125" s="160">
        <f t="shared" si="55"/>
        <v>7572527</v>
      </c>
      <c r="N125" s="162">
        <f t="shared" si="55"/>
        <v>32086229.715728544</v>
      </c>
      <c r="O125" s="230">
        <f t="shared" si="46"/>
        <v>-1225713.5092594847</v>
      </c>
      <c r="P125" s="233">
        <f t="shared" si="47"/>
        <v>0.96179939119931424</v>
      </c>
    </row>
    <row r="126" spans="1:16" x14ac:dyDescent="0.25">
      <c r="A126" s="153">
        <v>2029</v>
      </c>
      <c r="C126" s="149" t="s">
        <v>22</v>
      </c>
      <c r="D126" s="165">
        <f>SUMIFS('All Measure &amp; TRC+ Calc'!AT:AT,'All Measure &amp; TRC+ Calc'!$D:$D,$C126,'All Measure &amp; TRC+ Calc'!$B:$B,D$100)</f>
        <v>14455083.313066734</v>
      </c>
      <c r="E126" s="165">
        <f>SUMIFS('All Measure &amp; TRC+ Calc'!AU:AU,'All Measure &amp; TRC+ Calc'!$D:$D,$C126,'All Measure &amp; TRC+ Calc'!$B:$B,E$100)</f>
        <v>148722.96779552064</v>
      </c>
      <c r="F126" s="165">
        <f>SUMIFS('All Measure &amp; TRC+ Calc'!AV:AV,'All Measure &amp; TRC+ Calc'!$D:$D,$C126,'All Measure &amp; TRC+ Calc'!$B:$B,F$100)</f>
        <v>338577.84369146958</v>
      </c>
      <c r="G126" s="165">
        <f>SUMIFS('All Measure &amp; TRC+ Calc'!AW:AW,'All Measure &amp; TRC+ Calc'!$D:$D,$C126,'All Measure &amp; TRC+ Calc'!$B:$B,G$100)</f>
        <v>1069788.9870123391</v>
      </c>
      <c r="H126" s="165">
        <f>SUMIFS('All Measure &amp; TRC+ Calc'!AX:AX,'All Measure &amp; TRC+ Calc'!$D:$D,$C126,'All Measure &amp; TRC+ Calc'!$B:$B,H$100)</f>
        <v>0</v>
      </c>
      <c r="I126" s="166">
        <f>SUMIFS('All Measure &amp; TRC+ Calc'!AY:AY,'All Measure &amp; TRC+ Calc'!$D:$D,$C126,'All Measure &amp; TRC+ Calc'!$B:$B,$A126)</f>
        <v>0</v>
      </c>
      <c r="J126" s="191">
        <f>SUMIFS('All Measure &amp; TRC+ Calc'!BF:BF,'All Measure &amp; TRC+ Calc'!$D:$D,$C126,'All Measure &amp; TRC+ Calc'!$B:$B,$A126)</f>
        <v>16012173.111566063</v>
      </c>
      <c r="K126" s="167">
        <f>SUMIFS('All Measure &amp; TRC+ Calc'!AQ:AQ,'All Measure &amp; TRC+ Calc'!$D:$D,$C126,'All Measure &amp; TRC+ Calc'!$B:$B,K$100)</f>
        <v>14521699.159999996</v>
      </c>
      <c r="L126" s="164">
        <f>SUMIFS('All Measure &amp; TRC+ Calc'!BG:BG,'All Measure &amp; TRC+ Calc'!$D:$D,$C126,'All Measure &amp; TRC+ Calc'!$B:$B,$A126)-K126</f>
        <v>0</v>
      </c>
      <c r="M126" s="164">
        <f>SUMIFS(Budget!$E:$E,Budget!$C:$C,$C126,Budget!$D:$D,"&lt;&gt;Incentives",Budget!$A:$A,M$100)</f>
        <v>4211481</v>
      </c>
      <c r="N126" s="168">
        <f>SUM(K126:M126)</f>
        <v>18733180.159999996</v>
      </c>
      <c r="O126" s="231">
        <f t="shared" si="46"/>
        <v>-2721007.0484339334</v>
      </c>
      <c r="P126" s="234">
        <f t="shared" si="47"/>
        <v>0.85474932578484664</v>
      </c>
    </row>
    <row r="127" spans="1:16" x14ac:dyDescent="0.25">
      <c r="A127" s="153">
        <v>2029</v>
      </c>
      <c r="C127" s="149" t="s">
        <v>21</v>
      </c>
      <c r="D127" s="165">
        <f>SUMIFS('All Measure &amp; TRC+ Calc'!AT:AT,'All Measure &amp; TRC+ Calc'!$D:$D,$C127,'All Measure &amp; TRC+ Calc'!$B:$B,D$100)</f>
        <v>11611037.220731454</v>
      </c>
      <c r="E127" s="165">
        <f>SUMIFS('All Measure &amp; TRC+ Calc'!AU:AU,'All Measure &amp; TRC+ Calc'!$D:$D,$C127,'All Measure &amp; TRC+ Calc'!$B:$B,E$100)</f>
        <v>0</v>
      </c>
      <c r="F127" s="165">
        <f>SUMIFS('All Measure &amp; TRC+ Calc'!AV:AV,'All Measure &amp; TRC+ Calc'!$D:$D,$C127,'All Measure &amp; TRC+ Calc'!$B:$B,F$100)</f>
        <v>648805.68237566634</v>
      </c>
      <c r="G127" s="165">
        <f>SUMIFS('All Measure &amp; TRC+ Calc'!AW:AW,'All Measure &amp; TRC+ Calc'!$D:$D,$C127,'All Measure &amp; TRC+ Calc'!$B:$B,G$100)</f>
        <v>2466500.3143170364</v>
      </c>
      <c r="H127" s="165">
        <f>SUMIFS('All Measure &amp; TRC+ Calc'!AX:AX,'All Measure &amp; TRC+ Calc'!$D:$D,$C127,'All Measure &amp; TRC+ Calc'!$B:$B,H$100)</f>
        <v>121999.87747883967</v>
      </c>
      <c r="I127" s="166">
        <f>SUMIFS('All Measure &amp; TRC+ Calc'!AY:AY,'All Measure &amp; TRC+ Calc'!$D:$D,$C127,'All Measure &amp; TRC+ Calc'!$B:$B,$A127)</f>
        <v>0</v>
      </c>
      <c r="J127" s="191">
        <f>SUMIFS('All Measure &amp; TRC+ Calc'!BF:BF,'All Measure &amp; TRC+ Calc'!$D:$D,$C127,'All Measure &amp; TRC+ Calc'!$B:$B,$A127)</f>
        <v>14848343.094902996</v>
      </c>
      <c r="K127" s="167">
        <f>SUMIFS('All Measure &amp; TRC+ Calc'!AQ:AQ,'All Measure &amp; TRC+ Calc'!$D:$D,$C127,'All Measure &amp; TRC+ Calc'!$B:$B,K$100)</f>
        <v>9445608</v>
      </c>
      <c r="L127" s="164">
        <f>SUMIFS('All Measure &amp; TRC+ Calc'!BG:BG,'All Measure &amp; TRC+ Calc'!$D:$D,$C127,'All Measure &amp; TRC+ Calc'!$B:$B,$A127)-K127</f>
        <v>546395.55572854728</v>
      </c>
      <c r="M127" s="164">
        <f>SUMIFS(Budget!$E:$E,Budget!$C:$C,$C127,Budget!$D:$D,"&lt;&gt;Incentives",Budget!$A:$A,M$100)</f>
        <v>1458921</v>
      </c>
      <c r="N127" s="168">
        <f>SUM(K127:M127)</f>
        <v>11450924.555728547</v>
      </c>
      <c r="O127" s="231">
        <f t="shared" si="46"/>
        <v>3397418.5391744487</v>
      </c>
      <c r="P127" s="234">
        <f t="shared" si="47"/>
        <v>1.2966938191444832</v>
      </c>
    </row>
    <row r="128" spans="1:16" x14ac:dyDescent="0.25">
      <c r="A128" s="153">
        <v>2029</v>
      </c>
      <c r="C128" s="149" t="s">
        <v>23</v>
      </c>
      <c r="D128" s="169">
        <v>0</v>
      </c>
      <c r="E128" s="169">
        <v>0</v>
      </c>
      <c r="F128" s="169">
        <v>0</v>
      </c>
      <c r="G128" s="169">
        <v>0</v>
      </c>
      <c r="H128" s="169">
        <v>0</v>
      </c>
      <c r="I128" s="169">
        <v>0</v>
      </c>
      <c r="J128" s="197">
        <v>0</v>
      </c>
      <c r="K128" s="171">
        <v>0</v>
      </c>
      <c r="L128" s="170">
        <v>0</v>
      </c>
      <c r="M128" s="164">
        <f>SUMIFS(Budget!$E:$E,Budget!$C:$C,$C128,Budget!$D:$D,"&lt;&gt;Incentives",Budget!$A:$A,M$100)</f>
        <v>1902125</v>
      </c>
      <c r="N128" s="168">
        <f>SUM(K128:M128)</f>
        <v>1902125</v>
      </c>
      <c r="O128" s="231">
        <f t="shared" si="46"/>
        <v>-1902125</v>
      </c>
      <c r="P128" s="235">
        <f t="shared" si="47"/>
        <v>0</v>
      </c>
    </row>
    <row r="129" spans="1:16" x14ac:dyDescent="0.25">
      <c r="A129" s="153">
        <v>2029</v>
      </c>
      <c r="C129" s="150" t="s">
        <v>140</v>
      </c>
      <c r="D129" s="158">
        <f t="shared" ref="D129:N129" si="57">SUM(D130:D131)</f>
        <v>62592997.53488154</v>
      </c>
      <c r="E129" s="158">
        <f t="shared" si="57"/>
        <v>365931.76185981865</v>
      </c>
      <c r="F129" s="158">
        <f t="shared" si="57"/>
        <v>292163.78822099115</v>
      </c>
      <c r="G129" s="158">
        <f t="shared" si="57"/>
        <v>213318.78459856554</v>
      </c>
      <c r="H129" s="158">
        <f t="shared" ref="H129" si="58">SUM(H130:H131)</f>
        <v>17974.935400882834</v>
      </c>
      <c r="I129" s="158">
        <f t="shared" si="57"/>
        <v>0</v>
      </c>
      <c r="J129" s="201">
        <f t="shared" si="57"/>
        <v>63482386.804961801</v>
      </c>
      <c r="K129" s="163">
        <f t="shared" si="57"/>
        <v>10328693.112510175</v>
      </c>
      <c r="L129" s="160">
        <f t="shared" si="57"/>
        <v>0</v>
      </c>
      <c r="M129" s="160">
        <f t="shared" si="57"/>
        <v>311386</v>
      </c>
      <c r="N129" s="162">
        <f t="shared" si="57"/>
        <v>10640079.112510175</v>
      </c>
      <c r="O129" s="230">
        <f t="shared" si="46"/>
        <v>52842307.692451626</v>
      </c>
      <c r="P129" s="233">
        <f t="shared" si="47"/>
        <v>5.9663453752258082</v>
      </c>
    </row>
    <row r="130" spans="1:16" x14ac:dyDescent="0.25">
      <c r="A130" s="153">
        <v>2029</v>
      </c>
      <c r="C130" s="149" t="s">
        <v>27</v>
      </c>
      <c r="D130" s="165">
        <f>SUMIFS('All Measure &amp; TRC+ Calc'!AT:AT,'All Measure &amp; TRC+ Calc'!$D:$D,$C130,'All Measure &amp; TRC+ Calc'!$B:$B,D$100)</f>
        <v>62592997.53488154</v>
      </c>
      <c r="E130" s="165">
        <f>SUMIFS('All Measure &amp; TRC+ Calc'!AU:AU,'All Measure &amp; TRC+ Calc'!$D:$D,$C130,'All Measure &amp; TRC+ Calc'!$B:$B,E$100)</f>
        <v>365931.76185981865</v>
      </c>
      <c r="F130" s="165">
        <f>SUMIFS('All Measure &amp; TRC+ Calc'!AV:AV,'All Measure &amp; TRC+ Calc'!$D:$D,$C130,'All Measure &amp; TRC+ Calc'!$B:$B,F$100)</f>
        <v>292163.78822099115</v>
      </c>
      <c r="G130" s="165">
        <f>SUMIFS('All Measure &amp; TRC+ Calc'!AW:AW,'All Measure &amp; TRC+ Calc'!$D:$D,$C130,'All Measure &amp; TRC+ Calc'!$B:$B,G$100)</f>
        <v>213318.78459856554</v>
      </c>
      <c r="H130" s="165">
        <f>SUMIFS('All Measure &amp; TRC+ Calc'!AX:AX,'All Measure &amp; TRC+ Calc'!$D:$D,$C130,'All Measure &amp; TRC+ Calc'!$B:$B,H$100)</f>
        <v>17974.935400882834</v>
      </c>
      <c r="I130" s="166">
        <f>SUMIFS('All Measure &amp; TRC+ Calc'!AY:AY,'All Measure &amp; TRC+ Calc'!$D:$D,$C130,'All Measure &amp; TRC+ Calc'!$B:$B,$A130)</f>
        <v>0</v>
      </c>
      <c r="J130" s="191">
        <f>SUMIFS('All Measure &amp; TRC+ Calc'!BF:BF,'All Measure &amp; TRC+ Calc'!$D:$D,$C130,'All Measure &amp; TRC+ Calc'!$B:$B,$A130)</f>
        <v>63482386.804961801</v>
      </c>
      <c r="K130" s="167">
        <f>SUMIFS('All Measure &amp; TRC+ Calc'!AQ:AQ,'All Measure &amp; TRC+ Calc'!$D:$D,$C130,'All Measure &amp; TRC+ Calc'!$B:$B,K$100)</f>
        <v>10328693.112510175</v>
      </c>
      <c r="L130" s="164">
        <f>SUMIFS('All Measure &amp; TRC+ Calc'!BG:BG,'All Measure &amp; TRC+ Calc'!$D:$D,$C130,'All Measure &amp; TRC+ Calc'!$B:$B,$A130)-K130</f>
        <v>0</v>
      </c>
      <c r="M130" s="164">
        <f>SUMIFS(Budget!$E:$E,Budget!$C:$C,$C130,Budget!$D:$D,"&lt;&gt;Incentives",Budget!$A:$A,M$100)</f>
        <v>25867</v>
      </c>
      <c r="N130" s="168">
        <f>SUM(K130:M130)</f>
        <v>10354560.112510175</v>
      </c>
      <c r="O130" s="231">
        <f t="shared" si="46"/>
        <v>53127826.692451626</v>
      </c>
      <c r="P130" s="234">
        <f t="shared" si="47"/>
        <v>6.1308627421326802</v>
      </c>
    </row>
    <row r="131" spans="1:16" x14ac:dyDescent="0.25">
      <c r="A131" s="153">
        <v>2029</v>
      </c>
      <c r="C131" s="149" t="s">
        <v>28</v>
      </c>
      <c r="D131" s="169">
        <v>0</v>
      </c>
      <c r="E131" s="169">
        <v>0</v>
      </c>
      <c r="F131" s="169">
        <v>0</v>
      </c>
      <c r="G131" s="169">
        <v>0</v>
      </c>
      <c r="H131" s="169">
        <v>0</v>
      </c>
      <c r="I131" s="169">
        <v>0</v>
      </c>
      <c r="J131" s="197">
        <v>0</v>
      </c>
      <c r="K131" s="171">
        <v>0</v>
      </c>
      <c r="L131" s="170">
        <v>0</v>
      </c>
      <c r="M131" s="164">
        <f>SUMIFS(Budget!$E:$E,Budget!$C:$C,$C131,Budget!$D:$D,"&lt;&gt;Incentives",Budget!$A:$A,M$100)</f>
        <v>285519</v>
      </c>
      <c r="N131" s="168">
        <f>SUM(K131:M131)</f>
        <v>285519</v>
      </c>
      <c r="O131" s="231">
        <f t="shared" si="46"/>
        <v>-285519</v>
      </c>
      <c r="P131" s="235">
        <f t="shared" si="47"/>
        <v>0</v>
      </c>
    </row>
    <row r="132" spans="1:16" x14ac:dyDescent="0.25">
      <c r="A132" s="153">
        <v>2029</v>
      </c>
      <c r="C132" s="150" t="s">
        <v>187</v>
      </c>
      <c r="D132" s="237">
        <f t="shared" ref="D132" si="59">SUM(D133:D140)</f>
        <v>0</v>
      </c>
      <c r="E132" s="237">
        <f t="shared" ref="E132" si="60">SUM(E133:E140)</f>
        <v>0</v>
      </c>
      <c r="F132" s="237">
        <f t="shared" ref="F132" si="61">SUM(F133:F140)</f>
        <v>0</v>
      </c>
      <c r="G132" s="237">
        <f t="shared" ref="G132" si="62">SUM(G133:G140)</f>
        <v>0</v>
      </c>
      <c r="H132" s="237">
        <f t="shared" ref="H132" si="63">SUM(H133:H140)</f>
        <v>0</v>
      </c>
      <c r="I132" s="237">
        <f t="shared" ref="I132" si="64">SUM(I133:I140)</f>
        <v>0</v>
      </c>
      <c r="J132" s="206">
        <f t="shared" ref="J132" si="65">SUM(J133:J140)</f>
        <v>0</v>
      </c>
      <c r="K132" s="238">
        <f t="shared" ref="K132" si="66">SUM(K133:K140)</f>
        <v>0</v>
      </c>
      <c r="L132" s="239">
        <f t="shared" ref="L132" si="67">SUM(L133:L140)</f>
        <v>0</v>
      </c>
      <c r="M132" s="160">
        <f>SUM(M133:M140)</f>
        <v>18042873</v>
      </c>
      <c r="N132" s="162">
        <f>SUM(N133:N140)</f>
        <v>18042873</v>
      </c>
      <c r="O132" s="230">
        <f t="shared" si="46"/>
        <v>-18042873</v>
      </c>
      <c r="P132" s="233">
        <f t="shared" si="47"/>
        <v>0</v>
      </c>
    </row>
    <row r="133" spans="1:16" x14ac:dyDescent="0.25">
      <c r="A133" s="153">
        <v>2029</v>
      </c>
      <c r="C133" s="149" t="s">
        <v>30</v>
      </c>
      <c r="D133" s="169">
        <v>0</v>
      </c>
      <c r="E133" s="169">
        <v>0</v>
      </c>
      <c r="F133" s="169">
        <v>0</v>
      </c>
      <c r="G133" s="169">
        <v>0</v>
      </c>
      <c r="H133" s="169">
        <v>0</v>
      </c>
      <c r="I133" s="169">
        <v>0</v>
      </c>
      <c r="J133" s="197">
        <v>0</v>
      </c>
      <c r="K133" s="171">
        <v>0</v>
      </c>
      <c r="L133" s="170">
        <v>0</v>
      </c>
      <c r="M133" s="164">
        <f>SUMIFS(Budget!$E:$E,Budget!$C:$C,$C133,Budget!$D:$D,"&lt;&gt;Incentives",Budget!$A:$A,M$100)</f>
        <v>7970936</v>
      </c>
      <c r="N133" s="168">
        <f t="shared" ref="N133:N140" si="68">SUM(K133:M133)</f>
        <v>7970936</v>
      </c>
      <c r="O133" s="231">
        <f t="shared" si="46"/>
        <v>-7970936</v>
      </c>
      <c r="P133" s="235">
        <f t="shared" si="47"/>
        <v>0</v>
      </c>
    </row>
    <row r="134" spans="1:16" x14ac:dyDescent="0.25">
      <c r="A134" s="153">
        <v>2029</v>
      </c>
      <c r="C134" s="149" t="s">
        <v>32</v>
      </c>
      <c r="D134" s="169">
        <v>0</v>
      </c>
      <c r="E134" s="169">
        <v>0</v>
      </c>
      <c r="F134" s="169">
        <v>0</v>
      </c>
      <c r="G134" s="169">
        <v>0</v>
      </c>
      <c r="H134" s="169">
        <v>0</v>
      </c>
      <c r="I134" s="169">
        <v>0</v>
      </c>
      <c r="J134" s="197">
        <v>0</v>
      </c>
      <c r="K134" s="171">
        <v>0</v>
      </c>
      <c r="L134" s="170">
        <v>0</v>
      </c>
      <c r="M134" s="164">
        <f>SUMIFS(Budget!$E:$E,Budget!$C:$C,$C134,Budget!$D:$D,"&lt;&gt;Incentives",Budget!$A:$A,M$100)</f>
        <v>1430985</v>
      </c>
      <c r="N134" s="168">
        <f t="shared" si="68"/>
        <v>1430985</v>
      </c>
      <c r="O134" s="231">
        <f t="shared" si="46"/>
        <v>-1430985</v>
      </c>
      <c r="P134" s="235">
        <f t="shared" si="47"/>
        <v>0</v>
      </c>
    </row>
    <row r="135" spans="1:16" x14ac:dyDescent="0.25">
      <c r="A135" s="153">
        <v>2029</v>
      </c>
      <c r="C135" s="149" t="s">
        <v>177</v>
      </c>
      <c r="D135" s="169">
        <v>0</v>
      </c>
      <c r="E135" s="169">
        <v>0</v>
      </c>
      <c r="F135" s="169">
        <v>0</v>
      </c>
      <c r="G135" s="169">
        <v>0</v>
      </c>
      <c r="H135" s="169">
        <v>0</v>
      </c>
      <c r="I135" s="169">
        <v>0</v>
      </c>
      <c r="J135" s="197">
        <v>0</v>
      </c>
      <c r="K135" s="171">
        <v>0</v>
      </c>
      <c r="L135" s="170">
        <v>0</v>
      </c>
      <c r="M135" s="164">
        <f>SUMIFS(Budget!$E:$E,Budget!$C:$C,$C135,Budget!$D:$D,"&lt;&gt;Incentives",Budget!$A:$A,M$100)</f>
        <v>631164</v>
      </c>
      <c r="N135" s="168">
        <f t="shared" si="68"/>
        <v>631164</v>
      </c>
      <c r="O135" s="231">
        <f t="shared" si="46"/>
        <v>-631164</v>
      </c>
      <c r="P135" s="235">
        <f t="shared" si="47"/>
        <v>0</v>
      </c>
    </row>
    <row r="136" spans="1:16" x14ac:dyDescent="0.25">
      <c r="A136" s="153">
        <v>2029</v>
      </c>
      <c r="C136" s="149" t="s">
        <v>34</v>
      </c>
      <c r="D136" s="169">
        <v>0</v>
      </c>
      <c r="E136" s="169">
        <v>0</v>
      </c>
      <c r="F136" s="169">
        <v>0</v>
      </c>
      <c r="G136" s="169">
        <v>0</v>
      </c>
      <c r="H136" s="169">
        <v>0</v>
      </c>
      <c r="I136" s="169">
        <v>0</v>
      </c>
      <c r="J136" s="197">
        <v>0</v>
      </c>
      <c r="K136" s="171">
        <v>0</v>
      </c>
      <c r="L136" s="170">
        <v>0</v>
      </c>
      <c r="M136" s="164">
        <f>SUMIFS(Budget!$E:$E,Budget!$C:$C,$C136,Budget!$D:$D,"&lt;&gt;Incentives",Budget!$A:$A,M$100)</f>
        <v>3207557</v>
      </c>
      <c r="N136" s="168">
        <f t="shared" si="68"/>
        <v>3207557</v>
      </c>
      <c r="O136" s="231">
        <f t="shared" si="46"/>
        <v>-3207557</v>
      </c>
      <c r="P136" s="235">
        <f t="shared" si="47"/>
        <v>0</v>
      </c>
    </row>
    <row r="137" spans="1:16" x14ac:dyDescent="0.25">
      <c r="A137" s="153">
        <v>2029</v>
      </c>
      <c r="C137" s="149" t="s">
        <v>36</v>
      </c>
      <c r="D137" s="169">
        <v>0</v>
      </c>
      <c r="E137" s="169">
        <v>0</v>
      </c>
      <c r="F137" s="169">
        <v>0</v>
      </c>
      <c r="G137" s="169">
        <v>0</v>
      </c>
      <c r="H137" s="169">
        <v>0</v>
      </c>
      <c r="I137" s="169">
        <v>0</v>
      </c>
      <c r="J137" s="197">
        <v>0</v>
      </c>
      <c r="K137" s="171">
        <v>0</v>
      </c>
      <c r="L137" s="170">
        <v>0</v>
      </c>
      <c r="M137" s="164">
        <f>SUMIFS(Budget!$E:$E,Budget!$C:$C,$C137,Budget!$D:$D,"&lt;&gt;Incentives",Budget!$A:$A,M$100)</f>
        <v>856728</v>
      </c>
      <c r="N137" s="168">
        <f t="shared" si="68"/>
        <v>856728</v>
      </c>
      <c r="O137" s="231">
        <f t="shared" si="46"/>
        <v>-856728</v>
      </c>
      <c r="P137" s="235">
        <f t="shared" si="47"/>
        <v>0</v>
      </c>
    </row>
    <row r="138" spans="1:16" x14ac:dyDescent="0.25">
      <c r="A138" s="153">
        <v>2029</v>
      </c>
      <c r="C138" s="149" t="s">
        <v>35</v>
      </c>
      <c r="D138" s="169">
        <v>0</v>
      </c>
      <c r="E138" s="169">
        <v>0</v>
      </c>
      <c r="F138" s="169">
        <v>0</v>
      </c>
      <c r="G138" s="169">
        <v>0</v>
      </c>
      <c r="H138" s="169">
        <v>0</v>
      </c>
      <c r="I138" s="169">
        <v>0</v>
      </c>
      <c r="J138" s="197">
        <v>0</v>
      </c>
      <c r="K138" s="171">
        <v>0</v>
      </c>
      <c r="L138" s="170">
        <v>0</v>
      </c>
      <c r="M138" s="164">
        <f>SUMIFS(Budget!$E:$E,Budget!$C:$C,$C138,Budget!$D:$D,"&lt;&gt;Incentives",Budget!$A:$A,M$100)</f>
        <v>610471</v>
      </c>
      <c r="N138" s="168">
        <f t="shared" si="68"/>
        <v>610471</v>
      </c>
      <c r="O138" s="231">
        <f t="shared" si="46"/>
        <v>-610471</v>
      </c>
      <c r="P138" s="235">
        <f t="shared" si="47"/>
        <v>0</v>
      </c>
    </row>
    <row r="139" spans="1:16" x14ac:dyDescent="0.25">
      <c r="A139" s="153">
        <v>2029</v>
      </c>
      <c r="C139" s="149" t="s">
        <v>38</v>
      </c>
      <c r="D139" s="169">
        <v>0</v>
      </c>
      <c r="E139" s="169">
        <v>0</v>
      </c>
      <c r="F139" s="169">
        <v>0</v>
      </c>
      <c r="G139" s="169">
        <v>0</v>
      </c>
      <c r="H139" s="169">
        <v>0</v>
      </c>
      <c r="I139" s="169">
        <v>0</v>
      </c>
      <c r="J139" s="197">
        <v>0</v>
      </c>
      <c r="K139" s="171">
        <v>0</v>
      </c>
      <c r="L139" s="170">
        <v>0</v>
      </c>
      <c r="M139" s="164">
        <f>SUMIFS(Budget!$E:$E,Budget!$C:$C,$C139,Budget!$D:$D,"&lt;&gt;Incentives",Budget!$A:$A,M$100)</f>
        <v>3335032</v>
      </c>
      <c r="N139" s="168">
        <f t="shared" si="68"/>
        <v>3335032</v>
      </c>
      <c r="O139" s="231">
        <f t="shared" si="46"/>
        <v>-3335032</v>
      </c>
      <c r="P139" s="235">
        <f t="shared" si="47"/>
        <v>0</v>
      </c>
    </row>
    <row r="140" spans="1:16" ht="13.5" thickBot="1" x14ac:dyDescent="0.3">
      <c r="A140" s="153">
        <v>2029</v>
      </c>
      <c r="C140" s="207" t="s">
        <v>178</v>
      </c>
      <c r="D140" s="169">
        <v>0</v>
      </c>
      <c r="E140" s="169">
        <v>0</v>
      </c>
      <c r="F140" s="169">
        <v>0</v>
      </c>
      <c r="G140" s="169">
        <v>0</v>
      </c>
      <c r="H140" s="169">
        <v>0</v>
      </c>
      <c r="I140" s="169">
        <v>0</v>
      </c>
      <c r="J140" s="210">
        <v>0</v>
      </c>
      <c r="K140" s="171">
        <v>0</v>
      </c>
      <c r="L140" s="170">
        <v>0</v>
      </c>
      <c r="M140" s="164">
        <f>SUMIFS(Budget!$E:$E,Budget!$C:$C,$C140,Budget!$D:$D,"&lt;&gt;Incentives",Budget!$A:$A,M$100)</f>
        <v>0</v>
      </c>
      <c r="N140" s="168">
        <f t="shared" si="68"/>
        <v>0</v>
      </c>
      <c r="O140" s="232">
        <f t="shared" si="46"/>
        <v>0</v>
      </c>
      <c r="P140" s="236">
        <f t="shared" si="47"/>
        <v>0</v>
      </c>
    </row>
    <row r="141" spans="1:16" ht="13.5" thickTop="1" x14ac:dyDescent="0.25">
      <c r="A141" s="153">
        <v>2029</v>
      </c>
      <c r="C141" s="215" t="s">
        <v>131</v>
      </c>
      <c r="D141" s="216">
        <f t="shared" ref="D141:N141" si="69">SUM(D102,D110,D120,D125,D129,D132)</f>
        <v>579647105.64615476</v>
      </c>
      <c r="E141" s="216">
        <f t="shared" si="69"/>
        <v>2935337.1510818237</v>
      </c>
      <c r="F141" s="216">
        <f t="shared" si="69"/>
        <v>13399460.462667506</v>
      </c>
      <c r="G141" s="216">
        <f t="shared" si="69"/>
        <v>40587182.648812339</v>
      </c>
      <c r="H141" s="216">
        <f t="shared" si="69"/>
        <v>1161672.2206900981</v>
      </c>
      <c r="I141" s="216">
        <f t="shared" si="69"/>
        <v>0</v>
      </c>
      <c r="J141" s="221">
        <f t="shared" si="69"/>
        <v>637730758.12940633</v>
      </c>
      <c r="K141" s="223">
        <f t="shared" si="69"/>
        <v>256871362.26391691</v>
      </c>
      <c r="L141" s="222">
        <f t="shared" si="69"/>
        <v>30448177.100407142</v>
      </c>
      <c r="M141" s="222">
        <f t="shared" si="69"/>
        <v>58825281</v>
      </c>
      <c r="N141" s="224">
        <f t="shared" si="69"/>
        <v>346144820.36432409</v>
      </c>
      <c r="O141" s="224">
        <f t="shared" si="46"/>
        <v>291585937.76508224</v>
      </c>
      <c r="P141" s="217">
        <f t="shared" si="47"/>
        <v>1.8423813404406353</v>
      </c>
    </row>
    <row r="142" spans="1:16" x14ac:dyDescent="0.25">
      <c r="A142" s="153"/>
      <c r="F142" s="139"/>
      <c r="G142" s="139"/>
      <c r="H142" s="139"/>
    </row>
    <row r="143" spans="1:16" x14ac:dyDescent="0.25">
      <c r="A143" s="153"/>
      <c r="F143" s="139"/>
      <c r="G143" s="139"/>
      <c r="H143" s="139"/>
    </row>
    <row r="144" spans="1:16" x14ac:dyDescent="0.25">
      <c r="A144" s="153"/>
    </row>
    <row r="145" spans="1:16" ht="16.5" thickBot="1" x14ac:dyDescent="0.3">
      <c r="A145" s="153"/>
      <c r="C145" s="220" t="s">
        <v>370</v>
      </c>
      <c r="D145" s="154"/>
      <c r="E145" s="155"/>
      <c r="F145" s="155"/>
      <c r="G145" s="155"/>
      <c r="H145" s="155"/>
      <c r="I145" s="155"/>
      <c r="J145" s="155"/>
    </row>
    <row r="146" spans="1:16" ht="13.5" thickTop="1" x14ac:dyDescent="0.25">
      <c r="A146" s="153"/>
    </row>
    <row r="147" spans="1:16" x14ac:dyDescent="0.25">
      <c r="A147" s="153"/>
      <c r="D147" s="396" t="s">
        <v>365</v>
      </c>
      <c r="E147" s="397"/>
      <c r="F147" s="397"/>
      <c r="G147" s="397"/>
      <c r="H147" s="397"/>
      <c r="I147" s="397"/>
      <c r="J147" s="398"/>
      <c r="K147" s="396" t="s">
        <v>179</v>
      </c>
      <c r="L147" s="397"/>
      <c r="M147" s="397"/>
      <c r="N147" s="398"/>
      <c r="O147" s="175" t="s">
        <v>31</v>
      </c>
      <c r="P147" s="175" t="s">
        <v>211</v>
      </c>
    </row>
    <row r="148" spans="1:16" x14ac:dyDescent="0.25">
      <c r="A148" s="153"/>
      <c r="D148" s="240">
        <v>2030</v>
      </c>
      <c r="E148" s="241">
        <f t="shared" ref="E148:P148" si="70">D148</f>
        <v>2030</v>
      </c>
      <c r="F148" s="241">
        <f t="shared" si="70"/>
        <v>2030</v>
      </c>
      <c r="G148" s="241">
        <f t="shared" si="70"/>
        <v>2030</v>
      </c>
      <c r="H148" s="241">
        <f t="shared" si="70"/>
        <v>2030</v>
      </c>
      <c r="I148" s="241">
        <f>G148</f>
        <v>2030</v>
      </c>
      <c r="J148" s="242">
        <f>I148</f>
        <v>2030</v>
      </c>
      <c r="K148" s="240">
        <f>J148</f>
        <v>2030</v>
      </c>
      <c r="L148" s="241">
        <f t="shared" si="70"/>
        <v>2030</v>
      </c>
      <c r="M148" s="241">
        <f t="shared" si="70"/>
        <v>2030</v>
      </c>
      <c r="N148" s="241">
        <f t="shared" si="70"/>
        <v>2030</v>
      </c>
      <c r="O148" s="243">
        <f t="shared" si="70"/>
        <v>2030</v>
      </c>
      <c r="P148" s="243">
        <f t="shared" si="70"/>
        <v>2030</v>
      </c>
    </row>
    <row r="149" spans="1:16" ht="38.25" x14ac:dyDescent="0.25">
      <c r="A149" s="153"/>
      <c r="C149" s="157"/>
      <c r="D149" s="225" t="s">
        <v>180</v>
      </c>
      <c r="E149" s="226" t="s">
        <v>181</v>
      </c>
      <c r="F149" s="226" t="s">
        <v>182</v>
      </c>
      <c r="G149" s="226" t="s">
        <v>188</v>
      </c>
      <c r="H149" s="226" t="s">
        <v>188</v>
      </c>
      <c r="I149" s="226" t="s">
        <v>183</v>
      </c>
      <c r="J149" s="228" t="s">
        <v>366</v>
      </c>
      <c r="K149" s="225" t="s">
        <v>184</v>
      </c>
      <c r="L149" s="226" t="s">
        <v>185</v>
      </c>
      <c r="M149" s="226" t="s">
        <v>155</v>
      </c>
      <c r="N149" s="227" t="s">
        <v>186</v>
      </c>
      <c r="O149" s="229" t="s">
        <v>368</v>
      </c>
      <c r="P149" s="229" t="s">
        <v>211</v>
      </c>
    </row>
    <row r="150" spans="1:16" x14ac:dyDescent="0.25">
      <c r="A150" s="153">
        <v>2030</v>
      </c>
      <c r="C150" s="182" t="s">
        <v>135</v>
      </c>
      <c r="D150" s="158">
        <f t="shared" ref="D150:N150" si="71">SUM(D151:D157)</f>
        <v>103721429.48539022</v>
      </c>
      <c r="E150" s="158">
        <f t="shared" si="71"/>
        <v>0</v>
      </c>
      <c r="F150" s="158">
        <f t="shared" si="71"/>
        <v>4641696.2818185501</v>
      </c>
      <c r="G150" s="158">
        <f t="shared" si="71"/>
        <v>23345528.207734238</v>
      </c>
      <c r="H150" s="158">
        <f t="shared" si="71"/>
        <v>337541.34834193601</v>
      </c>
      <c r="I150" s="158">
        <f t="shared" si="71"/>
        <v>0</v>
      </c>
      <c r="J150" s="201">
        <f t="shared" si="71"/>
        <v>132046195.32328492</v>
      </c>
      <c r="K150" s="161">
        <f t="shared" si="71"/>
        <v>95940417.150000006</v>
      </c>
      <c r="L150" s="160">
        <f t="shared" si="71"/>
        <v>17249420.847640298</v>
      </c>
      <c r="M150" s="160">
        <f t="shared" si="71"/>
        <v>15504460</v>
      </c>
      <c r="N150" s="162">
        <f t="shared" si="71"/>
        <v>128694297.9976403</v>
      </c>
      <c r="O150" s="230">
        <f t="shared" ref="O150:O189" si="72">J150-N150</f>
        <v>3351897.3256446272</v>
      </c>
      <c r="P150" s="233">
        <f t="shared" ref="P150:P189" si="73">IFERROR(J150/N150,0)</f>
        <v>1.026045422196608</v>
      </c>
    </row>
    <row r="151" spans="1:16" x14ac:dyDescent="0.25">
      <c r="A151" s="153">
        <v>2030</v>
      </c>
      <c r="C151" s="149" t="s">
        <v>159</v>
      </c>
      <c r="D151" s="165">
        <f>SUMIFS('All Measure &amp; TRC+ Calc'!AT:AT,'All Measure &amp; TRC+ Calc'!$D:$D,$C151,'All Measure &amp; TRC+ Calc'!$B:$B,D$148)</f>
        <v>22568225.366605081</v>
      </c>
      <c r="E151" s="165">
        <f>SUMIFS('All Measure &amp; TRC+ Calc'!AU:AU,'All Measure &amp; TRC+ Calc'!$D:$D,$C151,'All Measure &amp; TRC+ Calc'!$B:$B,E$148)</f>
        <v>0</v>
      </c>
      <c r="F151" s="165">
        <f>SUMIFS('All Measure &amp; TRC+ Calc'!AV:AV,'All Measure &amp; TRC+ Calc'!$D:$D,$C151,'All Measure &amp; TRC+ Calc'!$B:$B,F$148)</f>
        <v>177780.39114745273</v>
      </c>
      <c r="G151" s="165">
        <f>SUMIFS('All Measure &amp; TRC+ Calc'!AW:AW,'All Measure &amp; TRC+ Calc'!$D:$D,$C151,'All Measure &amp; TRC+ Calc'!$B:$B,G$148)</f>
        <v>186782.09576156727</v>
      </c>
      <c r="H151" s="165">
        <f>SUMIFS('All Measure &amp; TRC+ Calc'!AX:AX,'All Measure &amp; TRC+ Calc'!$D:$D,$C151,'All Measure &amp; TRC+ Calc'!$B:$B,H$148)</f>
        <v>24033.100962622335</v>
      </c>
      <c r="I151" s="166">
        <f>SUMIFS('All Measure &amp; TRC+ Calc'!AY:AY,'All Measure &amp; TRC+ Calc'!$D:$D,$C151,'All Measure &amp; TRC+ Calc'!$B:$B,$A151)</f>
        <v>0</v>
      </c>
      <c r="J151" s="191">
        <f>SUMIFS('All Measure &amp; TRC+ Calc'!BF:BF,'All Measure &amp; TRC+ Calc'!$D:$D,$C151,'All Measure &amp; TRC+ Calc'!$B:$B,$A151)</f>
        <v>22956820.954476725</v>
      </c>
      <c r="K151" s="167">
        <f>SUMIFS('All Measure &amp; TRC+ Calc'!AQ:AQ,'All Measure &amp; TRC+ Calc'!$D:$D,$C151,'All Measure &amp; TRC+ Calc'!$B:$B,K$148)</f>
        <v>33476784.75</v>
      </c>
      <c r="L151" s="164">
        <f>SUMIFS('All Measure &amp; TRC+ Calc'!BG:BG,'All Measure &amp; TRC+ Calc'!$D:$D,$C151,'All Measure &amp; TRC+ Calc'!$B:$B,$A151)-K151</f>
        <v>0</v>
      </c>
      <c r="M151" s="164">
        <f>SUMIFS(Budget!$E:$E,Budget!$C:$C,$C151,Budget!$D:$D,"&lt;&gt;Incentives",Budget!$A:$A,M$148)</f>
        <v>1744507</v>
      </c>
      <c r="N151" s="168">
        <f t="shared" ref="N151:N157" si="74">SUM(K151:M151)</f>
        <v>35221291.75</v>
      </c>
      <c r="O151" s="231">
        <f t="shared" si="72"/>
        <v>-12264470.795523275</v>
      </c>
      <c r="P151" s="234">
        <f t="shared" si="73"/>
        <v>0.65178816033846132</v>
      </c>
    </row>
    <row r="152" spans="1:16" x14ac:dyDescent="0.25">
      <c r="A152" s="153">
        <v>2030</v>
      </c>
      <c r="C152" s="149" t="s">
        <v>130</v>
      </c>
      <c r="D152" s="165">
        <f>SUMIFS('All Measure &amp; TRC+ Calc'!AT:AT,'All Measure &amp; TRC+ Calc'!$D:$D,$C152,'All Measure &amp; TRC+ Calc'!$B:$B,D$148)</f>
        <v>32282804.891841281</v>
      </c>
      <c r="E152" s="165">
        <f>SUMIFS('All Measure &amp; TRC+ Calc'!AU:AU,'All Measure &amp; TRC+ Calc'!$D:$D,$C152,'All Measure &amp; TRC+ Calc'!$B:$B,E$148)</f>
        <v>0</v>
      </c>
      <c r="F152" s="165">
        <f>SUMIFS('All Measure &amp; TRC+ Calc'!AV:AV,'All Measure &amp; TRC+ Calc'!$D:$D,$C152,'All Measure &amp; TRC+ Calc'!$B:$B,F$148)</f>
        <v>1038308.5973116959</v>
      </c>
      <c r="G152" s="165">
        <f>SUMIFS('All Measure &amp; TRC+ Calc'!AW:AW,'All Measure &amp; TRC+ Calc'!$D:$D,$C152,'All Measure &amp; TRC+ Calc'!$B:$B,G$148)</f>
        <v>5833037.6981757237</v>
      </c>
      <c r="H152" s="165">
        <f>SUMIFS('All Measure &amp; TRC+ Calc'!AX:AX,'All Measure &amp; TRC+ Calc'!$D:$D,$C152,'All Measure &amp; TRC+ Calc'!$B:$B,H$148)</f>
        <v>61383.531852618762</v>
      </c>
      <c r="I152" s="166">
        <f>SUMIFS('All Measure &amp; TRC+ Calc'!AY:AY,'All Measure &amp; TRC+ Calc'!$D:$D,$C152,'All Measure &amp; TRC+ Calc'!$B:$B,$A152)</f>
        <v>0</v>
      </c>
      <c r="J152" s="191">
        <f>SUMIFS('All Measure &amp; TRC+ Calc'!BF:BF,'All Measure &amp; TRC+ Calc'!$D:$D,$C152,'All Measure &amp; TRC+ Calc'!$B:$B,$A152)</f>
        <v>39215534.719181322</v>
      </c>
      <c r="K152" s="167">
        <f>SUMIFS('All Measure &amp; TRC+ Calc'!AQ:AQ,'All Measure &amp; TRC+ Calc'!$D:$D,$C152,'All Measure &amp; TRC+ Calc'!$B:$B,K$148)</f>
        <v>28658000</v>
      </c>
      <c r="L152" s="164">
        <f>SUMIFS('All Measure &amp; TRC+ Calc'!BG:BG,'All Measure &amp; TRC+ Calc'!$D:$D,$C152,'All Measure &amp; TRC+ Calc'!$B:$B,$A152)-K152</f>
        <v>0</v>
      </c>
      <c r="M152" s="164">
        <f>SUMIFS(Budget!$E:$E,Budget!$C:$C,$C152,Budget!$D:$D,"&lt;&gt;Incentives",Budget!$A:$A,M$148)</f>
        <v>2219739</v>
      </c>
      <c r="N152" s="168">
        <f t="shared" si="74"/>
        <v>30877739</v>
      </c>
      <c r="O152" s="231">
        <f t="shared" si="72"/>
        <v>8337795.7191813216</v>
      </c>
      <c r="P152" s="234">
        <f t="shared" si="73"/>
        <v>1.2700261090742855</v>
      </c>
    </row>
    <row r="153" spans="1:16" x14ac:dyDescent="0.25">
      <c r="A153" s="153">
        <v>2030</v>
      </c>
      <c r="C153" s="149" t="s">
        <v>333</v>
      </c>
      <c r="D153" s="165">
        <f>SUMIFS('All Measure &amp; TRC+ Calc'!AT:AT,'All Measure &amp; TRC+ Calc'!$D:$D,$C153,'All Measure &amp; TRC+ Calc'!$B:$B,D$148)</f>
        <v>21480125.048971899</v>
      </c>
      <c r="E153" s="165">
        <f>SUMIFS('All Measure &amp; TRC+ Calc'!AU:AU,'All Measure &amp; TRC+ Calc'!$D:$D,$C153,'All Measure &amp; TRC+ Calc'!$B:$B,E$148)</f>
        <v>0</v>
      </c>
      <c r="F153" s="165">
        <f>SUMIFS('All Measure &amp; TRC+ Calc'!AV:AV,'All Measure &amp; TRC+ Calc'!$D:$D,$C153,'All Measure &amp; TRC+ Calc'!$B:$B,F$148)</f>
        <v>0</v>
      </c>
      <c r="G153" s="165">
        <f>SUMIFS('All Measure &amp; TRC+ Calc'!AW:AW,'All Measure &amp; TRC+ Calc'!$D:$D,$C153,'All Measure &amp; TRC+ Calc'!$B:$B,G$148)</f>
        <v>6193685.3896411369</v>
      </c>
      <c r="H153" s="165">
        <f>SUMIFS('All Measure &amp; TRC+ Calc'!AX:AX,'All Measure &amp; TRC+ Calc'!$D:$D,$C153,'All Measure &amp; TRC+ Calc'!$B:$B,H$148)</f>
        <v>0</v>
      </c>
      <c r="I153" s="166">
        <f>SUMIFS('All Measure &amp; TRC+ Calc'!AY:AY,'All Measure &amp; TRC+ Calc'!$D:$D,$C153,'All Measure &amp; TRC+ Calc'!$B:$B,$A153)</f>
        <v>0</v>
      </c>
      <c r="J153" s="191">
        <f>SUMIFS('All Measure &amp; TRC+ Calc'!BF:BF,'All Measure &amp; TRC+ Calc'!$D:$D,$C153,'All Measure &amp; TRC+ Calc'!$B:$B,$A153)</f>
        <v>27673810.438613035</v>
      </c>
      <c r="K153" s="167">
        <f>SUMIFS('All Measure &amp; TRC+ Calc'!AQ:AQ,'All Measure &amp; TRC+ Calc'!$D:$D,$C153,'All Measure &amp; TRC+ Calc'!$B:$B,K$148)</f>
        <v>17369114.399999999</v>
      </c>
      <c r="L153" s="164">
        <f>SUMIFS('All Measure &amp; TRC+ Calc'!BG:BG,'All Measure &amp; TRC+ Calc'!$D:$D,$C153,'All Measure &amp; TRC+ Calc'!$B:$B,$A153)-K153</f>
        <v>17249420.847640298</v>
      </c>
      <c r="M153" s="164">
        <f>SUMIFS(Budget!$E:$E,Budget!$C:$C,$C153,Budget!$D:$D,"&lt;&gt;Incentives",Budget!$A:$A,M$148)</f>
        <v>1303533</v>
      </c>
      <c r="N153" s="168">
        <f t="shared" ref="N153" si="75">SUM(K153:M153)</f>
        <v>35922068.247640297</v>
      </c>
      <c r="O153" s="231">
        <f t="shared" si="72"/>
        <v>-8248257.809027262</v>
      </c>
      <c r="P153" s="234">
        <f t="shared" si="73"/>
        <v>0.77038466292738905</v>
      </c>
    </row>
    <row r="154" spans="1:16" x14ac:dyDescent="0.25">
      <c r="A154" s="153">
        <v>2030</v>
      </c>
      <c r="C154" s="149" t="s">
        <v>160</v>
      </c>
      <c r="D154" s="165">
        <f>SUMIFS('All Measure &amp; TRC+ Calc'!AT:AT,'All Measure &amp; TRC+ Calc'!$D:$D,$C154,'All Measure &amp; TRC+ Calc'!$B:$B,D$148)</f>
        <v>9902125.6918129735</v>
      </c>
      <c r="E154" s="165">
        <f>SUMIFS('All Measure &amp; TRC+ Calc'!AU:AU,'All Measure &amp; TRC+ Calc'!$D:$D,$C154,'All Measure &amp; TRC+ Calc'!$B:$B,E$148)</f>
        <v>0</v>
      </c>
      <c r="F154" s="165">
        <f>SUMIFS('All Measure &amp; TRC+ Calc'!AV:AV,'All Measure &amp; TRC+ Calc'!$D:$D,$C154,'All Measure &amp; TRC+ Calc'!$B:$B,F$148)</f>
        <v>2141246.5470770746</v>
      </c>
      <c r="G154" s="165">
        <f>SUMIFS('All Measure &amp; TRC+ Calc'!AW:AW,'All Measure &amp; TRC+ Calc'!$D:$D,$C154,'All Measure &amp; TRC+ Calc'!$B:$B,G$148)</f>
        <v>6791449.6246004226</v>
      </c>
      <c r="H154" s="165">
        <f>SUMIFS('All Measure &amp; TRC+ Calc'!AX:AX,'All Measure &amp; TRC+ Calc'!$D:$D,$C154,'All Measure &amp; TRC+ Calc'!$B:$B,H$148)</f>
        <v>178650.57085164098</v>
      </c>
      <c r="I154" s="166">
        <f>SUMIFS('All Measure &amp; TRC+ Calc'!AY:AY,'All Measure &amp; TRC+ Calc'!$D:$D,$C154,'All Measure &amp; TRC+ Calc'!$B:$B,$A154)</f>
        <v>0</v>
      </c>
      <c r="J154" s="191">
        <f>SUMIFS('All Measure &amp; TRC+ Calc'!BF:BF,'All Measure &amp; TRC+ Calc'!$D:$D,$C154,'All Measure &amp; TRC+ Calc'!$B:$B,$A154)</f>
        <v>19013472.434342112</v>
      </c>
      <c r="K154" s="167">
        <f>SUMIFS('All Measure &amp; TRC+ Calc'!AQ:AQ,'All Measure &amp; TRC+ Calc'!$D:$D,$C154,'All Measure &amp; TRC+ Calc'!$B:$B,K$148)</f>
        <v>6543568</v>
      </c>
      <c r="L154" s="164">
        <f>SUMIFS('All Measure &amp; TRC+ Calc'!BG:BG,'All Measure &amp; TRC+ Calc'!$D:$D,$C154,'All Measure &amp; TRC+ Calc'!$B:$B,$A154)-K154</f>
        <v>0</v>
      </c>
      <c r="M154" s="164">
        <f>SUMIFS(Budget!$E:$E,Budget!$C:$C,$C154,Budget!$D:$D,"&lt;&gt;Incentives",Budget!$A:$A,M$148)</f>
        <v>3028434</v>
      </c>
      <c r="N154" s="168">
        <f t="shared" si="74"/>
        <v>9572002</v>
      </c>
      <c r="O154" s="231">
        <f t="shared" si="72"/>
        <v>9441470.4343421124</v>
      </c>
      <c r="P154" s="234">
        <f t="shared" si="73"/>
        <v>1.9863631907245853</v>
      </c>
    </row>
    <row r="155" spans="1:16" x14ac:dyDescent="0.25">
      <c r="A155" s="153">
        <v>2030</v>
      </c>
      <c r="C155" s="149" t="s">
        <v>161</v>
      </c>
      <c r="D155" s="165">
        <f>SUMIFS('All Measure &amp; TRC+ Calc'!AT:AT,'All Measure &amp; TRC+ Calc'!$D:$D,$C155,'All Measure &amp; TRC+ Calc'!$B:$B,D$148)</f>
        <v>15022304.64854113</v>
      </c>
      <c r="E155" s="165">
        <f>SUMIFS('All Measure &amp; TRC+ Calc'!AU:AU,'All Measure &amp; TRC+ Calc'!$D:$D,$C155,'All Measure &amp; TRC+ Calc'!$B:$B,E$148)</f>
        <v>0</v>
      </c>
      <c r="F155" s="165">
        <f>SUMIFS('All Measure &amp; TRC+ Calc'!AV:AV,'All Measure &amp; TRC+ Calc'!$D:$D,$C155,'All Measure &amp; TRC+ Calc'!$B:$B,F$148)</f>
        <v>1000721.8330247728</v>
      </c>
      <c r="G155" s="165">
        <f>SUMIFS('All Measure &amp; TRC+ Calc'!AW:AW,'All Measure &amp; TRC+ Calc'!$D:$D,$C155,'All Measure &amp; TRC+ Calc'!$B:$B,G$148)</f>
        <v>4181970.9896964924</v>
      </c>
      <c r="H155" s="165">
        <f>SUMIFS('All Measure &amp; TRC+ Calc'!AX:AX,'All Measure &amp; TRC+ Calc'!$D:$D,$C155,'All Measure &amp; TRC+ Calc'!$B:$B,H$148)</f>
        <v>73474.144675053962</v>
      </c>
      <c r="I155" s="166">
        <f>SUMIFS('All Measure &amp; TRC+ Calc'!AY:AY,'All Measure &amp; TRC+ Calc'!$D:$D,$C155,'All Measure &amp; TRC+ Calc'!$B:$B,$A155)</f>
        <v>0</v>
      </c>
      <c r="J155" s="191">
        <f>SUMIFS('All Measure &amp; TRC+ Calc'!BF:BF,'All Measure &amp; TRC+ Calc'!$D:$D,$C155,'All Measure &amp; TRC+ Calc'!$B:$B,$A155)</f>
        <v>20278471.615937449</v>
      </c>
      <c r="K155" s="167">
        <f>SUMIFS('All Measure &amp; TRC+ Calc'!AQ:AQ,'All Measure &amp; TRC+ Calc'!$D:$D,$C155,'All Measure &amp; TRC+ Calc'!$B:$B,K$148)</f>
        <v>9892950</v>
      </c>
      <c r="L155" s="164">
        <f>SUMIFS('All Measure &amp; TRC+ Calc'!BG:BG,'All Measure &amp; TRC+ Calc'!$D:$D,$C155,'All Measure &amp; TRC+ Calc'!$B:$B,$A155)-K155</f>
        <v>0</v>
      </c>
      <c r="M155" s="164">
        <f>SUMIFS(Budget!$E:$E,Budget!$C:$C,$C155,Budget!$D:$D,"&lt;&gt;Incentives",Budget!$A:$A,M$148)</f>
        <v>1131429</v>
      </c>
      <c r="N155" s="168">
        <f t="shared" si="74"/>
        <v>11024379</v>
      </c>
      <c r="O155" s="231">
        <f t="shared" si="72"/>
        <v>9254092.615937449</v>
      </c>
      <c r="P155" s="234">
        <f t="shared" si="73"/>
        <v>1.8394207615628462</v>
      </c>
    </row>
    <row r="156" spans="1:16" x14ac:dyDescent="0.25">
      <c r="A156" s="153">
        <v>2030</v>
      </c>
      <c r="C156" s="149" t="s">
        <v>162</v>
      </c>
      <c r="D156" s="165">
        <f>SUMIFS('All Measure &amp; TRC+ Calc'!AT:AT,'All Measure &amp; TRC+ Calc'!$D:$D,$C156,'All Measure &amp; TRC+ Calc'!$B:$B,D$148)</f>
        <v>2465843.8376178462</v>
      </c>
      <c r="E156" s="165">
        <f>SUMIFS('All Measure &amp; TRC+ Calc'!AU:AU,'All Measure &amp; TRC+ Calc'!$D:$D,$C156,'All Measure &amp; TRC+ Calc'!$B:$B,E$148)</f>
        <v>0</v>
      </c>
      <c r="F156" s="165">
        <f>SUMIFS('All Measure &amp; TRC+ Calc'!AV:AV,'All Measure &amp; TRC+ Calc'!$D:$D,$C156,'All Measure &amp; TRC+ Calc'!$B:$B,F$148)</f>
        <v>283638.91325755441</v>
      </c>
      <c r="G156" s="165">
        <f>SUMIFS('All Measure &amp; TRC+ Calc'!AW:AW,'All Measure &amp; TRC+ Calc'!$D:$D,$C156,'All Measure &amp; TRC+ Calc'!$B:$B,G$148)</f>
        <v>158602.40985889896</v>
      </c>
      <c r="H156" s="165">
        <f>SUMIFS('All Measure &amp; TRC+ Calc'!AX:AX,'All Measure &amp; TRC+ Calc'!$D:$D,$C156,'All Measure &amp; TRC+ Calc'!$B:$B,H$148)</f>
        <v>0</v>
      </c>
      <c r="I156" s="166">
        <f>SUMIFS('All Measure &amp; TRC+ Calc'!AY:AY,'All Measure &amp; TRC+ Calc'!$D:$D,$C156,'All Measure &amp; TRC+ Calc'!$B:$B,$A156)</f>
        <v>0</v>
      </c>
      <c r="J156" s="191">
        <f>SUMIFS('All Measure &amp; TRC+ Calc'!BF:BF,'All Measure &amp; TRC+ Calc'!$D:$D,$C156,'All Measure &amp; TRC+ Calc'!$B:$B,$A156)</f>
        <v>2908085.1607342996</v>
      </c>
      <c r="K156" s="167">
        <f>SUMIFS('All Measure &amp; TRC+ Calc'!AQ:AQ,'All Measure &amp; TRC+ Calc'!$D:$D,$C156,'All Measure &amp; TRC+ Calc'!$B:$B,K$148)</f>
        <v>0</v>
      </c>
      <c r="L156" s="164">
        <f>SUMIFS('All Measure &amp; TRC+ Calc'!BG:BG,'All Measure &amp; TRC+ Calc'!$D:$D,$C156,'All Measure &amp; TRC+ Calc'!$B:$B,$A156)-K156</f>
        <v>0</v>
      </c>
      <c r="M156" s="164">
        <f>SUMIFS(Budget!$E:$E,Budget!$C:$C,$C156,Budget!$D:$D,"&lt;&gt;Incentives",Budget!$A:$A,M$148)</f>
        <v>3367977</v>
      </c>
      <c r="N156" s="168">
        <f t="shared" si="74"/>
        <v>3367977</v>
      </c>
      <c r="O156" s="231">
        <f t="shared" si="72"/>
        <v>-459891.83926570043</v>
      </c>
      <c r="P156" s="234">
        <f t="shared" si="73"/>
        <v>0.86345160929967735</v>
      </c>
    </row>
    <row r="157" spans="1:16" x14ac:dyDescent="0.25">
      <c r="A157" s="153">
        <v>2030</v>
      </c>
      <c r="C157" s="149" t="s">
        <v>17</v>
      </c>
      <c r="D157" s="169">
        <v>0</v>
      </c>
      <c r="E157" s="169">
        <v>0</v>
      </c>
      <c r="F157" s="169">
        <v>0</v>
      </c>
      <c r="G157" s="169">
        <v>0</v>
      </c>
      <c r="H157" s="169">
        <v>0</v>
      </c>
      <c r="I157" s="169">
        <v>0</v>
      </c>
      <c r="J157" s="197">
        <v>0</v>
      </c>
      <c r="K157" s="171">
        <v>0</v>
      </c>
      <c r="L157" s="170">
        <v>0</v>
      </c>
      <c r="M157" s="164">
        <f>SUMIFS(Budget!$E:$E,Budget!$C:$C,$C157,Budget!$D:$D,"&lt;&gt;Incentives",Budget!$A:$A,M$148)</f>
        <v>2708841</v>
      </c>
      <c r="N157" s="168">
        <f t="shared" si="74"/>
        <v>2708841</v>
      </c>
      <c r="O157" s="231">
        <f t="shared" si="72"/>
        <v>-2708841</v>
      </c>
      <c r="P157" s="235">
        <f t="shared" si="73"/>
        <v>0</v>
      </c>
    </row>
    <row r="158" spans="1:16" x14ac:dyDescent="0.25">
      <c r="A158" s="153">
        <v>2030</v>
      </c>
      <c r="C158" s="150" t="s">
        <v>138</v>
      </c>
      <c r="D158" s="158">
        <f t="shared" ref="D158:N158" si="76">SUM(D159:D167)</f>
        <v>153982997.61477026</v>
      </c>
      <c r="E158" s="158">
        <f t="shared" si="76"/>
        <v>2557129.3296343987</v>
      </c>
      <c r="F158" s="158">
        <f t="shared" si="76"/>
        <v>7616157.2728819074</v>
      </c>
      <c r="G158" s="158">
        <f t="shared" si="76"/>
        <v>14949594.103328401</v>
      </c>
      <c r="H158" s="158">
        <f t="shared" ref="H158" si="77">SUM(H159:H167)</f>
        <v>1583684.3749555405</v>
      </c>
      <c r="I158" s="158">
        <f t="shared" si="76"/>
        <v>0</v>
      </c>
      <c r="J158" s="201">
        <f t="shared" si="76"/>
        <v>180689562.69557053</v>
      </c>
      <c r="K158" s="163">
        <f t="shared" si="76"/>
        <v>81677098.722556442</v>
      </c>
      <c r="L158" s="160">
        <f t="shared" si="76"/>
        <v>15379101.916510448</v>
      </c>
      <c r="M158" s="160">
        <f t="shared" si="76"/>
        <v>11769266</v>
      </c>
      <c r="N158" s="162">
        <f t="shared" si="76"/>
        <v>108825466.63906689</v>
      </c>
      <c r="O158" s="230">
        <f t="shared" si="72"/>
        <v>71864096.056503639</v>
      </c>
      <c r="P158" s="233">
        <f t="shared" si="73"/>
        <v>1.6603610191247771</v>
      </c>
    </row>
    <row r="159" spans="1:16" x14ac:dyDescent="0.25">
      <c r="A159" s="153">
        <v>2030</v>
      </c>
      <c r="C159" s="149" t="s">
        <v>9</v>
      </c>
      <c r="D159" s="165">
        <f>SUMIFS('All Measure &amp; TRC+ Calc'!AT:AT,'All Measure &amp; TRC+ Calc'!$D:$D,$C159,'All Measure &amp; TRC+ Calc'!$B:$B,D$148)</f>
        <v>100607024.51576596</v>
      </c>
      <c r="E159" s="165">
        <f>SUMIFS('All Measure &amp; TRC+ Calc'!AU:AU,'All Measure &amp; TRC+ Calc'!$D:$D,$C159,'All Measure &amp; TRC+ Calc'!$B:$B,E$148)</f>
        <v>339903.34605753346</v>
      </c>
      <c r="F159" s="165">
        <f>SUMIFS('All Measure &amp; TRC+ Calc'!AV:AV,'All Measure &amp; TRC+ Calc'!$D:$D,$C159,'All Measure &amp; TRC+ Calc'!$B:$B,F$148)</f>
        <v>1860333.9069543898</v>
      </c>
      <c r="G159" s="165">
        <f>SUMIFS('All Measure &amp; TRC+ Calc'!AW:AW,'All Measure &amp; TRC+ Calc'!$D:$D,$C159,'All Measure &amp; TRC+ Calc'!$B:$B,G$148)</f>
        <v>5522669.3542178655</v>
      </c>
      <c r="H159" s="165">
        <f>SUMIFS('All Measure &amp; TRC+ Calc'!AX:AX,'All Measure &amp; TRC+ Calc'!$D:$D,$C159,'All Measure &amp; TRC+ Calc'!$B:$B,H$148)</f>
        <v>395758.08634621458</v>
      </c>
      <c r="I159" s="166">
        <f>SUMIFS('All Measure &amp; TRC+ Calc'!AY:AY,'All Measure &amp; TRC+ Calc'!$D:$D,$C159,'All Measure &amp; TRC+ Calc'!$B:$B,$A159)</f>
        <v>0</v>
      </c>
      <c r="J159" s="191">
        <f>SUMIFS('All Measure &amp; TRC+ Calc'!BF:BF,'All Measure &amp; TRC+ Calc'!$D:$D,$C159,'All Measure &amp; TRC+ Calc'!$B:$B,$A159)</f>
        <v>108725689.20934197</v>
      </c>
      <c r="K159" s="167">
        <f>SUMIFS('All Measure &amp; TRC+ Calc'!AQ:AQ,'All Measure &amp; TRC+ Calc'!$D:$D,$C159,'All Measure &amp; TRC+ Calc'!$B:$B,K$148)</f>
        <v>55155941.701898217</v>
      </c>
      <c r="L159" s="164">
        <f>SUMIFS('All Measure &amp; TRC+ Calc'!BG:BG,'All Measure &amp; TRC+ Calc'!$D:$D,$C159,'All Measure &amp; TRC+ Calc'!$B:$B,$A159)-K159</f>
        <v>11115538.764472589</v>
      </c>
      <c r="M159" s="164">
        <f>SUMIFS(Budget!$E:$E,Budget!$C:$C,$C159,Budget!$D:$D,"&lt;&gt;Incentives",Budget!$A:$A,M$148)</f>
        <v>1094329</v>
      </c>
      <c r="N159" s="168">
        <f t="shared" ref="N159:N167" si="78">SUM(K159:M159)</f>
        <v>67365809.466370806</v>
      </c>
      <c r="O159" s="231">
        <f t="shared" si="72"/>
        <v>41359879.742971167</v>
      </c>
      <c r="P159" s="234">
        <f t="shared" si="73"/>
        <v>1.6139595155257227</v>
      </c>
    </row>
    <row r="160" spans="1:16" x14ac:dyDescent="0.25">
      <c r="A160" s="153">
        <v>2030</v>
      </c>
      <c r="C160" s="149" t="s">
        <v>163</v>
      </c>
      <c r="D160" s="165">
        <f>SUMIFS('All Measure &amp; TRC+ Calc'!AT:AT,'All Measure &amp; TRC+ Calc'!$D:$D,$C160,'All Measure &amp; TRC+ Calc'!$B:$B,D$148)</f>
        <v>16069652.713110387</v>
      </c>
      <c r="E160" s="165">
        <f>SUMIFS('All Measure &amp; TRC+ Calc'!AU:AU,'All Measure &amp; TRC+ Calc'!$D:$D,$C160,'All Measure &amp; TRC+ Calc'!$B:$B,E$148)</f>
        <v>233393.30582167552</v>
      </c>
      <c r="F160" s="165">
        <f>SUMIFS('All Measure &amp; TRC+ Calc'!AV:AV,'All Measure &amp; TRC+ Calc'!$D:$D,$C160,'All Measure &amp; TRC+ Calc'!$B:$B,F$148)</f>
        <v>1227518.9874014866</v>
      </c>
      <c r="G160" s="165">
        <f>SUMIFS('All Measure &amp; TRC+ Calc'!AW:AW,'All Measure &amp; TRC+ Calc'!$D:$D,$C160,'All Measure &amp; TRC+ Calc'!$B:$B,G$148)</f>
        <v>2020161.6973430554</v>
      </c>
      <c r="H160" s="165">
        <f>SUMIFS('All Measure &amp; TRC+ Calc'!AX:AX,'All Measure &amp; TRC+ Calc'!$D:$D,$C160,'All Measure &amp; TRC+ Calc'!$B:$B,H$148)</f>
        <v>347255.1840745497</v>
      </c>
      <c r="I160" s="166">
        <f>SUMIFS('All Measure &amp; TRC+ Calc'!AY:AY,'All Measure &amp; TRC+ Calc'!$D:$D,$C160,'All Measure &amp; TRC+ Calc'!$B:$B,$A160)</f>
        <v>0</v>
      </c>
      <c r="J160" s="191">
        <f>SUMIFS('All Measure &amp; TRC+ Calc'!BF:BF,'All Measure &amp; TRC+ Calc'!$D:$D,$C160,'All Measure &amp; TRC+ Calc'!$B:$B,$A160)</f>
        <v>19897981.887751155</v>
      </c>
      <c r="K160" s="167">
        <f>SUMIFS('All Measure &amp; TRC+ Calc'!AQ:AQ,'All Measure &amp; TRC+ Calc'!$D:$D,$C160,'All Measure &amp; TRC+ Calc'!$B:$B,K$148)</f>
        <v>8843203.2214486748</v>
      </c>
      <c r="L160" s="164">
        <f>SUMIFS('All Measure &amp; TRC+ Calc'!BG:BG,'All Measure &amp; TRC+ Calc'!$D:$D,$C160,'All Measure &amp; TRC+ Calc'!$B:$B,$A160)-K160</f>
        <v>3773182.7762507908</v>
      </c>
      <c r="M160" s="164">
        <f>SUMIFS(Budget!$E:$E,Budget!$C:$C,$C160,Budget!$D:$D,"&lt;&gt;Incentives",Budget!$A:$A,M$148)</f>
        <v>1102275</v>
      </c>
      <c r="N160" s="168">
        <f t="shared" si="78"/>
        <v>13718660.997699466</v>
      </c>
      <c r="O160" s="231">
        <f t="shared" si="72"/>
        <v>6179320.890051689</v>
      </c>
      <c r="P160" s="234">
        <f t="shared" si="73"/>
        <v>1.4504317798280695</v>
      </c>
    </row>
    <row r="161" spans="1:16" x14ac:dyDescent="0.25">
      <c r="A161" s="153">
        <v>2030</v>
      </c>
      <c r="C161" s="149" t="s">
        <v>164</v>
      </c>
      <c r="D161" s="165">
        <f>SUMIFS('All Measure &amp; TRC+ Calc'!AT:AT,'All Measure &amp; TRC+ Calc'!$D:$D,$C161,'All Measure &amp; TRC+ Calc'!$B:$B,D$148)</f>
        <v>27286914.22855033</v>
      </c>
      <c r="E161" s="165">
        <f>SUMIFS('All Measure &amp; TRC+ Calc'!AU:AU,'All Measure &amp; TRC+ Calc'!$D:$D,$C161,'All Measure &amp; TRC+ Calc'!$B:$B,E$148)</f>
        <v>0</v>
      </c>
      <c r="F161" s="165">
        <f>SUMIFS('All Measure &amp; TRC+ Calc'!AV:AV,'All Measure &amp; TRC+ Calc'!$D:$D,$C161,'All Measure &amp; TRC+ Calc'!$B:$B,F$148)</f>
        <v>2561675.9308988205</v>
      </c>
      <c r="G161" s="165">
        <f>SUMIFS('All Measure &amp; TRC+ Calc'!AW:AW,'All Measure &amp; TRC+ Calc'!$D:$D,$C161,'All Measure &amp; TRC+ Calc'!$B:$B,G$148)</f>
        <v>5930516.7767352797</v>
      </c>
      <c r="H161" s="165">
        <f>SUMIFS('All Measure &amp; TRC+ Calc'!AX:AX,'All Measure &amp; TRC+ Calc'!$D:$D,$C161,'All Measure &amp; TRC+ Calc'!$B:$B,H$148)</f>
        <v>589760.60737358674</v>
      </c>
      <c r="I161" s="166">
        <f>SUMIFS('All Measure &amp; TRC+ Calc'!AY:AY,'All Measure &amp; TRC+ Calc'!$D:$D,$C161,'All Measure &amp; TRC+ Calc'!$B:$B,$A161)</f>
        <v>0</v>
      </c>
      <c r="J161" s="191">
        <f>SUMIFS('All Measure &amp; TRC+ Calc'!BF:BF,'All Measure &amp; TRC+ Calc'!$D:$D,$C161,'All Measure &amp; TRC+ Calc'!$B:$B,$A161)</f>
        <v>36368867.543558016</v>
      </c>
      <c r="K161" s="167">
        <f>SUMIFS('All Measure &amp; TRC+ Calc'!AQ:AQ,'All Measure &amp; TRC+ Calc'!$D:$D,$C161,'All Measure &amp; TRC+ Calc'!$B:$B,K$148)</f>
        <v>11318924.629905287</v>
      </c>
      <c r="L161" s="164">
        <f>SUMIFS('All Measure &amp; TRC+ Calc'!BG:BG,'All Measure &amp; TRC+ Calc'!$D:$D,$C161,'All Measure &amp; TRC+ Calc'!$B:$B,$A161)-K161</f>
        <v>0</v>
      </c>
      <c r="M161" s="164">
        <f>SUMIFS(Budget!$E:$E,Budget!$C:$C,$C161,Budget!$D:$D,"&lt;&gt;Incentives",Budget!$A:$A,M$148)</f>
        <v>1124168</v>
      </c>
      <c r="N161" s="168">
        <f t="shared" si="78"/>
        <v>12443092.629905287</v>
      </c>
      <c r="O161" s="231">
        <f t="shared" si="72"/>
        <v>23925774.913652729</v>
      </c>
      <c r="P161" s="234">
        <f t="shared" si="73"/>
        <v>2.9228157842488747</v>
      </c>
    </row>
    <row r="162" spans="1:16" x14ac:dyDescent="0.25">
      <c r="A162" s="153">
        <v>2030</v>
      </c>
      <c r="C162" s="149" t="s">
        <v>165</v>
      </c>
      <c r="D162" s="165">
        <f>SUMIFS('All Measure &amp; TRC+ Calc'!AT:AT,'All Measure &amp; TRC+ Calc'!$D:$D,$C162,'All Measure &amp; TRC+ Calc'!$B:$B,D$148)</f>
        <v>8557317.1432314515</v>
      </c>
      <c r="E162" s="165">
        <f>SUMIFS('All Measure &amp; TRC+ Calc'!AU:AU,'All Measure &amp; TRC+ Calc'!$D:$D,$C162,'All Measure &amp; TRC+ Calc'!$B:$B,E$148)</f>
        <v>1983832.6777551898</v>
      </c>
      <c r="F162" s="165">
        <f>SUMIFS('All Measure &amp; TRC+ Calc'!AV:AV,'All Measure &amp; TRC+ Calc'!$D:$D,$C162,'All Measure &amp; TRC+ Calc'!$B:$B,F$148)</f>
        <v>1949933.9912566668</v>
      </c>
      <c r="G162" s="165">
        <f>SUMIFS('All Measure &amp; TRC+ Calc'!AW:AW,'All Measure &amp; TRC+ Calc'!$D:$D,$C162,'All Measure &amp; TRC+ Calc'!$B:$B,G$148)</f>
        <v>1427434.2099638206</v>
      </c>
      <c r="H162" s="165">
        <f>SUMIFS('All Measure &amp; TRC+ Calc'!AX:AX,'All Measure &amp; TRC+ Calc'!$D:$D,$C162,'All Measure &amp; TRC+ Calc'!$B:$B,H$148)</f>
        <v>248555.22408275903</v>
      </c>
      <c r="I162" s="166">
        <f>SUMIFS('All Measure &amp; TRC+ Calc'!AY:AY,'All Measure &amp; TRC+ Calc'!$D:$D,$C162,'All Measure &amp; TRC+ Calc'!$B:$B,$A162)</f>
        <v>0</v>
      </c>
      <c r="J162" s="191">
        <f>SUMIFS('All Measure &amp; TRC+ Calc'!BF:BF,'All Measure &amp; TRC+ Calc'!$D:$D,$C162,'All Measure &amp; TRC+ Calc'!$B:$B,$A162)</f>
        <v>14167073.246289888</v>
      </c>
      <c r="K162" s="167">
        <f>SUMIFS('All Measure &amp; TRC+ Calc'!AQ:AQ,'All Measure &amp; TRC+ Calc'!$D:$D,$C162,'All Measure &amp; TRC+ Calc'!$B:$B,K$148)</f>
        <v>5282456.1831485592</v>
      </c>
      <c r="L162" s="164">
        <f>SUMIFS('All Measure &amp; TRC+ Calc'!BG:BG,'All Measure &amp; TRC+ Calc'!$D:$D,$C162,'All Measure &amp; TRC+ Calc'!$B:$B,$A162)-K162</f>
        <v>0</v>
      </c>
      <c r="M162" s="164">
        <f>SUMIFS(Budget!$E:$E,Budget!$C:$C,$C162,Budget!$D:$D,"&lt;&gt;Incentives",Budget!$A:$A,M$148)</f>
        <v>1627911</v>
      </c>
      <c r="N162" s="168">
        <f t="shared" si="78"/>
        <v>6910367.1831485592</v>
      </c>
      <c r="O162" s="231">
        <f t="shared" si="72"/>
        <v>7256706.0631413292</v>
      </c>
      <c r="P162" s="234">
        <f t="shared" si="73"/>
        <v>2.0501187376609078</v>
      </c>
    </row>
    <row r="163" spans="1:16" x14ac:dyDescent="0.25">
      <c r="A163" s="153">
        <v>2030</v>
      </c>
      <c r="C163" s="149" t="s">
        <v>166</v>
      </c>
      <c r="D163" s="165">
        <f>SUMIFS('All Measure &amp; TRC+ Calc'!AT:AT,'All Measure &amp; TRC+ Calc'!$D:$D,$C163,'All Measure &amp; TRC+ Calc'!$B:$B,D$148)</f>
        <v>580779.75107387302</v>
      </c>
      <c r="E163" s="165">
        <f>SUMIFS('All Measure &amp; TRC+ Calc'!AU:AU,'All Measure &amp; TRC+ Calc'!$D:$D,$C163,'All Measure &amp; TRC+ Calc'!$B:$B,E$148)</f>
        <v>0</v>
      </c>
      <c r="F163" s="165">
        <f>SUMIFS('All Measure &amp; TRC+ Calc'!AV:AV,'All Measure &amp; TRC+ Calc'!$D:$D,$C163,'All Measure &amp; TRC+ Calc'!$B:$B,F$148)</f>
        <v>0</v>
      </c>
      <c r="G163" s="165">
        <f>SUMIFS('All Measure &amp; TRC+ Calc'!AW:AW,'All Measure &amp; TRC+ Calc'!$D:$D,$C163,'All Measure &amp; TRC+ Calc'!$B:$B,G$148)</f>
        <v>0</v>
      </c>
      <c r="H163" s="165">
        <f>SUMIFS('All Measure &amp; TRC+ Calc'!AX:AX,'All Measure &amp; TRC+ Calc'!$D:$D,$C163,'All Measure &amp; TRC+ Calc'!$B:$B,H$148)</f>
        <v>0</v>
      </c>
      <c r="I163" s="166">
        <f>SUMIFS('All Measure &amp; TRC+ Calc'!AY:AY,'All Measure &amp; TRC+ Calc'!$D:$D,$C163,'All Measure &amp; TRC+ Calc'!$B:$B,$A163)</f>
        <v>0</v>
      </c>
      <c r="J163" s="191">
        <f>SUMIFS('All Measure &amp; TRC+ Calc'!BF:BF,'All Measure &amp; TRC+ Calc'!$D:$D,$C163,'All Measure &amp; TRC+ Calc'!$B:$B,$A163)</f>
        <v>580779.75107387302</v>
      </c>
      <c r="K163" s="167">
        <f>SUMIFS('All Measure &amp; TRC+ Calc'!AQ:AQ,'All Measure &amp; TRC+ Calc'!$D:$D,$C163,'All Measure &amp; TRC+ Calc'!$B:$B,K$148)</f>
        <v>85484.986155704493</v>
      </c>
      <c r="L163" s="164">
        <f>SUMIFS('All Measure &amp; TRC+ Calc'!BG:BG,'All Measure &amp; TRC+ Calc'!$D:$D,$C163,'All Measure &amp; TRC+ Calc'!$B:$B,$A163)-K163</f>
        <v>0</v>
      </c>
      <c r="M163" s="164">
        <f>SUMIFS(Budget!$E:$E,Budget!$C:$C,$C163,Budget!$D:$D,"&lt;&gt;Incentives",Budget!$A:$A,M$148)</f>
        <v>343814</v>
      </c>
      <c r="N163" s="168">
        <f t="shared" si="78"/>
        <v>429298.98615570448</v>
      </c>
      <c r="O163" s="231">
        <f t="shared" si="72"/>
        <v>151480.76491816854</v>
      </c>
      <c r="P163" s="234">
        <f t="shared" si="73"/>
        <v>1.3528560975059636</v>
      </c>
    </row>
    <row r="164" spans="1:16" x14ac:dyDescent="0.25">
      <c r="A164" s="153">
        <v>2030</v>
      </c>
      <c r="C164" s="149" t="s">
        <v>167</v>
      </c>
      <c r="D164" s="165">
        <f>SUMIFS('All Measure &amp; TRC+ Calc'!AT:AT,'All Measure &amp; TRC+ Calc'!$D:$D,$C164,'All Measure &amp; TRC+ Calc'!$B:$B,D$148)</f>
        <v>881309.26303826331</v>
      </c>
      <c r="E164" s="165">
        <f>SUMIFS('All Measure &amp; TRC+ Calc'!AU:AU,'All Measure &amp; TRC+ Calc'!$D:$D,$C164,'All Measure &amp; TRC+ Calc'!$B:$B,E$148)</f>
        <v>0</v>
      </c>
      <c r="F164" s="165">
        <f>SUMIFS('All Measure &amp; TRC+ Calc'!AV:AV,'All Measure &amp; TRC+ Calc'!$D:$D,$C164,'All Measure &amp; TRC+ Calc'!$B:$B,F$148)</f>
        <v>16694.456370542895</v>
      </c>
      <c r="G164" s="165">
        <f>SUMIFS('All Measure &amp; TRC+ Calc'!AW:AW,'All Measure &amp; TRC+ Calc'!$D:$D,$C164,'All Measure &amp; TRC+ Calc'!$B:$B,G$148)</f>
        <v>48812.06506838066</v>
      </c>
      <c r="H164" s="165">
        <f>SUMIFS('All Measure &amp; TRC+ Calc'!AX:AX,'All Measure &amp; TRC+ Calc'!$D:$D,$C164,'All Measure &amp; TRC+ Calc'!$B:$B,H$148)</f>
        <v>2355.2730784304467</v>
      </c>
      <c r="I164" s="166">
        <f>SUMIFS('All Measure &amp; TRC+ Calc'!AY:AY,'All Measure &amp; TRC+ Calc'!$D:$D,$C164,'All Measure &amp; TRC+ Calc'!$B:$B,$A164)</f>
        <v>0</v>
      </c>
      <c r="J164" s="191">
        <f>SUMIFS('All Measure &amp; TRC+ Calc'!BF:BF,'All Measure &amp; TRC+ Calc'!$D:$D,$C164,'All Measure &amp; TRC+ Calc'!$B:$B,$A164)</f>
        <v>949171.0575556173</v>
      </c>
      <c r="K164" s="167">
        <f>SUMIFS('All Measure &amp; TRC+ Calc'!AQ:AQ,'All Measure &amp; TRC+ Calc'!$D:$D,$C164,'All Measure &amp; TRC+ Calc'!$B:$B,K$148)</f>
        <v>991088</v>
      </c>
      <c r="L164" s="164">
        <f>SUMIFS('All Measure &amp; TRC+ Calc'!BG:BG,'All Measure &amp; TRC+ Calc'!$D:$D,$C164,'All Measure &amp; TRC+ Calc'!$B:$B,$A164)-K164</f>
        <v>490380.37578706909</v>
      </c>
      <c r="M164" s="164">
        <f>SUMIFS(Budget!$E:$E,Budget!$C:$C,$C164,Budget!$D:$D,"&lt;&gt;Incentives",Budget!$A:$A,M$148)</f>
        <v>154289</v>
      </c>
      <c r="N164" s="168">
        <f t="shared" si="78"/>
        <v>1635757.3757870691</v>
      </c>
      <c r="O164" s="231">
        <f t="shared" si="72"/>
        <v>-686586.31823145179</v>
      </c>
      <c r="P164" s="234">
        <f t="shared" si="73"/>
        <v>0.58026396310694273</v>
      </c>
    </row>
    <row r="165" spans="1:16" x14ac:dyDescent="0.25">
      <c r="A165" s="153">
        <v>2030</v>
      </c>
      <c r="C165" s="149" t="s">
        <v>168</v>
      </c>
      <c r="D165" s="165">
        <f>SUMIFS('All Measure &amp; TRC+ Calc'!AT:AT,'All Measure &amp; TRC+ Calc'!$D:$D,$C165,'All Measure &amp; TRC+ Calc'!$B:$B,D$148)</f>
        <v>0</v>
      </c>
      <c r="E165" s="165">
        <f>SUMIFS('All Measure &amp; TRC+ Calc'!AU:AU,'All Measure &amp; TRC+ Calc'!$D:$D,$C165,'All Measure &amp; TRC+ Calc'!$B:$B,E$148)</f>
        <v>0</v>
      </c>
      <c r="F165" s="165">
        <f>SUMIFS('All Measure &amp; TRC+ Calc'!AV:AV,'All Measure &amp; TRC+ Calc'!$D:$D,$C165,'All Measure &amp; TRC+ Calc'!$B:$B,F$148)</f>
        <v>0</v>
      </c>
      <c r="G165" s="165">
        <f>SUMIFS('All Measure &amp; TRC+ Calc'!AW:AW,'All Measure &amp; TRC+ Calc'!$D:$D,$C165,'All Measure &amp; TRC+ Calc'!$B:$B,G$148)</f>
        <v>0</v>
      </c>
      <c r="H165" s="165">
        <f>SUMIFS('All Measure &amp; TRC+ Calc'!AX:AX,'All Measure &amp; TRC+ Calc'!$D:$D,$C165,'All Measure &amp; TRC+ Calc'!$B:$B,H$148)</f>
        <v>0</v>
      </c>
      <c r="I165" s="166">
        <f>SUMIFS('All Measure &amp; TRC+ Calc'!AY:AY,'All Measure &amp; TRC+ Calc'!$D:$D,$C165,'All Measure &amp; TRC+ Calc'!$B:$B,$A165)</f>
        <v>0</v>
      </c>
      <c r="J165" s="191">
        <f>SUMIFS('All Measure &amp; TRC+ Calc'!BF:BF,'All Measure &amp; TRC+ Calc'!$D:$D,$C165,'All Measure &amp; TRC+ Calc'!$B:$B,$A165)</f>
        <v>0</v>
      </c>
      <c r="K165" s="167">
        <f>SUMIFS('All Measure &amp; TRC+ Calc'!AQ:AQ,'All Measure &amp; TRC+ Calc'!$D:$D,$C165,'All Measure &amp; TRC+ Calc'!$B:$B,K$148)</f>
        <v>0</v>
      </c>
      <c r="L165" s="164">
        <f>SUMIFS('All Measure &amp; TRC+ Calc'!BG:BG,'All Measure &amp; TRC+ Calc'!$D:$D,$C165,'All Measure &amp; TRC+ Calc'!$B:$B,$A165)-K165</f>
        <v>0</v>
      </c>
      <c r="M165" s="164">
        <f>SUMIFS(Budget!$E:$E,Budget!$C:$C,$C165,Budget!$D:$D,"&lt;&gt;Incentives",Budget!$A:$A,M$148)</f>
        <v>294698</v>
      </c>
      <c r="N165" s="168">
        <f t="shared" si="78"/>
        <v>294698</v>
      </c>
      <c r="O165" s="231">
        <f t="shared" si="72"/>
        <v>-294698</v>
      </c>
      <c r="P165" s="234">
        <f t="shared" si="73"/>
        <v>0</v>
      </c>
    </row>
    <row r="166" spans="1:16" x14ac:dyDescent="0.25">
      <c r="A166" s="153">
        <v>2030</v>
      </c>
      <c r="C166" s="149" t="s">
        <v>18</v>
      </c>
      <c r="D166" s="165">
        <f>SUMIFS('All Measure &amp; TRC+ Calc'!AT:AT,'All Measure &amp; TRC+ Calc'!$D:$D,$C166,'All Measure &amp; TRC+ Calc'!$B:$B,D$148)</f>
        <v>0</v>
      </c>
      <c r="E166" s="165">
        <f>SUMIFS('All Measure &amp; TRC+ Calc'!AU:AU,'All Measure &amp; TRC+ Calc'!$D:$D,$C166,'All Measure &amp; TRC+ Calc'!$B:$B,E$148)</f>
        <v>0</v>
      </c>
      <c r="F166" s="165">
        <f>SUMIFS('All Measure &amp; TRC+ Calc'!AV:AV,'All Measure &amp; TRC+ Calc'!$D:$D,$C166,'All Measure &amp; TRC+ Calc'!$B:$B,F$148)</f>
        <v>0</v>
      </c>
      <c r="G166" s="165">
        <f>SUMIFS('All Measure &amp; TRC+ Calc'!AW:AW,'All Measure &amp; TRC+ Calc'!$D:$D,$C166,'All Measure &amp; TRC+ Calc'!$B:$B,G$148)</f>
        <v>0</v>
      </c>
      <c r="H166" s="165">
        <f>SUMIFS('All Measure &amp; TRC+ Calc'!AX:AX,'All Measure &amp; TRC+ Calc'!$D:$D,$C166,'All Measure &amp; TRC+ Calc'!$B:$B,H$148)</f>
        <v>0</v>
      </c>
      <c r="I166" s="166">
        <f>SUMIFS('All Measure &amp; TRC+ Calc'!AY:AY,'All Measure &amp; TRC+ Calc'!$D:$D,$C166,'All Measure &amp; TRC+ Calc'!$B:$B,$A166)</f>
        <v>0</v>
      </c>
      <c r="J166" s="191">
        <f>SUMIFS('All Measure &amp; TRC+ Calc'!BF:BF,'All Measure &amp; TRC+ Calc'!$D:$D,$C166,'All Measure &amp; TRC+ Calc'!$B:$B,$A166)</f>
        <v>0</v>
      </c>
      <c r="K166" s="167">
        <f>SUMIFS('All Measure &amp; TRC+ Calc'!AQ:AQ,'All Measure &amp; TRC+ Calc'!$D:$D,$C166,'All Measure &amp; TRC+ Calc'!$B:$B,K$148)</f>
        <v>0</v>
      </c>
      <c r="L166" s="164">
        <f>SUMIFS('All Measure &amp; TRC+ Calc'!BG:BG,'All Measure &amp; TRC+ Calc'!$D:$D,$C166,'All Measure &amp; TRC+ Calc'!$B:$B,$A166)-K166</f>
        <v>0</v>
      </c>
      <c r="M166" s="164">
        <f>SUMIFS(Budget!$E:$E,Budget!$C:$C,$C166,Budget!$D:$D,"&lt;&gt;Incentives",Budget!$A:$A,M$148)</f>
        <v>210499</v>
      </c>
      <c r="N166" s="168">
        <f t="shared" si="78"/>
        <v>210499</v>
      </c>
      <c r="O166" s="231">
        <f t="shared" si="72"/>
        <v>-210499</v>
      </c>
      <c r="P166" s="234">
        <f t="shared" si="73"/>
        <v>0</v>
      </c>
    </row>
    <row r="167" spans="1:16" x14ac:dyDescent="0.25">
      <c r="A167" s="153">
        <v>2030</v>
      </c>
      <c r="C167" s="149" t="s">
        <v>19</v>
      </c>
      <c r="D167" s="169">
        <v>0</v>
      </c>
      <c r="E167" s="169">
        <v>0</v>
      </c>
      <c r="F167" s="169">
        <v>0</v>
      </c>
      <c r="G167" s="169">
        <v>0</v>
      </c>
      <c r="H167" s="169">
        <v>0</v>
      </c>
      <c r="I167" s="169">
        <v>0</v>
      </c>
      <c r="J167" s="197">
        <v>0</v>
      </c>
      <c r="K167" s="171">
        <v>0</v>
      </c>
      <c r="L167" s="170">
        <v>0</v>
      </c>
      <c r="M167" s="164">
        <f>SUMIFS(Budget!$E:$E,Budget!$C:$C,$C167,Budget!$D:$D,"&lt;&gt;Incentives",Budget!$A:$A,M$148)</f>
        <v>5817283</v>
      </c>
      <c r="N167" s="168">
        <f t="shared" si="78"/>
        <v>5817283</v>
      </c>
      <c r="O167" s="231">
        <f t="shared" si="72"/>
        <v>-5817283</v>
      </c>
      <c r="P167" s="235">
        <f t="shared" si="73"/>
        <v>0</v>
      </c>
    </row>
    <row r="168" spans="1:16" x14ac:dyDescent="0.25">
      <c r="A168" s="153">
        <v>2030</v>
      </c>
      <c r="C168" s="150" t="s">
        <v>139</v>
      </c>
      <c r="D168" s="158">
        <f t="shared" ref="D168:N168" si="79">SUM(D169:D172)</f>
        <v>269961291.52567273</v>
      </c>
      <c r="E168" s="158">
        <f t="shared" si="79"/>
        <v>46907.284618073994</v>
      </c>
      <c r="F168" s="158">
        <f t="shared" si="79"/>
        <v>96367.786086177657</v>
      </c>
      <c r="G168" s="158">
        <f t="shared" si="79"/>
        <v>127844.40242890707</v>
      </c>
      <c r="H168" s="158">
        <f t="shared" si="79"/>
        <v>12775.336570175536</v>
      </c>
      <c r="I168" s="158">
        <f t="shared" si="79"/>
        <v>0</v>
      </c>
      <c r="J168" s="201">
        <f t="shared" si="79"/>
        <v>270245186.33537608</v>
      </c>
      <c r="K168" s="163">
        <f t="shared" si="79"/>
        <v>52958635.811199911</v>
      </c>
      <c r="L168" s="160">
        <f t="shared" si="79"/>
        <v>0</v>
      </c>
      <c r="M168" s="160">
        <f t="shared" si="79"/>
        <v>6592986</v>
      </c>
      <c r="N168" s="162">
        <f t="shared" si="79"/>
        <v>59551621.811199911</v>
      </c>
      <c r="O168" s="230">
        <f t="shared" si="72"/>
        <v>210693564.52417618</v>
      </c>
      <c r="P168" s="233">
        <f t="shared" si="73"/>
        <v>4.5379987667195811</v>
      </c>
    </row>
    <row r="169" spans="1:16" x14ac:dyDescent="0.25">
      <c r="A169" s="153">
        <v>2030</v>
      </c>
      <c r="C169" s="149" t="s">
        <v>8</v>
      </c>
      <c r="D169" s="165">
        <f>SUMIFS('All Measure &amp; TRC+ Calc'!AT:AT,'All Measure &amp; TRC+ Calc'!$D:$D,$C169,'All Measure &amp; TRC+ Calc'!$B:$B,D$148)</f>
        <v>269961291.52567273</v>
      </c>
      <c r="E169" s="165">
        <f>SUMIFS('All Measure &amp; TRC+ Calc'!AU:AU,'All Measure &amp; TRC+ Calc'!$D:$D,$C169,'All Measure &amp; TRC+ Calc'!$B:$B,E$148)</f>
        <v>46907.284618073994</v>
      </c>
      <c r="F169" s="165">
        <f>SUMIFS('All Measure &amp; TRC+ Calc'!AV:AV,'All Measure &amp; TRC+ Calc'!$D:$D,$C169,'All Measure &amp; TRC+ Calc'!$B:$B,F$148)</f>
        <v>96367.786086177657</v>
      </c>
      <c r="G169" s="165">
        <f>SUMIFS('All Measure &amp; TRC+ Calc'!AW:AW,'All Measure &amp; TRC+ Calc'!$D:$D,$C169,'All Measure &amp; TRC+ Calc'!$B:$B,G$148)</f>
        <v>127844.40242890707</v>
      </c>
      <c r="H169" s="165">
        <f>SUMIFS('All Measure &amp; TRC+ Calc'!AX:AX,'All Measure &amp; TRC+ Calc'!$D:$D,$C169,'All Measure &amp; TRC+ Calc'!$B:$B,H$148)</f>
        <v>12775.336570175536</v>
      </c>
      <c r="I169" s="166">
        <f>SUMIFS('All Measure &amp; TRC+ Calc'!AY:AY,'All Measure &amp; TRC+ Calc'!$D:$D,$C169,'All Measure &amp; TRC+ Calc'!$B:$B,$A169)</f>
        <v>0</v>
      </c>
      <c r="J169" s="191">
        <f>SUMIFS('All Measure &amp; TRC+ Calc'!BF:BF,'All Measure &amp; TRC+ Calc'!$D:$D,$C169,'All Measure &amp; TRC+ Calc'!$B:$B,$A169)</f>
        <v>270245186.33537608</v>
      </c>
      <c r="K169" s="167">
        <f>SUMIFS('All Measure &amp; TRC+ Calc'!AQ:AQ,'All Measure &amp; TRC+ Calc'!$D:$D,$C169,'All Measure &amp; TRC+ Calc'!$B:$B,K$148)</f>
        <v>52958635.811199911</v>
      </c>
      <c r="L169" s="164">
        <f>SUMIFS('All Measure &amp; TRC+ Calc'!BG:BG,'All Measure &amp; TRC+ Calc'!$D:$D,$C169,'All Measure &amp; TRC+ Calc'!$B:$B,$A169)-K169</f>
        <v>0</v>
      </c>
      <c r="M169" s="164">
        <f>SUMIFS(Budget!$E:$E,Budget!$C:$C,$C169,Budget!$D:$D,"&lt;&gt;Incentives",Budget!$A:$A,M$148)</f>
        <v>1020919</v>
      </c>
      <c r="N169" s="168">
        <f t="shared" ref="N169:N172" si="80">SUM(K169:M169)</f>
        <v>53979554.811199911</v>
      </c>
      <c r="O169" s="231">
        <f t="shared" si="72"/>
        <v>216265631.52417618</v>
      </c>
      <c r="P169" s="234">
        <f t="shared" si="73"/>
        <v>5.0064359974918586</v>
      </c>
    </row>
    <row r="170" spans="1:16" x14ac:dyDescent="0.25">
      <c r="A170" s="153">
        <v>2030</v>
      </c>
      <c r="C170" s="149" t="s">
        <v>24</v>
      </c>
      <c r="D170" s="165">
        <f>SUMIFS('All Measure &amp; TRC+ Calc'!AT:AT,'All Measure &amp; TRC+ Calc'!$D:$D,$C170,'All Measure &amp; TRC+ Calc'!$B:$B,D$148)</f>
        <v>0</v>
      </c>
      <c r="E170" s="165">
        <f>SUMIFS('All Measure &amp; TRC+ Calc'!AU:AU,'All Measure &amp; TRC+ Calc'!$D:$D,$C170,'All Measure &amp; TRC+ Calc'!$B:$B,E$148)</f>
        <v>0</v>
      </c>
      <c r="F170" s="165">
        <f>SUMIFS('All Measure &amp; TRC+ Calc'!AV:AV,'All Measure &amp; TRC+ Calc'!$D:$D,$C170,'All Measure &amp; TRC+ Calc'!$B:$B,F$148)</f>
        <v>0</v>
      </c>
      <c r="G170" s="165">
        <f>SUMIFS('All Measure &amp; TRC+ Calc'!AW:AW,'All Measure &amp; TRC+ Calc'!$D:$D,$C170,'All Measure &amp; TRC+ Calc'!$B:$B,G$148)</f>
        <v>0</v>
      </c>
      <c r="H170" s="165">
        <f>SUMIFS('All Measure &amp; TRC+ Calc'!AX:AX,'All Measure &amp; TRC+ Calc'!$D:$D,$C170,'All Measure &amp; TRC+ Calc'!$B:$B,H$148)</f>
        <v>0</v>
      </c>
      <c r="I170" s="166">
        <f>SUMIFS('All Measure &amp; TRC+ Calc'!AY:AY,'All Measure &amp; TRC+ Calc'!$D:$D,$C170,'All Measure &amp; TRC+ Calc'!$B:$B,$A170)</f>
        <v>0</v>
      </c>
      <c r="J170" s="191">
        <f>SUMIFS('All Measure &amp; TRC+ Calc'!BF:BF,'All Measure &amp; TRC+ Calc'!$D:$D,$C170,'All Measure &amp; TRC+ Calc'!$B:$B,$A170)</f>
        <v>0</v>
      </c>
      <c r="K170" s="167">
        <f>SUMIFS('All Measure &amp; TRC+ Calc'!AQ:AQ,'All Measure &amp; TRC+ Calc'!$D:$D,$C170,'All Measure &amp; TRC+ Calc'!$B:$B,K$148)</f>
        <v>0</v>
      </c>
      <c r="L170" s="164">
        <f>SUMIFS('All Measure &amp; TRC+ Calc'!BG:BG,'All Measure &amp; TRC+ Calc'!$D:$D,$C170,'All Measure &amp; TRC+ Calc'!$B:$B,$A170)-K170</f>
        <v>0</v>
      </c>
      <c r="M170" s="164">
        <f>SUMIFS(Budget!$E:$E,Budget!$C:$C,$C170,Budget!$D:$D,"&lt;&gt;Incentives",Budget!$A:$A,M$148)</f>
        <v>210499</v>
      </c>
      <c r="N170" s="168">
        <f t="shared" si="80"/>
        <v>210499</v>
      </c>
      <c r="O170" s="231">
        <f t="shared" si="72"/>
        <v>-210499</v>
      </c>
      <c r="P170" s="234">
        <f t="shared" si="73"/>
        <v>0</v>
      </c>
    </row>
    <row r="171" spans="1:16" x14ac:dyDescent="0.25">
      <c r="A171" s="153">
        <v>2030</v>
      </c>
      <c r="C171" s="149" t="s">
        <v>171</v>
      </c>
      <c r="D171" s="165">
        <f>SUMIFS('All Measure &amp; TRC+ Calc'!AT:AT,'All Measure &amp; TRC+ Calc'!$D:$D,$C171,'All Measure &amp; TRC+ Calc'!$B:$B,D$148)</f>
        <v>0</v>
      </c>
      <c r="E171" s="165">
        <f>SUMIFS('All Measure &amp; TRC+ Calc'!AU:AU,'All Measure &amp; TRC+ Calc'!$D:$D,$C171,'All Measure &amp; TRC+ Calc'!$B:$B,E$148)</f>
        <v>0</v>
      </c>
      <c r="F171" s="165">
        <f>SUMIFS('All Measure &amp; TRC+ Calc'!AV:AV,'All Measure &amp; TRC+ Calc'!$D:$D,$C171,'All Measure &amp; TRC+ Calc'!$B:$B,F$148)</f>
        <v>0</v>
      </c>
      <c r="G171" s="165">
        <f>SUMIFS('All Measure &amp; TRC+ Calc'!AW:AW,'All Measure &amp; TRC+ Calc'!$D:$D,$C171,'All Measure &amp; TRC+ Calc'!$B:$B,G$148)</f>
        <v>0</v>
      </c>
      <c r="H171" s="165">
        <f>SUMIFS('All Measure &amp; TRC+ Calc'!AX:AX,'All Measure &amp; TRC+ Calc'!$D:$D,$C171,'All Measure &amp; TRC+ Calc'!$B:$B,H$148)</f>
        <v>0</v>
      </c>
      <c r="I171" s="166">
        <f>SUMIFS('All Measure &amp; TRC+ Calc'!AY:AY,'All Measure &amp; TRC+ Calc'!$D:$D,$C171,'All Measure &amp; TRC+ Calc'!$B:$B,$A171)</f>
        <v>0</v>
      </c>
      <c r="J171" s="191">
        <f>SUMIFS('All Measure &amp; TRC+ Calc'!BF:BF,'All Measure &amp; TRC+ Calc'!$D:$D,$C171,'All Measure &amp; TRC+ Calc'!$B:$B,$A171)</f>
        <v>0</v>
      </c>
      <c r="K171" s="167">
        <f>SUMIFS('All Measure &amp; TRC+ Calc'!AQ:AQ,'All Measure &amp; TRC+ Calc'!$D:$D,$C171,'All Measure &amp; TRC+ Calc'!$B:$B,K$148)</f>
        <v>0</v>
      </c>
      <c r="L171" s="164">
        <f>SUMIFS('All Measure &amp; TRC+ Calc'!BG:BG,'All Measure &amp; TRC+ Calc'!$D:$D,$C171,'All Measure &amp; TRC+ Calc'!$B:$B,$A171)-K171</f>
        <v>0</v>
      </c>
      <c r="M171" s="164">
        <f>SUMIFS(Budget!$E:$E,Budget!$C:$C,$C171,Budget!$D:$D,"&lt;&gt;Incentives",Budget!$A:$A,M$148)</f>
        <v>294698</v>
      </c>
      <c r="N171" s="168">
        <f t="shared" si="80"/>
        <v>294698</v>
      </c>
      <c r="O171" s="231">
        <f t="shared" si="72"/>
        <v>-294698</v>
      </c>
      <c r="P171" s="234">
        <f t="shared" si="73"/>
        <v>0</v>
      </c>
    </row>
    <row r="172" spans="1:16" x14ac:dyDescent="0.25">
      <c r="A172" s="153">
        <v>2030</v>
      </c>
      <c r="C172" s="149" t="s">
        <v>25</v>
      </c>
      <c r="D172" s="169">
        <v>0</v>
      </c>
      <c r="E172" s="169">
        <v>0</v>
      </c>
      <c r="F172" s="169">
        <v>0</v>
      </c>
      <c r="G172" s="169">
        <v>0</v>
      </c>
      <c r="H172" s="169">
        <v>0</v>
      </c>
      <c r="I172" s="169">
        <v>0</v>
      </c>
      <c r="J172" s="197">
        <v>0</v>
      </c>
      <c r="K172" s="171">
        <v>0</v>
      </c>
      <c r="L172" s="170">
        <v>0</v>
      </c>
      <c r="M172" s="164">
        <f>SUMIFS(Budget!$E:$E,Budget!$C:$C,$C172,Budget!$D:$D,"&lt;&gt;Incentives",Budget!$A:$A,M$148)</f>
        <v>5066870</v>
      </c>
      <c r="N172" s="168">
        <f t="shared" si="80"/>
        <v>5066870</v>
      </c>
      <c r="O172" s="231">
        <f t="shared" si="72"/>
        <v>-5066870</v>
      </c>
      <c r="P172" s="235">
        <f t="shared" si="73"/>
        <v>0</v>
      </c>
    </row>
    <row r="173" spans="1:16" x14ac:dyDescent="0.25">
      <c r="A173" s="153">
        <v>2030</v>
      </c>
      <c r="C173" s="150" t="s">
        <v>137</v>
      </c>
      <c r="D173" s="158">
        <f t="shared" ref="D173:N173" si="81">SUM(D174:D176)</f>
        <v>27953701.688165382</v>
      </c>
      <c r="E173" s="158">
        <f t="shared" si="81"/>
        <v>159681.50226466422</v>
      </c>
      <c r="F173" s="158">
        <f t="shared" si="81"/>
        <v>1035831.7382959301</v>
      </c>
      <c r="G173" s="158">
        <f t="shared" si="81"/>
        <v>3908264.6777732493</v>
      </c>
      <c r="H173" s="158">
        <f t="shared" ref="H173" si="82">SUM(H174:H176)</f>
        <v>165619.24828480982</v>
      </c>
      <c r="I173" s="158">
        <f t="shared" si="81"/>
        <v>0</v>
      </c>
      <c r="J173" s="201">
        <f t="shared" si="81"/>
        <v>33223098.854784034</v>
      </c>
      <c r="K173" s="163">
        <f t="shared" si="81"/>
        <v>25697175.749999996</v>
      </c>
      <c r="L173" s="160">
        <f t="shared" si="81"/>
        <v>676244.29362830147</v>
      </c>
      <c r="M173" s="160">
        <f t="shared" si="81"/>
        <v>7953603</v>
      </c>
      <c r="N173" s="162">
        <f t="shared" si="81"/>
        <v>34327023.043628298</v>
      </c>
      <c r="O173" s="230">
        <f t="shared" si="72"/>
        <v>-1103924.1888442636</v>
      </c>
      <c r="P173" s="233">
        <f t="shared" si="73"/>
        <v>0.96784095761985478</v>
      </c>
    </row>
    <row r="174" spans="1:16" x14ac:dyDescent="0.25">
      <c r="A174" s="153">
        <v>2030</v>
      </c>
      <c r="C174" s="149" t="s">
        <v>22</v>
      </c>
      <c r="D174" s="165">
        <f>SUMIFS('All Measure &amp; TRC+ Calc'!AT:AT,'All Measure &amp; TRC+ Calc'!$D:$D,$C174,'All Measure &amp; TRC+ Calc'!$B:$B,D$148)</f>
        <v>15951973.537991464</v>
      </c>
      <c r="E174" s="165">
        <f>SUMIFS('All Measure &amp; TRC+ Calc'!AU:AU,'All Measure &amp; TRC+ Calc'!$D:$D,$C174,'All Measure &amp; TRC+ Calc'!$B:$B,E$148)</f>
        <v>159681.50226466422</v>
      </c>
      <c r="F174" s="165">
        <f>SUMIFS('All Measure &amp; TRC+ Calc'!AV:AV,'All Measure &amp; TRC+ Calc'!$D:$D,$C174,'All Measure &amp; TRC+ Calc'!$B:$B,F$148)</f>
        <v>392682.93392634566</v>
      </c>
      <c r="G174" s="165">
        <f>SUMIFS('All Measure &amp; TRC+ Calc'!AW:AW,'All Measure &amp; TRC+ Calc'!$D:$D,$C174,'All Measure &amp; TRC+ Calc'!$B:$B,G$148)</f>
        <v>1245483.089204056</v>
      </c>
      <c r="H174" s="165">
        <f>SUMIFS('All Measure &amp; TRC+ Calc'!AX:AX,'All Measure &amp; TRC+ Calc'!$D:$D,$C174,'All Measure &amp; TRC+ Calc'!$B:$B,H$148)</f>
        <v>32762.705633035035</v>
      </c>
      <c r="I174" s="166">
        <f>SUMIFS('All Measure &amp; TRC+ Calc'!AY:AY,'All Measure &amp; TRC+ Calc'!$D:$D,$C174,'All Measure &amp; TRC+ Calc'!$B:$B,$A174)</f>
        <v>0</v>
      </c>
      <c r="J174" s="191">
        <f>SUMIFS('All Measure &amp; TRC+ Calc'!BF:BF,'All Measure &amp; TRC+ Calc'!$D:$D,$C174,'All Measure &amp; TRC+ Calc'!$B:$B,$A174)</f>
        <v>17782583.769019566</v>
      </c>
      <c r="K174" s="167">
        <f>SUMIFS('All Measure &amp; TRC+ Calc'!AQ:AQ,'All Measure &amp; TRC+ Calc'!$D:$D,$C174,'All Measure &amp; TRC+ Calc'!$B:$B,K$148)</f>
        <v>15939548.749999996</v>
      </c>
      <c r="L174" s="164">
        <f>SUMIFS('All Measure &amp; TRC+ Calc'!BG:BG,'All Measure &amp; TRC+ Calc'!$D:$D,$C174,'All Measure &amp; TRC+ Calc'!$B:$B,$A174)-K174</f>
        <v>0</v>
      </c>
      <c r="M174" s="164">
        <f>SUMIFS(Budget!$E:$E,Budget!$C:$C,$C174,Budget!$D:$D,"&lt;&gt;Incentives",Budget!$A:$A,M$148)</f>
        <v>4503172</v>
      </c>
      <c r="N174" s="168">
        <f>SUM(K174:M174)</f>
        <v>20442720.749999996</v>
      </c>
      <c r="O174" s="231">
        <f t="shared" si="72"/>
        <v>-2660136.9809804298</v>
      </c>
      <c r="P174" s="234">
        <f t="shared" si="73"/>
        <v>0.8698736330886665</v>
      </c>
    </row>
    <row r="175" spans="1:16" x14ac:dyDescent="0.25">
      <c r="A175" s="153">
        <v>2030</v>
      </c>
      <c r="C175" s="149" t="s">
        <v>21</v>
      </c>
      <c r="D175" s="165">
        <f>SUMIFS('All Measure &amp; TRC+ Calc'!AT:AT,'All Measure &amp; TRC+ Calc'!$D:$D,$C175,'All Measure &amp; TRC+ Calc'!$B:$B,D$148)</f>
        <v>12001728.150173916</v>
      </c>
      <c r="E175" s="165">
        <f>SUMIFS('All Measure &amp; TRC+ Calc'!AU:AU,'All Measure &amp; TRC+ Calc'!$D:$D,$C175,'All Measure &amp; TRC+ Calc'!$B:$B,E$148)</f>
        <v>0</v>
      </c>
      <c r="F175" s="165">
        <f>SUMIFS('All Measure &amp; TRC+ Calc'!AV:AV,'All Measure &amp; TRC+ Calc'!$D:$D,$C175,'All Measure &amp; TRC+ Calc'!$B:$B,F$148)</f>
        <v>643148.80436958442</v>
      </c>
      <c r="G175" s="165">
        <f>SUMIFS('All Measure &amp; TRC+ Calc'!AW:AW,'All Measure &amp; TRC+ Calc'!$D:$D,$C175,'All Measure &amp; TRC+ Calc'!$B:$B,G$148)</f>
        <v>2662781.5885691936</v>
      </c>
      <c r="H175" s="165">
        <f>SUMIFS('All Measure &amp; TRC+ Calc'!AX:AX,'All Measure &amp; TRC+ Calc'!$D:$D,$C175,'All Measure &amp; TRC+ Calc'!$B:$B,H$148)</f>
        <v>132856.54265177477</v>
      </c>
      <c r="I175" s="166">
        <f>SUMIFS('All Measure &amp; TRC+ Calc'!AY:AY,'All Measure &amp; TRC+ Calc'!$D:$D,$C175,'All Measure &amp; TRC+ Calc'!$B:$B,$A175)</f>
        <v>0</v>
      </c>
      <c r="J175" s="191">
        <f>SUMIFS('All Measure &amp; TRC+ Calc'!BF:BF,'All Measure &amp; TRC+ Calc'!$D:$D,$C175,'All Measure &amp; TRC+ Calc'!$B:$B,$A175)</f>
        <v>15440515.08576447</v>
      </c>
      <c r="K175" s="167">
        <f>SUMIFS('All Measure &amp; TRC+ Calc'!AQ:AQ,'All Measure &amp; TRC+ Calc'!$D:$D,$C175,'All Measure &amp; TRC+ Calc'!$B:$B,K$148)</f>
        <v>9757627</v>
      </c>
      <c r="L175" s="164">
        <f>SUMIFS('All Measure &amp; TRC+ Calc'!BG:BG,'All Measure &amp; TRC+ Calc'!$D:$D,$C175,'All Measure &amp; TRC+ Calc'!$B:$B,$A175)-K175</f>
        <v>676244.29362830147</v>
      </c>
      <c r="M175" s="164">
        <f>SUMIFS(Budget!$E:$E,Budget!$C:$C,$C175,Budget!$D:$D,"&lt;&gt;Incentives",Budget!$A:$A,M$148)</f>
        <v>1515590</v>
      </c>
      <c r="N175" s="168">
        <f>SUM(K175:M175)</f>
        <v>11949461.293628301</v>
      </c>
      <c r="O175" s="231">
        <f t="shared" si="72"/>
        <v>3491053.7921361681</v>
      </c>
      <c r="P175" s="234">
        <f t="shared" si="73"/>
        <v>1.2921515628489186</v>
      </c>
    </row>
    <row r="176" spans="1:16" x14ac:dyDescent="0.25">
      <c r="A176" s="153">
        <v>2030</v>
      </c>
      <c r="C176" s="149" t="s">
        <v>23</v>
      </c>
      <c r="D176" s="169">
        <v>0</v>
      </c>
      <c r="E176" s="169">
        <v>0</v>
      </c>
      <c r="F176" s="169">
        <v>0</v>
      </c>
      <c r="G176" s="169">
        <v>0</v>
      </c>
      <c r="H176" s="169">
        <v>0</v>
      </c>
      <c r="I176" s="169">
        <v>0</v>
      </c>
      <c r="J176" s="197">
        <v>0</v>
      </c>
      <c r="K176" s="171">
        <v>0</v>
      </c>
      <c r="L176" s="170">
        <v>0</v>
      </c>
      <c r="M176" s="164">
        <f>SUMIFS(Budget!$E:$E,Budget!$C:$C,$C176,Budget!$D:$D,"&lt;&gt;Incentives",Budget!$A:$A,M$148)</f>
        <v>1934841</v>
      </c>
      <c r="N176" s="168">
        <f>SUM(K176:M176)</f>
        <v>1934841</v>
      </c>
      <c r="O176" s="231">
        <f t="shared" si="72"/>
        <v>-1934841</v>
      </c>
      <c r="P176" s="235">
        <f t="shared" si="73"/>
        <v>0</v>
      </c>
    </row>
    <row r="177" spans="1:16" x14ac:dyDescent="0.25">
      <c r="A177" s="153">
        <v>2030</v>
      </c>
      <c r="C177" s="150" t="s">
        <v>140</v>
      </c>
      <c r="D177" s="158">
        <f t="shared" ref="D177:N177" si="83">SUM(D178:D179)</f>
        <v>65394647.578752637</v>
      </c>
      <c r="E177" s="158">
        <f t="shared" si="83"/>
        <v>378035.6585982588</v>
      </c>
      <c r="F177" s="158">
        <f t="shared" si="83"/>
        <v>283965.86777820688</v>
      </c>
      <c r="G177" s="158">
        <f t="shared" si="83"/>
        <v>226766.3628868954</v>
      </c>
      <c r="H177" s="158">
        <f t="shared" ref="H177" si="84">SUM(H178:H179)</f>
        <v>19312.27059470852</v>
      </c>
      <c r="I177" s="158">
        <f t="shared" si="83"/>
        <v>0</v>
      </c>
      <c r="J177" s="201">
        <f t="shared" si="83"/>
        <v>66302727.738610707</v>
      </c>
      <c r="K177" s="163">
        <f t="shared" si="83"/>
        <v>10461112.254978254</v>
      </c>
      <c r="L177" s="160">
        <f t="shared" si="83"/>
        <v>0</v>
      </c>
      <c r="M177" s="160">
        <f t="shared" si="83"/>
        <v>316742</v>
      </c>
      <c r="N177" s="162">
        <f t="shared" si="83"/>
        <v>10777854.254978254</v>
      </c>
      <c r="O177" s="230">
        <f t="shared" si="72"/>
        <v>55524873.483632453</v>
      </c>
      <c r="P177" s="233">
        <f t="shared" si="73"/>
        <v>6.1517558291332159</v>
      </c>
    </row>
    <row r="178" spans="1:16" x14ac:dyDescent="0.25">
      <c r="A178" s="153">
        <v>2030</v>
      </c>
      <c r="C178" s="149" t="s">
        <v>27</v>
      </c>
      <c r="D178" s="165">
        <f>SUMIFS('All Measure &amp; TRC+ Calc'!AT:AT,'All Measure &amp; TRC+ Calc'!$D:$D,$C178,'All Measure &amp; TRC+ Calc'!$B:$B,D$148)</f>
        <v>65394647.578752637</v>
      </c>
      <c r="E178" s="165">
        <f>SUMIFS('All Measure &amp; TRC+ Calc'!AU:AU,'All Measure &amp; TRC+ Calc'!$D:$D,$C178,'All Measure &amp; TRC+ Calc'!$B:$B,E$148)</f>
        <v>378035.6585982588</v>
      </c>
      <c r="F178" s="165">
        <f>SUMIFS('All Measure &amp; TRC+ Calc'!AV:AV,'All Measure &amp; TRC+ Calc'!$D:$D,$C178,'All Measure &amp; TRC+ Calc'!$B:$B,F$148)</f>
        <v>283965.86777820688</v>
      </c>
      <c r="G178" s="165">
        <f>SUMIFS('All Measure &amp; TRC+ Calc'!AW:AW,'All Measure &amp; TRC+ Calc'!$D:$D,$C178,'All Measure &amp; TRC+ Calc'!$B:$B,G$148)</f>
        <v>226766.3628868954</v>
      </c>
      <c r="H178" s="165">
        <f>SUMIFS('All Measure &amp; TRC+ Calc'!AX:AX,'All Measure &amp; TRC+ Calc'!$D:$D,$C178,'All Measure &amp; TRC+ Calc'!$B:$B,H$148)</f>
        <v>19312.27059470852</v>
      </c>
      <c r="I178" s="166">
        <f>SUMIFS('All Measure &amp; TRC+ Calc'!AY:AY,'All Measure &amp; TRC+ Calc'!$D:$D,$C178,'All Measure &amp; TRC+ Calc'!$B:$B,$A178)</f>
        <v>0</v>
      </c>
      <c r="J178" s="191">
        <f>SUMIFS('All Measure &amp; TRC+ Calc'!BF:BF,'All Measure &amp; TRC+ Calc'!$D:$D,$C178,'All Measure &amp; TRC+ Calc'!$B:$B,$A178)</f>
        <v>66302727.738610707</v>
      </c>
      <c r="K178" s="167">
        <f>SUMIFS('All Measure &amp; TRC+ Calc'!AQ:AQ,'All Measure &amp; TRC+ Calc'!$D:$D,$C178,'All Measure &amp; TRC+ Calc'!$B:$B,K$148)</f>
        <v>10461112.254978254</v>
      </c>
      <c r="L178" s="164">
        <f>SUMIFS('All Measure &amp; TRC+ Calc'!BG:BG,'All Measure &amp; TRC+ Calc'!$D:$D,$C178,'All Measure &amp; TRC+ Calc'!$B:$B,$A178)-K178</f>
        <v>0</v>
      </c>
      <c r="M178" s="164">
        <f>SUMIFS(Budget!$E:$E,Budget!$C:$C,$C178,Budget!$D:$D,"&lt;&gt;Incentives",Budget!$A:$A,M$148)</f>
        <v>26312</v>
      </c>
      <c r="N178" s="168">
        <f>SUM(K178:M178)</f>
        <v>10487424.254978254</v>
      </c>
      <c r="O178" s="231">
        <f t="shared" si="72"/>
        <v>55815303.483632453</v>
      </c>
      <c r="P178" s="234">
        <f t="shared" si="73"/>
        <v>6.3221174357600338</v>
      </c>
    </row>
    <row r="179" spans="1:16" x14ac:dyDescent="0.25">
      <c r="A179" s="153">
        <v>2030</v>
      </c>
      <c r="C179" s="149" t="s">
        <v>28</v>
      </c>
      <c r="D179" s="169">
        <v>0</v>
      </c>
      <c r="E179" s="169">
        <v>0</v>
      </c>
      <c r="F179" s="169">
        <v>0</v>
      </c>
      <c r="G179" s="169">
        <v>0</v>
      </c>
      <c r="H179" s="169">
        <v>0</v>
      </c>
      <c r="I179" s="169">
        <v>0</v>
      </c>
      <c r="J179" s="197">
        <v>0</v>
      </c>
      <c r="K179" s="171">
        <v>0</v>
      </c>
      <c r="L179" s="170">
        <v>0</v>
      </c>
      <c r="M179" s="164">
        <f>SUMIFS(Budget!$E:$E,Budget!$C:$C,$C179,Budget!$D:$D,"&lt;&gt;Incentives",Budget!$A:$A,M$148)</f>
        <v>290430</v>
      </c>
      <c r="N179" s="168">
        <f>SUM(K179:M179)</f>
        <v>290430</v>
      </c>
      <c r="O179" s="231">
        <f t="shared" si="72"/>
        <v>-290430</v>
      </c>
      <c r="P179" s="235">
        <f t="shared" si="73"/>
        <v>0</v>
      </c>
    </row>
    <row r="180" spans="1:16" x14ac:dyDescent="0.25">
      <c r="A180" s="153">
        <v>2030</v>
      </c>
      <c r="C180" s="150" t="s">
        <v>187</v>
      </c>
      <c r="D180" s="237">
        <f t="shared" ref="D180" si="85">SUM(D181:D188)</f>
        <v>0</v>
      </c>
      <c r="E180" s="237">
        <f t="shared" ref="E180" si="86">SUM(E181:E188)</f>
        <v>0</v>
      </c>
      <c r="F180" s="237">
        <f t="shared" ref="F180" si="87">SUM(F181:F188)</f>
        <v>0</v>
      </c>
      <c r="G180" s="237">
        <f t="shared" ref="G180" si="88">SUM(G181:G188)</f>
        <v>0</v>
      </c>
      <c r="H180" s="237">
        <f t="shared" ref="H180" si="89">SUM(H181:H188)</f>
        <v>0</v>
      </c>
      <c r="I180" s="237">
        <f t="shared" ref="I180" si="90">SUM(I181:I188)</f>
        <v>0</v>
      </c>
      <c r="J180" s="206">
        <f t="shared" ref="J180" si="91">SUM(J181:J188)</f>
        <v>0</v>
      </c>
      <c r="K180" s="238">
        <f t="shared" ref="K180" si="92">SUM(K181:K188)</f>
        <v>0</v>
      </c>
      <c r="L180" s="239">
        <f t="shared" ref="L180" si="93">SUM(L181:L188)</f>
        <v>0</v>
      </c>
      <c r="M180" s="160">
        <f>SUM(M181:M188)</f>
        <v>18353209</v>
      </c>
      <c r="N180" s="162">
        <f>SUM(N181:N188)</f>
        <v>18353209</v>
      </c>
      <c r="O180" s="230">
        <f t="shared" si="72"/>
        <v>-18353209</v>
      </c>
      <c r="P180" s="233">
        <f t="shared" si="73"/>
        <v>0</v>
      </c>
    </row>
    <row r="181" spans="1:16" x14ac:dyDescent="0.25">
      <c r="A181" s="153">
        <v>2030</v>
      </c>
      <c r="C181" s="149" t="s">
        <v>30</v>
      </c>
      <c r="D181" s="169">
        <v>0</v>
      </c>
      <c r="E181" s="169">
        <v>0</v>
      </c>
      <c r="F181" s="169">
        <v>0</v>
      </c>
      <c r="G181" s="169">
        <v>0</v>
      </c>
      <c r="H181" s="169">
        <v>0</v>
      </c>
      <c r="I181" s="169">
        <v>0</v>
      </c>
      <c r="J181" s="197">
        <v>0</v>
      </c>
      <c r="K181" s="171">
        <v>0</v>
      </c>
      <c r="L181" s="170">
        <v>0</v>
      </c>
      <c r="M181" s="164">
        <f>SUMIFS(Budget!$E:$E,Budget!$C:$C,$C181,Budget!$D:$D,"&lt;&gt;Incentives",Budget!$A:$A,M$148)</f>
        <v>8108038</v>
      </c>
      <c r="N181" s="168">
        <f t="shared" ref="N181:N188" si="94">SUM(K181:M181)</f>
        <v>8108038</v>
      </c>
      <c r="O181" s="231">
        <f t="shared" si="72"/>
        <v>-8108038</v>
      </c>
      <c r="P181" s="235">
        <f t="shared" si="73"/>
        <v>0</v>
      </c>
    </row>
    <row r="182" spans="1:16" x14ac:dyDescent="0.25">
      <c r="A182" s="153">
        <v>2030</v>
      </c>
      <c r="C182" s="149" t="s">
        <v>32</v>
      </c>
      <c r="D182" s="169">
        <v>0</v>
      </c>
      <c r="E182" s="169">
        <v>0</v>
      </c>
      <c r="F182" s="169">
        <v>0</v>
      </c>
      <c r="G182" s="169">
        <v>0</v>
      </c>
      <c r="H182" s="169">
        <v>0</v>
      </c>
      <c r="I182" s="169">
        <v>0</v>
      </c>
      <c r="J182" s="197">
        <v>0</v>
      </c>
      <c r="K182" s="171">
        <v>0</v>
      </c>
      <c r="L182" s="170">
        <v>0</v>
      </c>
      <c r="M182" s="164">
        <f>SUMIFS(Budget!$E:$E,Budget!$C:$C,$C182,Budget!$D:$D,"&lt;&gt;Incentives",Budget!$A:$A,M$148)</f>
        <v>1455596</v>
      </c>
      <c r="N182" s="168">
        <f t="shared" si="94"/>
        <v>1455596</v>
      </c>
      <c r="O182" s="231">
        <f t="shared" si="72"/>
        <v>-1455596</v>
      </c>
      <c r="P182" s="235">
        <f t="shared" si="73"/>
        <v>0</v>
      </c>
    </row>
    <row r="183" spans="1:16" x14ac:dyDescent="0.25">
      <c r="A183" s="153">
        <v>2030</v>
      </c>
      <c r="C183" s="149" t="s">
        <v>177</v>
      </c>
      <c r="D183" s="169">
        <v>0</v>
      </c>
      <c r="E183" s="169">
        <v>0</v>
      </c>
      <c r="F183" s="169">
        <v>0</v>
      </c>
      <c r="G183" s="169">
        <v>0</v>
      </c>
      <c r="H183" s="169">
        <v>0</v>
      </c>
      <c r="I183" s="169">
        <v>0</v>
      </c>
      <c r="J183" s="197">
        <v>0</v>
      </c>
      <c r="K183" s="171">
        <v>0</v>
      </c>
      <c r="L183" s="170">
        <v>0</v>
      </c>
      <c r="M183" s="164">
        <f>SUMIFS(Budget!$E:$E,Budget!$C:$C,$C183,Budget!$D:$D,"&lt;&gt;Incentives",Budget!$A:$A,M$148)</f>
        <v>642020</v>
      </c>
      <c r="N183" s="168">
        <f t="shared" si="94"/>
        <v>642020</v>
      </c>
      <c r="O183" s="231">
        <f t="shared" si="72"/>
        <v>-642020</v>
      </c>
      <c r="P183" s="235">
        <f t="shared" si="73"/>
        <v>0</v>
      </c>
    </row>
    <row r="184" spans="1:16" x14ac:dyDescent="0.25">
      <c r="A184" s="153">
        <v>2030</v>
      </c>
      <c r="C184" s="149" t="s">
        <v>34</v>
      </c>
      <c r="D184" s="169">
        <v>0</v>
      </c>
      <c r="E184" s="169">
        <v>0</v>
      </c>
      <c r="F184" s="169">
        <v>0</v>
      </c>
      <c r="G184" s="169">
        <v>0</v>
      </c>
      <c r="H184" s="169">
        <v>0</v>
      </c>
      <c r="I184" s="169">
        <v>0</v>
      </c>
      <c r="J184" s="197">
        <v>0</v>
      </c>
      <c r="K184" s="171">
        <v>0</v>
      </c>
      <c r="L184" s="170">
        <v>0</v>
      </c>
      <c r="M184" s="164">
        <f>SUMIFS(Budget!$E:$E,Budget!$C:$C,$C184,Budget!$D:$D,"&lt;&gt;Incentives",Budget!$A:$A,M$148)</f>
        <v>3262727</v>
      </c>
      <c r="N184" s="168">
        <f t="shared" si="94"/>
        <v>3262727</v>
      </c>
      <c r="O184" s="231">
        <f t="shared" si="72"/>
        <v>-3262727</v>
      </c>
      <c r="P184" s="235">
        <f t="shared" si="73"/>
        <v>0</v>
      </c>
    </row>
    <row r="185" spans="1:16" x14ac:dyDescent="0.25">
      <c r="A185" s="153">
        <v>2030</v>
      </c>
      <c r="C185" s="149" t="s">
        <v>36</v>
      </c>
      <c r="D185" s="169">
        <v>0</v>
      </c>
      <c r="E185" s="169">
        <v>0</v>
      </c>
      <c r="F185" s="169">
        <v>0</v>
      </c>
      <c r="G185" s="169">
        <v>0</v>
      </c>
      <c r="H185" s="169">
        <v>0</v>
      </c>
      <c r="I185" s="169">
        <v>0</v>
      </c>
      <c r="J185" s="197">
        <v>0</v>
      </c>
      <c r="K185" s="171">
        <v>0</v>
      </c>
      <c r="L185" s="170">
        <v>0</v>
      </c>
      <c r="M185" s="164">
        <f>SUMIFS(Budget!$E:$E,Budget!$C:$C,$C185,Budget!$D:$D,"&lt;&gt;Incentives",Budget!$A:$A,M$148)</f>
        <v>871464</v>
      </c>
      <c r="N185" s="168">
        <f t="shared" si="94"/>
        <v>871464</v>
      </c>
      <c r="O185" s="231">
        <f t="shared" si="72"/>
        <v>-871464</v>
      </c>
      <c r="P185" s="235">
        <f t="shared" si="73"/>
        <v>0</v>
      </c>
    </row>
    <row r="186" spans="1:16" x14ac:dyDescent="0.25">
      <c r="A186" s="153">
        <v>2030</v>
      </c>
      <c r="C186" s="149" t="s">
        <v>35</v>
      </c>
      <c r="D186" s="169">
        <v>0</v>
      </c>
      <c r="E186" s="169">
        <v>0</v>
      </c>
      <c r="F186" s="169">
        <v>0</v>
      </c>
      <c r="G186" s="169">
        <v>0</v>
      </c>
      <c r="H186" s="169">
        <v>0</v>
      </c>
      <c r="I186" s="169">
        <v>0</v>
      </c>
      <c r="J186" s="197">
        <v>0</v>
      </c>
      <c r="K186" s="171">
        <v>0</v>
      </c>
      <c r="L186" s="170">
        <v>0</v>
      </c>
      <c r="M186" s="164">
        <f>SUMIFS(Budget!$E:$E,Budget!$C:$C,$C186,Budget!$D:$D,"&lt;&gt;Incentives",Budget!$A:$A,M$148)</f>
        <v>620971</v>
      </c>
      <c r="N186" s="168">
        <f t="shared" si="94"/>
        <v>620971</v>
      </c>
      <c r="O186" s="231">
        <f t="shared" si="72"/>
        <v>-620971</v>
      </c>
      <c r="P186" s="235">
        <f t="shared" si="73"/>
        <v>0</v>
      </c>
    </row>
    <row r="187" spans="1:16" x14ac:dyDescent="0.25">
      <c r="A187" s="153">
        <v>2030</v>
      </c>
      <c r="C187" s="149" t="s">
        <v>38</v>
      </c>
      <c r="D187" s="169">
        <v>0</v>
      </c>
      <c r="E187" s="169">
        <v>0</v>
      </c>
      <c r="F187" s="169">
        <v>0</v>
      </c>
      <c r="G187" s="169">
        <v>0</v>
      </c>
      <c r="H187" s="169">
        <v>0</v>
      </c>
      <c r="I187" s="169">
        <v>0</v>
      </c>
      <c r="J187" s="197">
        <v>0</v>
      </c>
      <c r="K187" s="171">
        <v>0</v>
      </c>
      <c r="L187" s="170">
        <v>0</v>
      </c>
      <c r="M187" s="164">
        <f>SUMIFS(Budget!$E:$E,Budget!$C:$C,$C187,Budget!$D:$D,"&lt;&gt;Incentives",Budget!$A:$A,M$148)</f>
        <v>3392393</v>
      </c>
      <c r="N187" s="168">
        <f t="shared" si="94"/>
        <v>3392393</v>
      </c>
      <c r="O187" s="231">
        <f t="shared" si="72"/>
        <v>-3392393</v>
      </c>
      <c r="P187" s="235">
        <f t="shared" si="73"/>
        <v>0</v>
      </c>
    </row>
    <row r="188" spans="1:16" ht="13.5" thickBot="1" x14ac:dyDescent="0.3">
      <c r="A188" s="153">
        <v>2030</v>
      </c>
      <c r="C188" s="207" t="s">
        <v>178</v>
      </c>
      <c r="D188" s="169">
        <v>0</v>
      </c>
      <c r="E188" s="169">
        <v>0</v>
      </c>
      <c r="F188" s="169">
        <v>0</v>
      </c>
      <c r="G188" s="169">
        <v>0</v>
      </c>
      <c r="H188" s="169">
        <v>0</v>
      </c>
      <c r="I188" s="169">
        <v>0</v>
      </c>
      <c r="J188" s="210">
        <v>0</v>
      </c>
      <c r="K188" s="171">
        <v>0</v>
      </c>
      <c r="L188" s="170">
        <v>0</v>
      </c>
      <c r="M188" s="164">
        <f>SUMIFS(Budget!$E:$E,Budget!$C:$C,$C188,Budget!$D:$D,"&lt;&gt;Incentives",Budget!$A:$A,M$148)</f>
        <v>0</v>
      </c>
      <c r="N188" s="168">
        <f t="shared" si="94"/>
        <v>0</v>
      </c>
      <c r="O188" s="232">
        <f t="shared" si="72"/>
        <v>0</v>
      </c>
      <c r="P188" s="236">
        <f t="shared" si="73"/>
        <v>0</v>
      </c>
    </row>
    <row r="189" spans="1:16" ht="13.5" thickTop="1" x14ac:dyDescent="0.25">
      <c r="A189" s="153">
        <v>2030</v>
      </c>
      <c r="C189" s="215" t="s">
        <v>131</v>
      </c>
      <c r="D189" s="216">
        <f t="shared" ref="D189:N189" si="95">SUM(D150,D158,D168,D173,D177,D180)</f>
        <v>621014067.89275122</v>
      </c>
      <c r="E189" s="216">
        <f t="shared" si="95"/>
        <v>3141753.7751153954</v>
      </c>
      <c r="F189" s="216">
        <f t="shared" si="95"/>
        <v>13674018.94686077</v>
      </c>
      <c r="G189" s="216">
        <f t="shared" si="95"/>
        <v>42557997.754151702</v>
      </c>
      <c r="H189" s="216">
        <f t="shared" si="95"/>
        <v>2118932.5787471705</v>
      </c>
      <c r="I189" s="216">
        <f t="shared" si="95"/>
        <v>0</v>
      </c>
      <c r="J189" s="221">
        <f t="shared" si="95"/>
        <v>682506770.94762635</v>
      </c>
      <c r="K189" s="223">
        <f t="shared" si="95"/>
        <v>266734439.68873459</v>
      </c>
      <c r="L189" s="222">
        <f t="shared" si="95"/>
        <v>33304767.057779048</v>
      </c>
      <c r="M189" s="222">
        <f t="shared" si="95"/>
        <v>60490266</v>
      </c>
      <c r="N189" s="224">
        <f t="shared" si="95"/>
        <v>360529472.74651361</v>
      </c>
      <c r="O189" s="224">
        <f t="shared" si="72"/>
        <v>321977298.20111275</v>
      </c>
      <c r="P189" s="217">
        <f t="shared" si="73"/>
        <v>1.8930678974683806</v>
      </c>
    </row>
  </sheetData>
  <mergeCells count="8">
    <mergeCell ref="D147:J147"/>
    <mergeCell ref="K147:N147"/>
    <mergeCell ref="D3:J3"/>
    <mergeCell ref="K3:N3"/>
    <mergeCell ref="D51:J51"/>
    <mergeCell ref="K51:N51"/>
    <mergeCell ref="D99:J99"/>
    <mergeCell ref="K99:N99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D38CB-C850-4C39-854E-D17557A8E686}">
  <sheetPr codeName="Sheet5"/>
  <dimension ref="A1:K191"/>
  <sheetViews>
    <sheetView showGridLines="0" topLeftCell="B1" zoomScale="85" zoomScaleNormal="85" workbookViewId="0">
      <selection activeCell="B1" sqref="B1"/>
    </sheetView>
  </sheetViews>
  <sheetFormatPr defaultRowHeight="12.75" outlineLevelCol="1" x14ac:dyDescent="0.25"/>
  <cols>
    <col min="1" max="1" width="9.140625" style="136" hidden="1" customWidth="1" outlineLevel="1"/>
    <col min="2" max="2" width="9.140625" style="136" collapsed="1"/>
    <col min="3" max="3" width="45.85546875" style="136" customWidth="1"/>
    <col min="4" max="4" width="16.7109375" style="136" customWidth="1"/>
    <col min="5" max="9" width="15" style="136" customWidth="1"/>
    <col min="10" max="11" width="18.7109375" style="136" customWidth="1"/>
    <col min="12" max="16384" width="9.140625" style="136"/>
  </cols>
  <sheetData>
    <row r="1" spans="1:11" x14ac:dyDescent="0.25">
      <c r="A1" s="153"/>
    </row>
    <row r="2" spans="1:11" ht="16.5" thickBot="1" x14ac:dyDescent="0.3">
      <c r="A2" s="153"/>
      <c r="C2" s="220" t="s">
        <v>284</v>
      </c>
      <c r="D2" s="173"/>
      <c r="E2" s="155"/>
      <c r="F2" s="155"/>
    </row>
    <row r="3" spans="1:11" ht="13.5" thickTop="1" x14ac:dyDescent="0.25">
      <c r="A3" s="153"/>
    </row>
    <row r="4" spans="1:11" x14ac:dyDescent="0.25">
      <c r="A4" s="153"/>
      <c r="C4" s="60"/>
      <c r="D4" s="396" t="s">
        <v>189</v>
      </c>
      <c r="E4" s="397"/>
      <c r="F4" s="398"/>
      <c r="G4" s="396" t="s">
        <v>190</v>
      </c>
      <c r="H4" s="397"/>
      <c r="I4" s="398"/>
      <c r="J4" s="175" t="s">
        <v>367</v>
      </c>
      <c r="K4" s="174" t="s">
        <v>191</v>
      </c>
    </row>
    <row r="5" spans="1:11" x14ac:dyDescent="0.25">
      <c r="A5" s="153"/>
      <c r="C5" s="60"/>
      <c r="D5" s="244" t="s">
        <v>283</v>
      </c>
      <c r="E5" s="241" t="s">
        <v>283</v>
      </c>
      <c r="F5" s="242" t="s">
        <v>283</v>
      </c>
      <c r="G5" s="240" t="s">
        <v>283</v>
      </c>
      <c r="H5" s="241" t="s">
        <v>283</v>
      </c>
      <c r="I5" s="242" t="s">
        <v>283</v>
      </c>
      <c r="J5" s="243" t="s">
        <v>283</v>
      </c>
      <c r="K5" s="242" t="s">
        <v>283</v>
      </c>
    </row>
    <row r="6" spans="1:11" ht="25.5" x14ac:dyDescent="0.25">
      <c r="A6" s="153"/>
      <c r="C6" s="157"/>
      <c r="D6" s="176" t="s">
        <v>180</v>
      </c>
      <c r="E6" s="177" t="s">
        <v>183</v>
      </c>
      <c r="F6" s="178" t="s">
        <v>192</v>
      </c>
      <c r="G6" s="176" t="s">
        <v>193</v>
      </c>
      <c r="H6" s="179" t="s">
        <v>155</v>
      </c>
      <c r="I6" s="178" t="s">
        <v>194</v>
      </c>
      <c r="J6" s="180" t="s">
        <v>195</v>
      </c>
      <c r="K6" s="178" t="s">
        <v>191</v>
      </c>
    </row>
    <row r="7" spans="1:11" x14ac:dyDescent="0.25">
      <c r="A7" s="181">
        <v>2027</v>
      </c>
      <c r="B7" s="156"/>
      <c r="C7" s="182" t="s">
        <v>135</v>
      </c>
      <c r="D7" s="183">
        <f t="shared" ref="D7:I7" si="0">SUM(D8:D14)</f>
        <v>74651804.810003355</v>
      </c>
      <c r="E7" s="184">
        <f t="shared" si="0"/>
        <v>0</v>
      </c>
      <c r="F7" s="185">
        <f t="shared" si="0"/>
        <v>74651804.810003355</v>
      </c>
      <c r="G7" s="184">
        <f t="shared" si="0"/>
        <v>57980250</v>
      </c>
      <c r="H7" s="184">
        <f t="shared" si="0"/>
        <v>14807006</v>
      </c>
      <c r="I7" s="186">
        <f t="shared" si="0"/>
        <v>72787256</v>
      </c>
      <c r="J7" s="187">
        <f t="shared" ref="J7:J47" si="1">F7-I7</f>
        <v>1864548.8100033551</v>
      </c>
      <c r="K7" s="188">
        <f>IFERROR(F7/I7,0)</f>
        <v>1.025616418484073</v>
      </c>
    </row>
    <row r="8" spans="1:11" x14ac:dyDescent="0.25">
      <c r="A8" s="181">
        <v>2027</v>
      </c>
      <c r="B8" s="156"/>
      <c r="C8" s="149" t="s">
        <v>159</v>
      </c>
      <c r="D8" s="189">
        <f>SUMIFS('All Measure &amp; TRC+ Calc'!BJ:BJ,'All Measure &amp; TRC+ Calc'!$D:$D,$C8,'All Measure &amp; TRC+ Calc'!$B:$B,D$5)</f>
        <v>23167100.34279196</v>
      </c>
      <c r="E8" s="190">
        <f>SUMIFS('All Measure &amp; TRC+ Calc'!AY:AY,'All Measure &amp; TRC+ Calc'!$D:$D,$C8,'All Measure &amp; TRC+ Calc'!$B:$B,E$5)</f>
        <v>0</v>
      </c>
      <c r="F8" s="191">
        <f t="shared" ref="F8:F13" si="2">SUM(D8:E8)</f>
        <v>23167100.34279196</v>
      </c>
      <c r="G8" s="190">
        <f>SUMIFS(Budget!$E:$E,Budget!$C:$C,$C8,Budget!$D:$D,"Incentives",Budget!$A:$A,G$5)</f>
        <v>23499400</v>
      </c>
      <c r="H8" s="190">
        <f>SUMIFS(Budget!$E:$E,Budget!$C:$C,$C8,Budget!$D:$D,"&lt;&gt;Incentives",Budget!$A:$A,H$5)</f>
        <v>2430000</v>
      </c>
      <c r="I8" s="192">
        <f t="shared" ref="I8:I14" si="3">SUM(G8:H8)</f>
        <v>25929400</v>
      </c>
      <c r="J8" s="193">
        <f t="shared" si="1"/>
        <v>-2762299.6572080404</v>
      </c>
      <c r="K8" s="194">
        <f t="shared" ref="K8:K45" si="4">IFERROR(F8/I8,0)</f>
        <v>0.89346843130932296</v>
      </c>
    </row>
    <row r="9" spans="1:11" x14ac:dyDescent="0.25">
      <c r="A9" s="181">
        <v>2027</v>
      </c>
      <c r="B9" s="156"/>
      <c r="C9" s="149" t="s">
        <v>130</v>
      </c>
      <c r="D9" s="189">
        <f>SUMIFS('All Measure &amp; TRC+ Calc'!BJ:BJ,'All Measure &amp; TRC+ Calc'!$D:$D,$C9,'All Measure &amp; TRC+ Calc'!$B:$B,D$5)</f>
        <v>17992696.357929666</v>
      </c>
      <c r="E9" s="190">
        <f>SUMIFS('All Measure &amp; TRC+ Calc'!AY:AY,'All Measure &amp; TRC+ Calc'!$D:$D,$C9,'All Measure &amp; TRC+ Calc'!$B:$B,E$5)</f>
        <v>0</v>
      </c>
      <c r="F9" s="191">
        <f t="shared" si="2"/>
        <v>17992696.357929666</v>
      </c>
      <c r="G9" s="190">
        <f>SUMIFS(Budget!$E:$E,Budget!$C:$C,$C9,Budget!$D:$D,"Incentives",Budget!$A:$A,G$5)</f>
        <v>13591250</v>
      </c>
      <c r="H9" s="190">
        <f>SUMIFS(Budget!$E:$E,Budget!$C:$C,$C9,Budget!$D:$D,"&lt;&gt;Incentives",Budget!$A:$A,H$5)</f>
        <v>1969275</v>
      </c>
      <c r="I9" s="192">
        <f t="shared" si="3"/>
        <v>15560525</v>
      </c>
      <c r="J9" s="193">
        <f t="shared" si="1"/>
        <v>2432171.3579296656</v>
      </c>
      <c r="K9" s="194">
        <f t="shared" si="4"/>
        <v>1.1563039394833827</v>
      </c>
    </row>
    <row r="10" spans="1:11" x14ac:dyDescent="0.25">
      <c r="A10" s="181">
        <v>2027</v>
      </c>
      <c r="B10" s="156"/>
      <c r="C10" s="149" t="s">
        <v>333</v>
      </c>
      <c r="D10" s="189">
        <f>SUMIFS('All Measure &amp; TRC+ Calc'!BJ:BJ,'All Measure &amp; TRC+ Calc'!$D:$D,$C10,'All Measure &amp; TRC+ Calc'!$B:$B,D$5)</f>
        <v>16728402.279871453</v>
      </c>
      <c r="E10" s="190">
        <f>SUMIFS('All Measure &amp; TRC+ Calc'!AY:AY,'All Measure &amp; TRC+ Calc'!$D:$D,$C10,'All Measure &amp; TRC+ Calc'!$B:$B,E$5)</f>
        <v>0</v>
      </c>
      <c r="F10" s="191">
        <f t="shared" ref="F10" si="5">SUM(D10:E10)</f>
        <v>16728402.279871453</v>
      </c>
      <c r="G10" s="190">
        <f>SUMIFS(Budget!$E:$E,Budget!$C:$C,$C10,Budget!$D:$D,"Incentives",Budget!$A:$A,G$5)</f>
        <v>7650000</v>
      </c>
      <c r="H10" s="190">
        <f>SUMIFS(Budget!$E:$E,Budget!$C:$C,$C10,Budget!$D:$D,"&lt;&gt;Incentives",Budget!$A:$A,H$5)</f>
        <v>1654600</v>
      </c>
      <c r="I10" s="192">
        <f t="shared" ref="I10" si="6">SUM(G10:H10)</f>
        <v>9304600</v>
      </c>
      <c r="J10" s="193">
        <f t="shared" ref="J10" si="7">F10-I10</f>
        <v>7423802.2798714526</v>
      </c>
      <c r="K10" s="194">
        <f t="shared" si="4"/>
        <v>1.797863667419497</v>
      </c>
    </row>
    <row r="11" spans="1:11" x14ac:dyDescent="0.25">
      <c r="A11" s="181">
        <v>2027</v>
      </c>
      <c r="B11" s="156"/>
      <c r="C11" s="149" t="s">
        <v>160</v>
      </c>
      <c r="D11" s="189">
        <f>SUMIFS('All Measure &amp; TRC+ Calc'!BJ:BJ,'All Measure &amp; TRC+ Calc'!$D:$D,$C11,'All Measure &amp; TRC+ Calc'!$B:$B,D$5)</f>
        <v>7730608.3769144714</v>
      </c>
      <c r="E11" s="190">
        <f>SUMIFS('All Measure &amp; TRC+ Calc'!AY:AY,'All Measure &amp; TRC+ Calc'!$D:$D,$C11,'All Measure &amp; TRC+ Calc'!$B:$B,E$5)</f>
        <v>0</v>
      </c>
      <c r="F11" s="191">
        <f t="shared" si="2"/>
        <v>7730608.3769144714</v>
      </c>
      <c r="G11" s="190">
        <f>SUMIFS(Budget!$E:$E,Budget!$C:$C,$C11,Budget!$D:$D,"Incentives",Budget!$A:$A,G$5)</f>
        <v>3089600</v>
      </c>
      <c r="H11" s="190">
        <f>SUMIFS(Budget!$E:$E,Budget!$C:$C,$C11,Budget!$D:$D,"&lt;&gt;Incentives",Budget!$A:$A,H$5)</f>
        <v>2994393</v>
      </c>
      <c r="I11" s="192">
        <f t="shared" si="3"/>
        <v>6083993</v>
      </c>
      <c r="J11" s="193">
        <f t="shared" si="1"/>
        <v>1646615.3769144714</v>
      </c>
      <c r="K11" s="194">
        <f t="shared" si="4"/>
        <v>1.2706471517824678</v>
      </c>
    </row>
    <row r="12" spans="1:11" x14ac:dyDescent="0.25">
      <c r="A12" s="181">
        <v>2027</v>
      </c>
      <c r="B12" s="156"/>
      <c r="C12" s="149" t="s">
        <v>161</v>
      </c>
      <c r="D12" s="189">
        <f>SUMIFS('All Measure &amp; TRC+ Calc'!BJ:BJ,'All Measure &amp; TRC+ Calc'!$D:$D,$C12,'All Measure &amp; TRC+ Calc'!$B:$B,D$5)</f>
        <v>8410796.2090371083</v>
      </c>
      <c r="E12" s="190">
        <f>SUMIFS('All Measure &amp; TRC+ Calc'!AY:AY,'All Measure &amp; TRC+ Calc'!$D:$D,$C12,'All Measure &amp; TRC+ Calc'!$B:$B,E$5)</f>
        <v>0</v>
      </c>
      <c r="F12" s="191">
        <f t="shared" si="2"/>
        <v>8410796.2090371083</v>
      </c>
      <c r="G12" s="190">
        <f>SUMIFS(Budget!$E:$E,Budget!$C:$C,$C12,Budget!$D:$D,"Incentives",Budget!$A:$A,G$5)</f>
        <v>10150000</v>
      </c>
      <c r="H12" s="190">
        <f>SUMIFS(Budget!$E:$E,Budget!$C:$C,$C12,Budget!$D:$D,"&lt;&gt;Incentives",Budget!$A:$A,H$5)</f>
        <v>725000</v>
      </c>
      <c r="I12" s="192">
        <f t="shared" si="3"/>
        <v>10875000</v>
      </c>
      <c r="J12" s="193">
        <f t="shared" si="1"/>
        <v>-2464203.7909628917</v>
      </c>
      <c r="K12" s="194">
        <f t="shared" si="4"/>
        <v>0.77340654795743524</v>
      </c>
    </row>
    <row r="13" spans="1:11" x14ac:dyDescent="0.25">
      <c r="A13" s="181">
        <v>2027</v>
      </c>
      <c r="B13" s="156"/>
      <c r="C13" s="149" t="s">
        <v>162</v>
      </c>
      <c r="D13" s="189">
        <f>SUMIFS('All Measure &amp; TRC+ Calc'!BJ:BJ,'All Measure &amp; TRC+ Calc'!$D:$D,$C13,'All Measure &amp; TRC+ Calc'!$B:$B,D$5)</f>
        <v>622201.24345870281</v>
      </c>
      <c r="E13" s="190">
        <f>SUMIFS('All Measure &amp; TRC+ Calc'!AY:AY,'All Measure &amp; TRC+ Calc'!$D:$D,$C13,'All Measure &amp; TRC+ Calc'!$B:$B,E$5)</f>
        <v>0</v>
      </c>
      <c r="F13" s="191">
        <f t="shared" si="2"/>
        <v>622201.24345870281</v>
      </c>
      <c r="G13" s="190">
        <f>SUMIFS(Budget!$E:$E,Budget!$C:$C,$C13,Budget!$D:$D,"Incentives",Budget!$A:$A,G$5)</f>
        <v>0</v>
      </c>
      <c r="H13" s="190">
        <f>SUMIFS(Budget!$E:$E,Budget!$C:$C,$C13,Budget!$D:$D,"&lt;&gt;Incentives",Budget!$A:$A,H$5)</f>
        <v>2460000</v>
      </c>
      <c r="I13" s="192">
        <f t="shared" si="3"/>
        <v>2460000</v>
      </c>
      <c r="J13" s="193">
        <f t="shared" si="1"/>
        <v>-1837798.7565412973</v>
      </c>
      <c r="K13" s="194">
        <f t="shared" si="4"/>
        <v>0.25292733473931006</v>
      </c>
    </row>
    <row r="14" spans="1:11" x14ac:dyDescent="0.25">
      <c r="A14" s="181">
        <v>2027</v>
      </c>
      <c r="B14" s="156"/>
      <c r="C14" s="149" t="s">
        <v>17</v>
      </c>
      <c r="D14" s="195">
        <v>0</v>
      </c>
      <c r="E14" s="196">
        <v>0</v>
      </c>
      <c r="F14" s="197">
        <v>0</v>
      </c>
      <c r="G14" s="196">
        <f>SUMIFS(Budget!$E:$E,Budget!$C:$C,$C14,Budget!$D:$D,"Incentives",Budget!$A:$A,G$5)</f>
        <v>0</v>
      </c>
      <c r="H14" s="190">
        <f>SUMIFS(Budget!$E:$E,Budget!$C:$C,$C14,Budget!$D:$D,"&lt;&gt;Incentives",Budget!$A:$A,H$5)</f>
        <v>2573738</v>
      </c>
      <c r="I14" s="192">
        <f t="shared" si="3"/>
        <v>2573738</v>
      </c>
      <c r="J14" s="193">
        <f t="shared" si="1"/>
        <v>-2573738</v>
      </c>
      <c r="K14" s="198">
        <f t="shared" si="4"/>
        <v>0</v>
      </c>
    </row>
    <row r="15" spans="1:11" x14ac:dyDescent="0.25">
      <c r="A15" s="181">
        <v>2027</v>
      </c>
      <c r="B15" s="156"/>
      <c r="C15" s="150" t="s">
        <v>138</v>
      </c>
      <c r="D15" s="199">
        <f t="shared" ref="D15:I15" si="8">SUM(D16:D24)</f>
        <v>93416735.564344049</v>
      </c>
      <c r="E15" s="200">
        <f t="shared" si="8"/>
        <v>0</v>
      </c>
      <c r="F15" s="201">
        <f t="shared" si="8"/>
        <v>93416735.564344049</v>
      </c>
      <c r="G15" s="200">
        <f t="shared" si="8"/>
        <v>32580678</v>
      </c>
      <c r="H15" s="200">
        <f t="shared" si="8"/>
        <v>10467355</v>
      </c>
      <c r="I15" s="159">
        <f t="shared" si="8"/>
        <v>43048033</v>
      </c>
      <c r="J15" s="202">
        <f t="shared" si="1"/>
        <v>50368702.564344049</v>
      </c>
      <c r="K15" s="203">
        <f t="shared" si="4"/>
        <v>2.1700581665216632</v>
      </c>
    </row>
    <row r="16" spans="1:11" x14ac:dyDescent="0.25">
      <c r="A16" s="181">
        <v>2027</v>
      </c>
      <c r="B16" s="156"/>
      <c r="C16" s="149" t="s">
        <v>9</v>
      </c>
      <c r="D16" s="189">
        <f>SUMIFS('All Measure &amp; TRC+ Calc'!BJ:BJ,'All Measure &amp; TRC+ Calc'!$D:$D,$C16,'All Measure &amp; TRC+ Calc'!$B:$B,D$5)</f>
        <v>60395906.102622338</v>
      </c>
      <c r="E16" s="190">
        <f>SUMIFS('All Measure &amp; TRC+ Calc'!AY:AY,'All Measure &amp; TRC+ Calc'!$D:$D,$C16,'All Measure &amp; TRC+ Calc'!$B:$B,E$5)</f>
        <v>0</v>
      </c>
      <c r="F16" s="191">
        <f t="shared" ref="F16:F23" si="9">SUM(D16:E16)</f>
        <v>60395906.102622338</v>
      </c>
      <c r="G16" s="190">
        <f>SUMIFS(Budget!$E:$E,Budget!$C:$C,$C16,Budget!$D:$D,"Incentives",Budget!$A:$A,G$5)</f>
        <v>13883782</v>
      </c>
      <c r="H16" s="190">
        <f>SUMIFS(Budget!$E:$E,Budget!$C:$C,$C16,Budget!$D:$D,"&lt;&gt;Incentives",Budget!$A:$A,H$5)</f>
        <v>916000</v>
      </c>
      <c r="I16" s="192">
        <f t="shared" ref="I16:I24" si="10">SUM(G16:H16)</f>
        <v>14799782</v>
      </c>
      <c r="J16" s="193">
        <f t="shared" si="1"/>
        <v>45596124.102622338</v>
      </c>
      <c r="K16" s="194">
        <f t="shared" si="4"/>
        <v>4.0808645764256752</v>
      </c>
    </row>
    <row r="17" spans="1:11" x14ac:dyDescent="0.25">
      <c r="A17" s="181">
        <v>2027</v>
      </c>
      <c r="B17" s="156"/>
      <c r="C17" s="149" t="s">
        <v>163</v>
      </c>
      <c r="D17" s="189">
        <f>SUMIFS('All Measure &amp; TRC+ Calc'!BJ:BJ,'All Measure &amp; TRC+ Calc'!$D:$D,$C17,'All Measure &amp; TRC+ Calc'!$B:$B,D$5)</f>
        <v>9822566.6655540653</v>
      </c>
      <c r="E17" s="190">
        <f>SUMIFS('All Measure &amp; TRC+ Calc'!AY:AY,'All Measure &amp; TRC+ Calc'!$D:$D,$C17,'All Measure &amp; TRC+ Calc'!$B:$B,E$5)</f>
        <v>0</v>
      </c>
      <c r="F17" s="191">
        <f t="shared" si="9"/>
        <v>9822566.6655540653</v>
      </c>
      <c r="G17" s="190">
        <f>SUMIFS(Budget!$E:$E,Budget!$C:$C,$C17,Budget!$D:$D,"Incentives",Budget!$A:$A,G$5)</f>
        <v>3934086</v>
      </c>
      <c r="H17" s="190">
        <f>SUMIFS(Budget!$E:$E,Budget!$C:$C,$C17,Budget!$D:$D,"&lt;&gt;Incentives",Budget!$A:$A,H$5)</f>
        <v>919100</v>
      </c>
      <c r="I17" s="192">
        <f t="shared" si="10"/>
        <v>4853186</v>
      </c>
      <c r="J17" s="193">
        <f t="shared" si="1"/>
        <v>4969380.6655540653</v>
      </c>
      <c r="K17" s="194">
        <f t="shared" si="4"/>
        <v>2.0239419353707162</v>
      </c>
    </row>
    <row r="18" spans="1:11" x14ac:dyDescent="0.25">
      <c r="A18" s="181">
        <v>2027</v>
      </c>
      <c r="B18" s="156"/>
      <c r="C18" s="149" t="s">
        <v>164</v>
      </c>
      <c r="D18" s="189">
        <f>SUMIFS('All Measure &amp; TRC+ Calc'!BJ:BJ,'All Measure &amp; TRC+ Calc'!$D:$D,$C18,'All Measure &amp; TRC+ Calc'!$B:$B,D$5)</f>
        <v>17838495.776513193</v>
      </c>
      <c r="E18" s="190">
        <f>SUMIFS('All Measure &amp; TRC+ Calc'!AY:AY,'All Measure &amp; TRC+ Calc'!$D:$D,$C18,'All Measure &amp; TRC+ Calc'!$B:$B,E$5)</f>
        <v>0</v>
      </c>
      <c r="F18" s="191">
        <f t="shared" si="9"/>
        <v>17838495.776513193</v>
      </c>
      <c r="G18" s="190">
        <f>SUMIFS(Budget!$E:$E,Budget!$C:$C,$C18,Budget!$D:$D,"Incentives",Budget!$A:$A,G$5)</f>
        <v>10023833</v>
      </c>
      <c r="H18" s="190">
        <f>SUMIFS(Budget!$E:$E,Budget!$C:$C,$C18,Budget!$D:$D,"&lt;&gt;Incentives",Budget!$A:$A,H$5)</f>
        <v>928300</v>
      </c>
      <c r="I18" s="192">
        <f t="shared" si="10"/>
        <v>10952133</v>
      </c>
      <c r="J18" s="193">
        <f t="shared" si="1"/>
        <v>6886362.7765131928</v>
      </c>
      <c r="K18" s="194">
        <f t="shared" si="4"/>
        <v>1.6287690969889785</v>
      </c>
    </row>
    <row r="19" spans="1:11" x14ac:dyDescent="0.25">
      <c r="A19" s="181">
        <v>2027</v>
      </c>
      <c r="B19" s="156"/>
      <c r="C19" s="149" t="s">
        <v>165</v>
      </c>
      <c r="D19" s="189">
        <f>SUMIFS('All Measure &amp; TRC+ Calc'!BJ:BJ,'All Measure &amp; TRC+ Calc'!$D:$D,$C19,'All Measure &amp; TRC+ Calc'!$B:$B,D$5)</f>
        <v>4975195.7157058623</v>
      </c>
      <c r="E19" s="190">
        <f>SUMIFS('All Measure &amp; TRC+ Calc'!AY:AY,'All Measure &amp; TRC+ Calc'!$D:$D,$C19,'All Measure &amp; TRC+ Calc'!$B:$B,E$5)</f>
        <v>0</v>
      </c>
      <c r="F19" s="191">
        <f t="shared" si="9"/>
        <v>4975195.7157058623</v>
      </c>
      <c r="G19" s="190">
        <f>SUMIFS(Budget!$E:$E,Budget!$C:$C,$C19,Budget!$D:$D,"Incentives",Budget!$A:$A,G$5)</f>
        <v>2114178</v>
      </c>
      <c r="H19" s="190">
        <f>SUMIFS(Budget!$E:$E,Budget!$C:$C,$C19,Budget!$D:$D,"&lt;&gt;Incentives",Budget!$A:$A,H$5)</f>
        <v>1243000</v>
      </c>
      <c r="I19" s="192">
        <f t="shared" si="10"/>
        <v>3357178</v>
      </c>
      <c r="J19" s="193">
        <f t="shared" si="1"/>
        <v>1618017.7157058623</v>
      </c>
      <c r="K19" s="194">
        <f t="shared" si="4"/>
        <v>1.4819576786532802</v>
      </c>
    </row>
    <row r="20" spans="1:11" x14ac:dyDescent="0.25">
      <c r="A20" s="181">
        <v>2027</v>
      </c>
      <c r="B20" s="156"/>
      <c r="C20" s="149" t="s">
        <v>166</v>
      </c>
      <c r="D20" s="189">
        <f>SUMIFS('All Measure &amp; TRC+ Calc'!BJ:BJ,'All Measure &amp; TRC+ Calc'!$D:$D,$C20,'All Measure &amp; TRC+ Calc'!$B:$B,D$5)</f>
        <v>249685.4026295607</v>
      </c>
      <c r="E20" s="190">
        <f>SUMIFS('All Measure &amp; TRC+ Calc'!AY:AY,'All Measure &amp; TRC+ Calc'!$D:$D,$C20,'All Measure &amp; TRC+ Calc'!$B:$B,E$5)</f>
        <v>0</v>
      </c>
      <c r="F20" s="191">
        <f t="shared" si="9"/>
        <v>249685.4026295607</v>
      </c>
      <c r="G20" s="190">
        <f>SUMIFS(Budget!$E:$E,Budget!$C:$C,$C20,Budget!$D:$D,"Incentives",Budget!$A:$A,G$5)</f>
        <v>246930</v>
      </c>
      <c r="H20" s="190">
        <f>SUMIFS(Budget!$E:$E,Budget!$C:$C,$C20,Budget!$D:$D,"&lt;&gt;Incentives",Budget!$A:$A,H$5)</f>
        <v>326000</v>
      </c>
      <c r="I20" s="192">
        <f t="shared" si="10"/>
        <v>572930</v>
      </c>
      <c r="J20" s="193">
        <f t="shared" si="1"/>
        <v>-323244.59737043933</v>
      </c>
      <c r="K20" s="194">
        <f t="shared" si="4"/>
        <v>0.43580437859696769</v>
      </c>
    </row>
    <row r="21" spans="1:11" x14ac:dyDescent="0.25">
      <c r="A21" s="181">
        <v>2027</v>
      </c>
      <c r="B21" s="156"/>
      <c r="C21" s="149" t="s">
        <v>167</v>
      </c>
      <c r="D21" s="189">
        <f>SUMIFS('All Measure &amp; TRC+ Calc'!BJ:BJ,'All Measure &amp; TRC+ Calc'!$D:$D,$C21,'All Measure &amp; TRC+ Calc'!$B:$B,D$5)</f>
        <v>134885.90131904421</v>
      </c>
      <c r="E21" s="190">
        <f>SUMIFS('All Measure &amp; TRC+ Calc'!AY:AY,'All Measure &amp; TRC+ Calc'!$D:$D,$C21,'All Measure &amp; TRC+ Calc'!$B:$B,E$5)</f>
        <v>0</v>
      </c>
      <c r="F21" s="191">
        <f t="shared" si="9"/>
        <v>134885.90131904421</v>
      </c>
      <c r="G21" s="190">
        <f>SUMIFS(Budget!$E:$E,Budget!$C:$C,$C21,Budget!$D:$D,"Incentives",Budget!$A:$A,G$5)</f>
        <v>77869</v>
      </c>
      <c r="H21" s="190">
        <f>SUMIFS(Budget!$E:$E,Budget!$C:$C,$C21,Budget!$D:$D,"&lt;&gt;Incentives",Budget!$A:$A,H$5)</f>
        <v>127806</v>
      </c>
      <c r="I21" s="192">
        <f t="shared" si="10"/>
        <v>205675</v>
      </c>
      <c r="J21" s="193">
        <f t="shared" si="1"/>
        <v>-70789.098680955794</v>
      </c>
      <c r="K21" s="194">
        <f t="shared" si="4"/>
        <v>0.65582059715105967</v>
      </c>
    </row>
    <row r="22" spans="1:11" x14ac:dyDescent="0.25">
      <c r="A22" s="181">
        <v>2027</v>
      </c>
      <c r="B22" s="156"/>
      <c r="C22" s="149" t="s">
        <v>168</v>
      </c>
      <c r="D22" s="189">
        <f>SUMIFS('All Measure &amp; TRC+ Calc'!BJ:BJ,'All Measure &amp; TRC+ Calc'!$D:$D,$C22,'All Measure &amp; TRC+ Calc'!$B:$B,D$5)</f>
        <v>0</v>
      </c>
      <c r="E22" s="190">
        <f>SUMIFS('All Measure &amp; TRC+ Calc'!AY:AY,'All Measure &amp; TRC+ Calc'!$D:$D,$C22,'All Measure &amp; TRC+ Calc'!$B:$B,E$5)</f>
        <v>0</v>
      </c>
      <c r="F22" s="191">
        <f t="shared" si="9"/>
        <v>0</v>
      </c>
      <c r="G22" s="190">
        <f>SUMIFS(Budget!$E:$E,Budget!$C:$C,$C22,Budget!$D:$D,"Incentives",Budget!$A:$A,G$5)</f>
        <v>500000</v>
      </c>
      <c r="H22" s="190">
        <f>SUMIFS(Budget!$E:$E,Budget!$C:$C,$C22,Budget!$D:$D,"&lt;&gt;Incentives",Budget!$A:$A,H$5)</f>
        <v>280000</v>
      </c>
      <c r="I22" s="192">
        <f t="shared" si="10"/>
        <v>780000</v>
      </c>
      <c r="J22" s="193">
        <f t="shared" si="1"/>
        <v>-780000</v>
      </c>
      <c r="K22" s="194">
        <f t="shared" si="4"/>
        <v>0</v>
      </c>
    </row>
    <row r="23" spans="1:11" x14ac:dyDescent="0.25">
      <c r="A23" s="181">
        <v>2027</v>
      </c>
      <c r="B23" s="156"/>
      <c r="C23" s="149" t="s">
        <v>18</v>
      </c>
      <c r="D23" s="189">
        <f>SUMIFS('All Measure &amp; TRC+ Calc'!BJ:BJ,'All Measure &amp; TRC+ Calc'!$D:$D,$C23,'All Measure &amp; TRC+ Calc'!$B:$B,D$5)</f>
        <v>0</v>
      </c>
      <c r="E23" s="190">
        <f>SUMIFS('All Measure &amp; TRC+ Calc'!AY:AY,'All Measure &amp; TRC+ Calc'!$D:$D,$C23,'All Measure &amp; TRC+ Calc'!$B:$B,E$5)</f>
        <v>0</v>
      </c>
      <c r="F23" s="191">
        <f t="shared" si="9"/>
        <v>0</v>
      </c>
      <c r="G23" s="190">
        <f>SUMIFS(Budget!$E:$E,Budget!$C:$C,$C23,Budget!$D:$D,"Incentives",Budget!$A:$A,G$5)</f>
        <v>1800000</v>
      </c>
      <c r="H23" s="190">
        <f>SUMIFS(Budget!$E:$E,Budget!$C:$C,$C23,Budget!$D:$D,"&lt;&gt;Incentives",Budget!$A:$A,H$5)</f>
        <v>200000</v>
      </c>
      <c r="I23" s="192">
        <f t="shared" si="10"/>
        <v>2000000</v>
      </c>
      <c r="J23" s="193">
        <f t="shared" si="1"/>
        <v>-2000000</v>
      </c>
      <c r="K23" s="194">
        <f t="shared" si="4"/>
        <v>0</v>
      </c>
    </row>
    <row r="24" spans="1:11" x14ac:dyDescent="0.25">
      <c r="A24" s="181">
        <v>2027</v>
      </c>
      <c r="B24" s="156"/>
      <c r="C24" s="149" t="s">
        <v>19</v>
      </c>
      <c r="D24" s="195">
        <v>0</v>
      </c>
      <c r="E24" s="196">
        <v>0</v>
      </c>
      <c r="F24" s="197">
        <v>0</v>
      </c>
      <c r="G24" s="196">
        <f>SUMIFS(Budget!$E:$E,Budget!$C:$C,$C24,Budget!$D:$D,"Incentives",Budget!$A:$A,G$5)</f>
        <v>0</v>
      </c>
      <c r="H24" s="190">
        <f>SUMIFS(Budget!$E:$E,Budget!$C:$C,$C24,Budget!$D:$D,"&lt;&gt;Incentives",Budget!$A:$A,H$5)</f>
        <v>5527149</v>
      </c>
      <c r="I24" s="192">
        <f t="shared" si="10"/>
        <v>5527149</v>
      </c>
      <c r="J24" s="193">
        <f t="shared" si="1"/>
        <v>-5527149</v>
      </c>
      <c r="K24" s="198">
        <f t="shared" si="4"/>
        <v>0</v>
      </c>
    </row>
    <row r="25" spans="1:11" x14ac:dyDescent="0.25">
      <c r="A25" s="181">
        <v>2027</v>
      </c>
      <c r="B25" s="156"/>
      <c r="C25" s="150" t="s">
        <v>139</v>
      </c>
      <c r="D25" s="199">
        <f t="shared" ref="D25:I25" si="11">SUM(D26:D29)</f>
        <v>179787963.18922186</v>
      </c>
      <c r="E25" s="200">
        <f t="shared" si="11"/>
        <v>0</v>
      </c>
      <c r="F25" s="201">
        <f t="shared" si="11"/>
        <v>179787963.18922186</v>
      </c>
      <c r="G25" s="200">
        <f t="shared" si="11"/>
        <v>20621597</v>
      </c>
      <c r="H25" s="200">
        <f t="shared" si="11"/>
        <v>6264162</v>
      </c>
      <c r="I25" s="159">
        <f t="shared" si="11"/>
        <v>26885759</v>
      </c>
      <c r="J25" s="202">
        <f t="shared" si="1"/>
        <v>152902204.18922186</v>
      </c>
      <c r="K25" s="203">
        <f t="shared" si="4"/>
        <v>6.6871075943670348</v>
      </c>
    </row>
    <row r="26" spans="1:11" x14ac:dyDescent="0.25">
      <c r="A26" s="181">
        <v>2027</v>
      </c>
      <c r="B26" s="156"/>
      <c r="C26" s="149" t="s">
        <v>8</v>
      </c>
      <c r="D26" s="189">
        <f>SUMIFS('All Measure &amp; TRC+ Calc'!BJ:BJ,'All Measure &amp; TRC+ Calc'!$D:$D,$C26,'All Measure &amp; TRC+ Calc'!$B:$B,D$5)</f>
        <v>179787963.18922186</v>
      </c>
      <c r="E26" s="190">
        <f>SUMIFS('All Measure &amp; TRC+ Calc'!AY:AY,'All Measure &amp; TRC+ Calc'!$D:$D,$C26,'All Measure &amp; TRC+ Calc'!$B:$B,E$5)</f>
        <v>0</v>
      </c>
      <c r="F26" s="191">
        <f>SUM(D26:E26)</f>
        <v>179787963.18922186</v>
      </c>
      <c r="G26" s="190">
        <f>SUMIFS(Budget!$E:$E,Budget!$C:$C,$C26,Budget!$D:$D,"Incentives",Budget!$A:$A,G$5)</f>
        <v>18321597</v>
      </c>
      <c r="H26" s="190">
        <f>SUMIFS(Budget!$E:$E,Budget!$C:$C,$C26,Budget!$D:$D,"&lt;&gt;Incentives",Budget!$A:$A,H$5)</f>
        <v>970000</v>
      </c>
      <c r="I26" s="192">
        <f t="shared" ref="I26:I29" si="12">SUM(G26:H26)</f>
        <v>19291597</v>
      </c>
      <c r="J26" s="193">
        <f t="shared" si="1"/>
        <v>160496366.18922186</v>
      </c>
      <c r="K26" s="194">
        <f t="shared" si="4"/>
        <v>9.3194961095870834</v>
      </c>
    </row>
    <row r="27" spans="1:11" x14ac:dyDescent="0.25">
      <c r="A27" s="181">
        <v>2027</v>
      </c>
      <c r="B27" s="156"/>
      <c r="C27" s="149" t="s">
        <v>24</v>
      </c>
      <c r="D27" s="189">
        <f>SUMIFS('All Measure &amp; TRC+ Calc'!BJ:BJ,'All Measure &amp; TRC+ Calc'!$D:$D,$C27,'All Measure &amp; TRC+ Calc'!$B:$B,D$5)</f>
        <v>0</v>
      </c>
      <c r="E27" s="190">
        <f>SUMIFS('All Measure &amp; TRC+ Calc'!AY:AY,'All Measure &amp; TRC+ Calc'!$D:$D,$C27,'All Measure &amp; TRC+ Calc'!$B:$B,E$5)</f>
        <v>0</v>
      </c>
      <c r="F27" s="191">
        <f>SUM(D27:E27)</f>
        <v>0</v>
      </c>
      <c r="G27" s="190">
        <f>SUMIFS(Budget!$E:$E,Budget!$C:$C,$C27,Budget!$D:$D,"Incentives",Budget!$A:$A,G$5)</f>
        <v>1800000</v>
      </c>
      <c r="H27" s="190">
        <f>SUMIFS(Budget!$E:$E,Budget!$C:$C,$C27,Budget!$D:$D,"&lt;&gt;Incentives",Budget!$A:$A,H$5)</f>
        <v>200000</v>
      </c>
      <c r="I27" s="192">
        <f t="shared" si="12"/>
        <v>2000000</v>
      </c>
      <c r="J27" s="193">
        <f t="shared" si="1"/>
        <v>-2000000</v>
      </c>
      <c r="K27" s="194">
        <f t="shared" si="4"/>
        <v>0</v>
      </c>
    </row>
    <row r="28" spans="1:11" x14ac:dyDescent="0.25">
      <c r="A28" s="181">
        <v>2027</v>
      </c>
      <c r="B28" s="156"/>
      <c r="C28" s="149" t="s">
        <v>171</v>
      </c>
      <c r="D28" s="189">
        <f>SUMIFS('All Measure &amp; TRC+ Calc'!BJ:BJ,'All Measure &amp; TRC+ Calc'!$D:$D,$C28,'All Measure &amp; TRC+ Calc'!$B:$B,D$5)</f>
        <v>0</v>
      </c>
      <c r="E28" s="190">
        <f>SUMIFS('All Measure &amp; TRC+ Calc'!AY:AY,'All Measure &amp; TRC+ Calc'!$D:$D,$C28,'All Measure &amp; TRC+ Calc'!$B:$B,E$5)</f>
        <v>0</v>
      </c>
      <c r="F28" s="191">
        <f>SUM(D28:E28)</f>
        <v>0</v>
      </c>
      <c r="G28" s="190">
        <f>SUMIFS(Budget!$E:$E,Budget!$C:$C,$C28,Budget!$D:$D,"Incentives",Budget!$A:$A,G$5)</f>
        <v>500000</v>
      </c>
      <c r="H28" s="190">
        <f>SUMIFS(Budget!$E:$E,Budget!$C:$C,$C28,Budget!$D:$D,"&lt;&gt;Incentives",Budget!$A:$A,H$5)</f>
        <v>280000</v>
      </c>
      <c r="I28" s="192">
        <f t="shared" si="12"/>
        <v>780000</v>
      </c>
      <c r="J28" s="193">
        <f t="shared" si="1"/>
        <v>-780000</v>
      </c>
      <c r="K28" s="194">
        <f t="shared" si="4"/>
        <v>0</v>
      </c>
    </row>
    <row r="29" spans="1:11" x14ac:dyDescent="0.25">
      <c r="A29" s="181">
        <v>2027</v>
      </c>
      <c r="B29" s="156"/>
      <c r="C29" s="149" t="s">
        <v>25</v>
      </c>
      <c r="D29" s="195">
        <v>0</v>
      </c>
      <c r="E29" s="196">
        <v>0</v>
      </c>
      <c r="F29" s="197">
        <v>0</v>
      </c>
      <c r="G29" s="196">
        <f>SUMIFS(Budget!$E:$E,Budget!$C:$C,$C29,Budget!$D:$D,"Incentives",Budget!$A:$A,G$5)</f>
        <v>0</v>
      </c>
      <c r="H29" s="190">
        <f>SUMIFS(Budget!$E:$E,Budget!$C:$C,$C29,Budget!$D:$D,"&lt;&gt;Incentives",Budget!$A:$A,H$5)</f>
        <v>4814162</v>
      </c>
      <c r="I29" s="192">
        <f t="shared" si="12"/>
        <v>4814162</v>
      </c>
      <c r="J29" s="193">
        <f t="shared" si="1"/>
        <v>-4814162</v>
      </c>
      <c r="K29" s="198">
        <f t="shared" si="4"/>
        <v>0</v>
      </c>
    </row>
    <row r="30" spans="1:11" x14ac:dyDescent="0.25">
      <c r="A30" s="181">
        <v>2027</v>
      </c>
      <c r="B30" s="156"/>
      <c r="C30" s="150" t="s">
        <v>137</v>
      </c>
      <c r="D30" s="199">
        <f t="shared" ref="D30:I30" si="13">SUM(D31:D33)</f>
        <v>19399639.99532437</v>
      </c>
      <c r="E30" s="200">
        <f t="shared" si="13"/>
        <v>0</v>
      </c>
      <c r="F30" s="201">
        <f t="shared" si="13"/>
        <v>19399639.99532437</v>
      </c>
      <c r="G30" s="200">
        <f t="shared" si="13"/>
        <v>20424307</v>
      </c>
      <c r="H30" s="200">
        <f t="shared" si="13"/>
        <v>6912061</v>
      </c>
      <c r="I30" s="159">
        <f t="shared" si="13"/>
        <v>27336368</v>
      </c>
      <c r="J30" s="202">
        <f t="shared" si="1"/>
        <v>-7936728.0046756305</v>
      </c>
      <c r="K30" s="203">
        <f t="shared" si="4"/>
        <v>0.70966413663016126</v>
      </c>
    </row>
    <row r="31" spans="1:11" x14ac:dyDescent="0.25">
      <c r="A31" s="181">
        <v>2027</v>
      </c>
      <c r="B31" s="156"/>
      <c r="C31" s="149" t="s">
        <v>22</v>
      </c>
      <c r="D31" s="189">
        <f>SUMIFS('All Measure &amp; TRC+ Calc'!BJ:BJ,'All Measure &amp; TRC+ Calc'!$D:$D,$C31,'All Measure &amp; TRC+ Calc'!$B:$B,D$5)</f>
        <v>10224699.591821622</v>
      </c>
      <c r="E31" s="190">
        <f>SUMIFS('All Measure &amp; TRC+ Calc'!AY:AY,'All Measure &amp; TRC+ Calc'!$D:$D,$C31,'All Measure &amp; TRC+ Calc'!$B:$B,E$5)</f>
        <v>0</v>
      </c>
      <c r="F31" s="191">
        <f>SUM(D31:E31)</f>
        <v>10224699.591821622</v>
      </c>
      <c r="G31" s="190">
        <f>SUMIFS(Budget!$E:$E,Budget!$C:$C,$C31,Budget!$D:$D,"Incentives",Budget!$A:$A,G$5)</f>
        <v>12971618</v>
      </c>
      <c r="H31" s="190">
        <f>SUMIFS(Budget!$E:$E,Budget!$C:$C,$C31,Budget!$D:$D,"&lt;&gt;Incentives",Budget!$A:$A,H$5)</f>
        <v>3803720</v>
      </c>
      <c r="I31" s="192">
        <f>SUM(G31:H31)</f>
        <v>16775338</v>
      </c>
      <c r="J31" s="193">
        <f t="shared" si="1"/>
        <v>-6550638.4081783779</v>
      </c>
      <c r="K31" s="194">
        <f t="shared" si="4"/>
        <v>0.60950781390047837</v>
      </c>
    </row>
    <row r="32" spans="1:11" x14ac:dyDescent="0.25">
      <c r="A32" s="181">
        <v>2027</v>
      </c>
      <c r="B32" s="156"/>
      <c r="C32" s="149" t="s">
        <v>21</v>
      </c>
      <c r="D32" s="189">
        <f>SUMIFS('All Measure &amp; TRC+ Calc'!BJ:BJ,'All Measure &amp; TRC+ Calc'!$D:$D,$C32,'All Measure &amp; TRC+ Calc'!$B:$B,D$5)</f>
        <v>9174940.4035027474</v>
      </c>
      <c r="E32" s="190">
        <f>SUMIFS('All Measure &amp; TRC+ Calc'!AY:AY,'All Measure &amp; TRC+ Calc'!$D:$D,$C32,'All Measure &amp; TRC+ Calc'!$B:$B,E$5)</f>
        <v>0</v>
      </c>
      <c r="F32" s="191">
        <f>SUM(D32:E32)</f>
        <v>9174940.4035027474</v>
      </c>
      <c r="G32" s="190">
        <f>SUMIFS(Budget!$E:$E,Budget!$C:$C,$C32,Budget!$D:$D,"Incentives",Budget!$A:$A,G$5)</f>
        <v>7452689</v>
      </c>
      <c r="H32" s="190">
        <f>SUMIFS(Budget!$E:$E,Budget!$C:$C,$C32,Budget!$D:$D,"&lt;&gt;Incentives",Budget!$A:$A,H$5)</f>
        <v>1270000</v>
      </c>
      <c r="I32" s="192">
        <f>SUM(G32:H32)</f>
        <v>8722689</v>
      </c>
      <c r="J32" s="193">
        <f t="shared" si="1"/>
        <v>452251.40350274742</v>
      </c>
      <c r="K32" s="194">
        <f t="shared" si="4"/>
        <v>1.0518477047046786</v>
      </c>
    </row>
    <row r="33" spans="1:11" x14ac:dyDescent="0.25">
      <c r="A33" s="181">
        <v>2027</v>
      </c>
      <c r="B33" s="156"/>
      <c r="C33" s="149" t="s">
        <v>23</v>
      </c>
      <c r="D33" s="195">
        <v>0</v>
      </c>
      <c r="E33" s="196">
        <v>0</v>
      </c>
      <c r="F33" s="197">
        <v>0</v>
      </c>
      <c r="G33" s="196">
        <f>SUMIFS(Budget!$E:$E,Budget!$C:$C,$C33,Budget!$D:$D,"Incentives",Budget!$A:$A,G$5)</f>
        <v>0</v>
      </c>
      <c r="H33" s="190">
        <f>SUMIFS(Budget!$E:$E,Budget!$C:$C,$C33,Budget!$D:$D,"&lt;&gt;Incentives",Budget!$A:$A,H$5)</f>
        <v>1838341</v>
      </c>
      <c r="I33" s="192">
        <f>SUM(G33:H33)</f>
        <v>1838341</v>
      </c>
      <c r="J33" s="193">
        <f t="shared" si="1"/>
        <v>-1838341</v>
      </c>
      <c r="K33" s="198">
        <f t="shared" si="4"/>
        <v>0</v>
      </c>
    </row>
    <row r="34" spans="1:11" x14ac:dyDescent="0.25">
      <c r="A34" s="181">
        <v>2027</v>
      </c>
      <c r="B34" s="156"/>
      <c r="C34" s="150" t="s">
        <v>140</v>
      </c>
      <c r="D34" s="199">
        <f t="shared" ref="D34:I34" si="14">SUM(D35:D36)</f>
        <v>42876201.012221739</v>
      </c>
      <c r="E34" s="200">
        <f t="shared" si="14"/>
        <v>0</v>
      </c>
      <c r="F34" s="201">
        <f t="shared" si="14"/>
        <v>42876201.012221739</v>
      </c>
      <c r="G34" s="200">
        <f t="shared" si="14"/>
        <v>3178709</v>
      </c>
      <c r="H34" s="200">
        <f t="shared" si="14"/>
        <v>300945</v>
      </c>
      <c r="I34" s="159">
        <f t="shared" si="14"/>
        <v>3479654</v>
      </c>
      <c r="J34" s="202">
        <f t="shared" si="1"/>
        <v>39396547.012221739</v>
      </c>
      <c r="K34" s="203">
        <f t="shared" si="4"/>
        <v>12.321972532964985</v>
      </c>
    </row>
    <row r="35" spans="1:11" x14ac:dyDescent="0.25">
      <c r="A35" s="181">
        <v>2027</v>
      </c>
      <c r="B35" s="156"/>
      <c r="C35" s="149" t="s">
        <v>27</v>
      </c>
      <c r="D35" s="189">
        <f>SUMIFS('All Measure &amp; TRC+ Calc'!BJ:BJ,'All Measure &amp; TRC+ Calc'!$D:$D,$C35,'All Measure &amp; TRC+ Calc'!$B:$B,D$5)</f>
        <v>42876201.012221739</v>
      </c>
      <c r="E35" s="190">
        <f>SUMIFS('All Measure &amp; TRC+ Calc'!AY:AY,'All Measure &amp; TRC+ Calc'!$D:$D,$C35,'All Measure &amp; TRC+ Calc'!$B:$B,E$5)</f>
        <v>0</v>
      </c>
      <c r="F35" s="191">
        <f>SUM(D35:E35)</f>
        <v>42876201.012221739</v>
      </c>
      <c r="G35" s="190">
        <f>SUMIFS(Budget!$E:$E,Budget!$C:$C,$C35,Budget!$D:$D,"Incentives",Budget!$A:$A,G$5)</f>
        <v>3178709</v>
      </c>
      <c r="H35" s="190">
        <f>SUMIFS(Budget!$E:$E,Budget!$C:$C,$C35,Budget!$D:$D,"&lt;&gt;Incentives",Budget!$A:$A,H$5)</f>
        <v>25000</v>
      </c>
      <c r="I35" s="192">
        <f>SUM(G35:H35)</f>
        <v>3203709</v>
      </c>
      <c r="J35" s="193">
        <f t="shared" si="1"/>
        <v>39672492.012221739</v>
      </c>
      <c r="K35" s="194">
        <f t="shared" si="4"/>
        <v>13.383300734311931</v>
      </c>
    </row>
    <row r="36" spans="1:11" x14ac:dyDescent="0.25">
      <c r="A36" s="181">
        <v>2027</v>
      </c>
      <c r="B36" s="156"/>
      <c r="C36" s="149" t="s">
        <v>28</v>
      </c>
      <c r="D36" s="195">
        <v>0</v>
      </c>
      <c r="E36" s="196">
        <v>0</v>
      </c>
      <c r="F36" s="197">
        <v>0</v>
      </c>
      <c r="G36" s="196">
        <f>SUMIFS(Budget!$E:$E,Budget!$C:$C,$C36,Budget!$D:$D,"Incentives",Budget!$A:$A,G$5)</f>
        <v>0</v>
      </c>
      <c r="H36" s="190">
        <f>SUMIFS(Budget!$E:$E,Budget!$C:$C,$C36,Budget!$D:$D,"&lt;&gt;Incentives",Budget!$A:$A,H$5)</f>
        <v>275945</v>
      </c>
      <c r="I36" s="192">
        <f>SUM(G36:H36)</f>
        <v>275945</v>
      </c>
      <c r="J36" s="193">
        <f t="shared" si="1"/>
        <v>-275945</v>
      </c>
      <c r="K36" s="198">
        <f t="shared" si="4"/>
        <v>0</v>
      </c>
    </row>
    <row r="37" spans="1:11" x14ac:dyDescent="0.25">
      <c r="A37" s="181">
        <v>2027</v>
      </c>
      <c r="B37" s="156"/>
      <c r="C37" s="150" t="s">
        <v>187</v>
      </c>
      <c r="D37" s="204">
        <f t="shared" ref="D37:F37" si="15">SUM(D38:D45)</f>
        <v>0</v>
      </c>
      <c r="E37" s="205">
        <f t="shared" si="15"/>
        <v>0</v>
      </c>
      <c r="F37" s="206">
        <f t="shared" si="15"/>
        <v>0</v>
      </c>
      <c r="G37" s="205">
        <f>SUM(G38:G45)</f>
        <v>0</v>
      </c>
      <c r="H37" s="200">
        <f>SUM(H38:H45)</f>
        <v>17637852</v>
      </c>
      <c r="I37" s="159">
        <f>SUM(I38:I45)</f>
        <v>17637852</v>
      </c>
      <c r="J37" s="202">
        <f t="shared" si="1"/>
        <v>-17637852</v>
      </c>
      <c r="K37" s="203">
        <f t="shared" si="4"/>
        <v>0</v>
      </c>
    </row>
    <row r="38" spans="1:11" x14ac:dyDescent="0.25">
      <c r="A38" s="181">
        <v>2027</v>
      </c>
      <c r="B38" s="156"/>
      <c r="C38" s="149" t="s">
        <v>30</v>
      </c>
      <c r="D38" s="195">
        <v>0</v>
      </c>
      <c r="E38" s="196">
        <v>0</v>
      </c>
      <c r="F38" s="197">
        <v>0</v>
      </c>
      <c r="G38" s="196">
        <f>SUMIFS(Budget!$E:$E,Budget!$C:$C,$C38,Budget!$D:$D,"Incentives",Budget!$A:$A,G$5)</f>
        <v>0</v>
      </c>
      <c r="H38" s="190">
        <f>SUMIFS(Budget!$E:$E,Budget!$C:$C,$C38,Budget!$D:$D,"&lt;&gt;Incentives",Budget!$A:$A,H$5)</f>
        <v>7703652</v>
      </c>
      <c r="I38" s="192">
        <f t="shared" ref="I38:I45" si="16">SUM(G38:H38)</f>
        <v>7703652</v>
      </c>
      <c r="J38" s="193">
        <f t="shared" si="1"/>
        <v>-7703652</v>
      </c>
      <c r="K38" s="198">
        <f t="shared" si="4"/>
        <v>0</v>
      </c>
    </row>
    <row r="39" spans="1:11" x14ac:dyDescent="0.25">
      <c r="A39" s="181">
        <v>2027</v>
      </c>
      <c r="B39" s="156"/>
      <c r="C39" s="149" t="s">
        <v>32</v>
      </c>
      <c r="D39" s="195">
        <v>0</v>
      </c>
      <c r="E39" s="196">
        <v>0</v>
      </c>
      <c r="F39" s="197">
        <v>0</v>
      </c>
      <c r="G39" s="196">
        <f>SUMIFS(Budget!$E:$E,Budget!$C:$C,$C39,Budget!$D:$D,"Incentives",Budget!$A:$A,G$5)</f>
        <v>0</v>
      </c>
      <c r="H39" s="190">
        <f>SUMIFS(Budget!$E:$E,Budget!$C:$C,$C39,Budget!$D:$D,"&lt;&gt;Incentives",Budget!$A:$A,H$5)</f>
        <v>1583000</v>
      </c>
      <c r="I39" s="192">
        <f t="shared" si="16"/>
        <v>1583000</v>
      </c>
      <c r="J39" s="193">
        <f t="shared" si="1"/>
        <v>-1583000</v>
      </c>
      <c r="K39" s="198">
        <f t="shared" si="4"/>
        <v>0</v>
      </c>
    </row>
    <row r="40" spans="1:11" x14ac:dyDescent="0.25">
      <c r="A40" s="181">
        <v>2027</v>
      </c>
      <c r="B40" s="156"/>
      <c r="C40" s="149" t="s">
        <v>177</v>
      </c>
      <c r="D40" s="195">
        <v>0</v>
      </c>
      <c r="E40" s="196">
        <v>0</v>
      </c>
      <c r="F40" s="197">
        <v>0</v>
      </c>
      <c r="G40" s="196">
        <f>SUMIFS(Budget!$E:$E,Budget!$C:$C,$C40,Budget!$D:$D,"Incentives",Budget!$A:$A,G$5)</f>
        <v>0</v>
      </c>
      <c r="H40" s="190">
        <f>SUMIFS(Budget!$E:$E,Budget!$C:$C,$C40,Budget!$D:$D,"&lt;&gt;Incentives",Budget!$A:$A,H$5)</f>
        <v>610000</v>
      </c>
      <c r="I40" s="192">
        <f t="shared" si="16"/>
        <v>610000</v>
      </c>
      <c r="J40" s="193">
        <f t="shared" si="1"/>
        <v>-610000</v>
      </c>
      <c r="K40" s="198">
        <f t="shared" si="4"/>
        <v>0</v>
      </c>
    </row>
    <row r="41" spans="1:11" x14ac:dyDescent="0.25">
      <c r="A41" s="181">
        <v>2027</v>
      </c>
      <c r="B41" s="156"/>
      <c r="C41" s="149" t="s">
        <v>34</v>
      </c>
      <c r="D41" s="195">
        <v>0</v>
      </c>
      <c r="E41" s="196">
        <v>0</v>
      </c>
      <c r="F41" s="197">
        <v>0</v>
      </c>
      <c r="G41" s="196">
        <f>SUMIFS(Budget!$E:$E,Budget!$C:$C,$C41,Budget!$D:$D,"Incentives",Budget!$A:$A,G$5)</f>
        <v>0</v>
      </c>
      <c r="H41" s="190">
        <f>SUMIFS(Budget!$E:$E,Budget!$C:$C,$C41,Budget!$D:$D,"&lt;&gt;Incentives",Budget!$A:$A,H$5)</f>
        <v>3100000</v>
      </c>
      <c r="I41" s="192">
        <f t="shared" si="16"/>
        <v>3100000</v>
      </c>
      <c r="J41" s="193">
        <f t="shared" si="1"/>
        <v>-3100000</v>
      </c>
      <c r="K41" s="198">
        <f t="shared" si="4"/>
        <v>0</v>
      </c>
    </row>
    <row r="42" spans="1:11" x14ac:dyDescent="0.25">
      <c r="A42" s="181">
        <v>2027</v>
      </c>
      <c r="B42" s="156"/>
      <c r="C42" s="149" t="s">
        <v>36</v>
      </c>
      <c r="D42" s="195">
        <v>0</v>
      </c>
      <c r="E42" s="196">
        <v>0</v>
      </c>
      <c r="F42" s="197">
        <v>0</v>
      </c>
      <c r="G42" s="196">
        <f>SUMIFS(Budget!$E:$E,Budget!$C:$C,$C42,Budget!$D:$D,"Incentives",Budget!$A:$A,G$5)</f>
        <v>0</v>
      </c>
      <c r="H42" s="190">
        <f>SUMIFS(Budget!$E:$E,Budget!$C:$C,$C42,Budget!$D:$D,"&lt;&gt;Incentives",Budget!$A:$A,H$5)</f>
        <v>828000</v>
      </c>
      <c r="I42" s="192">
        <f t="shared" si="16"/>
        <v>828000</v>
      </c>
      <c r="J42" s="193">
        <f t="shared" si="1"/>
        <v>-828000</v>
      </c>
      <c r="K42" s="198">
        <f t="shared" si="4"/>
        <v>0</v>
      </c>
    </row>
    <row r="43" spans="1:11" x14ac:dyDescent="0.25">
      <c r="A43" s="181">
        <v>2027</v>
      </c>
      <c r="B43" s="156"/>
      <c r="C43" s="149" t="s">
        <v>35</v>
      </c>
      <c r="D43" s="195">
        <v>0</v>
      </c>
      <c r="E43" s="196">
        <v>0</v>
      </c>
      <c r="F43" s="197">
        <v>0</v>
      </c>
      <c r="G43" s="196">
        <f>SUMIFS(Budget!$E:$E,Budget!$C:$C,$C43,Budget!$D:$D,"Incentives",Budget!$A:$A,G$5)</f>
        <v>0</v>
      </c>
      <c r="H43" s="190">
        <f>SUMIFS(Budget!$E:$E,Budget!$C:$C,$C43,Budget!$D:$D,"&lt;&gt;Incentives",Budget!$A:$A,H$5)</f>
        <v>590000</v>
      </c>
      <c r="I43" s="192">
        <f t="shared" si="16"/>
        <v>590000</v>
      </c>
      <c r="J43" s="193">
        <f t="shared" si="1"/>
        <v>-590000</v>
      </c>
      <c r="K43" s="198">
        <f t="shared" si="4"/>
        <v>0</v>
      </c>
    </row>
    <row r="44" spans="1:11" x14ac:dyDescent="0.25">
      <c r="A44" s="181">
        <v>2027</v>
      </c>
      <c r="B44" s="156"/>
      <c r="C44" s="149" t="s">
        <v>38</v>
      </c>
      <c r="D44" s="195">
        <v>0</v>
      </c>
      <c r="E44" s="196">
        <v>0</v>
      </c>
      <c r="F44" s="197">
        <v>0</v>
      </c>
      <c r="G44" s="196">
        <f>SUMIFS(Budget!$E:$E,Budget!$C:$C,$C44,Budget!$D:$D,"Incentives",Budget!$A:$A,G$5)</f>
        <v>0</v>
      </c>
      <c r="H44" s="190">
        <f>SUMIFS(Budget!$E:$E,Budget!$C:$C,$C44,Budget!$D:$D,"&lt;&gt;Incentives",Budget!$A:$A,H$5)</f>
        <v>3223200</v>
      </c>
      <c r="I44" s="192">
        <f t="shared" si="16"/>
        <v>3223200</v>
      </c>
      <c r="J44" s="193">
        <f t="shared" si="1"/>
        <v>-3223200</v>
      </c>
      <c r="K44" s="198">
        <f t="shared" si="4"/>
        <v>0</v>
      </c>
    </row>
    <row r="45" spans="1:11" ht="13.5" thickBot="1" x14ac:dyDescent="0.3">
      <c r="A45" s="181">
        <v>2027</v>
      </c>
      <c r="B45" s="156"/>
      <c r="C45" s="207" t="s">
        <v>178</v>
      </c>
      <c r="D45" s="208">
        <v>0</v>
      </c>
      <c r="E45" s="209">
        <v>0</v>
      </c>
      <c r="F45" s="210">
        <v>0</v>
      </c>
      <c r="G45" s="209">
        <f>SUMIFS(Budget!$E:$E,Budget!$C:$C,$C45,Budget!$D:$D,"Incentives",Budget!$A:$A,G$5)</f>
        <v>0</v>
      </c>
      <c r="H45" s="211">
        <f>SUMIFS(Budget!$E:$E,Budget!$C:$C,$C45,Budget!$D:$D,"&lt;&gt;Incentives",Budget!$A:$A,H$5)</f>
        <v>0</v>
      </c>
      <c r="I45" s="212">
        <f t="shared" si="16"/>
        <v>0</v>
      </c>
      <c r="J45" s="213">
        <f t="shared" si="1"/>
        <v>0</v>
      </c>
      <c r="K45" s="214">
        <f t="shared" si="4"/>
        <v>0</v>
      </c>
    </row>
    <row r="46" spans="1:11" ht="13.5" thickTop="1" x14ac:dyDescent="0.25">
      <c r="A46" s="181">
        <v>2027</v>
      </c>
      <c r="B46" s="156"/>
      <c r="C46" s="215" t="s">
        <v>131</v>
      </c>
      <c r="D46" s="216">
        <f t="shared" ref="D46:I46" si="17">SUM(D7,D15,D25,D30,D34,D37)</f>
        <v>410132344.57111537</v>
      </c>
      <c r="E46" s="216">
        <f t="shared" si="17"/>
        <v>0</v>
      </c>
      <c r="F46" s="216">
        <f t="shared" si="17"/>
        <v>410132344.57111537</v>
      </c>
      <c r="G46" s="216">
        <f t="shared" si="17"/>
        <v>134785541</v>
      </c>
      <c r="H46" s="216">
        <f t="shared" si="17"/>
        <v>56389381</v>
      </c>
      <c r="I46" s="216">
        <f t="shared" si="17"/>
        <v>191174922</v>
      </c>
      <c r="J46" s="216">
        <f t="shared" si="1"/>
        <v>218957422.57111537</v>
      </c>
      <c r="K46" s="217">
        <f t="shared" ref="K46:K47" si="18">IFERROR(F46/I46,0)</f>
        <v>2.1453250263186474</v>
      </c>
    </row>
    <row r="47" spans="1:11" x14ac:dyDescent="0.25">
      <c r="A47" s="153"/>
      <c r="C47" s="136" t="s">
        <v>229</v>
      </c>
      <c r="D47" s="258">
        <f>SUM(D7,D15,D25,D30,D34)</f>
        <v>410132344.57111537</v>
      </c>
      <c r="E47" s="258">
        <f t="shared" ref="E47:I47" si="19">SUM(E7,E15,E25,E30,E34)</f>
        <v>0</v>
      </c>
      <c r="F47" s="258">
        <f t="shared" si="19"/>
        <v>410132344.57111537</v>
      </c>
      <c r="G47" s="258">
        <f t="shared" si="19"/>
        <v>134785541</v>
      </c>
      <c r="H47" s="258">
        <f t="shared" si="19"/>
        <v>38751529</v>
      </c>
      <c r="I47" s="258">
        <f t="shared" si="19"/>
        <v>173537070</v>
      </c>
      <c r="J47" s="258">
        <f t="shared" si="1"/>
        <v>236595274.57111537</v>
      </c>
      <c r="K47" s="259">
        <f t="shared" si="18"/>
        <v>2.3633702273013792</v>
      </c>
    </row>
    <row r="48" spans="1:11" x14ac:dyDescent="0.25">
      <c r="A48" s="153"/>
    </row>
    <row r="49" spans="1:11" x14ac:dyDescent="0.25">
      <c r="A49" s="153"/>
    </row>
    <row r="50" spans="1:11" ht="16.5" thickBot="1" x14ac:dyDescent="0.3">
      <c r="A50" s="153"/>
      <c r="C50" s="220" t="s">
        <v>302</v>
      </c>
      <c r="D50" s="173"/>
      <c r="E50" s="155"/>
      <c r="F50" s="155"/>
    </row>
    <row r="51" spans="1:11" ht="13.5" thickTop="1" x14ac:dyDescent="0.25">
      <c r="A51" s="153"/>
    </row>
    <row r="52" spans="1:11" x14ac:dyDescent="0.25">
      <c r="A52" s="153"/>
      <c r="C52" s="60"/>
      <c r="D52" s="396" t="s">
        <v>189</v>
      </c>
      <c r="E52" s="397"/>
      <c r="F52" s="398"/>
      <c r="G52" s="396" t="s">
        <v>190</v>
      </c>
      <c r="H52" s="397"/>
      <c r="I52" s="398"/>
      <c r="J52" s="175" t="s">
        <v>367</v>
      </c>
      <c r="K52" s="174" t="s">
        <v>191</v>
      </c>
    </row>
    <row r="53" spans="1:11" x14ac:dyDescent="0.25">
      <c r="A53" s="153"/>
      <c r="C53" s="60"/>
      <c r="D53" s="244" t="s">
        <v>303</v>
      </c>
      <c r="E53" s="241" t="s">
        <v>303</v>
      </c>
      <c r="F53" s="242" t="s">
        <v>303</v>
      </c>
      <c r="G53" s="240" t="s">
        <v>303</v>
      </c>
      <c r="H53" s="241" t="s">
        <v>303</v>
      </c>
      <c r="I53" s="242" t="s">
        <v>303</v>
      </c>
      <c r="J53" s="243" t="s">
        <v>303</v>
      </c>
      <c r="K53" s="242" t="s">
        <v>303</v>
      </c>
    </row>
    <row r="54" spans="1:11" ht="25.5" x14ac:dyDescent="0.25">
      <c r="A54" s="153"/>
      <c r="C54" s="157"/>
      <c r="D54" s="176" t="s">
        <v>180</v>
      </c>
      <c r="E54" s="177" t="s">
        <v>183</v>
      </c>
      <c r="F54" s="178" t="s">
        <v>192</v>
      </c>
      <c r="G54" s="176" t="s">
        <v>193</v>
      </c>
      <c r="H54" s="179" t="s">
        <v>155</v>
      </c>
      <c r="I54" s="178" t="s">
        <v>194</v>
      </c>
      <c r="J54" s="180" t="s">
        <v>195</v>
      </c>
      <c r="K54" s="178" t="s">
        <v>191</v>
      </c>
    </row>
    <row r="55" spans="1:11" x14ac:dyDescent="0.25">
      <c r="A55" s="181">
        <v>2028</v>
      </c>
      <c r="B55" s="156"/>
      <c r="C55" s="218" t="s">
        <v>135</v>
      </c>
      <c r="D55" s="183">
        <f t="shared" ref="D55:I55" si="20">SUM(D56:D62)</f>
        <v>80955153.690365806</v>
      </c>
      <c r="E55" s="184">
        <f t="shared" si="20"/>
        <v>0</v>
      </c>
      <c r="F55" s="185">
        <f t="shared" si="20"/>
        <v>80955153.690365806</v>
      </c>
      <c r="G55" s="184">
        <f t="shared" si="20"/>
        <v>61144701</v>
      </c>
      <c r="H55" s="184">
        <f t="shared" si="20"/>
        <v>14547211</v>
      </c>
      <c r="I55" s="186">
        <f t="shared" si="20"/>
        <v>75691912</v>
      </c>
      <c r="J55" s="187">
        <f t="shared" ref="J55:J95" si="21">F55-I55</f>
        <v>5263241.6903658062</v>
      </c>
      <c r="K55" s="188">
        <f>IFERROR(F55/I55,0)</f>
        <v>1.0695350606332392</v>
      </c>
    </row>
    <row r="56" spans="1:11" x14ac:dyDescent="0.25">
      <c r="A56" s="181">
        <v>2028</v>
      </c>
      <c r="B56" s="156"/>
      <c r="C56" s="151" t="s">
        <v>159</v>
      </c>
      <c r="D56" s="189">
        <f>SUMIFS('All Measure &amp; TRC+ Calc'!BJ:BJ,'All Measure &amp; TRC+ Calc'!$D:$D,$C56,'All Measure &amp; TRC+ Calc'!$B:$B,$D$53)</f>
        <v>21660233.062400419</v>
      </c>
      <c r="E56" s="190">
        <f>SUMIFS('All Measure &amp; TRC+ Calc'!AY:AY,'All Measure &amp; TRC+ Calc'!$D:$D,$C56,'All Measure &amp; TRC+ Calc'!$B:$B,E$53)</f>
        <v>0</v>
      </c>
      <c r="F56" s="191">
        <f t="shared" ref="F56:F61" si="22">SUM(D56:E56)</f>
        <v>21660233.062400419</v>
      </c>
      <c r="G56" s="190">
        <f>SUMIFS(Budget!$E:$E,Budget!$C:$C,$C56,Budget!$D:$D,"Incentives",Budget!$A:$A,G$53)</f>
        <v>21572449</v>
      </c>
      <c r="H56" s="190">
        <f>SUMIFS(Budget!$E:$E,Budget!$C:$C,$C56,Budget!$D:$D,"&lt;&gt;Incentives",Budget!$A:$A,H$53)</f>
        <v>2136120</v>
      </c>
      <c r="I56" s="192">
        <f t="shared" ref="I56:I61" si="23">SUM(G56:H56)</f>
        <v>23708569</v>
      </c>
      <c r="J56" s="193">
        <f t="shared" si="21"/>
        <v>-2048335.9375995807</v>
      </c>
      <c r="K56" s="194">
        <f t="shared" ref="K56:K95" si="24">IFERROR(F56/I56,0)</f>
        <v>0.91360356090662487</v>
      </c>
    </row>
    <row r="57" spans="1:11" x14ac:dyDescent="0.25">
      <c r="A57" s="181">
        <v>2028</v>
      </c>
      <c r="B57" s="156"/>
      <c r="C57" s="151" t="s">
        <v>130</v>
      </c>
      <c r="D57" s="189">
        <f>SUMIFS('All Measure &amp; TRC+ Calc'!BJ:BJ,'All Measure &amp; TRC+ Calc'!$D:$D,$C57,'All Measure &amp; TRC+ Calc'!$B:$B,$D$53)</f>
        <v>22676241.22029946</v>
      </c>
      <c r="E57" s="190">
        <f>SUMIFS('All Measure &amp; TRC+ Calc'!AY:AY,'All Measure &amp; TRC+ Calc'!$D:$D,$C57,'All Measure &amp; TRC+ Calc'!$B:$B,E$53)</f>
        <v>0</v>
      </c>
      <c r="F57" s="191">
        <f t="shared" si="22"/>
        <v>22676241.22029946</v>
      </c>
      <c r="G57" s="190">
        <f>SUMIFS(Budget!$E:$E,Budget!$C:$C,$C57,Budget!$D:$D,"Incentives",Budget!$A:$A,G$53)</f>
        <v>16822350</v>
      </c>
      <c r="H57" s="190">
        <f>SUMIFS(Budget!$E:$E,Budget!$C:$C,$C57,Budget!$D:$D,"&lt;&gt;Incentives",Budget!$A:$A,H$53)</f>
        <v>2014117</v>
      </c>
      <c r="I57" s="192">
        <f t="shared" si="23"/>
        <v>18836467</v>
      </c>
      <c r="J57" s="193">
        <f t="shared" si="21"/>
        <v>3839774.22029946</v>
      </c>
      <c r="K57" s="194">
        <f t="shared" si="24"/>
        <v>1.2038478988814336</v>
      </c>
    </row>
    <row r="58" spans="1:11" x14ac:dyDescent="0.25">
      <c r="A58" s="181">
        <v>2028</v>
      </c>
      <c r="B58" s="156"/>
      <c r="C58" s="151" t="s">
        <v>333</v>
      </c>
      <c r="D58" s="189">
        <f>SUMIFS('All Measure &amp; TRC+ Calc'!BJ:BJ,'All Measure &amp; TRC+ Calc'!$D:$D,$C58,'All Measure &amp; TRC+ Calc'!$B:$B,$D$53)</f>
        <v>17422795.888164021</v>
      </c>
      <c r="E58" s="190">
        <f>SUMIFS('All Measure &amp; TRC+ Calc'!AY:AY,'All Measure &amp; TRC+ Calc'!$D:$D,$C58,'All Measure &amp; TRC+ Calc'!$B:$B,E$53)</f>
        <v>0</v>
      </c>
      <c r="F58" s="191">
        <f t="shared" ref="F58" si="25">SUM(D58:E58)</f>
        <v>17422795.888164021</v>
      </c>
      <c r="G58" s="190">
        <f>SUMIFS(Budget!$E:$E,Budget!$C:$C,$C58,Budget!$D:$D,"Incentives",Budget!$A:$A,G$53)</f>
        <v>7813200</v>
      </c>
      <c r="H58" s="190">
        <f>SUMIFS(Budget!$E:$E,Budget!$C:$C,$C58,Budget!$D:$D,"&lt;&gt;Incentives",Budget!$A:$A,H$53)</f>
        <v>1185079</v>
      </c>
      <c r="I58" s="192">
        <f t="shared" ref="I58" si="26">SUM(G58:H58)</f>
        <v>8998279</v>
      </c>
      <c r="J58" s="193">
        <f t="shared" ref="J58" si="27">F58-I58</f>
        <v>8424516.8881640211</v>
      </c>
      <c r="K58" s="194">
        <f t="shared" si="24"/>
        <v>1.9362364612348673</v>
      </c>
    </row>
    <row r="59" spans="1:11" x14ac:dyDescent="0.25">
      <c r="A59" s="181">
        <v>2028</v>
      </c>
      <c r="B59" s="156"/>
      <c r="C59" s="151" t="s">
        <v>160</v>
      </c>
      <c r="D59" s="189">
        <f>SUMIFS('All Measure &amp; TRC+ Calc'!BJ:BJ,'All Measure &amp; TRC+ Calc'!$D:$D,$C59,'All Measure &amp; TRC+ Calc'!$B:$B,$D$53)</f>
        <v>8061584.6432832414</v>
      </c>
      <c r="E59" s="190">
        <f>SUMIFS('All Measure &amp; TRC+ Calc'!AY:AY,'All Measure &amp; TRC+ Calc'!$D:$D,$C59,'All Measure &amp; TRC+ Calc'!$B:$B,E$53)</f>
        <v>0</v>
      </c>
      <c r="F59" s="191">
        <f t="shared" si="22"/>
        <v>8061584.6432832414</v>
      </c>
      <c r="G59" s="190">
        <f>SUMIFS(Budget!$E:$E,Budget!$C:$C,$C59,Budget!$D:$D,"Incentives",Budget!$A:$A,G$53)</f>
        <v>3165902</v>
      </c>
      <c r="H59" s="190">
        <f>SUMIFS(Budget!$E:$E,Budget!$C:$C,$C59,Budget!$D:$D,"&lt;&gt;Incentives",Budget!$A:$A,H$53)</f>
        <v>2957399</v>
      </c>
      <c r="I59" s="192">
        <f t="shared" si="23"/>
        <v>6123301</v>
      </c>
      <c r="J59" s="193">
        <f t="shared" si="21"/>
        <v>1938283.6432832414</v>
      </c>
      <c r="K59" s="194">
        <f t="shared" si="24"/>
        <v>1.3165422773244759</v>
      </c>
    </row>
    <row r="60" spans="1:11" x14ac:dyDescent="0.25">
      <c r="A60" s="181">
        <v>2028</v>
      </c>
      <c r="B60" s="156"/>
      <c r="C60" s="151" t="s">
        <v>161</v>
      </c>
      <c r="D60" s="189">
        <f>SUMIFS('All Measure &amp; TRC+ Calc'!BJ:BJ,'All Measure &amp; TRC+ Calc'!$D:$D,$C60,'All Measure &amp; TRC+ Calc'!$B:$B,$D$53)</f>
        <v>9904451.6873665825</v>
      </c>
      <c r="E60" s="190">
        <f>SUMIFS('All Measure &amp; TRC+ Calc'!AY:AY,'All Measure &amp; TRC+ Calc'!$D:$D,$C60,'All Measure &amp; TRC+ Calc'!$B:$B,E$53)</f>
        <v>0</v>
      </c>
      <c r="F60" s="191">
        <f t="shared" si="22"/>
        <v>9904451.6873665825</v>
      </c>
      <c r="G60" s="190">
        <f>SUMIFS(Budget!$E:$E,Budget!$C:$C,$C60,Budget!$D:$D,"Incentives",Budget!$A:$A,G$53)</f>
        <v>11770800</v>
      </c>
      <c r="H60" s="190">
        <f>SUMIFS(Budget!$E:$E,Budget!$C:$C,$C60,Budget!$D:$D,"&lt;&gt;Incentives",Budget!$A:$A,H$53)</f>
        <v>991770</v>
      </c>
      <c r="I60" s="192">
        <f t="shared" si="23"/>
        <v>12762570</v>
      </c>
      <c r="J60" s="193">
        <f t="shared" si="21"/>
        <v>-2858118.3126334175</v>
      </c>
      <c r="K60" s="194">
        <f t="shared" si="24"/>
        <v>0.77605464160953341</v>
      </c>
    </row>
    <row r="61" spans="1:11" x14ac:dyDescent="0.25">
      <c r="A61" s="181">
        <v>2028</v>
      </c>
      <c r="B61" s="156"/>
      <c r="C61" s="151" t="s">
        <v>162</v>
      </c>
      <c r="D61" s="189">
        <f>SUMIFS('All Measure &amp; TRC+ Calc'!BJ:BJ,'All Measure &amp; TRC+ Calc'!$D:$D,$C61,'All Measure &amp; TRC+ Calc'!$B:$B,$D$53)</f>
        <v>1229847.1888520925</v>
      </c>
      <c r="E61" s="190">
        <f>SUMIFS('All Measure &amp; TRC+ Calc'!AY:AY,'All Measure &amp; TRC+ Calc'!$D:$D,$C61,'All Measure &amp; TRC+ Calc'!$B:$B,E$53)</f>
        <v>0</v>
      </c>
      <c r="F61" s="191">
        <f t="shared" si="22"/>
        <v>1229847.1888520925</v>
      </c>
      <c r="G61" s="190">
        <f>SUMIFS(Budget!$E:$E,Budget!$C:$C,$C61,Budget!$D:$D,"Incentives",Budget!$A:$A,G$53)</f>
        <v>0</v>
      </c>
      <c r="H61" s="190">
        <f>SUMIFS(Budget!$E:$E,Budget!$C:$C,$C61,Budget!$D:$D,"&lt;&gt;Incentives",Budget!$A:$A,H$53)</f>
        <v>2644720</v>
      </c>
      <c r="I61" s="192">
        <f t="shared" si="23"/>
        <v>2644720</v>
      </c>
      <c r="J61" s="193">
        <f t="shared" si="21"/>
        <v>-1414872.8111479075</v>
      </c>
      <c r="K61" s="194">
        <f t="shared" si="24"/>
        <v>0.46501980884634003</v>
      </c>
    </row>
    <row r="62" spans="1:11" x14ac:dyDescent="0.25">
      <c r="A62" s="181">
        <v>2028</v>
      </c>
      <c r="B62" s="156"/>
      <c r="C62" s="151" t="s">
        <v>17</v>
      </c>
      <c r="D62" s="195">
        <v>0</v>
      </c>
      <c r="E62" s="196">
        <v>0</v>
      </c>
      <c r="F62" s="197">
        <v>0</v>
      </c>
      <c r="G62" s="196">
        <f>SUMIFS(Budget!$E:$E,Budget!$C:$C,$C62,Budget!$D:$D,"Incentives",Budget!$A:$A,G$5)</f>
        <v>0</v>
      </c>
      <c r="H62" s="190">
        <f>SUMIFS(Budget!$E:$E,Budget!$C:$C,$C62,Budget!$D:$D,"&lt;&gt;Incentives",Budget!$A:$A,H$53)</f>
        <v>2618006</v>
      </c>
      <c r="I62" s="192">
        <f t="shared" ref="I62" si="28">SUM(G62:H62)</f>
        <v>2618006</v>
      </c>
      <c r="J62" s="193">
        <f t="shared" si="21"/>
        <v>-2618006</v>
      </c>
      <c r="K62" s="198">
        <f t="shared" si="24"/>
        <v>0</v>
      </c>
    </row>
    <row r="63" spans="1:11" x14ac:dyDescent="0.25">
      <c r="A63" s="181">
        <v>2028</v>
      </c>
      <c r="B63" s="156"/>
      <c r="C63" s="152" t="s">
        <v>138</v>
      </c>
      <c r="D63" s="199">
        <f t="shared" ref="D63:I63" si="29">SUM(D64:D72)</f>
        <v>109973922.37024722</v>
      </c>
      <c r="E63" s="200">
        <f t="shared" si="29"/>
        <v>0</v>
      </c>
      <c r="F63" s="201">
        <f t="shared" si="29"/>
        <v>109973922.37024722</v>
      </c>
      <c r="G63" s="200">
        <f t="shared" si="29"/>
        <v>37445454</v>
      </c>
      <c r="H63" s="200">
        <f t="shared" si="29"/>
        <v>11022875</v>
      </c>
      <c r="I63" s="159">
        <f t="shared" si="29"/>
        <v>48468329</v>
      </c>
      <c r="J63" s="202">
        <f t="shared" si="21"/>
        <v>61505593.370247215</v>
      </c>
      <c r="K63" s="203">
        <f t="shared" si="24"/>
        <v>2.2689852247690903</v>
      </c>
    </row>
    <row r="64" spans="1:11" x14ac:dyDescent="0.25">
      <c r="A64" s="181">
        <v>2028</v>
      </c>
      <c r="B64" s="156"/>
      <c r="C64" s="151" t="s">
        <v>9</v>
      </c>
      <c r="D64" s="189">
        <f>SUMIFS('All Measure &amp; TRC+ Calc'!BJ:BJ,'All Measure &amp; TRC+ Calc'!$D:$D,$C64,'All Measure &amp; TRC+ Calc'!$B:$B,D$53)</f>
        <v>71484430.08941032</v>
      </c>
      <c r="E64" s="190">
        <f>SUMIFS('All Measure &amp; TRC+ Calc'!AY:AY,'All Measure &amp; TRC+ Calc'!$D:$D,$C64,'All Measure &amp; TRC+ Calc'!$B:$B,E$53)</f>
        <v>0</v>
      </c>
      <c r="F64" s="191">
        <f t="shared" ref="F64:F71" si="30">SUM(D64:E64)</f>
        <v>71484430.08941032</v>
      </c>
      <c r="G64" s="190">
        <f>SUMIFS(Budget!$E:$E,Budget!$C:$C,$C64,Budget!$D:$D,"Incentives",Budget!$A:$A,G$53)</f>
        <v>16367318</v>
      </c>
      <c r="H64" s="190">
        <f>SUMIFS(Budget!$E:$E,Budget!$C:$C,$C64,Budget!$D:$D,"&lt;&gt;Incentives",Budget!$A:$A,H$53)</f>
        <v>984904</v>
      </c>
      <c r="I64" s="192">
        <f t="shared" ref="I64:I72" si="31">SUM(G64:H64)</f>
        <v>17352222</v>
      </c>
      <c r="J64" s="193">
        <f t="shared" si="21"/>
        <v>54132208.08941032</v>
      </c>
      <c r="K64" s="194">
        <f t="shared" si="24"/>
        <v>4.1196124674644157</v>
      </c>
    </row>
    <row r="65" spans="1:11" x14ac:dyDescent="0.25">
      <c r="A65" s="181">
        <v>2028</v>
      </c>
      <c r="B65" s="156"/>
      <c r="C65" s="151" t="s">
        <v>163</v>
      </c>
      <c r="D65" s="189">
        <f>SUMIFS('All Measure &amp; TRC+ Calc'!BJ:BJ,'All Measure &amp; TRC+ Calc'!$D:$D,$C65,'All Measure &amp; TRC+ Calc'!$B:$B,D$53)</f>
        <v>11307567.974344835</v>
      </c>
      <c r="E65" s="190">
        <f>SUMIFS('All Measure &amp; TRC+ Calc'!AY:AY,'All Measure &amp; TRC+ Calc'!$D:$D,$C65,'All Measure &amp; TRC+ Calc'!$B:$B,E$53)</f>
        <v>0</v>
      </c>
      <c r="F65" s="191">
        <f t="shared" si="30"/>
        <v>11307567.974344835</v>
      </c>
      <c r="G65" s="190">
        <f>SUMIFS(Budget!$E:$E,Budget!$C:$C,$C65,Budget!$D:$D,"Incentives",Budget!$A:$A,G$53)</f>
        <v>4432296</v>
      </c>
      <c r="H65" s="190">
        <f>SUMIFS(Budget!$E:$E,Budget!$C:$C,$C65,Budget!$D:$D,"&lt;&gt;Incentives",Budget!$A:$A,H$53)</f>
        <v>985768</v>
      </c>
      <c r="I65" s="192">
        <f t="shared" si="31"/>
        <v>5418064</v>
      </c>
      <c r="J65" s="193">
        <f t="shared" si="21"/>
        <v>5889503.9743448347</v>
      </c>
      <c r="K65" s="194">
        <f t="shared" si="24"/>
        <v>2.0870126256066439</v>
      </c>
    </row>
    <row r="66" spans="1:11" x14ac:dyDescent="0.25">
      <c r="A66" s="181">
        <v>2028</v>
      </c>
      <c r="B66" s="156"/>
      <c r="C66" s="151" t="s">
        <v>164</v>
      </c>
      <c r="D66" s="189">
        <f>SUMIFS('All Measure &amp; TRC+ Calc'!BJ:BJ,'All Measure &amp; TRC+ Calc'!$D:$D,$C66,'All Measure &amp; TRC+ Calc'!$B:$B,D$53)</f>
        <v>20570746.04311594</v>
      </c>
      <c r="E66" s="190">
        <f>SUMIFS('All Measure &amp; TRC+ Calc'!AY:AY,'All Measure &amp; TRC+ Calc'!$D:$D,$C66,'All Measure &amp; TRC+ Calc'!$B:$B,E$53)</f>
        <v>0</v>
      </c>
      <c r="F66" s="191">
        <f t="shared" si="30"/>
        <v>20570746.04311594</v>
      </c>
      <c r="G66" s="190">
        <f>SUMIFS(Budget!$E:$E,Budget!$C:$C,$C66,Budget!$D:$D,"Incentives",Budget!$A:$A,G$53)</f>
        <v>11328015</v>
      </c>
      <c r="H66" s="190">
        <f>SUMIFS(Budget!$E:$E,Budget!$C:$C,$C66,Budget!$D:$D,"&lt;&gt;Incentives",Budget!$A:$A,H$53)</f>
        <v>1026253</v>
      </c>
      <c r="I66" s="192">
        <f t="shared" si="31"/>
        <v>12354268</v>
      </c>
      <c r="J66" s="193">
        <f t="shared" si="21"/>
        <v>8216478.0431159399</v>
      </c>
      <c r="K66" s="194">
        <f t="shared" si="24"/>
        <v>1.6650720255636302</v>
      </c>
    </row>
    <row r="67" spans="1:11" x14ac:dyDescent="0.25">
      <c r="A67" s="181">
        <v>2028</v>
      </c>
      <c r="B67" s="156"/>
      <c r="C67" s="151" t="s">
        <v>165</v>
      </c>
      <c r="D67" s="189">
        <f>SUMIFS('All Measure &amp; TRC+ Calc'!BJ:BJ,'All Measure &amp; TRC+ Calc'!$D:$D,$C67,'All Measure &amp; TRC+ Calc'!$B:$B,D$53)</f>
        <v>6008488.9028801387</v>
      </c>
      <c r="E67" s="190">
        <f>SUMIFS('All Measure &amp; TRC+ Calc'!AY:AY,'All Measure &amp; TRC+ Calc'!$D:$D,$C67,'All Measure &amp; TRC+ Calc'!$B:$B,E$53)</f>
        <v>0</v>
      </c>
      <c r="F67" s="191">
        <f t="shared" si="30"/>
        <v>6008488.9028801387</v>
      </c>
      <c r="G67" s="190">
        <f>SUMIFS(Budget!$E:$E,Budget!$C:$C,$C67,Budget!$D:$D,"Incentives",Budget!$A:$A,G$53)</f>
        <v>2480745</v>
      </c>
      <c r="H67" s="190">
        <f>SUMIFS(Budget!$E:$E,Budget!$C:$C,$C67,Budget!$D:$D,"&lt;&gt;Incentives",Budget!$A:$A,H$53)</f>
        <v>1430183</v>
      </c>
      <c r="I67" s="192">
        <f t="shared" si="31"/>
        <v>3910928</v>
      </c>
      <c r="J67" s="193">
        <f t="shared" si="21"/>
        <v>2097560.9028801387</v>
      </c>
      <c r="K67" s="194">
        <f t="shared" si="24"/>
        <v>1.536333295545236</v>
      </c>
    </row>
    <row r="68" spans="1:11" x14ac:dyDescent="0.25">
      <c r="A68" s="181">
        <v>2028</v>
      </c>
      <c r="B68" s="156"/>
      <c r="C68" s="151" t="s">
        <v>166</v>
      </c>
      <c r="D68" s="189">
        <f>SUMIFS('All Measure &amp; TRC+ Calc'!BJ:BJ,'All Measure &amp; TRC+ Calc'!$D:$D,$C68,'All Measure &amp; TRC+ Calc'!$B:$B,D$53)</f>
        <v>398768.69568550674</v>
      </c>
      <c r="E68" s="190">
        <f>SUMIFS('All Measure &amp; TRC+ Calc'!AY:AY,'All Measure &amp; TRC+ Calc'!$D:$D,$C68,'All Measure &amp; TRC+ Calc'!$B:$B,E$53)</f>
        <v>0</v>
      </c>
      <c r="F68" s="191">
        <f t="shared" si="30"/>
        <v>398768.69568550674</v>
      </c>
      <c r="G68" s="190">
        <f>SUMIFS(Budget!$E:$E,Budget!$C:$C,$C68,Budget!$D:$D,"Incentives",Budget!$A:$A,G$53)</f>
        <v>374254</v>
      </c>
      <c r="H68" s="190">
        <f>SUMIFS(Budget!$E:$E,Budget!$C:$C,$C68,Budget!$D:$D,"&lt;&gt;Incentives",Budget!$A:$A,H$53)</f>
        <v>348900</v>
      </c>
      <c r="I68" s="192">
        <f t="shared" si="31"/>
        <v>723154</v>
      </c>
      <c r="J68" s="193">
        <f t="shared" si="21"/>
        <v>-324385.30431449326</v>
      </c>
      <c r="K68" s="194">
        <f t="shared" si="24"/>
        <v>0.55142984161811559</v>
      </c>
    </row>
    <row r="69" spans="1:11" x14ac:dyDescent="0.25">
      <c r="A69" s="181">
        <v>2028</v>
      </c>
      <c r="B69" s="156"/>
      <c r="C69" s="151" t="s">
        <v>167</v>
      </c>
      <c r="D69" s="189">
        <f>SUMIFS('All Measure &amp; TRC+ Calc'!BJ:BJ,'All Measure &amp; TRC+ Calc'!$D:$D,$C69,'All Measure &amp; TRC+ Calc'!$B:$B,D$53)</f>
        <v>203920.66481047962</v>
      </c>
      <c r="E69" s="190">
        <f>SUMIFS('All Measure &amp; TRC+ Calc'!AY:AY,'All Measure &amp; TRC+ Calc'!$D:$D,$C69,'All Measure &amp; TRC+ Calc'!$B:$B,E$53)</f>
        <v>0</v>
      </c>
      <c r="F69" s="191">
        <f t="shared" si="30"/>
        <v>203920.66481047962</v>
      </c>
      <c r="G69" s="190">
        <f>SUMIFS(Budget!$E:$E,Budget!$C:$C,$C69,Budget!$D:$D,"Incentives",Budget!$A:$A,G$53)</f>
        <v>116826</v>
      </c>
      <c r="H69" s="190">
        <f>SUMIFS(Budget!$E:$E,Budget!$C:$C,$C69,Budget!$D:$D,"&lt;&gt;Incentives",Budget!$A:$A,H$53)</f>
        <v>136396</v>
      </c>
      <c r="I69" s="192">
        <f t="shared" si="31"/>
        <v>253222</v>
      </c>
      <c r="J69" s="193">
        <f t="shared" si="21"/>
        <v>-49301.335189520381</v>
      </c>
      <c r="K69" s="194">
        <f t="shared" si="24"/>
        <v>0.80530390254590678</v>
      </c>
    </row>
    <row r="70" spans="1:11" x14ac:dyDescent="0.25">
      <c r="A70" s="181">
        <v>2028</v>
      </c>
      <c r="B70" s="156"/>
      <c r="C70" s="151" t="s">
        <v>168</v>
      </c>
      <c r="D70" s="189">
        <f>SUMIFS('All Measure &amp; TRC+ Calc'!BJ:BJ,'All Measure &amp; TRC+ Calc'!$D:$D,$C70,'All Measure &amp; TRC+ Calc'!$B:$B,D$53)</f>
        <v>0</v>
      </c>
      <c r="E70" s="190">
        <f>SUMIFS('All Measure &amp; TRC+ Calc'!AY:AY,'All Measure &amp; TRC+ Calc'!$D:$D,$C70,'All Measure &amp; TRC+ Calc'!$B:$B,E$53)</f>
        <v>0</v>
      </c>
      <c r="F70" s="191">
        <f t="shared" si="30"/>
        <v>0</v>
      </c>
      <c r="G70" s="190">
        <f>SUMIFS(Budget!$E:$E,Budget!$C:$C,$C70,Budget!$D:$D,"Incentives",Budget!$A:$A,G$53)</f>
        <v>510000</v>
      </c>
      <c r="H70" s="190">
        <f>SUMIFS(Budget!$E:$E,Budget!$C:$C,$C70,Budget!$D:$D,"&lt;&gt;Incentives",Budget!$A:$A,H$53)</f>
        <v>284816</v>
      </c>
      <c r="I70" s="192">
        <f t="shared" si="31"/>
        <v>794816</v>
      </c>
      <c r="J70" s="193">
        <f t="shared" si="21"/>
        <v>-794816</v>
      </c>
      <c r="K70" s="194">
        <f t="shared" si="24"/>
        <v>0</v>
      </c>
    </row>
    <row r="71" spans="1:11" x14ac:dyDescent="0.25">
      <c r="A71" s="181">
        <v>2028</v>
      </c>
      <c r="B71" s="156"/>
      <c r="C71" s="151" t="s">
        <v>18</v>
      </c>
      <c r="D71" s="189">
        <f>SUMIFS('All Measure &amp; TRC+ Calc'!BJ:BJ,'All Measure &amp; TRC+ Calc'!$D:$D,$C71,'All Measure &amp; TRC+ Calc'!$B:$B,D$53)</f>
        <v>0</v>
      </c>
      <c r="E71" s="190">
        <f>SUMIFS('All Measure &amp; TRC+ Calc'!AY:AY,'All Measure &amp; TRC+ Calc'!$D:$D,$C71,'All Measure &amp; TRC+ Calc'!$B:$B,E$53)</f>
        <v>0</v>
      </c>
      <c r="F71" s="191">
        <f t="shared" si="30"/>
        <v>0</v>
      </c>
      <c r="G71" s="190">
        <f>SUMIFS(Budget!$E:$E,Budget!$C:$C,$C71,Budget!$D:$D,"Incentives",Budget!$A:$A,G$53)</f>
        <v>1836000</v>
      </c>
      <c r="H71" s="190">
        <f>SUMIFS(Budget!$E:$E,Budget!$C:$C,$C71,Budget!$D:$D,"&lt;&gt;Incentives",Budget!$A:$A,H$53)</f>
        <v>203440</v>
      </c>
      <c r="I71" s="192">
        <f t="shared" si="31"/>
        <v>2039440</v>
      </c>
      <c r="J71" s="193">
        <f t="shared" si="21"/>
        <v>-2039440</v>
      </c>
      <c r="K71" s="194">
        <f t="shared" si="24"/>
        <v>0</v>
      </c>
    </row>
    <row r="72" spans="1:11" x14ac:dyDescent="0.25">
      <c r="A72" s="181">
        <v>2028</v>
      </c>
      <c r="B72" s="156"/>
      <c r="C72" s="151" t="s">
        <v>19</v>
      </c>
      <c r="D72" s="195">
        <v>0</v>
      </c>
      <c r="E72" s="196">
        <v>0</v>
      </c>
      <c r="F72" s="197">
        <v>0</v>
      </c>
      <c r="G72" s="196">
        <f>SUMIFS(Budget!$E:$E,Budget!$C:$C,$C72,Budget!$D:$D,"Incentives",Budget!$A:$A,G$53)</f>
        <v>0</v>
      </c>
      <c r="H72" s="190">
        <f>SUMIFS(Budget!$E:$E,Budget!$C:$C,$C72,Budget!$D:$D,"&lt;&gt;Incentives",Budget!$A:$A,H$53)</f>
        <v>5622215</v>
      </c>
      <c r="I72" s="192">
        <f t="shared" si="31"/>
        <v>5622215</v>
      </c>
      <c r="J72" s="193">
        <f t="shared" si="21"/>
        <v>-5622215</v>
      </c>
      <c r="K72" s="198">
        <f t="shared" si="24"/>
        <v>0</v>
      </c>
    </row>
    <row r="73" spans="1:11" x14ac:dyDescent="0.25">
      <c r="A73" s="181">
        <v>2028</v>
      </c>
      <c r="B73" s="156"/>
      <c r="C73" s="152" t="s">
        <v>139</v>
      </c>
      <c r="D73" s="199">
        <f t="shared" ref="D73:I73" si="32">SUM(D74:D77)</f>
        <v>201728575.57856742</v>
      </c>
      <c r="E73" s="200">
        <f t="shared" si="32"/>
        <v>0</v>
      </c>
      <c r="F73" s="201">
        <f t="shared" si="32"/>
        <v>201728575.57856742</v>
      </c>
      <c r="G73" s="200">
        <f t="shared" si="32"/>
        <v>22337787</v>
      </c>
      <c r="H73" s="200">
        <f t="shared" si="32"/>
        <v>6371906</v>
      </c>
      <c r="I73" s="159">
        <f t="shared" si="32"/>
        <v>28709693</v>
      </c>
      <c r="J73" s="202">
        <f t="shared" si="21"/>
        <v>173018882.57856742</v>
      </c>
      <c r="K73" s="203">
        <f t="shared" si="24"/>
        <v>7.026497133862331</v>
      </c>
    </row>
    <row r="74" spans="1:11" x14ac:dyDescent="0.25">
      <c r="A74" s="181">
        <v>2028</v>
      </c>
      <c r="B74" s="156"/>
      <c r="C74" s="151" t="s">
        <v>8</v>
      </c>
      <c r="D74" s="189">
        <f>SUMIFS('All Measure &amp; TRC+ Calc'!BJ:BJ,'All Measure &amp; TRC+ Calc'!$D:$D,$C74,'All Measure &amp; TRC+ Calc'!$B:$B,D$53)</f>
        <v>201728575.57856742</v>
      </c>
      <c r="E74" s="190">
        <f>SUMIFS('All Measure &amp; TRC+ Calc'!AY:AY,'All Measure &amp; TRC+ Calc'!$D:$D,$C74,'All Measure &amp; TRC+ Calc'!$B:$B,E$53)</f>
        <v>0</v>
      </c>
      <c r="F74" s="191">
        <f>SUM(D74:E74)</f>
        <v>201728575.57856742</v>
      </c>
      <c r="G74" s="190">
        <f>SUMIFS(Budget!$E:$E,Budget!$C:$C,$C74,Budget!$D:$D,"Incentives",Budget!$A:$A,G$53)</f>
        <v>19991787</v>
      </c>
      <c r="H74" s="190">
        <f>SUMIFS(Budget!$E:$E,Budget!$C:$C,$C74,Budget!$D:$D,"&lt;&gt;Incentives",Budget!$A:$A,H$53)</f>
        <v>986684</v>
      </c>
      <c r="I74" s="192">
        <f t="shared" ref="I74" si="33">SUM(G74:H74)</f>
        <v>20978471</v>
      </c>
      <c r="J74" s="193">
        <f t="shared" si="21"/>
        <v>180750104.57856742</v>
      </c>
      <c r="K74" s="194">
        <f t="shared" si="24"/>
        <v>9.6159808585939093</v>
      </c>
    </row>
    <row r="75" spans="1:11" x14ac:dyDescent="0.25">
      <c r="A75" s="181">
        <v>2028</v>
      </c>
      <c r="B75" s="156"/>
      <c r="C75" s="151" t="s">
        <v>24</v>
      </c>
      <c r="D75" s="189">
        <f>SUMIFS('All Measure &amp; TRC+ Calc'!BJ:BJ,'All Measure &amp; TRC+ Calc'!$D:$D,$C75,'All Measure &amp; TRC+ Calc'!$B:$B,D$53)</f>
        <v>0</v>
      </c>
      <c r="E75" s="190">
        <f>SUMIFS('All Measure &amp; TRC+ Calc'!AY:AY,'All Measure &amp; TRC+ Calc'!$D:$D,$C75,'All Measure &amp; TRC+ Calc'!$B:$B,E$53)</f>
        <v>0</v>
      </c>
      <c r="F75" s="191">
        <f>SUM(D75:E75)</f>
        <v>0</v>
      </c>
      <c r="G75" s="190">
        <f>SUMIFS(Budget!$E:$E,Budget!$C:$C,$C75,Budget!$D:$D,"Incentives",Budget!$A:$A,G$53)</f>
        <v>1836000</v>
      </c>
      <c r="H75" s="190">
        <f>SUMIFS(Budget!$E:$E,Budget!$C:$C,$C75,Budget!$D:$D,"&lt;&gt;Incentives",Budget!$A:$A,H$53)</f>
        <v>203440</v>
      </c>
      <c r="I75" s="192">
        <f t="shared" ref="I75:I77" si="34">SUM(G75:H75)</f>
        <v>2039440</v>
      </c>
      <c r="J75" s="193">
        <f t="shared" si="21"/>
        <v>-2039440</v>
      </c>
      <c r="K75" s="194">
        <f t="shared" si="24"/>
        <v>0</v>
      </c>
    </row>
    <row r="76" spans="1:11" x14ac:dyDescent="0.25">
      <c r="A76" s="181">
        <v>2028</v>
      </c>
      <c r="B76" s="156"/>
      <c r="C76" s="151" t="s">
        <v>171</v>
      </c>
      <c r="D76" s="189">
        <f>SUMIFS('All Measure &amp; TRC+ Calc'!BJ:BJ,'All Measure &amp; TRC+ Calc'!$D:$D,$C76,'All Measure &amp; TRC+ Calc'!$B:$B,D$53)</f>
        <v>0</v>
      </c>
      <c r="E76" s="190">
        <f>SUMIFS('All Measure &amp; TRC+ Calc'!AY:AY,'All Measure &amp; TRC+ Calc'!$D:$D,$C76,'All Measure &amp; TRC+ Calc'!$B:$B,E$5)</f>
        <v>0</v>
      </c>
      <c r="F76" s="191">
        <f>SUM(D76:E76)</f>
        <v>0</v>
      </c>
      <c r="G76" s="190">
        <f>SUMIFS(Budget!$E:$E,Budget!$C:$C,$C76,Budget!$D:$D,"Incentives",Budget!$A:$A,G$53)</f>
        <v>510000</v>
      </c>
      <c r="H76" s="190">
        <f>SUMIFS(Budget!$E:$E,Budget!$C:$C,$C76,Budget!$D:$D,"&lt;&gt;Incentives",Budget!$A:$A,H$53)</f>
        <v>284816</v>
      </c>
      <c r="I76" s="192">
        <f t="shared" si="34"/>
        <v>794816</v>
      </c>
      <c r="J76" s="193">
        <f t="shared" si="21"/>
        <v>-794816</v>
      </c>
      <c r="K76" s="194">
        <f t="shared" si="24"/>
        <v>0</v>
      </c>
    </row>
    <row r="77" spans="1:11" x14ac:dyDescent="0.25">
      <c r="A77" s="181">
        <v>2028</v>
      </c>
      <c r="B77" s="156"/>
      <c r="C77" s="151" t="s">
        <v>25</v>
      </c>
      <c r="D77" s="195">
        <v>0</v>
      </c>
      <c r="E77" s="196">
        <v>0</v>
      </c>
      <c r="F77" s="197">
        <v>0</v>
      </c>
      <c r="G77" s="196">
        <f>SUMIFS(Budget!$E:$E,Budget!$C:$C,$C77,Budget!$D:$D,"Incentives",Budget!$A:$A,G$53)</f>
        <v>0</v>
      </c>
      <c r="H77" s="190">
        <f>SUMIFS(Budget!$E:$E,Budget!$C:$C,$C77,Budget!$D:$D,"&lt;&gt;Incentives",Budget!$A:$A,H$53)</f>
        <v>4896966</v>
      </c>
      <c r="I77" s="192">
        <f t="shared" si="34"/>
        <v>4896966</v>
      </c>
      <c r="J77" s="193">
        <f t="shared" si="21"/>
        <v>-4896966</v>
      </c>
      <c r="K77" s="198">
        <f t="shared" si="24"/>
        <v>0</v>
      </c>
    </row>
    <row r="78" spans="1:11" x14ac:dyDescent="0.25">
      <c r="A78" s="181">
        <v>2028</v>
      </c>
      <c r="B78" s="156"/>
      <c r="C78" s="152" t="s">
        <v>137</v>
      </c>
      <c r="D78" s="199">
        <f t="shared" ref="D78:I78" si="35">SUM(D79:D81)</f>
        <v>21023292.675820019</v>
      </c>
      <c r="E78" s="200">
        <f t="shared" si="35"/>
        <v>0</v>
      </c>
      <c r="F78" s="201">
        <f t="shared" si="35"/>
        <v>21023292.675820019</v>
      </c>
      <c r="G78" s="200">
        <f t="shared" si="35"/>
        <v>22519821</v>
      </c>
      <c r="H78" s="200">
        <f t="shared" si="35"/>
        <v>7270520</v>
      </c>
      <c r="I78" s="159">
        <f t="shared" si="35"/>
        <v>29790341</v>
      </c>
      <c r="J78" s="202">
        <f t="shared" si="21"/>
        <v>-8767048.3241799809</v>
      </c>
      <c r="K78" s="203">
        <f t="shared" si="24"/>
        <v>0.70570835949209243</v>
      </c>
    </row>
    <row r="79" spans="1:11" x14ac:dyDescent="0.25">
      <c r="A79" s="181">
        <v>2028</v>
      </c>
      <c r="B79" s="156"/>
      <c r="C79" s="151" t="s">
        <v>22</v>
      </c>
      <c r="D79" s="189">
        <f>SUMIFS('All Measure &amp; TRC+ Calc'!BJ:BJ,'All Measure &amp; TRC+ Calc'!$D:$D,$C79,'All Measure &amp; TRC+ Calc'!$B:$B,D$53)</f>
        <v>11406395.341048393</v>
      </c>
      <c r="E79" s="190">
        <f>SUMIFS('All Measure &amp; TRC+ Calc'!AY:AY,'All Measure &amp; TRC+ Calc'!$D:$D,$C79,'All Measure &amp; TRC+ Calc'!$B:$B,E$53)</f>
        <v>0</v>
      </c>
      <c r="F79" s="191">
        <f>SUM(D79:E79)</f>
        <v>11406395.341048393</v>
      </c>
      <c r="G79" s="190">
        <f>SUMIFS(Budget!$E:$E,Budget!$C:$C,$C79,Budget!$D:$D,"Incentives",Budget!$A:$A,G$53)</f>
        <v>14558778</v>
      </c>
      <c r="H79" s="190">
        <f>SUMIFS(Budget!$E:$E,Budget!$C:$C,$C79,Budget!$D:$D,"&lt;&gt;Incentives",Budget!$A:$A,H$53)</f>
        <v>4032425</v>
      </c>
      <c r="I79" s="192">
        <f>SUM(G79:H79)</f>
        <v>18591203</v>
      </c>
      <c r="J79" s="193">
        <f t="shared" si="21"/>
        <v>-7184807.6589516066</v>
      </c>
      <c r="K79" s="194">
        <f t="shared" si="24"/>
        <v>0.61353723807159732</v>
      </c>
    </row>
    <row r="80" spans="1:11" x14ac:dyDescent="0.25">
      <c r="A80" s="181">
        <v>2028</v>
      </c>
      <c r="B80" s="156"/>
      <c r="C80" s="151" t="s">
        <v>21</v>
      </c>
      <c r="D80" s="189">
        <f>SUMIFS('All Measure &amp; TRC+ Calc'!BJ:BJ,'All Measure &amp; TRC+ Calc'!$D:$D,$C80,'All Measure &amp; TRC+ Calc'!$B:$B,D$53)</f>
        <v>9616897.3347716257</v>
      </c>
      <c r="E80" s="190">
        <f>SUMIFS('All Measure &amp; TRC+ Calc'!AY:AY,'All Measure &amp; TRC+ Calc'!$D:$D,$C80,'All Measure &amp; TRC+ Calc'!$B:$B,E$53)</f>
        <v>0</v>
      </c>
      <c r="F80" s="191">
        <f>SUM(D80:E80)</f>
        <v>9616897.3347716257</v>
      </c>
      <c r="G80" s="190">
        <f>SUMIFS(Budget!$E:$E,Budget!$C:$C,$C80,Budget!$D:$D,"Incentives",Budget!$A:$A,G$53)</f>
        <v>7961043</v>
      </c>
      <c r="H80" s="190">
        <f>SUMIFS(Budget!$E:$E,Budget!$C:$C,$C80,Budget!$D:$D,"&lt;&gt;Incentives",Budget!$A:$A,H$53)</f>
        <v>1368134</v>
      </c>
      <c r="I80" s="192">
        <f>SUM(G80:H80)</f>
        <v>9329177</v>
      </c>
      <c r="J80" s="193">
        <f t="shared" si="21"/>
        <v>287720.3347716257</v>
      </c>
      <c r="K80" s="194">
        <f t="shared" si="24"/>
        <v>1.0308409128448979</v>
      </c>
    </row>
    <row r="81" spans="1:11" x14ac:dyDescent="0.25">
      <c r="A81" s="181">
        <v>2028</v>
      </c>
      <c r="B81" s="156"/>
      <c r="C81" s="151" t="s">
        <v>23</v>
      </c>
      <c r="D81" s="195">
        <v>0</v>
      </c>
      <c r="E81" s="196">
        <v>0</v>
      </c>
      <c r="F81" s="197">
        <v>0</v>
      </c>
      <c r="G81" s="196">
        <f>SUMIFS(Budget!$E:$E,Budget!$C:$C,$C81,Budget!$D:$D,"Incentives",Budget!$A:$A,G$53)</f>
        <v>0</v>
      </c>
      <c r="H81" s="190">
        <f>SUMIFS(Budget!$E:$E,Budget!$C:$C,$C81,Budget!$D:$D,"&lt;&gt;Incentives",Budget!$A:$A,H$53)</f>
        <v>1869961</v>
      </c>
      <c r="I81" s="192">
        <f>SUM(G81:H81)</f>
        <v>1869961</v>
      </c>
      <c r="J81" s="193">
        <f t="shared" si="21"/>
        <v>-1869961</v>
      </c>
      <c r="K81" s="198">
        <f t="shared" si="24"/>
        <v>0</v>
      </c>
    </row>
    <row r="82" spans="1:11" x14ac:dyDescent="0.25">
      <c r="A82" s="181">
        <v>2028</v>
      </c>
      <c r="B82" s="156"/>
      <c r="C82" s="152" t="s">
        <v>140</v>
      </c>
      <c r="D82" s="199">
        <f t="shared" ref="D82:I82" si="36">SUM(D83:D84)</f>
        <v>49697176.530351378</v>
      </c>
      <c r="E82" s="200">
        <f t="shared" si="36"/>
        <v>0</v>
      </c>
      <c r="F82" s="201">
        <f t="shared" si="36"/>
        <v>49697176.530351378</v>
      </c>
      <c r="G82" s="200">
        <f t="shared" si="36"/>
        <v>3307129</v>
      </c>
      <c r="H82" s="200">
        <f t="shared" si="36"/>
        <v>306121</v>
      </c>
      <c r="I82" s="159">
        <f t="shared" si="36"/>
        <v>3613250</v>
      </c>
      <c r="J82" s="202">
        <f t="shared" si="21"/>
        <v>46083926.530351378</v>
      </c>
      <c r="K82" s="203">
        <f t="shared" si="24"/>
        <v>13.754148351304609</v>
      </c>
    </row>
    <row r="83" spans="1:11" x14ac:dyDescent="0.25">
      <c r="A83" s="181">
        <v>2028</v>
      </c>
      <c r="B83" s="156"/>
      <c r="C83" s="151" t="s">
        <v>27</v>
      </c>
      <c r="D83" s="189">
        <f>SUMIFS('All Measure &amp; TRC+ Calc'!BJ:BJ,'All Measure &amp; TRC+ Calc'!$D:$D,$C83,'All Measure &amp; TRC+ Calc'!$B:$B,D$53)</f>
        <v>49697176.530351378</v>
      </c>
      <c r="E83" s="190">
        <f>SUMIFS('All Measure &amp; TRC+ Calc'!AY:AY,'All Measure &amp; TRC+ Calc'!$D:$D,$C83,'All Measure &amp; TRC+ Calc'!$B:$B,E$53)</f>
        <v>0</v>
      </c>
      <c r="F83" s="191">
        <f>SUM(D83:E83)</f>
        <v>49697176.530351378</v>
      </c>
      <c r="G83" s="190">
        <f>SUMIFS(Budget!$E:$E,Budget!$C:$C,$C83,Budget!$D:$D,"Incentives",Budget!$A:$A,G$53)</f>
        <v>3307129</v>
      </c>
      <c r="H83" s="190">
        <f>SUMIFS(Budget!$E:$E,Budget!$C:$C,$C83,Budget!$D:$D,"&lt;&gt;Incentives",Budget!$A:$A,H$53)</f>
        <v>25430</v>
      </c>
      <c r="I83" s="192">
        <f>SUM(G83:H83)</f>
        <v>3332559</v>
      </c>
      <c r="J83" s="193">
        <f t="shared" si="21"/>
        <v>46364617.530351378</v>
      </c>
      <c r="K83" s="194">
        <f t="shared" si="24"/>
        <v>14.912617160071697</v>
      </c>
    </row>
    <row r="84" spans="1:11" x14ac:dyDescent="0.25">
      <c r="A84" s="181">
        <v>2028</v>
      </c>
      <c r="B84" s="156"/>
      <c r="C84" s="151" t="s">
        <v>28</v>
      </c>
      <c r="D84" s="195">
        <v>0</v>
      </c>
      <c r="E84" s="196">
        <v>0</v>
      </c>
      <c r="F84" s="197">
        <v>0</v>
      </c>
      <c r="G84" s="196">
        <f>SUMIFS(Budget!$E:$E,Budget!$C:$C,$C84,Budget!$D:$D,"Incentives",Budget!$A:$A,G$53)</f>
        <v>0</v>
      </c>
      <c r="H84" s="190">
        <f>SUMIFS(Budget!$E:$E,Budget!$C:$C,$C84,Budget!$D:$D,"&lt;&gt;Incentives",Budget!$A:$A,H$53)</f>
        <v>280691</v>
      </c>
      <c r="I84" s="192">
        <f>SUM(G84:H84)</f>
        <v>280691</v>
      </c>
      <c r="J84" s="193">
        <f t="shared" si="21"/>
        <v>-280691</v>
      </c>
      <c r="K84" s="198">
        <f t="shared" si="24"/>
        <v>0</v>
      </c>
    </row>
    <row r="85" spans="1:11" x14ac:dyDescent="0.25">
      <c r="A85" s="181">
        <v>2028</v>
      </c>
      <c r="B85" s="156"/>
      <c r="C85" s="152" t="s">
        <v>187</v>
      </c>
      <c r="D85" s="204">
        <f t="shared" ref="D85" si="37">SUM(D86:D93)</f>
        <v>0</v>
      </c>
      <c r="E85" s="205">
        <f t="shared" ref="E85" si="38">SUM(E86:E93)</f>
        <v>0</v>
      </c>
      <c r="F85" s="206">
        <f t="shared" ref="F85" si="39">SUM(F86:F93)</f>
        <v>0</v>
      </c>
      <c r="G85" s="205">
        <f>SUM(G86:G93)</f>
        <v>0</v>
      </c>
      <c r="H85" s="200">
        <f>SUM(H86:H93)</f>
        <v>17737784</v>
      </c>
      <c r="I85" s="159">
        <f>SUM(I86:I93)</f>
        <v>17737784</v>
      </c>
      <c r="J85" s="202">
        <f t="shared" si="21"/>
        <v>-17737784</v>
      </c>
      <c r="K85" s="203">
        <f t="shared" si="24"/>
        <v>0</v>
      </c>
    </row>
    <row r="86" spans="1:11" x14ac:dyDescent="0.25">
      <c r="A86" s="181">
        <v>2028</v>
      </c>
      <c r="B86" s="156"/>
      <c r="C86" s="151" t="s">
        <v>30</v>
      </c>
      <c r="D86" s="195">
        <v>0</v>
      </c>
      <c r="E86" s="196">
        <v>0</v>
      </c>
      <c r="F86" s="197">
        <v>0</v>
      </c>
      <c r="G86" s="196">
        <f>SUMIFS(Budget!$E:$E,Budget!$C:$C,$C86,Budget!$D:$D,"Incentives",Budget!$A:$A,G$53)</f>
        <v>0</v>
      </c>
      <c r="H86" s="190">
        <f>SUMIFS(Budget!$E:$E,Budget!$C:$C,$C86,Budget!$D:$D,"&lt;&gt;Incentives",Budget!$A:$A,H$53)</f>
        <v>7836155</v>
      </c>
      <c r="I86" s="192">
        <f t="shared" ref="I86:I93" si="40">SUM(G86:H86)</f>
        <v>7836155</v>
      </c>
      <c r="J86" s="193">
        <f t="shared" si="21"/>
        <v>-7836155</v>
      </c>
      <c r="K86" s="198">
        <f t="shared" si="24"/>
        <v>0</v>
      </c>
    </row>
    <row r="87" spans="1:11" x14ac:dyDescent="0.25">
      <c r="A87" s="181">
        <v>2028</v>
      </c>
      <c r="B87" s="156"/>
      <c r="C87" s="151" t="s">
        <v>32</v>
      </c>
      <c r="D87" s="195">
        <v>0</v>
      </c>
      <c r="E87" s="196">
        <v>0</v>
      </c>
      <c r="F87" s="197">
        <v>0</v>
      </c>
      <c r="G87" s="196">
        <f>SUMIFS(Budget!$E:$E,Budget!$C:$C,$C87,Budget!$D:$D,"Incentives",Budget!$A:$A,G$53)</f>
        <v>0</v>
      </c>
      <c r="H87" s="190">
        <f>SUMIFS(Budget!$E:$E,Budget!$C:$C,$C87,Budget!$D:$D,"&lt;&gt;Incentives",Budget!$A:$A,H$53)</f>
        <v>1406788</v>
      </c>
      <c r="I87" s="192">
        <f t="shared" si="40"/>
        <v>1406788</v>
      </c>
      <c r="J87" s="193">
        <f t="shared" si="21"/>
        <v>-1406788</v>
      </c>
      <c r="K87" s="198">
        <f t="shared" si="24"/>
        <v>0</v>
      </c>
    </row>
    <row r="88" spans="1:11" x14ac:dyDescent="0.25">
      <c r="A88" s="181">
        <v>2028</v>
      </c>
      <c r="B88" s="156"/>
      <c r="C88" s="151" t="s">
        <v>177</v>
      </c>
      <c r="D88" s="195">
        <v>0</v>
      </c>
      <c r="E88" s="196">
        <v>0</v>
      </c>
      <c r="F88" s="197">
        <v>0</v>
      </c>
      <c r="G88" s="196">
        <f>SUMIFS(Budget!$E:$E,Budget!$C:$C,$C88,Budget!$D:$D,"Incentives",Budget!$A:$A,G$53)</f>
        <v>0</v>
      </c>
      <c r="H88" s="190">
        <f>SUMIFS(Budget!$E:$E,Budget!$C:$C,$C88,Budget!$D:$D,"&lt;&gt;Incentives",Budget!$A:$A,H$53)</f>
        <v>620492</v>
      </c>
      <c r="I88" s="192">
        <f t="shared" si="40"/>
        <v>620492</v>
      </c>
      <c r="J88" s="193">
        <f t="shared" si="21"/>
        <v>-620492</v>
      </c>
      <c r="K88" s="198">
        <f t="shared" si="24"/>
        <v>0</v>
      </c>
    </row>
    <row r="89" spans="1:11" x14ac:dyDescent="0.25">
      <c r="A89" s="181">
        <v>2028</v>
      </c>
      <c r="B89" s="156"/>
      <c r="C89" s="151" t="s">
        <v>34</v>
      </c>
      <c r="D89" s="195">
        <v>0</v>
      </c>
      <c r="E89" s="196">
        <v>0</v>
      </c>
      <c r="F89" s="197">
        <v>0</v>
      </c>
      <c r="G89" s="196">
        <f>SUMIFS(Budget!$E:$E,Budget!$C:$C,$C89,Budget!$D:$D,"Incentives",Budget!$A:$A,G$53)</f>
        <v>0</v>
      </c>
      <c r="H89" s="190">
        <f>SUMIFS(Budget!$E:$E,Budget!$C:$C,$C89,Budget!$D:$D,"&lt;&gt;Incentives",Budget!$A:$A,H$53)</f>
        <v>3153320</v>
      </c>
      <c r="I89" s="192">
        <f t="shared" si="40"/>
        <v>3153320</v>
      </c>
      <c r="J89" s="193">
        <f t="shared" si="21"/>
        <v>-3153320</v>
      </c>
      <c r="K89" s="198">
        <f t="shared" si="24"/>
        <v>0</v>
      </c>
    </row>
    <row r="90" spans="1:11" x14ac:dyDescent="0.25">
      <c r="A90" s="181">
        <v>2028</v>
      </c>
      <c r="B90" s="156"/>
      <c r="C90" s="151" t="s">
        <v>36</v>
      </c>
      <c r="D90" s="195">
        <v>0</v>
      </c>
      <c r="E90" s="196">
        <v>0</v>
      </c>
      <c r="F90" s="197">
        <v>0</v>
      </c>
      <c r="G90" s="196">
        <f>SUMIFS(Budget!$E:$E,Budget!$C:$C,$C90,Budget!$D:$D,"Incentives",Budget!$A:$A,G$53)</f>
        <v>0</v>
      </c>
      <c r="H90" s="190">
        <f>SUMIFS(Budget!$E:$E,Budget!$C:$C,$C90,Budget!$D:$D,"&lt;&gt;Incentives",Budget!$A:$A,H$53)</f>
        <v>842242</v>
      </c>
      <c r="I90" s="192">
        <f t="shared" si="40"/>
        <v>842242</v>
      </c>
      <c r="J90" s="193">
        <f t="shared" si="21"/>
        <v>-842242</v>
      </c>
      <c r="K90" s="198">
        <f t="shared" si="24"/>
        <v>0</v>
      </c>
    </row>
    <row r="91" spans="1:11" x14ac:dyDescent="0.25">
      <c r="A91" s="181">
        <v>2028</v>
      </c>
      <c r="B91" s="156"/>
      <c r="C91" s="151" t="s">
        <v>35</v>
      </c>
      <c r="D91" s="195">
        <v>0</v>
      </c>
      <c r="E91" s="196">
        <v>0</v>
      </c>
      <c r="F91" s="197">
        <v>0</v>
      </c>
      <c r="G91" s="196">
        <f>SUMIFS(Budget!$E:$E,Budget!$C:$C,$C91,Budget!$D:$D,"Incentives",Budget!$A:$A,G$53)</f>
        <v>0</v>
      </c>
      <c r="H91" s="190">
        <f>SUMIFS(Budget!$E:$E,Budget!$C:$C,$C91,Budget!$D:$D,"&lt;&gt;Incentives",Budget!$A:$A,H$53)</f>
        <v>600148</v>
      </c>
      <c r="I91" s="192">
        <f t="shared" si="40"/>
        <v>600148</v>
      </c>
      <c r="J91" s="193">
        <f t="shared" si="21"/>
        <v>-600148</v>
      </c>
      <c r="K91" s="198">
        <f t="shared" si="24"/>
        <v>0</v>
      </c>
    </row>
    <row r="92" spans="1:11" x14ac:dyDescent="0.25">
      <c r="A92" s="181">
        <v>2028</v>
      </c>
      <c r="B92" s="156"/>
      <c r="C92" s="151" t="s">
        <v>38</v>
      </c>
      <c r="D92" s="195">
        <v>0</v>
      </c>
      <c r="E92" s="196">
        <v>0</v>
      </c>
      <c r="F92" s="197">
        <v>0</v>
      </c>
      <c r="G92" s="196">
        <f>SUMIFS(Budget!$E:$E,Budget!$C:$C,$C92,Budget!$D:$D,"Incentives",Budget!$A:$A,G$53)</f>
        <v>0</v>
      </c>
      <c r="H92" s="190">
        <f>SUMIFS(Budget!$E:$E,Budget!$C:$C,$C92,Budget!$D:$D,"&lt;&gt;Incentives",Budget!$A:$A,H$53)</f>
        <v>3278639</v>
      </c>
      <c r="I92" s="192">
        <f t="shared" si="40"/>
        <v>3278639</v>
      </c>
      <c r="J92" s="193">
        <f t="shared" si="21"/>
        <v>-3278639</v>
      </c>
      <c r="K92" s="198">
        <f t="shared" si="24"/>
        <v>0</v>
      </c>
    </row>
    <row r="93" spans="1:11" ht="13.5" thickBot="1" x14ac:dyDescent="0.3">
      <c r="A93" s="181">
        <v>2028</v>
      </c>
      <c r="B93" s="156"/>
      <c r="C93" s="219" t="s">
        <v>178</v>
      </c>
      <c r="D93" s="208">
        <v>0</v>
      </c>
      <c r="E93" s="209">
        <v>0</v>
      </c>
      <c r="F93" s="210">
        <v>0</v>
      </c>
      <c r="G93" s="209">
        <f>SUMIFS(Budget!$E:$E,Budget!$C:$C,$C93,Budget!$D:$D,"Incentives",Budget!$A:$A,G$53)</f>
        <v>0</v>
      </c>
      <c r="H93" s="211">
        <f>SUMIFS(Budget!$E:$E,Budget!$C:$C,$C93,Budget!$D:$D,"&lt;&gt;Incentives",Budget!$A:$A,H$53)</f>
        <v>0</v>
      </c>
      <c r="I93" s="212">
        <f t="shared" si="40"/>
        <v>0</v>
      </c>
      <c r="J93" s="213">
        <f t="shared" si="21"/>
        <v>0</v>
      </c>
      <c r="K93" s="214">
        <f t="shared" si="24"/>
        <v>0</v>
      </c>
    </row>
    <row r="94" spans="1:11" ht="13.5" thickTop="1" x14ac:dyDescent="0.25">
      <c r="A94" s="181">
        <v>2028</v>
      </c>
      <c r="B94" s="156"/>
      <c r="C94" s="215" t="s">
        <v>131</v>
      </c>
      <c r="D94" s="216">
        <f t="shared" ref="D94:I94" si="41">SUM(D55,D63,D73,D78,D82,D85)</f>
        <v>463378120.84535182</v>
      </c>
      <c r="E94" s="216">
        <f t="shared" si="41"/>
        <v>0</v>
      </c>
      <c r="F94" s="216">
        <f t="shared" si="41"/>
        <v>463378120.84535182</v>
      </c>
      <c r="G94" s="216">
        <f t="shared" si="41"/>
        <v>146754892</v>
      </c>
      <c r="H94" s="216">
        <f t="shared" si="41"/>
        <v>57256417</v>
      </c>
      <c r="I94" s="216">
        <f t="shared" si="41"/>
        <v>204011309</v>
      </c>
      <c r="J94" s="216">
        <f t="shared" si="21"/>
        <v>259366811.84535182</v>
      </c>
      <c r="K94" s="217">
        <f t="shared" si="24"/>
        <v>2.2713354623167081</v>
      </c>
    </row>
    <row r="95" spans="1:11" x14ac:dyDescent="0.25">
      <c r="A95" s="153"/>
      <c r="C95" s="136" t="s">
        <v>229</v>
      </c>
      <c r="D95" s="258">
        <f>SUM(D55,D63,D73,D78,D82)</f>
        <v>463378120.84535182</v>
      </c>
      <c r="E95" s="258">
        <f t="shared" ref="E95:I95" si="42">SUM(E55,E63,E73,E78,E82)</f>
        <v>0</v>
      </c>
      <c r="F95" s="258">
        <f t="shared" si="42"/>
        <v>463378120.84535182</v>
      </c>
      <c r="G95" s="258">
        <f t="shared" si="42"/>
        <v>146754892</v>
      </c>
      <c r="H95" s="258">
        <f t="shared" si="42"/>
        <v>39518633</v>
      </c>
      <c r="I95" s="258">
        <f t="shared" si="42"/>
        <v>186273525</v>
      </c>
      <c r="J95" s="258">
        <f t="shared" si="21"/>
        <v>277104595.84535182</v>
      </c>
      <c r="K95" s="259">
        <f t="shared" si="24"/>
        <v>2.4876220109398361</v>
      </c>
    </row>
    <row r="96" spans="1:11" x14ac:dyDescent="0.25">
      <c r="A96" s="153"/>
    </row>
    <row r="97" spans="1:11" x14ac:dyDescent="0.25">
      <c r="A97" s="153"/>
    </row>
    <row r="98" spans="1:11" ht="16.5" thickBot="1" x14ac:dyDescent="0.3">
      <c r="A98" s="153"/>
      <c r="C98" s="220" t="s">
        <v>307</v>
      </c>
      <c r="D98" s="173"/>
      <c r="E98" s="155"/>
      <c r="F98" s="155"/>
    </row>
    <row r="99" spans="1:11" ht="13.5" thickTop="1" x14ac:dyDescent="0.25">
      <c r="A99" s="153"/>
    </row>
    <row r="100" spans="1:11" x14ac:dyDescent="0.25">
      <c r="A100" s="153"/>
      <c r="C100" s="60"/>
      <c r="D100" s="396" t="s">
        <v>189</v>
      </c>
      <c r="E100" s="397"/>
      <c r="F100" s="398"/>
      <c r="G100" s="396" t="s">
        <v>190</v>
      </c>
      <c r="H100" s="397"/>
      <c r="I100" s="398"/>
      <c r="J100" s="175" t="s">
        <v>367</v>
      </c>
      <c r="K100" s="174" t="s">
        <v>191</v>
      </c>
    </row>
    <row r="101" spans="1:11" x14ac:dyDescent="0.25">
      <c r="A101" s="153"/>
      <c r="C101" s="60"/>
      <c r="D101" s="244" t="s">
        <v>304</v>
      </c>
      <c r="E101" s="241" t="s">
        <v>304</v>
      </c>
      <c r="F101" s="242" t="s">
        <v>304</v>
      </c>
      <c r="G101" s="240" t="s">
        <v>304</v>
      </c>
      <c r="H101" s="241" t="s">
        <v>304</v>
      </c>
      <c r="I101" s="242" t="s">
        <v>304</v>
      </c>
      <c r="J101" s="243" t="s">
        <v>304</v>
      </c>
      <c r="K101" s="242" t="s">
        <v>304</v>
      </c>
    </row>
    <row r="102" spans="1:11" ht="25.5" x14ac:dyDescent="0.25">
      <c r="A102" s="153"/>
      <c r="C102" s="157"/>
      <c r="D102" s="176" t="s">
        <v>180</v>
      </c>
      <c r="E102" s="177" t="s">
        <v>183</v>
      </c>
      <c r="F102" s="178" t="s">
        <v>192</v>
      </c>
      <c r="G102" s="176" t="s">
        <v>193</v>
      </c>
      <c r="H102" s="179" t="s">
        <v>155</v>
      </c>
      <c r="I102" s="178" t="s">
        <v>194</v>
      </c>
      <c r="J102" s="180" t="s">
        <v>195</v>
      </c>
      <c r="K102" s="178" t="s">
        <v>191</v>
      </c>
    </row>
    <row r="103" spans="1:11" x14ac:dyDescent="0.25">
      <c r="A103" s="181">
        <v>2029</v>
      </c>
      <c r="B103" s="156"/>
      <c r="C103" s="218" t="s">
        <v>135</v>
      </c>
      <c r="D103" s="183">
        <f t="shared" ref="D103:I103" si="43">SUM(D104:D110)</f>
        <v>85755174.684830591</v>
      </c>
      <c r="E103" s="184">
        <f t="shared" si="43"/>
        <v>0</v>
      </c>
      <c r="F103" s="185">
        <f t="shared" si="43"/>
        <v>85755174.684830591</v>
      </c>
      <c r="G103" s="184">
        <f t="shared" si="43"/>
        <v>63556848</v>
      </c>
      <c r="H103" s="184">
        <f t="shared" si="43"/>
        <v>14998577</v>
      </c>
      <c r="I103" s="186">
        <f t="shared" si="43"/>
        <v>78555425</v>
      </c>
      <c r="J103" s="187">
        <f t="shared" ref="J103:J143" si="44">F103-I103</f>
        <v>7199749.6848305911</v>
      </c>
      <c r="K103" s="188">
        <f>IFERROR(F103/I103,0)</f>
        <v>1.0916518456214908</v>
      </c>
    </row>
    <row r="104" spans="1:11" x14ac:dyDescent="0.25">
      <c r="A104" s="181">
        <v>2029</v>
      </c>
      <c r="B104" s="156"/>
      <c r="C104" s="151" t="s">
        <v>159</v>
      </c>
      <c r="D104" s="189">
        <f>SUMIFS('All Measure &amp; TRC+ Calc'!BJ:BJ,'All Measure &amp; TRC+ Calc'!$D:$D,$C104,'All Measure &amp; TRC+ Calc'!$B:$B,D$101)</f>
        <v>20441402.890021086</v>
      </c>
      <c r="E104" s="190">
        <f>SUMIFS('All Measure &amp; TRC+ Calc'!AY:AY,'All Measure &amp; TRC+ Calc'!$D:$D,$C104,'All Measure &amp; TRC+ Calc'!$B:$B,E$5)</f>
        <v>0</v>
      </c>
      <c r="F104" s="191">
        <f t="shared" ref="F104:F109" si="45">SUM(D104:E104)</f>
        <v>20441402.890021086</v>
      </c>
      <c r="G104" s="190">
        <f>SUMIFS(Budget!$E:$E,Budget!$C:$C,$C104,Budget!$D:$D,"Incentives",Budget!$A:$A,G$101)</f>
        <v>20047996</v>
      </c>
      <c r="H104" s="190">
        <f>SUMIFS(Budget!$E:$E,Budget!$C:$C,$C104,Budget!$D:$D,"&lt;&gt;Incentives",Budget!$A:$A,H$101)</f>
        <v>1919361</v>
      </c>
      <c r="I104" s="192">
        <f t="shared" ref="I104:I109" si="46">SUM(G104:H104)</f>
        <v>21967357</v>
      </c>
      <c r="J104" s="193">
        <f t="shared" si="44"/>
        <v>-1525954.1099789143</v>
      </c>
      <c r="K104" s="194">
        <f t="shared" ref="K104:K143" si="47">IFERROR(F104/I104,0)</f>
        <v>0.93053537983750556</v>
      </c>
    </row>
    <row r="105" spans="1:11" x14ac:dyDescent="0.25">
      <c r="A105" s="181">
        <v>2029</v>
      </c>
      <c r="B105" s="156"/>
      <c r="C105" s="151" t="s">
        <v>130</v>
      </c>
      <c r="D105" s="189">
        <f>SUMIFS('All Measure &amp; TRC+ Calc'!BJ:BJ,'All Measure &amp; TRC+ Calc'!$D:$D,$C105,'All Measure &amp; TRC+ Calc'!$B:$B,D$101)</f>
        <v>25717865.911425184</v>
      </c>
      <c r="E105" s="190">
        <f>SUMIFS('All Measure &amp; TRC+ Calc'!AY:AY,'All Measure &amp; TRC+ Calc'!$D:$D,$C105,'All Measure &amp; TRC+ Calc'!$B:$B,E$5)</f>
        <v>0</v>
      </c>
      <c r="F105" s="191">
        <f t="shared" si="45"/>
        <v>25717865.911425184</v>
      </c>
      <c r="G105" s="190">
        <f>SUMIFS(Budget!$E:$E,Budget!$C:$C,$C105,Budget!$D:$D,"Incentives",Budget!$A:$A,G$101)</f>
        <v>18805230</v>
      </c>
      <c r="H105" s="190">
        <f>SUMIFS(Budget!$E:$E,Budget!$C:$C,$C105,Budget!$D:$D,"&lt;&gt;Incentives",Budget!$A:$A,H$101)</f>
        <v>2112642</v>
      </c>
      <c r="I105" s="192">
        <f t="shared" si="46"/>
        <v>20917872</v>
      </c>
      <c r="J105" s="193">
        <f t="shared" si="44"/>
        <v>4799993.9114251845</v>
      </c>
      <c r="K105" s="194">
        <f t="shared" si="47"/>
        <v>1.2294685573860087</v>
      </c>
    </row>
    <row r="106" spans="1:11" x14ac:dyDescent="0.25">
      <c r="A106" s="181">
        <v>2029</v>
      </c>
      <c r="B106" s="156"/>
      <c r="C106" s="151" t="s">
        <v>333</v>
      </c>
      <c r="D106" s="189">
        <f>SUMIFS('All Measure &amp; TRC+ Calc'!BJ:BJ,'All Measure &amp; TRC+ Calc'!$D:$D,$C106,'All Measure &amp; TRC+ Calc'!$B:$B,D$101)</f>
        <v>18079065.54655562</v>
      </c>
      <c r="E106" s="190">
        <f>SUMIFS('All Measure &amp; TRC+ Calc'!AY:AY,'All Measure &amp; TRC+ Calc'!$D:$D,$C106,'All Measure &amp; TRC+ Calc'!$B:$B,E$5)</f>
        <v>0</v>
      </c>
      <c r="F106" s="191">
        <f t="shared" ref="F106" si="48">SUM(D106:E106)</f>
        <v>18079065.54655562</v>
      </c>
      <c r="G106" s="190">
        <f>SUMIFS(Budget!$E:$E,Budget!$C:$C,$C106,Budget!$D:$D,"Incentives",Budget!$A:$A,G$101)</f>
        <v>7985070</v>
      </c>
      <c r="H106" s="190">
        <f>SUMIFS(Budget!$E:$E,Budget!$C:$C,$C106,Budget!$D:$D,"&lt;&gt;Incentives",Budget!$A:$A,H$101)</f>
        <v>1240290</v>
      </c>
      <c r="I106" s="192">
        <f t="shared" ref="I106" si="49">SUM(G106:H106)</f>
        <v>9225360</v>
      </c>
      <c r="J106" s="193">
        <f t="shared" ref="J106" si="50">F106-I106</f>
        <v>8853705.5465556197</v>
      </c>
      <c r="K106" s="194">
        <f t="shared" si="47"/>
        <v>1.9597138265125285</v>
      </c>
    </row>
    <row r="107" spans="1:11" x14ac:dyDescent="0.25">
      <c r="A107" s="181">
        <v>2029</v>
      </c>
      <c r="B107" s="156"/>
      <c r="C107" s="151" t="s">
        <v>160</v>
      </c>
      <c r="D107" s="189">
        <f>SUMIFS('All Measure &amp; TRC+ Calc'!BJ:BJ,'All Measure &amp; TRC+ Calc'!$D:$D,$C107,'All Measure &amp; TRC+ Calc'!$B:$B,D$101)</f>
        <v>8356732.9362097494</v>
      </c>
      <c r="E107" s="190">
        <f>SUMIFS('All Measure &amp; TRC+ Calc'!AY:AY,'All Measure &amp; TRC+ Calc'!$D:$D,$C107,'All Measure &amp; TRC+ Calc'!$B:$B,E$5)</f>
        <v>0</v>
      </c>
      <c r="F107" s="191">
        <f t="shared" si="45"/>
        <v>8356732.9362097494</v>
      </c>
      <c r="G107" s="190">
        <f>SUMIFS(Budget!$E:$E,Budget!$C:$C,$C107,Budget!$D:$D,"Incentives",Budget!$A:$A,G$101)</f>
        <v>3266180</v>
      </c>
      <c r="H107" s="190">
        <f>SUMIFS(Budget!$E:$E,Budget!$C:$C,$C107,Budget!$D:$D,"&lt;&gt;Incentives",Budget!$A:$A,H$101)</f>
        <v>3002067</v>
      </c>
      <c r="I107" s="192">
        <f t="shared" si="46"/>
        <v>6268247</v>
      </c>
      <c r="J107" s="193">
        <f t="shared" si="44"/>
        <v>2088485.9362097494</v>
      </c>
      <c r="K107" s="194">
        <f t="shared" si="47"/>
        <v>1.33318500949464</v>
      </c>
    </row>
    <row r="108" spans="1:11" x14ac:dyDescent="0.25">
      <c r="A108" s="181">
        <v>2029</v>
      </c>
      <c r="B108" s="156"/>
      <c r="C108" s="151" t="s">
        <v>161</v>
      </c>
      <c r="D108" s="189">
        <f>SUMIFS('All Measure &amp; TRC+ Calc'!BJ:BJ,'All Measure &amp; TRC+ Calc'!$D:$D,$C108,'All Measure &amp; TRC+ Calc'!$B:$B,D$101)</f>
        <v>11459977.218302742</v>
      </c>
      <c r="E108" s="190">
        <f>SUMIFS('All Measure &amp; TRC+ Calc'!AY:AY,'All Measure &amp; TRC+ Calc'!$D:$D,$C108,'All Measure &amp; TRC+ Calc'!$B:$B,E$5)</f>
        <v>0</v>
      </c>
      <c r="F108" s="191">
        <f t="shared" si="45"/>
        <v>11459977.218302742</v>
      </c>
      <c r="G108" s="190">
        <f>SUMIFS(Budget!$E:$E,Budget!$C:$C,$C108,Budget!$D:$D,"Incentives",Budget!$A:$A,G$101)</f>
        <v>13452372</v>
      </c>
      <c r="H108" s="190">
        <f>SUMIFS(Budget!$E:$E,Budget!$C:$C,$C108,Budget!$D:$D,"&lt;&gt;Incentives",Budget!$A:$A,H$101)</f>
        <v>1060563</v>
      </c>
      <c r="I108" s="192">
        <f t="shared" si="46"/>
        <v>14512935</v>
      </c>
      <c r="J108" s="193">
        <f t="shared" si="44"/>
        <v>-3052957.7816972584</v>
      </c>
      <c r="K108" s="194">
        <f t="shared" si="47"/>
        <v>0.78963884412785845</v>
      </c>
    </row>
    <row r="109" spans="1:11" x14ac:dyDescent="0.25">
      <c r="A109" s="181">
        <v>2029</v>
      </c>
      <c r="B109" s="156"/>
      <c r="C109" s="151" t="s">
        <v>162</v>
      </c>
      <c r="D109" s="189">
        <f>SUMIFS('All Measure &amp; TRC+ Calc'!BJ:BJ,'All Measure &amp; TRC+ Calc'!$D:$D,$C109,'All Measure &amp; TRC+ Calc'!$B:$B,D$101)</f>
        <v>1700130.1823161936</v>
      </c>
      <c r="E109" s="190">
        <f>SUMIFS('All Measure &amp; TRC+ Calc'!AY:AY,'All Measure &amp; TRC+ Calc'!$D:$D,$C109,'All Measure &amp; TRC+ Calc'!$B:$B,E$5)</f>
        <v>0</v>
      </c>
      <c r="F109" s="191">
        <f t="shared" si="45"/>
        <v>1700130.1823161936</v>
      </c>
      <c r="G109" s="190">
        <f>SUMIFS(Budget!$E:$E,Budget!$C:$C,$C109,Budget!$D:$D,"Incentives",Budget!$A:$A,G$101)</f>
        <v>0</v>
      </c>
      <c r="H109" s="190">
        <f>SUMIFS(Budget!$E:$E,Budget!$C:$C,$C109,Budget!$D:$D,"&lt;&gt;Incentives",Budget!$A:$A,H$101)</f>
        <v>3000618</v>
      </c>
      <c r="I109" s="192">
        <f t="shared" si="46"/>
        <v>3000618</v>
      </c>
      <c r="J109" s="193">
        <f t="shared" si="44"/>
        <v>-1300487.8176838064</v>
      </c>
      <c r="K109" s="194">
        <f t="shared" si="47"/>
        <v>0.56659334254350058</v>
      </c>
    </row>
    <row r="110" spans="1:11" x14ac:dyDescent="0.25">
      <c r="A110" s="181">
        <v>2029</v>
      </c>
      <c r="B110" s="156"/>
      <c r="C110" s="151" t="s">
        <v>17</v>
      </c>
      <c r="D110" s="195">
        <v>0</v>
      </c>
      <c r="E110" s="196">
        <v>0</v>
      </c>
      <c r="F110" s="197">
        <v>0</v>
      </c>
      <c r="G110" s="196">
        <f>SUMIFS(Budget!$E:$E,Budget!$C:$C,$C110,Budget!$D:$D,"Incentives",Budget!$A:$A,G$101)</f>
        <v>0</v>
      </c>
      <c r="H110" s="190">
        <f>SUMIFS(Budget!$E:$E,Budget!$C:$C,$C110,Budget!$D:$D,"&lt;&gt;Incentives",Budget!$A:$A,H$101)</f>
        <v>2663036</v>
      </c>
      <c r="I110" s="192">
        <f t="shared" ref="I110" si="51">SUM(G110:H110)</f>
        <v>2663036</v>
      </c>
      <c r="J110" s="193">
        <f t="shared" si="44"/>
        <v>-2663036</v>
      </c>
      <c r="K110" s="198">
        <f t="shared" si="47"/>
        <v>0</v>
      </c>
    </row>
    <row r="111" spans="1:11" x14ac:dyDescent="0.25">
      <c r="A111" s="181">
        <v>2029</v>
      </c>
      <c r="B111" s="156"/>
      <c r="C111" s="152" t="s">
        <v>138</v>
      </c>
      <c r="D111" s="199">
        <f t="shared" ref="D111:I111" si="52">SUM(D112:D120)</f>
        <v>123257557.83257194</v>
      </c>
      <c r="E111" s="200">
        <f t="shared" si="52"/>
        <v>0</v>
      </c>
      <c r="F111" s="201">
        <f t="shared" si="52"/>
        <v>123257557.83257194</v>
      </c>
      <c r="G111" s="200">
        <f t="shared" si="52"/>
        <v>41035499</v>
      </c>
      <c r="H111" s="200">
        <f t="shared" si="52"/>
        <v>11418416</v>
      </c>
      <c r="I111" s="159">
        <f t="shared" si="52"/>
        <v>52453915</v>
      </c>
      <c r="J111" s="202">
        <f t="shared" si="44"/>
        <v>70803642.832571939</v>
      </c>
      <c r="K111" s="203">
        <f t="shared" si="47"/>
        <v>2.3498257057184757</v>
      </c>
    </row>
    <row r="112" spans="1:11" x14ac:dyDescent="0.25">
      <c r="A112" s="181">
        <v>2029</v>
      </c>
      <c r="B112" s="156"/>
      <c r="C112" s="151" t="s">
        <v>9</v>
      </c>
      <c r="D112" s="189">
        <f>SUMIFS('All Measure &amp; TRC+ Calc'!BJ:BJ,'All Measure &amp; TRC+ Calc'!$D:$D,$C112,'All Measure &amp; TRC+ Calc'!$B:$B,D$101)</f>
        <v>80208654.307352334</v>
      </c>
      <c r="E112" s="190">
        <f>SUMIFS('All Measure &amp; TRC+ Calc'!AY:AY,'All Measure &amp; TRC+ Calc'!$D:$D,$C112,'All Measure &amp; TRC+ Calc'!$B:$B,E$101)</f>
        <v>0</v>
      </c>
      <c r="F112" s="191">
        <f t="shared" ref="F112:F119" si="53">SUM(D112:E112)</f>
        <v>80208654.307352334</v>
      </c>
      <c r="G112" s="190">
        <f>SUMIFS(Budget!$E:$E,Budget!$C:$C,$C112,Budget!$D:$D,"Incentives",Budget!$A:$A,G$101)</f>
        <v>18081220</v>
      </c>
      <c r="H112" s="190">
        <f>SUMIFS(Budget!$E:$E,Budget!$C:$C,$C112,Budget!$D:$D,"&lt;&gt;Incentives",Budget!$A:$A,H$101)</f>
        <v>1042456</v>
      </c>
      <c r="I112" s="192">
        <f t="shared" ref="I112:I120" si="54">SUM(G112:H112)</f>
        <v>19123676</v>
      </c>
      <c r="J112" s="193">
        <f t="shared" si="44"/>
        <v>61084978.307352334</v>
      </c>
      <c r="K112" s="194">
        <f t="shared" si="47"/>
        <v>4.194206924827232</v>
      </c>
    </row>
    <row r="113" spans="1:11" x14ac:dyDescent="0.25">
      <c r="A113" s="181">
        <v>2029</v>
      </c>
      <c r="B113" s="156"/>
      <c r="C113" s="151" t="s">
        <v>163</v>
      </c>
      <c r="D113" s="189">
        <f>SUMIFS('All Measure &amp; TRC+ Calc'!BJ:BJ,'All Measure &amp; TRC+ Calc'!$D:$D,$C113,'All Measure &amp; TRC+ Calc'!$B:$B,D$101)</f>
        <v>12884387.740530813</v>
      </c>
      <c r="E113" s="190">
        <f>SUMIFS('All Measure &amp; TRC+ Calc'!AY:AY,'All Measure &amp; TRC+ Calc'!$D:$D,$C113,'All Measure &amp; TRC+ Calc'!$B:$B,E$101)</f>
        <v>0</v>
      </c>
      <c r="F113" s="191">
        <f t="shared" si="53"/>
        <v>12884387.740530813</v>
      </c>
      <c r="G113" s="190">
        <f>SUMIFS(Budget!$E:$E,Budget!$C:$C,$C113,Budget!$D:$D,"Incentives",Budget!$A:$A,G$101)</f>
        <v>4969196</v>
      </c>
      <c r="H113" s="190">
        <f>SUMIFS(Budget!$E:$E,Budget!$C:$C,$C113,Budget!$D:$D,"&lt;&gt;Incentives",Budget!$A:$A,H$101)</f>
        <v>1054873</v>
      </c>
      <c r="I113" s="192">
        <f t="shared" si="54"/>
        <v>6024069</v>
      </c>
      <c r="J113" s="193">
        <f t="shared" si="44"/>
        <v>6860318.7405308131</v>
      </c>
      <c r="K113" s="194">
        <f t="shared" si="47"/>
        <v>2.1388180879951428</v>
      </c>
    </row>
    <row r="114" spans="1:11" x14ac:dyDescent="0.25">
      <c r="A114" s="181">
        <v>2029</v>
      </c>
      <c r="B114" s="156"/>
      <c r="C114" s="151" t="s">
        <v>164</v>
      </c>
      <c r="D114" s="189">
        <f>SUMIFS('All Measure &amp; TRC+ Calc'!BJ:BJ,'All Measure &amp; TRC+ Calc'!$D:$D,$C114,'All Measure &amp; TRC+ Calc'!$B:$B,D$101)</f>
        <v>22435295.747478705</v>
      </c>
      <c r="E114" s="190">
        <f>SUMIFS('All Measure &amp; TRC+ Calc'!AY:AY,'All Measure &amp; TRC+ Calc'!$D:$D,$C114,'All Measure &amp; TRC+ Calc'!$B:$B,E$101)</f>
        <v>0</v>
      </c>
      <c r="F114" s="191">
        <f t="shared" si="53"/>
        <v>22435295.747478705</v>
      </c>
      <c r="G114" s="190">
        <f>SUMIFS(Budget!$E:$E,Budget!$C:$C,$C114,Budget!$D:$D,"Incentives",Budget!$A:$A,G$101)</f>
        <v>12166684</v>
      </c>
      <c r="H114" s="190">
        <f>SUMIFS(Budget!$E:$E,Budget!$C:$C,$C114,Budget!$D:$D,"&lt;&gt;Incentives",Budget!$A:$A,H$101)</f>
        <v>1080534</v>
      </c>
      <c r="I114" s="192">
        <f t="shared" si="54"/>
        <v>13247218</v>
      </c>
      <c r="J114" s="193">
        <f t="shared" si="44"/>
        <v>9188077.7474787049</v>
      </c>
      <c r="K114" s="194">
        <f t="shared" si="47"/>
        <v>1.6935854567712787</v>
      </c>
    </row>
    <row r="115" spans="1:11" x14ac:dyDescent="0.25">
      <c r="A115" s="181">
        <v>2029</v>
      </c>
      <c r="B115" s="156"/>
      <c r="C115" s="151" t="s">
        <v>165</v>
      </c>
      <c r="D115" s="189">
        <f>SUMIFS('All Measure &amp; TRC+ Calc'!BJ:BJ,'All Measure &amp; TRC+ Calc'!$D:$D,$C115,'All Measure &amp; TRC+ Calc'!$B:$B,D$101)</f>
        <v>6863227.3857269874</v>
      </c>
      <c r="E115" s="190">
        <f>SUMIFS('All Measure &amp; TRC+ Calc'!AY:AY,'All Measure &amp; TRC+ Calc'!$D:$D,$C115,'All Measure &amp; TRC+ Calc'!$B:$B,E$101)</f>
        <v>0</v>
      </c>
      <c r="F115" s="191">
        <f t="shared" si="53"/>
        <v>6863227.3857269874</v>
      </c>
      <c r="G115" s="190">
        <f>SUMIFS(Budget!$E:$E,Budget!$C:$C,$C115,Budget!$D:$D,"Incentives",Budget!$A:$A,G$101)</f>
        <v>2783877</v>
      </c>
      <c r="H115" s="190">
        <f>SUMIFS(Budget!$E:$E,Budget!$C:$C,$C115,Budget!$D:$D,"&lt;&gt;Incentives",Budget!$A:$A,H$101)</f>
        <v>1538074</v>
      </c>
      <c r="I115" s="192">
        <f t="shared" si="54"/>
        <v>4321951</v>
      </c>
      <c r="J115" s="193">
        <f t="shared" si="44"/>
        <v>2541276.3857269874</v>
      </c>
      <c r="K115" s="194">
        <f t="shared" si="47"/>
        <v>1.5879928730628801</v>
      </c>
    </row>
    <row r="116" spans="1:11" x14ac:dyDescent="0.25">
      <c r="A116" s="181">
        <v>2029</v>
      </c>
      <c r="B116" s="156"/>
      <c r="C116" s="151" t="s">
        <v>166</v>
      </c>
      <c r="D116" s="189">
        <f>SUMIFS('All Measure &amp; TRC+ Calc'!BJ:BJ,'All Measure &amp; TRC+ Calc'!$D:$D,$C116,'All Measure &amp; TRC+ Calc'!$B:$B,D$101)</f>
        <v>443340.48862535344</v>
      </c>
      <c r="E116" s="190">
        <f>SUMIFS('All Measure &amp; TRC+ Calc'!AY:AY,'All Measure &amp; TRC+ Calc'!$D:$D,$C116,'All Measure &amp; TRC+ Calc'!$B:$B,E$101)</f>
        <v>0</v>
      </c>
      <c r="F116" s="191">
        <f t="shared" si="53"/>
        <v>443340.48862535344</v>
      </c>
      <c r="G116" s="190">
        <f>SUMIFS(Budget!$E:$E,Budget!$C:$C,$C116,Budget!$D:$D,"Incentives",Budget!$A:$A,G$101)</f>
        <v>403278</v>
      </c>
      <c r="H116" s="190">
        <f>SUMIFS(Budget!$E:$E,Budget!$C:$C,$C116,Budget!$D:$D,"&lt;&gt;Incentives",Budget!$A:$A,H$101)</f>
        <v>342795</v>
      </c>
      <c r="I116" s="192">
        <f t="shared" si="54"/>
        <v>746073</v>
      </c>
      <c r="J116" s="193">
        <f t="shared" si="44"/>
        <v>-302732.51137464656</v>
      </c>
      <c r="K116" s="194">
        <f t="shared" si="47"/>
        <v>0.59423205051697814</v>
      </c>
    </row>
    <row r="117" spans="1:11" x14ac:dyDescent="0.25">
      <c r="A117" s="181">
        <v>2029</v>
      </c>
      <c r="B117" s="156"/>
      <c r="C117" s="151" t="s">
        <v>167</v>
      </c>
      <c r="D117" s="189">
        <f>SUMIFS('All Measure &amp; TRC+ Calc'!BJ:BJ,'All Measure &amp; TRC+ Calc'!$D:$D,$C117,'All Measure &amp; TRC+ Calc'!$B:$B,D$101)</f>
        <v>422652.1628577438</v>
      </c>
      <c r="E117" s="190">
        <f>SUMIFS('All Measure &amp; TRC+ Calc'!AY:AY,'All Measure &amp; TRC+ Calc'!$D:$D,$C117,'All Measure &amp; TRC+ Calc'!$B:$B,E$101)</f>
        <v>0</v>
      </c>
      <c r="F117" s="191">
        <f t="shared" si="53"/>
        <v>422652.1628577438</v>
      </c>
      <c r="G117" s="190">
        <f>SUMIFS(Budget!$E:$E,Budget!$C:$C,$C117,Budget!$D:$D,"Incentives",Budget!$A:$A,G$101)</f>
        <v>238324</v>
      </c>
      <c r="H117" s="190">
        <f>SUMIFS(Budget!$E:$E,Budget!$C:$C,$C117,Budget!$D:$D,"&lt;&gt;Incentives",Budget!$A:$A,H$101)</f>
        <v>144112</v>
      </c>
      <c r="I117" s="192">
        <f t="shared" si="54"/>
        <v>382436</v>
      </c>
      <c r="J117" s="193">
        <f t="shared" si="44"/>
        <v>40216.162857743795</v>
      </c>
      <c r="K117" s="194">
        <f t="shared" si="47"/>
        <v>1.1051578900985886</v>
      </c>
    </row>
    <row r="118" spans="1:11" x14ac:dyDescent="0.25">
      <c r="A118" s="181">
        <v>2029</v>
      </c>
      <c r="B118" s="156"/>
      <c r="C118" s="151" t="s">
        <v>168</v>
      </c>
      <c r="D118" s="189">
        <f>SUMIFS('All Measure &amp; TRC+ Calc'!BJ:BJ,'All Measure &amp; TRC+ Calc'!$D:$D,$C118,'All Measure &amp; TRC+ Calc'!$B:$B,D$101)</f>
        <v>0</v>
      </c>
      <c r="E118" s="190">
        <f>SUMIFS('All Measure &amp; TRC+ Calc'!AY:AY,'All Measure &amp; TRC+ Calc'!$D:$D,$C118,'All Measure &amp; TRC+ Calc'!$B:$B,E$101)</f>
        <v>0</v>
      </c>
      <c r="F118" s="191">
        <f t="shared" si="53"/>
        <v>0</v>
      </c>
      <c r="G118" s="190">
        <f>SUMIFS(Budget!$E:$E,Budget!$C:$C,$C118,Budget!$D:$D,"Incentives",Budget!$A:$A,G$101)</f>
        <v>520200</v>
      </c>
      <c r="H118" s="190">
        <f>SUMIFS(Budget!$E:$E,Budget!$C:$C,$C118,Budget!$D:$D,"&lt;&gt;Incentives",Budget!$A:$A,H$101)</f>
        <v>289715</v>
      </c>
      <c r="I118" s="192">
        <f t="shared" si="54"/>
        <v>809915</v>
      </c>
      <c r="J118" s="193">
        <f t="shared" si="44"/>
        <v>-809915</v>
      </c>
      <c r="K118" s="194">
        <f t="shared" si="47"/>
        <v>0</v>
      </c>
    </row>
    <row r="119" spans="1:11" x14ac:dyDescent="0.25">
      <c r="A119" s="181">
        <v>2029</v>
      </c>
      <c r="B119" s="156"/>
      <c r="C119" s="151" t="s">
        <v>18</v>
      </c>
      <c r="D119" s="189">
        <f>SUMIFS('All Measure &amp; TRC+ Calc'!BJ:BJ,'All Measure &amp; TRC+ Calc'!$D:$D,$C119,'All Measure &amp; TRC+ Calc'!$B:$B,D$101)</f>
        <v>0</v>
      </c>
      <c r="E119" s="190">
        <f>SUMIFS('All Measure &amp; TRC+ Calc'!AY:AY,'All Measure &amp; TRC+ Calc'!$D:$D,$C119,'All Measure &amp; TRC+ Calc'!$B:$B,E$101)</f>
        <v>0</v>
      </c>
      <c r="F119" s="191">
        <f t="shared" si="53"/>
        <v>0</v>
      </c>
      <c r="G119" s="190">
        <f>SUMIFS(Budget!$E:$E,Budget!$C:$C,$C119,Budget!$D:$D,"Incentives",Budget!$A:$A,G$101)</f>
        <v>1872720</v>
      </c>
      <c r="H119" s="190">
        <f>SUMIFS(Budget!$E:$E,Budget!$C:$C,$C119,Budget!$D:$D,"&lt;&gt;Incentives",Budget!$A:$A,H$101)</f>
        <v>206939</v>
      </c>
      <c r="I119" s="192">
        <f t="shared" si="54"/>
        <v>2079659</v>
      </c>
      <c r="J119" s="193">
        <f t="shared" si="44"/>
        <v>-2079659</v>
      </c>
      <c r="K119" s="194">
        <f t="shared" si="47"/>
        <v>0</v>
      </c>
    </row>
    <row r="120" spans="1:11" x14ac:dyDescent="0.25">
      <c r="A120" s="181">
        <v>2029</v>
      </c>
      <c r="B120" s="156"/>
      <c r="C120" s="151" t="s">
        <v>19</v>
      </c>
      <c r="D120" s="195">
        <v>0</v>
      </c>
      <c r="E120" s="196">
        <v>0</v>
      </c>
      <c r="F120" s="197">
        <v>0</v>
      </c>
      <c r="G120" s="196">
        <f>SUMIFS(Budget!$E:$E,Budget!$C:$C,$C120,Budget!$D:$D,"Incentives",Budget!$A:$A,G$5)</f>
        <v>0</v>
      </c>
      <c r="H120" s="190">
        <f>SUMIFS(Budget!$E:$E,Budget!$C:$C,$C120,Budget!$D:$D,"&lt;&gt;Incentives",Budget!$A:$A,H$101)</f>
        <v>5718918</v>
      </c>
      <c r="I120" s="192">
        <f t="shared" si="54"/>
        <v>5718918</v>
      </c>
      <c r="J120" s="193">
        <f t="shared" si="44"/>
        <v>-5718918</v>
      </c>
      <c r="K120" s="198">
        <f t="shared" si="47"/>
        <v>0</v>
      </c>
    </row>
    <row r="121" spans="1:11" x14ac:dyDescent="0.25">
      <c r="A121" s="181">
        <v>2029</v>
      </c>
      <c r="B121" s="156"/>
      <c r="C121" s="152" t="s">
        <v>139</v>
      </c>
      <c r="D121" s="199">
        <f t="shared" ref="D121:I121" si="55">SUM(D122:D125)</f>
        <v>217933343.63692361</v>
      </c>
      <c r="E121" s="200">
        <f t="shared" si="55"/>
        <v>0</v>
      </c>
      <c r="F121" s="201">
        <f t="shared" si="55"/>
        <v>217933343.63692361</v>
      </c>
      <c r="G121" s="200">
        <f t="shared" si="55"/>
        <v>23489919</v>
      </c>
      <c r="H121" s="200">
        <f t="shared" si="55"/>
        <v>6481502</v>
      </c>
      <c r="I121" s="159">
        <f t="shared" si="55"/>
        <v>29971421</v>
      </c>
      <c r="J121" s="202">
        <f t="shared" si="44"/>
        <v>187961922.63692361</v>
      </c>
      <c r="K121" s="203">
        <f t="shared" si="47"/>
        <v>7.2713717389950787</v>
      </c>
    </row>
    <row r="122" spans="1:11" x14ac:dyDescent="0.25">
      <c r="A122" s="181">
        <v>2029</v>
      </c>
      <c r="B122" s="156"/>
      <c r="C122" s="151" t="s">
        <v>8</v>
      </c>
      <c r="D122" s="189">
        <f>SUMIFS('All Measure &amp; TRC+ Calc'!BJ:BJ,'All Measure &amp; TRC+ Calc'!$D:$D,$C122,'All Measure &amp; TRC+ Calc'!$B:$B,D$101)</f>
        <v>217933343.63692361</v>
      </c>
      <c r="E122" s="190">
        <f>SUMIFS('All Measure &amp; TRC+ Calc'!AY:AY,'All Measure &amp; TRC+ Calc'!$D:$D,$C122,'All Measure &amp; TRC+ Calc'!$B:$B,E$101)</f>
        <v>0</v>
      </c>
      <c r="F122" s="191">
        <f>SUM(D122:E122)</f>
        <v>217933343.63692361</v>
      </c>
      <c r="G122" s="190">
        <f>SUMIFS(Budget!$E:$E,Budget!$C:$C,$C122,Budget!$D:$D,"Incentives",Budget!$A:$A,G$101)</f>
        <v>21096999</v>
      </c>
      <c r="H122" s="190">
        <f>SUMIFS(Budget!$E:$E,Budget!$C:$C,$C122,Budget!$D:$D,"&lt;&gt;Incentives",Budget!$A:$A,H$101)</f>
        <v>1003655</v>
      </c>
      <c r="I122" s="192">
        <f t="shared" ref="I122" si="56">SUM(G122:H122)</f>
        <v>22100654</v>
      </c>
      <c r="J122" s="193">
        <f t="shared" si="44"/>
        <v>195832689.63692361</v>
      </c>
      <c r="K122" s="194">
        <f t="shared" si="47"/>
        <v>9.8609454560450391</v>
      </c>
    </row>
    <row r="123" spans="1:11" x14ac:dyDescent="0.25">
      <c r="A123" s="181">
        <v>2029</v>
      </c>
      <c r="B123" s="156"/>
      <c r="C123" s="151" t="s">
        <v>24</v>
      </c>
      <c r="D123" s="189">
        <f>SUMIFS('All Measure &amp; TRC+ Calc'!BJ:BJ,'All Measure &amp; TRC+ Calc'!$D:$D,$C123,'All Measure &amp; TRC+ Calc'!$B:$B,D$101)</f>
        <v>0</v>
      </c>
      <c r="E123" s="190">
        <f>SUMIFS('All Measure &amp; TRC+ Calc'!AY:AY,'All Measure &amp; TRC+ Calc'!$D:$D,$C123,'All Measure &amp; TRC+ Calc'!$B:$B,E$101)</f>
        <v>0</v>
      </c>
      <c r="F123" s="191">
        <f>SUM(D123:E123)</f>
        <v>0</v>
      </c>
      <c r="G123" s="190">
        <f>SUMIFS(Budget!$E:$E,Budget!$C:$C,$C123,Budget!$D:$D,"Incentives",Budget!$A:$A,G$101)</f>
        <v>1872720</v>
      </c>
      <c r="H123" s="190">
        <f>SUMIFS(Budget!$E:$E,Budget!$C:$C,$C123,Budget!$D:$D,"&lt;&gt;Incentives",Budget!$A:$A,H$101)</f>
        <v>206939</v>
      </c>
      <c r="I123" s="192">
        <f t="shared" ref="I123:I125" si="57">SUM(G123:H123)</f>
        <v>2079659</v>
      </c>
      <c r="J123" s="193">
        <f t="shared" si="44"/>
        <v>-2079659</v>
      </c>
      <c r="K123" s="194">
        <f t="shared" si="47"/>
        <v>0</v>
      </c>
    </row>
    <row r="124" spans="1:11" x14ac:dyDescent="0.25">
      <c r="A124" s="181">
        <v>2029</v>
      </c>
      <c r="B124" s="156"/>
      <c r="C124" s="151" t="s">
        <v>171</v>
      </c>
      <c r="D124" s="189">
        <f>SUMIFS('All Measure &amp; TRC+ Calc'!BJ:BJ,'All Measure &amp; TRC+ Calc'!$D:$D,$C124,'All Measure &amp; TRC+ Calc'!$B:$B,D$101)</f>
        <v>0</v>
      </c>
      <c r="E124" s="190">
        <f>SUMIFS('All Measure &amp; TRC+ Calc'!AY:AY,'All Measure &amp; TRC+ Calc'!$D:$D,$C124,'All Measure &amp; TRC+ Calc'!$B:$B,E$101)</f>
        <v>0</v>
      </c>
      <c r="F124" s="191">
        <f>SUM(D124:E124)</f>
        <v>0</v>
      </c>
      <c r="G124" s="190">
        <f>SUMIFS(Budget!$E:$E,Budget!$C:$C,$C124,Budget!$D:$D,"Incentives",Budget!$A:$A,G$101)</f>
        <v>520200</v>
      </c>
      <c r="H124" s="190">
        <f>SUMIFS(Budget!$E:$E,Budget!$C:$C,$C124,Budget!$D:$D,"&lt;&gt;Incentives",Budget!$A:$A,H$101)</f>
        <v>289715</v>
      </c>
      <c r="I124" s="192">
        <f t="shared" si="57"/>
        <v>809915</v>
      </c>
      <c r="J124" s="193">
        <f t="shared" si="44"/>
        <v>-809915</v>
      </c>
      <c r="K124" s="194">
        <f t="shared" si="47"/>
        <v>0</v>
      </c>
    </row>
    <row r="125" spans="1:11" x14ac:dyDescent="0.25">
      <c r="A125" s="181">
        <v>2029</v>
      </c>
      <c r="B125" s="156"/>
      <c r="C125" s="151" t="s">
        <v>25</v>
      </c>
      <c r="D125" s="195">
        <v>0</v>
      </c>
      <c r="E125" s="196">
        <v>0</v>
      </c>
      <c r="F125" s="197">
        <v>0</v>
      </c>
      <c r="G125" s="196">
        <f>SUMIFS(Budget!$E:$E,Budget!$C:$C,$C125,Budget!$D:$D,"Incentives",Budget!$A:$A,G$101)</f>
        <v>0</v>
      </c>
      <c r="H125" s="190">
        <f>SUMIFS(Budget!$E:$E,Budget!$C:$C,$C125,Budget!$D:$D,"&lt;&gt;Incentives",Budget!$A:$A,H$101)</f>
        <v>4981193</v>
      </c>
      <c r="I125" s="192">
        <f t="shared" si="57"/>
        <v>4981193</v>
      </c>
      <c r="J125" s="193">
        <f t="shared" si="44"/>
        <v>-4981193</v>
      </c>
      <c r="K125" s="198">
        <f t="shared" si="47"/>
        <v>0</v>
      </c>
    </row>
    <row r="126" spans="1:11" x14ac:dyDescent="0.25">
      <c r="A126" s="181">
        <v>2029</v>
      </c>
      <c r="B126" s="156"/>
      <c r="C126" s="152" t="s">
        <v>137</v>
      </c>
      <c r="D126" s="199">
        <f t="shared" ref="D126:I126" si="58">SUM(D127:D129)</f>
        <v>22666191.768520165</v>
      </c>
      <c r="E126" s="200">
        <f t="shared" si="58"/>
        <v>0</v>
      </c>
      <c r="F126" s="201">
        <f t="shared" si="58"/>
        <v>22666191.768520165</v>
      </c>
      <c r="G126" s="200">
        <f t="shared" si="58"/>
        <v>25306980</v>
      </c>
      <c r="H126" s="200">
        <f t="shared" si="58"/>
        <v>7572527</v>
      </c>
      <c r="I126" s="159">
        <f t="shared" si="58"/>
        <v>32879507</v>
      </c>
      <c r="J126" s="202">
        <f t="shared" si="44"/>
        <v>-10213315.231479835</v>
      </c>
      <c r="K126" s="203">
        <f t="shared" si="47"/>
        <v>0.68937139989721152</v>
      </c>
    </row>
    <row r="127" spans="1:11" x14ac:dyDescent="0.25">
      <c r="A127" s="181">
        <v>2029</v>
      </c>
      <c r="B127" s="156"/>
      <c r="C127" s="151" t="s">
        <v>22</v>
      </c>
      <c r="D127" s="189">
        <f>SUMIFS('All Measure &amp; TRC+ Calc'!BJ:BJ,'All Measure &amp; TRC+ Calc'!$D:$D,$C127,'All Measure &amp; TRC+ Calc'!$B:$B,D$101)</f>
        <v>12569637.663536292</v>
      </c>
      <c r="E127" s="190">
        <f>SUMIFS('All Measure &amp; TRC+ Calc'!AY:AY,'All Measure &amp; TRC+ Calc'!$D:$D,$C127,'All Measure &amp; TRC+ Calc'!$B:$B,E$101)</f>
        <v>0</v>
      </c>
      <c r="F127" s="191">
        <f>SUM(D127:E127)</f>
        <v>12569637.663536292</v>
      </c>
      <c r="G127" s="190">
        <f>SUMIFS(Budget!$E:$E,Budget!$C:$C,$C127,Budget!$D:$D,"Incentives",Budget!$A:$A,G$101)</f>
        <v>16491888</v>
      </c>
      <c r="H127" s="190">
        <f>SUMIFS(Budget!$E:$E,Budget!$C:$C,$C127,Budget!$D:$D,"&lt;&gt;Incentives",Budget!$A:$A,H$101)</f>
        <v>4211481</v>
      </c>
      <c r="I127" s="192">
        <f>SUM(G127:H127)</f>
        <v>20703369</v>
      </c>
      <c r="J127" s="193">
        <f t="shared" si="44"/>
        <v>-8133731.3364637084</v>
      </c>
      <c r="K127" s="194">
        <f t="shared" si="47"/>
        <v>0.60713006001758896</v>
      </c>
    </row>
    <row r="128" spans="1:11" x14ac:dyDescent="0.25">
      <c r="A128" s="181">
        <v>2029</v>
      </c>
      <c r="B128" s="156"/>
      <c r="C128" s="151" t="s">
        <v>21</v>
      </c>
      <c r="D128" s="189">
        <f>SUMIFS('All Measure &amp; TRC+ Calc'!BJ:BJ,'All Measure &amp; TRC+ Calc'!$D:$D,$C128,'All Measure &amp; TRC+ Calc'!$B:$B,D$101)</f>
        <v>10096554.104983874</v>
      </c>
      <c r="E128" s="190">
        <f>SUMIFS('All Measure &amp; TRC+ Calc'!AY:AY,'All Measure &amp; TRC+ Calc'!$D:$D,$C128,'All Measure &amp; TRC+ Calc'!$B:$B,E$101)</f>
        <v>0</v>
      </c>
      <c r="F128" s="191">
        <f>SUM(D128:E128)</f>
        <v>10096554.104983874</v>
      </c>
      <c r="G128" s="190">
        <f>SUMIFS(Budget!$E:$E,Budget!$C:$C,$C128,Budget!$D:$D,"Incentives",Budget!$A:$A,G$101)</f>
        <v>8815092</v>
      </c>
      <c r="H128" s="190">
        <f>SUMIFS(Budget!$E:$E,Budget!$C:$C,$C128,Budget!$D:$D,"&lt;&gt;Incentives",Budget!$A:$A,H$101)</f>
        <v>1458921</v>
      </c>
      <c r="I128" s="192">
        <f>SUM(G128:H128)</f>
        <v>10274013</v>
      </c>
      <c r="J128" s="193">
        <f t="shared" si="44"/>
        <v>-177458.89501612633</v>
      </c>
      <c r="K128" s="194">
        <f t="shared" si="47"/>
        <v>0.98272740213428522</v>
      </c>
    </row>
    <row r="129" spans="1:11" x14ac:dyDescent="0.25">
      <c r="A129" s="181">
        <v>2029</v>
      </c>
      <c r="B129" s="156"/>
      <c r="C129" s="151" t="s">
        <v>23</v>
      </c>
      <c r="D129" s="195">
        <v>0</v>
      </c>
      <c r="E129" s="196">
        <v>0</v>
      </c>
      <c r="F129" s="197">
        <v>0</v>
      </c>
      <c r="G129" s="196">
        <f>SUMIFS(Budget!$E:$E,Budget!$C:$C,$C129,Budget!$D:$D,"Incentives",Budget!$A:$A,G$101)</f>
        <v>0</v>
      </c>
      <c r="H129" s="190">
        <f>SUMIFS(Budget!$E:$E,Budget!$C:$C,$C129,Budget!$D:$D,"&lt;&gt;Incentives",Budget!$A:$A,H$101)</f>
        <v>1902125</v>
      </c>
      <c r="I129" s="192">
        <f>SUM(G129:H129)</f>
        <v>1902125</v>
      </c>
      <c r="J129" s="193">
        <f t="shared" si="44"/>
        <v>-1902125</v>
      </c>
      <c r="K129" s="198">
        <f t="shared" si="47"/>
        <v>0</v>
      </c>
    </row>
    <row r="130" spans="1:11" x14ac:dyDescent="0.25">
      <c r="A130" s="181">
        <v>2029</v>
      </c>
      <c r="B130" s="156"/>
      <c r="C130" s="152" t="s">
        <v>140</v>
      </c>
      <c r="D130" s="199">
        <f t="shared" ref="D130:I130" si="59">SUM(D131:D132)</f>
        <v>54428693.50859265</v>
      </c>
      <c r="E130" s="200">
        <f t="shared" si="59"/>
        <v>0</v>
      </c>
      <c r="F130" s="201">
        <f t="shared" si="59"/>
        <v>54428693.50859265</v>
      </c>
      <c r="G130" s="200">
        <f t="shared" si="59"/>
        <v>3440737</v>
      </c>
      <c r="H130" s="200">
        <f t="shared" si="59"/>
        <v>311386</v>
      </c>
      <c r="I130" s="159">
        <f t="shared" si="59"/>
        <v>3752123</v>
      </c>
      <c r="J130" s="202">
        <f t="shared" si="44"/>
        <v>50676570.50859265</v>
      </c>
      <c r="K130" s="203">
        <f t="shared" si="47"/>
        <v>14.506105878883142</v>
      </c>
    </row>
    <row r="131" spans="1:11" x14ac:dyDescent="0.25">
      <c r="A131" s="181">
        <v>2029</v>
      </c>
      <c r="B131" s="156"/>
      <c r="C131" s="151" t="s">
        <v>27</v>
      </c>
      <c r="D131" s="189">
        <f>SUMIFS('All Measure &amp; TRC+ Calc'!BJ:BJ,'All Measure &amp; TRC+ Calc'!$D:$D,$C131,'All Measure &amp; TRC+ Calc'!$B:$B,D$101)</f>
        <v>54428693.50859265</v>
      </c>
      <c r="E131" s="190">
        <f>SUMIFS('All Measure &amp; TRC+ Calc'!AY:AY,'All Measure &amp; TRC+ Calc'!$D:$D,$C131,'All Measure &amp; TRC+ Calc'!$B:$B,E$101)</f>
        <v>0</v>
      </c>
      <c r="F131" s="191">
        <f>SUM(D131:E131)</f>
        <v>54428693.50859265</v>
      </c>
      <c r="G131" s="190">
        <f>SUMIFS(Budget!$E:$E,Budget!$C:$C,$C131,Budget!$D:$D,"Incentives",Budget!$A:$A,G$101)</f>
        <v>3440737</v>
      </c>
      <c r="H131" s="190">
        <f>SUMIFS(Budget!$E:$E,Budget!$C:$C,$C131,Budget!$D:$D,"&lt;&gt;Incentives",Budget!$A:$A,H$101)</f>
        <v>25867</v>
      </c>
      <c r="I131" s="192">
        <f>SUM(G131:H131)</f>
        <v>3466604</v>
      </c>
      <c r="J131" s="193">
        <f t="shared" si="44"/>
        <v>50962089.50859265</v>
      </c>
      <c r="K131" s="194">
        <f t="shared" si="47"/>
        <v>15.700868489332111</v>
      </c>
    </row>
    <row r="132" spans="1:11" x14ac:dyDescent="0.25">
      <c r="A132" s="181">
        <v>2029</v>
      </c>
      <c r="B132" s="156"/>
      <c r="C132" s="151" t="s">
        <v>28</v>
      </c>
      <c r="D132" s="195">
        <v>0</v>
      </c>
      <c r="E132" s="196">
        <v>0</v>
      </c>
      <c r="F132" s="197">
        <v>0</v>
      </c>
      <c r="G132" s="196">
        <f>SUMIFS(Budget!$E:$E,Budget!$C:$C,$C132,Budget!$D:$D,"Incentives",Budget!$A:$A,G$101)</f>
        <v>0</v>
      </c>
      <c r="H132" s="190">
        <f>SUMIFS(Budget!$E:$E,Budget!$C:$C,$C132,Budget!$D:$D,"&lt;&gt;Incentives",Budget!$A:$A,H$101)</f>
        <v>285519</v>
      </c>
      <c r="I132" s="192">
        <f>SUM(G132:H132)</f>
        <v>285519</v>
      </c>
      <c r="J132" s="193">
        <f t="shared" si="44"/>
        <v>-285519</v>
      </c>
      <c r="K132" s="198">
        <f t="shared" si="47"/>
        <v>0</v>
      </c>
    </row>
    <row r="133" spans="1:11" x14ac:dyDescent="0.25">
      <c r="A133" s="181">
        <v>2029</v>
      </c>
      <c r="B133" s="156"/>
      <c r="C133" s="152" t="s">
        <v>187</v>
      </c>
      <c r="D133" s="204">
        <f t="shared" ref="D133" si="60">SUM(D134:D141)</f>
        <v>0</v>
      </c>
      <c r="E133" s="205">
        <f t="shared" ref="E133" si="61">SUM(E134:E141)</f>
        <v>0</v>
      </c>
      <c r="F133" s="206">
        <f t="shared" ref="F133" si="62">SUM(F134:F141)</f>
        <v>0</v>
      </c>
      <c r="G133" s="205">
        <f>SUM(G134:G141)</f>
        <v>0</v>
      </c>
      <c r="H133" s="200">
        <f>SUM(H134:H141)</f>
        <v>18042873</v>
      </c>
      <c r="I133" s="159">
        <f>SUM(I134:I141)</f>
        <v>18042873</v>
      </c>
      <c r="J133" s="202">
        <f t="shared" si="44"/>
        <v>-18042873</v>
      </c>
      <c r="K133" s="203">
        <f t="shared" si="47"/>
        <v>0</v>
      </c>
    </row>
    <row r="134" spans="1:11" x14ac:dyDescent="0.25">
      <c r="A134" s="181">
        <v>2029</v>
      </c>
      <c r="B134" s="156"/>
      <c r="C134" s="151" t="s">
        <v>30</v>
      </c>
      <c r="D134" s="195">
        <v>0</v>
      </c>
      <c r="E134" s="196">
        <v>0</v>
      </c>
      <c r="F134" s="197">
        <v>0</v>
      </c>
      <c r="G134" s="196">
        <f>SUMIFS(Budget!$E:$E,Budget!$C:$C,$C134,Budget!$D:$D,"Incentives",Budget!$A:$A,G$101)</f>
        <v>0</v>
      </c>
      <c r="H134" s="190">
        <f>SUMIFS(Budget!$E:$E,Budget!$C:$C,$C134,Budget!$D:$D,"&lt;&gt;Incentives",Budget!$A:$A,H$101)</f>
        <v>7970936</v>
      </c>
      <c r="I134" s="192">
        <f t="shared" ref="I134:I141" si="63">SUM(G134:H134)</f>
        <v>7970936</v>
      </c>
      <c r="J134" s="193">
        <f t="shared" si="44"/>
        <v>-7970936</v>
      </c>
      <c r="K134" s="198">
        <f t="shared" si="47"/>
        <v>0</v>
      </c>
    </row>
    <row r="135" spans="1:11" x14ac:dyDescent="0.25">
      <c r="A135" s="181">
        <v>2029</v>
      </c>
      <c r="B135" s="156"/>
      <c r="C135" s="151" t="s">
        <v>32</v>
      </c>
      <c r="D135" s="195">
        <v>0</v>
      </c>
      <c r="E135" s="196">
        <v>0</v>
      </c>
      <c r="F135" s="197">
        <v>0</v>
      </c>
      <c r="G135" s="196">
        <f>SUMIFS(Budget!$E:$E,Budget!$C:$C,$C135,Budget!$D:$D,"Incentives",Budget!$A:$A,G$101)</f>
        <v>0</v>
      </c>
      <c r="H135" s="190">
        <f>SUMIFS(Budget!$E:$E,Budget!$C:$C,$C135,Budget!$D:$D,"&lt;&gt;Incentives",Budget!$A:$A,H$101)</f>
        <v>1430985</v>
      </c>
      <c r="I135" s="192">
        <f t="shared" si="63"/>
        <v>1430985</v>
      </c>
      <c r="J135" s="193">
        <f t="shared" si="44"/>
        <v>-1430985</v>
      </c>
      <c r="K135" s="198">
        <f t="shared" si="47"/>
        <v>0</v>
      </c>
    </row>
    <row r="136" spans="1:11" x14ac:dyDescent="0.25">
      <c r="A136" s="181">
        <v>2029</v>
      </c>
      <c r="B136" s="156"/>
      <c r="C136" s="151" t="s">
        <v>177</v>
      </c>
      <c r="D136" s="195">
        <v>0</v>
      </c>
      <c r="E136" s="196">
        <v>0</v>
      </c>
      <c r="F136" s="197">
        <v>0</v>
      </c>
      <c r="G136" s="196">
        <f>SUMIFS(Budget!$E:$E,Budget!$C:$C,$C136,Budget!$D:$D,"Incentives",Budget!$A:$A,G$101)</f>
        <v>0</v>
      </c>
      <c r="H136" s="190">
        <f>SUMIFS(Budget!$E:$E,Budget!$C:$C,$C136,Budget!$D:$D,"&lt;&gt;Incentives",Budget!$A:$A,H$101)</f>
        <v>631164</v>
      </c>
      <c r="I136" s="192">
        <f t="shared" si="63"/>
        <v>631164</v>
      </c>
      <c r="J136" s="193">
        <f t="shared" si="44"/>
        <v>-631164</v>
      </c>
      <c r="K136" s="198">
        <f t="shared" si="47"/>
        <v>0</v>
      </c>
    </row>
    <row r="137" spans="1:11" x14ac:dyDescent="0.25">
      <c r="A137" s="181">
        <v>2029</v>
      </c>
      <c r="B137" s="156"/>
      <c r="C137" s="151" t="s">
        <v>34</v>
      </c>
      <c r="D137" s="195">
        <v>0</v>
      </c>
      <c r="E137" s="196">
        <v>0</v>
      </c>
      <c r="F137" s="197">
        <v>0</v>
      </c>
      <c r="G137" s="196">
        <f>SUMIFS(Budget!$E:$E,Budget!$C:$C,$C137,Budget!$D:$D,"Incentives",Budget!$A:$A,G$101)</f>
        <v>0</v>
      </c>
      <c r="H137" s="190">
        <f>SUMIFS(Budget!$E:$E,Budget!$C:$C,$C137,Budget!$D:$D,"&lt;&gt;Incentives",Budget!$A:$A,H$101)</f>
        <v>3207557</v>
      </c>
      <c r="I137" s="192">
        <f t="shared" si="63"/>
        <v>3207557</v>
      </c>
      <c r="J137" s="193">
        <f t="shared" si="44"/>
        <v>-3207557</v>
      </c>
      <c r="K137" s="198">
        <f t="shared" si="47"/>
        <v>0</v>
      </c>
    </row>
    <row r="138" spans="1:11" x14ac:dyDescent="0.25">
      <c r="A138" s="181">
        <v>2029</v>
      </c>
      <c r="B138" s="156"/>
      <c r="C138" s="151" t="s">
        <v>36</v>
      </c>
      <c r="D138" s="195">
        <v>0</v>
      </c>
      <c r="E138" s="196">
        <v>0</v>
      </c>
      <c r="F138" s="197">
        <v>0</v>
      </c>
      <c r="G138" s="196">
        <f>SUMIFS(Budget!$E:$E,Budget!$C:$C,$C138,Budget!$D:$D,"Incentives",Budget!$A:$A,G$101)</f>
        <v>0</v>
      </c>
      <c r="H138" s="190">
        <f>SUMIFS(Budget!$E:$E,Budget!$C:$C,$C138,Budget!$D:$D,"&lt;&gt;Incentives",Budget!$A:$A,H$101)</f>
        <v>856728</v>
      </c>
      <c r="I138" s="192">
        <f t="shared" si="63"/>
        <v>856728</v>
      </c>
      <c r="J138" s="193">
        <f t="shared" si="44"/>
        <v>-856728</v>
      </c>
      <c r="K138" s="198">
        <f t="shared" si="47"/>
        <v>0</v>
      </c>
    </row>
    <row r="139" spans="1:11" x14ac:dyDescent="0.25">
      <c r="A139" s="181">
        <v>2029</v>
      </c>
      <c r="B139" s="156"/>
      <c r="C139" s="151" t="s">
        <v>35</v>
      </c>
      <c r="D139" s="195">
        <v>0</v>
      </c>
      <c r="E139" s="196">
        <v>0</v>
      </c>
      <c r="F139" s="197">
        <v>0</v>
      </c>
      <c r="G139" s="196">
        <f>SUMIFS(Budget!$E:$E,Budget!$C:$C,$C139,Budget!$D:$D,"Incentives",Budget!$A:$A,G$101)</f>
        <v>0</v>
      </c>
      <c r="H139" s="190">
        <f>SUMIFS(Budget!$E:$E,Budget!$C:$C,$C139,Budget!$D:$D,"&lt;&gt;Incentives",Budget!$A:$A,H$101)</f>
        <v>610471</v>
      </c>
      <c r="I139" s="192">
        <f t="shared" si="63"/>
        <v>610471</v>
      </c>
      <c r="J139" s="193">
        <f t="shared" si="44"/>
        <v>-610471</v>
      </c>
      <c r="K139" s="198">
        <f t="shared" si="47"/>
        <v>0</v>
      </c>
    </row>
    <row r="140" spans="1:11" x14ac:dyDescent="0.25">
      <c r="A140" s="181">
        <v>2029</v>
      </c>
      <c r="B140" s="156"/>
      <c r="C140" s="151" t="s">
        <v>38</v>
      </c>
      <c r="D140" s="195">
        <v>0</v>
      </c>
      <c r="E140" s="196">
        <v>0</v>
      </c>
      <c r="F140" s="197">
        <v>0</v>
      </c>
      <c r="G140" s="196">
        <f>SUMIFS(Budget!$E:$E,Budget!$C:$C,$C140,Budget!$D:$D,"Incentives",Budget!$A:$A,G$101)</f>
        <v>0</v>
      </c>
      <c r="H140" s="190">
        <f>SUMIFS(Budget!$E:$E,Budget!$C:$C,$C140,Budget!$D:$D,"&lt;&gt;Incentives",Budget!$A:$A,H$101)</f>
        <v>3335032</v>
      </c>
      <c r="I140" s="192">
        <f t="shared" si="63"/>
        <v>3335032</v>
      </c>
      <c r="J140" s="193">
        <f t="shared" si="44"/>
        <v>-3335032</v>
      </c>
      <c r="K140" s="198">
        <f t="shared" si="47"/>
        <v>0</v>
      </c>
    </row>
    <row r="141" spans="1:11" ht="13.5" thickBot="1" x14ac:dyDescent="0.3">
      <c r="A141" s="181">
        <v>2029</v>
      </c>
      <c r="B141" s="156"/>
      <c r="C141" s="219" t="s">
        <v>178</v>
      </c>
      <c r="D141" s="208">
        <v>0</v>
      </c>
      <c r="E141" s="209">
        <v>0</v>
      </c>
      <c r="F141" s="210">
        <v>0</v>
      </c>
      <c r="G141" s="209">
        <f>SUMIFS(Budget!$E:$E,Budget!$C:$C,$C141,Budget!$D:$D,"Incentives",Budget!$A:$A,G$101)</f>
        <v>0</v>
      </c>
      <c r="H141" s="211">
        <f>SUMIFS(Budget!$E:$E,Budget!$C:$C,$C141,Budget!$D:$D,"&lt;&gt;Incentives",Budget!$A:$A,H$101)</f>
        <v>0</v>
      </c>
      <c r="I141" s="212">
        <f t="shared" si="63"/>
        <v>0</v>
      </c>
      <c r="J141" s="213">
        <f t="shared" si="44"/>
        <v>0</v>
      </c>
      <c r="K141" s="214">
        <f t="shared" si="47"/>
        <v>0</v>
      </c>
    </row>
    <row r="142" spans="1:11" ht="13.5" thickTop="1" x14ac:dyDescent="0.25">
      <c r="A142" s="181">
        <v>2029</v>
      </c>
      <c r="B142" s="156"/>
      <c r="C142" s="215" t="s">
        <v>131</v>
      </c>
      <c r="D142" s="216">
        <f t="shared" ref="D142:I142" si="64">SUM(D103,D111,D121,D126,D130,D133)</f>
        <v>504040961.43143898</v>
      </c>
      <c r="E142" s="216">
        <f t="shared" si="64"/>
        <v>0</v>
      </c>
      <c r="F142" s="216">
        <f t="shared" si="64"/>
        <v>504040961.43143898</v>
      </c>
      <c r="G142" s="216">
        <f t="shared" si="64"/>
        <v>156829983</v>
      </c>
      <c r="H142" s="216">
        <f t="shared" si="64"/>
        <v>58825281</v>
      </c>
      <c r="I142" s="216">
        <f t="shared" si="64"/>
        <v>215655264</v>
      </c>
      <c r="J142" s="216">
        <f t="shared" si="44"/>
        <v>288385697.43143898</v>
      </c>
      <c r="K142" s="217">
        <f t="shared" si="47"/>
        <v>2.3372532257382734</v>
      </c>
    </row>
    <row r="143" spans="1:11" x14ac:dyDescent="0.25">
      <c r="A143" s="153"/>
      <c r="C143" s="136" t="s">
        <v>229</v>
      </c>
      <c r="D143" s="258">
        <f>SUM(D103,D111,D121,D126,D130)</f>
        <v>504040961.43143898</v>
      </c>
      <c r="E143" s="258">
        <f t="shared" ref="E143:I143" si="65">SUM(E103,E111,E121,E126,E130)</f>
        <v>0</v>
      </c>
      <c r="F143" s="258">
        <f t="shared" si="65"/>
        <v>504040961.43143898</v>
      </c>
      <c r="G143" s="258">
        <f t="shared" si="65"/>
        <v>156829983</v>
      </c>
      <c r="H143" s="258">
        <f t="shared" si="65"/>
        <v>40782408</v>
      </c>
      <c r="I143" s="258">
        <f t="shared" si="65"/>
        <v>197612391</v>
      </c>
      <c r="J143" s="258">
        <f t="shared" si="44"/>
        <v>306428570.43143898</v>
      </c>
      <c r="K143" s="259">
        <f t="shared" si="47"/>
        <v>2.5506546369930772</v>
      </c>
    </row>
    <row r="144" spans="1:11" x14ac:dyDescent="0.25">
      <c r="A144" s="153"/>
    </row>
    <row r="145" spans="1:11" x14ac:dyDescent="0.25">
      <c r="A145" s="153"/>
    </row>
    <row r="146" spans="1:11" ht="16.5" thickBot="1" x14ac:dyDescent="0.3">
      <c r="A146" s="153"/>
      <c r="C146" s="220" t="s">
        <v>306</v>
      </c>
      <c r="D146" s="173"/>
      <c r="E146" s="155"/>
      <c r="F146" s="155"/>
    </row>
    <row r="147" spans="1:11" ht="13.5" thickTop="1" x14ac:dyDescent="0.25">
      <c r="A147" s="153"/>
    </row>
    <row r="148" spans="1:11" x14ac:dyDescent="0.25">
      <c r="A148" s="153"/>
      <c r="C148" s="60"/>
      <c r="D148" s="396" t="s">
        <v>189</v>
      </c>
      <c r="E148" s="397"/>
      <c r="F148" s="398"/>
      <c r="G148" s="396" t="s">
        <v>190</v>
      </c>
      <c r="H148" s="397"/>
      <c r="I148" s="398"/>
      <c r="J148" s="175" t="s">
        <v>367</v>
      </c>
      <c r="K148" s="174" t="s">
        <v>191</v>
      </c>
    </row>
    <row r="149" spans="1:11" x14ac:dyDescent="0.25">
      <c r="A149" s="153"/>
      <c r="C149" s="60"/>
      <c r="D149" s="244" t="s">
        <v>305</v>
      </c>
      <c r="E149" s="241" t="s">
        <v>305</v>
      </c>
      <c r="F149" s="242" t="s">
        <v>305</v>
      </c>
      <c r="G149" s="240" t="s">
        <v>305</v>
      </c>
      <c r="H149" s="241" t="s">
        <v>305</v>
      </c>
      <c r="I149" s="242" t="s">
        <v>305</v>
      </c>
      <c r="J149" s="243" t="s">
        <v>305</v>
      </c>
      <c r="K149" s="242" t="s">
        <v>305</v>
      </c>
    </row>
    <row r="150" spans="1:11" ht="25.5" x14ac:dyDescent="0.25">
      <c r="A150" s="153"/>
      <c r="C150" s="157"/>
      <c r="D150" s="176" t="s">
        <v>180</v>
      </c>
      <c r="E150" s="177" t="s">
        <v>183</v>
      </c>
      <c r="F150" s="178" t="s">
        <v>192</v>
      </c>
      <c r="G150" s="176" t="s">
        <v>193</v>
      </c>
      <c r="H150" s="179" t="s">
        <v>155</v>
      </c>
      <c r="I150" s="178" t="s">
        <v>194</v>
      </c>
      <c r="J150" s="180" t="s">
        <v>195</v>
      </c>
      <c r="K150" s="178" t="s">
        <v>191</v>
      </c>
    </row>
    <row r="151" spans="1:11" x14ac:dyDescent="0.25">
      <c r="A151" s="181">
        <v>2030</v>
      </c>
      <c r="B151" s="156"/>
      <c r="C151" s="218" t="s">
        <v>135</v>
      </c>
      <c r="D151" s="183">
        <f t="shared" ref="D151:I151" si="66">SUM(D152:D158)</f>
        <v>90192547.378600195</v>
      </c>
      <c r="E151" s="184">
        <f t="shared" si="66"/>
        <v>0</v>
      </c>
      <c r="F151" s="185">
        <f t="shared" si="66"/>
        <v>90192547.378600195</v>
      </c>
      <c r="G151" s="184">
        <f t="shared" si="66"/>
        <v>66031749</v>
      </c>
      <c r="H151" s="184">
        <f t="shared" si="66"/>
        <v>15504460</v>
      </c>
      <c r="I151" s="186">
        <f t="shared" si="66"/>
        <v>81536209</v>
      </c>
      <c r="J151" s="187">
        <f t="shared" ref="J151:J191" si="67">F151-I151</f>
        <v>8656338.3786001951</v>
      </c>
      <c r="K151" s="188">
        <f>IFERROR(F151/I151,0)</f>
        <v>1.1061655733663089</v>
      </c>
    </row>
    <row r="152" spans="1:11" x14ac:dyDescent="0.25">
      <c r="A152" s="181">
        <v>2030</v>
      </c>
      <c r="B152" s="156"/>
      <c r="C152" s="151" t="s">
        <v>159</v>
      </c>
      <c r="D152" s="189">
        <f>SUMIFS('All Measure &amp; TRC+ Calc'!BJ:BJ,'All Measure &amp; TRC+ Calc'!$D:$D,$C152,'All Measure &amp; TRC+ Calc'!$B:$B,D$149)</f>
        <v>19624543.797047898</v>
      </c>
      <c r="E152" s="190">
        <f>SUMIFS('All Measure &amp; TRC+ Calc'!AY:AY,'All Measure &amp; TRC+ Calc'!$D:$D,$C152,'All Measure &amp; TRC+ Calc'!$B:$B,E$149)</f>
        <v>0</v>
      </c>
      <c r="F152" s="191">
        <f t="shared" ref="F152:F157" si="68">SUM(D152:E152)</f>
        <v>19624543.797047898</v>
      </c>
      <c r="G152" s="190">
        <f>SUMIFS(Budget!$E:$E,Budget!$C:$C,$C152,Budget!$D:$D,"Incentives",Budget!$A:$A,G$149)</f>
        <v>19015035</v>
      </c>
      <c r="H152" s="190">
        <f>SUMIFS(Budget!$E:$E,Budget!$C:$C,$C152,Budget!$D:$D,"&lt;&gt;Incentives",Budget!$A:$A,H$149)</f>
        <v>1744507</v>
      </c>
      <c r="I152" s="192">
        <f t="shared" ref="I152:I157" si="69">SUM(G152:H152)</f>
        <v>20759542</v>
      </c>
      <c r="J152" s="193">
        <f t="shared" si="67"/>
        <v>-1134998.2029521018</v>
      </c>
      <c r="K152" s="194">
        <f t="shared" ref="K152:K191" si="70">IFERROR(F152/I152,0)</f>
        <v>0.94532643336003741</v>
      </c>
    </row>
    <row r="153" spans="1:11" x14ac:dyDescent="0.25">
      <c r="A153" s="181">
        <v>2030</v>
      </c>
      <c r="B153" s="156"/>
      <c r="C153" s="151" t="s">
        <v>130</v>
      </c>
      <c r="D153" s="189">
        <f>SUMIFS('All Measure &amp; TRC+ Calc'!BJ:BJ,'All Measure &amp; TRC+ Calc'!$D:$D,$C153,'All Measure &amp; TRC+ Calc'!$B:$B,D$149)</f>
        <v>28072004.253775027</v>
      </c>
      <c r="E153" s="190">
        <f>SUMIFS('All Measure &amp; TRC+ Calc'!AY:AY,'All Measure &amp; TRC+ Calc'!$D:$D,$C153,'All Measure &amp; TRC+ Calc'!$B:$B,E$149)</f>
        <v>0</v>
      </c>
      <c r="F153" s="191">
        <f t="shared" si="68"/>
        <v>28072004.253775027</v>
      </c>
      <c r="G153" s="190">
        <f>SUMIFS(Budget!$E:$E,Budget!$C:$C,$C153,Budget!$D:$D,"Incentives",Budget!$A:$A,G$149)</f>
        <v>20300909</v>
      </c>
      <c r="H153" s="190">
        <f>SUMIFS(Budget!$E:$E,Budget!$C:$C,$C153,Budget!$D:$D,"&lt;&gt;Incentives",Budget!$A:$A,H$149)</f>
        <v>2219739</v>
      </c>
      <c r="I153" s="192">
        <f t="shared" si="69"/>
        <v>22520648</v>
      </c>
      <c r="J153" s="193">
        <f t="shared" si="67"/>
        <v>5551356.2537750266</v>
      </c>
      <c r="K153" s="194">
        <f t="shared" si="70"/>
        <v>1.2465007336278702</v>
      </c>
    </row>
    <row r="154" spans="1:11" x14ac:dyDescent="0.25">
      <c r="A154" s="181">
        <v>2030</v>
      </c>
      <c r="B154" s="156"/>
      <c r="C154" s="151" t="s">
        <v>333</v>
      </c>
      <c r="D154" s="189">
        <f>SUMIFS('All Measure &amp; TRC+ Calc'!BJ:BJ,'All Measure &amp; TRC+ Calc'!$D:$D,$C154,'All Measure &amp; TRC+ Calc'!$B:$B,D$149)</f>
        <v>18678369.60780165</v>
      </c>
      <c r="E154" s="190">
        <f>SUMIFS('All Measure &amp; TRC+ Calc'!AY:AY,'All Measure &amp; TRC+ Calc'!$D:$D,$C154,'All Measure &amp; TRC+ Calc'!$B:$B,E$149)</f>
        <v>0</v>
      </c>
      <c r="F154" s="191">
        <f t="shared" ref="F154" si="71">SUM(D154:E154)</f>
        <v>18678369.60780165</v>
      </c>
      <c r="G154" s="190">
        <f>SUMIFS(Budget!$E:$E,Budget!$C:$C,$C154,Budget!$D:$D,"Incentives",Budget!$A:$A,G$149)</f>
        <v>8150077</v>
      </c>
      <c r="H154" s="190">
        <f>SUMIFS(Budget!$E:$E,Budget!$C:$C,$C154,Budget!$D:$D,"&lt;&gt;Incentives",Budget!$A:$A,H$149)</f>
        <v>1303533</v>
      </c>
      <c r="I154" s="192">
        <f t="shared" ref="I154" si="72">SUM(G154:H154)</f>
        <v>9453610</v>
      </c>
      <c r="J154" s="193">
        <f t="shared" ref="J154" si="73">F154-I154</f>
        <v>9224759.6078016497</v>
      </c>
      <c r="K154" s="194">
        <f t="shared" si="70"/>
        <v>1.9757922748877572</v>
      </c>
    </row>
    <row r="155" spans="1:11" x14ac:dyDescent="0.25">
      <c r="A155" s="181">
        <v>2030</v>
      </c>
      <c r="B155" s="156"/>
      <c r="C155" s="151" t="s">
        <v>160</v>
      </c>
      <c r="D155" s="189">
        <f>SUMIFS('All Measure &amp; TRC+ Calc'!BJ:BJ,'All Measure &amp; TRC+ Calc'!$D:$D,$C155,'All Measure &amp; TRC+ Calc'!$B:$B,D$149)</f>
        <v>8610544.0798373707</v>
      </c>
      <c r="E155" s="190">
        <f>SUMIFS('All Measure &amp; TRC+ Calc'!AY:AY,'All Measure &amp; TRC+ Calc'!$D:$D,$C155,'All Measure &amp; TRC+ Calc'!$B:$B,E$149)</f>
        <v>0</v>
      </c>
      <c r="F155" s="191">
        <f t="shared" si="68"/>
        <v>8610544.0798373707</v>
      </c>
      <c r="G155" s="190">
        <f>SUMIFS(Budget!$E:$E,Budget!$C:$C,$C155,Budget!$D:$D,"Incentives",Budget!$A:$A,G$149)</f>
        <v>3369229</v>
      </c>
      <c r="H155" s="190">
        <f>SUMIFS(Budget!$E:$E,Budget!$C:$C,$C155,Budget!$D:$D,"&lt;&gt;Incentives",Budget!$A:$A,H$149)</f>
        <v>3028434</v>
      </c>
      <c r="I155" s="192">
        <f t="shared" si="69"/>
        <v>6397663</v>
      </c>
      <c r="J155" s="193">
        <f t="shared" si="67"/>
        <v>2212881.0798373707</v>
      </c>
      <c r="K155" s="194">
        <f t="shared" si="70"/>
        <v>1.3458889722446103</v>
      </c>
    </row>
    <row r="156" spans="1:11" x14ac:dyDescent="0.25">
      <c r="A156" s="181">
        <v>2030</v>
      </c>
      <c r="B156" s="156"/>
      <c r="C156" s="151" t="s">
        <v>161</v>
      </c>
      <c r="D156" s="189">
        <f>SUMIFS('All Measure &amp; TRC+ Calc'!BJ:BJ,'All Measure &amp; TRC+ Calc'!$D:$D,$C156,'All Measure &amp; TRC+ Calc'!$B:$B,D$149)</f>
        <v>13062873.607427072</v>
      </c>
      <c r="E156" s="190">
        <f>SUMIFS('All Measure &amp; TRC+ Calc'!AY:AY,'All Measure &amp; TRC+ Calc'!$D:$D,$C156,'All Measure &amp; TRC+ Calc'!$B:$B,E$149)</f>
        <v>0</v>
      </c>
      <c r="F156" s="191">
        <f t="shared" si="68"/>
        <v>13062873.607427072</v>
      </c>
      <c r="G156" s="190">
        <f>SUMIFS(Budget!$E:$E,Budget!$C:$C,$C156,Budget!$D:$D,"Incentives",Budget!$A:$A,G$149)</f>
        <v>15196499</v>
      </c>
      <c r="H156" s="190">
        <f>SUMIFS(Budget!$E:$E,Budget!$C:$C,$C156,Budget!$D:$D,"&lt;&gt;Incentives",Budget!$A:$A,H$149)</f>
        <v>1131429</v>
      </c>
      <c r="I156" s="192">
        <f t="shared" si="69"/>
        <v>16327928</v>
      </c>
      <c r="J156" s="193">
        <f t="shared" si="67"/>
        <v>-3265054.3925729282</v>
      </c>
      <c r="K156" s="194">
        <f t="shared" si="70"/>
        <v>0.80003253367035132</v>
      </c>
    </row>
    <row r="157" spans="1:11" x14ac:dyDescent="0.25">
      <c r="A157" s="181">
        <v>2030</v>
      </c>
      <c r="B157" s="156"/>
      <c r="C157" s="151" t="s">
        <v>162</v>
      </c>
      <c r="D157" s="189">
        <f>SUMIFS('All Measure &amp; TRC+ Calc'!BJ:BJ,'All Measure &amp; TRC+ Calc'!$D:$D,$C157,'All Measure &amp; TRC+ Calc'!$B:$B,D$149)</f>
        <v>2144212.0327111711</v>
      </c>
      <c r="E157" s="190">
        <f>SUMIFS('All Measure &amp; TRC+ Calc'!AY:AY,'All Measure &amp; TRC+ Calc'!$D:$D,$C157,'All Measure &amp; TRC+ Calc'!$B:$B,E$149)</f>
        <v>0</v>
      </c>
      <c r="F157" s="191">
        <f t="shared" si="68"/>
        <v>2144212.0327111711</v>
      </c>
      <c r="G157" s="190">
        <f>SUMIFS(Budget!$E:$E,Budget!$C:$C,$C157,Budget!$D:$D,"Incentives",Budget!$A:$A,G$149)</f>
        <v>0</v>
      </c>
      <c r="H157" s="190">
        <f>SUMIFS(Budget!$E:$E,Budget!$C:$C,$C157,Budget!$D:$D,"&lt;&gt;Incentives",Budget!$A:$A,H$149)</f>
        <v>3367977</v>
      </c>
      <c r="I157" s="192">
        <f t="shared" si="69"/>
        <v>3367977</v>
      </c>
      <c r="J157" s="193">
        <f t="shared" si="67"/>
        <v>-1223764.9672888289</v>
      </c>
      <c r="K157" s="194">
        <f t="shared" si="70"/>
        <v>0.63664687517497032</v>
      </c>
    </row>
    <row r="158" spans="1:11" x14ac:dyDescent="0.25">
      <c r="A158" s="181">
        <v>2030</v>
      </c>
      <c r="B158" s="156"/>
      <c r="C158" s="151" t="s">
        <v>17</v>
      </c>
      <c r="D158" s="195">
        <v>0</v>
      </c>
      <c r="E158" s="196">
        <v>0</v>
      </c>
      <c r="F158" s="197">
        <v>0</v>
      </c>
      <c r="G158" s="196">
        <f>SUMIFS(Budget!$E:$E,Budget!$C:$C,$C158,Budget!$D:$D,"Incentives",Budget!$A:$A,G$149)</f>
        <v>0</v>
      </c>
      <c r="H158" s="190">
        <f>SUMIFS(Budget!$E:$E,Budget!$C:$C,$C158,Budget!$D:$D,"&lt;&gt;Incentives",Budget!$A:$A,H$149)</f>
        <v>2708841</v>
      </c>
      <c r="I158" s="192">
        <f t="shared" ref="I158" si="74">SUM(G158:H158)</f>
        <v>2708841</v>
      </c>
      <c r="J158" s="193">
        <f t="shared" si="67"/>
        <v>-2708841</v>
      </c>
      <c r="K158" s="198">
        <f t="shared" si="70"/>
        <v>0</v>
      </c>
    </row>
    <row r="159" spans="1:11" x14ac:dyDescent="0.25">
      <c r="A159" s="181">
        <v>2030</v>
      </c>
      <c r="B159" s="156"/>
      <c r="C159" s="152" t="s">
        <v>138</v>
      </c>
      <c r="D159" s="199">
        <f t="shared" ref="D159:I159" si="75">SUM(D160:D168)</f>
        <v>133898258.79545242</v>
      </c>
      <c r="E159" s="200">
        <f t="shared" si="75"/>
        <v>0</v>
      </c>
      <c r="F159" s="201">
        <f t="shared" si="75"/>
        <v>133898258.79545242</v>
      </c>
      <c r="G159" s="200">
        <f t="shared" si="75"/>
        <v>44068148</v>
      </c>
      <c r="H159" s="200">
        <f t="shared" si="75"/>
        <v>11769266</v>
      </c>
      <c r="I159" s="159">
        <f t="shared" si="75"/>
        <v>55837414</v>
      </c>
      <c r="J159" s="202">
        <f t="shared" si="67"/>
        <v>78060844.795452416</v>
      </c>
      <c r="K159" s="203">
        <f t="shared" si="70"/>
        <v>2.3980025076994509</v>
      </c>
    </row>
    <row r="160" spans="1:11" x14ac:dyDescent="0.25">
      <c r="A160" s="181">
        <v>2030</v>
      </c>
      <c r="B160" s="156"/>
      <c r="C160" s="151" t="s">
        <v>9</v>
      </c>
      <c r="D160" s="189">
        <f>SUMIFS('All Measure &amp; TRC+ Calc'!BJ:BJ,'All Measure &amp; TRC+ Calc'!$D:$D,$C160,'All Measure &amp; TRC+ Calc'!$B:$B,D$149)</f>
        <v>87484369.144144341</v>
      </c>
      <c r="E160" s="190">
        <f>SUMIFS('All Measure &amp; TRC+ Calc'!AY:AY,'All Measure &amp; TRC+ Calc'!$D:$D,$C160,'All Measure &amp; TRC+ Calc'!$B:$B,E$149)</f>
        <v>0</v>
      </c>
      <c r="F160" s="191">
        <f t="shared" ref="F160:F167" si="76">SUM(D160:E160)</f>
        <v>87484369.144144341</v>
      </c>
      <c r="G160" s="190">
        <f>SUMIFS(Budget!$E:$E,Budget!$C:$C,$C160,Budget!$D:$D,"Incentives",Budget!$A:$A,G$149)</f>
        <v>19689958</v>
      </c>
      <c r="H160" s="190">
        <f>SUMIFS(Budget!$E:$E,Budget!$C:$C,$C160,Budget!$D:$D,"&lt;&gt;Incentives",Budget!$A:$A,H$149)</f>
        <v>1094329</v>
      </c>
      <c r="I160" s="192">
        <f t="shared" ref="I160:I168" si="77">SUM(G160:H160)</f>
        <v>20784287</v>
      </c>
      <c r="J160" s="193">
        <f t="shared" si="67"/>
        <v>66700082.144144341</v>
      </c>
      <c r="K160" s="194">
        <f t="shared" si="70"/>
        <v>4.2091590221085928</v>
      </c>
    </row>
    <row r="161" spans="1:11" x14ac:dyDescent="0.25">
      <c r="A161" s="181">
        <v>2030</v>
      </c>
      <c r="B161" s="156"/>
      <c r="C161" s="151" t="s">
        <v>163</v>
      </c>
      <c r="D161" s="189">
        <f>SUMIFS('All Measure &amp; TRC+ Calc'!BJ:BJ,'All Measure &amp; TRC+ Calc'!$D:$D,$C161,'All Measure &amp; TRC+ Calc'!$B:$B,D$149)</f>
        <v>13973611.054878596</v>
      </c>
      <c r="E161" s="190">
        <f>SUMIFS('All Measure &amp; TRC+ Calc'!AY:AY,'All Measure &amp; TRC+ Calc'!$D:$D,$C161,'All Measure &amp; TRC+ Calc'!$B:$B,E$149)</f>
        <v>0</v>
      </c>
      <c r="F161" s="191">
        <f t="shared" si="76"/>
        <v>13973611.054878596</v>
      </c>
      <c r="G161" s="190">
        <f>SUMIFS(Budget!$E:$E,Budget!$C:$C,$C161,Budget!$D:$D,"Incentives",Budget!$A:$A,G$149)</f>
        <v>5320426</v>
      </c>
      <c r="H161" s="190">
        <f>SUMIFS(Budget!$E:$E,Budget!$C:$C,$C161,Budget!$D:$D,"&lt;&gt;Incentives",Budget!$A:$A,H$149)</f>
        <v>1102275</v>
      </c>
      <c r="I161" s="192">
        <f t="shared" si="77"/>
        <v>6422701</v>
      </c>
      <c r="J161" s="193">
        <f t="shared" si="67"/>
        <v>7550910.0548785962</v>
      </c>
      <c r="K161" s="194">
        <f t="shared" si="70"/>
        <v>2.1756595947528301</v>
      </c>
    </row>
    <row r="162" spans="1:11" x14ac:dyDescent="0.25">
      <c r="A162" s="181">
        <v>2030</v>
      </c>
      <c r="B162" s="156"/>
      <c r="C162" s="151" t="s">
        <v>164</v>
      </c>
      <c r="D162" s="189">
        <f>SUMIFS('All Measure &amp; TRC+ Calc'!BJ:BJ,'All Measure &amp; TRC+ Calc'!$D:$D,$C162,'All Measure &amp; TRC+ Calc'!$B:$B,D$149)</f>
        <v>23727751.503087245</v>
      </c>
      <c r="E162" s="190">
        <f>SUMIFS('All Measure &amp; TRC+ Calc'!AY:AY,'All Measure &amp; TRC+ Calc'!$D:$D,$C162,'All Measure &amp; TRC+ Calc'!$B:$B,E$149)</f>
        <v>0</v>
      </c>
      <c r="F162" s="191">
        <f t="shared" si="76"/>
        <v>23727751.503087245</v>
      </c>
      <c r="G162" s="190">
        <f>SUMIFS(Budget!$E:$E,Budget!$C:$C,$C162,Budget!$D:$D,"Incentives",Budget!$A:$A,G$149)</f>
        <v>12756070</v>
      </c>
      <c r="H162" s="190">
        <f>SUMIFS(Budget!$E:$E,Budget!$C:$C,$C162,Budget!$D:$D,"&lt;&gt;Incentives",Budget!$A:$A,H$149)</f>
        <v>1124168</v>
      </c>
      <c r="I162" s="192">
        <f t="shared" si="77"/>
        <v>13880238</v>
      </c>
      <c r="J162" s="193">
        <f t="shared" si="67"/>
        <v>9847513.5030872449</v>
      </c>
      <c r="K162" s="194">
        <f t="shared" si="70"/>
        <v>1.7094628711040289</v>
      </c>
    </row>
    <row r="163" spans="1:11" x14ac:dyDescent="0.25">
      <c r="A163" s="181">
        <v>2030</v>
      </c>
      <c r="B163" s="156"/>
      <c r="C163" s="151" t="s">
        <v>165</v>
      </c>
      <c r="D163" s="189">
        <f>SUMIFS('All Measure &amp; TRC+ Calc'!BJ:BJ,'All Measure &amp; TRC+ Calc'!$D:$D,$C163,'All Measure &amp; TRC+ Calc'!$B:$B,D$149)</f>
        <v>7441145.3419403937</v>
      </c>
      <c r="E163" s="190">
        <f>SUMIFS('All Measure &amp; TRC+ Calc'!AY:AY,'All Measure &amp; TRC+ Calc'!$D:$D,$C163,'All Measure &amp; TRC+ Calc'!$B:$B,E$149)</f>
        <v>0</v>
      </c>
      <c r="F163" s="191">
        <f t="shared" si="76"/>
        <v>7441145.3419403937</v>
      </c>
      <c r="G163" s="190">
        <f>SUMIFS(Budget!$E:$E,Budget!$C:$C,$C163,Budget!$D:$D,"Incentives",Budget!$A:$A,G$149)</f>
        <v>2980583</v>
      </c>
      <c r="H163" s="190">
        <f>SUMIFS(Budget!$E:$E,Budget!$C:$C,$C163,Budget!$D:$D,"&lt;&gt;Incentives",Budget!$A:$A,H$149)</f>
        <v>1627911</v>
      </c>
      <c r="I163" s="192">
        <f t="shared" si="77"/>
        <v>4608494</v>
      </c>
      <c r="J163" s="193">
        <f t="shared" si="67"/>
        <v>2832651.3419403937</v>
      </c>
      <c r="K163" s="194">
        <f t="shared" si="70"/>
        <v>1.6146587891706907</v>
      </c>
    </row>
    <row r="164" spans="1:11" x14ac:dyDescent="0.25">
      <c r="A164" s="181">
        <v>2030</v>
      </c>
      <c r="B164" s="156"/>
      <c r="C164" s="151" t="s">
        <v>166</v>
      </c>
      <c r="D164" s="189">
        <f>SUMIFS('All Measure &amp; TRC+ Calc'!BJ:BJ,'All Measure &amp; TRC+ Calc'!$D:$D,$C164,'All Measure &amp; TRC+ Calc'!$B:$B,D$149)</f>
        <v>505025.87049902009</v>
      </c>
      <c r="E164" s="190">
        <f>SUMIFS('All Measure &amp; TRC+ Calc'!AY:AY,'All Measure &amp; TRC+ Calc'!$D:$D,$C164,'All Measure &amp; TRC+ Calc'!$B:$B,E$149)</f>
        <v>0</v>
      </c>
      <c r="F164" s="191">
        <f t="shared" si="76"/>
        <v>505025.87049902009</v>
      </c>
      <c r="G164" s="190">
        <f>SUMIFS(Budget!$E:$E,Budget!$C:$C,$C164,Budget!$D:$D,"Incentives",Budget!$A:$A,G$149)</f>
        <v>452477</v>
      </c>
      <c r="H164" s="190">
        <f>SUMIFS(Budget!$E:$E,Budget!$C:$C,$C164,Budget!$D:$D,"&lt;&gt;Incentives",Budget!$A:$A,H$149)</f>
        <v>343814</v>
      </c>
      <c r="I164" s="192">
        <f t="shared" si="77"/>
        <v>796291</v>
      </c>
      <c r="J164" s="193">
        <f t="shared" si="67"/>
        <v>-291265.12950097991</v>
      </c>
      <c r="K164" s="194">
        <f t="shared" si="70"/>
        <v>0.6342227533640592</v>
      </c>
    </row>
    <row r="165" spans="1:11" x14ac:dyDescent="0.25">
      <c r="A165" s="181">
        <v>2030</v>
      </c>
      <c r="B165" s="156"/>
      <c r="C165" s="151" t="s">
        <v>167</v>
      </c>
      <c r="D165" s="189">
        <f>SUMIFS('All Measure &amp; TRC+ Calc'!BJ:BJ,'All Measure &amp; TRC+ Calc'!$D:$D,$C165,'All Measure &amp; TRC+ Calc'!$B:$B,D$149)</f>
        <v>766355.88090283773</v>
      </c>
      <c r="E165" s="190">
        <f>SUMIFS('All Measure &amp; TRC+ Calc'!AY:AY,'All Measure &amp; TRC+ Calc'!$D:$D,$C165,'All Measure &amp; TRC+ Calc'!$B:$B,E$149)</f>
        <v>0</v>
      </c>
      <c r="F165" s="191">
        <f t="shared" si="76"/>
        <v>766355.88090283773</v>
      </c>
      <c r="G165" s="190">
        <f>SUMIFS(Budget!$E:$E,Budget!$C:$C,$C165,Budget!$D:$D,"Incentives",Budget!$A:$A,G$149)</f>
        <v>427856</v>
      </c>
      <c r="H165" s="190">
        <f>SUMIFS(Budget!$E:$E,Budget!$C:$C,$C165,Budget!$D:$D,"&lt;&gt;Incentives",Budget!$A:$A,H$149)</f>
        <v>154289</v>
      </c>
      <c r="I165" s="192">
        <f t="shared" si="77"/>
        <v>582145</v>
      </c>
      <c r="J165" s="193">
        <f t="shared" si="67"/>
        <v>184210.88090283773</v>
      </c>
      <c r="K165" s="194">
        <f t="shared" si="70"/>
        <v>1.3164347042452271</v>
      </c>
    </row>
    <row r="166" spans="1:11" x14ac:dyDescent="0.25">
      <c r="A166" s="181">
        <v>2030</v>
      </c>
      <c r="B166" s="156"/>
      <c r="C166" s="151" t="s">
        <v>168</v>
      </c>
      <c r="D166" s="189">
        <f>SUMIFS('All Measure &amp; TRC+ Calc'!BJ:BJ,'All Measure &amp; TRC+ Calc'!$D:$D,$C166,'All Measure &amp; TRC+ Calc'!$B:$B,D$149)</f>
        <v>0</v>
      </c>
      <c r="E166" s="190">
        <f>SUMIFS('All Measure &amp; TRC+ Calc'!AY:AY,'All Measure &amp; TRC+ Calc'!$D:$D,$C166,'All Measure &amp; TRC+ Calc'!$B:$B,E$149)</f>
        <v>0</v>
      </c>
      <c r="F166" s="191">
        <f t="shared" si="76"/>
        <v>0</v>
      </c>
      <c r="G166" s="190">
        <f>SUMIFS(Budget!$E:$E,Budget!$C:$C,$C166,Budget!$D:$D,"Incentives",Budget!$A:$A,G$149)</f>
        <v>530604</v>
      </c>
      <c r="H166" s="190">
        <f>SUMIFS(Budget!$E:$E,Budget!$C:$C,$C166,Budget!$D:$D,"&lt;&gt;Incentives",Budget!$A:$A,H$149)</f>
        <v>294698</v>
      </c>
      <c r="I166" s="192">
        <f t="shared" si="77"/>
        <v>825302</v>
      </c>
      <c r="J166" s="193">
        <f t="shared" si="67"/>
        <v>-825302</v>
      </c>
      <c r="K166" s="194">
        <f t="shared" si="70"/>
        <v>0</v>
      </c>
    </row>
    <row r="167" spans="1:11" x14ac:dyDescent="0.25">
      <c r="A167" s="181">
        <v>2030</v>
      </c>
      <c r="B167" s="156"/>
      <c r="C167" s="151" t="s">
        <v>18</v>
      </c>
      <c r="D167" s="189">
        <f>SUMIFS('All Measure &amp; TRC+ Calc'!BJ:BJ,'All Measure &amp; TRC+ Calc'!$D:$D,$C167,'All Measure &amp; TRC+ Calc'!$B:$B,D$149)</f>
        <v>0</v>
      </c>
      <c r="E167" s="190">
        <f>SUMIFS('All Measure &amp; TRC+ Calc'!AY:AY,'All Measure &amp; TRC+ Calc'!$D:$D,$C167,'All Measure &amp; TRC+ Calc'!$B:$B,E$149)</f>
        <v>0</v>
      </c>
      <c r="F167" s="191">
        <f t="shared" si="76"/>
        <v>0</v>
      </c>
      <c r="G167" s="190">
        <f>SUMIFS(Budget!$E:$E,Budget!$C:$C,$C167,Budget!$D:$D,"Incentives",Budget!$A:$A,G$149)</f>
        <v>1910174</v>
      </c>
      <c r="H167" s="190">
        <f>SUMIFS(Budget!$E:$E,Budget!$C:$C,$C167,Budget!$D:$D,"&lt;&gt;Incentives",Budget!$A:$A,H$149)</f>
        <v>210499</v>
      </c>
      <c r="I167" s="192">
        <f t="shared" si="77"/>
        <v>2120673</v>
      </c>
      <c r="J167" s="193">
        <f t="shared" si="67"/>
        <v>-2120673</v>
      </c>
      <c r="K167" s="194">
        <f t="shared" si="70"/>
        <v>0</v>
      </c>
    </row>
    <row r="168" spans="1:11" x14ac:dyDescent="0.25">
      <c r="A168" s="181">
        <v>2030</v>
      </c>
      <c r="B168" s="156"/>
      <c r="C168" s="151" t="s">
        <v>19</v>
      </c>
      <c r="D168" s="195">
        <v>0</v>
      </c>
      <c r="E168" s="196">
        <v>0</v>
      </c>
      <c r="F168" s="197">
        <v>0</v>
      </c>
      <c r="G168" s="196">
        <f>SUMIFS(Budget!$E:$E,Budget!$C:$C,$C168,Budget!$D:$D,"Incentives",Budget!$A:$A,G$149)</f>
        <v>0</v>
      </c>
      <c r="H168" s="190">
        <f>SUMIFS(Budget!$E:$E,Budget!$C:$C,$C168,Budget!$D:$D,"&lt;&gt;Incentives",Budget!$A:$A,H$149)</f>
        <v>5817283</v>
      </c>
      <c r="I168" s="192">
        <f t="shared" si="77"/>
        <v>5817283</v>
      </c>
      <c r="J168" s="193">
        <f t="shared" si="67"/>
        <v>-5817283</v>
      </c>
      <c r="K168" s="198">
        <f t="shared" si="70"/>
        <v>0</v>
      </c>
    </row>
    <row r="169" spans="1:11" x14ac:dyDescent="0.25">
      <c r="A169" s="181">
        <v>2030</v>
      </c>
      <c r="B169" s="156"/>
      <c r="C169" s="152" t="s">
        <v>139</v>
      </c>
      <c r="D169" s="199">
        <f t="shared" ref="D169:I169" si="78">SUM(D170:D173)</f>
        <v>234748949.15275893</v>
      </c>
      <c r="E169" s="200">
        <f t="shared" si="78"/>
        <v>0</v>
      </c>
      <c r="F169" s="201">
        <f t="shared" si="78"/>
        <v>234748949.15275893</v>
      </c>
      <c r="G169" s="200">
        <f t="shared" si="78"/>
        <v>24851675</v>
      </c>
      <c r="H169" s="200">
        <f t="shared" si="78"/>
        <v>6592986</v>
      </c>
      <c r="I169" s="159">
        <f t="shared" si="78"/>
        <v>31444661</v>
      </c>
      <c r="J169" s="202">
        <f t="shared" si="67"/>
        <v>203304288.15275893</v>
      </c>
      <c r="K169" s="203">
        <f t="shared" si="70"/>
        <v>7.4654628699211907</v>
      </c>
    </row>
    <row r="170" spans="1:11" x14ac:dyDescent="0.25">
      <c r="A170" s="181">
        <v>2030</v>
      </c>
      <c r="B170" s="156"/>
      <c r="C170" s="151" t="s">
        <v>8</v>
      </c>
      <c r="D170" s="189">
        <f>SUMIFS('All Measure &amp; TRC+ Calc'!BJ:BJ,'All Measure &amp; TRC+ Calc'!$D:$D,$C170,'All Measure &amp; TRC+ Calc'!$B:$B,D$149)</f>
        <v>234748949.15275893</v>
      </c>
      <c r="E170" s="190">
        <f>SUMIFS('All Measure &amp; TRC+ Calc'!AY:AY,'All Measure &amp; TRC+ Calc'!$D:$D,$C170,'All Measure &amp; TRC+ Calc'!$B:$B,E$149)</f>
        <v>0</v>
      </c>
      <c r="F170" s="191">
        <f>SUM(D170:E170)</f>
        <v>234748949.15275893</v>
      </c>
      <c r="G170" s="190">
        <f>SUMIFS(Budget!$E:$E,Budget!$C:$C,$C170,Budget!$D:$D,"Incentives",Budget!$A:$A,G$149)</f>
        <v>22410897</v>
      </c>
      <c r="H170" s="190">
        <f>SUMIFS(Budget!$E:$E,Budget!$C:$C,$C170,Budget!$D:$D,"&lt;&gt;Incentives",Budget!$A:$A,H$149)</f>
        <v>1020919</v>
      </c>
      <c r="I170" s="192">
        <f t="shared" ref="I170" si="79">SUM(G170:H170)</f>
        <v>23431816</v>
      </c>
      <c r="J170" s="193">
        <f t="shared" si="67"/>
        <v>211317133.15275893</v>
      </c>
      <c r="K170" s="194">
        <f t="shared" si="70"/>
        <v>10.018384795816036</v>
      </c>
    </row>
    <row r="171" spans="1:11" x14ac:dyDescent="0.25">
      <c r="A171" s="181">
        <v>2030</v>
      </c>
      <c r="B171" s="156"/>
      <c r="C171" s="151" t="s">
        <v>24</v>
      </c>
      <c r="D171" s="189">
        <f>SUMIFS('All Measure &amp; TRC+ Calc'!BJ:BJ,'All Measure &amp; TRC+ Calc'!$D:$D,$C171,'All Measure &amp; TRC+ Calc'!$B:$B,D$149)</f>
        <v>0</v>
      </c>
      <c r="E171" s="190">
        <f>SUMIFS('All Measure &amp; TRC+ Calc'!AY:AY,'All Measure &amp; TRC+ Calc'!$D:$D,$C171,'All Measure &amp; TRC+ Calc'!$B:$B,E$5)</f>
        <v>0</v>
      </c>
      <c r="F171" s="191">
        <f t="shared" ref="F171:F172" si="80">SUM(D171:E171)</f>
        <v>0</v>
      </c>
      <c r="G171" s="190">
        <f>SUMIFS(Budget!$E:$E,Budget!$C:$C,$C171,Budget!$D:$D,"Incentives",Budget!$A:$A,G$149)</f>
        <v>1910174</v>
      </c>
      <c r="H171" s="190">
        <f>SUMIFS(Budget!$E:$E,Budget!$C:$C,$C171,Budget!$D:$D,"&lt;&gt;Incentives",Budget!$A:$A,H$149)</f>
        <v>210499</v>
      </c>
      <c r="I171" s="192">
        <f t="shared" ref="I171:I173" si="81">SUM(G171:H171)</f>
        <v>2120673</v>
      </c>
      <c r="J171" s="193">
        <f t="shared" si="67"/>
        <v>-2120673</v>
      </c>
      <c r="K171" s="194">
        <f t="shared" si="70"/>
        <v>0</v>
      </c>
    </row>
    <row r="172" spans="1:11" x14ac:dyDescent="0.25">
      <c r="A172" s="181">
        <v>2030</v>
      </c>
      <c r="B172" s="156"/>
      <c r="C172" s="151" t="s">
        <v>171</v>
      </c>
      <c r="D172" s="189">
        <f>SUMIFS('All Measure &amp; TRC+ Calc'!BJ:BJ,'All Measure &amp; TRC+ Calc'!$D:$D,$C172,'All Measure &amp; TRC+ Calc'!$B:$B,D$149)</f>
        <v>0</v>
      </c>
      <c r="E172" s="190">
        <f>SUMIFS('All Measure &amp; TRC+ Calc'!AY:AY,'All Measure &amp; TRC+ Calc'!$D:$D,$C172,'All Measure &amp; TRC+ Calc'!$B:$B,E$5)</f>
        <v>0</v>
      </c>
      <c r="F172" s="191">
        <f t="shared" si="80"/>
        <v>0</v>
      </c>
      <c r="G172" s="190">
        <f>SUMIFS(Budget!$E:$E,Budget!$C:$C,$C172,Budget!$D:$D,"Incentives",Budget!$A:$A,G$149)</f>
        <v>530604</v>
      </c>
      <c r="H172" s="190">
        <f>SUMIFS(Budget!$E:$E,Budget!$C:$C,$C172,Budget!$D:$D,"&lt;&gt;Incentives",Budget!$A:$A,H$149)</f>
        <v>294698</v>
      </c>
      <c r="I172" s="192">
        <f t="shared" si="81"/>
        <v>825302</v>
      </c>
      <c r="J172" s="193">
        <f t="shared" si="67"/>
        <v>-825302</v>
      </c>
      <c r="K172" s="194">
        <f t="shared" si="70"/>
        <v>0</v>
      </c>
    </row>
    <row r="173" spans="1:11" x14ac:dyDescent="0.25">
      <c r="A173" s="181">
        <v>2030</v>
      </c>
      <c r="B173" s="156"/>
      <c r="C173" s="151" t="s">
        <v>25</v>
      </c>
      <c r="D173" s="195">
        <v>0</v>
      </c>
      <c r="E173" s="196">
        <v>0</v>
      </c>
      <c r="F173" s="197">
        <v>0</v>
      </c>
      <c r="G173" s="196">
        <f>SUMIFS(Budget!$E:$E,Budget!$C:$C,$C173,Budget!$D:$D,"Incentives",Budget!$A:$A,G$5)</f>
        <v>0</v>
      </c>
      <c r="H173" s="190">
        <f>SUMIFS(Budget!$E:$E,Budget!$C:$C,$C173,Budget!$D:$D,"&lt;&gt;Incentives",Budget!$A:$A,H$149)</f>
        <v>5066870</v>
      </c>
      <c r="I173" s="192">
        <f t="shared" si="81"/>
        <v>5066870</v>
      </c>
      <c r="J173" s="193">
        <f t="shared" si="67"/>
        <v>-5066870</v>
      </c>
      <c r="K173" s="198">
        <f t="shared" si="70"/>
        <v>0</v>
      </c>
    </row>
    <row r="174" spans="1:11" x14ac:dyDescent="0.25">
      <c r="A174" s="181">
        <v>2030</v>
      </c>
      <c r="B174" s="156"/>
      <c r="C174" s="152" t="s">
        <v>137</v>
      </c>
      <c r="D174" s="199">
        <f t="shared" ref="D174:I174" si="82">SUM(D175:D177)</f>
        <v>24307566.685361199</v>
      </c>
      <c r="E174" s="200">
        <f t="shared" si="82"/>
        <v>0</v>
      </c>
      <c r="F174" s="201">
        <f t="shared" si="82"/>
        <v>24307566.685361199</v>
      </c>
      <c r="G174" s="200">
        <f t="shared" si="82"/>
        <v>27703220</v>
      </c>
      <c r="H174" s="200">
        <f t="shared" si="82"/>
        <v>7953603</v>
      </c>
      <c r="I174" s="159">
        <f t="shared" si="82"/>
        <v>35656823</v>
      </c>
      <c r="J174" s="202">
        <f t="shared" si="67"/>
        <v>-11349256.314638801</v>
      </c>
      <c r="K174" s="203">
        <f t="shared" si="70"/>
        <v>0.68170870650369497</v>
      </c>
    </row>
    <row r="175" spans="1:11" x14ac:dyDescent="0.25">
      <c r="A175" s="181">
        <v>2030</v>
      </c>
      <c r="B175" s="156"/>
      <c r="C175" s="151" t="s">
        <v>22</v>
      </c>
      <c r="D175" s="189">
        <f>SUMIFS('All Measure &amp; TRC+ Calc'!BJ:BJ,'All Measure &amp; TRC+ Calc'!$D:$D,$C175,'All Measure &amp; TRC+ Calc'!$B:$B,D$149)</f>
        <v>13871281.337383885</v>
      </c>
      <c r="E175" s="190">
        <f>SUMIFS('All Measure &amp; TRC+ Calc'!AY:AY,'All Measure &amp; TRC+ Calc'!$D:$D,$C175,'All Measure &amp; TRC+ Calc'!$B:$B,E$149)</f>
        <v>0</v>
      </c>
      <c r="F175" s="191">
        <f>SUM(D175:E175)</f>
        <v>13871281.337383885</v>
      </c>
      <c r="G175" s="190">
        <f>SUMIFS(Budget!$E:$E,Budget!$C:$C,$C175,Budget!$D:$D,"Incentives",Budget!$A:$A,G$149)</f>
        <v>18400631</v>
      </c>
      <c r="H175" s="190">
        <f>SUMIFS(Budget!$E:$E,Budget!$C:$C,$C175,Budget!$D:$D,"&lt;&gt;Incentives",Budget!$A:$A,H$149)</f>
        <v>4503172</v>
      </c>
      <c r="I175" s="192">
        <f>SUM(G175:H175)</f>
        <v>22903803</v>
      </c>
      <c r="J175" s="193">
        <f t="shared" si="67"/>
        <v>-9032521.6626161151</v>
      </c>
      <c r="K175" s="194">
        <f t="shared" si="70"/>
        <v>0.60563223222728058</v>
      </c>
    </row>
    <row r="176" spans="1:11" x14ac:dyDescent="0.25">
      <c r="A176" s="181">
        <v>2030</v>
      </c>
      <c r="B176" s="156"/>
      <c r="C176" s="151" t="s">
        <v>21</v>
      </c>
      <c r="D176" s="189">
        <f>SUMIFS('All Measure &amp; TRC+ Calc'!BJ:BJ,'All Measure &amp; TRC+ Calc'!$D:$D,$C176,'All Measure &amp; TRC+ Calc'!$B:$B,D$149)</f>
        <v>10436285.347977316</v>
      </c>
      <c r="E176" s="190">
        <f>SUMIFS('All Measure &amp; TRC+ Calc'!AY:AY,'All Measure &amp; TRC+ Calc'!$D:$D,$C176,'All Measure &amp; TRC+ Calc'!$B:$B,E$149)</f>
        <v>0</v>
      </c>
      <c r="F176" s="191">
        <f>SUM(D176:E176)</f>
        <v>10436285.347977316</v>
      </c>
      <c r="G176" s="190">
        <f>SUMIFS(Budget!$E:$E,Budget!$C:$C,$C176,Budget!$D:$D,"Incentives",Budget!$A:$A,G$149)</f>
        <v>9302589</v>
      </c>
      <c r="H176" s="190">
        <f>SUMIFS(Budget!$E:$E,Budget!$C:$C,$C176,Budget!$D:$D,"&lt;&gt;Incentives",Budget!$A:$A,H$149)</f>
        <v>1515590</v>
      </c>
      <c r="I176" s="192">
        <f>SUM(G176:H176)</f>
        <v>10818179</v>
      </c>
      <c r="J176" s="193">
        <f t="shared" si="67"/>
        <v>-381893.65202268399</v>
      </c>
      <c r="K176" s="194">
        <f t="shared" si="70"/>
        <v>0.96469889691946453</v>
      </c>
    </row>
    <row r="177" spans="1:11" x14ac:dyDescent="0.25">
      <c r="A177" s="181">
        <v>2030</v>
      </c>
      <c r="B177" s="156"/>
      <c r="C177" s="151" t="s">
        <v>23</v>
      </c>
      <c r="D177" s="195">
        <v>0</v>
      </c>
      <c r="E177" s="196">
        <v>0</v>
      </c>
      <c r="F177" s="197">
        <v>0</v>
      </c>
      <c r="G177" s="196">
        <f>SUMIFS(Budget!$E:$E,Budget!$C:$C,$C177,Budget!$D:$D,"Incentives",Budget!$A:$A,G$149)</f>
        <v>0</v>
      </c>
      <c r="H177" s="190">
        <f>SUMIFS(Budget!$E:$E,Budget!$C:$C,$C177,Budget!$D:$D,"&lt;&gt;Incentives",Budget!$A:$A,H$149)</f>
        <v>1934841</v>
      </c>
      <c r="I177" s="192">
        <f>SUM(G177:H177)</f>
        <v>1934841</v>
      </c>
      <c r="J177" s="193">
        <f t="shared" si="67"/>
        <v>-1934841</v>
      </c>
      <c r="K177" s="198">
        <f t="shared" si="70"/>
        <v>0</v>
      </c>
    </row>
    <row r="178" spans="1:11" x14ac:dyDescent="0.25">
      <c r="A178" s="181">
        <v>2030</v>
      </c>
      <c r="B178" s="156"/>
      <c r="C178" s="152" t="s">
        <v>140</v>
      </c>
      <c r="D178" s="199">
        <f t="shared" ref="D178:I178" si="83">SUM(D179:D180)</f>
        <v>56864910.938045777</v>
      </c>
      <c r="E178" s="200">
        <f t="shared" si="83"/>
        <v>0</v>
      </c>
      <c r="F178" s="201">
        <f t="shared" si="83"/>
        <v>56864910.938045777</v>
      </c>
      <c r="G178" s="200">
        <f t="shared" si="83"/>
        <v>3579743</v>
      </c>
      <c r="H178" s="200">
        <f t="shared" si="83"/>
        <v>316742</v>
      </c>
      <c r="I178" s="159">
        <f t="shared" si="83"/>
        <v>3896485</v>
      </c>
      <c r="J178" s="202">
        <f t="shared" si="67"/>
        <v>52968425.938045777</v>
      </c>
      <c r="K178" s="203">
        <f t="shared" si="70"/>
        <v>14.593899614151159</v>
      </c>
    </row>
    <row r="179" spans="1:11" x14ac:dyDescent="0.25">
      <c r="A179" s="181">
        <v>2030</v>
      </c>
      <c r="B179" s="156"/>
      <c r="C179" s="151" t="s">
        <v>27</v>
      </c>
      <c r="D179" s="189">
        <f>SUMIFS('All Measure &amp; TRC+ Calc'!BJ:BJ,'All Measure &amp; TRC+ Calc'!$D:$D,$C179,'All Measure &amp; TRC+ Calc'!$B:$B,D$149)</f>
        <v>56864910.938045777</v>
      </c>
      <c r="E179" s="190">
        <f>SUMIFS('All Measure &amp; TRC+ Calc'!AY:AY,'All Measure &amp; TRC+ Calc'!$D:$D,$C179,'All Measure &amp; TRC+ Calc'!$B:$B,E$149)</f>
        <v>0</v>
      </c>
      <c r="F179" s="191">
        <f>SUM(D179:E179)</f>
        <v>56864910.938045777</v>
      </c>
      <c r="G179" s="190">
        <f>SUMIFS(Budget!$E:$E,Budget!$C:$C,$C179,Budget!$D:$D,"Incentives",Budget!$A:$A,G$149)</f>
        <v>3579743</v>
      </c>
      <c r="H179" s="190">
        <f>SUMIFS(Budget!$E:$E,Budget!$C:$C,$C179,Budget!$D:$D,"&lt;&gt;Incentives",Budget!$A:$A,H$149)</f>
        <v>26312</v>
      </c>
      <c r="I179" s="192">
        <f>SUM(G179:H179)</f>
        <v>3606055</v>
      </c>
      <c r="J179" s="193">
        <f t="shared" si="67"/>
        <v>53258855.938045777</v>
      </c>
      <c r="K179" s="194">
        <f t="shared" si="70"/>
        <v>15.76928553170869</v>
      </c>
    </row>
    <row r="180" spans="1:11" x14ac:dyDescent="0.25">
      <c r="A180" s="181">
        <v>2030</v>
      </c>
      <c r="B180" s="156"/>
      <c r="C180" s="151" t="s">
        <v>28</v>
      </c>
      <c r="D180" s="195">
        <v>0</v>
      </c>
      <c r="E180" s="196">
        <v>0</v>
      </c>
      <c r="F180" s="197">
        <v>0</v>
      </c>
      <c r="G180" s="196">
        <f>SUMIFS(Budget!$E:$E,Budget!$C:$C,$C180,Budget!$D:$D,"Incentives",Budget!$A:$A,G$149)</f>
        <v>0</v>
      </c>
      <c r="H180" s="190">
        <f>SUMIFS(Budget!$E:$E,Budget!$C:$C,$C180,Budget!$D:$D,"&lt;&gt;Incentives",Budget!$A:$A,H$149)</f>
        <v>290430</v>
      </c>
      <c r="I180" s="192">
        <f>SUM(G180:H180)</f>
        <v>290430</v>
      </c>
      <c r="J180" s="193">
        <f t="shared" si="67"/>
        <v>-290430</v>
      </c>
      <c r="K180" s="198">
        <f t="shared" si="70"/>
        <v>0</v>
      </c>
    </row>
    <row r="181" spans="1:11" x14ac:dyDescent="0.25">
      <c r="A181" s="181">
        <v>2030</v>
      </c>
      <c r="B181" s="156"/>
      <c r="C181" s="152" t="s">
        <v>187</v>
      </c>
      <c r="D181" s="204">
        <f t="shared" ref="D181" si="84">SUM(D182:D189)</f>
        <v>0</v>
      </c>
      <c r="E181" s="205">
        <f t="shared" ref="E181" si="85">SUM(E182:E189)</f>
        <v>0</v>
      </c>
      <c r="F181" s="206">
        <f t="shared" ref="F181" si="86">SUM(F182:F189)</f>
        <v>0</v>
      </c>
      <c r="G181" s="205">
        <f>SUM(G182:G189)</f>
        <v>0</v>
      </c>
      <c r="H181" s="200">
        <f>SUM(H182:H189)</f>
        <v>18353209</v>
      </c>
      <c r="I181" s="159">
        <f>SUM(I182:I189)</f>
        <v>18353209</v>
      </c>
      <c r="J181" s="202">
        <f t="shared" si="67"/>
        <v>-18353209</v>
      </c>
      <c r="K181" s="203">
        <f t="shared" si="70"/>
        <v>0</v>
      </c>
    </row>
    <row r="182" spans="1:11" x14ac:dyDescent="0.25">
      <c r="A182" s="181">
        <v>2030</v>
      </c>
      <c r="B182" s="156"/>
      <c r="C182" s="151" t="s">
        <v>30</v>
      </c>
      <c r="D182" s="195">
        <v>0</v>
      </c>
      <c r="E182" s="196">
        <v>0</v>
      </c>
      <c r="F182" s="197">
        <v>0</v>
      </c>
      <c r="G182" s="196">
        <f>SUMIFS(Budget!$E:$E,Budget!$C:$C,$C182,Budget!$D:$D,"Incentives",Budget!$A:$A,G$149)</f>
        <v>0</v>
      </c>
      <c r="H182" s="190">
        <f>SUMIFS(Budget!$E:$E,Budget!$C:$C,$C182,Budget!$D:$D,"&lt;&gt;Incentives",Budget!$A:$A,H$149)</f>
        <v>8108038</v>
      </c>
      <c r="I182" s="192">
        <f t="shared" ref="I182:I189" si="87">SUM(G182:H182)</f>
        <v>8108038</v>
      </c>
      <c r="J182" s="193">
        <f t="shared" si="67"/>
        <v>-8108038</v>
      </c>
      <c r="K182" s="198">
        <f t="shared" si="70"/>
        <v>0</v>
      </c>
    </row>
    <row r="183" spans="1:11" x14ac:dyDescent="0.25">
      <c r="A183" s="181">
        <v>2030</v>
      </c>
      <c r="B183" s="156"/>
      <c r="C183" s="151" t="s">
        <v>32</v>
      </c>
      <c r="D183" s="195">
        <v>0</v>
      </c>
      <c r="E183" s="196">
        <v>0</v>
      </c>
      <c r="F183" s="197">
        <v>0</v>
      </c>
      <c r="G183" s="196">
        <f>SUMIFS(Budget!$E:$E,Budget!$C:$C,$C183,Budget!$D:$D,"Incentives",Budget!$A:$A,G$149)</f>
        <v>0</v>
      </c>
      <c r="H183" s="190">
        <f>SUMIFS(Budget!$E:$E,Budget!$C:$C,$C183,Budget!$D:$D,"&lt;&gt;Incentives",Budget!$A:$A,H$149)</f>
        <v>1455596</v>
      </c>
      <c r="I183" s="192">
        <f t="shared" si="87"/>
        <v>1455596</v>
      </c>
      <c r="J183" s="193">
        <f t="shared" si="67"/>
        <v>-1455596</v>
      </c>
      <c r="K183" s="198">
        <f t="shared" si="70"/>
        <v>0</v>
      </c>
    </row>
    <row r="184" spans="1:11" x14ac:dyDescent="0.25">
      <c r="A184" s="181">
        <v>2030</v>
      </c>
      <c r="B184" s="156"/>
      <c r="C184" s="151" t="s">
        <v>177</v>
      </c>
      <c r="D184" s="195">
        <v>0</v>
      </c>
      <c r="E184" s="196">
        <v>0</v>
      </c>
      <c r="F184" s="197">
        <v>0</v>
      </c>
      <c r="G184" s="196">
        <f>SUMIFS(Budget!$E:$E,Budget!$C:$C,$C184,Budget!$D:$D,"Incentives",Budget!$A:$A,G$149)</f>
        <v>0</v>
      </c>
      <c r="H184" s="190">
        <f>SUMIFS(Budget!$E:$E,Budget!$C:$C,$C184,Budget!$D:$D,"&lt;&gt;Incentives",Budget!$A:$A,H$149)</f>
        <v>642020</v>
      </c>
      <c r="I184" s="192">
        <f t="shared" si="87"/>
        <v>642020</v>
      </c>
      <c r="J184" s="193">
        <f t="shared" si="67"/>
        <v>-642020</v>
      </c>
      <c r="K184" s="198">
        <f t="shared" si="70"/>
        <v>0</v>
      </c>
    </row>
    <row r="185" spans="1:11" x14ac:dyDescent="0.25">
      <c r="A185" s="181">
        <v>2030</v>
      </c>
      <c r="B185" s="156"/>
      <c r="C185" s="151" t="s">
        <v>34</v>
      </c>
      <c r="D185" s="195">
        <v>0</v>
      </c>
      <c r="E185" s="196">
        <v>0</v>
      </c>
      <c r="F185" s="197">
        <v>0</v>
      </c>
      <c r="G185" s="196">
        <f>SUMIFS(Budget!$E:$E,Budget!$C:$C,$C185,Budget!$D:$D,"Incentives",Budget!$A:$A,G$149)</f>
        <v>0</v>
      </c>
      <c r="H185" s="190">
        <f>SUMIFS(Budget!$E:$E,Budget!$C:$C,$C185,Budget!$D:$D,"&lt;&gt;Incentives",Budget!$A:$A,H$149)</f>
        <v>3262727</v>
      </c>
      <c r="I185" s="192">
        <f t="shared" si="87"/>
        <v>3262727</v>
      </c>
      <c r="J185" s="193">
        <f t="shared" si="67"/>
        <v>-3262727</v>
      </c>
      <c r="K185" s="198">
        <f t="shared" si="70"/>
        <v>0</v>
      </c>
    </row>
    <row r="186" spans="1:11" x14ac:dyDescent="0.25">
      <c r="A186" s="181">
        <v>2030</v>
      </c>
      <c r="B186" s="156"/>
      <c r="C186" s="151" t="s">
        <v>36</v>
      </c>
      <c r="D186" s="195">
        <v>0</v>
      </c>
      <c r="E186" s="196">
        <v>0</v>
      </c>
      <c r="F186" s="197">
        <v>0</v>
      </c>
      <c r="G186" s="196">
        <f>SUMIFS(Budget!$E:$E,Budget!$C:$C,$C186,Budget!$D:$D,"Incentives",Budget!$A:$A,G$149)</f>
        <v>0</v>
      </c>
      <c r="H186" s="190">
        <f>SUMIFS(Budget!$E:$E,Budget!$C:$C,$C186,Budget!$D:$D,"&lt;&gt;Incentives",Budget!$A:$A,H$149)</f>
        <v>871464</v>
      </c>
      <c r="I186" s="192">
        <f t="shared" si="87"/>
        <v>871464</v>
      </c>
      <c r="J186" s="193">
        <f t="shared" si="67"/>
        <v>-871464</v>
      </c>
      <c r="K186" s="198">
        <f t="shared" si="70"/>
        <v>0</v>
      </c>
    </row>
    <row r="187" spans="1:11" x14ac:dyDescent="0.25">
      <c r="A187" s="181">
        <v>2030</v>
      </c>
      <c r="B187" s="156"/>
      <c r="C187" s="151" t="s">
        <v>35</v>
      </c>
      <c r="D187" s="195">
        <v>0</v>
      </c>
      <c r="E187" s="196">
        <v>0</v>
      </c>
      <c r="F187" s="197">
        <v>0</v>
      </c>
      <c r="G187" s="196">
        <f>SUMIFS(Budget!$E:$E,Budget!$C:$C,$C187,Budget!$D:$D,"Incentives",Budget!$A:$A,G$149)</f>
        <v>0</v>
      </c>
      <c r="H187" s="190">
        <f>SUMIFS(Budget!$E:$E,Budget!$C:$C,$C187,Budget!$D:$D,"&lt;&gt;Incentives",Budget!$A:$A,H$149)</f>
        <v>620971</v>
      </c>
      <c r="I187" s="192">
        <f t="shared" si="87"/>
        <v>620971</v>
      </c>
      <c r="J187" s="193">
        <f t="shared" si="67"/>
        <v>-620971</v>
      </c>
      <c r="K187" s="198">
        <f t="shared" si="70"/>
        <v>0</v>
      </c>
    </row>
    <row r="188" spans="1:11" x14ac:dyDescent="0.25">
      <c r="A188" s="181">
        <v>2030</v>
      </c>
      <c r="B188" s="156"/>
      <c r="C188" s="151" t="s">
        <v>38</v>
      </c>
      <c r="D188" s="195">
        <v>0</v>
      </c>
      <c r="E188" s="196">
        <v>0</v>
      </c>
      <c r="F188" s="197">
        <v>0</v>
      </c>
      <c r="G188" s="196">
        <f>SUMIFS(Budget!$E:$E,Budget!$C:$C,$C188,Budget!$D:$D,"Incentives",Budget!$A:$A,G$149)</f>
        <v>0</v>
      </c>
      <c r="H188" s="190">
        <f>SUMIFS(Budget!$E:$E,Budget!$C:$C,$C188,Budget!$D:$D,"&lt;&gt;Incentives",Budget!$A:$A,H$149)</f>
        <v>3392393</v>
      </c>
      <c r="I188" s="192">
        <f t="shared" si="87"/>
        <v>3392393</v>
      </c>
      <c r="J188" s="193">
        <f t="shared" si="67"/>
        <v>-3392393</v>
      </c>
      <c r="K188" s="198">
        <f t="shared" si="70"/>
        <v>0</v>
      </c>
    </row>
    <row r="189" spans="1:11" ht="13.5" thickBot="1" x14ac:dyDescent="0.3">
      <c r="A189" s="181">
        <v>2030</v>
      </c>
      <c r="B189" s="156"/>
      <c r="C189" s="219" t="s">
        <v>178</v>
      </c>
      <c r="D189" s="208">
        <v>0</v>
      </c>
      <c r="E189" s="209">
        <v>0</v>
      </c>
      <c r="F189" s="210">
        <v>0</v>
      </c>
      <c r="G189" s="209">
        <f>SUMIFS(Budget!$E:$E,Budget!$C:$C,$C189,Budget!$D:$D,"Incentives",Budget!$A:$A,G$149)</f>
        <v>0</v>
      </c>
      <c r="H189" s="211">
        <f>SUMIFS(Budget!$E:$E,Budget!$C:$C,$C189,Budget!$D:$D,"&lt;&gt;Incentives",Budget!$A:$A,H$149)</f>
        <v>0</v>
      </c>
      <c r="I189" s="212">
        <f t="shared" si="87"/>
        <v>0</v>
      </c>
      <c r="J189" s="213">
        <f t="shared" si="67"/>
        <v>0</v>
      </c>
      <c r="K189" s="214">
        <f t="shared" si="70"/>
        <v>0</v>
      </c>
    </row>
    <row r="190" spans="1:11" ht="13.5" thickTop="1" x14ac:dyDescent="0.25">
      <c r="A190" s="181">
        <v>2030</v>
      </c>
      <c r="B190" s="156"/>
      <c r="C190" s="172" t="s">
        <v>131</v>
      </c>
      <c r="D190" s="216">
        <f t="shared" ref="D190:I190" si="88">SUM(D151,D159,D169,D174,D178,D181)</f>
        <v>540012232.95021856</v>
      </c>
      <c r="E190" s="216">
        <f t="shared" si="88"/>
        <v>0</v>
      </c>
      <c r="F190" s="216">
        <f t="shared" si="88"/>
        <v>540012232.95021856</v>
      </c>
      <c r="G190" s="216">
        <f t="shared" si="88"/>
        <v>166234535</v>
      </c>
      <c r="H190" s="216">
        <f t="shared" si="88"/>
        <v>60490266</v>
      </c>
      <c r="I190" s="216">
        <f t="shared" si="88"/>
        <v>226724801</v>
      </c>
      <c r="J190" s="216">
        <f t="shared" si="67"/>
        <v>313287431.95021856</v>
      </c>
      <c r="K190" s="217">
        <f t="shared" si="70"/>
        <v>2.3817960389354078</v>
      </c>
    </row>
    <row r="191" spans="1:11" x14ac:dyDescent="0.25">
      <c r="C191" s="136" t="s">
        <v>229</v>
      </c>
      <c r="D191" s="258">
        <f>SUM(D151,D159,D169,D174,D178)</f>
        <v>540012232.95021856</v>
      </c>
      <c r="E191" s="258">
        <f t="shared" ref="E191:I191" si="89">SUM(E151,E159,E169,E174,E178)</f>
        <v>0</v>
      </c>
      <c r="F191" s="258">
        <f t="shared" si="89"/>
        <v>540012232.95021856</v>
      </c>
      <c r="G191" s="258">
        <f t="shared" si="89"/>
        <v>166234535</v>
      </c>
      <c r="H191" s="258">
        <f t="shared" si="89"/>
        <v>42137057</v>
      </c>
      <c r="I191" s="258">
        <f t="shared" si="89"/>
        <v>208371592</v>
      </c>
      <c r="J191" s="258">
        <f t="shared" si="67"/>
        <v>331640640.95021856</v>
      </c>
      <c r="K191" s="259">
        <f t="shared" si="70"/>
        <v>2.5915827957499049</v>
      </c>
    </row>
  </sheetData>
  <mergeCells count="8">
    <mergeCell ref="D148:F148"/>
    <mergeCell ref="G148:I148"/>
    <mergeCell ref="D4:F4"/>
    <mergeCell ref="G4:I4"/>
    <mergeCell ref="D52:F52"/>
    <mergeCell ref="G52:I52"/>
    <mergeCell ref="D100:F100"/>
    <mergeCell ref="G100:I100"/>
  </mergeCells>
  <phoneticPr fontId="62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0CBFC-D7CC-486E-A619-4F40F04FC114}">
  <sheetPr codeName="Sheet6"/>
  <dimension ref="B2:Y61"/>
  <sheetViews>
    <sheetView showGridLines="0" zoomScale="70" zoomScaleNormal="70" workbookViewId="0"/>
  </sheetViews>
  <sheetFormatPr defaultRowHeight="15" x14ac:dyDescent="0.25"/>
  <cols>
    <col min="3" max="3" width="35.140625" bestFit="1" customWidth="1"/>
    <col min="4" max="6" width="14.85546875" customWidth="1"/>
    <col min="7" max="7" width="5.7109375" customWidth="1"/>
    <col min="8" max="9" width="14.85546875" customWidth="1"/>
    <col min="10" max="10" width="5.7109375" customWidth="1"/>
    <col min="11" max="12" width="14.85546875" customWidth="1"/>
    <col min="13" max="13" width="16" customWidth="1"/>
    <col min="14" max="18" width="10.42578125" customWidth="1"/>
    <col min="19" max="19" width="13.5703125" customWidth="1"/>
    <col min="20" max="20" width="13.85546875" customWidth="1"/>
    <col min="21" max="21" width="9.140625" bestFit="1" customWidth="1"/>
    <col min="22" max="22" width="14.85546875" customWidth="1"/>
    <col min="23" max="25" width="15.5703125" customWidth="1"/>
  </cols>
  <sheetData>
    <row r="2" spans="2:25" ht="18.75" x14ac:dyDescent="0.3">
      <c r="C2" s="6">
        <v>2026</v>
      </c>
      <c r="K2" s="7"/>
      <c r="L2" s="7"/>
      <c r="M2" s="7"/>
      <c r="N2" s="7"/>
      <c r="O2" s="7"/>
      <c r="P2" s="7"/>
      <c r="Q2" s="7"/>
      <c r="R2" s="7"/>
      <c r="S2" s="7"/>
      <c r="T2" s="7"/>
      <c r="V2" s="7"/>
      <c r="W2" s="7"/>
      <c r="X2" s="7"/>
      <c r="Y2" s="7"/>
    </row>
    <row r="3" spans="2:25" x14ac:dyDescent="0.25">
      <c r="D3" s="8"/>
      <c r="E3" s="3" t="s">
        <v>196</v>
      </c>
      <c r="F3" s="8"/>
      <c r="H3" s="8" t="s">
        <v>134</v>
      </c>
      <c r="I3" s="8"/>
      <c r="K3" s="3" t="s">
        <v>197</v>
      </c>
      <c r="L3" s="3"/>
      <c r="M3" s="8" t="s">
        <v>198</v>
      </c>
      <c r="N3" s="8"/>
      <c r="O3" s="8" t="s">
        <v>127</v>
      </c>
      <c r="P3" s="8"/>
      <c r="Q3" s="8" t="s">
        <v>128</v>
      </c>
      <c r="R3" s="8"/>
      <c r="S3" s="8" t="s">
        <v>199</v>
      </c>
      <c r="T3" s="8"/>
      <c r="V3" s="8" t="s">
        <v>197</v>
      </c>
      <c r="W3" s="8" t="s">
        <v>126</v>
      </c>
      <c r="X3" s="8" t="s">
        <v>127</v>
      </c>
      <c r="Y3" s="8" t="s">
        <v>128</v>
      </c>
    </row>
    <row r="4" spans="2:25" x14ac:dyDescent="0.25">
      <c r="D4" s="3"/>
      <c r="E4" s="3" t="s">
        <v>200</v>
      </c>
      <c r="F4" s="3" t="s">
        <v>201</v>
      </c>
      <c r="H4" s="3" t="s">
        <v>200</v>
      </c>
      <c r="I4" s="3" t="s">
        <v>201</v>
      </c>
      <c r="K4" s="3" t="s">
        <v>202</v>
      </c>
      <c r="L4" s="3" t="s">
        <v>203</v>
      </c>
      <c r="M4" s="3" t="s">
        <v>202</v>
      </c>
      <c r="N4" s="3" t="s">
        <v>203</v>
      </c>
      <c r="O4" s="3" t="s">
        <v>202</v>
      </c>
      <c r="P4" s="3" t="s">
        <v>203</v>
      </c>
      <c r="Q4" s="3" t="s">
        <v>202</v>
      </c>
      <c r="R4" s="3" t="s">
        <v>203</v>
      </c>
      <c r="S4" s="3" t="s">
        <v>202</v>
      </c>
      <c r="T4" s="3" t="s">
        <v>203</v>
      </c>
      <c r="V4" s="3"/>
      <c r="W4" s="3"/>
      <c r="X4" s="3"/>
      <c r="Y4" s="3"/>
    </row>
    <row r="5" spans="2:25" x14ac:dyDescent="0.25">
      <c r="B5">
        <v>2026</v>
      </c>
      <c r="C5" t="s">
        <v>9</v>
      </c>
      <c r="D5" s="2"/>
      <c r="E5" s="11">
        <f>SUMIFS('All Measure &amp; TRC+ Calc'!$AR:$AR,'All Measure &amp; TRC+ Calc'!$D:$D,$C5,'All Measure &amp; TRC+ Calc'!$B:$B,$B5)</f>
        <v>0</v>
      </c>
      <c r="F5" s="11">
        <f>SUMIFS('All Measure &amp; TRC+ Calc'!$AE:$AE,'All Measure &amp; TRC+ Calc'!$D:$D,$C5,'All Measure &amp; TRC+ Calc'!$B:$B,$B5)-E5</f>
        <v>0</v>
      </c>
      <c r="H5" s="5">
        <f>(K5*$V5)+(M5*$W5)+(O5*$X5)+(Q5*$Y5)</f>
        <v>0</v>
      </c>
      <c r="I5" s="5">
        <f>(L5*$V5)+(N5*$W5)+(P5*$X5)+(R5*$Y5)</f>
        <v>0</v>
      </c>
      <c r="K5" s="9">
        <v>0.88821487231907048</v>
      </c>
      <c r="L5" s="2">
        <f t="shared" ref="L5:L12" si="0">1-K5</f>
        <v>0.11178512768092952</v>
      </c>
      <c r="M5" s="9">
        <v>0.87565106411992499</v>
      </c>
      <c r="N5" s="2">
        <f t="shared" ref="N5:N12" si="1">1-M5</f>
        <v>0.12434893588007501</v>
      </c>
      <c r="O5" s="9">
        <v>0.84409477925342036</v>
      </c>
      <c r="P5" s="2">
        <f t="shared" ref="P5:P12" si="2">1-O5</f>
        <v>0.15590522074657964</v>
      </c>
      <c r="Q5" s="9">
        <v>0.42375747334576097</v>
      </c>
      <c r="R5" s="2">
        <f t="shared" ref="R5:R12" si="3">1-Q5</f>
        <v>0.57624252665423903</v>
      </c>
      <c r="S5" s="9">
        <v>0.83768107081888388</v>
      </c>
      <c r="T5" s="2">
        <f t="shared" ref="T5:T12" si="4">1-S5</f>
        <v>0.16231892918111612</v>
      </c>
      <c r="V5" s="10">
        <f>SUMIFS('All Measure &amp; TRC+ Calc'!AE:AE,'All Measure &amp; TRC+ Calc'!B:B,B5,'All Measure &amp; TRC+ Calc'!D:D,C5)</f>
        <v>0</v>
      </c>
      <c r="W5" s="10">
        <f>SUMIFS(Budget!$E:$E,Budget!$D:$D,W$3,Budget!$C:$C,$C5,Budget!$A:$A,$B5)-V5</f>
        <v>0</v>
      </c>
      <c r="X5" s="10">
        <f>SUMIFS(Budget!$E:$E,Budget!$D:$D,X$3,Budget!$C:$C,$C5,Budget!$A:$A,$B5)</f>
        <v>0</v>
      </c>
      <c r="Y5" s="10">
        <f>SUMIFS(Budget!$E:$E,Budget!$D:$D,Y$3,Budget!$C:$C,$C5,Budget!$A:$A,$B5)</f>
        <v>0</v>
      </c>
    </row>
    <row r="6" spans="2:25" x14ac:dyDescent="0.25">
      <c r="B6">
        <v>2026</v>
      </c>
      <c r="C6" t="s">
        <v>163</v>
      </c>
      <c r="D6" s="2"/>
      <c r="E6" s="11">
        <f>SUMIFS('All Measure &amp; TRC+ Calc'!$AR:$AR,'All Measure &amp; TRC+ Calc'!$D:$D,$C6,'All Measure &amp; TRC+ Calc'!$B:$B,$B6)</f>
        <v>0</v>
      </c>
      <c r="F6" s="11">
        <f>SUMIFS('All Measure &amp; TRC+ Calc'!$AE:$AE,'All Measure &amp; TRC+ Calc'!$D:$D,$C6,'All Measure &amp; TRC+ Calc'!$B:$B,$B6)-E6</f>
        <v>0</v>
      </c>
      <c r="H6" s="5">
        <f t="shared" ref="H6:H12" si="5">(K6*$V6)+(M6*$W6)+(O6*$X6)+(Q6*$Y6)</f>
        <v>0</v>
      </c>
      <c r="I6" s="5">
        <f t="shared" ref="I6:I12" si="6">(L6*$V6)+(N6*$W6)+(P6*$X6)+(R6*$Y6)</f>
        <v>0</v>
      </c>
      <c r="K6" s="9">
        <v>0.62218647325388088</v>
      </c>
      <c r="L6" s="2">
        <f t="shared" si="0"/>
        <v>0.37781352674611912</v>
      </c>
      <c r="M6" s="9"/>
      <c r="N6" s="2">
        <f t="shared" si="1"/>
        <v>1</v>
      </c>
      <c r="O6" s="9">
        <v>0.59622463921062374</v>
      </c>
      <c r="P6" s="2">
        <f t="shared" si="2"/>
        <v>0.40377536078937626</v>
      </c>
      <c r="Q6" s="9">
        <v>0.6129581693189976</v>
      </c>
      <c r="R6" s="2">
        <f t="shared" si="3"/>
        <v>0.3870418306810024</v>
      </c>
      <c r="S6" s="9">
        <v>0.62218647325388088</v>
      </c>
      <c r="T6" s="2">
        <f t="shared" si="4"/>
        <v>0.37781352674611912</v>
      </c>
      <c r="V6" s="10">
        <f>SUMIFS('All Measure &amp; TRC+ Calc'!AE:AE,'All Measure &amp; TRC+ Calc'!B:B,B6,'All Measure &amp; TRC+ Calc'!D:D,C6)</f>
        <v>0</v>
      </c>
      <c r="W6" s="10">
        <f>SUMIFS(Budget!$E:$E,Budget!$D:$D,W$3,Budget!$C:$C,$C6,Budget!$A:$A,$B6)-V6</f>
        <v>0</v>
      </c>
      <c r="X6" s="10">
        <f>SUMIFS(Budget!$E:$E,Budget!$D:$D,X$3,Budget!$C:$C,$C6,Budget!$A:$A,$B6)</f>
        <v>0</v>
      </c>
      <c r="Y6" s="10">
        <f>SUMIFS(Budget!$E:$E,Budget!$D:$D,Y$3,Budget!$C:$C,$C6,Budget!$A:$A,$B6)</f>
        <v>0</v>
      </c>
    </row>
    <row r="7" spans="2:25" x14ac:dyDescent="0.25">
      <c r="B7">
        <v>2026</v>
      </c>
      <c r="C7" t="s">
        <v>164</v>
      </c>
      <c r="D7" s="2"/>
      <c r="E7" s="11">
        <f>SUMIFS('All Measure &amp; TRC+ Calc'!$AR:$AR,'All Measure &amp; TRC+ Calc'!$D:$D,$C7,'All Measure &amp; TRC+ Calc'!$B:$B,$B7)</f>
        <v>0</v>
      </c>
      <c r="F7" s="11">
        <f>SUMIFS('All Measure &amp; TRC+ Calc'!$AE:$AE,'All Measure &amp; TRC+ Calc'!$D:$D,$C7,'All Measure &amp; TRC+ Calc'!$B:$B,$B7)-E7</f>
        <v>0</v>
      </c>
      <c r="H7" s="5">
        <f t="shared" si="5"/>
        <v>0</v>
      </c>
      <c r="I7" s="5">
        <f t="shared" si="6"/>
        <v>0</v>
      </c>
      <c r="K7" s="9">
        <v>7.4965365349289825E-2</v>
      </c>
      <c r="L7" s="2">
        <f t="shared" si="0"/>
        <v>0.92503463465071012</v>
      </c>
      <c r="M7" s="9"/>
      <c r="N7" s="2">
        <f t="shared" si="1"/>
        <v>1</v>
      </c>
      <c r="O7" s="9">
        <v>7.6878212168666277E-2</v>
      </c>
      <c r="P7" s="2">
        <f t="shared" si="2"/>
        <v>0.9231217878313337</v>
      </c>
      <c r="Q7" s="9">
        <v>8.6306106434338226E-2</v>
      </c>
      <c r="R7" s="2">
        <f t="shared" si="3"/>
        <v>0.91369389356566177</v>
      </c>
      <c r="S7" s="9">
        <v>7.4965365349289825E-2</v>
      </c>
      <c r="T7" s="2">
        <f t="shared" si="4"/>
        <v>0.92503463465071012</v>
      </c>
      <c r="V7" s="10">
        <f>SUMIFS('All Measure &amp; TRC+ Calc'!AE:AE,'All Measure &amp; TRC+ Calc'!B:B,B7,'All Measure &amp; TRC+ Calc'!D:D,C7)</f>
        <v>0</v>
      </c>
      <c r="W7" s="10">
        <f>SUMIFS(Budget!$E:$E,Budget!$D:$D,W$3,Budget!$C:$C,$C7,Budget!$A:$A,$B7)-V7</f>
        <v>0</v>
      </c>
      <c r="X7" s="10">
        <f>SUMIFS(Budget!$E:$E,Budget!$D:$D,X$3,Budget!$C:$C,$C7,Budget!$A:$A,$B7)</f>
        <v>0</v>
      </c>
      <c r="Y7" s="10">
        <f>SUMIFS(Budget!$E:$E,Budget!$D:$D,Y$3,Budget!$C:$C,$C7,Budget!$A:$A,$B7)</f>
        <v>0</v>
      </c>
    </row>
    <row r="8" spans="2:25" x14ac:dyDescent="0.25">
      <c r="B8">
        <v>2026</v>
      </c>
      <c r="C8" t="s">
        <v>165</v>
      </c>
      <c r="D8" s="2"/>
      <c r="E8" s="11">
        <f>SUMIFS('All Measure &amp; TRC+ Calc'!$AR:$AR,'All Measure &amp; TRC+ Calc'!$D:$D,$C8,'All Measure &amp; TRC+ Calc'!$B:$B,$B8)</f>
        <v>0</v>
      </c>
      <c r="F8" s="11">
        <f>SUMIFS('All Measure &amp; TRC+ Calc'!$AE:$AE,'All Measure &amp; TRC+ Calc'!$D:$D,$C8,'All Measure &amp; TRC+ Calc'!$B:$B,$B8)-E8</f>
        <v>0</v>
      </c>
      <c r="H8" s="5">
        <f t="shared" si="5"/>
        <v>0</v>
      </c>
      <c r="I8" s="5">
        <f t="shared" si="6"/>
        <v>0</v>
      </c>
      <c r="K8" s="9">
        <v>0.23999999999999996</v>
      </c>
      <c r="L8" s="2">
        <f t="shared" si="0"/>
        <v>0.76</v>
      </c>
      <c r="M8" s="9"/>
      <c r="N8" s="2">
        <f t="shared" si="1"/>
        <v>1</v>
      </c>
      <c r="O8" s="9">
        <v>0.24</v>
      </c>
      <c r="P8" s="2">
        <f t="shared" si="2"/>
        <v>0.76</v>
      </c>
      <c r="Q8" s="9">
        <v>0.21999999999999997</v>
      </c>
      <c r="R8" s="2">
        <f t="shared" si="3"/>
        <v>0.78</v>
      </c>
      <c r="S8" s="9">
        <v>0.23999999999999996</v>
      </c>
      <c r="T8" s="2">
        <f t="shared" si="4"/>
        <v>0.76</v>
      </c>
      <c r="V8" s="10">
        <f>SUMIFS('All Measure &amp; TRC+ Calc'!AE:AE,'All Measure &amp; TRC+ Calc'!B:B,B8,'All Measure &amp; TRC+ Calc'!D:D,C8)</f>
        <v>0</v>
      </c>
      <c r="W8" s="10">
        <f>SUMIFS(Budget!$E:$E,Budget!$D:$D,W$3,Budget!$C:$C,$C8,Budget!$A:$A,$B8)-V8</f>
        <v>0</v>
      </c>
      <c r="X8" s="10">
        <f>SUMIFS(Budget!$E:$E,Budget!$D:$D,X$3,Budget!$C:$C,$C8,Budget!$A:$A,$B8)</f>
        <v>0</v>
      </c>
      <c r="Y8" s="10">
        <f>SUMIFS(Budget!$E:$E,Budget!$D:$D,Y$3,Budget!$C:$C,$C8,Budget!$A:$A,$B8)</f>
        <v>0</v>
      </c>
    </row>
    <row r="9" spans="2:25" x14ac:dyDescent="0.25">
      <c r="B9">
        <v>2026</v>
      </c>
      <c r="C9" t="s">
        <v>166</v>
      </c>
      <c r="D9" s="2"/>
      <c r="E9" s="11">
        <f>SUMIFS('All Measure &amp; TRC+ Calc'!$AR:$AR,'All Measure &amp; TRC+ Calc'!$D:$D,$C9,'All Measure &amp; TRC+ Calc'!$B:$B,$B9)</f>
        <v>0</v>
      </c>
      <c r="F9" s="11">
        <f>SUMIFS('All Measure &amp; TRC+ Calc'!$AE:$AE,'All Measure &amp; TRC+ Calc'!$D:$D,$C9,'All Measure &amp; TRC+ Calc'!$B:$B,$B9)-E9</f>
        <v>0</v>
      </c>
      <c r="H9" s="5">
        <f t="shared" si="5"/>
        <v>0</v>
      </c>
      <c r="I9" s="5">
        <f t="shared" si="6"/>
        <v>0</v>
      </c>
      <c r="K9" s="9">
        <v>0.34722222222222221</v>
      </c>
      <c r="L9" s="2">
        <f t="shared" si="0"/>
        <v>0.65277777777777779</v>
      </c>
      <c r="M9" s="9">
        <v>0.689084895259096</v>
      </c>
      <c r="N9" s="2">
        <f t="shared" si="1"/>
        <v>0.310915104740904</v>
      </c>
      <c r="O9" s="9">
        <v>0.83033749473875085</v>
      </c>
      <c r="P9" s="2">
        <f t="shared" si="2"/>
        <v>0.16966250526124915</v>
      </c>
      <c r="Q9" s="9">
        <v>0.18181818181818177</v>
      </c>
      <c r="R9" s="2">
        <f t="shared" si="3"/>
        <v>0.81818181818181823</v>
      </c>
      <c r="S9" s="9">
        <v>0.54345117049076264</v>
      </c>
      <c r="T9" s="2">
        <f t="shared" si="4"/>
        <v>0.45654882950923736</v>
      </c>
      <c r="V9" s="10">
        <f>SUMIFS('All Measure &amp; TRC+ Calc'!AE:AE,'All Measure &amp; TRC+ Calc'!B:B,B9,'All Measure &amp; TRC+ Calc'!D:D,C9)</f>
        <v>0</v>
      </c>
      <c r="W9" s="10">
        <f>SUMIFS(Budget!$E:$E,Budget!$D:$D,W$3,Budget!$C:$C,$C9,Budget!$A:$A,$B9)-V9</f>
        <v>0</v>
      </c>
      <c r="X9" s="10">
        <f>SUMIFS(Budget!$E:$E,Budget!$D:$D,X$3,Budget!$C:$C,$C9,Budget!$A:$A,$B9)</f>
        <v>0</v>
      </c>
      <c r="Y9" s="10">
        <f>SUMIFS(Budget!$E:$E,Budget!$D:$D,Y$3,Budget!$C:$C,$C9,Budget!$A:$A,$B9)</f>
        <v>0</v>
      </c>
    </row>
    <row r="10" spans="2:25" x14ac:dyDescent="0.25">
      <c r="B10">
        <v>2026</v>
      </c>
      <c r="C10" t="s">
        <v>167</v>
      </c>
      <c r="D10" s="2"/>
      <c r="E10" s="11">
        <f>SUMIFS('All Measure &amp; TRC+ Calc'!$AR:$AR,'All Measure &amp; TRC+ Calc'!$D:$D,$C10,'All Measure &amp; TRC+ Calc'!$B:$B,$B10)</f>
        <v>0</v>
      </c>
      <c r="F10" s="11">
        <f>SUMIFS('All Measure &amp; TRC+ Calc'!$AE:$AE,'All Measure &amp; TRC+ Calc'!$D:$D,$C10,'All Measure &amp; TRC+ Calc'!$B:$B,$B10)-E10</f>
        <v>0</v>
      </c>
      <c r="H10" s="5">
        <f t="shared" si="5"/>
        <v>0</v>
      </c>
      <c r="I10" s="5">
        <f t="shared" si="6"/>
        <v>0</v>
      </c>
      <c r="K10" s="9">
        <v>0</v>
      </c>
      <c r="L10" s="2">
        <f t="shared" si="0"/>
        <v>1</v>
      </c>
      <c r="M10" s="9">
        <v>0</v>
      </c>
      <c r="N10" s="2">
        <f t="shared" si="1"/>
        <v>1</v>
      </c>
      <c r="O10" s="9">
        <v>0</v>
      </c>
      <c r="P10" s="2">
        <f t="shared" si="2"/>
        <v>1</v>
      </c>
      <c r="Q10" s="9">
        <v>0</v>
      </c>
      <c r="R10" s="2">
        <f t="shared" si="3"/>
        <v>1</v>
      </c>
      <c r="S10" s="9">
        <v>0</v>
      </c>
      <c r="T10" s="2">
        <f t="shared" si="4"/>
        <v>1</v>
      </c>
      <c r="V10" s="10">
        <f>SUMIFS('All Measure &amp; TRC+ Calc'!AE:AE,'All Measure &amp; TRC+ Calc'!B:B,B10,'All Measure &amp; TRC+ Calc'!D:D,C10)</f>
        <v>0</v>
      </c>
      <c r="W10" s="10">
        <f>SUMIFS(Budget!$E:$E,Budget!$D:$D,W$3,Budget!$C:$C,$C10,Budget!$A:$A,$B10)-V10</f>
        <v>0</v>
      </c>
      <c r="X10" s="10">
        <f>SUMIFS(Budget!$E:$E,Budget!$D:$D,X$3,Budget!$C:$C,$C10,Budget!$A:$A,$B10)</f>
        <v>0</v>
      </c>
      <c r="Y10" s="10">
        <f>SUMIFS(Budget!$E:$E,Budget!$D:$D,Y$3,Budget!$C:$C,$C10,Budget!$A:$A,$B10)</f>
        <v>0</v>
      </c>
    </row>
    <row r="11" spans="2:25" x14ac:dyDescent="0.25">
      <c r="B11">
        <v>2026</v>
      </c>
      <c r="C11" t="s">
        <v>168</v>
      </c>
      <c r="D11" s="2"/>
      <c r="E11" s="11">
        <f>SUMIFS('All Measure &amp; TRC+ Calc'!$AR:$AR,'All Measure &amp; TRC+ Calc'!$D:$D,$C11,'All Measure &amp; TRC+ Calc'!$B:$B,$B11)</f>
        <v>0</v>
      </c>
      <c r="F11" s="11">
        <f>SUMIFS('All Measure &amp; TRC+ Calc'!$AE:$AE,'All Measure &amp; TRC+ Calc'!$D:$D,$C11,'All Measure &amp; TRC+ Calc'!$B:$B,$B11)-E11</f>
        <v>0</v>
      </c>
      <c r="H11" s="5">
        <f t="shared" si="5"/>
        <v>0</v>
      </c>
      <c r="I11" s="5">
        <f t="shared" si="6"/>
        <v>0</v>
      </c>
      <c r="K11" s="9"/>
      <c r="L11" s="2">
        <f t="shared" si="0"/>
        <v>1</v>
      </c>
      <c r="M11" s="9">
        <v>1</v>
      </c>
      <c r="N11" s="2">
        <f t="shared" si="1"/>
        <v>0</v>
      </c>
      <c r="O11" s="9">
        <v>1</v>
      </c>
      <c r="P11" s="2">
        <f t="shared" si="2"/>
        <v>0</v>
      </c>
      <c r="Q11" s="9">
        <v>1</v>
      </c>
      <c r="R11" s="2">
        <f t="shared" si="3"/>
        <v>0</v>
      </c>
      <c r="S11" s="9">
        <v>1</v>
      </c>
      <c r="T11" s="2">
        <f t="shared" si="4"/>
        <v>0</v>
      </c>
      <c r="V11" s="10">
        <f>SUMIFS('All Measure &amp; TRC+ Calc'!AE:AE,'All Measure &amp; TRC+ Calc'!B:B,B11,'All Measure &amp; TRC+ Calc'!D:D,C11)</f>
        <v>0</v>
      </c>
      <c r="W11" s="10">
        <f>SUMIFS(Budget!$E:$E,Budget!$D:$D,W$3,Budget!$C:$C,$C11,Budget!$A:$A,$B11)-V11</f>
        <v>0</v>
      </c>
      <c r="X11" s="10">
        <f>SUMIFS(Budget!$E:$E,Budget!$D:$D,X$3,Budget!$C:$C,$C11,Budget!$A:$A,$B11)</f>
        <v>0</v>
      </c>
      <c r="Y11" s="10">
        <f>SUMIFS(Budget!$E:$E,Budget!$D:$D,Y$3,Budget!$C:$C,$C11,Budget!$A:$A,$B11)</f>
        <v>0</v>
      </c>
    </row>
    <row r="12" spans="2:25" x14ac:dyDescent="0.25">
      <c r="B12">
        <v>2026</v>
      </c>
      <c r="C12" t="s">
        <v>18</v>
      </c>
      <c r="D12" s="2"/>
      <c r="E12" s="11">
        <f>SUMIFS('All Measure &amp; TRC+ Calc'!$AR:$AR,'All Measure &amp; TRC+ Calc'!$D:$D,$C12,'All Measure &amp; TRC+ Calc'!$B:$B,$B12)</f>
        <v>0</v>
      </c>
      <c r="F12" s="11">
        <f>SUMIFS('All Measure &amp; TRC+ Calc'!$AE:$AE,'All Measure &amp; TRC+ Calc'!$D:$D,$C12,'All Measure &amp; TRC+ Calc'!$B:$B,$B12)-E12</f>
        <v>0</v>
      </c>
      <c r="H12" s="5">
        <f t="shared" si="5"/>
        <v>0</v>
      </c>
      <c r="I12" s="5">
        <f t="shared" si="6"/>
        <v>0</v>
      </c>
      <c r="K12" s="9"/>
      <c r="L12" s="2">
        <f t="shared" si="0"/>
        <v>1</v>
      </c>
      <c r="M12" s="9">
        <v>0.7</v>
      </c>
      <c r="N12" s="2">
        <f t="shared" si="1"/>
        <v>0.30000000000000004</v>
      </c>
      <c r="O12" s="9">
        <v>0.7</v>
      </c>
      <c r="P12" s="2">
        <f t="shared" si="2"/>
        <v>0.30000000000000004</v>
      </c>
      <c r="Q12" s="9">
        <v>0.7</v>
      </c>
      <c r="R12" s="2">
        <f t="shared" si="3"/>
        <v>0.30000000000000004</v>
      </c>
      <c r="S12" s="9">
        <v>0.7</v>
      </c>
      <c r="T12" s="2">
        <f t="shared" si="4"/>
        <v>0.30000000000000004</v>
      </c>
      <c r="V12" s="10">
        <f>SUMIFS('All Measure &amp; TRC+ Calc'!AE:AE,'All Measure &amp; TRC+ Calc'!B:B,B12,'All Measure &amp; TRC+ Calc'!D:D,C12)</f>
        <v>0</v>
      </c>
      <c r="W12" s="10">
        <f>SUMIFS(Budget!$E:$E,Budget!$D:$D,W$3,Budget!$C:$C,$C12,Budget!$A:$A,$B12)-V12</f>
        <v>0</v>
      </c>
      <c r="X12" s="10">
        <f>SUMIFS(Budget!$E:$E,Budget!$D:$D,X$3,Budget!$C:$C,$C12,Budget!$A:$A,$B12)</f>
        <v>0</v>
      </c>
      <c r="Y12" s="10">
        <f>SUMIFS(Budget!$E:$E,Budget!$D:$D,Y$3,Budget!$C:$C,$C12,Budget!$A:$A,$B12)</f>
        <v>0</v>
      </c>
    </row>
    <row r="13" spans="2:25" x14ac:dyDescent="0.25">
      <c r="E13" s="4">
        <f>SUM(E5:E12)</f>
        <v>0</v>
      </c>
      <c r="F13" s="4">
        <f>SUM(F5:F12)</f>
        <v>0</v>
      </c>
      <c r="H13" s="19">
        <f>_xlfn.AGGREGATE(9,6,H5:H12)</f>
        <v>0</v>
      </c>
      <c r="I13" s="19">
        <f>_xlfn.AGGREGATE(9,6,I5:I12)</f>
        <v>0</v>
      </c>
    </row>
    <row r="14" spans="2:25" ht="18.75" x14ac:dyDescent="0.3">
      <c r="C14" s="6">
        <v>2027</v>
      </c>
    </row>
    <row r="15" spans="2:25" x14ac:dyDescent="0.25">
      <c r="D15" s="8"/>
      <c r="E15" s="3" t="s">
        <v>196</v>
      </c>
      <c r="F15" s="8"/>
      <c r="H15" s="8" t="s">
        <v>134</v>
      </c>
      <c r="I15" s="8"/>
      <c r="K15" s="3" t="s">
        <v>197</v>
      </c>
      <c r="L15" s="3"/>
      <c r="M15" s="8" t="s">
        <v>198</v>
      </c>
      <c r="N15" s="8"/>
      <c r="O15" s="8" t="s">
        <v>127</v>
      </c>
      <c r="P15" s="8"/>
      <c r="Q15" s="8" t="s">
        <v>128</v>
      </c>
      <c r="R15" s="8"/>
      <c r="S15" s="8" t="s">
        <v>199</v>
      </c>
      <c r="T15" s="8"/>
      <c r="V15" s="8" t="s">
        <v>197</v>
      </c>
      <c r="W15" s="8" t="s">
        <v>126</v>
      </c>
      <c r="X15" s="8" t="s">
        <v>127</v>
      </c>
      <c r="Y15" s="8" t="s">
        <v>128</v>
      </c>
    </row>
    <row r="16" spans="2:25" x14ac:dyDescent="0.25">
      <c r="D16" s="3"/>
      <c r="E16" s="3" t="s">
        <v>200</v>
      </c>
      <c r="F16" s="3" t="s">
        <v>201</v>
      </c>
      <c r="H16" s="3" t="s">
        <v>200</v>
      </c>
      <c r="I16" s="3" t="s">
        <v>201</v>
      </c>
      <c r="K16" s="3" t="s">
        <v>202</v>
      </c>
      <c r="L16" s="3" t="s">
        <v>203</v>
      </c>
      <c r="M16" s="3" t="s">
        <v>202</v>
      </c>
      <c r="N16" s="3" t="s">
        <v>203</v>
      </c>
      <c r="O16" s="3" t="s">
        <v>202</v>
      </c>
      <c r="P16" s="3" t="s">
        <v>203</v>
      </c>
      <c r="Q16" s="3" t="s">
        <v>202</v>
      </c>
      <c r="R16" s="3" t="s">
        <v>203</v>
      </c>
      <c r="S16" s="3" t="s">
        <v>202</v>
      </c>
      <c r="T16" s="3" t="s">
        <v>203</v>
      </c>
      <c r="V16" s="3"/>
      <c r="W16" s="3"/>
      <c r="X16" s="3"/>
      <c r="Y16" s="3"/>
    </row>
    <row r="17" spans="2:25" x14ac:dyDescent="0.25">
      <c r="B17">
        <v>2027</v>
      </c>
      <c r="C17" t="s">
        <v>9</v>
      </c>
      <c r="D17" s="2"/>
      <c r="E17" s="11">
        <f>SUMIFS('All Measure &amp; TRC+ Calc'!$AR:$AR,'All Measure &amp; TRC+ Calc'!$D:$D,$C17,'All Measure &amp; TRC+ Calc'!$B:$B,$B17)</f>
        <v>15558552.840800574</v>
      </c>
      <c r="F17" s="11">
        <f>SUMIFS('All Measure &amp; TRC+ Calc'!$AE:$AE,'All Measure &amp; TRC+ Calc'!$D:$D,$C17,'All Measure &amp; TRC+ Calc'!$B:$B,$B17)-E17</f>
        <v>2054349.1392072383</v>
      </c>
      <c r="H17" s="5">
        <f>(K17*$V17)+(M17*$W17)+(O17*$X17)+(Q17*$Y17)</f>
        <v>13047473.737832373</v>
      </c>
      <c r="I17" s="5">
        <f>(L17*$V17)+(N17*$W17)+(P17*$X17)+(R17*$Y17)</f>
        <v>1752308.2621676261</v>
      </c>
      <c r="K17" s="9">
        <v>0.88880710804179186</v>
      </c>
      <c r="L17" s="2">
        <f t="shared" ref="L17:L24" si="7">1-K17</f>
        <v>0.11119289195820814</v>
      </c>
      <c r="M17" s="9">
        <v>0.87565106411992477</v>
      </c>
      <c r="N17" s="2">
        <f t="shared" ref="N17:N24" si="8">1-M17</f>
        <v>0.12434893588007523</v>
      </c>
      <c r="O17" s="9">
        <v>0.84409477925342036</v>
      </c>
      <c r="P17" s="2">
        <f t="shared" ref="P17:P24" si="9">1-O17</f>
        <v>0.15590522074657964</v>
      </c>
      <c r="Q17" s="9">
        <v>0.42897118318347865</v>
      </c>
      <c r="R17" s="2">
        <f t="shared" ref="R17:R24" si="10">1-Q17</f>
        <v>0.5710288168165214</v>
      </c>
      <c r="S17" s="9">
        <v>0.84533677399943441</v>
      </c>
      <c r="T17" s="2">
        <f t="shared" ref="T17:T24" si="11">1-S17</f>
        <v>0.15466322600056559</v>
      </c>
      <c r="V17" s="10">
        <f>SUMIFS('All Measure &amp; TRC+ Calc'!AE:AE,'All Measure &amp; TRC+ Calc'!B:B,B17,'All Measure &amp; TRC+ Calc'!D:D,C17)</f>
        <v>17612901.980007812</v>
      </c>
      <c r="W17" s="10">
        <f>SUMIFS(Budget!$E:$E,Budget!$D:$D,W$15,Budget!$C:$C,$C17,Budget!$A:$A,$B17)-V17</f>
        <v>-3729119.9800078124</v>
      </c>
      <c r="X17" s="10">
        <f>SUMIFS(Budget!$E:$E,Budget!$D:$D,X$15,Budget!$C:$C,$C17,Budget!$A:$A,$B17)</f>
        <v>639500</v>
      </c>
      <c r="Y17" s="10">
        <f>SUMIFS(Budget!$E:$E,Budget!$D:$D,Y$15,Budget!$C:$C,$C17,Budget!$A:$A,$B17)</f>
        <v>276500</v>
      </c>
    </row>
    <row r="18" spans="2:25" x14ac:dyDescent="0.25">
      <c r="B18">
        <v>2027</v>
      </c>
      <c r="C18" t="s">
        <v>163</v>
      </c>
      <c r="D18" s="2"/>
      <c r="E18" s="11">
        <f>SUMIFS('All Measure &amp; TRC+ Calc'!$AR:$AR,'All Measure &amp; TRC+ Calc'!$D:$D,$C18,'All Measure &amp; TRC+ Calc'!$B:$B,$B18)</f>
        <v>1784984.9909201527</v>
      </c>
      <c r="F18" s="11">
        <f>SUMIFS('All Measure &amp; TRC+ Calc'!$AE:$AE,'All Measure &amp; TRC+ Calc'!$D:$D,$C18,'All Measure &amp; TRC+ Calc'!$B:$B,$B18)-E18</f>
        <v>1360195.9065057274</v>
      </c>
      <c r="H18" s="5">
        <f t="shared" ref="H18:H24" si="12">(K18*$V18)+(M18*$W18)+(O18*$X18)+(Q18*$Y18)</f>
        <v>2503573.4839631249</v>
      </c>
      <c r="I18" s="5">
        <f t="shared" ref="I18:I24" si="13">(L18*$V18)+(N18*$W18)+(P18*$X18)+(R18*$Y18)</f>
        <v>2349612.5160368751</v>
      </c>
      <c r="K18" s="9">
        <v>0.61933815128281478</v>
      </c>
      <c r="L18" s="2">
        <f t="shared" si="7"/>
        <v>0.38066184871718522</v>
      </c>
      <c r="M18" s="9"/>
      <c r="N18" s="2">
        <f t="shared" si="8"/>
        <v>1</v>
      </c>
      <c r="O18" s="9">
        <v>0.59624558917046744</v>
      </c>
      <c r="P18" s="2">
        <f t="shared" si="9"/>
        <v>0.40375441082953256</v>
      </c>
      <c r="Q18" s="9">
        <v>0.61300072634074654</v>
      </c>
      <c r="R18" s="2">
        <f t="shared" si="10"/>
        <v>0.38699927365925346</v>
      </c>
      <c r="S18" s="9">
        <v>0.61933815128281478</v>
      </c>
      <c r="T18" s="2">
        <f t="shared" si="11"/>
        <v>0.38066184871718522</v>
      </c>
      <c r="V18" s="10">
        <f>SUMIFS('All Measure &amp; TRC+ Calc'!AE:AE,'All Measure &amp; TRC+ Calc'!B:B,B18,'All Measure &amp; TRC+ Calc'!D:D,C18)</f>
        <v>3145180.8974258802</v>
      </c>
      <c r="W18" s="10">
        <f>SUMIFS(Budget!$E:$E,Budget!$D:$D,W$15,Budget!$C:$C,$C18,Budget!$A:$A,$B18)-V18</f>
        <v>788905.10257411981</v>
      </c>
      <c r="X18" s="10">
        <f>SUMIFS(Budget!$E:$E,Budget!$D:$D,X$15,Budget!$C:$C,$C18,Budget!$A:$A,$B18)</f>
        <v>463500</v>
      </c>
      <c r="Y18" s="10">
        <f>SUMIFS(Budget!$E:$E,Budget!$D:$D,Y$15,Budget!$C:$C,$C18,Budget!$A:$A,$B18)</f>
        <v>455600</v>
      </c>
    </row>
    <row r="19" spans="2:25" x14ac:dyDescent="0.25">
      <c r="B19">
        <v>2027</v>
      </c>
      <c r="C19" t="s">
        <v>164</v>
      </c>
      <c r="D19" s="2"/>
      <c r="E19" s="11">
        <f>SUMIFS('All Measure &amp; TRC+ Calc'!$AR:$AR,'All Measure &amp; TRC+ Calc'!$D:$D,$C19,'All Measure &amp; TRC+ Calc'!$B:$B,$B19)</f>
        <v>351303.67382228939</v>
      </c>
      <c r="F19" s="11">
        <f>SUMIFS('All Measure &amp; TRC+ Calc'!$AE:$AE,'All Measure &amp; TRC+ Calc'!$D:$D,$C19,'All Measure &amp; TRC+ Calc'!$B:$B,$B19)-E19</f>
        <v>5875901.6026234981</v>
      </c>
      <c r="H19" s="5">
        <f t="shared" si="12"/>
        <v>693501.57270624337</v>
      </c>
      <c r="I19" s="5">
        <f t="shared" si="13"/>
        <v>10258631.427293757</v>
      </c>
      <c r="K19" s="9">
        <v>9.6181885220972346E-2</v>
      </c>
      <c r="L19" s="2">
        <f t="shared" si="7"/>
        <v>0.90381811477902763</v>
      </c>
      <c r="M19" s="9"/>
      <c r="N19" s="2">
        <f t="shared" si="8"/>
        <v>1</v>
      </c>
      <c r="O19" s="9">
        <v>9.2399078391423611E-2</v>
      </c>
      <c r="P19" s="2">
        <f t="shared" si="9"/>
        <v>0.90760092160857642</v>
      </c>
      <c r="Q19" s="9">
        <v>0.10939436687621984</v>
      </c>
      <c r="R19" s="2">
        <f t="shared" si="10"/>
        <v>0.89060563312378016</v>
      </c>
      <c r="S19" s="9">
        <v>9.6181885220972346E-2</v>
      </c>
      <c r="T19" s="2">
        <f t="shared" si="11"/>
        <v>0.90381811477902763</v>
      </c>
      <c r="V19" s="10">
        <f>SUMIFS('All Measure &amp; TRC+ Calc'!AE:AE,'All Measure &amp; TRC+ Calc'!B:B,B19,'All Measure &amp; TRC+ Calc'!D:D,C19)</f>
        <v>6227205.2764457874</v>
      </c>
      <c r="W19" s="10">
        <f>SUMIFS(Budget!$E:$E,Budget!$D:$D,W$15,Budget!$C:$C,$C19,Budget!$A:$A,$B19)-V19</f>
        <v>3796627.7235542126</v>
      </c>
      <c r="X19" s="10">
        <f>SUMIFS(Budget!$E:$E,Budget!$D:$D,X$15,Budget!$C:$C,$C19,Budget!$A:$A,$B19)</f>
        <v>411500</v>
      </c>
      <c r="Y19" s="10">
        <f>SUMIFS(Budget!$E:$E,Budget!$D:$D,Y$15,Budget!$C:$C,$C19,Budget!$A:$A,$B19)</f>
        <v>516800</v>
      </c>
    </row>
    <row r="20" spans="2:25" x14ac:dyDescent="0.25">
      <c r="B20">
        <v>2027</v>
      </c>
      <c r="C20" t="s">
        <v>165</v>
      </c>
      <c r="D20" s="2"/>
      <c r="E20" s="11">
        <f>SUMIFS('All Measure &amp; TRC+ Calc'!$AR:$AR,'All Measure &amp; TRC+ Calc'!$D:$D,$C20,'All Measure &amp; TRC+ Calc'!$B:$B,$B20)</f>
        <v>455413.40998153877</v>
      </c>
      <c r="F20" s="11">
        <f>SUMIFS('All Measure &amp; TRC+ Calc'!$AE:$AE,'All Measure &amp; TRC+ Calc'!$D:$D,$C20,'All Measure &amp; TRC+ Calc'!$B:$B,$B20)-E20</f>
        <v>1442142.4649415396</v>
      </c>
      <c r="H20" s="5">
        <f t="shared" si="12"/>
        <v>736223.40998153889</v>
      </c>
      <c r="I20" s="5">
        <f t="shared" si="13"/>
        <v>2620954.590018461</v>
      </c>
      <c r="K20" s="9">
        <v>0.23999999999999996</v>
      </c>
      <c r="L20" s="2">
        <f t="shared" si="7"/>
        <v>0.76</v>
      </c>
      <c r="M20" s="9"/>
      <c r="N20" s="2">
        <f t="shared" si="8"/>
        <v>1</v>
      </c>
      <c r="O20" s="9">
        <v>0.24</v>
      </c>
      <c r="P20" s="2">
        <f t="shared" si="9"/>
        <v>0.76</v>
      </c>
      <c r="Q20" s="9">
        <v>0.22000000000000008</v>
      </c>
      <c r="R20" s="2">
        <f t="shared" si="10"/>
        <v>0.77999999999999992</v>
      </c>
      <c r="S20" s="9">
        <v>0.23999999999999996</v>
      </c>
      <c r="T20" s="2">
        <f t="shared" si="11"/>
        <v>0.76</v>
      </c>
      <c r="V20" s="10">
        <f>SUMIFS('All Measure &amp; TRC+ Calc'!AE:AE,'All Measure &amp; TRC+ Calc'!B:B,B20,'All Measure &amp; TRC+ Calc'!D:D,C20)</f>
        <v>1897555.8749230783</v>
      </c>
      <c r="W20" s="10">
        <f>SUMIFS(Budget!$E:$E,Budget!$D:$D,W$15,Budget!$C:$C,$C20,Budget!$A:$A,$B20)-V20</f>
        <v>216622.12507692166</v>
      </c>
      <c r="X20" s="10">
        <f>SUMIFS(Budget!$E:$E,Budget!$D:$D,X$15,Budget!$C:$C,$C20,Budget!$A:$A,$B20)</f>
        <v>367500</v>
      </c>
      <c r="Y20" s="10">
        <f>SUMIFS(Budget!$E:$E,Budget!$D:$D,Y$15,Budget!$C:$C,$C20,Budget!$A:$A,$B20)</f>
        <v>875500</v>
      </c>
    </row>
    <row r="21" spans="2:25" x14ac:dyDescent="0.25">
      <c r="B21">
        <v>2027</v>
      </c>
      <c r="C21" t="s">
        <v>166</v>
      </c>
      <c r="D21" s="2"/>
      <c r="E21" s="11">
        <f>SUMIFS('All Measure &amp; TRC+ Calc'!$AR:$AR,'All Measure &amp; TRC+ Calc'!$D:$D,$C21,'All Measure &amp; TRC+ Calc'!$B:$B,$B21)</f>
        <v>68260.574678930367</v>
      </c>
      <c r="F21" s="11">
        <f>SUMIFS('All Measure &amp; TRC+ Calc'!$AE:$AE,'All Measure &amp; TRC+ Calc'!$D:$D,$C21,'All Measure &amp; TRC+ Calc'!$B:$B,$B21)-E21</f>
        <v>128329.88039638908</v>
      </c>
      <c r="H21" s="5">
        <f t="shared" si="12"/>
        <v>229985.24778751703</v>
      </c>
      <c r="I21" s="5">
        <f t="shared" si="13"/>
        <v>342944.75221248297</v>
      </c>
      <c r="K21" s="9">
        <v>0.36190476190476184</v>
      </c>
      <c r="L21" s="2">
        <f t="shared" si="7"/>
        <v>0.63809523809523816</v>
      </c>
      <c r="M21" s="9">
        <v>0.70176953084883598</v>
      </c>
      <c r="N21" s="2">
        <f t="shared" si="8"/>
        <v>0.29823046915116402</v>
      </c>
      <c r="O21" s="9">
        <v>0.84207119299710842</v>
      </c>
      <c r="P21" s="2">
        <f t="shared" si="9"/>
        <v>0.15792880700289158</v>
      </c>
      <c r="Q21" s="9">
        <v>0.17391304347826086</v>
      </c>
      <c r="R21" s="2">
        <f t="shared" si="10"/>
        <v>0.82608695652173914</v>
      </c>
      <c r="S21" s="9">
        <v>0.54931027374602737</v>
      </c>
      <c r="T21" s="2">
        <f t="shared" si="11"/>
        <v>0.45068972625397263</v>
      </c>
      <c r="V21" s="10">
        <f>SUMIFS('All Measure &amp; TRC+ Calc'!AE:AE,'All Measure &amp; TRC+ Calc'!B:B,B21,'All Measure &amp; TRC+ Calc'!D:D,C21)</f>
        <v>196590.45507531945</v>
      </c>
      <c r="W21" s="10">
        <f>SUMIFS(Budget!$E:$E,Budget!$D:$D,W$15,Budget!$C:$C,$C21,Budget!$A:$A,$B21)-V21</f>
        <v>50339.544924680551</v>
      </c>
      <c r="X21" s="10">
        <f>SUMIFS(Budget!$E:$E,Budget!$D:$D,X$15,Budget!$C:$C,$C21,Budget!$A:$A,$B21)</f>
        <v>100000</v>
      </c>
      <c r="Y21" s="10">
        <f>SUMIFS(Budget!$E:$E,Budget!$D:$D,Y$15,Budget!$C:$C,$C21,Budget!$A:$A,$B21)</f>
        <v>226000</v>
      </c>
    </row>
    <row r="22" spans="2:25" x14ac:dyDescent="0.25">
      <c r="B22">
        <v>2027</v>
      </c>
      <c r="C22" t="s">
        <v>167</v>
      </c>
      <c r="D22" s="2"/>
      <c r="E22" s="11">
        <f>SUMIFS('All Measure &amp; TRC+ Calc'!$AR:$AR,'All Measure &amp; TRC+ Calc'!$D:$D,$C22,'All Measure &amp; TRC+ Calc'!$B:$B,$B22)</f>
        <v>0</v>
      </c>
      <c r="F22" s="11">
        <f>SUMIFS('All Measure &amp; TRC+ Calc'!$AE:$AE,'All Measure &amp; TRC+ Calc'!$D:$D,$C22,'All Measure &amp; TRC+ Calc'!$B:$B,$B22)-E22</f>
        <v>35237.600000000006</v>
      </c>
      <c r="H22" s="5">
        <f t="shared" si="12"/>
        <v>0</v>
      </c>
      <c r="I22" s="5">
        <f t="shared" si="13"/>
        <v>205675</v>
      </c>
      <c r="K22" s="9">
        <v>0</v>
      </c>
      <c r="L22" s="2">
        <f t="shared" si="7"/>
        <v>1</v>
      </c>
      <c r="M22" s="9">
        <v>0</v>
      </c>
      <c r="N22" s="2">
        <f t="shared" si="8"/>
        <v>1</v>
      </c>
      <c r="O22" s="9">
        <v>0</v>
      </c>
      <c r="P22" s="2">
        <f t="shared" si="9"/>
        <v>1</v>
      </c>
      <c r="Q22" s="9">
        <v>0</v>
      </c>
      <c r="R22" s="2">
        <f t="shared" si="10"/>
        <v>1</v>
      </c>
      <c r="S22" s="9">
        <v>0</v>
      </c>
      <c r="T22" s="2">
        <f t="shared" si="11"/>
        <v>1</v>
      </c>
      <c r="V22" s="10">
        <f>SUMIFS('All Measure &amp; TRC+ Calc'!AE:AE,'All Measure &amp; TRC+ Calc'!B:B,B22,'All Measure &amp; TRC+ Calc'!D:D,C22)</f>
        <v>35237.600000000006</v>
      </c>
      <c r="W22" s="10">
        <f>SUMIFS(Budget!$E:$E,Budget!$D:$D,W$15,Budget!$C:$C,$C22,Budget!$A:$A,$B22)-V22</f>
        <v>42631.399999999994</v>
      </c>
      <c r="X22" s="10">
        <f>SUMIFS(Budget!$E:$E,Budget!$D:$D,X$15,Budget!$C:$C,$C22,Budget!$A:$A,$B22)</f>
        <v>75000</v>
      </c>
      <c r="Y22" s="10">
        <f>SUMIFS(Budget!$E:$E,Budget!$D:$D,Y$15,Budget!$C:$C,$C22,Budget!$A:$A,$B22)</f>
        <v>52806</v>
      </c>
    </row>
    <row r="23" spans="2:25" x14ac:dyDescent="0.25">
      <c r="B23">
        <v>2027</v>
      </c>
      <c r="C23" t="s">
        <v>168</v>
      </c>
      <c r="D23" s="2"/>
      <c r="E23" s="11">
        <f>SUMIFS('All Measure &amp; TRC+ Calc'!$AR:$AR,'All Measure &amp; TRC+ Calc'!$D:$D,$C23,'All Measure &amp; TRC+ Calc'!$B:$B,$B23)</f>
        <v>0</v>
      </c>
      <c r="F23" s="11">
        <f>SUMIFS('All Measure &amp; TRC+ Calc'!$AE:$AE,'All Measure &amp; TRC+ Calc'!$D:$D,$C23,'All Measure &amp; TRC+ Calc'!$B:$B,$B23)-E23</f>
        <v>0</v>
      </c>
      <c r="H23" s="5">
        <f t="shared" si="12"/>
        <v>780000</v>
      </c>
      <c r="I23" s="5">
        <f t="shared" si="13"/>
        <v>0</v>
      </c>
      <c r="K23" s="9"/>
      <c r="L23" s="2">
        <f t="shared" si="7"/>
        <v>1</v>
      </c>
      <c r="M23" s="9">
        <v>1</v>
      </c>
      <c r="N23" s="2">
        <f t="shared" si="8"/>
        <v>0</v>
      </c>
      <c r="O23" s="9">
        <v>1</v>
      </c>
      <c r="P23" s="2">
        <f t="shared" si="9"/>
        <v>0</v>
      </c>
      <c r="Q23" s="9">
        <v>1</v>
      </c>
      <c r="R23" s="2">
        <f t="shared" si="10"/>
        <v>0</v>
      </c>
      <c r="S23" s="9">
        <v>1</v>
      </c>
      <c r="T23" s="2">
        <f t="shared" si="11"/>
        <v>0</v>
      </c>
      <c r="V23" s="10">
        <f>SUMIFS('All Measure &amp; TRC+ Calc'!AE:AE,'All Measure &amp; TRC+ Calc'!B:B,B23,'All Measure &amp; TRC+ Calc'!D:D,C23)</f>
        <v>0</v>
      </c>
      <c r="W23" s="10">
        <f>SUMIFS(Budget!$E:$E,Budget!$D:$D,W$15,Budget!$C:$C,$C23,Budget!$A:$A,$B23)-V23</f>
        <v>500000</v>
      </c>
      <c r="X23" s="10">
        <f>SUMIFS(Budget!$E:$E,Budget!$D:$D,X$15,Budget!$C:$C,$C23,Budget!$A:$A,$B23)</f>
        <v>30000</v>
      </c>
      <c r="Y23" s="10">
        <f>SUMIFS(Budget!$E:$E,Budget!$D:$D,Y$15,Budget!$C:$C,$C23,Budget!$A:$A,$B23)</f>
        <v>250000</v>
      </c>
    </row>
    <row r="24" spans="2:25" x14ac:dyDescent="0.25">
      <c r="B24">
        <v>2027</v>
      </c>
      <c r="C24" t="s">
        <v>18</v>
      </c>
      <c r="D24" s="2"/>
      <c r="E24" s="11">
        <f>SUMIFS('All Measure &amp; TRC+ Calc'!$AR:$AR,'All Measure &amp; TRC+ Calc'!$D:$D,$C24,'All Measure &amp; TRC+ Calc'!$B:$B,$B24)</f>
        <v>0</v>
      </c>
      <c r="F24" s="11">
        <f>SUMIFS('All Measure &amp; TRC+ Calc'!$AE:$AE,'All Measure &amp; TRC+ Calc'!$D:$D,$C24,'All Measure &amp; TRC+ Calc'!$B:$B,$B24)-E24</f>
        <v>0</v>
      </c>
      <c r="H24" s="5">
        <f t="shared" si="12"/>
        <v>1400000</v>
      </c>
      <c r="I24" s="5">
        <f t="shared" si="13"/>
        <v>600000.00000000012</v>
      </c>
      <c r="K24" s="9"/>
      <c r="L24" s="2">
        <f t="shared" si="7"/>
        <v>1</v>
      </c>
      <c r="M24" s="9">
        <v>0.7</v>
      </c>
      <c r="N24" s="2">
        <f t="shared" si="8"/>
        <v>0.30000000000000004</v>
      </c>
      <c r="O24" s="9">
        <v>0.7</v>
      </c>
      <c r="P24" s="2">
        <f t="shared" si="9"/>
        <v>0.30000000000000004</v>
      </c>
      <c r="Q24" s="9">
        <v>0.7</v>
      </c>
      <c r="R24" s="2">
        <f t="shared" si="10"/>
        <v>0.30000000000000004</v>
      </c>
      <c r="S24" s="9">
        <v>0.7</v>
      </c>
      <c r="T24" s="2">
        <f t="shared" si="11"/>
        <v>0.30000000000000004</v>
      </c>
      <c r="V24" s="10">
        <f>SUMIFS('All Measure &amp; TRC+ Calc'!AE:AE,'All Measure &amp; TRC+ Calc'!B:B,B24,'All Measure &amp; TRC+ Calc'!D:D,C24)</f>
        <v>0</v>
      </c>
      <c r="W24" s="10">
        <f>SUMIFS(Budget!$E:$E,Budget!$D:$D,W$15,Budget!$C:$C,$C24,Budget!$A:$A,$B24)-V24</f>
        <v>1800000</v>
      </c>
      <c r="X24" s="10">
        <f>SUMIFS(Budget!$E:$E,Budget!$D:$D,X$15,Budget!$C:$C,$C24,Budget!$A:$A,$B24)</f>
        <v>40000</v>
      </c>
      <c r="Y24" s="10">
        <f>SUMIFS(Budget!$E:$E,Budget!$D:$D,Y$15,Budget!$C:$C,$C24,Budget!$A:$A,$B24)</f>
        <v>160000</v>
      </c>
    </row>
    <row r="25" spans="2:25" x14ac:dyDescent="0.25">
      <c r="E25" s="4">
        <f>SUM(E17:E24)</f>
        <v>18218515.490203489</v>
      </c>
      <c r="F25" s="4">
        <f>SUM(F17:F24)</f>
        <v>10896156.59367439</v>
      </c>
      <c r="H25" s="19">
        <f>_xlfn.AGGREGATE(9,6,H17:H24)</f>
        <v>19390757.452270795</v>
      </c>
      <c r="I25" s="19">
        <f>_xlfn.AGGREGATE(9,6,I17:I24)</f>
        <v>18130126.547729202</v>
      </c>
    </row>
    <row r="26" spans="2:25" ht="18.75" x14ac:dyDescent="0.3">
      <c r="C26" s="6">
        <v>2028</v>
      </c>
    </row>
    <row r="27" spans="2:25" x14ac:dyDescent="0.25">
      <c r="D27" s="8"/>
      <c r="E27" s="3" t="s">
        <v>196</v>
      </c>
      <c r="F27" s="8"/>
      <c r="H27" s="8" t="s">
        <v>134</v>
      </c>
      <c r="I27" s="8"/>
      <c r="K27" s="3" t="s">
        <v>197</v>
      </c>
      <c r="L27" s="3"/>
      <c r="M27" s="8" t="s">
        <v>198</v>
      </c>
      <c r="N27" s="8"/>
      <c r="O27" s="8" t="s">
        <v>127</v>
      </c>
      <c r="P27" s="8"/>
      <c r="Q27" s="8" t="s">
        <v>128</v>
      </c>
      <c r="R27" s="8"/>
      <c r="S27" s="8" t="s">
        <v>199</v>
      </c>
      <c r="T27" s="8"/>
      <c r="V27" s="8" t="s">
        <v>197</v>
      </c>
      <c r="W27" s="8" t="s">
        <v>126</v>
      </c>
      <c r="X27" s="8" t="s">
        <v>127</v>
      </c>
      <c r="Y27" s="8" t="s">
        <v>128</v>
      </c>
    </row>
    <row r="28" spans="2:25" x14ac:dyDescent="0.25">
      <c r="D28" s="3"/>
      <c r="E28" s="3" t="s">
        <v>200</v>
      </c>
      <c r="F28" s="3" t="s">
        <v>201</v>
      </c>
      <c r="H28" s="3" t="s">
        <v>200</v>
      </c>
      <c r="I28" s="3" t="s">
        <v>201</v>
      </c>
      <c r="K28" s="3" t="s">
        <v>202</v>
      </c>
      <c r="L28" s="3" t="s">
        <v>203</v>
      </c>
      <c r="M28" s="3" t="s">
        <v>202</v>
      </c>
      <c r="N28" s="3" t="s">
        <v>203</v>
      </c>
      <c r="O28" s="3" t="s">
        <v>202</v>
      </c>
      <c r="P28" s="3" t="s">
        <v>203</v>
      </c>
      <c r="Q28" s="3" t="s">
        <v>202</v>
      </c>
      <c r="R28" s="3" t="s">
        <v>203</v>
      </c>
      <c r="S28" s="3" t="s">
        <v>202</v>
      </c>
      <c r="T28" s="3" t="s">
        <v>203</v>
      </c>
      <c r="V28" s="3"/>
      <c r="W28" s="3"/>
      <c r="X28" s="3"/>
      <c r="Y28" s="3"/>
    </row>
    <row r="29" spans="2:25" x14ac:dyDescent="0.25">
      <c r="B29">
        <v>2028</v>
      </c>
      <c r="C29" t="s">
        <v>9</v>
      </c>
      <c r="D29" s="2"/>
      <c r="E29" s="11">
        <f>SUMIFS('All Measure &amp; TRC+ Calc'!$AR:$AR,'All Measure &amp; TRC+ Calc'!$D:$D,$C29,'All Measure &amp; TRC+ Calc'!$B:$B,$B29)</f>
        <v>17854986.273331903</v>
      </c>
      <c r="F29" s="11">
        <f>SUMIFS('All Measure &amp; TRC+ Calc'!$AE:$AE,'All Measure &amp; TRC+ Calc'!$D:$D,$C29,'All Measure &amp; TRC+ Calc'!$B:$B,$B29)-E29</f>
        <v>2093813.5487879366</v>
      </c>
      <c r="H29" s="5">
        <f>(K29*$V29)+(M29*$W29)+(O29*$X29)+(Q29*$Y29)</f>
        <v>15278932.496662874</v>
      </c>
      <c r="I29" s="5">
        <f>(L29*$V29)+(N29*$W29)+(P29*$X29)+(R29*$Y29)</f>
        <v>2073289.5033371251</v>
      </c>
      <c r="K29" s="9">
        <v>0.88842714234823528</v>
      </c>
      <c r="L29" s="2">
        <f t="shared" ref="L29:L36" si="14">1-K29</f>
        <v>0.11157285765176472</v>
      </c>
      <c r="M29" s="9">
        <v>0.87565106411992488</v>
      </c>
      <c r="N29" s="2">
        <f t="shared" ref="N29:N36" si="15">1-M29</f>
        <v>0.12434893588007512</v>
      </c>
      <c r="O29" s="9">
        <v>0.84409477925342036</v>
      </c>
      <c r="P29" s="2">
        <f t="shared" ref="P29:P36" si="16">1-O29</f>
        <v>0.15590522074657964</v>
      </c>
      <c r="Q29" s="9">
        <v>0.42739443571655955</v>
      </c>
      <c r="R29" s="2">
        <f t="shared" ref="R29:R36" si="17">1-Q29</f>
        <v>0.57260556428344045</v>
      </c>
      <c r="S29" s="9">
        <v>0.84732530384258797</v>
      </c>
      <c r="T29" s="2">
        <f t="shared" ref="T29:T36" si="18">1-S29</f>
        <v>0.15267469615741203</v>
      </c>
      <c r="V29" s="10">
        <f>SUMIFS('All Measure &amp; TRC+ Calc'!AE:AE,'All Measure &amp; TRC+ Calc'!B:B,B29,'All Measure &amp; TRC+ Calc'!D:D,C29)</f>
        <v>19948799.822119839</v>
      </c>
      <c r="W29" s="10">
        <f>SUMIFS(Budget!$E:$E,Budget!$D:$D,W$27,Budget!$C:$C,$C29,Budget!$A:$A,$B29)-V29</f>
        <v>-3581481.8221198395</v>
      </c>
      <c r="X29" s="10">
        <f>SUMIFS(Budget!$E:$E,Budget!$D:$D,X$27,Budget!$C:$C,$C29,Budget!$A:$A,$B29)</f>
        <v>650499</v>
      </c>
      <c r="Y29" s="10">
        <f>SUMIFS(Budget!$E:$E,Budget!$D:$D,Y$27,Budget!$C:$C,$C29,Budget!$A:$A,$B29)</f>
        <v>334405</v>
      </c>
    </row>
    <row r="30" spans="2:25" x14ac:dyDescent="0.25">
      <c r="B30">
        <v>2028</v>
      </c>
      <c r="C30" t="s">
        <v>163</v>
      </c>
      <c r="D30" s="2"/>
      <c r="E30" s="11">
        <f>SUMIFS('All Measure &amp; TRC+ Calc'!$AR:$AR,'All Measure &amp; TRC+ Calc'!$D:$D,$C30,'All Measure &amp; TRC+ Calc'!$B:$B,$B30)</f>
        <v>1967431.7382441163</v>
      </c>
      <c r="F30" s="11">
        <f>SUMIFS('All Measure &amp; TRC+ Calc'!$AE:$AE,'All Measure &amp; TRC+ Calc'!$D:$D,$C30,'All Measure &amp; TRC+ Calc'!$B:$B,$B30)-E30</f>
        <v>1506995.7049892773</v>
      </c>
      <c r="H30" s="5">
        <f t="shared" ref="H30:H36" si="19">(K30*$V30)+(M30*$W30)+(O30*$X30)+(Q30*$Y30)</f>
        <v>2736773.6480080122</v>
      </c>
      <c r="I30" s="5">
        <f t="shared" ref="I30:I36" si="20">(L30*$V30)+(N30*$W30)+(P30*$X30)+(R30*$Y30)</f>
        <v>2681290.3519919883</v>
      </c>
      <c r="K30" s="9">
        <v>0.61603645444657917</v>
      </c>
      <c r="L30" s="2">
        <f t="shared" si="14"/>
        <v>0.38396354555342083</v>
      </c>
      <c r="M30" s="9"/>
      <c r="N30" s="2">
        <f t="shared" si="15"/>
        <v>1</v>
      </c>
      <c r="O30" s="9">
        <v>0.59624558917046744</v>
      </c>
      <c r="P30" s="2">
        <f t="shared" si="16"/>
        <v>0.40375441082953256</v>
      </c>
      <c r="Q30" s="9">
        <v>0.61304498621268699</v>
      </c>
      <c r="R30" s="2">
        <f t="shared" si="17"/>
        <v>0.38695501378731301</v>
      </c>
      <c r="S30" s="9">
        <v>0.61603645444657917</v>
      </c>
      <c r="T30" s="2">
        <f t="shared" si="18"/>
        <v>0.38396354555342083</v>
      </c>
      <c r="V30" s="10">
        <f>SUMIFS('All Measure &amp; TRC+ Calc'!AE:AE,'All Measure &amp; TRC+ Calc'!B:B,B30,'All Measure &amp; TRC+ Calc'!D:D,C30)</f>
        <v>3474427.4432333936</v>
      </c>
      <c r="W30" s="10">
        <f>SUMIFS(Budget!$E:$E,Budget!$D:$D,W$27,Budget!$C:$C,$C30,Budget!$A:$A,$B30)-V30</f>
        <v>957868.5567666064</v>
      </c>
      <c r="X30" s="10">
        <f>SUMIFS(Budget!$E:$E,Budget!$D:$D,X$27,Budget!$C:$C,$C30,Budget!$A:$A,$B30)</f>
        <v>471472</v>
      </c>
      <c r="Y30" s="10">
        <f>SUMIFS(Budget!$E:$E,Budget!$D:$D,Y$27,Budget!$C:$C,$C30,Budget!$A:$A,$B30)</f>
        <v>514296</v>
      </c>
    </row>
    <row r="31" spans="2:25" x14ac:dyDescent="0.25">
      <c r="B31">
        <v>2028</v>
      </c>
      <c r="C31" t="s">
        <v>164</v>
      </c>
      <c r="D31" s="2"/>
      <c r="E31" s="11">
        <f>SUMIFS('All Measure &amp; TRC+ Calc'!$AR:$AR,'All Measure &amp; TRC+ Calc'!$D:$D,$C31,'All Measure &amp; TRC+ Calc'!$B:$B,$B31)</f>
        <v>388931.33573338989</v>
      </c>
      <c r="F31" s="11">
        <f>SUMIFS('All Measure &amp; TRC+ Calc'!$AE:$AE,'All Measure &amp; TRC+ Calc'!$D:$D,$C31,'All Measure &amp; TRC+ Calc'!$B:$B,$B31)-E31</f>
        <v>6514223.3789344076</v>
      </c>
      <c r="H31" s="5">
        <f t="shared" si="19"/>
        <v>807048.63936499099</v>
      </c>
      <c r="I31" s="5">
        <f t="shared" si="20"/>
        <v>11547219.360635009</v>
      </c>
      <c r="K31" s="9">
        <v>0.10146756665537228</v>
      </c>
      <c r="L31" s="2">
        <f t="shared" si="14"/>
        <v>0.89853243334462773</v>
      </c>
      <c r="M31" s="9"/>
      <c r="N31" s="2">
        <f t="shared" si="15"/>
        <v>1</v>
      </c>
      <c r="O31" s="9">
        <v>9.2399078391423611E-2</v>
      </c>
      <c r="P31" s="2">
        <f t="shared" si="16"/>
        <v>0.90760092160857642</v>
      </c>
      <c r="Q31" s="9">
        <v>0.11178032136777649</v>
      </c>
      <c r="R31" s="2">
        <f t="shared" si="17"/>
        <v>0.88821967863222351</v>
      </c>
      <c r="S31" s="9">
        <v>0.10146756665537228</v>
      </c>
      <c r="T31" s="2">
        <f t="shared" si="18"/>
        <v>0.89853243334462773</v>
      </c>
      <c r="V31" s="10">
        <f>SUMIFS('All Measure &amp; TRC+ Calc'!AE:AE,'All Measure &amp; TRC+ Calc'!B:B,B31,'All Measure &amp; TRC+ Calc'!D:D,C31)</f>
        <v>6903154.7146677971</v>
      </c>
      <c r="W31" s="10">
        <f>SUMIFS(Budget!$E:$E,Budget!$D:$D,W$27,Budget!$C:$C,$C31,Budget!$A:$A,$B31)-V31</f>
        <v>4424860.2853322029</v>
      </c>
      <c r="X31" s="10">
        <f>SUMIFS(Budget!$E:$E,Budget!$D:$D,X$27,Budget!$C:$C,$C31,Budget!$A:$A,$B31)</f>
        <v>418578</v>
      </c>
      <c r="Y31" s="10">
        <f>SUMIFS(Budget!$E:$E,Budget!$D:$D,Y$27,Budget!$C:$C,$C31,Budget!$A:$A,$B31)</f>
        <v>607675</v>
      </c>
    </row>
    <row r="32" spans="2:25" x14ac:dyDescent="0.25">
      <c r="B32">
        <v>2028</v>
      </c>
      <c r="C32" t="s">
        <v>165</v>
      </c>
      <c r="D32" s="2"/>
      <c r="E32" s="11">
        <f>SUMIFS('All Measure &amp; TRC+ Calc'!$AR:$AR,'All Measure &amp; TRC+ Calc'!$D:$D,$C32,'All Measure &amp; TRC+ Calc'!$B:$B,$B32)</f>
        <v>524649.99119877012</v>
      </c>
      <c r="F32" s="11">
        <f>SUMIFS('All Measure &amp; TRC+ Calc'!$AE:$AE,'All Measure &amp; TRC+ Calc'!$D:$D,$C32,'All Measure &amp; TRC+ Calc'!$B:$B,$B32)-E32</f>
        <v>1661391.6387961055</v>
      </c>
      <c r="H32" s="5">
        <f t="shared" si="19"/>
        <v>846766.67119877017</v>
      </c>
      <c r="I32" s="5">
        <f t="shared" si="20"/>
        <v>3064161.3288012296</v>
      </c>
      <c r="K32" s="9">
        <v>0.23999999999999996</v>
      </c>
      <c r="L32" s="2">
        <f t="shared" si="14"/>
        <v>0.76</v>
      </c>
      <c r="M32" s="9"/>
      <c r="N32" s="2">
        <f t="shared" si="15"/>
        <v>1</v>
      </c>
      <c r="O32" s="9">
        <v>0.24</v>
      </c>
      <c r="P32" s="2">
        <f t="shared" si="16"/>
        <v>0.76</v>
      </c>
      <c r="Q32" s="9">
        <v>0.21999999999999997</v>
      </c>
      <c r="R32" s="2">
        <f t="shared" si="17"/>
        <v>0.78</v>
      </c>
      <c r="S32" s="9">
        <v>0.23999999999999996</v>
      </c>
      <c r="T32" s="2">
        <f t="shared" si="18"/>
        <v>0.76</v>
      </c>
      <c r="V32" s="10">
        <f>SUMIFS('All Measure &amp; TRC+ Calc'!AE:AE,'All Measure &amp; TRC+ Calc'!B:B,B32,'All Measure &amp; TRC+ Calc'!D:D,C32)</f>
        <v>2186041.6299948758</v>
      </c>
      <c r="W32" s="10">
        <f>SUMIFS(Budget!$E:$E,Budget!$D:$D,W$27,Budget!$C:$C,$C32,Budget!$A:$A,$B32)-V32</f>
        <v>294703.37000512425</v>
      </c>
      <c r="X32" s="10">
        <f>SUMIFS(Budget!$E:$E,Budget!$D:$D,X$27,Budget!$C:$C,$C32,Budget!$A:$A,$B32)</f>
        <v>373821</v>
      </c>
      <c r="Y32" s="10">
        <f>SUMIFS(Budget!$E:$E,Budget!$D:$D,Y$27,Budget!$C:$C,$C32,Budget!$A:$A,$B32)</f>
        <v>1056362</v>
      </c>
    </row>
    <row r="33" spans="2:25" x14ac:dyDescent="0.25">
      <c r="B33">
        <v>2028</v>
      </c>
      <c r="C33" t="s">
        <v>166</v>
      </c>
      <c r="D33" s="2"/>
      <c r="E33" s="11">
        <f>SUMIFS('All Measure &amp; TRC+ Calc'!$AR:$AR,'All Measure &amp; TRC+ Calc'!$D:$D,$C33,'All Measure &amp; TRC+ Calc'!$B:$B,$B33)</f>
        <v>106580.65136078568</v>
      </c>
      <c r="F33" s="11">
        <f>SUMIFS('All Measure &amp; TRC+ Calc'!$AE:$AE,'All Measure &amp; TRC+ Calc'!$D:$D,$C33,'All Measure &amp; TRC+ Calc'!$B:$B,$B33)-E33</f>
        <v>187918.51687296425</v>
      </c>
      <c r="H33" s="5">
        <f t="shared" si="19"/>
        <v>291899.28895235161</v>
      </c>
      <c r="I33" s="5">
        <f t="shared" si="20"/>
        <v>431254.71104764839</v>
      </c>
      <c r="K33" s="9">
        <v>0.36363636363636365</v>
      </c>
      <c r="L33" s="2">
        <f t="shared" si="14"/>
        <v>0.63636363636363635</v>
      </c>
      <c r="M33" s="9">
        <v>0.70422535211267601</v>
      </c>
      <c r="N33" s="2">
        <f t="shared" si="15"/>
        <v>0.29577464788732399</v>
      </c>
      <c r="O33" s="9">
        <v>0.84207119299710842</v>
      </c>
      <c r="P33" s="2">
        <f t="shared" si="16"/>
        <v>0.15792880700289158</v>
      </c>
      <c r="Q33" s="9">
        <v>0.17391304347826086</v>
      </c>
      <c r="R33" s="2">
        <f t="shared" si="17"/>
        <v>0.82608695652173914</v>
      </c>
      <c r="S33" s="9">
        <v>0.54984237885897724</v>
      </c>
      <c r="T33" s="2">
        <f t="shared" si="18"/>
        <v>0.45015762114102276</v>
      </c>
      <c r="V33" s="10">
        <f>SUMIFS('All Measure &amp; TRC+ Calc'!AE:AE,'All Measure &amp; TRC+ Calc'!B:B,B33,'All Measure &amp; TRC+ Calc'!D:D,C33)</f>
        <v>294499.16823374992</v>
      </c>
      <c r="W33" s="10">
        <f>SUMIFS(Budget!$E:$E,Budget!$D:$D,W$27,Budget!$C:$C,$C33,Budget!$A:$A,$B33)-V33</f>
        <v>79754.831766250078</v>
      </c>
      <c r="X33" s="10">
        <f>SUMIFS(Budget!$E:$E,Budget!$D:$D,X$27,Budget!$C:$C,$C33,Budget!$A:$A,$B33)</f>
        <v>101720</v>
      </c>
      <c r="Y33" s="10">
        <f>SUMIFS(Budget!$E:$E,Budget!$D:$D,Y$27,Budget!$C:$C,$C33,Budget!$A:$A,$B33)</f>
        <v>247180</v>
      </c>
    </row>
    <row r="34" spans="2:25" x14ac:dyDescent="0.25">
      <c r="B34">
        <v>2028</v>
      </c>
      <c r="C34" t="s">
        <v>167</v>
      </c>
      <c r="D34" s="2"/>
      <c r="E34" s="11">
        <f>SUMIFS('All Measure &amp; TRC+ Calc'!$AR:$AR,'All Measure &amp; TRC+ Calc'!$D:$D,$C34,'All Measure &amp; TRC+ Calc'!$B:$B,$B34)</f>
        <v>0</v>
      </c>
      <c r="F34" s="11">
        <f>SUMIFS('All Measure &amp; TRC+ Calc'!$AE:$AE,'All Measure &amp; TRC+ Calc'!$D:$D,$C34,'All Measure &amp; TRC+ Calc'!$B:$B,$B34)-E34</f>
        <v>51172</v>
      </c>
      <c r="H34" s="5">
        <f t="shared" si="19"/>
        <v>0</v>
      </c>
      <c r="I34" s="5">
        <f t="shared" si="20"/>
        <v>253222</v>
      </c>
      <c r="K34" s="9">
        <v>0</v>
      </c>
      <c r="L34" s="2">
        <f t="shared" si="14"/>
        <v>1</v>
      </c>
      <c r="M34" s="9">
        <v>0</v>
      </c>
      <c r="N34" s="2">
        <f t="shared" si="15"/>
        <v>1</v>
      </c>
      <c r="O34" s="9">
        <v>0</v>
      </c>
      <c r="P34" s="2">
        <f t="shared" si="16"/>
        <v>1</v>
      </c>
      <c r="Q34" s="9">
        <v>0</v>
      </c>
      <c r="R34" s="2">
        <f t="shared" si="17"/>
        <v>1</v>
      </c>
      <c r="S34" s="9">
        <v>0</v>
      </c>
      <c r="T34" s="2">
        <f t="shared" si="18"/>
        <v>1</v>
      </c>
      <c r="V34" s="10">
        <f>SUMIFS('All Measure &amp; TRC+ Calc'!AE:AE,'All Measure &amp; TRC+ Calc'!B:B,B34,'All Measure &amp; TRC+ Calc'!D:D,C34)</f>
        <v>51172</v>
      </c>
      <c r="W34" s="10">
        <f>SUMIFS(Budget!$E:$E,Budget!$D:$D,W$27,Budget!$C:$C,$C34,Budget!$A:$A,$B34)-V34</f>
        <v>65654</v>
      </c>
      <c r="X34" s="10">
        <f>SUMIFS(Budget!$E:$E,Budget!$D:$D,X$27,Budget!$C:$C,$C34,Budget!$A:$A,$B34)</f>
        <v>76290</v>
      </c>
      <c r="Y34" s="10">
        <f>SUMIFS(Budget!$E:$E,Budget!$D:$D,Y$27,Budget!$C:$C,$C34,Budget!$A:$A,$B34)</f>
        <v>60106</v>
      </c>
    </row>
    <row r="35" spans="2:25" x14ac:dyDescent="0.25">
      <c r="B35">
        <v>2028</v>
      </c>
      <c r="C35" t="s">
        <v>168</v>
      </c>
      <c r="D35" s="2"/>
      <c r="E35" s="11">
        <f>SUMIFS('All Measure &amp; TRC+ Calc'!$AR:$AR,'All Measure &amp; TRC+ Calc'!$D:$D,$C35,'All Measure &amp; TRC+ Calc'!$B:$B,$B35)</f>
        <v>0</v>
      </c>
      <c r="F35" s="11">
        <f>SUMIFS('All Measure &amp; TRC+ Calc'!$AE:$AE,'All Measure &amp; TRC+ Calc'!$D:$D,$C35,'All Measure &amp; TRC+ Calc'!$B:$B,$B35)-E35</f>
        <v>0</v>
      </c>
      <c r="H35" s="5">
        <f t="shared" si="19"/>
        <v>794816</v>
      </c>
      <c r="I35" s="5">
        <f t="shared" si="20"/>
        <v>0</v>
      </c>
      <c r="K35" s="9"/>
      <c r="L35" s="2">
        <f t="shared" si="14"/>
        <v>1</v>
      </c>
      <c r="M35" s="9">
        <v>1</v>
      </c>
      <c r="N35" s="2">
        <f t="shared" si="15"/>
        <v>0</v>
      </c>
      <c r="O35" s="9">
        <v>1</v>
      </c>
      <c r="P35" s="2">
        <f t="shared" si="16"/>
        <v>0</v>
      </c>
      <c r="Q35" s="9">
        <v>1</v>
      </c>
      <c r="R35" s="2">
        <f t="shared" si="17"/>
        <v>0</v>
      </c>
      <c r="S35" s="9">
        <v>1</v>
      </c>
      <c r="T35" s="2">
        <f t="shared" si="18"/>
        <v>0</v>
      </c>
      <c r="V35" s="10">
        <f>SUMIFS('All Measure &amp; TRC+ Calc'!AE:AE,'All Measure &amp; TRC+ Calc'!B:B,B35,'All Measure &amp; TRC+ Calc'!D:D,C35)</f>
        <v>0</v>
      </c>
      <c r="W35" s="10">
        <f>SUMIFS(Budget!$E:$E,Budget!$D:$D,W$27,Budget!$C:$C,$C35,Budget!$A:$A,$B35)-V35</f>
        <v>510000</v>
      </c>
      <c r="X35" s="10">
        <f>SUMIFS(Budget!$E:$E,Budget!$D:$D,X$27,Budget!$C:$C,$C35,Budget!$A:$A,$B35)</f>
        <v>30516</v>
      </c>
      <c r="Y35" s="10">
        <f>SUMIFS(Budget!$E:$E,Budget!$D:$D,Y$27,Budget!$C:$C,$C35,Budget!$A:$A,$B35)</f>
        <v>254300</v>
      </c>
    </row>
    <row r="36" spans="2:25" x14ac:dyDescent="0.25">
      <c r="B36">
        <v>2028</v>
      </c>
      <c r="C36" t="s">
        <v>18</v>
      </c>
      <c r="D36" s="2"/>
      <c r="E36" s="11">
        <f>SUMIFS('All Measure &amp; TRC+ Calc'!$AR:$AR,'All Measure &amp; TRC+ Calc'!$D:$D,$C36,'All Measure &amp; TRC+ Calc'!$B:$B,$B36)</f>
        <v>0</v>
      </c>
      <c r="F36" s="11">
        <f>SUMIFS('All Measure &amp; TRC+ Calc'!$AE:$AE,'All Measure &amp; TRC+ Calc'!$D:$D,$C36,'All Measure &amp; TRC+ Calc'!$B:$B,$B36)-E36</f>
        <v>0</v>
      </c>
      <c r="H36" s="5">
        <f t="shared" si="19"/>
        <v>1427608</v>
      </c>
      <c r="I36" s="5">
        <f t="shared" si="20"/>
        <v>611832.00000000012</v>
      </c>
      <c r="K36" s="9"/>
      <c r="L36" s="2">
        <f t="shared" si="14"/>
        <v>1</v>
      </c>
      <c r="M36" s="9">
        <v>0.7</v>
      </c>
      <c r="N36" s="2">
        <f t="shared" si="15"/>
        <v>0.30000000000000004</v>
      </c>
      <c r="O36" s="9">
        <v>0.7</v>
      </c>
      <c r="P36" s="2">
        <f t="shared" si="16"/>
        <v>0.30000000000000004</v>
      </c>
      <c r="Q36" s="9">
        <v>0.7</v>
      </c>
      <c r="R36" s="2">
        <f t="shared" si="17"/>
        <v>0.30000000000000004</v>
      </c>
      <c r="S36" s="9">
        <v>0.7</v>
      </c>
      <c r="T36" s="2">
        <f t="shared" si="18"/>
        <v>0.30000000000000004</v>
      </c>
      <c r="V36" s="10">
        <f>SUMIFS('All Measure &amp; TRC+ Calc'!AE:AE,'All Measure &amp; TRC+ Calc'!B:B,B36,'All Measure &amp; TRC+ Calc'!D:D,C36)</f>
        <v>0</v>
      </c>
      <c r="W36" s="10">
        <f>SUMIFS(Budget!$E:$E,Budget!$D:$D,W$27,Budget!$C:$C,$C36,Budget!$A:$A,$B36)-V36</f>
        <v>1836000</v>
      </c>
      <c r="X36" s="10">
        <f>SUMIFS(Budget!$E:$E,Budget!$D:$D,X$27,Budget!$C:$C,$C36,Budget!$A:$A,$B36)</f>
        <v>40688</v>
      </c>
      <c r="Y36" s="10">
        <f>SUMIFS(Budget!$E:$E,Budget!$D:$D,Y$27,Budget!$C:$C,$C36,Budget!$A:$A,$B36)</f>
        <v>162752</v>
      </c>
    </row>
    <row r="37" spans="2:25" x14ac:dyDescent="0.25">
      <c r="E37" s="4">
        <f>SUM(E29:E36)</f>
        <v>20842579.989868969</v>
      </c>
      <c r="F37" s="4">
        <f>SUM(F29:F36)</f>
        <v>12015514.788380692</v>
      </c>
      <c r="H37" s="19">
        <f>_xlfn.AGGREGATE(9,6,H29:H36)</f>
        <v>22183844.744186997</v>
      </c>
      <c r="I37" s="19">
        <f>_xlfn.AGGREGATE(9,6,I29:I36)</f>
        <v>20662269.255813003</v>
      </c>
    </row>
    <row r="38" spans="2:25" ht="18.75" x14ac:dyDescent="0.3">
      <c r="C38" s="6">
        <v>2029</v>
      </c>
    </row>
    <row r="39" spans="2:25" x14ac:dyDescent="0.25">
      <c r="D39" s="8"/>
      <c r="E39" s="3" t="s">
        <v>196</v>
      </c>
      <c r="F39" s="8"/>
      <c r="H39" s="8" t="s">
        <v>134</v>
      </c>
      <c r="I39" s="8"/>
      <c r="K39" s="3" t="s">
        <v>197</v>
      </c>
      <c r="L39" s="3"/>
      <c r="M39" s="8" t="s">
        <v>198</v>
      </c>
      <c r="N39" s="8"/>
      <c r="O39" s="8" t="s">
        <v>127</v>
      </c>
      <c r="P39" s="8"/>
      <c r="Q39" s="8" t="s">
        <v>128</v>
      </c>
      <c r="R39" s="8"/>
      <c r="S39" s="8" t="s">
        <v>199</v>
      </c>
      <c r="T39" s="8"/>
      <c r="V39" s="8" t="s">
        <v>197</v>
      </c>
      <c r="W39" s="8" t="s">
        <v>126</v>
      </c>
      <c r="X39" s="8" t="s">
        <v>127</v>
      </c>
      <c r="Y39" s="8" t="s">
        <v>128</v>
      </c>
    </row>
    <row r="40" spans="2:25" x14ac:dyDescent="0.25">
      <c r="D40" s="3"/>
      <c r="E40" s="3" t="s">
        <v>200</v>
      </c>
      <c r="F40" s="3" t="s">
        <v>201</v>
      </c>
      <c r="H40" s="3" t="s">
        <v>200</v>
      </c>
      <c r="I40" s="3" t="s">
        <v>201</v>
      </c>
      <c r="K40" s="3" t="s">
        <v>202</v>
      </c>
      <c r="L40" s="3" t="s">
        <v>203</v>
      </c>
      <c r="M40" s="3" t="s">
        <v>202</v>
      </c>
      <c r="N40" s="3" t="s">
        <v>203</v>
      </c>
      <c r="O40" s="3" t="s">
        <v>202</v>
      </c>
      <c r="P40" s="3" t="s">
        <v>203</v>
      </c>
      <c r="Q40" s="3" t="s">
        <v>202</v>
      </c>
      <c r="R40" s="3" t="s">
        <v>203</v>
      </c>
      <c r="S40" s="3" t="s">
        <v>202</v>
      </c>
      <c r="T40" s="3" t="s">
        <v>203</v>
      </c>
      <c r="V40" s="3"/>
      <c r="W40" s="3"/>
      <c r="X40" s="3"/>
      <c r="Y40" s="3"/>
    </row>
    <row r="41" spans="2:25" x14ac:dyDescent="0.25">
      <c r="B41">
        <v>2029</v>
      </c>
      <c r="C41" t="s">
        <v>9</v>
      </c>
      <c r="D41" s="2"/>
      <c r="E41" s="11">
        <f>SUMIFS('All Measure &amp; TRC+ Calc'!$AR:$AR,'All Measure &amp; TRC+ Calc'!$D:$D,$C41,'All Measure &amp; TRC+ Calc'!$B:$B,$B41)</f>
        <v>19355987.732848559</v>
      </c>
      <c r="F41" s="11">
        <f>SUMIFS('All Measure &amp; TRC+ Calc'!$AE:$AE,'All Measure &amp; TRC+ Calc'!$D:$D,$C41,'All Measure &amp; TRC+ Calc'!$B:$B,$B41)-E41</f>
        <v>2214382.0251700655</v>
      </c>
      <c r="H41" s="5">
        <f>(K41*$V41)+(M41*$W41)+(O41*$X41)+(Q41*$Y41)</f>
        <v>16814113.532878254</v>
      </c>
      <c r="I41" s="5">
        <f>(L41*$V41)+(N41*$W41)+(P41*$X41)+(R41*$Y41)</f>
        <v>2309562.4671217469</v>
      </c>
      <c r="K41" s="9">
        <v>0.88763558784703811</v>
      </c>
      <c r="L41" s="2">
        <f t="shared" ref="L41:L48" si="21">1-K41</f>
        <v>0.11236441215296189</v>
      </c>
      <c r="M41" s="9">
        <v>0.87481776814447409</v>
      </c>
      <c r="N41" s="2">
        <f t="shared" ref="N41:N48" si="22">1-M41</f>
        <v>0.12518223185552591</v>
      </c>
      <c r="O41" s="9">
        <v>0.84409477925342036</v>
      </c>
      <c r="P41" s="2">
        <f t="shared" ref="P41:P48" si="23">1-O41</f>
        <v>0.15590522074657964</v>
      </c>
      <c r="Q41" s="9">
        <v>0.42369240686839715</v>
      </c>
      <c r="R41" s="2">
        <f t="shared" ref="R41:R48" si="24">1-Q41</f>
        <v>0.57630759313160285</v>
      </c>
      <c r="S41" s="9">
        <v>0.84711128725859997</v>
      </c>
      <c r="T41" s="2">
        <f t="shared" ref="T41:T48" si="25">1-S41</f>
        <v>0.15288871274140003</v>
      </c>
      <c r="V41" s="10">
        <f>SUMIFS('All Measure &amp; TRC+ Calc'!AE:AE,'All Measure &amp; TRC+ Calc'!B:B,B41,'All Measure &amp; TRC+ Calc'!D:D,C41)</f>
        <v>21570369.758018624</v>
      </c>
      <c r="W41" s="10">
        <f>SUMIFS(Budget!$E:$E,Budget!$D:$D,W$39,Budget!$C:$C,$C41,Budget!$A:$A,$B41)-V41</f>
        <v>-3489149.758018624</v>
      </c>
      <c r="X41" s="10">
        <f>SUMIFS(Budget!$E:$E,Budget!$D:$D,X$39,Budget!$C:$C,$C41,Budget!$A:$A,$B41)</f>
        <v>661688</v>
      </c>
      <c r="Y41" s="10">
        <f>SUMIFS(Budget!$E:$E,Budget!$D:$D,Y$39,Budget!$C:$C,$C41,Budget!$A:$A,$B41)</f>
        <v>380768</v>
      </c>
    </row>
    <row r="42" spans="2:25" x14ac:dyDescent="0.25">
      <c r="B42">
        <v>2029</v>
      </c>
      <c r="C42" t="s">
        <v>163</v>
      </c>
      <c r="D42" s="2"/>
      <c r="E42" s="11">
        <f>SUMIFS('All Measure &amp; TRC+ Calc'!$AR:$AR,'All Measure &amp; TRC+ Calc'!$D:$D,$C42,'All Measure &amp; TRC+ Calc'!$B:$B,$B42)</f>
        <v>2161341.767134035</v>
      </c>
      <c r="F42" s="11">
        <f>SUMIFS('All Measure &amp; TRC+ Calc'!$AE:$AE,'All Measure &amp; TRC+ Calc'!$D:$D,$C42,'All Measure &amp; TRC+ Calc'!$B:$B,$B42)-E42</f>
        <v>1656947.9313288722</v>
      </c>
      <c r="H42" s="5">
        <f t="shared" ref="H42:H48" si="26">(K42*$V42)+(M42*$W42)+(O42*$X42)+(Q42*$Y42)</f>
        <v>2985244.1001565633</v>
      </c>
      <c r="I42" s="5">
        <f t="shared" ref="I42:I48" si="27">(L42*$V42)+(N42*$W42)+(P42*$X42)+(R42*$Y42)</f>
        <v>3038824.8998434371</v>
      </c>
      <c r="K42" s="9">
        <v>0.61456975354469157</v>
      </c>
      <c r="L42" s="2">
        <f t="shared" si="21"/>
        <v>0.38543024645530843</v>
      </c>
      <c r="M42" s="9"/>
      <c r="N42" s="2">
        <f t="shared" si="22"/>
        <v>1</v>
      </c>
      <c r="O42" s="9">
        <v>0.5962673774089704</v>
      </c>
      <c r="P42" s="2">
        <f t="shared" si="23"/>
        <v>0.4037326225910296</v>
      </c>
      <c r="Q42" s="9">
        <v>0.61304564093203351</v>
      </c>
      <c r="R42" s="2">
        <f t="shared" si="24"/>
        <v>0.38695435906796649</v>
      </c>
      <c r="S42" s="9">
        <v>0.61456975354469157</v>
      </c>
      <c r="T42" s="2">
        <f t="shared" si="25"/>
        <v>0.38543024645530843</v>
      </c>
      <c r="V42" s="10">
        <f>SUMIFS('All Measure &amp; TRC+ Calc'!AE:AE,'All Measure &amp; TRC+ Calc'!B:B,B42,'All Measure &amp; TRC+ Calc'!D:D,C42)</f>
        <v>3818289.6984629072</v>
      </c>
      <c r="W42" s="10">
        <f>SUMIFS(Budget!$E:$E,Budget!$D:$D,W$39,Budget!$C:$C,$C42,Budget!$A:$A,$B42)-V42</f>
        <v>1150906.3015370928</v>
      </c>
      <c r="X42" s="10">
        <f>SUMIFS(Budget!$E:$E,Budget!$D:$D,X$39,Budget!$C:$C,$C42,Budget!$A:$A,$B42)</f>
        <v>479582</v>
      </c>
      <c r="Y42" s="10">
        <f>SUMIFS(Budget!$E:$E,Budget!$D:$D,Y$39,Budget!$C:$C,$C42,Budget!$A:$A,$B42)</f>
        <v>575291</v>
      </c>
    </row>
    <row r="43" spans="2:25" x14ac:dyDescent="0.25">
      <c r="B43">
        <v>2029</v>
      </c>
      <c r="C43" t="s">
        <v>164</v>
      </c>
      <c r="D43" s="2"/>
      <c r="E43" s="11">
        <f>SUMIFS('All Measure &amp; TRC+ Calc'!$AR:$AR,'All Measure &amp; TRC+ Calc'!$D:$D,$C43,'All Measure &amp; TRC+ Calc'!$B:$B,$B43)</f>
        <v>411306.96776652179</v>
      </c>
      <c r="F43" s="11">
        <f>SUMIFS('All Measure &amp; TRC+ Calc'!$AE:$AE,'All Measure &amp; TRC+ Calc'!$D:$D,$C43,'All Measure &amp; TRC+ Calc'!$B:$B,$B43)-E43</f>
        <v>6851813.1875639148</v>
      </c>
      <c r="H43" s="5">
        <f t="shared" si="26"/>
        <v>905736.57010936807</v>
      </c>
      <c r="I43" s="5">
        <f t="shared" si="27"/>
        <v>12341481.429890631</v>
      </c>
      <c r="K43" s="9">
        <v>0.10824833699282478</v>
      </c>
      <c r="L43" s="2">
        <f t="shared" si="21"/>
        <v>0.89175166300717523</v>
      </c>
      <c r="M43" s="9"/>
      <c r="N43" s="2">
        <f t="shared" si="22"/>
        <v>1</v>
      </c>
      <c r="O43" s="9">
        <v>9.9187335558771156E-2</v>
      </c>
      <c r="P43" s="2">
        <f t="shared" si="23"/>
        <v>0.90081266444122887</v>
      </c>
      <c r="Q43" s="9">
        <v>0.11803497265582696</v>
      </c>
      <c r="R43" s="2">
        <f t="shared" si="24"/>
        <v>0.88196502734417304</v>
      </c>
      <c r="S43" s="9">
        <v>0.10824833699282478</v>
      </c>
      <c r="T43" s="2">
        <f t="shared" si="25"/>
        <v>0.89175166300717523</v>
      </c>
      <c r="V43" s="10">
        <f>SUMIFS('All Measure &amp; TRC+ Calc'!AE:AE,'All Measure &amp; TRC+ Calc'!B:B,B43,'All Measure &amp; TRC+ Calc'!D:D,C43)</f>
        <v>7263120.1553304363</v>
      </c>
      <c r="W43" s="10">
        <f>SUMIFS(Budget!$E:$E,Budget!$D:$D,W$39,Budget!$C:$C,$C43,Budget!$A:$A,$B43)-V43</f>
        <v>4903563.8446695637</v>
      </c>
      <c r="X43" s="10">
        <f>SUMIFS(Budget!$E:$E,Budget!$D:$D,X$39,Budget!$C:$C,$C43,Budget!$A:$A,$B43)</f>
        <v>425778</v>
      </c>
      <c r="Y43" s="10">
        <f>SUMIFS(Budget!$E:$E,Budget!$D:$D,Y$39,Budget!$C:$C,$C43,Budget!$A:$A,$B43)</f>
        <v>654756</v>
      </c>
    </row>
    <row r="44" spans="2:25" x14ac:dyDescent="0.25">
      <c r="B44">
        <v>2029</v>
      </c>
      <c r="C44" t="s">
        <v>165</v>
      </c>
      <c r="D44" s="2"/>
      <c r="E44" s="11">
        <f>SUMIFS('All Measure &amp; TRC+ Calc'!$AR:$AR,'All Measure &amp; TRC+ Calc'!$D:$D,$C44,'All Measure &amp; TRC+ Calc'!$B:$B,$B44)</f>
        <v>577102.16976461327</v>
      </c>
      <c r="F44" s="11">
        <f>SUMIFS('All Measure &amp; TRC+ Calc'!$AE:$AE,'All Measure &amp; TRC+ Calc'!$D:$D,$C44,'All Measure &amp; TRC+ Calc'!$B:$B,$B44)-E44</f>
        <v>1827490.2042546086</v>
      </c>
      <c r="H44" s="5">
        <f t="shared" si="26"/>
        <v>923083.44976461306</v>
      </c>
      <c r="I44" s="5">
        <f t="shared" si="27"/>
        <v>3398867.5502353869</v>
      </c>
      <c r="K44" s="9">
        <v>0.23999999999999994</v>
      </c>
      <c r="L44" s="2">
        <f t="shared" si="21"/>
        <v>0.76</v>
      </c>
      <c r="M44" s="9"/>
      <c r="N44" s="2">
        <f t="shared" si="22"/>
        <v>1</v>
      </c>
      <c r="O44" s="9">
        <v>0.24</v>
      </c>
      <c r="P44" s="2">
        <f t="shared" si="23"/>
        <v>0.76</v>
      </c>
      <c r="Q44" s="9">
        <v>0.21999999999999997</v>
      </c>
      <c r="R44" s="2">
        <f t="shared" si="24"/>
        <v>0.78</v>
      </c>
      <c r="S44" s="9">
        <v>0.23999999999999994</v>
      </c>
      <c r="T44" s="2">
        <f t="shared" si="25"/>
        <v>0.76</v>
      </c>
      <c r="V44" s="10">
        <f>SUMIFS('All Measure &amp; TRC+ Calc'!AE:AE,'All Measure &amp; TRC+ Calc'!B:B,B44,'All Measure &amp; TRC+ Calc'!D:D,C44)</f>
        <v>2404592.3740192219</v>
      </c>
      <c r="W44" s="10">
        <f>SUMIFS(Budget!$E:$E,Budget!$D:$D,W$39,Budget!$C:$C,$C44,Budget!$A:$A,$B44)-V44</f>
        <v>379284.62598077813</v>
      </c>
      <c r="X44" s="10">
        <f>SUMIFS(Budget!$E:$E,Budget!$D:$D,X$39,Budget!$C:$C,$C44,Budget!$A:$A,$B44)</f>
        <v>380250</v>
      </c>
      <c r="Y44" s="10">
        <f>SUMIFS(Budget!$E:$E,Budget!$D:$D,Y$39,Budget!$C:$C,$C44,Budget!$A:$A,$B44)</f>
        <v>1157824</v>
      </c>
    </row>
    <row r="45" spans="2:25" x14ac:dyDescent="0.25">
      <c r="B45">
        <v>2029</v>
      </c>
      <c r="C45" t="s">
        <v>166</v>
      </c>
      <c r="D45" s="2"/>
      <c r="E45" s="11">
        <f>SUMIFS('All Measure &amp; TRC+ Calc'!$AR:$AR,'All Measure &amp; TRC+ Calc'!$D:$D,$C45,'All Measure &amp; TRC+ Calc'!$B:$B,$B45)</f>
        <v>113037.99822241921</v>
      </c>
      <c r="F45" s="11">
        <f>SUMIFS('All Measure &amp; TRC+ Calc'!$AE:$AE,'All Measure &amp; TRC+ Calc'!$D:$D,$C45,'All Measure &amp; TRC+ Calc'!$B:$B,$B45)-E45</f>
        <v>197816.49688923356</v>
      </c>
      <c r="H45" s="5">
        <f t="shared" si="26"/>
        <v>304947.41320231545</v>
      </c>
      <c r="I45" s="5">
        <f t="shared" si="27"/>
        <v>441125.58679768455</v>
      </c>
      <c r="K45" s="9">
        <v>0.36363636363636359</v>
      </c>
      <c r="L45" s="2">
        <f t="shared" si="21"/>
        <v>0.63636363636363646</v>
      </c>
      <c r="M45" s="9">
        <v>0.70422535211267601</v>
      </c>
      <c r="N45" s="2">
        <f t="shared" si="22"/>
        <v>0.29577464788732399</v>
      </c>
      <c r="O45" s="9">
        <v>0.84019464295363233</v>
      </c>
      <c r="P45" s="2">
        <f t="shared" si="23"/>
        <v>0.15980535704636767</v>
      </c>
      <c r="Q45" s="9">
        <v>0.16666666666666663</v>
      </c>
      <c r="R45" s="2">
        <f t="shared" si="24"/>
        <v>0.83333333333333337</v>
      </c>
      <c r="S45" s="9">
        <v>0.54673166091843506</v>
      </c>
      <c r="T45" s="2">
        <f t="shared" si="25"/>
        <v>0.45326833908156494</v>
      </c>
      <c r="V45" s="10">
        <f>SUMIFS('All Measure &amp; TRC+ Calc'!AE:AE,'All Measure &amp; TRC+ Calc'!B:B,B45,'All Measure &amp; TRC+ Calc'!D:D,C45)</f>
        <v>310854.49511165277</v>
      </c>
      <c r="W45" s="10">
        <f>SUMIFS(Budget!$E:$E,Budget!$D:$D,W$39,Budget!$C:$C,$C45,Budget!$A:$A,$B45)-V45</f>
        <v>92423.504888347234</v>
      </c>
      <c r="X45" s="10">
        <f>SUMIFS(Budget!$E:$E,Budget!$D:$D,X$39,Budget!$C:$C,$C45,Budget!$A:$A,$B45)</f>
        <v>103470</v>
      </c>
      <c r="Y45" s="10">
        <f>SUMIFS(Budget!$E:$E,Budget!$D:$D,Y$39,Budget!$C:$C,$C45,Budget!$A:$A,$B45)</f>
        <v>239325</v>
      </c>
    </row>
    <row r="46" spans="2:25" x14ac:dyDescent="0.25">
      <c r="B46">
        <v>2029</v>
      </c>
      <c r="C46" t="s">
        <v>167</v>
      </c>
      <c r="D46" s="2"/>
      <c r="E46" s="11">
        <f>SUMIFS('All Measure &amp; TRC+ Calc'!$AR:$AR,'All Measure &amp; TRC+ Calc'!$D:$D,$C46,'All Measure &amp; TRC+ Calc'!$B:$B,$B46)</f>
        <v>0</v>
      </c>
      <c r="F46" s="11">
        <f>SUMIFS('All Measure &amp; TRC+ Calc'!$AE:$AE,'All Measure &amp; TRC+ Calc'!$D:$D,$C46,'All Measure &amp; TRC+ Calc'!$B:$B,$B46)-E46</f>
        <v>102344</v>
      </c>
      <c r="H46" s="5">
        <f t="shared" si="26"/>
        <v>0</v>
      </c>
      <c r="I46" s="5">
        <f t="shared" si="27"/>
        <v>382436</v>
      </c>
      <c r="K46" s="9">
        <v>0</v>
      </c>
      <c r="L46" s="2">
        <f t="shared" si="21"/>
        <v>1</v>
      </c>
      <c r="M46" s="9">
        <v>0</v>
      </c>
      <c r="N46" s="2">
        <f t="shared" si="22"/>
        <v>1</v>
      </c>
      <c r="O46" s="9">
        <v>0</v>
      </c>
      <c r="P46" s="2">
        <f t="shared" si="23"/>
        <v>1</v>
      </c>
      <c r="Q46" s="9">
        <v>0</v>
      </c>
      <c r="R46" s="2">
        <f t="shared" si="24"/>
        <v>1</v>
      </c>
      <c r="S46" s="9">
        <v>0</v>
      </c>
      <c r="T46" s="2">
        <f t="shared" si="25"/>
        <v>1</v>
      </c>
      <c r="V46" s="10">
        <f>SUMIFS('All Measure &amp; TRC+ Calc'!AE:AE,'All Measure &amp; TRC+ Calc'!B:B,B46,'All Measure &amp; TRC+ Calc'!D:D,C46)</f>
        <v>102344</v>
      </c>
      <c r="W46" s="10">
        <f>SUMIFS(Budget!$E:$E,Budget!$D:$D,W$39,Budget!$C:$C,$C46,Budget!$A:$A,$B46)-V46</f>
        <v>135980</v>
      </c>
      <c r="X46" s="10">
        <f>SUMIFS(Budget!$E:$E,Budget!$D:$D,X$39,Budget!$C:$C,$C46,Budget!$A:$A,$B46)</f>
        <v>77602</v>
      </c>
      <c r="Y46" s="10">
        <f>SUMIFS(Budget!$E:$E,Budget!$D:$D,Y$39,Budget!$C:$C,$C46,Budget!$A:$A,$B46)</f>
        <v>66510</v>
      </c>
    </row>
    <row r="47" spans="2:25" x14ac:dyDescent="0.25">
      <c r="B47">
        <v>2029</v>
      </c>
      <c r="C47" t="s">
        <v>168</v>
      </c>
      <c r="D47" s="2"/>
      <c r="E47" s="11">
        <f>SUMIFS('All Measure &amp; TRC+ Calc'!$AR:$AR,'All Measure &amp; TRC+ Calc'!$D:$D,$C47,'All Measure &amp; TRC+ Calc'!$B:$B,$B47)</f>
        <v>0</v>
      </c>
      <c r="F47" s="11">
        <f>SUMIFS('All Measure &amp; TRC+ Calc'!$AE:$AE,'All Measure &amp; TRC+ Calc'!$D:$D,$C47,'All Measure &amp; TRC+ Calc'!$B:$B,$B47)-E47</f>
        <v>0</v>
      </c>
      <c r="H47" s="5">
        <f t="shared" si="26"/>
        <v>809915</v>
      </c>
      <c r="I47" s="5">
        <f t="shared" si="27"/>
        <v>0</v>
      </c>
      <c r="K47" s="9"/>
      <c r="L47" s="2">
        <f t="shared" si="21"/>
        <v>1</v>
      </c>
      <c r="M47" s="9">
        <v>1</v>
      </c>
      <c r="N47" s="2">
        <f t="shared" si="22"/>
        <v>0</v>
      </c>
      <c r="O47" s="9">
        <v>1</v>
      </c>
      <c r="P47" s="2">
        <f t="shared" si="23"/>
        <v>0</v>
      </c>
      <c r="Q47" s="9">
        <v>1</v>
      </c>
      <c r="R47" s="2">
        <f t="shared" si="24"/>
        <v>0</v>
      </c>
      <c r="S47" s="9">
        <v>1</v>
      </c>
      <c r="T47" s="2">
        <f t="shared" si="25"/>
        <v>0</v>
      </c>
      <c r="V47" s="10">
        <f>SUMIFS('All Measure &amp; TRC+ Calc'!AE:AE,'All Measure &amp; TRC+ Calc'!B:B,B47,'All Measure &amp; TRC+ Calc'!D:D,C47)</f>
        <v>0</v>
      </c>
      <c r="W47" s="10">
        <f>SUMIFS(Budget!$E:$E,Budget!$D:$D,W$39,Budget!$C:$C,$C47,Budget!$A:$A,$B47)-V47</f>
        <v>520200</v>
      </c>
      <c r="X47" s="10">
        <f>SUMIFS(Budget!$E:$E,Budget!$D:$D,X$39,Budget!$C:$C,$C47,Budget!$A:$A,$B47)</f>
        <v>31041</v>
      </c>
      <c r="Y47" s="10">
        <f>SUMIFS(Budget!$E:$E,Budget!$D:$D,Y$39,Budget!$C:$C,$C47,Budget!$A:$A,$B47)</f>
        <v>258674</v>
      </c>
    </row>
    <row r="48" spans="2:25" x14ac:dyDescent="0.25">
      <c r="B48">
        <v>2029</v>
      </c>
      <c r="C48" t="s">
        <v>18</v>
      </c>
      <c r="D48" s="2"/>
      <c r="E48" s="11">
        <f>SUMIFS('All Measure &amp; TRC+ Calc'!$AR:$AR,'All Measure &amp; TRC+ Calc'!$D:$D,$C48,'All Measure &amp; TRC+ Calc'!$B:$B,$B48)</f>
        <v>0</v>
      </c>
      <c r="F48" s="11">
        <f>SUMIFS('All Measure &amp; TRC+ Calc'!$AE:$AE,'All Measure &amp; TRC+ Calc'!$D:$D,$C48,'All Measure &amp; TRC+ Calc'!$B:$B,$B48)-E48</f>
        <v>0</v>
      </c>
      <c r="H48" s="5">
        <f t="shared" si="26"/>
        <v>1455761.3</v>
      </c>
      <c r="I48" s="5">
        <f t="shared" si="27"/>
        <v>623897.70000000019</v>
      </c>
      <c r="K48" s="9"/>
      <c r="L48" s="2">
        <f t="shared" si="21"/>
        <v>1</v>
      </c>
      <c r="M48" s="9">
        <v>0.7</v>
      </c>
      <c r="N48" s="2">
        <f t="shared" si="22"/>
        <v>0.30000000000000004</v>
      </c>
      <c r="O48" s="9">
        <v>0.7</v>
      </c>
      <c r="P48" s="2">
        <f t="shared" si="23"/>
        <v>0.30000000000000004</v>
      </c>
      <c r="Q48" s="9">
        <v>0.7</v>
      </c>
      <c r="R48" s="2">
        <f t="shared" si="24"/>
        <v>0.30000000000000004</v>
      </c>
      <c r="S48" s="9">
        <v>0.7</v>
      </c>
      <c r="T48" s="2">
        <f t="shared" si="25"/>
        <v>0.30000000000000004</v>
      </c>
      <c r="V48" s="10">
        <f>SUMIFS('All Measure &amp; TRC+ Calc'!AE:AE,'All Measure &amp; TRC+ Calc'!B:B,B48,'All Measure &amp; TRC+ Calc'!D:D,C48)</f>
        <v>0</v>
      </c>
      <c r="W48" s="10">
        <f>SUMIFS(Budget!$E:$E,Budget!$D:$D,W$39,Budget!$C:$C,$C48,Budget!$A:$A,$B48)-V48</f>
        <v>1872720</v>
      </c>
      <c r="X48" s="10">
        <f>SUMIFS(Budget!$E:$E,Budget!$D:$D,X$39,Budget!$C:$C,$C48,Budget!$A:$A,$B48)</f>
        <v>41388</v>
      </c>
      <c r="Y48" s="10">
        <f>SUMIFS(Budget!$E:$E,Budget!$D:$D,Y$39,Budget!$C:$C,$C48,Budget!$A:$A,$B48)</f>
        <v>165551</v>
      </c>
    </row>
    <row r="49" spans="2:25" x14ac:dyDescent="0.25">
      <c r="E49" s="4">
        <f>SUM(E41:E48)</f>
        <v>22618776.635736149</v>
      </c>
      <c r="F49" s="4">
        <f>SUM(F41:F48)</f>
        <v>12850793.845206695</v>
      </c>
      <c r="H49" s="19">
        <f>_xlfn.AGGREGATE(9,6,H41:H48)</f>
        <v>24198801.366111115</v>
      </c>
      <c r="I49" s="19">
        <f>_xlfn.AGGREGATE(9,6,I41:I48)</f>
        <v>22536195.633888885</v>
      </c>
    </row>
    <row r="50" spans="2:25" ht="18.75" x14ac:dyDescent="0.3">
      <c r="C50" s="6">
        <v>2030</v>
      </c>
    </row>
    <row r="51" spans="2:25" x14ac:dyDescent="0.25">
      <c r="D51" s="8"/>
      <c r="E51" s="3" t="s">
        <v>196</v>
      </c>
      <c r="F51" s="8"/>
      <c r="H51" s="8" t="s">
        <v>134</v>
      </c>
      <c r="I51" s="8"/>
      <c r="K51" s="3" t="s">
        <v>197</v>
      </c>
      <c r="L51" s="3"/>
      <c r="M51" s="8" t="s">
        <v>198</v>
      </c>
      <c r="N51" s="8"/>
      <c r="O51" s="8" t="s">
        <v>127</v>
      </c>
      <c r="P51" s="8"/>
      <c r="Q51" s="8" t="s">
        <v>128</v>
      </c>
      <c r="R51" s="8"/>
      <c r="S51" s="8" t="s">
        <v>199</v>
      </c>
      <c r="T51" s="8"/>
      <c r="V51" s="8" t="s">
        <v>197</v>
      </c>
      <c r="W51" s="8" t="s">
        <v>126</v>
      </c>
      <c r="X51" s="8" t="s">
        <v>127</v>
      </c>
      <c r="Y51" s="8" t="s">
        <v>128</v>
      </c>
    </row>
    <row r="52" spans="2:25" x14ac:dyDescent="0.25">
      <c r="D52" s="3"/>
      <c r="E52" s="3" t="s">
        <v>200</v>
      </c>
      <c r="F52" s="3" t="s">
        <v>201</v>
      </c>
      <c r="H52" s="3" t="s">
        <v>200</v>
      </c>
      <c r="I52" s="3" t="s">
        <v>201</v>
      </c>
      <c r="K52" s="3" t="s">
        <v>202</v>
      </c>
      <c r="L52" s="3" t="s">
        <v>203</v>
      </c>
      <c r="M52" s="3" t="s">
        <v>202</v>
      </c>
      <c r="N52" s="3" t="s">
        <v>203</v>
      </c>
      <c r="O52" s="3" t="s">
        <v>202</v>
      </c>
      <c r="P52" s="3" t="s">
        <v>203</v>
      </c>
      <c r="Q52" s="3" t="s">
        <v>202</v>
      </c>
      <c r="R52" s="3" t="s">
        <v>203</v>
      </c>
      <c r="S52" s="3" t="s">
        <v>202</v>
      </c>
      <c r="T52" s="3" t="s">
        <v>203</v>
      </c>
      <c r="V52" s="3"/>
      <c r="W52" s="3"/>
      <c r="X52" s="3"/>
      <c r="Y52" s="3"/>
    </row>
    <row r="53" spans="2:25" x14ac:dyDescent="0.25">
      <c r="B53">
        <v>2030</v>
      </c>
      <c r="C53" t="s">
        <v>9</v>
      </c>
      <c r="D53" s="2"/>
      <c r="E53" s="11">
        <f>SUMIFS('All Measure &amp; TRC+ Calc'!$AR:$AR,'All Measure &amp; TRC+ Calc'!$D:$D,$C53,'All Measure &amp; TRC+ Calc'!$B:$B,$B53)</f>
        <v>20420398.263295706</v>
      </c>
      <c r="F53" s="11">
        <f>SUMIFS('All Measure &amp; TRC+ Calc'!$AE:$AE,'All Measure &amp; TRC+ Calc'!$D:$D,$C53,'All Measure &amp; TRC+ Calc'!$B:$B,$B53)-E53</f>
        <v>2378707.8335187398</v>
      </c>
      <c r="H53" s="5">
        <f>(K53*$V53)+(M53*$W53)+(O53*$X53)+(Q53*$Y53)</f>
        <v>18255684.983672503</v>
      </c>
      <c r="I53" s="5">
        <f>(L53*$V53)+(N53*$W53)+(P53*$X53)+(R53*$Y53)</f>
        <v>2528602.0163274957</v>
      </c>
      <c r="K53" s="9">
        <v>0.88719756376946812</v>
      </c>
      <c r="L53" s="2">
        <f t="shared" ref="L53:L60" si="28">1-K53</f>
        <v>0.11280243623053188</v>
      </c>
      <c r="M53" s="9">
        <v>0.87376603754159909</v>
      </c>
      <c r="N53" s="2">
        <f t="shared" ref="N53:N60" si="29">1-M53</f>
        <v>0.12623396245840091</v>
      </c>
      <c r="O53" s="9">
        <v>0.84319088842716294</v>
      </c>
      <c r="P53" s="2">
        <f t="shared" ref="P53:P60" si="30">1-O53</f>
        <v>0.15680911157283706</v>
      </c>
      <c r="Q53" s="9">
        <v>0.42139287627090416</v>
      </c>
      <c r="R53" s="2">
        <f t="shared" ref="R53:R60" si="31">1-Q53</f>
        <v>0.57860712372909584</v>
      </c>
      <c r="S53" s="9">
        <v>0.84577984154926622</v>
      </c>
      <c r="T53" s="2">
        <f t="shared" ref="T53:T60" si="32">1-S53</f>
        <v>0.15422015845073378</v>
      </c>
      <c r="V53" s="10">
        <f>SUMIFS('All Measure &amp; TRC+ Calc'!AE:AE,'All Measure &amp; TRC+ Calc'!B:B,B53,'All Measure &amp; TRC+ Calc'!D:D,C53)</f>
        <v>22799106.096814446</v>
      </c>
      <c r="W53" s="10">
        <f>SUMIFS(Budget!$E:$E,Budget!$D:$D,W$51,Budget!$C:$C,$C53,Budget!$A:$A,$B53)-V53</f>
        <v>-3109148.0968144462</v>
      </c>
      <c r="X53" s="10">
        <f>SUMIFS(Budget!$E:$E,Budget!$D:$D,X$51,Budget!$C:$C,$C53,Budget!$A:$A,$B53)</f>
        <v>673069</v>
      </c>
      <c r="Y53" s="10">
        <f>SUMIFS(Budget!$E:$E,Budget!$D:$D,Y$51,Budget!$C:$C,$C53,Budget!$A:$A,$B53)</f>
        <v>421260</v>
      </c>
    </row>
    <row r="54" spans="2:25" x14ac:dyDescent="0.25">
      <c r="B54">
        <v>2030</v>
      </c>
      <c r="C54" t="s">
        <v>163</v>
      </c>
      <c r="D54" s="2"/>
      <c r="E54" s="11">
        <f>SUMIFS('All Measure &amp; TRC+ Calc'!$AR:$AR,'All Measure &amp; TRC+ Calc'!$D:$D,$C54,'All Measure &amp; TRC+ Calc'!$B:$B,$B54)</f>
        <v>2269674.3170121862</v>
      </c>
      <c r="F54" s="11">
        <f>SUMIFS('All Measure &amp; TRC+ Calc'!$AE:$AE,'All Measure &amp; TRC+ Calc'!$D:$D,$C54,'All Measure &amp; TRC+ Calc'!$B:$B,$B54)-E54</f>
        <v>1742050.819222901</v>
      </c>
      <c r="H54" s="5">
        <f t="shared" ref="H54:H60" si="33">(K54*$V54)+(M54*$W54)+(O54*$X54)+(Q54*$Y54)</f>
        <v>3126559.6992031988</v>
      </c>
      <c r="I54" s="5">
        <f t="shared" ref="I54:I60" si="34">(L54*$V54)+(N54*$W54)+(P54*$X54)+(R54*$Y54)</f>
        <v>3296141.3007968012</v>
      </c>
      <c r="K54" s="9">
        <v>0.61296080445393641</v>
      </c>
      <c r="L54" s="2">
        <f t="shared" si="28"/>
        <v>0.38703919554606359</v>
      </c>
      <c r="M54" s="9"/>
      <c r="N54" s="2">
        <f t="shared" si="29"/>
        <v>1</v>
      </c>
      <c r="O54" s="9">
        <v>0.5962676997140437</v>
      </c>
      <c r="P54" s="2">
        <f t="shared" si="30"/>
        <v>0.4037323002859563</v>
      </c>
      <c r="Q54" s="9">
        <v>0.61299572866075969</v>
      </c>
      <c r="R54" s="2">
        <f t="shared" si="31"/>
        <v>0.38700427133924031</v>
      </c>
      <c r="S54" s="9">
        <v>0.61296080445393641</v>
      </c>
      <c r="T54" s="2">
        <f t="shared" si="32"/>
        <v>0.38703919554606359</v>
      </c>
      <c r="V54" s="10">
        <f>SUMIFS('All Measure &amp; TRC+ Calc'!AE:AE,'All Measure &amp; TRC+ Calc'!B:B,B54,'All Measure &amp; TRC+ Calc'!D:D,C54)</f>
        <v>4011725.1362350872</v>
      </c>
      <c r="W54" s="10">
        <f>SUMIFS(Budget!$E:$E,Budget!$D:$D,W$51,Budget!$C:$C,$C54,Budget!$A:$A,$B54)-V54</f>
        <v>1308700.8637649128</v>
      </c>
      <c r="X54" s="10">
        <f>SUMIFS(Budget!$E:$E,Budget!$D:$D,X$51,Budget!$C:$C,$C54,Budget!$A:$A,$B54)</f>
        <v>487830</v>
      </c>
      <c r="Y54" s="10">
        <f>SUMIFS(Budget!$E:$E,Budget!$D:$D,Y$51,Budget!$C:$C,$C54,Budget!$A:$A,$B54)</f>
        <v>614445</v>
      </c>
    </row>
    <row r="55" spans="2:25" x14ac:dyDescent="0.25">
      <c r="B55">
        <v>2030</v>
      </c>
      <c r="C55" t="s">
        <v>164</v>
      </c>
      <c r="D55" s="2"/>
      <c r="E55" s="11">
        <f>SUMIFS('All Measure &amp; TRC+ Calc'!$AR:$AR,'All Measure &amp; TRC+ Calc'!$D:$D,$C55,'All Measure &amp; TRC+ Calc'!$B:$B,$B55)</f>
        <v>425468.21166649001</v>
      </c>
      <c r="F55" s="11">
        <f>SUMIFS('All Measure &amp; TRC+ Calc'!$AE:$AE,'All Measure &amp; TRC+ Calc'!$D:$D,$C55,'All Measure &amp; TRC+ Calc'!$B:$B,$B55)-E55</f>
        <v>7022386.2216633102</v>
      </c>
      <c r="H55" s="5">
        <f t="shared" si="33"/>
        <v>988318.60426997405</v>
      </c>
      <c r="I55" s="5">
        <f t="shared" si="34"/>
        <v>12891919.395730026</v>
      </c>
      <c r="K55" s="9">
        <v>0.11520099535919165</v>
      </c>
      <c r="L55" s="2">
        <f t="shared" si="28"/>
        <v>0.8847990046408083</v>
      </c>
      <c r="M55" s="9"/>
      <c r="N55" s="2">
        <f t="shared" si="29"/>
        <v>1</v>
      </c>
      <c r="O55" s="9">
        <v>0.10182566119300336</v>
      </c>
      <c r="P55" s="2">
        <f t="shared" si="30"/>
        <v>0.8981743388069966</v>
      </c>
      <c r="Q55" s="9">
        <v>0.1247600660596756</v>
      </c>
      <c r="R55" s="2">
        <f t="shared" si="31"/>
        <v>0.8752399339403244</v>
      </c>
      <c r="S55" s="9">
        <v>0.11520099535919165</v>
      </c>
      <c r="T55" s="2">
        <f t="shared" si="32"/>
        <v>0.8847990046408083</v>
      </c>
      <c r="V55" s="10">
        <f>SUMIFS('All Measure &amp; TRC+ Calc'!AE:AE,'All Measure &amp; TRC+ Calc'!B:B,B55,'All Measure &amp; TRC+ Calc'!D:D,C55)</f>
        <v>7447854.4333298001</v>
      </c>
      <c r="W55" s="10">
        <f>SUMIFS(Budget!$E:$E,Budget!$D:$D,W$51,Budget!$C:$C,$C55,Budget!$A:$A,$B55)-V55</f>
        <v>5308215.5666701999</v>
      </c>
      <c r="X55" s="10">
        <f>SUMIFS(Budget!$E:$E,Budget!$D:$D,X$51,Budget!$C:$C,$C55,Budget!$A:$A,$B55)</f>
        <v>433101</v>
      </c>
      <c r="Y55" s="10">
        <f>SUMIFS(Budget!$E:$E,Budget!$D:$D,Y$51,Budget!$C:$C,$C55,Budget!$A:$A,$B55)</f>
        <v>691067</v>
      </c>
    </row>
    <row r="56" spans="2:25" x14ac:dyDescent="0.25">
      <c r="B56">
        <v>2030</v>
      </c>
      <c r="C56" t="s">
        <v>165</v>
      </c>
      <c r="D56" s="2"/>
      <c r="E56" s="11">
        <f>SUMIFS('All Measure &amp; TRC+ Calc'!$AR:$AR,'All Measure &amp; TRC+ Calc'!$D:$D,$C56,'All Measure &amp; TRC+ Calc'!$B:$B,$B56)</f>
        <v>606143.43134089431</v>
      </c>
      <c r="F56" s="11">
        <f>SUMIFS('All Measure &amp; TRC+ Calc'!$AE:$AE,'All Measure &amp; TRC+ Calc'!$D:$D,$C56,'All Measure &amp; TRC+ Calc'!$B:$B,$B56)-E56</f>
        <v>1919454.1992461658</v>
      </c>
      <c r="H56" s="5">
        <f t="shared" si="33"/>
        <v>972019.67134089419</v>
      </c>
      <c r="I56" s="5">
        <f t="shared" si="34"/>
        <v>3636474.3286591056</v>
      </c>
      <c r="K56" s="9">
        <v>0.23999999999999996</v>
      </c>
      <c r="L56" s="2">
        <f t="shared" si="28"/>
        <v>0.76</v>
      </c>
      <c r="M56" s="9"/>
      <c r="N56" s="2">
        <f t="shared" si="29"/>
        <v>1</v>
      </c>
      <c r="O56" s="9">
        <v>0.24</v>
      </c>
      <c r="P56" s="2">
        <f t="shared" si="30"/>
        <v>0.76</v>
      </c>
      <c r="Q56" s="9">
        <v>0.21999999999999995</v>
      </c>
      <c r="R56" s="2">
        <f t="shared" si="31"/>
        <v>0.78</v>
      </c>
      <c r="S56" s="9">
        <v>0.23999999999999996</v>
      </c>
      <c r="T56" s="2">
        <f t="shared" si="32"/>
        <v>0.76</v>
      </c>
      <c r="V56" s="10">
        <f>SUMIFS('All Measure &amp; TRC+ Calc'!AE:AE,'All Measure &amp; TRC+ Calc'!B:B,B56,'All Measure &amp; TRC+ Calc'!D:D,C56)</f>
        <v>2525597.63058706</v>
      </c>
      <c r="W56" s="10">
        <f>SUMIFS(Budget!$E:$E,Budget!$D:$D,W$51,Budget!$C:$C,$C56,Budget!$A:$A,$B56)-V56</f>
        <v>454985.36941294</v>
      </c>
      <c r="X56" s="10">
        <f>SUMIFS(Budget!$E:$E,Budget!$D:$D,X$51,Budget!$C:$C,$C56,Budget!$A:$A,$B56)</f>
        <v>386791</v>
      </c>
      <c r="Y56" s="10">
        <f>SUMIFS(Budget!$E:$E,Budget!$D:$D,Y$51,Budget!$C:$C,$C56,Budget!$A:$A,$B56)</f>
        <v>1241120</v>
      </c>
    </row>
    <row r="57" spans="2:25" x14ac:dyDescent="0.25">
      <c r="B57">
        <v>2030</v>
      </c>
      <c r="C57" t="s">
        <v>166</v>
      </c>
      <c r="D57" s="2"/>
      <c r="E57" s="11">
        <f>SUMIFS('All Measure &amp; TRC+ Calc'!$AR:$AR,'All Measure &amp; TRC+ Calc'!$D:$D,$C57,'All Measure &amp; TRC+ Calc'!$B:$B,$B57)</f>
        <v>124341.79804466107</v>
      </c>
      <c r="F57" s="11">
        <f>SUMIFS('All Measure &amp; TRC+ Calc'!$AE:$AE,'All Measure &amp; TRC+ Calc'!$D:$D,$C57,'All Measure &amp; TRC+ Calc'!$B:$B,$B57)-E57</f>
        <v>217598.14657815691</v>
      </c>
      <c r="H57" s="5">
        <f t="shared" si="33"/>
        <v>329167.91356760345</v>
      </c>
      <c r="I57" s="5">
        <f t="shared" si="34"/>
        <v>467123.08643239655</v>
      </c>
      <c r="K57" s="9">
        <v>0.36090225563909767</v>
      </c>
      <c r="L57" s="2">
        <f t="shared" si="28"/>
        <v>0.63909774436090228</v>
      </c>
      <c r="M57" s="9">
        <v>0.70175438596491224</v>
      </c>
      <c r="N57" s="2">
        <f t="shared" si="29"/>
        <v>0.29824561403508776</v>
      </c>
      <c r="O57" s="9">
        <v>0.84019464295363233</v>
      </c>
      <c r="P57" s="2">
        <f t="shared" si="30"/>
        <v>0.15980535704636767</v>
      </c>
      <c r="Q57" s="9">
        <v>0.1666666666666666</v>
      </c>
      <c r="R57" s="2">
        <f t="shared" si="31"/>
        <v>0.83333333333333337</v>
      </c>
      <c r="S57" s="9">
        <v>0.54530273251065386</v>
      </c>
      <c r="T57" s="2">
        <f t="shared" si="32"/>
        <v>0.45469726748934614</v>
      </c>
      <c r="V57" s="10">
        <f>SUMIFS('All Measure &amp; TRC+ Calc'!AE:AE,'All Measure &amp; TRC+ Calc'!B:B,B57,'All Measure &amp; TRC+ Calc'!D:D,C57)</f>
        <v>341939.94462281797</v>
      </c>
      <c r="W57" s="10">
        <f>SUMIFS(Budget!$E:$E,Budget!$D:$D,W$51,Budget!$C:$C,$C57,Budget!$A:$A,$B57)-V57</f>
        <v>110537.05537718203</v>
      </c>
      <c r="X57" s="10">
        <f>SUMIFS(Budget!$E:$E,Budget!$D:$D,X$51,Budget!$C:$C,$C57,Budget!$A:$A,$B57)</f>
        <v>105250</v>
      </c>
      <c r="Y57" s="10">
        <f>SUMIFS(Budget!$E:$E,Budget!$D:$D,Y$51,Budget!$C:$C,$C57,Budget!$A:$A,$B57)</f>
        <v>238564</v>
      </c>
    </row>
    <row r="58" spans="2:25" x14ac:dyDescent="0.25">
      <c r="B58">
        <v>2030</v>
      </c>
      <c r="C58" t="s">
        <v>167</v>
      </c>
      <c r="D58" s="2"/>
      <c r="E58" s="11">
        <f>SUMIFS('All Measure &amp; TRC+ Calc'!$AR:$AR,'All Measure &amp; TRC+ Calc'!$D:$D,$C58,'All Measure &amp; TRC+ Calc'!$B:$B,$B58)</f>
        <v>0</v>
      </c>
      <c r="F58" s="11">
        <f>SUMIFS('All Measure &amp; TRC+ Calc'!$AE:$AE,'All Measure &amp; TRC+ Calc'!$D:$D,$C58,'All Measure &amp; TRC+ Calc'!$B:$B,$B58)-E58</f>
        <v>179684.8</v>
      </c>
      <c r="H58" s="5">
        <f t="shared" si="33"/>
        <v>0</v>
      </c>
      <c r="I58" s="5">
        <f t="shared" si="34"/>
        <v>582145</v>
      </c>
      <c r="K58" s="9">
        <v>0</v>
      </c>
      <c r="L58" s="2">
        <f t="shared" si="28"/>
        <v>1</v>
      </c>
      <c r="M58" s="9">
        <v>0</v>
      </c>
      <c r="N58" s="2">
        <f t="shared" si="29"/>
        <v>1</v>
      </c>
      <c r="O58" s="9">
        <v>0</v>
      </c>
      <c r="P58" s="2">
        <f t="shared" si="30"/>
        <v>1</v>
      </c>
      <c r="Q58" s="9">
        <v>0</v>
      </c>
      <c r="R58" s="2">
        <f t="shared" si="31"/>
        <v>1</v>
      </c>
      <c r="S58" s="9">
        <v>0</v>
      </c>
      <c r="T58" s="2">
        <f t="shared" si="32"/>
        <v>1</v>
      </c>
      <c r="V58" s="10">
        <f>SUMIFS('All Measure &amp; TRC+ Calc'!AE:AE,'All Measure &amp; TRC+ Calc'!B:B,B58,'All Measure &amp; TRC+ Calc'!D:D,C58)</f>
        <v>179684.8</v>
      </c>
      <c r="W58" s="10">
        <f>SUMIFS(Budget!$E:$E,Budget!$D:$D,W$51,Budget!$C:$C,$C58,Budget!$A:$A,$B58)-V58</f>
        <v>248171.2</v>
      </c>
      <c r="X58" s="10">
        <f>SUMIFS(Budget!$E:$E,Budget!$D:$D,X$51,Budget!$C:$C,$C58,Budget!$A:$A,$B58)</f>
        <v>78937</v>
      </c>
      <c r="Y58" s="10">
        <f>SUMIFS(Budget!$E:$E,Budget!$D:$D,Y$51,Budget!$C:$C,$C58,Budget!$A:$A,$B58)</f>
        <v>75352</v>
      </c>
    </row>
    <row r="59" spans="2:25" x14ac:dyDescent="0.25">
      <c r="B59">
        <v>2030</v>
      </c>
      <c r="C59" t="s">
        <v>168</v>
      </c>
      <c r="D59" s="2"/>
      <c r="E59" s="11">
        <f>SUMIFS('All Measure &amp; TRC+ Calc'!$AR:$AR,'All Measure &amp; TRC+ Calc'!$D:$D,$C59,'All Measure &amp; TRC+ Calc'!$B:$B,$B59)</f>
        <v>0</v>
      </c>
      <c r="F59" s="11">
        <f>SUMIFS('All Measure &amp; TRC+ Calc'!$AE:$AE,'All Measure &amp; TRC+ Calc'!$D:$D,$C59,'All Measure &amp; TRC+ Calc'!$B:$B,$B59)-E59</f>
        <v>0</v>
      </c>
      <c r="H59" s="5">
        <f t="shared" si="33"/>
        <v>825302</v>
      </c>
      <c r="I59" s="5">
        <f t="shared" si="34"/>
        <v>0</v>
      </c>
      <c r="K59" s="9"/>
      <c r="L59" s="2">
        <f t="shared" si="28"/>
        <v>1</v>
      </c>
      <c r="M59" s="9">
        <v>1</v>
      </c>
      <c r="N59" s="2">
        <f t="shared" si="29"/>
        <v>0</v>
      </c>
      <c r="O59" s="9">
        <v>1</v>
      </c>
      <c r="P59" s="2">
        <f t="shared" si="30"/>
        <v>0</v>
      </c>
      <c r="Q59" s="9">
        <v>1</v>
      </c>
      <c r="R59" s="2">
        <f t="shared" si="31"/>
        <v>0</v>
      </c>
      <c r="S59" s="9">
        <v>1</v>
      </c>
      <c r="T59" s="2">
        <f t="shared" si="32"/>
        <v>0</v>
      </c>
      <c r="V59" s="10">
        <f>SUMIFS('All Measure &amp; TRC+ Calc'!AE:AE,'All Measure &amp; TRC+ Calc'!B:B,B59,'All Measure &amp; TRC+ Calc'!D:D,C59)</f>
        <v>0</v>
      </c>
      <c r="W59" s="10">
        <f>SUMIFS(Budget!$E:$E,Budget!$D:$D,W$51,Budget!$C:$C,$C59,Budget!$A:$A,$B59)-V59</f>
        <v>530604</v>
      </c>
      <c r="X59" s="10">
        <f>SUMIFS(Budget!$E:$E,Budget!$D:$D,X$51,Budget!$C:$C,$C59,Budget!$A:$A,$B59)</f>
        <v>31575</v>
      </c>
      <c r="Y59" s="10">
        <f>SUMIFS(Budget!$E:$E,Budget!$D:$D,Y$51,Budget!$C:$C,$C59,Budget!$A:$A,$B59)</f>
        <v>263123</v>
      </c>
    </row>
    <row r="60" spans="2:25" x14ac:dyDescent="0.25">
      <c r="B60">
        <v>2030</v>
      </c>
      <c r="C60" t="s">
        <v>18</v>
      </c>
      <c r="D60" s="2"/>
      <c r="E60" s="11">
        <f>SUMIFS('All Measure &amp; TRC+ Calc'!$AR:$AR,'All Measure &amp; TRC+ Calc'!$D:$D,$C60,'All Measure &amp; TRC+ Calc'!$B:$B,$B60)</f>
        <v>0</v>
      </c>
      <c r="F60" s="11">
        <f>SUMIFS('All Measure &amp; TRC+ Calc'!$AE:$AE,'All Measure &amp; TRC+ Calc'!$D:$D,$C60,'All Measure &amp; TRC+ Calc'!$B:$B,$B60)-E60</f>
        <v>0</v>
      </c>
      <c r="H60" s="5">
        <f t="shared" si="33"/>
        <v>1484471.0999999999</v>
      </c>
      <c r="I60" s="5">
        <f t="shared" si="34"/>
        <v>636201.9</v>
      </c>
      <c r="K60" s="9"/>
      <c r="L60" s="2">
        <f t="shared" si="28"/>
        <v>1</v>
      </c>
      <c r="M60" s="9">
        <v>0.7</v>
      </c>
      <c r="N60" s="2">
        <f t="shared" si="29"/>
        <v>0.30000000000000004</v>
      </c>
      <c r="O60" s="9">
        <v>0.7</v>
      </c>
      <c r="P60" s="2">
        <f t="shared" si="30"/>
        <v>0.30000000000000004</v>
      </c>
      <c r="Q60" s="9">
        <v>0.7</v>
      </c>
      <c r="R60" s="2">
        <f t="shared" si="31"/>
        <v>0.30000000000000004</v>
      </c>
      <c r="S60" s="9">
        <v>0.7</v>
      </c>
      <c r="T60" s="2">
        <f t="shared" si="32"/>
        <v>0.30000000000000004</v>
      </c>
      <c r="V60" s="10">
        <f>SUMIFS('All Measure &amp; TRC+ Calc'!AE:AE,'All Measure &amp; TRC+ Calc'!B:B,B60,'All Measure &amp; TRC+ Calc'!D:D,C60)</f>
        <v>0</v>
      </c>
      <c r="W60" s="10">
        <f>SUMIFS(Budget!$E:$E,Budget!$D:$D,W$51,Budget!$C:$C,$C60,Budget!$A:$A,$B60)-V60</f>
        <v>1910174</v>
      </c>
      <c r="X60" s="10">
        <f>SUMIFS(Budget!$E:$E,Budget!$D:$D,X$51,Budget!$C:$C,$C60,Budget!$A:$A,$B60)</f>
        <v>42100</v>
      </c>
      <c r="Y60" s="10">
        <f>SUMIFS(Budget!$E:$E,Budget!$D:$D,Y$51,Budget!$C:$C,$C60,Budget!$A:$A,$B60)</f>
        <v>168399</v>
      </c>
    </row>
    <row r="61" spans="2:25" x14ac:dyDescent="0.25">
      <c r="E61" s="4">
        <f>SUM(E53:E60)</f>
        <v>23846026.021359943</v>
      </c>
      <c r="F61" s="4">
        <f>SUM(F53:F60)</f>
        <v>13459882.020229276</v>
      </c>
      <c r="H61" s="19">
        <f>_xlfn.AGGREGATE(9,6,H53:H60)</f>
        <v>25981523.972054172</v>
      </c>
      <c r="I61" s="19">
        <f>_xlfn.AGGREGATE(9,6,I53:I60)</f>
        <v>24038607.027945824</v>
      </c>
    </row>
  </sheetData>
  <conditionalFormatting sqref="C6:C7 H53:I61">
    <cfRule type="expression" dxfId="25" priority="24">
      <formula>$B6&lt;&gt;$B7</formula>
    </cfRule>
  </conditionalFormatting>
  <conditionalFormatting sqref="C8:C12">
    <cfRule type="expression" dxfId="24" priority="21">
      <formula>$A8&lt;&gt;$A9</formula>
    </cfRule>
    <cfRule type="expression" dxfId="23" priority="22">
      <formula>$B8&lt;&gt;$B9</formula>
    </cfRule>
  </conditionalFormatting>
  <conditionalFormatting sqref="C20:C24">
    <cfRule type="expression" dxfId="22" priority="17">
      <formula>$A20&lt;&gt;$A21</formula>
    </cfRule>
    <cfRule type="expression" dxfId="21" priority="18">
      <formula>$B20&lt;&gt;$B21</formula>
    </cfRule>
  </conditionalFormatting>
  <conditionalFormatting sqref="C32:C36">
    <cfRule type="expression" dxfId="20" priority="13">
      <formula>$A32&lt;&gt;$A33</formula>
    </cfRule>
    <cfRule type="expression" dxfId="19" priority="14">
      <formula>$B32&lt;&gt;$B33</formula>
    </cfRule>
  </conditionalFormatting>
  <conditionalFormatting sqref="C44:C48">
    <cfRule type="expression" dxfId="18" priority="9">
      <formula>$A44&lt;&gt;$A45</formula>
    </cfRule>
    <cfRule type="expression" dxfId="17" priority="10">
      <formula>$B44&lt;&gt;$B45</formula>
    </cfRule>
  </conditionalFormatting>
  <conditionalFormatting sqref="C56:C60">
    <cfRule type="expression" dxfId="16" priority="5">
      <formula>$A56&lt;&gt;$A57</formula>
    </cfRule>
    <cfRule type="expression" dxfId="15" priority="6">
      <formula>$B56&lt;&gt;$B57</formula>
    </cfRule>
  </conditionalFormatting>
  <conditionalFormatting sqref="C17:D19">
    <cfRule type="expression" dxfId="14" priority="19">
      <formula>$A17&lt;&gt;$A18</formula>
    </cfRule>
    <cfRule type="expression" dxfId="13" priority="20">
      <formula>$B17&lt;&gt;$B18</formula>
    </cfRule>
  </conditionalFormatting>
  <conditionalFormatting sqref="C29:D31">
    <cfRule type="expression" dxfId="12" priority="15">
      <formula>$A29&lt;&gt;$A30</formula>
    </cfRule>
    <cfRule type="expression" dxfId="11" priority="16">
      <formula>$B29&lt;&gt;$B30</formula>
    </cfRule>
  </conditionalFormatting>
  <conditionalFormatting sqref="C41:D43">
    <cfRule type="expression" dxfId="10" priority="11">
      <formula>$A41&lt;&gt;$A42</formula>
    </cfRule>
    <cfRule type="expression" dxfId="9" priority="12">
      <formula>$B41&lt;&gt;$B42</formula>
    </cfRule>
  </conditionalFormatting>
  <conditionalFormatting sqref="C53:D55">
    <cfRule type="expression" dxfId="8" priority="7">
      <formula>$A53&lt;&gt;$A54</formula>
    </cfRule>
    <cfRule type="expression" dxfId="7" priority="8">
      <formula>$B53&lt;&gt;$B54</formula>
    </cfRule>
  </conditionalFormatting>
  <conditionalFormatting sqref="C5:E5 E5:F12 H5:I13 D6:E7 D9:E11 E17:F24 H17:I25 D21:D23 E29:F36 H29:I37 D33:D35 E41:F48 H41:I49 D45:D47 E53:F60 D57:D59">
    <cfRule type="expression" dxfId="6" priority="39">
      <formula>$B5&lt;&gt;$B6</formula>
    </cfRule>
  </conditionalFormatting>
  <conditionalFormatting sqref="C5:E7 H53:I61">
    <cfRule type="expression" dxfId="5" priority="23">
      <formula>$A5&lt;&gt;$A6</formula>
    </cfRule>
  </conditionalFormatting>
  <conditionalFormatting sqref="D8:F8 H8:I8 D20:F20 H20:I20 D32:F32 H32:I32 D44:F44 H44:I44 D56:F56 H56:I56">
    <cfRule type="expression" dxfId="4" priority="42">
      <formula>$A8&lt;&gt;#REF!</formula>
    </cfRule>
    <cfRule type="expression" dxfId="3" priority="43">
      <formula>$B8&lt;&gt;#REF!</formula>
    </cfRule>
  </conditionalFormatting>
  <conditionalFormatting sqref="D12:F12 H12:I12 D24:F24 H24:I24 D36:F36 H36:I36 D48:F48 H48:I48 D60:F60 H60:I60">
    <cfRule type="expression" dxfId="2" priority="40">
      <formula>$A12&lt;&gt;#REF!</formula>
    </cfRule>
    <cfRule type="expression" dxfId="1" priority="41">
      <formula>$B12&lt;&gt;#REF!</formula>
    </cfRule>
  </conditionalFormatting>
  <conditionalFormatting sqref="E5:F12 H5:I13 D9:E11 E17:F24 H17:I25 D21:D23 E29:F36 H29:I37 D33:D35 E41:F48 H41:I49 D45:D47 E53:F60 D57:D59">
    <cfRule type="expression" dxfId="0" priority="38">
      <formula>$A5&lt;&gt;$A6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79E4-F0CD-4A92-8831-B62BCA6F5205}">
  <sheetPr codeName="Sheet13"/>
  <dimension ref="A1:AH49"/>
  <sheetViews>
    <sheetView showGridLines="0" zoomScale="85" zoomScaleNormal="85" workbookViewId="0"/>
  </sheetViews>
  <sheetFormatPr defaultColWidth="9.140625" defaultRowHeight="15" x14ac:dyDescent="0.25"/>
  <cols>
    <col min="1" max="1" width="9.140625" style="49" customWidth="1"/>
    <col min="2" max="2" width="6.85546875" style="49" customWidth="1"/>
    <col min="3" max="3" width="16.42578125" style="49" customWidth="1"/>
    <col min="4" max="6" width="9.140625" style="49" customWidth="1"/>
    <col min="7" max="7" width="8.42578125" style="49" customWidth="1"/>
    <col min="8" max="8" width="7" style="49" customWidth="1"/>
    <col min="9" max="9" width="17" style="49" customWidth="1"/>
    <col min="10" max="10" width="16.28515625" style="49" customWidth="1"/>
    <col min="11" max="19" width="9.140625" style="49" customWidth="1"/>
    <col min="20" max="20" width="9.28515625" style="49" bestFit="1" customWidth="1"/>
    <col min="21" max="21" width="9.140625" style="49"/>
    <col min="22" max="24" width="10.42578125" style="129" customWidth="1"/>
    <col min="25" max="25" width="9.140625" style="129" customWidth="1"/>
    <col min="26" max="26" width="9.28515625" style="129" bestFit="1" customWidth="1"/>
    <col min="27" max="27" width="15.7109375" style="129" customWidth="1"/>
    <col min="28" max="30" width="9.28515625" style="129" bestFit="1" customWidth="1"/>
    <col min="31" max="31" width="10.7109375" style="129" bestFit="1" customWidth="1"/>
    <col min="32" max="32" width="9.28515625" style="129" bestFit="1" customWidth="1"/>
    <col min="33" max="16384" width="9.140625" style="129"/>
  </cols>
  <sheetData>
    <row r="1" spans="1:32" x14ac:dyDescent="0.25">
      <c r="B1" s="124" t="s">
        <v>430</v>
      </c>
      <c r="C1" s="124"/>
      <c r="D1" s="125"/>
      <c r="E1" s="125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7"/>
      <c r="R1" s="127"/>
      <c r="S1" s="127"/>
      <c r="V1" s="128"/>
      <c r="W1" s="128"/>
      <c r="X1" s="128"/>
      <c r="Y1" s="128"/>
      <c r="Z1" s="128"/>
    </row>
    <row r="2" spans="1:32" x14ac:dyDescent="0.25">
      <c r="B2" s="124"/>
      <c r="C2" s="124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V2" s="128"/>
      <c r="W2" s="128"/>
      <c r="X2" s="128"/>
      <c r="Y2" s="128"/>
      <c r="Z2" s="128"/>
    </row>
    <row r="3" spans="1:32" x14ac:dyDescent="0.25">
      <c r="B3" s="125" t="s">
        <v>260</v>
      </c>
      <c r="C3" s="124"/>
      <c r="D3" s="125"/>
      <c r="E3" s="125"/>
      <c r="F3" s="125"/>
      <c r="G3" s="125"/>
      <c r="K3"/>
      <c r="L3" s="125"/>
      <c r="M3" s="125"/>
      <c r="N3" s="125"/>
      <c r="O3" s="125"/>
      <c r="P3" s="125"/>
      <c r="V3" s="128"/>
      <c r="W3" s="128"/>
      <c r="X3" s="128"/>
      <c r="Y3" s="128"/>
      <c r="Z3" s="128"/>
    </row>
    <row r="4" spans="1:32" ht="22.5" x14ac:dyDescent="0.25">
      <c r="B4" s="366" t="s">
        <v>431</v>
      </c>
      <c r="C4" s="366"/>
      <c r="D4" s="367">
        <v>0.04</v>
      </c>
      <c r="F4" s="125"/>
      <c r="G4" s="125"/>
      <c r="I4" s="130" t="s">
        <v>261</v>
      </c>
      <c r="J4" s="131" t="s">
        <v>262</v>
      </c>
      <c r="K4"/>
      <c r="N4" s="125"/>
      <c r="O4" s="125"/>
      <c r="P4" s="125"/>
      <c r="V4" s="128"/>
      <c r="W4" s="128"/>
      <c r="X4" s="128"/>
      <c r="Y4" s="128"/>
      <c r="Z4" s="128"/>
    </row>
    <row r="5" spans="1:32" x14ac:dyDescent="0.25">
      <c r="B5" s="370" t="s">
        <v>432</v>
      </c>
      <c r="C5" s="371"/>
      <c r="D5" s="368">
        <v>0.02</v>
      </c>
      <c r="F5" s="125"/>
      <c r="G5" s="125"/>
      <c r="I5" s="132" t="s">
        <v>11</v>
      </c>
      <c r="J5" s="134">
        <v>0</v>
      </c>
      <c r="K5"/>
      <c r="N5" s="125"/>
      <c r="O5" s="125"/>
      <c r="P5" s="125"/>
      <c r="V5" s="128"/>
      <c r="W5" s="128"/>
      <c r="X5" s="128"/>
      <c r="Y5" s="128"/>
      <c r="Z5" s="128"/>
    </row>
    <row r="6" spans="1:32" ht="15" customHeight="1" x14ac:dyDescent="0.25">
      <c r="B6" s="370" t="s">
        <v>433</v>
      </c>
      <c r="C6" s="371"/>
      <c r="D6" s="369">
        <v>6.0799999999999965E-2</v>
      </c>
      <c r="F6" s="125"/>
      <c r="G6" s="125"/>
      <c r="I6" s="133" t="s">
        <v>255</v>
      </c>
      <c r="J6" s="134">
        <v>0</v>
      </c>
      <c r="K6"/>
      <c r="N6" s="125"/>
      <c r="O6" s="125"/>
      <c r="P6" s="125"/>
      <c r="V6" s="49"/>
      <c r="W6" s="49"/>
      <c r="X6" s="49"/>
      <c r="Y6" s="49"/>
      <c r="Z6" s="128"/>
    </row>
    <row r="7" spans="1:32" x14ac:dyDescent="0.25">
      <c r="F7" s="125"/>
      <c r="G7" s="125"/>
      <c r="H7" s="125"/>
      <c r="I7" s="133" t="s">
        <v>15</v>
      </c>
      <c r="J7" s="134">
        <v>0</v>
      </c>
      <c r="K7"/>
      <c r="N7" s="125"/>
      <c r="O7" s="125"/>
      <c r="P7" s="125"/>
      <c r="V7" s="49"/>
      <c r="W7" s="49"/>
      <c r="X7" s="49"/>
      <c r="Y7" s="49"/>
      <c r="Z7" s="135"/>
      <c r="AA7" s="135"/>
    </row>
    <row r="8" spans="1:32" x14ac:dyDescent="0.25">
      <c r="B8"/>
      <c r="C8"/>
      <c r="D8"/>
      <c r="E8"/>
      <c r="F8" s="129"/>
      <c r="G8" s="125"/>
      <c r="H8" s="125"/>
      <c r="I8" s="125"/>
      <c r="J8" s="125"/>
      <c r="K8"/>
      <c r="L8" s="125"/>
      <c r="M8" s="125"/>
      <c r="N8" s="125"/>
      <c r="O8" s="125"/>
      <c r="P8" s="125"/>
      <c r="V8" s="49"/>
      <c r="W8" s="49"/>
      <c r="X8" s="49"/>
      <c r="Y8" s="49"/>
      <c r="Z8" s="135"/>
      <c r="AA8" s="135"/>
    </row>
    <row r="9" spans="1:32" x14ac:dyDescent="0.25">
      <c r="A9" s="137"/>
      <c r="B9" s="125"/>
      <c r="C9" s="125"/>
      <c r="D9" s="125"/>
      <c r="E9" s="125"/>
      <c r="F9" s="125"/>
      <c r="G9" s="125"/>
      <c r="H9"/>
      <c r="I9"/>
      <c r="J9"/>
      <c r="K9" s="125"/>
      <c r="L9" s="125"/>
      <c r="M9" s="125"/>
      <c r="N9" s="125"/>
      <c r="O9" s="125"/>
      <c r="P9" s="125"/>
      <c r="V9" s="125"/>
      <c r="X9" s="135"/>
      <c r="Y9" s="49"/>
      <c r="Z9" s="135"/>
      <c r="AA9" s="135"/>
      <c r="AB9" s="125"/>
    </row>
    <row r="10" spans="1:32" ht="30" customHeight="1" x14ac:dyDescent="0.25">
      <c r="A10" s="137"/>
      <c r="B10" s="372" t="s">
        <v>423</v>
      </c>
      <c r="C10" s="373"/>
      <c r="D10" s="373"/>
      <c r="E10" s="373"/>
      <c r="F10" s="374"/>
      <c r="G10" s="323"/>
      <c r="H10" s="377" t="s">
        <v>424</v>
      </c>
      <c r="I10" s="378"/>
      <c r="J10" s="379"/>
      <c r="K10" s="324"/>
      <c r="L10" s="380" t="s">
        <v>425</v>
      </c>
      <c r="M10" s="381"/>
      <c r="N10" s="382"/>
      <c r="O10" s="323"/>
      <c r="P10" s="372" t="s">
        <v>426</v>
      </c>
      <c r="Q10" s="373"/>
      <c r="R10" s="373"/>
      <c r="S10" s="373"/>
      <c r="T10" s="374"/>
      <c r="U10" s="324"/>
      <c r="V10" s="372" t="s">
        <v>427</v>
      </c>
      <c r="W10" s="373"/>
      <c r="X10" s="373"/>
      <c r="Y10" s="373"/>
      <c r="Z10" s="374"/>
      <c r="AA10" s="325"/>
      <c r="AB10" s="372" t="s">
        <v>428</v>
      </c>
      <c r="AC10" s="373"/>
      <c r="AD10" s="373"/>
      <c r="AE10" s="373"/>
      <c r="AF10" s="374"/>
    </row>
    <row r="11" spans="1:32" ht="15" customHeight="1" x14ac:dyDescent="0.25">
      <c r="A11" s="137"/>
      <c r="B11" s="326"/>
      <c r="C11" s="375" t="s">
        <v>263</v>
      </c>
      <c r="D11" s="375"/>
      <c r="E11" s="375" t="s">
        <v>264</v>
      </c>
      <c r="F11" s="376"/>
      <c r="G11" s="125"/>
      <c r="H11" s="340"/>
      <c r="I11" s="341"/>
      <c r="J11" s="342"/>
      <c r="L11" s="340"/>
      <c r="M11" s="341"/>
      <c r="N11" s="342"/>
      <c r="O11" s="125"/>
      <c r="P11" s="326"/>
      <c r="Q11" s="375" t="s">
        <v>265</v>
      </c>
      <c r="R11" s="375"/>
      <c r="S11" s="375" t="s">
        <v>266</v>
      </c>
      <c r="T11" s="376"/>
      <c r="V11" s="326"/>
      <c r="W11" s="375" t="s">
        <v>267</v>
      </c>
      <c r="X11" s="375"/>
      <c r="Y11" s="375" t="s">
        <v>268</v>
      </c>
      <c r="Z11" s="376"/>
      <c r="AA11" s="135"/>
      <c r="AB11" s="138"/>
      <c r="AC11" s="375" t="s">
        <v>269</v>
      </c>
      <c r="AD11" s="375"/>
      <c r="AE11" s="375" t="s">
        <v>270</v>
      </c>
      <c r="AF11" s="375"/>
    </row>
    <row r="12" spans="1:32" x14ac:dyDescent="0.25">
      <c r="A12" s="137"/>
      <c r="B12" s="328"/>
      <c r="C12" s="329" t="s">
        <v>271</v>
      </c>
      <c r="D12" s="329" t="s">
        <v>272</v>
      </c>
      <c r="E12" s="330" t="s">
        <v>271</v>
      </c>
      <c r="F12" s="331" t="s">
        <v>272</v>
      </c>
      <c r="G12" s="125"/>
      <c r="H12" s="328"/>
      <c r="I12" s="343" t="s">
        <v>271</v>
      </c>
      <c r="J12" s="344" t="s">
        <v>272</v>
      </c>
      <c r="L12" s="328"/>
      <c r="M12" s="327" t="s">
        <v>271</v>
      </c>
      <c r="N12" s="347" t="s">
        <v>272</v>
      </c>
      <c r="O12" s="125"/>
      <c r="P12" s="328"/>
      <c r="Q12" s="329" t="s">
        <v>271</v>
      </c>
      <c r="R12" s="329" t="s">
        <v>272</v>
      </c>
      <c r="S12" s="330" t="s">
        <v>271</v>
      </c>
      <c r="T12" s="331" t="s">
        <v>272</v>
      </c>
      <c r="V12" s="328"/>
      <c r="W12" s="329" t="s">
        <v>271</v>
      </c>
      <c r="X12" s="329" t="s">
        <v>272</v>
      </c>
      <c r="Y12" s="330" t="s">
        <v>271</v>
      </c>
      <c r="Z12" s="331" t="s">
        <v>272</v>
      </c>
      <c r="AA12" s="362" t="s">
        <v>429</v>
      </c>
      <c r="AB12" s="328"/>
      <c r="AC12" s="329" t="s">
        <v>271</v>
      </c>
      <c r="AD12" s="329" t="s">
        <v>272</v>
      </c>
      <c r="AE12" s="330" t="s">
        <v>271</v>
      </c>
      <c r="AF12" s="331" t="s">
        <v>272</v>
      </c>
    </row>
    <row r="13" spans="1:32" x14ac:dyDescent="0.2">
      <c r="B13" s="351">
        <v>2027</v>
      </c>
      <c r="C13" s="332">
        <v>0.20325150726562558</v>
      </c>
      <c r="D13" s="333">
        <v>0.20325150726562558</v>
      </c>
      <c r="E13" s="332">
        <v>0.24617259879671724</v>
      </c>
      <c r="F13" s="333">
        <v>0.24617259879671724</v>
      </c>
      <c r="G13" s="139"/>
      <c r="H13" s="351">
        <v>2027</v>
      </c>
      <c r="I13" s="338">
        <v>0</v>
      </c>
      <c r="J13" s="345">
        <v>0</v>
      </c>
      <c r="L13" s="351">
        <v>2027</v>
      </c>
      <c r="M13" s="348">
        <v>1.078125845544919</v>
      </c>
      <c r="N13" s="349">
        <v>1.078125845544919</v>
      </c>
      <c r="O13" s="125"/>
      <c r="P13" s="351">
        <v>2027</v>
      </c>
      <c r="Q13" s="332">
        <v>6.6456073567765991E-2</v>
      </c>
      <c r="R13" s="333">
        <v>6.6456073567765991E-2</v>
      </c>
      <c r="S13" s="332">
        <v>6.6456073567765991E-2</v>
      </c>
      <c r="T13" s="333">
        <v>6.6456073567765991E-2</v>
      </c>
      <c r="V13" s="351">
        <v>2027</v>
      </c>
      <c r="W13" s="358">
        <v>210.84753075278533</v>
      </c>
      <c r="X13" s="354">
        <v>210.84753075278533</v>
      </c>
      <c r="Y13" s="358">
        <v>210.84753075278533</v>
      </c>
      <c r="Z13" s="354">
        <v>210.84753075278533</v>
      </c>
      <c r="AA13" s="363" t="s">
        <v>273</v>
      </c>
      <c r="AB13" s="351">
        <v>2027</v>
      </c>
      <c r="AC13" s="358">
        <v>0</v>
      </c>
      <c r="AD13" s="354">
        <v>0</v>
      </c>
      <c r="AE13" s="358">
        <v>0</v>
      </c>
      <c r="AF13" s="354">
        <v>0</v>
      </c>
    </row>
    <row r="14" spans="1:32" x14ac:dyDescent="0.2">
      <c r="B14" s="352">
        <v>2028</v>
      </c>
      <c r="C14" s="334">
        <v>0.23641670860364772</v>
      </c>
      <c r="D14" s="335">
        <v>0.42611793694478067</v>
      </c>
      <c r="E14" s="334">
        <v>0.26988088410184169</v>
      </c>
      <c r="F14" s="335">
        <v>0.50058519693193759</v>
      </c>
      <c r="G14" s="139"/>
      <c r="H14" s="352">
        <v>2028</v>
      </c>
      <c r="I14" s="334">
        <v>0</v>
      </c>
      <c r="J14" s="346">
        <v>0</v>
      </c>
      <c r="L14" s="352">
        <v>2028</v>
      </c>
      <c r="M14" s="334">
        <v>1.0996883624558176</v>
      </c>
      <c r="N14" s="346">
        <v>2.1147853124150338</v>
      </c>
      <c r="O14" s="140"/>
      <c r="P14" s="352">
        <v>2028</v>
      </c>
      <c r="Q14" s="334">
        <v>6.5073214245392988E-2</v>
      </c>
      <c r="R14" s="335">
        <v>0.1277996013254894</v>
      </c>
      <c r="S14" s="334">
        <v>6.5073214245392988E-2</v>
      </c>
      <c r="T14" s="335">
        <v>0.1277996013254894</v>
      </c>
      <c r="U14" s="140"/>
      <c r="V14" s="352">
        <v>2028</v>
      </c>
      <c r="W14" s="359">
        <v>242.80081887582779</v>
      </c>
      <c r="X14" s="355">
        <v>439.73216393135601</v>
      </c>
      <c r="Y14" s="359">
        <v>242.80081887582779</v>
      </c>
      <c r="Z14" s="355">
        <v>439.73216393135601</v>
      </c>
      <c r="AA14" s="363" t="s">
        <v>273</v>
      </c>
      <c r="AB14" s="352">
        <v>2028</v>
      </c>
      <c r="AC14" s="359">
        <v>0</v>
      </c>
      <c r="AD14" s="355">
        <v>0</v>
      </c>
      <c r="AE14" s="359">
        <v>0</v>
      </c>
      <c r="AF14" s="355">
        <v>0</v>
      </c>
    </row>
    <row r="15" spans="1:32" x14ac:dyDescent="0.2">
      <c r="B15" s="352">
        <v>2029</v>
      </c>
      <c r="C15" s="334">
        <v>0.2621597062613078</v>
      </c>
      <c r="D15" s="335">
        <v>0.65908735757799941</v>
      </c>
      <c r="E15" s="334">
        <v>0.29629316526946559</v>
      </c>
      <c r="F15" s="335">
        <v>0.76388747184983441</v>
      </c>
      <c r="G15" s="139"/>
      <c r="H15" s="352">
        <v>2029</v>
      </c>
      <c r="I15" s="334">
        <v>0</v>
      </c>
      <c r="J15" s="346">
        <v>0</v>
      </c>
      <c r="L15" s="352">
        <v>2029</v>
      </c>
      <c r="M15" s="334">
        <v>1.1216821297049338</v>
      </c>
      <c r="N15" s="346">
        <v>3.1115732613286053</v>
      </c>
      <c r="O15" s="140"/>
      <c r="P15" s="352">
        <v>2029</v>
      </c>
      <c r="Q15" s="334">
        <v>7.2246255660248948E-2</v>
      </c>
      <c r="R15" s="335">
        <v>0.19200156647154099</v>
      </c>
      <c r="S15" s="334">
        <v>7.2246255660248948E-2</v>
      </c>
      <c r="T15" s="335">
        <v>0.19200156647154099</v>
      </c>
      <c r="U15" s="140"/>
      <c r="V15" s="352">
        <v>2029</v>
      </c>
      <c r="W15" s="359">
        <v>263.46802054268733</v>
      </c>
      <c r="X15" s="355">
        <v>673.86422402769415</v>
      </c>
      <c r="Y15" s="359">
        <v>263.46802054268733</v>
      </c>
      <c r="Z15" s="355">
        <v>673.86422402769415</v>
      </c>
      <c r="AA15" s="363" t="s">
        <v>273</v>
      </c>
      <c r="AB15" s="352">
        <v>2029</v>
      </c>
      <c r="AC15" s="359">
        <v>0</v>
      </c>
      <c r="AD15" s="355">
        <v>0</v>
      </c>
      <c r="AE15" s="359">
        <v>0</v>
      </c>
      <c r="AF15" s="355">
        <v>0</v>
      </c>
    </row>
    <row r="16" spans="1:32" x14ac:dyDescent="0.2">
      <c r="B16" s="352">
        <v>2030</v>
      </c>
      <c r="C16" s="334">
        <v>0.28326902723538039</v>
      </c>
      <c r="D16" s="335">
        <v>0.89638780549820496</v>
      </c>
      <c r="E16" s="334">
        <v>0.31808515542370136</v>
      </c>
      <c r="F16" s="335">
        <v>1.0303541258129996</v>
      </c>
      <c r="G16" s="139"/>
      <c r="H16" s="352">
        <v>2030</v>
      </c>
      <c r="I16" s="334">
        <v>0</v>
      </c>
      <c r="J16" s="346">
        <v>0</v>
      </c>
      <c r="L16" s="352">
        <v>2030</v>
      </c>
      <c r="M16" s="334">
        <v>1.1441157722990327</v>
      </c>
      <c r="N16" s="346">
        <v>4.0700232122070394</v>
      </c>
      <c r="O16" s="140"/>
      <c r="P16" s="352">
        <v>2030</v>
      </c>
      <c r="Q16" s="334">
        <v>6.7293650186686843E-2</v>
      </c>
      <c r="R16" s="335">
        <v>0.24837487875116848</v>
      </c>
      <c r="S16" s="334">
        <v>6.7293650186686843E-2</v>
      </c>
      <c r="T16" s="335">
        <v>0.24837487875116848</v>
      </c>
      <c r="U16" s="140"/>
      <c r="V16" s="352">
        <v>2030</v>
      </c>
      <c r="W16" s="359">
        <v>290.39016280715839</v>
      </c>
      <c r="X16" s="355">
        <v>917.13019764400508</v>
      </c>
      <c r="Y16" s="359">
        <v>290.39016280715839</v>
      </c>
      <c r="Z16" s="355">
        <v>917.13019764400508</v>
      </c>
      <c r="AA16" s="363" t="s">
        <v>273</v>
      </c>
      <c r="AB16" s="352">
        <v>2030</v>
      </c>
      <c r="AC16" s="359">
        <v>0</v>
      </c>
      <c r="AD16" s="355">
        <v>0</v>
      </c>
      <c r="AE16" s="359">
        <v>0</v>
      </c>
      <c r="AF16" s="355">
        <v>0</v>
      </c>
    </row>
    <row r="17" spans="2:34" x14ac:dyDescent="0.2">
      <c r="B17" s="352">
        <v>2031</v>
      </c>
      <c r="C17" s="334">
        <v>0.29882227797782479</v>
      </c>
      <c r="D17" s="335">
        <v>1.1323698328508423</v>
      </c>
      <c r="E17" s="334">
        <v>0.33433472872991221</v>
      </c>
      <c r="F17" s="335">
        <v>1.2943805820530982</v>
      </c>
      <c r="G17" s="139"/>
      <c r="H17" s="352">
        <v>2031</v>
      </c>
      <c r="I17" s="334">
        <v>0</v>
      </c>
      <c r="J17" s="346">
        <v>0</v>
      </c>
      <c r="L17" s="352">
        <v>2031</v>
      </c>
      <c r="M17" s="334">
        <v>1.1669980877450135</v>
      </c>
      <c r="N17" s="346">
        <v>4.9916097034363034</v>
      </c>
      <c r="O17" s="140"/>
      <c r="P17" s="352">
        <v>2031</v>
      </c>
      <c r="Q17" s="334">
        <v>6.2393491510818258E-2</v>
      </c>
      <c r="R17" s="335">
        <v>0.29764745213482063</v>
      </c>
      <c r="S17" s="334">
        <v>6.2393491510818258E-2</v>
      </c>
      <c r="T17" s="335">
        <v>0.29764745213482063</v>
      </c>
      <c r="U17" s="140"/>
      <c r="V17" s="352">
        <v>2031</v>
      </c>
      <c r="W17" s="359">
        <v>350.62866094379592</v>
      </c>
      <c r="X17" s="355">
        <v>1194.0240852663919</v>
      </c>
      <c r="Y17" s="359">
        <v>350.62866094379592</v>
      </c>
      <c r="Z17" s="355">
        <v>1194.0240852663919</v>
      </c>
      <c r="AA17" s="363" t="s">
        <v>273</v>
      </c>
      <c r="AB17" s="352">
        <v>2031</v>
      </c>
      <c r="AC17" s="359">
        <v>0</v>
      </c>
      <c r="AD17" s="355">
        <v>0</v>
      </c>
      <c r="AE17" s="359">
        <v>0</v>
      </c>
      <c r="AF17" s="355">
        <v>0</v>
      </c>
    </row>
    <row r="18" spans="2:34" x14ac:dyDescent="0.2">
      <c r="B18" s="352">
        <v>2032</v>
      </c>
      <c r="C18" s="334">
        <v>0.29979870455592261</v>
      </c>
      <c r="D18" s="335">
        <v>1.3555533907314465</v>
      </c>
      <c r="E18" s="334">
        <v>0.33602140432305178</v>
      </c>
      <c r="F18" s="335">
        <v>1.5445299369408767</v>
      </c>
      <c r="G18" s="139"/>
      <c r="H18" s="352">
        <v>2032</v>
      </c>
      <c r="I18" s="334">
        <v>0</v>
      </c>
      <c r="J18" s="346">
        <v>0</v>
      </c>
      <c r="L18" s="352">
        <v>2032</v>
      </c>
      <c r="M18" s="334">
        <v>1.1903380494999136</v>
      </c>
      <c r="N18" s="346">
        <v>5.8777505603875184</v>
      </c>
      <c r="O18" s="140"/>
      <c r="P18" s="352">
        <v>2032</v>
      </c>
      <c r="Q18" s="334">
        <v>5.4452310800233945E-2</v>
      </c>
      <c r="R18" s="335">
        <v>0.33818418653204929</v>
      </c>
      <c r="S18" s="334">
        <v>5.4452310800233945E-2</v>
      </c>
      <c r="T18" s="335">
        <v>0.33818418653204929</v>
      </c>
      <c r="U18" s="140"/>
      <c r="V18" s="352">
        <v>2032</v>
      </c>
      <c r="W18" s="359">
        <v>391.38695232078106</v>
      </c>
      <c r="X18" s="355">
        <v>1485.3900291465941</v>
      </c>
      <c r="Y18" s="359">
        <v>391.38695232078106</v>
      </c>
      <c r="Z18" s="355">
        <v>1485.3900291465941</v>
      </c>
      <c r="AA18" s="363" t="s">
        <v>273</v>
      </c>
      <c r="AB18" s="352">
        <v>2032</v>
      </c>
      <c r="AC18" s="359">
        <v>0</v>
      </c>
      <c r="AD18" s="355">
        <v>0</v>
      </c>
      <c r="AE18" s="359">
        <v>0</v>
      </c>
      <c r="AF18" s="355">
        <v>0</v>
      </c>
    </row>
    <row r="19" spans="2:34" x14ac:dyDescent="0.2">
      <c r="B19" s="352">
        <v>2033</v>
      </c>
      <c r="C19" s="334">
        <v>0.31148212965660377</v>
      </c>
      <c r="D19" s="335">
        <v>1.5741442861138883</v>
      </c>
      <c r="E19" s="334">
        <v>0.34842928341907553</v>
      </c>
      <c r="F19" s="335">
        <v>1.7890494832917554</v>
      </c>
      <c r="G19" s="139"/>
      <c r="H19" s="352">
        <v>2033</v>
      </c>
      <c r="I19" s="334">
        <v>0</v>
      </c>
      <c r="J19" s="346">
        <v>0</v>
      </c>
      <c r="L19" s="352">
        <v>2033</v>
      </c>
      <c r="M19" s="334">
        <v>1.2141448104899122</v>
      </c>
      <c r="N19" s="346">
        <v>6.7298090766867649</v>
      </c>
      <c r="O19" s="140"/>
      <c r="P19" s="352">
        <v>2033</v>
      </c>
      <c r="Q19" s="334">
        <v>4.8109743099692466E-2</v>
      </c>
      <c r="R19" s="335">
        <v>0.37194648240557143</v>
      </c>
      <c r="S19" s="334">
        <v>4.8109743099692466E-2</v>
      </c>
      <c r="T19" s="335">
        <v>0.37194648240557143</v>
      </c>
      <c r="U19" s="140"/>
      <c r="V19" s="352">
        <v>2033</v>
      </c>
      <c r="W19" s="359">
        <v>397.75561364074224</v>
      </c>
      <c r="X19" s="355">
        <v>1764.5256438445438</v>
      </c>
      <c r="Y19" s="359">
        <v>397.75561364074224</v>
      </c>
      <c r="Z19" s="355">
        <v>1764.5256438445438</v>
      </c>
      <c r="AA19" s="363" t="s">
        <v>273</v>
      </c>
      <c r="AB19" s="352">
        <v>2033</v>
      </c>
      <c r="AC19" s="359">
        <v>0</v>
      </c>
      <c r="AD19" s="355">
        <v>0</v>
      </c>
      <c r="AE19" s="359">
        <v>0</v>
      </c>
      <c r="AF19" s="355">
        <v>0</v>
      </c>
    </row>
    <row r="20" spans="2:34" x14ac:dyDescent="0.2">
      <c r="B20" s="352">
        <v>2034</v>
      </c>
      <c r="C20" s="334">
        <v>0.3135473606606014</v>
      </c>
      <c r="D20" s="335">
        <v>1.7815728554422492</v>
      </c>
      <c r="E20" s="334">
        <v>0.35123345749832258</v>
      </c>
      <c r="F20" s="335">
        <v>2.0214094477820748</v>
      </c>
      <c r="G20" s="139"/>
      <c r="H20" s="352">
        <v>2034</v>
      </c>
      <c r="I20" s="334">
        <v>0</v>
      </c>
      <c r="J20" s="346">
        <v>0</v>
      </c>
      <c r="L20" s="352">
        <v>2034</v>
      </c>
      <c r="M20" s="334">
        <v>1.2384277066997105</v>
      </c>
      <c r="N20" s="346">
        <v>7.5490961115898862</v>
      </c>
      <c r="O20" s="140"/>
      <c r="P20" s="352">
        <v>2034</v>
      </c>
      <c r="Q20" s="334">
        <v>4.0484753766186536E-2</v>
      </c>
      <c r="R20" s="335">
        <v>0.39872934077707306</v>
      </c>
      <c r="S20" s="334">
        <v>4.0484753766186536E-2</v>
      </c>
      <c r="T20" s="335">
        <v>0.39872934077707306</v>
      </c>
      <c r="U20" s="140"/>
      <c r="V20" s="352">
        <v>2034</v>
      </c>
      <c r="W20" s="359">
        <v>398.72019531800913</v>
      </c>
      <c r="X20" s="355">
        <v>2028.3006585756166</v>
      </c>
      <c r="Y20" s="359">
        <v>398.72019531800913</v>
      </c>
      <c r="Z20" s="355">
        <v>2028.3006585756166</v>
      </c>
      <c r="AA20" s="363" t="s">
        <v>273</v>
      </c>
      <c r="AB20" s="352">
        <v>2034</v>
      </c>
      <c r="AC20" s="359">
        <v>0</v>
      </c>
      <c r="AD20" s="355">
        <v>0</v>
      </c>
      <c r="AE20" s="359">
        <v>0</v>
      </c>
      <c r="AF20" s="355">
        <v>0</v>
      </c>
    </row>
    <row r="21" spans="2:34" x14ac:dyDescent="0.2">
      <c r="B21" s="352">
        <v>2035</v>
      </c>
      <c r="C21" s="334">
        <v>0.31595285408264911</v>
      </c>
      <c r="D21" s="335">
        <v>1.9786127626575412</v>
      </c>
      <c r="E21" s="334">
        <v>0.35439267285712472</v>
      </c>
      <c r="F21" s="335">
        <v>2.2424218503454036</v>
      </c>
      <c r="G21" s="139"/>
      <c r="H21" s="352">
        <v>2035</v>
      </c>
      <c r="I21" s="334">
        <v>0</v>
      </c>
      <c r="J21" s="346">
        <v>0</v>
      </c>
      <c r="L21" s="352">
        <v>2035</v>
      </c>
      <c r="M21" s="334">
        <v>1.2631962608337046</v>
      </c>
      <c r="N21" s="346">
        <v>8.3368721066890394</v>
      </c>
      <c r="O21" s="140"/>
      <c r="P21" s="352">
        <v>2035</v>
      </c>
      <c r="Q21" s="334">
        <v>3.5190730973798184E-2</v>
      </c>
      <c r="R21" s="335">
        <v>0.42067558457995913</v>
      </c>
      <c r="S21" s="334">
        <v>3.5190730973798184E-2</v>
      </c>
      <c r="T21" s="335">
        <v>0.42067558457995913</v>
      </c>
      <c r="U21" s="140"/>
      <c r="V21" s="352">
        <v>2035</v>
      </c>
      <c r="W21" s="359">
        <v>400.98315303322687</v>
      </c>
      <c r="X21" s="355">
        <v>2278.3686109540254</v>
      </c>
      <c r="Y21" s="359">
        <v>400.98315303322687</v>
      </c>
      <c r="Z21" s="355">
        <v>2278.3686109540254</v>
      </c>
      <c r="AA21" s="363" t="s">
        <v>273</v>
      </c>
      <c r="AB21" s="352">
        <v>2035</v>
      </c>
      <c r="AC21" s="359">
        <v>0</v>
      </c>
      <c r="AD21" s="355">
        <v>0</v>
      </c>
      <c r="AE21" s="359">
        <v>0</v>
      </c>
      <c r="AF21" s="355">
        <v>0</v>
      </c>
    </row>
    <row r="22" spans="2:34" x14ac:dyDescent="0.2">
      <c r="B22" s="352">
        <v>2036</v>
      </c>
      <c r="C22" s="334">
        <v>0.32049165816504011</v>
      </c>
      <c r="D22" s="335">
        <v>2.1670276133581856</v>
      </c>
      <c r="E22" s="334">
        <v>0.3597002733150052</v>
      </c>
      <c r="F22" s="335">
        <v>2.4538871773422373</v>
      </c>
      <c r="G22" s="139"/>
      <c r="H22" s="352">
        <v>2036</v>
      </c>
      <c r="I22" s="334">
        <v>0</v>
      </c>
      <c r="J22" s="346">
        <v>0</v>
      </c>
      <c r="K22" s="141"/>
      <c r="L22" s="352">
        <v>2036</v>
      </c>
      <c r="M22" s="334">
        <v>1.2884601860503784</v>
      </c>
      <c r="N22" s="346">
        <v>9.0943490250536119</v>
      </c>
      <c r="O22" s="140"/>
      <c r="P22" s="352">
        <v>2036</v>
      </c>
      <c r="Q22" s="334">
        <v>4.0093319805818539E-2</v>
      </c>
      <c r="R22" s="335">
        <v>0.44424617268374184</v>
      </c>
      <c r="S22" s="334">
        <v>4.0093319805818539E-2</v>
      </c>
      <c r="T22" s="335">
        <v>0.44424617268374184</v>
      </c>
      <c r="U22" s="140"/>
      <c r="V22" s="352">
        <v>2036</v>
      </c>
      <c r="W22" s="359">
        <v>399.48328351160274</v>
      </c>
      <c r="X22" s="355">
        <v>2513.2220971607758</v>
      </c>
      <c r="Y22" s="359">
        <v>399.48328351160274</v>
      </c>
      <c r="Z22" s="355">
        <v>2513.2220971607758</v>
      </c>
      <c r="AA22" s="363" t="s">
        <v>273</v>
      </c>
      <c r="AB22" s="352">
        <v>2036</v>
      </c>
      <c r="AC22" s="359">
        <v>0</v>
      </c>
      <c r="AD22" s="355">
        <v>0</v>
      </c>
      <c r="AE22" s="359">
        <v>0</v>
      </c>
      <c r="AF22" s="355">
        <v>0</v>
      </c>
    </row>
    <row r="23" spans="2:34" x14ac:dyDescent="0.2">
      <c r="B23" s="352">
        <v>2037</v>
      </c>
      <c r="C23" s="334">
        <v>0.32912810245283841</v>
      </c>
      <c r="D23" s="335">
        <v>2.349429722279833</v>
      </c>
      <c r="E23" s="334">
        <v>0.36912088990580283</v>
      </c>
      <c r="F23" s="335">
        <v>2.6584532057794514</v>
      </c>
      <c r="G23" s="139"/>
      <c r="H23" s="352">
        <v>2037</v>
      </c>
      <c r="I23" s="334">
        <v>0</v>
      </c>
      <c r="J23" s="346">
        <v>0</v>
      </c>
      <c r="L23" s="352">
        <v>2037</v>
      </c>
      <c r="M23" s="334">
        <v>1.3142293897713859</v>
      </c>
      <c r="N23" s="346">
        <v>9.822692215788777</v>
      </c>
      <c r="O23" s="140"/>
      <c r="P23" s="352">
        <v>2037</v>
      </c>
      <c r="Q23" s="334">
        <v>4.2355786744105943E-2</v>
      </c>
      <c r="R23" s="335">
        <v>0.46771966148516536</v>
      </c>
      <c r="S23" s="334">
        <v>4.2355786744105943E-2</v>
      </c>
      <c r="T23" s="335">
        <v>0.46771966148516536</v>
      </c>
      <c r="U23" s="140"/>
      <c r="V23" s="352">
        <v>2037</v>
      </c>
      <c r="W23" s="359">
        <v>406.81999201647369</v>
      </c>
      <c r="X23" s="355">
        <v>2738.6808894737947</v>
      </c>
      <c r="Y23" s="359">
        <v>406.81999201647369</v>
      </c>
      <c r="Z23" s="355">
        <v>2738.6808894737947</v>
      </c>
      <c r="AA23" s="363" t="s">
        <v>273</v>
      </c>
      <c r="AB23" s="352">
        <v>2037</v>
      </c>
      <c r="AC23" s="359">
        <v>0</v>
      </c>
      <c r="AD23" s="355">
        <v>0</v>
      </c>
      <c r="AE23" s="359">
        <v>0</v>
      </c>
      <c r="AF23" s="355">
        <v>0</v>
      </c>
    </row>
    <row r="24" spans="2:34" x14ac:dyDescent="0.2">
      <c r="B24" s="352">
        <v>2038</v>
      </c>
      <c r="C24" s="334">
        <v>0.34089754873988942</v>
      </c>
      <c r="D24" s="335">
        <v>2.5275261698121927</v>
      </c>
      <c r="E24" s="334">
        <v>0.38169019194191312</v>
      </c>
      <c r="F24" s="335">
        <v>2.857861114384471</v>
      </c>
      <c r="G24" s="139"/>
      <c r="H24" s="352">
        <v>2038</v>
      </c>
      <c r="I24" s="334">
        <v>0</v>
      </c>
      <c r="J24" s="346">
        <v>0</v>
      </c>
      <c r="L24" s="352">
        <v>2038</v>
      </c>
      <c r="M24" s="334">
        <v>1.340513977566814</v>
      </c>
      <c r="N24" s="346">
        <v>10.523022206880283</v>
      </c>
      <c r="O24" s="140"/>
      <c r="P24" s="352">
        <v>2038</v>
      </c>
      <c r="Q24" s="334">
        <v>4.7867063532383493E-2</v>
      </c>
      <c r="R24" s="335">
        <v>0.49272703980288962</v>
      </c>
      <c r="S24" s="334">
        <v>4.7867063532383493E-2</v>
      </c>
      <c r="T24" s="335">
        <v>0.49272703980288962</v>
      </c>
      <c r="U24" s="140"/>
      <c r="V24" s="352">
        <v>2038</v>
      </c>
      <c r="W24" s="359">
        <v>422.66889603529876</v>
      </c>
      <c r="X24" s="355">
        <v>2959.4974636749412</v>
      </c>
      <c r="Y24" s="359">
        <v>422.66889603529876</v>
      </c>
      <c r="Z24" s="355">
        <v>2959.4974636749412</v>
      </c>
      <c r="AA24" s="363" t="s">
        <v>273</v>
      </c>
      <c r="AB24" s="352">
        <v>2038</v>
      </c>
      <c r="AC24" s="359">
        <v>0</v>
      </c>
      <c r="AD24" s="355">
        <v>0</v>
      </c>
      <c r="AE24" s="359">
        <v>0</v>
      </c>
      <c r="AF24" s="355">
        <v>0</v>
      </c>
    </row>
    <row r="25" spans="2:34" x14ac:dyDescent="0.2">
      <c r="B25" s="352">
        <v>2039</v>
      </c>
      <c r="C25" s="334">
        <v>0.35573167506814651</v>
      </c>
      <c r="D25" s="335">
        <v>2.702720644274673</v>
      </c>
      <c r="E25" s="334">
        <v>0.39734017113421072</v>
      </c>
      <c r="F25" s="335">
        <v>3.053547378339895</v>
      </c>
      <c r="G25" s="139"/>
      <c r="H25" s="352">
        <v>2039</v>
      </c>
      <c r="I25" s="334">
        <v>0</v>
      </c>
      <c r="J25" s="346">
        <v>0</v>
      </c>
      <c r="L25" s="352">
        <v>2039</v>
      </c>
      <c r="M25" s="334">
        <v>1.3673242571181503</v>
      </c>
      <c r="N25" s="346">
        <v>11.196416429083653</v>
      </c>
      <c r="O25" s="140"/>
      <c r="P25" s="352">
        <v>2039</v>
      </c>
      <c r="Q25" s="334">
        <v>5.8952603362969848E-2</v>
      </c>
      <c r="R25" s="335">
        <v>0.52176063756275182</v>
      </c>
      <c r="S25" s="334">
        <v>5.8952603362969848E-2</v>
      </c>
      <c r="T25" s="335">
        <v>0.52176063756275182</v>
      </c>
      <c r="U25" s="140"/>
      <c r="V25" s="352">
        <v>2039</v>
      </c>
      <c r="W25" s="359">
        <v>0</v>
      </c>
      <c r="X25" s="355">
        <v>2959.4974636749412</v>
      </c>
      <c r="Y25" s="359">
        <v>0</v>
      </c>
      <c r="Z25" s="355">
        <v>2959.4974636749412</v>
      </c>
      <c r="AA25" s="363" t="s">
        <v>279</v>
      </c>
      <c r="AB25" s="352">
        <v>2039</v>
      </c>
      <c r="AC25" s="359">
        <v>431.12227395600462</v>
      </c>
      <c r="AD25" s="355">
        <v>212.32362903956437</v>
      </c>
      <c r="AE25" s="359">
        <v>431.12227395600462</v>
      </c>
      <c r="AF25" s="355">
        <v>212.32362903956437</v>
      </c>
    </row>
    <row r="26" spans="2:34" ht="15" customHeight="1" x14ac:dyDescent="0.2">
      <c r="B26" s="352">
        <v>2040</v>
      </c>
      <c r="C26" s="334">
        <v>0.36652313408462178</v>
      </c>
      <c r="D26" s="335">
        <v>2.8728838848750016</v>
      </c>
      <c r="E26" s="334">
        <v>0.40896380007200722</v>
      </c>
      <c r="F26" s="335">
        <v>3.2434142626834377</v>
      </c>
      <c r="G26" s="139"/>
      <c r="H26" s="352">
        <v>2040</v>
      </c>
      <c r="I26" s="334">
        <v>0</v>
      </c>
      <c r="J26" s="346">
        <v>0</v>
      </c>
      <c r="L26" s="352">
        <v>2040</v>
      </c>
      <c r="M26" s="334">
        <v>1.3946707422605134</v>
      </c>
      <c r="N26" s="346">
        <v>11.843910873509971</v>
      </c>
      <c r="O26" s="140"/>
      <c r="P26" s="352">
        <v>2040</v>
      </c>
      <c r="Q26" s="334">
        <v>5.7364373407579904E-2</v>
      </c>
      <c r="R26" s="335">
        <v>0.54839281099545922</v>
      </c>
      <c r="S26" s="334">
        <v>5.7364373407579904E-2</v>
      </c>
      <c r="T26" s="335">
        <v>0.54839281099545922</v>
      </c>
      <c r="U26" s="140"/>
      <c r="V26" s="352">
        <v>2040</v>
      </c>
      <c r="W26" s="359">
        <v>446.92160464376224</v>
      </c>
      <c r="X26" s="355">
        <v>3166.9867637171137</v>
      </c>
      <c r="Y26" s="359">
        <v>446.92160464376224</v>
      </c>
      <c r="Z26" s="355">
        <v>3166.9867637171137</v>
      </c>
      <c r="AA26" s="363" t="s">
        <v>273</v>
      </c>
      <c r="AB26" s="352">
        <v>2040</v>
      </c>
      <c r="AC26" s="359">
        <v>0</v>
      </c>
      <c r="AD26" s="355">
        <v>212.32362903956437</v>
      </c>
      <c r="AE26" s="359">
        <v>0</v>
      </c>
      <c r="AF26" s="355">
        <v>212.32362903956437</v>
      </c>
    </row>
    <row r="27" spans="2:34" x14ac:dyDescent="0.2">
      <c r="B27" s="352">
        <v>2041</v>
      </c>
      <c r="C27" s="334">
        <v>0.38117320433806379</v>
      </c>
      <c r="D27" s="335">
        <v>3.039705840564249</v>
      </c>
      <c r="E27" s="334">
        <v>0.4244626836451969</v>
      </c>
      <c r="F27" s="335">
        <v>3.4291820296642364</v>
      </c>
      <c r="G27" s="139"/>
      <c r="H27" s="352">
        <v>2041</v>
      </c>
      <c r="I27" s="334">
        <v>0</v>
      </c>
      <c r="J27" s="346">
        <v>0</v>
      </c>
      <c r="L27" s="352">
        <v>2041</v>
      </c>
      <c r="M27" s="334">
        <v>1.4225641571057237</v>
      </c>
      <c r="N27" s="346">
        <v>12.466501685458354</v>
      </c>
      <c r="O27" s="140"/>
      <c r="P27" s="352">
        <v>2041</v>
      </c>
      <c r="Q27" s="334">
        <v>6.2381721918931293E-2</v>
      </c>
      <c r="R27" s="335">
        <v>0.57569441753900097</v>
      </c>
      <c r="S27" s="334">
        <v>6.2381721918931293E-2</v>
      </c>
      <c r="T27" s="335">
        <v>0.57569441753900097</v>
      </c>
      <c r="U27" s="140"/>
      <c r="V27" s="352">
        <v>2041</v>
      </c>
      <c r="W27" s="359">
        <v>463.90451850801139</v>
      </c>
      <c r="X27" s="355">
        <v>3370.0164052287137</v>
      </c>
      <c r="Y27" s="359">
        <v>463.90451850801139</v>
      </c>
      <c r="Z27" s="355">
        <v>3370.0164052287137</v>
      </c>
      <c r="AA27" s="363" t="s">
        <v>273</v>
      </c>
      <c r="AB27" s="352">
        <v>2041</v>
      </c>
      <c r="AC27" s="359">
        <v>0</v>
      </c>
      <c r="AD27" s="355">
        <v>212.32362903956437</v>
      </c>
      <c r="AE27" s="359">
        <v>0</v>
      </c>
      <c r="AF27" s="355">
        <v>212.32362903956437</v>
      </c>
    </row>
    <row r="28" spans="2:34" x14ac:dyDescent="0.2">
      <c r="B28" s="352">
        <v>2042</v>
      </c>
      <c r="C28" s="334">
        <v>0.3900581725100839</v>
      </c>
      <c r="D28" s="335">
        <v>3.2006320255562759</v>
      </c>
      <c r="E28" s="334">
        <v>0.43421344140335971</v>
      </c>
      <c r="F28" s="335">
        <v>3.6083253408981397</v>
      </c>
      <c r="G28" s="139"/>
      <c r="H28" s="352">
        <v>2042</v>
      </c>
      <c r="I28" s="334">
        <v>0</v>
      </c>
      <c r="J28" s="346">
        <v>0</v>
      </c>
      <c r="L28" s="352">
        <v>2042</v>
      </c>
      <c r="M28" s="334">
        <v>1.4510154402478381</v>
      </c>
      <c r="N28" s="346">
        <v>13.065146696947183</v>
      </c>
      <c r="O28" s="125"/>
      <c r="P28" s="352">
        <v>2042</v>
      </c>
      <c r="Q28" s="334">
        <v>6.3717151788238349E-2</v>
      </c>
      <c r="R28" s="335">
        <v>0.601982184027406</v>
      </c>
      <c r="S28" s="334">
        <v>6.3717151788238349E-2</v>
      </c>
      <c r="T28" s="335">
        <v>0.601982184027406</v>
      </c>
      <c r="U28" s="140"/>
      <c r="V28" s="352">
        <v>2042</v>
      </c>
      <c r="W28" s="359">
        <v>480.74812846333151</v>
      </c>
      <c r="X28" s="355">
        <v>3568.3585185545426</v>
      </c>
      <c r="Y28" s="359">
        <v>480.74812846333151</v>
      </c>
      <c r="Z28" s="355">
        <v>3568.3585185545426</v>
      </c>
      <c r="AA28" s="363" t="s">
        <v>273</v>
      </c>
      <c r="AB28" s="352">
        <v>2042</v>
      </c>
      <c r="AC28" s="359">
        <v>0</v>
      </c>
      <c r="AD28" s="355">
        <v>212.32362903956437</v>
      </c>
      <c r="AE28" s="359">
        <v>0</v>
      </c>
      <c r="AF28" s="355">
        <v>212.32362903956437</v>
      </c>
    </row>
    <row r="29" spans="2:34" x14ac:dyDescent="0.2">
      <c r="B29" s="352">
        <v>2043</v>
      </c>
      <c r="C29" s="334">
        <v>0.41065891143707689</v>
      </c>
      <c r="D29" s="335">
        <v>3.3603467934340712</v>
      </c>
      <c r="E29" s="334">
        <v>0.45569728570821821</v>
      </c>
      <c r="F29" s="335">
        <v>3.7855565763162016</v>
      </c>
      <c r="G29" s="139"/>
      <c r="H29" s="352">
        <v>2043</v>
      </c>
      <c r="I29" s="334">
        <v>0</v>
      </c>
      <c r="J29" s="346">
        <v>0</v>
      </c>
      <c r="L29" s="352">
        <v>2043</v>
      </c>
      <c r="M29" s="334">
        <v>1.4800357490527949</v>
      </c>
      <c r="N29" s="346">
        <v>13.640766900301825</v>
      </c>
      <c r="O29" s="125"/>
      <c r="P29" s="352">
        <v>2043</v>
      </c>
      <c r="Q29" s="334">
        <v>7.8118570394645731E-2</v>
      </c>
      <c r="R29" s="335">
        <v>0.63236430648973041</v>
      </c>
      <c r="S29" s="334">
        <v>7.8118570394645731E-2</v>
      </c>
      <c r="T29" s="335">
        <v>0.63236430648973041</v>
      </c>
      <c r="U29" s="140"/>
      <c r="V29" s="352">
        <v>2043</v>
      </c>
      <c r="W29" s="359">
        <v>0</v>
      </c>
      <c r="X29" s="355">
        <v>3568.3585185545426</v>
      </c>
      <c r="Y29" s="359">
        <v>0</v>
      </c>
      <c r="Z29" s="355">
        <v>3568.3585185545426</v>
      </c>
      <c r="AA29" s="363" t="s">
        <v>279</v>
      </c>
      <c r="AB29" s="352">
        <v>2043</v>
      </c>
      <c r="AC29" s="359">
        <v>513.80016400754425</v>
      </c>
      <c r="AD29" s="355">
        <v>412.1524203906859</v>
      </c>
      <c r="AE29" s="359">
        <v>513.80016400754425</v>
      </c>
      <c r="AF29" s="355">
        <v>412.1524203906859</v>
      </c>
      <c r="AH29" s="148"/>
    </row>
    <row r="30" spans="2:34" x14ac:dyDescent="0.2">
      <c r="B30" s="352">
        <v>2044</v>
      </c>
      <c r="C30" s="334">
        <v>0.42485102445938216</v>
      </c>
      <c r="D30" s="335">
        <v>3.516110754163039</v>
      </c>
      <c r="E30" s="334">
        <v>0.47079016621594638</v>
      </c>
      <c r="F30" s="335">
        <v>3.9581632942954257</v>
      </c>
      <c r="G30" s="139"/>
      <c r="H30" s="352">
        <v>2044</v>
      </c>
      <c r="I30" s="334">
        <v>0</v>
      </c>
      <c r="J30" s="346">
        <v>0</v>
      </c>
      <c r="L30" s="352">
        <v>2044</v>
      </c>
      <c r="M30" s="334">
        <v>1.5096364640338509</v>
      </c>
      <c r="N30" s="346">
        <v>14.194247865065906</v>
      </c>
      <c r="O30" s="125"/>
      <c r="P30" s="352">
        <v>2044</v>
      </c>
      <c r="Q30" s="334">
        <v>7.2181782328537392E-2</v>
      </c>
      <c r="R30" s="335">
        <v>0.65882845429842696</v>
      </c>
      <c r="S30" s="334">
        <v>7.2181782328537392E-2</v>
      </c>
      <c r="T30" s="335">
        <v>0.65882845429842696</v>
      </c>
      <c r="U30" s="140"/>
      <c r="V30" s="352">
        <v>2044</v>
      </c>
      <c r="W30" s="359">
        <v>0</v>
      </c>
      <c r="X30" s="355">
        <v>3568.3585185545426</v>
      </c>
      <c r="Y30" s="359">
        <v>0</v>
      </c>
      <c r="Z30" s="355">
        <v>3568.3585185545426</v>
      </c>
      <c r="AA30" s="363" t="s">
        <v>279</v>
      </c>
      <c r="AB30" s="352">
        <v>2044</v>
      </c>
      <c r="AC30" s="359">
        <v>545.57275562373627</v>
      </c>
      <c r="AD30" s="355">
        <v>612.17682515682066</v>
      </c>
      <c r="AE30" s="359">
        <v>545.57275562373627</v>
      </c>
      <c r="AF30" s="355">
        <v>612.17682515682066</v>
      </c>
    </row>
    <row r="31" spans="2:34" x14ac:dyDescent="0.2">
      <c r="B31" s="352">
        <v>2045</v>
      </c>
      <c r="C31" s="334">
        <v>0.44993652229404285</v>
      </c>
      <c r="D31" s="335">
        <v>3.6716170756053543</v>
      </c>
      <c r="E31" s="334">
        <v>0.49679444688573826</v>
      </c>
      <c r="F31" s="335">
        <v>4.1298645746322178</v>
      </c>
      <c r="G31" s="139"/>
      <c r="H31" s="352">
        <v>2045</v>
      </c>
      <c r="I31" s="334">
        <v>0</v>
      </c>
      <c r="J31" s="346">
        <v>0</v>
      </c>
      <c r="L31" s="352">
        <v>2045</v>
      </c>
      <c r="M31" s="334">
        <v>1.5398291933145281</v>
      </c>
      <c r="N31" s="346">
        <v>14.726441100415983</v>
      </c>
      <c r="O31" s="125"/>
      <c r="P31" s="352">
        <v>2045</v>
      </c>
      <c r="Q31" s="334">
        <v>6.5932240165591807E-2</v>
      </c>
      <c r="R31" s="335">
        <v>0.68161584679621112</v>
      </c>
      <c r="S31" s="334">
        <v>6.5932240165591807E-2</v>
      </c>
      <c r="T31" s="335">
        <v>0.68161584679621112</v>
      </c>
      <c r="U31" s="140"/>
      <c r="V31" s="352">
        <v>2045</v>
      </c>
      <c r="W31" s="359">
        <v>578.67144192199601</v>
      </c>
      <c r="X31" s="355">
        <v>3768.3579913650678</v>
      </c>
      <c r="Y31" s="359">
        <v>578.67144192199601</v>
      </c>
      <c r="Z31" s="355">
        <v>3768.3579913650678</v>
      </c>
      <c r="AA31" s="363" t="s">
        <v>273</v>
      </c>
      <c r="AB31" s="352">
        <v>2045</v>
      </c>
      <c r="AC31" s="359">
        <v>0</v>
      </c>
      <c r="AD31" s="355">
        <v>612.17682515682066</v>
      </c>
      <c r="AE31" s="359">
        <v>0</v>
      </c>
      <c r="AF31" s="355">
        <v>612.17682515682066</v>
      </c>
    </row>
    <row r="32" spans="2:34" x14ac:dyDescent="0.2">
      <c r="B32" s="352">
        <v>2046</v>
      </c>
      <c r="C32" s="334">
        <v>0.46151198543765393</v>
      </c>
      <c r="D32" s="335">
        <v>3.8219819077996746</v>
      </c>
      <c r="E32" s="334">
        <v>0.50930706852118324</v>
      </c>
      <c r="F32" s="335">
        <v>4.2958014826866124</v>
      </c>
      <c r="G32" s="139"/>
      <c r="H32" s="352">
        <v>2046</v>
      </c>
      <c r="I32" s="334">
        <v>0</v>
      </c>
      <c r="J32" s="346">
        <v>0</v>
      </c>
      <c r="L32" s="352">
        <v>2046</v>
      </c>
      <c r="M32" s="334">
        <v>1.5706257771808185</v>
      </c>
      <c r="N32" s="346">
        <v>15.238165365175673</v>
      </c>
      <c r="O32" s="125"/>
      <c r="P32" s="352">
        <v>2046</v>
      </c>
      <c r="Q32" s="334">
        <v>5.4625008689761709E-2</v>
      </c>
      <c r="R32" s="335">
        <v>0.69941317497927058</v>
      </c>
      <c r="S32" s="334">
        <v>5.4625008689761709E-2</v>
      </c>
      <c r="T32" s="335">
        <v>0.69941317497927058</v>
      </c>
      <c r="U32" s="140"/>
      <c r="V32" s="352">
        <v>2046</v>
      </c>
      <c r="W32" s="359">
        <v>612.68502784797806</v>
      </c>
      <c r="X32" s="355">
        <v>3967.9763854853636</v>
      </c>
      <c r="Y32" s="359">
        <v>612.68502784797806</v>
      </c>
      <c r="Z32" s="355">
        <v>3967.9763854853636</v>
      </c>
      <c r="AA32" s="363" t="s">
        <v>273</v>
      </c>
      <c r="AB32" s="352">
        <v>2046</v>
      </c>
      <c r="AC32" s="359">
        <v>0</v>
      </c>
      <c r="AD32" s="355">
        <v>612.17682515682066</v>
      </c>
      <c r="AE32" s="359">
        <v>0</v>
      </c>
      <c r="AF32" s="355">
        <v>612.17682515682066</v>
      </c>
    </row>
    <row r="33" spans="1:34" x14ac:dyDescent="0.2">
      <c r="B33" s="352">
        <v>2047</v>
      </c>
      <c r="C33" s="334">
        <v>0.47749686800673929</v>
      </c>
      <c r="D33" s="335">
        <v>3.9686380666920265</v>
      </c>
      <c r="E33" s="334">
        <v>0.5262478527519393</v>
      </c>
      <c r="F33" s="335">
        <v>4.4574307914444198</v>
      </c>
      <c r="G33" s="139"/>
      <c r="H33" s="352">
        <v>2047</v>
      </c>
      <c r="I33" s="334">
        <v>0</v>
      </c>
      <c r="J33" s="346">
        <v>0</v>
      </c>
      <c r="L33" s="352">
        <v>2047</v>
      </c>
      <c r="M33" s="334">
        <v>1.6020382927244348</v>
      </c>
      <c r="N33" s="346">
        <v>15.730207927444606</v>
      </c>
      <c r="O33" s="125"/>
      <c r="P33" s="352">
        <v>2047</v>
      </c>
      <c r="Q33" s="334">
        <v>4.6878697935171125E-2</v>
      </c>
      <c r="R33" s="335">
        <v>0.71381127941448119</v>
      </c>
      <c r="S33" s="334">
        <v>4.6878697935171125E-2</v>
      </c>
      <c r="T33" s="335">
        <v>0.71381127941448119</v>
      </c>
      <c r="U33" s="140"/>
      <c r="V33" s="352">
        <v>2047</v>
      </c>
      <c r="W33" s="359">
        <v>645.28581183352082</v>
      </c>
      <c r="X33" s="355">
        <v>4166.1664572784657</v>
      </c>
      <c r="Y33" s="359">
        <v>645.28581183352082</v>
      </c>
      <c r="Z33" s="355">
        <v>4166.1664572784657</v>
      </c>
      <c r="AA33" s="363" t="s">
        <v>273</v>
      </c>
      <c r="AB33" s="352">
        <v>2047</v>
      </c>
      <c r="AC33" s="359">
        <v>0</v>
      </c>
      <c r="AD33" s="355">
        <v>612.17682515682066</v>
      </c>
      <c r="AE33" s="359">
        <v>0</v>
      </c>
      <c r="AF33" s="355">
        <v>612.17682515682066</v>
      </c>
    </row>
    <row r="34" spans="1:34" x14ac:dyDescent="0.2">
      <c r="B34" s="352">
        <v>2048</v>
      </c>
      <c r="C34" s="334">
        <v>0.49393654108441076</v>
      </c>
      <c r="D34" s="335">
        <v>4.1116484016603785</v>
      </c>
      <c r="E34" s="334">
        <v>0.54366254552451476</v>
      </c>
      <c r="F34" s="335">
        <v>4.6148383858987883</v>
      </c>
      <c r="G34" s="139"/>
      <c r="H34" s="352">
        <v>2048</v>
      </c>
      <c r="I34" s="334">
        <v>0</v>
      </c>
      <c r="J34" s="346">
        <v>0</v>
      </c>
      <c r="L34" s="352">
        <v>2048</v>
      </c>
      <c r="M34" s="334">
        <v>1.6340790585789238</v>
      </c>
      <c r="N34" s="346">
        <v>16.203325775780119</v>
      </c>
      <c r="O34" s="125"/>
      <c r="P34" s="352">
        <v>2048</v>
      </c>
      <c r="Q34" s="334">
        <v>4.211630988159739E-2</v>
      </c>
      <c r="R34" s="335">
        <v>0.72600529035073391</v>
      </c>
      <c r="S34" s="334">
        <v>4.211630988159739E-2</v>
      </c>
      <c r="T34" s="335">
        <v>0.72600529035073391</v>
      </c>
      <c r="U34" s="140"/>
      <c r="V34" s="352">
        <v>2048</v>
      </c>
      <c r="W34" s="359">
        <v>676.61264757269328</v>
      </c>
      <c r="X34" s="355">
        <v>4362.0673338581928</v>
      </c>
      <c r="Y34" s="359">
        <v>676.61264757269328</v>
      </c>
      <c r="Z34" s="355">
        <v>4362.0673338581928</v>
      </c>
      <c r="AA34" s="363" t="s">
        <v>273</v>
      </c>
      <c r="AB34" s="352">
        <v>2048</v>
      </c>
      <c r="AC34" s="359">
        <v>0</v>
      </c>
      <c r="AD34" s="355">
        <v>612.17682515682066</v>
      </c>
      <c r="AE34" s="359">
        <v>0</v>
      </c>
      <c r="AF34" s="355">
        <v>612.17682515682066</v>
      </c>
    </row>
    <row r="35" spans="1:34" x14ac:dyDescent="0.2">
      <c r="B35" s="352">
        <v>2049</v>
      </c>
      <c r="C35" s="334">
        <v>0.5108428023379864</v>
      </c>
      <c r="D35" s="335">
        <v>4.2510764137182759</v>
      </c>
      <c r="E35" s="334">
        <v>0.56156332686689248</v>
      </c>
      <c r="F35" s="335">
        <v>4.7681099166932377</v>
      </c>
      <c r="G35" s="139"/>
      <c r="H35" s="352">
        <v>2049</v>
      </c>
      <c r="I35" s="334">
        <v>0</v>
      </c>
      <c r="J35" s="346">
        <v>0</v>
      </c>
      <c r="L35" s="352">
        <v>2049</v>
      </c>
      <c r="M35" s="334">
        <v>1.6667606397505024</v>
      </c>
      <c r="N35" s="346">
        <v>16.658246783795036</v>
      </c>
      <c r="O35" s="125"/>
      <c r="P35" s="352">
        <v>2049</v>
      </c>
      <c r="Q35" s="334">
        <v>3.7499729648813554E-2</v>
      </c>
      <c r="R35" s="335">
        <v>0.73624036214525301</v>
      </c>
      <c r="S35" s="334">
        <v>3.7499729648813554E-2</v>
      </c>
      <c r="T35" s="335">
        <v>0.73624036214525301</v>
      </c>
      <c r="U35" s="140"/>
      <c r="V35" s="352">
        <v>2049</v>
      </c>
      <c r="W35" s="359">
        <v>706.78561719083905</v>
      </c>
      <c r="X35" s="355">
        <v>4554.9754322105937</v>
      </c>
      <c r="Y35" s="359">
        <v>706.78561719083905</v>
      </c>
      <c r="Z35" s="355">
        <v>4554.9754322105937</v>
      </c>
      <c r="AA35" s="363" t="s">
        <v>273</v>
      </c>
      <c r="AB35" s="352">
        <v>2049</v>
      </c>
      <c r="AC35" s="359">
        <v>0</v>
      </c>
      <c r="AD35" s="355">
        <v>612.17682515682066</v>
      </c>
      <c r="AE35" s="359">
        <v>0</v>
      </c>
      <c r="AF35" s="355">
        <v>612.17682515682066</v>
      </c>
    </row>
    <row r="36" spans="1:34" x14ac:dyDescent="0.2">
      <c r="B36" s="352">
        <v>2050</v>
      </c>
      <c r="C36" s="334">
        <v>0.52822773942527368</v>
      </c>
      <c r="D36" s="335">
        <v>4.3869861124165697</v>
      </c>
      <c r="E36" s="334">
        <v>0.5799626744447578</v>
      </c>
      <c r="F36" s="335">
        <v>4.9173306910997558</v>
      </c>
      <c r="G36" s="139"/>
      <c r="H36" s="352">
        <v>2050</v>
      </c>
      <c r="I36" s="334">
        <v>0</v>
      </c>
      <c r="J36" s="346">
        <v>0</v>
      </c>
      <c r="L36" s="352">
        <v>2050</v>
      </c>
      <c r="M36" s="334">
        <v>1.7000958525455121</v>
      </c>
      <c r="N36" s="346">
        <v>17.095670829963222</v>
      </c>
      <c r="O36" s="125"/>
      <c r="P36" s="352">
        <v>2050</v>
      </c>
      <c r="Q36" s="334">
        <v>3.5724970304131916E-2</v>
      </c>
      <c r="R36" s="335">
        <v>0.74543217391061556</v>
      </c>
      <c r="S36" s="334">
        <v>3.5724970304131916E-2</v>
      </c>
      <c r="T36" s="335">
        <v>0.74543217391061556</v>
      </c>
      <c r="U36" s="140"/>
      <c r="V36" s="352">
        <v>2050</v>
      </c>
      <c r="W36" s="359">
        <v>735.90893268615719</v>
      </c>
      <c r="X36" s="355">
        <v>4744.3202050155578</v>
      </c>
      <c r="Y36" s="359">
        <v>735.90893268615719</v>
      </c>
      <c r="Z36" s="355">
        <v>4744.3202050155578</v>
      </c>
      <c r="AA36" s="363" t="s">
        <v>273</v>
      </c>
      <c r="AB36" s="352">
        <v>2050</v>
      </c>
      <c r="AC36" s="359">
        <v>0</v>
      </c>
      <c r="AD36" s="355">
        <v>612.17682515682066</v>
      </c>
      <c r="AE36" s="359">
        <v>0</v>
      </c>
      <c r="AF36" s="355">
        <v>612.17682515682066</v>
      </c>
    </row>
    <row r="37" spans="1:34" x14ac:dyDescent="0.2">
      <c r="B37" s="352">
        <v>2051</v>
      </c>
      <c r="C37" s="334">
        <v>0.54610373687511482</v>
      </c>
      <c r="D37" s="335">
        <v>4.5194418827887519</v>
      </c>
      <c r="E37" s="334">
        <v>0.59887337059498869</v>
      </c>
      <c r="F37" s="335">
        <v>5.0625855727298461</v>
      </c>
      <c r="G37" s="139"/>
      <c r="H37" s="352">
        <v>2051</v>
      </c>
      <c r="I37" s="334">
        <v>0</v>
      </c>
      <c r="J37" s="346">
        <v>0</v>
      </c>
      <c r="L37" s="352">
        <v>2051</v>
      </c>
      <c r="M37" s="334">
        <v>1.7340977695964226</v>
      </c>
      <c r="N37" s="346">
        <v>17.516270874355708</v>
      </c>
      <c r="O37" s="125"/>
      <c r="P37" s="352">
        <v>2051</v>
      </c>
      <c r="Q37" s="334">
        <v>3.6439469710214549E-2</v>
      </c>
      <c r="R37" s="335">
        <v>0.75427045445423324</v>
      </c>
      <c r="S37" s="334">
        <v>3.6439469710214549E-2</v>
      </c>
      <c r="T37" s="335">
        <v>0.75427045445423324</v>
      </c>
      <c r="U37" s="140"/>
      <c r="V37" s="352">
        <v>2051</v>
      </c>
      <c r="W37" s="359">
        <v>750.62711133988023</v>
      </c>
      <c r="X37" s="355">
        <v>4926.3824865587922</v>
      </c>
      <c r="Y37" s="359">
        <v>750.62711133988023</v>
      </c>
      <c r="Z37" s="355">
        <v>4926.3824865587922</v>
      </c>
      <c r="AA37" s="363" t="s">
        <v>273</v>
      </c>
      <c r="AB37" s="352">
        <v>2051</v>
      </c>
      <c r="AC37" s="359">
        <v>0</v>
      </c>
      <c r="AD37" s="355">
        <v>612.17682515682066</v>
      </c>
      <c r="AE37" s="359">
        <v>0</v>
      </c>
      <c r="AF37" s="355">
        <v>612.17682515682066</v>
      </c>
    </row>
    <row r="38" spans="1:34" x14ac:dyDescent="0.2">
      <c r="B38" s="352">
        <v>2052</v>
      </c>
      <c r="C38" s="334">
        <v>0.56448348312718188</v>
      </c>
      <c r="D38" s="335">
        <v>4.648508361778994</v>
      </c>
      <c r="E38" s="334">
        <v>0.61830850952145322</v>
      </c>
      <c r="F38" s="335">
        <v>5.2039588894680771</v>
      </c>
      <c r="G38" s="139"/>
      <c r="H38" s="352">
        <v>2052</v>
      </c>
      <c r="I38" s="334">
        <v>0</v>
      </c>
      <c r="J38" s="346">
        <v>0</v>
      </c>
      <c r="L38" s="352">
        <v>2052</v>
      </c>
      <c r="M38" s="334">
        <v>1.768779724988351</v>
      </c>
      <c r="N38" s="346">
        <v>17.920693993963869</v>
      </c>
      <c r="O38" s="125"/>
      <c r="P38" s="352">
        <v>2052</v>
      </c>
      <c r="Q38" s="334">
        <v>3.7168259104418844E-2</v>
      </c>
      <c r="R38" s="335">
        <v>0.76276880113078882</v>
      </c>
      <c r="S38" s="334">
        <v>3.7168259104418844E-2</v>
      </c>
      <c r="T38" s="335">
        <v>0.76276880113078882</v>
      </c>
      <c r="U38" s="140"/>
      <c r="V38" s="352">
        <v>2052</v>
      </c>
      <c r="W38" s="359">
        <v>765.63965356667802</v>
      </c>
      <c r="X38" s="355">
        <v>5101.4423726580571</v>
      </c>
      <c r="Y38" s="359">
        <v>765.63965356667802</v>
      </c>
      <c r="Z38" s="355">
        <v>5101.4423726580571</v>
      </c>
      <c r="AA38" s="363" t="s">
        <v>273</v>
      </c>
      <c r="AB38" s="352">
        <v>2052</v>
      </c>
      <c r="AC38" s="359">
        <v>0</v>
      </c>
      <c r="AD38" s="355">
        <v>612.17682515682066</v>
      </c>
      <c r="AE38" s="359">
        <v>0</v>
      </c>
      <c r="AF38" s="355">
        <v>612.17682515682066</v>
      </c>
    </row>
    <row r="39" spans="1:34" x14ac:dyDescent="0.2">
      <c r="B39" s="352">
        <v>2053</v>
      </c>
      <c r="C39" s="334">
        <v>0.58337997773457939</v>
      </c>
      <c r="D39" s="335">
        <v>4.7742503236202687</v>
      </c>
      <c r="E39" s="334">
        <v>0.63828150465673605</v>
      </c>
      <c r="F39" s="335">
        <v>5.3415343491439549</v>
      </c>
      <c r="G39" s="139"/>
      <c r="H39" s="352">
        <v>2053</v>
      </c>
      <c r="I39" s="334">
        <v>0</v>
      </c>
      <c r="J39" s="346">
        <v>0</v>
      </c>
      <c r="L39" s="352">
        <v>2053</v>
      </c>
      <c r="M39" s="334">
        <v>1.8041553194881181</v>
      </c>
      <c r="N39" s="346">
        <v>18.309562378202486</v>
      </c>
      <c r="O39" s="125"/>
      <c r="P39" s="352">
        <v>2053</v>
      </c>
      <c r="Q39" s="334">
        <v>3.7911624286507219E-2</v>
      </c>
      <c r="R39" s="335">
        <v>0.77094028831978445</v>
      </c>
      <c r="S39" s="334">
        <v>3.7911624286507219E-2</v>
      </c>
      <c r="T39" s="335">
        <v>0.77094028831978445</v>
      </c>
      <c r="U39" s="140"/>
      <c r="V39" s="352">
        <v>2053</v>
      </c>
      <c r="W39" s="359">
        <v>780.95244663801145</v>
      </c>
      <c r="X39" s="355">
        <v>5269.7691862150423</v>
      </c>
      <c r="Y39" s="359">
        <v>780.95244663801145</v>
      </c>
      <c r="Z39" s="355">
        <v>5269.7691862150423</v>
      </c>
      <c r="AA39" s="363" t="s">
        <v>273</v>
      </c>
      <c r="AB39" s="352">
        <v>2053</v>
      </c>
      <c r="AC39" s="359">
        <v>0</v>
      </c>
      <c r="AD39" s="355">
        <v>612.17682515682066</v>
      </c>
      <c r="AE39" s="359">
        <v>0</v>
      </c>
      <c r="AF39" s="355">
        <v>612.17682515682066</v>
      </c>
    </row>
    <row r="40" spans="1:34" x14ac:dyDescent="0.2">
      <c r="B40" s="353">
        <v>2054</v>
      </c>
      <c r="C40" s="336">
        <v>0.60280653873302414</v>
      </c>
      <c r="D40" s="337">
        <v>4.8967325736568883</v>
      </c>
      <c r="E40" s="336">
        <v>0.65880609619362396</v>
      </c>
      <c r="F40" s="337">
        <v>5.4753949624830787</v>
      </c>
      <c r="G40" s="139"/>
      <c r="H40" s="353">
        <v>2054</v>
      </c>
      <c r="I40" s="336">
        <v>0</v>
      </c>
      <c r="J40" s="337">
        <v>0</v>
      </c>
      <c r="L40" s="353">
        <v>2054</v>
      </c>
      <c r="M40" s="336">
        <v>1.8402384258778806</v>
      </c>
      <c r="N40" s="337">
        <v>18.683474286124234</v>
      </c>
      <c r="O40" s="125"/>
      <c r="P40" s="353">
        <v>2054</v>
      </c>
      <c r="Q40" s="336">
        <v>3.8669856772237367E-2</v>
      </c>
      <c r="R40" s="337">
        <v>0.77879748753997269</v>
      </c>
      <c r="S40" s="336">
        <v>3.8669856772237367E-2</v>
      </c>
      <c r="T40" s="337">
        <v>0.77879748753997269</v>
      </c>
      <c r="U40" s="140"/>
      <c r="V40" s="353">
        <v>2054</v>
      </c>
      <c r="W40" s="360">
        <v>796.57149557077173</v>
      </c>
      <c r="X40" s="356">
        <v>5431.6218915582958</v>
      </c>
      <c r="Y40" s="360">
        <v>796.57149557077173</v>
      </c>
      <c r="Z40" s="356">
        <v>5431.6218915582958</v>
      </c>
      <c r="AA40" s="364" t="s">
        <v>273</v>
      </c>
      <c r="AB40" s="353">
        <v>2054</v>
      </c>
      <c r="AC40" s="360">
        <v>0</v>
      </c>
      <c r="AD40" s="356">
        <v>612.17682515682066</v>
      </c>
      <c r="AE40" s="360">
        <v>0</v>
      </c>
      <c r="AF40" s="356">
        <v>612.17682515682066</v>
      </c>
    </row>
    <row r="41" spans="1:34" x14ac:dyDescent="0.2">
      <c r="B41" s="352">
        <v>2055</v>
      </c>
      <c r="C41" s="338">
        <v>0.61486266950768464</v>
      </c>
      <c r="D41" s="339">
        <v>5.0145039679228685</v>
      </c>
      <c r="E41" s="338">
        <v>0.67198221811749648</v>
      </c>
      <c r="F41" s="339">
        <v>5.6041070906937742</v>
      </c>
      <c r="G41" s="139"/>
      <c r="H41" s="352">
        <v>2055</v>
      </c>
      <c r="I41" s="338">
        <v>0</v>
      </c>
      <c r="J41" s="339">
        <v>0</v>
      </c>
      <c r="L41" s="352">
        <v>2055</v>
      </c>
      <c r="M41" s="348">
        <v>1.8770431943954382</v>
      </c>
      <c r="N41" s="350">
        <v>19.043004966818224</v>
      </c>
      <c r="O41" s="125"/>
      <c r="P41" s="352">
        <v>2055</v>
      </c>
      <c r="Q41" s="338">
        <v>3.9443253907682108E-2</v>
      </c>
      <c r="R41" s="339">
        <v>0.78635248679015357</v>
      </c>
      <c r="S41" s="338">
        <v>3.9443253907682108E-2</v>
      </c>
      <c r="T41" s="339">
        <v>0.78635248679015357</v>
      </c>
      <c r="U41" s="140"/>
      <c r="V41" s="352">
        <v>2055</v>
      </c>
      <c r="W41" s="361">
        <v>812.50292548218692</v>
      </c>
      <c r="X41" s="357">
        <v>5587.2494928498872</v>
      </c>
      <c r="Y41" s="361">
        <v>812.50292548218692</v>
      </c>
      <c r="Z41" s="357">
        <v>5587.2494928498872</v>
      </c>
      <c r="AA41" s="365" t="s">
        <v>273</v>
      </c>
      <c r="AB41" s="352">
        <v>2055</v>
      </c>
      <c r="AC41" s="361">
        <v>0</v>
      </c>
      <c r="AD41" s="357">
        <v>612.17682515682066</v>
      </c>
      <c r="AE41" s="361">
        <v>0</v>
      </c>
      <c r="AF41" s="357">
        <v>612.17682515682066</v>
      </c>
    </row>
    <row r="42" spans="1:34" x14ac:dyDescent="0.2">
      <c r="B42" s="352">
        <v>2056</v>
      </c>
      <c r="C42" s="334">
        <v>0.6271599228978384</v>
      </c>
      <c r="D42" s="335">
        <v>5.1277456931786185</v>
      </c>
      <c r="E42" s="334">
        <v>0.68542186247984638</v>
      </c>
      <c r="F42" s="335">
        <v>5.7278687524348282</v>
      </c>
      <c r="G42" s="139"/>
      <c r="H42" s="352">
        <v>2056</v>
      </c>
      <c r="I42" s="334">
        <v>0</v>
      </c>
      <c r="J42" s="335">
        <v>0</v>
      </c>
      <c r="L42" s="352">
        <v>2056</v>
      </c>
      <c r="M42" s="334">
        <v>1.9145840582833471</v>
      </c>
      <c r="N42" s="335">
        <v>19.388707544408597</v>
      </c>
      <c r="O42" s="125"/>
      <c r="P42" s="352">
        <v>2056</v>
      </c>
      <c r="Q42" s="334">
        <v>4.0232118985835758E-2</v>
      </c>
      <c r="R42" s="335">
        <v>0.79361690914609673</v>
      </c>
      <c r="S42" s="334">
        <v>4.0232118985835758E-2</v>
      </c>
      <c r="T42" s="335">
        <v>0.79361690914609673</v>
      </c>
      <c r="U42" s="140"/>
      <c r="V42" s="352">
        <v>2056</v>
      </c>
      <c r="W42" s="359">
        <v>828.75298399183089</v>
      </c>
      <c r="X42" s="355">
        <v>5736.8914171687238</v>
      </c>
      <c r="Y42" s="359">
        <v>828.75298399183089</v>
      </c>
      <c r="Z42" s="355">
        <v>5736.8914171687238</v>
      </c>
      <c r="AA42" s="363" t="s">
        <v>273</v>
      </c>
      <c r="AB42" s="352">
        <v>2056</v>
      </c>
      <c r="AC42" s="359">
        <v>0</v>
      </c>
      <c r="AD42" s="355">
        <v>612.17682515682066</v>
      </c>
      <c r="AE42" s="359">
        <v>0</v>
      </c>
      <c r="AF42" s="355">
        <v>612.17682515682066</v>
      </c>
    </row>
    <row r="43" spans="1:34" x14ac:dyDescent="0.2">
      <c r="B43" s="352">
        <v>2057</v>
      </c>
      <c r="C43" s="334">
        <v>0.63970312135579521</v>
      </c>
      <c r="D43" s="335">
        <v>5.2366319674629933</v>
      </c>
      <c r="E43" s="334">
        <v>0.69913029972944329</v>
      </c>
      <c r="F43" s="335">
        <v>5.8468703502627637</v>
      </c>
      <c r="G43" s="139"/>
      <c r="H43" s="352">
        <v>2057</v>
      </c>
      <c r="I43" s="334">
        <v>0</v>
      </c>
      <c r="J43" s="335">
        <v>0</v>
      </c>
      <c r="L43" s="352">
        <v>2057</v>
      </c>
      <c r="M43" s="334">
        <v>1.9528757394490142</v>
      </c>
      <c r="N43" s="335">
        <v>19.721113869014722</v>
      </c>
      <c r="O43" s="125"/>
      <c r="P43" s="352">
        <v>2057</v>
      </c>
      <c r="Q43" s="334">
        <v>4.1036761365552475E-2</v>
      </c>
      <c r="R43" s="335">
        <v>0.80060193064219598</v>
      </c>
      <c r="S43" s="334">
        <v>4.1036761365552475E-2</v>
      </c>
      <c r="T43" s="335">
        <v>0.80060193064219598</v>
      </c>
      <c r="U43" s="140"/>
      <c r="V43" s="352">
        <v>2057</v>
      </c>
      <c r="W43" s="359">
        <v>845.32804367166761</v>
      </c>
      <c r="X43" s="355">
        <v>5880.7778828599139</v>
      </c>
      <c r="Y43" s="359">
        <v>845.32804367166761</v>
      </c>
      <c r="Z43" s="355">
        <v>5880.7778828599139</v>
      </c>
      <c r="AA43" s="363" t="s">
        <v>273</v>
      </c>
      <c r="AB43" s="352">
        <v>2057</v>
      </c>
      <c r="AC43" s="359">
        <v>0</v>
      </c>
      <c r="AD43" s="355">
        <v>612.17682515682066</v>
      </c>
      <c r="AE43" s="359">
        <v>0</v>
      </c>
      <c r="AF43" s="355">
        <v>612.17682515682066</v>
      </c>
    </row>
    <row r="44" spans="1:34" x14ac:dyDescent="0.2">
      <c r="B44" s="352">
        <v>2058</v>
      </c>
      <c r="C44" s="334">
        <v>0.65249718378291111</v>
      </c>
      <c r="D44" s="335">
        <v>5.341330308121047</v>
      </c>
      <c r="E44" s="334">
        <v>0.71311290572403219</v>
      </c>
      <c r="F44" s="335">
        <v>5.9612949635588564</v>
      </c>
      <c r="G44" s="139"/>
      <c r="H44" s="352">
        <v>2058</v>
      </c>
      <c r="I44" s="334">
        <v>0</v>
      </c>
      <c r="J44" s="335">
        <v>0</v>
      </c>
      <c r="L44" s="352">
        <v>2058</v>
      </c>
      <c r="M44" s="334">
        <v>1.9919332542379944</v>
      </c>
      <c r="N44" s="335">
        <v>20.040735334982152</v>
      </c>
      <c r="O44" s="125"/>
      <c r="P44" s="352">
        <v>2058</v>
      </c>
      <c r="Q44" s="334">
        <v>4.1857496592863516E-2</v>
      </c>
      <c r="R44" s="335">
        <v>0.80731829746536832</v>
      </c>
      <c r="S44" s="334">
        <v>4.1857496592863516E-2</v>
      </c>
      <c r="T44" s="335">
        <v>0.80731829746536832</v>
      </c>
      <c r="V44" s="352">
        <v>2058</v>
      </c>
      <c r="W44" s="359">
        <v>862.23460454510086</v>
      </c>
      <c r="X44" s="355">
        <v>6019.1302537168276</v>
      </c>
      <c r="Y44" s="359">
        <v>862.23460454510086</v>
      </c>
      <c r="Z44" s="355">
        <v>6019.1302537168276</v>
      </c>
      <c r="AA44" s="363" t="s">
        <v>273</v>
      </c>
      <c r="AB44" s="352">
        <v>2058</v>
      </c>
      <c r="AC44" s="359">
        <v>0</v>
      </c>
      <c r="AD44" s="355">
        <v>612.17682515682066</v>
      </c>
      <c r="AE44" s="359">
        <v>0</v>
      </c>
      <c r="AF44" s="355">
        <v>612.17682515682066</v>
      </c>
    </row>
    <row r="45" spans="1:34" x14ac:dyDescent="0.2">
      <c r="B45" s="352">
        <v>2059</v>
      </c>
      <c r="C45" s="334">
        <v>0.66554712745856937</v>
      </c>
      <c r="D45" s="335">
        <v>5.4420017895230215</v>
      </c>
      <c r="E45" s="334">
        <v>0.72737516383851286</v>
      </c>
      <c r="F45" s="335">
        <v>6.0713186301897144</v>
      </c>
      <c r="G45" s="139"/>
      <c r="H45" s="352">
        <v>2059</v>
      </c>
      <c r="I45" s="334">
        <v>0</v>
      </c>
      <c r="J45" s="335">
        <v>0</v>
      </c>
      <c r="L45" s="352">
        <v>2059</v>
      </c>
      <c r="M45" s="334">
        <v>2.0317719193227544</v>
      </c>
      <c r="N45" s="335">
        <v>20.348063667643142</v>
      </c>
      <c r="O45" s="125"/>
      <c r="P45" s="352">
        <v>2059</v>
      </c>
      <c r="Q45" s="334">
        <v>4.269464652472079E-2</v>
      </c>
      <c r="R45" s="335">
        <v>0.81377634248764941</v>
      </c>
      <c r="S45" s="334">
        <v>4.269464652472079E-2</v>
      </c>
      <c r="T45" s="335">
        <v>0.81377634248764941</v>
      </c>
      <c r="V45" s="352">
        <v>2059</v>
      </c>
      <c r="W45" s="359">
        <v>879.4792966360028</v>
      </c>
      <c r="X45" s="355">
        <v>6152.1613795407829</v>
      </c>
      <c r="Y45" s="359">
        <v>879.4792966360028</v>
      </c>
      <c r="Z45" s="355">
        <v>6152.1613795407829</v>
      </c>
      <c r="AA45" s="363" t="s">
        <v>273</v>
      </c>
      <c r="AB45" s="352">
        <v>2059</v>
      </c>
      <c r="AC45" s="359">
        <v>0</v>
      </c>
      <c r="AD45" s="355">
        <v>612.17682515682066</v>
      </c>
      <c r="AE45" s="359">
        <v>0</v>
      </c>
      <c r="AF45" s="355">
        <v>612.17682515682066</v>
      </c>
    </row>
    <row r="46" spans="1:34" x14ac:dyDescent="0.2">
      <c r="B46" s="352">
        <v>2060</v>
      </c>
      <c r="C46" s="334">
        <v>0.67885807000774079</v>
      </c>
      <c r="D46" s="335">
        <v>5.5388012908710733</v>
      </c>
      <c r="E46" s="334">
        <v>0.7419226671152831</v>
      </c>
      <c r="F46" s="335">
        <v>6.1771106173347698</v>
      </c>
      <c r="G46" s="139"/>
      <c r="H46" s="352">
        <v>2060</v>
      </c>
      <c r="I46" s="334">
        <v>0</v>
      </c>
      <c r="J46" s="335">
        <v>0</v>
      </c>
      <c r="L46" s="352">
        <v>2060</v>
      </c>
      <c r="M46" s="334">
        <v>2.0724073577092095</v>
      </c>
      <c r="N46" s="335">
        <v>20.643571679817175</v>
      </c>
      <c r="O46" s="125"/>
      <c r="P46" s="352">
        <v>2060</v>
      </c>
      <c r="Q46" s="334">
        <v>4.3548539455215196E-2</v>
      </c>
      <c r="R46" s="335">
        <v>0.81998600116291975</v>
      </c>
      <c r="S46" s="334">
        <v>4.3548539455215196E-2</v>
      </c>
      <c r="T46" s="335">
        <v>0.81998600116291975</v>
      </c>
      <c r="V46" s="352">
        <v>2060</v>
      </c>
      <c r="W46" s="359">
        <v>897.06888256872287</v>
      </c>
      <c r="X46" s="355">
        <v>6280.0759236022777</v>
      </c>
      <c r="Y46" s="359">
        <v>897.06888256872287</v>
      </c>
      <c r="Z46" s="355">
        <v>6280.0759236022777</v>
      </c>
      <c r="AA46" s="363" t="s">
        <v>273</v>
      </c>
      <c r="AB46" s="352">
        <v>2060</v>
      </c>
      <c r="AC46" s="359">
        <v>0</v>
      </c>
      <c r="AD46" s="355">
        <v>612.17682515682066</v>
      </c>
      <c r="AE46" s="359">
        <v>0</v>
      </c>
      <c r="AF46" s="355">
        <v>612.17682515682066</v>
      </c>
    </row>
    <row r="47" spans="1:34" x14ac:dyDescent="0.2">
      <c r="B47" s="353">
        <v>2061</v>
      </c>
      <c r="C47" s="336">
        <v>0.69243523140789565</v>
      </c>
      <c r="D47" s="337">
        <v>5.63187773447497</v>
      </c>
      <c r="E47" s="336">
        <v>0.75676112045758881</v>
      </c>
      <c r="F47" s="337">
        <v>6.278833681897324</v>
      </c>
      <c r="G47" s="139"/>
      <c r="H47" s="353">
        <v>2061</v>
      </c>
      <c r="I47" s="336">
        <v>0</v>
      </c>
      <c r="J47" s="337">
        <v>0</v>
      </c>
      <c r="L47" s="353">
        <v>2061</v>
      </c>
      <c r="M47" s="336">
        <v>2.1138555048633938</v>
      </c>
      <c r="N47" s="337">
        <v>20.927713999215278</v>
      </c>
      <c r="O47" s="125"/>
      <c r="P47" s="353">
        <v>2061</v>
      </c>
      <c r="Q47" s="336">
        <v>4.4419510244319511E-2</v>
      </c>
      <c r="R47" s="337">
        <v>0.82595682681221805</v>
      </c>
      <c r="S47" s="336">
        <v>4.4419510244319511E-2</v>
      </c>
      <c r="T47" s="337">
        <v>0.82595682681221805</v>
      </c>
      <c r="V47" s="353">
        <v>2061</v>
      </c>
      <c r="W47" s="360">
        <v>915.01026022009739</v>
      </c>
      <c r="X47" s="356">
        <v>6403.0706775075623</v>
      </c>
      <c r="Y47" s="360">
        <v>915.01026022009739</v>
      </c>
      <c r="Z47" s="356">
        <v>6403.0706775075623</v>
      </c>
      <c r="AA47" s="364" t="s">
        <v>273</v>
      </c>
      <c r="AB47" s="353">
        <v>2061</v>
      </c>
      <c r="AC47" s="360">
        <v>0</v>
      </c>
      <c r="AD47" s="356">
        <v>612.17682515682066</v>
      </c>
      <c r="AE47" s="360">
        <v>0</v>
      </c>
      <c r="AF47" s="356">
        <v>612.17682515682066</v>
      </c>
    </row>
    <row r="48" spans="1:34" x14ac:dyDescent="0.25">
      <c r="A48" s="125"/>
      <c r="B48" s="142"/>
      <c r="C48" s="143"/>
      <c r="D48" s="144"/>
      <c r="E48" s="143"/>
      <c r="F48" s="144"/>
      <c r="G48" s="125"/>
      <c r="H48" s="145"/>
      <c r="I48" s="143"/>
      <c r="J48" s="144"/>
      <c r="L48" s="142"/>
      <c r="M48" s="143"/>
      <c r="N48" s="144"/>
      <c r="O48" s="125"/>
      <c r="P48" s="142"/>
      <c r="Q48" s="143"/>
      <c r="R48" s="144"/>
      <c r="S48" s="143"/>
      <c r="T48" s="144"/>
      <c r="V48" s="142"/>
      <c r="W48" s="146"/>
      <c r="X48" s="147"/>
      <c r="Y48" s="146"/>
      <c r="Z48" s="147"/>
      <c r="AA48" s="135"/>
      <c r="AC48" s="49"/>
      <c r="AD48" s="49"/>
      <c r="AE48" s="49"/>
      <c r="AF48" s="49"/>
      <c r="AG48" s="49"/>
      <c r="AH48" s="49"/>
    </row>
    <row r="49" spans="6:27" x14ac:dyDescent="0.25">
      <c r="F49"/>
      <c r="G49"/>
      <c r="H49"/>
      <c r="I49"/>
      <c r="J49"/>
      <c r="V49" s="135"/>
      <c r="W49" s="135"/>
      <c r="X49" s="135"/>
      <c r="Y49" s="135"/>
      <c r="Z49" s="135"/>
      <c r="AA49" s="135"/>
    </row>
  </sheetData>
  <mergeCells count="16">
    <mergeCell ref="B5:C5"/>
    <mergeCell ref="B6:C6"/>
    <mergeCell ref="AB10:AF10"/>
    <mergeCell ref="AC11:AD11"/>
    <mergeCell ref="AE11:AF11"/>
    <mergeCell ref="Y11:Z11"/>
    <mergeCell ref="H10:J10"/>
    <mergeCell ref="L10:N10"/>
    <mergeCell ref="P10:T10"/>
    <mergeCell ref="V10:Z10"/>
    <mergeCell ref="C11:D11"/>
    <mergeCell ref="E11:F11"/>
    <mergeCell ref="Q11:R11"/>
    <mergeCell ref="S11:T11"/>
    <mergeCell ref="W11:X11"/>
    <mergeCell ref="B10:F10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8A87D-633E-4CA6-8D1E-A72DABDACAB2}">
  <sheetPr codeName="Sheet8">
    <pageSetUpPr fitToPage="1"/>
  </sheetPr>
  <dimension ref="A1:I16"/>
  <sheetViews>
    <sheetView showGridLines="0" topLeftCell="B1" zoomScale="115" zoomScaleNormal="115" workbookViewId="0">
      <selection activeCell="B1" sqref="B1"/>
    </sheetView>
  </sheetViews>
  <sheetFormatPr defaultColWidth="8.85546875" defaultRowHeight="12.75" outlineLevelCol="1" x14ac:dyDescent="0.25"/>
  <cols>
    <col min="1" max="1" width="31.140625" style="60" hidden="1" customWidth="1" outlineLevel="1"/>
    <col min="2" max="2" width="5.7109375" style="60" customWidth="1" collapsed="1"/>
    <col min="3" max="3" width="31.140625" style="60" customWidth="1"/>
    <col min="4" max="5" width="16.5703125" style="60" customWidth="1"/>
    <col min="6" max="7" width="15.85546875" style="60" customWidth="1"/>
    <col min="8" max="8" width="5.7109375" style="60" customWidth="1"/>
    <col min="9" max="16384" width="8.85546875" style="60"/>
  </cols>
  <sheetData>
    <row r="1" spans="1:9" x14ac:dyDescent="0.25">
      <c r="C1" s="391" t="s">
        <v>390</v>
      </c>
      <c r="D1" s="391"/>
      <c r="E1" s="391"/>
      <c r="F1" s="391"/>
      <c r="G1" s="391"/>
      <c r="H1" s="319"/>
      <c r="I1" s="319"/>
    </row>
    <row r="2" spans="1:9" x14ac:dyDescent="0.25">
      <c r="C2" s="391" t="s">
        <v>398</v>
      </c>
      <c r="D2" s="391"/>
      <c r="E2" s="391"/>
      <c r="F2" s="391"/>
      <c r="G2" s="391"/>
    </row>
    <row r="3" spans="1:9" ht="20.100000000000001" customHeight="1" x14ac:dyDescent="0.25"/>
    <row r="4" spans="1:9" x14ac:dyDescent="0.25">
      <c r="A4" s="66" t="s">
        <v>359</v>
      </c>
      <c r="B4" s="89"/>
      <c r="C4" s="35" t="s">
        <v>228</v>
      </c>
      <c r="D4" s="35">
        <v>2027</v>
      </c>
      <c r="E4" s="35">
        <v>2028</v>
      </c>
      <c r="F4" s="35">
        <v>2029</v>
      </c>
      <c r="G4" s="35">
        <v>2030</v>
      </c>
    </row>
    <row r="5" spans="1:9" x14ac:dyDescent="0.25">
      <c r="A5" s="61" t="s">
        <v>11</v>
      </c>
      <c r="B5" s="89"/>
      <c r="C5" s="36" t="s">
        <v>135</v>
      </c>
      <c r="D5" s="43">
        <f>SUMIFS(Summary[Total Cost],Summary[Program],$A5,Summary[Year],D$4)</f>
        <v>72787256</v>
      </c>
      <c r="E5" s="43">
        <f>SUMIFS(Summary[Total Cost],Summary[Program],$A5,Summary[Year],E$4)</f>
        <v>75691912</v>
      </c>
      <c r="F5" s="43">
        <f>SUMIFS(Summary[Total Cost],Summary[Program],$A5,Summary[Year],F$4)</f>
        <v>78555425</v>
      </c>
      <c r="G5" s="43">
        <f>SUMIFS(Summary[Total Cost],Summary[Program],$A5,Summary[Year],G$4)</f>
        <v>81536209</v>
      </c>
    </row>
    <row r="6" spans="1:9" x14ac:dyDescent="0.25">
      <c r="A6" s="61" t="s">
        <v>12</v>
      </c>
      <c r="B6" s="89"/>
      <c r="C6" s="36" t="s">
        <v>137</v>
      </c>
      <c r="D6" s="43">
        <f>SUMIFS(Summary[Total Cost],Summary[Program],$A6,Summary[Year],D$4)</f>
        <v>27336368</v>
      </c>
      <c r="E6" s="43">
        <f>SUMIFS(Summary[Total Cost],Summary[Program],$A6,Summary[Year],E$4)</f>
        <v>29790341</v>
      </c>
      <c r="F6" s="43">
        <f>SUMIFS(Summary[Total Cost],Summary[Program],$A6,Summary[Year],F$4)</f>
        <v>32879507</v>
      </c>
      <c r="G6" s="43">
        <f>SUMIFS(Summary[Total Cost],Summary[Program],$A6,Summary[Year],G$4)</f>
        <v>35656823</v>
      </c>
    </row>
    <row r="7" spans="1:9" x14ac:dyDescent="0.25">
      <c r="A7" s="61" t="s">
        <v>13</v>
      </c>
      <c r="B7" s="89"/>
      <c r="C7" s="36" t="s">
        <v>138</v>
      </c>
      <c r="D7" s="43">
        <f>SUMIFS(Summary[Total Cost],Summary[Program],$A7,Summary[Year],D$4)</f>
        <v>43048033</v>
      </c>
      <c r="E7" s="43">
        <f>SUMIFS(Summary[Total Cost],Summary[Program],$A7,Summary[Year],E$4)</f>
        <v>48468329</v>
      </c>
      <c r="F7" s="43">
        <f>SUMIFS(Summary[Total Cost],Summary[Program],$A7,Summary[Year],F$4)</f>
        <v>52453915</v>
      </c>
      <c r="G7" s="43">
        <f>SUMIFS(Summary[Total Cost],Summary[Program],$A7,Summary[Year],G$4)</f>
        <v>55837414</v>
      </c>
    </row>
    <row r="8" spans="1:9" x14ac:dyDescent="0.25">
      <c r="A8" s="61" t="s">
        <v>14</v>
      </c>
      <c r="B8" s="89"/>
      <c r="C8" s="36" t="s">
        <v>139</v>
      </c>
      <c r="D8" s="43">
        <f>SUMIFS(Summary[Total Cost],Summary[Program],$A8,Summary[Year],D$4)</f>
        <v>26885759</v>
      </c>
      <c r="E8" s="43">
        <f>SUMIFS(Summary[Total Cost],Summary[Program],$A8,Summary[Year],E$4)</f>
        <v>28709693</v>
      </c>
      <c r="F8" s="43">
        <f>SUMIFS(Summary[Total Cost],Summary[Program],$A8,Summary[Year],F$4)</f>
        <v>29971421</v>
      </c>
      <c r="G8" s="43">
        <f>SUMIFS(Summary[Total Cost],Summary[Program],$A8,Summary[Year],G$4)</f>
        <v>31444661</v>
      </c>
    </row>
    <row r="9" spans="1:9" x14ac:dyDescent="0.25">
      <c r="A9" s="61" t="s">
        <v>15</v>
      </c>
      <c r="B9" s="89"/>
      <c r="C9" s="36" t="s">
        <v>140</v>
      </c>
      <c r="D9" s="43">
        <f>SUMIFS(Summary[Total Cost],Summary[Program],$A9,Summary[Year],D$4)</f>
        <v>3479654</v>
      </c>
      <c r="E9" s="43">
        <f>SUMIFS(Summary[Total Cost],Summary[Program],$A9,Summary[Year],E$4)</f>
        <v>3613250</v>
      </c>
      <c r="F9" s="43">
        <f>SUMIFS(Summary[Total Cost],Summary[Program],$A9,Summary[Year],F$4)</f>
        <v>3752123</v>
      </c>
      <c r="G9" s="43">
        <f>SUMIFS(Summary[Total Cost],Summary[Program],$A9,Summary[Year],G$4)</f>
        <v>3896485</v>
      </c>
    </row>
    <row r="10" spans="1:9" x14ac:dyDescent="0.25">
      <c r="A10" s="61" t="s">
        <v>229</v>
      </c>
      <c r="B10" s="89"/>
      <c r="C10" s="37" t="s">
        <v>229</v>
      </c>
      <c r="D10" s="44">
        <f>SUM(D5:D9)</f>
        <v>173537070</v>
      </c>
      <c r="E10" s="44">
        <f>SUM(E5:E9)</f>
        <v>186273525</v>
      </c>
      <c r="F10" s="44">
        <f>SUM(F5:F9)</f>
        <v>197612391</v>
      </c>
      <c r="G10" s="44">
        <f>SUM(G5:G9)</f>
        <v>208371592</v>
      </c>
    </row>
    <row r="11" spans="1:9" x14ac:dyDescent="0.25">
      <c r="A11" s="61" t="s">
        <v>29</v>
      </c>
      <c r="B11" s="89"/>
      <c r="C11" s="36" t="s">
        <v>141</v>
      </c>
      <c r="D11" s="43">
        <f>SUMIFS(Summary[Total Cost],Summary[Program],$A11,Summary[Year],D$4)</f>
        <v>9896652</v>
      </c>
      <c r="E11" s="43">
        <f>SUMIFS(Summary[Total Cost],Summary[Program],$A11,Summary[Year],E$4)</f>
        <v>9863435</v>
      </c>
      <c r="F11" s="43">
        <f>SUMIFS(Summary[Total Cost],Summary[Program],$A11,Summary[Year],F$4)</f>
        <v>10033085</v>
      </c>
      <c r="G11" s="43">
        <f>SUMIFS(Summary[Total Cost],Summary[Program],$A11,Summary[Year],G$4)</f>
        <v>10205654</v>
      </c>
    </row>
    <row r="12" spans="1:9" x14ac:dyDescent="0.25">
      <c r="A12" s="61" t="s">
        <v>33</v>
      </c>
      <c r="B12" s="89"/>
      <c r="C12" s="36" t="s">
        <v>142</v>
      </c>
      <c r="D12" s="43">
        <f>SUMIFS(Summary[Total Cost],Summary[Program],$A12,Summary[Year],D$4)</f>
        <v>4518000</v>
      </c>
      <c r="E12" s="43">
        <f>SUMIFS(Summary[Total Cost],Summary[Program],$A12,Summary[Year],E$4)</f>
        <v>4595710</v>
      </c>
      <c r="F12" s="43">
        <f>SUMIFS(Summary[Total Cost],Summary[Program],$A12,Summary[Year],F$4)</f>
        <v>4674756</v>
      </c>
      <c r="G12" s="43">
        <f>SUMIFS(Summary[Total Cost],Summary[Program],$A12,Summary[Year],G$4)</f>
        <v>4755162</v>
      </c>
    </row>
    <row r="13" spans="1:9" x14ac:dyDescent="0.25">
      <c r="A13" s="61" t="s">
        <v>37</v>
      </c>
      <c r="B13" s="89"/>
      <c r="C13" s="36" t="s">
        <v>230</v>
      </c>
      <c r="D13" s="43">
        <f>SUMIFS(Summary[Total Cost],Summary[Program],$A13,Summary[Year],D$4)</f>
        <v>3223200</v>
      </c>
      <c r="E13" s="43">
        <f>SUMIFS(Summary[Total Cost],Summary[Program],$A13,Summary[Year],E$4)</f>
        <v>3278639</v>
      </c>
      <c r="F13" s="43">
        <f>SUMIFS(Summary[Total Cost],Summary[Program],$A13,Summary[Year],F$4)</f>
        <v>3335032</v>
      </c>
      <c r="G13" s="43">
        <f>SUMIFS(Summary[Total Cost],Summary[Program],$A13,Summary[Year],G$4)</f>
        <v>3392393</v>
      </c>
    </row>
    <row r="14" spans="1:9" x14ac:dyDescent="0.25">
      <c r="B14" s="318"/>
      <c r="C14" s="37" t="s">
        <v>144</v>
      </c>
      <c r="D14" s="44">
        <f>SUM(D11:D13)</f>
        <v>17637852</v>
      </c>
      <c r="E14" s="44">
        <f>SUM(E11:E13)</f>
        <v>17737784</v>
      </c>
      <c r="F14" s="44">
        <f>SUM(F11:F13)</f>
        <v>18042873</v>
      </c>
      <c r="G14" s="44">
        <f>SUM(G11:G13)</f>
        <v>18353209</v>
      </c>
    </row>
    <row r="15" spans="1:9" x14ac:dyDescent="0.25">
      <c r="B15" s="318"/>
      <c r="C15" s="37" t="s">
        <v>131</v>
      </c>
      <c r="D15" s="44">
        <f>SUM(D10,D14)</f>
        <v>191174922</v>
      </c>
      <c r="E15" s="44">
        <f>SUM(E10,E14)</f>
        <v>204011309</v>
      </c>
      <c r="F15" s="44">
        <f>SUM(F10,F14)</f>
        <v>215655264</v>
      </c>
      <c r="G15" s="44">
        <f>SUM(G10,G14)</f>
        <v>226724801</v>
      </c>
    </row>
    <row r="16" spans="1:9" ht="45" customHeight="1" x14ac:dyDescent="0.25">
      <c r="C16" s="383" t="s">
        <v>363</v>
      </c>
      <c r="D16" s="383"/>
      <c r="E16" s="383"/>
      <c r="F16" s="383"/>
      <c r="G16" s="383"/>
    </row>
  </sheetData>
  <mergeCells count="3">
    <mergeCell ref="C16:G16"/>
    <mergeCell ref="C1:G1"/>
    <mergeCell ref="C2:G2"/>
  </mergeCells>
  <pageMargins left="0.7" right="0.7" top="0.75" bottom="0.75" header="0.3" footer="0.3"/>
  <pageSetup scale="8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7800-842A-46C9-86AE-FFE167962489}">
  <sheetPr codeName="Sheet9"/>
  <dimension ref="A1:AG46"/>
  <sheetViews>
    <sheetView showGridLines="0" topLeftCell="C3" zoomScaleNormal="100" workbookViewId="0">
      <selection activeCell="C3" sqref="C3"/>
    </sheetView>
  </sheetViews>
  <sheetFormatPr defaultColWidth="9.140625" defaultRowHeight="12.75" outlineLevelRow="1" outlineLevelCol="1" x14ac:dyDescent="0.25"/>
  <cols>
    <col min="1" max="1" width="47.28515625" style="60" hidden="1" customWidth="1" outlineLevel="1"/>
    <col min="2" max="2" width="9.7109375" style="60" hidden="1" customWidth="1" outlineLevel="1"/>
    <col min="3" max="3" width="5.7109375" style="60" customWidth="1" collapsed="1"/>
    <col min="4" max="4" width="40.28515625" style="60" bestFit="1" customWidth="1"/>
    <col min="5" max="8" width="13.5703125" style="60" customWidth="1"/>
    <col min="9" max="9" width="18.28515625" style="60" customWidth="1"/>
    <col min="10" max="10" width="5.7109375" style="60" customWidth="1"/>
    <col min="11" max="11" width="40.28515625" style="60" bestFit="1" customWidth="1"/>
    <col min="12" max="16" width="13.5703125" style="60" customWidth="1"/>
    <col min="17" max="17" width="5.7109375" style="60" customWidth="1"/>
    <col min="18" max="18" width="40.28515625" style="60" bestFit="1" customWidth="1"/>
    <col min="19" max="23" width="13.5703125" style="60" customWidth="1"/>
    <col min="24" max="24" width="5.7109375" style="60" customWidth="1"/>
    <col min="25" max="25" width="40.28515625" style="60" bestFit="1" customWidth="1"/>
    <col min="26" max="30" width="13.5703125" style="60" customWidth="1"/>
    <col min="31" max="31" width="5.7109375" style="60" customWidth="1"/>
    <col min="32" max="16384" width="9.140625" style="60"/>
  </cols>
  <sheetData>
    <row r="1" spans="1:33" hidden="1" outlineLevel="1" x14ac:dyDescent="0.25">
      <c r="B1" s="87"/>
      <c r="D1" s="66" t="s">
        <v>359</v>
      </c>
      <c r="E1" s="63">
        <v>2027</v>
      </c>
      <c r="F1" s="63">
        <f>E1</f>
        <v>2027</v>
      </c>
      <c r="G1" s="63">
        <f>F1</f>
        <v>2027</v>
      </c>
      <c r="H1" s="63">
        <f>G1</f>
        <v>2027</v>
      </c>
      <c r="I1" s="63"/>
      <c r="J1" s="63"/>
      <c r="K1" s="63"/>
      <c r="L1" s="63">
        <v>2028</v>
      </c>
      <c r="M1" s="63">
        <f>L1</f>
        <v>2028</v>
      </c>
      <c r="N1" s="63">
        <f>M1</f>
        <v>2028</v>
      </c>
      <c r="O1" s="63">
        <f>N1</f>
        <v>2028</v>
      </c>
      <c r="P1" s="63"/>
      <c r="Q1" s="63"/>
      <c r="R1" s="63"/>
      <c r="S1" s="63">
        <v>2029</v>
      </c>
      <c r="T1" s="63">
        <f>S1</f>
        <v>2029</v>
      </c>
      <c r="U1" s="63">
        <f>T1</f>
        <v>2029</v>
      </c>
      <c r="V1" s="63">
        <f>U1</f>
        <v>2029</v>
      </c>
      <c r="W1" s="63"/>
      <c r="X1" s="63"/>
      <c r="Y1" s="63"/>
      <c r="Z1" s="63">
        <v>2030</v>
      </c>
      <c r="AA1" s="63">
        <f>Z1</f>
        <v>2030</v>
      </c>
      <c r="AB1" s="63">
        <f>AA1</f>
        <v>2030</v>
      </c>
      <c r="AC1" s="63">
        <f>AB1</f>
        <v>2030</v>
      </c>
      <c r="AD1" s="63"/>
    </row>
    <row r="2" spans="1:33" hidden="1" outlineLevel="1" x14ac:dyDescent="0.25">
      <c r="D2" s="61"/>
      <c r="E2" s="63" t="s">
        <v>126</v>
      </c>
      <c r="F2" s="63" t="s">
        <v>127</v>
      </c>
      <c r="G2" s="63" t="s">
        <v>128</v>
      </c>
      <c r="H2" s="63" t="s">
        <v>129</v>
      </c>
      <c r="I2" s="63"/>
      <c r="J2" s="63"/>
      <c r="K2" s="63"/>
      <c r="L2" s="63" t="s">
        <v>126</v>
      </c>
      <c r="M2" s="63" t="s">
        <v>127</v>
      </c>
      <c r="N2" s="63" t="s">
        <v>128</v>
      </c>
      <c r="O2" s="63" t="s">
        <v>129</v>
      </c>
      <c r="P2" s="63"/>
      <c r="Q2" s="63"/>
      <c r="R2" s="63"/>
      <c r="S2" s="63" t="s">
        <v>126</v>
      </c>
      <c r="T2" s="63" t="s">
        <v>127</v>
      </c>
      <c r="U2" s="63" t="s">
        <v>128</v>
      </c>
      <c r="V2" s="63" t="s">
        <v>129</v>
      </c>
      <c r="W2" s="63"/>
      <c r="X2" s="63"/>
      <c r="Y2" s="63"/>
      <c r="Z2" s="63" t="s">
        <v>126</v>
      </c>
      <c r="AA2" s="63" t="s">
        <v>127</v>
      </c>
      <c r="AB2" s="63" t="s">
        <v>128</v>
      </c>
      <c r="AC2" s="63" t="s">
        <v>129</v>
      </c>
      <c r="AD2" s="63"/>
    </row>
    <row r="3" spans="1:33" collapsed="1" x14ac:dyDescent="0.2">
      <c r="D3" s="392" t="s">
        <v>392</v>
      </c>
      <c r="E3" s="392"/>
      <c r="F3" s="392"/>
      <c r="G3" s="392"/>
      <c r="H3" s="392"/>
      <c r="I3" s="392"/>
      <c r="J3" s="320"/>
      <c r="K3" s="392" t="s">
        <v>395</v>
      </c>
      <c r="L3" s="392"/>
      <c r="M3" s="392"/>
      <c r="N3" s="392"/>
      <c r="O3" s="392"/>
      <c r="P3" s="392"/>
      <c r="Q3" s="320"/>
      <c r="R3" s="392" t="s">
        <v>397</v>
      </c>
      <c r="S3" s="392"/>
      <c r="T3" s="392"/>
      <c r="U3" s="392"/>
      <c r="V3" s="392"/>
      <c r="W3" s="392"/>
      <c r="X3" s="320"/>
      <c r="Y3" s="392" t="s">
        <v>402</v>
      </c>
      <c r="Z3" s="392"/>
      <c r="AA3" s="392"/>
      <c r="AB3" s="392"/>
      <c r="AC3" s="392"/>
      <c r="AD3" s="392"/>
      <c r="AE3" s="320"/>
      <c r="AF3" s="320"/>
      <c r="AG3" s="320"/>
    </row>
    <row r="4" spans="1:33" x14ac:dyDescent="0.2">
      <c r="D4" s="392" t="s">
        <v>399</v>
      </c>
      <c r="E4" s="392"/>
      <c r="F4" s="392"/>
      <c r="G4" s="392"/>
      <c r="H4" s="392"/>
      <c r="I4" s="392"/>
      <c r="J4" s="320"/>
      <c r="K4" s="392" t="s">
        <v>400</v>
      </c>
      <c r="L4" s="392"/>
      <c r="M4" s="392"/>
      <c r="N4" s="392"/>
      <c r="O4" s="392"/>
      <c r="P4" s="392"/>
      <c r="Q4" s="320"/>
      <c r="R4" s="392" t="s">
        <v>401</v>
      </c>
      <c r="S4" s="392"/>
      <c r="T4" s="392"/>
      <c r="U4" s="392"/>
      <c r="V4" s="392"/>
      <c r="W4" s="392"/>
      <c r="X4" s="320"/>
      <c r="Y4" s="392" t="s">
        <v>403</v>
      </c>
      <c r="Z4" s="392"/>
      <c r="AA4" s="392"/>
      <c r="AB4" s="392"/>
      <c r="AC4" s="392"/>
      <c r="AD4" s="392"/>
      <c r="AE4" s="320"/>
      <c r="AF4" s="320"/>
      <c r="AG4" s="320"/>
    </row>
    <row r="5" spans="1:33" x14ac:dyDescent="0.25"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</row>
    <row r="6" spans="1:33" ht="25.5" x14ac:dyDescent="0.25">
      <c r="A6" s="66" t="s">
        <v>359</v>
      </c>
      <c r="B6" s="66" t="s">
        <v>234</v>
      </c>
      <c r="D6" s="31" t="s">
        <v>312</v>
      </c>
      <c r="E6" s="32" t="s">
        <v>193</v>
      </c>
      <c r="F6" s="33" t="s">
        <v>231</v>
      </c>
      <c r="G6" s="33" t="s">
        <v>232</v>
      </c>
      <c r="H6" s="34" t="s">
        <v>233</v>
      </c>
      <c r="I6" s="34" t="s">
        <v>131</v>
      </c>
      <c r="K6" s="31" t="s">
        <v>320</v>
      </c>
      <c r="L6" s="32" t="s">
        <v>193</v>
      </c>
      <c r="M6" s="33" t="s">
        <v>231</v>
      </c>
      <c r="N6" s="33" t="s">
        <v>232</v>
      </c>
      <c r="O6" s="34" t="s">
        <v>233</v>
      </c>
      <c r="P6" s="34" t="s">
        <v>131</v>
      </c>
      <c r="R6" s="31" t="s">
        <v>321</v>
      </c>
      <c r="S6" s="32" t="s">
        <v>193</v>
      </c>
      <c r="T6" s="33" t="s">
        <v>231</v>
      </c>
      <c r="U6" s="33" t="s">
        <v>232</v>
      </c>
      <c r="V6" s="34" t="s">
        <v>233</v>
      </c>
      <c r="W6" s="34" t="s">
        <v>131</v>
      </c>
      <c r="Y6" s="31" t="s">
        <v>322</v>
      </c>
      <c r="Z6" s="32" t="s">
        <v>193</v>
      </c>
      <c r="AA6" s="33" t="s">
        <v>231</v>
      </c>
      <c r="AB6" s="33" t="s">
        <v>232</v>
      </c>
      <c r="AC6" s="34" t="s">
        <v>233</v>
      </c>
      <c r="AD6" s="34" t="s">
        <v>131</v>
      </c>
    </row>
    <row r="7" spans="1:33" x14ac:dyDescent="0.25">
      <c r="A7" s="61"/>
      <c r="B7" s="61"/>
      <c r="D7" s="92" t="s">
        <v>311</v>
      </c>
      <c r="E7" s="93">
        <f>SUM(E8:E14)</f>
        <v>57980250</v>
      </c>
      <c r="F7" s="93">
        <f>SUM(F8:F14)</f>
        <v>6108800</v>
      </c>
      <c r="G7" s="93">
        <f>SUM(G8:G14)</f>
        <v>6124468</v>
      </c>
      <c r="H7" s="93">
        <f>SUM(H8:H14)</f>
        <v>2573738</v>
      </c>
      <c r="I7" s="94">
        <f t="shared" ref="I7:I36" si="0">SUM(E7:H7)</f>
        <v>72787256</v>
      </c>
      <c r="K7" s="92" t="s">
        <v>311</v>
      </c>
      <c r="L7" s="95">
        <f>SUM(L8:L14)</f>
        <v>61144701</v>
      </c>
      <c r="M7" s="96">
        <f>SUM(M8:M14)</f>
        <v>6149381</v>
      </c>
      <c r="N7" s="96">
        <f>SUM(N8:N14)</f>
        <v>5779824</v>
      </c>
      <c r="O7" s="97">
        <f>SUM(O8:O14)</f>
        <v>2618006</v>
      </c>
      <c r="P7" s="97">
        <f t="shared" ref="P7:P36" si="1">SUM(L7:O7)</f>
        <v>75691912</v>
      </c>
      <c r="R7" s="92" t="s">
        <v>311</v>
      </c>
      <c r="S7" s="98">
        <f>SUM(S8:S14)</f>
        <v>63556848</v>
      </c>
      <c r="T7" s="93">
        <f>SUM(T8:T14)</f>
        <v>6165287</v>
      </c>
      <c r="U7" s="96">
        <f>SUM(U8:U14)</f>
        <v>6170254</v>
      </c>
      <c r="V7" s="97">
        <f>SUM(V8:V14)</f>
        <v>2663036</v>
      </c>
      <c r="W7" s="97">
        <f t="shared" ref="W7:W36" si="2">SUM(S7:V7)</f>
        <v>78555425</v>
      </c>
      <c r="Y7" s="92" t="s">
        <v>311</v>
      </c>
      <c r="Z7" s="95">
        <f>SUM(Z8:Z14)</f>
        <v>66031749</v>
      </c>
      <c r="AA7" s="96">
        <f>SUM(AA8:AA14)</f>
        <v>6203496</v>
      </c>
      <c r="AB7" s="96">
        <f>SUM(AB8:AB14)</f>
        <v>6592123</v>
      </c>
      <c r="AC7" s="97">
        <f>SUM(AC8:AC14)</f>
        <v>2708841</v>
      </c>
      <c r="AD7" s="97">
        <f t="shared" ref="AD7:AD36" si="3">SUM(Z7:AC7)</f>
        <v>81536209</v>
      </c>
    </row>
    <row r="8" spans="1:33" x14ac:dyDescent="0.25">
      <c r="A8" s="61" t="s">
        <v>159</v>
      </c>
      <c r="B8" s="61"/>
      <c r="D8" s="14" t="s">
        <v>159</v>
      </c>
      <c r="E8" s="99" cm="1">
        <f t="array" ref="E8">SUMPRODUCT('Summary - $ &amp; m3'!$R$8:$U$167*(E$2='Summary - $ &amp; m3'!$R$7:$U$7)*(E$1='Summary - $ &amp; m3'!$A$8:$A$167)*($A8='Summary - $ &amp; m3'!$C$8:$C$167))+SUMPRODUCT('Summary - $ &amp; m3'!$R$8:$U$167*(E$2='Summary - $ &amp; m3'!$R$7:$U$7)*(E$1='Summary - $ &amp; m3'!$A$8:$A$167)*($B8='Summary - $ &amp; m3'!$C$8:$C$167))</f>
        <v>23499400</v>
      </c>
      <c r="F8" s="100" cm="1">
        <f t="array" ref="F8">SUMPRODUCT('Summary - $ &amp; m3'!$R$8:$U$167*(F$2='Summary - $ &amp; m3'!$R$7:$U$7)*(F$1='Summary - $ &amp; m3'!$A$8:$A$167)*($A8='Summary - $ &amp; m3'!$C$8:$C$167))+SUMPRODUCT('Summary - $ &amp; m3'!$R$8:$U$167*(F$2='Summary - $ &amp; m3'!$R$7:$U$7)*(F$1='Summary - $ &amp; m3'!$A$8:$A$167)*($B8='Summary - $ &amp; m3'!$C$8:$C$167))</f>
        <v>1160000</v>
      </c>
      <c r="G8" s="100" cm="1">
        <f t="array" ref="G8">SUMPRODUCT('Summary - $ &amp; m3'!$R$8:$U$167*(G$2='Summary - $ &amp; m3'!$R$7:$U$7)*(G$1='Summary - $ &amp; m3'!$A$8:$A$167)*($A8='Summary - $ &amp; m3'!$C$8:$C$167))+SUMPRODUCT('Summary - $ &amp; m3'!$R$8:$U$167*(G$2='Summary - $ &amp; m3'!$R$7:$U$7)*(G$1='Summary - $ &amp; m3'!$A$8:$A$167)*($B8='Summary - $ &amp; m3'!$C$8:$C$167))</f>
        <v>1270000</v>
      </c>
      <c r="H8" s="101">
        <v>0</v>
      </c>
      <c r="I8" s="102">
        <f t="shared" si="0"/>
        <v>25929400</v>
      </c>
      <c r="K8" s="14" t="s">
        <v>159</v>
      </c>
      <c r="L8" s="99" cm="1">
        <f t="array" ref="L8">SUMPRODUCT('Summary - $ &amp; m3'!$R$8:$U$167*(L$2='Summary - $ &amp; m3'!$R$7:$U$7)*(L$1='Summary - $ &amp; m3'!$A$8:$A$167)*($A8='Summary - $ &amp; m3'!$C$8:$C$167))+SUMPRODUCT('Summary - $ &amp; m3'!$R$8:$U$167*(L$2='Summary - $ &amp; m3'!$R$7:$U$7)*(L$1='Summary - $ &amp; m3'!$A$8:$A$167)*($B8='Summary - $ &amp; m3'!$C$8:$C$167))</f>
        <v>21572449</v>
      </c>
      <c r="M8" s="100" cm="1">
        <f t="array" ref="M8">SUMPRODUCT('Summary - $ &amp; m3'!$R$8:$U$167*(M$2='Summary - $ &amp; m3'!$R$7:$U$7)*(M$1='Summary - $ &amp; m3'!$A$8:$A$167)*($A8='Summary - $ &amp; m3'!$C$8:$C$167))+SUMPRODUCT('Summary - $ &amp; m3'!$R$8:$U$167*(M$2='Summary - $ &amp; m3'!$R$7:$U$7)*(M$1='Summary - $ &amp; m3'!$A$8:$A$167)*($B8='Summary - $ &amp; m3'!$C$8:$C$167))</f>
        <v>1068060</v>
      </c>
      <c r="N8" s="100" cm="1">
        <f t="array" ref="N8">SUMPRODUCT('Summary - $ &amp; m3'!$R$8:$U$167*(N$2='Summary - $ &amp; m3'!$R$7:$U$7)*(N$1='Summary - $ &amp; m3'!$A$8:$A$167)*($A8='Summary - $ &amp; m3'!$C$8:$C$167))+SUMPRODUCT('Summary - $ &amp; m3'!$R$8:$U$167*(N$2='Summary - $ &amp; m3'!$R$7:$U$7)*(N$1='Summary - $ &amp; m3'!$A$8:$A$167)*($B8='Summary - $ &amp; m3'!$C$8:$C$167))</f>
        <v>1068060</v>
      </c>
      <c r="O8" s="101">
        <v>0</v>
      </c>
      <c r="P8" s="102">
        <f t="shared" si="1"/>
        <v>23708569</v>
      </c>
      <c r="R8" s="14" t="s">
        <v>159</v>
      </c>
      <c r="S8" s="99" cm="1">
        <f t="array" ref="S8">SUMPRODUCT('Summary - $ &amp; m3'!$R$8:$U$167*(S$2='Summary - $ &amp; m3'!$R$7:$U$7)*(S$1='Summary - $ &amp; m3'!$A$8:$A$167)*($A8='Summary - $ &amp; m3'!$C$8:$C$167))+SUMPRODUCT('Summary - $ &amp; m3'!$R$8:$U$167*(S$2='Summary - $ &amp; m3'!$R$7:$U$7)*(S$1='Summary - $ &amp; m3'!$A$8:$A$167)*($B8='Summary - $ &amp; m3'!$C$8:$C$167))</f>
        <v>20047996</v>
      </c>
      <c r="T8" s="100" cm="1">
        <f t="array" ref="T8">SUMPRODUCT('Summary - $ &amp; m3'!$R$8:$U$167*(T$2='Summary - $ &amp; m3'!$R$7:$U$7)*(T$1='Summary - $ &amp; m3'!$A$8:$A$167)*($A8='Summary - $ &amp; m3'!$C$8:$C$167))+SUMPRODUCT('Summary - $ &amp; m3'!$R$8:$U$167*(T$2='Summary - $ &amp; m3'!$R$7:$U$7)*(T$1='Summary - $ &amp; m3'!$A$8:$A$167)*($B8='Summary - $ &amp; m3'!$C$8:$C$167))</f>
        <v>915706</v>
      </c>
      <c r="U8" s="100" cm="1">
        <f t="array" ref="U8">SUMPRODUCT('Summary - $ &amp; m3'!$R$8:$U$167*(U$2='Summary - $ &amp; m3'!$R$7:$U$7)*(U$1='Summary - $ &amp; m3'!$A$8:$A$167)*($A8='Summary - $ &amp; m3'!$C$8:$C$167))+SUMPRODUCT('Summary - $ &amp; m3'!$R$8:$U$167*(U$2='Summary - $ &amp; m3'!$R$7:$U$7)*(U$1='Summary - $ &amp; m3'!$A$8:$A$167)*($B8='Summary - $ &amp; m3'!$C$8:$C$167))</f>
        <v>1003655</v>
      </c>
      <c r="V8" s="101">
        <v>0</v>
      </c>
      <c r="W8" s="102">
        <f t="shared" si="2"/>
        <v>21967357</v>
      </c>
      <c r="Y8" s="14" t="s">
        <v>159</v>
      </c>
      <c r="Z8" s="99" cm="1">
        <f t="array" ref="Z8">SUMPRODUCT('Summary - $ &amp; m3'!$R$8:$U$167*(Z$2='Summary - $ &amp; m3'!$R$7:$U$7)*(Z$1='Summary - $ &amp; m3'!$A$8:$A$167)*($A8='Summary - $ &amp; m3'!$C$8:$C$167))+SUMPRODUCT('Summary - $ &amp; m3'!$R$8:$U$167*(Z$2='Summary - $ &amp; m3'!$R$7:$U$7)*(Z$1='Summary - $ &amp; m3'!$A$8:$A$167)*($B8='Summary - $ &amp; m3'!$C$8:$C$167))</f>
        <v>19015035</v>
      </c>
      <c r="AA8" s="100" cm="1">
        <f t="array" ref="AA8">SUMPRODUCT('Summary - $ &amp; m3'!$R$8:$U$167*(AA$2='Summary - $ &amp; m3'!$R$7:$U$7)*(AA$1='Summary - $ &amp; m3'!$A$8:$A$167)*($A8='Summary - $ &amp; m3'!$C$8:$C$167))+SUMPRODUCT('Summary - $ &amp; m3'!$R$8:$U$167*(AA$2='Summary - $ &amp; m3'!$R$7:$U$7)*(AA$1='Summary - $ &amp; m3'!$A$8:$A$167)*($B8='Summary - $ &amp; m3'!$C$8:$C$167))</f>
        <v>784107</v>
      </c>
      <c r="AB8" s="100" cm="1">
        <f t="array" ref="AB8">SUMPRODUCT('Summary - $ &amp; m3'!$R$8:$U$167*(AB$2='Summary - $ &amp; m3'!$R$7:$U$7)*(AB$1='Summary - $ &amp; m3'!$A$8:$A$167)*($A8='Summary - $ &amp; m3'!$C$8:$C$167))+SUMPRODUCT('Summary - $ &amp; m3'!$R$8:$U$167*(AB$2='Summary - $ &amp; m3'!$R$7:$U$7)*(AB$1='Summary - $ &amp; m3'!$A$8:$A$167)*($B8='Summary - $ &amp; m3'!$C$8:$C$167))</f>
        <v>960400</v>
      </c>
      <c r="AC8" s="101">
        <v>0</v>
      </c>
      <c r="AD8" s="102">
        <f t="shared" si="3"/>
        <v>20759542</v>
      </c>
    </row>
    <row r="9" spans="1:33" x14ac:dyDescent="0.25">
      <c r="A9" s="61" t="s">
        <v>130</v>
      </c>
      <c r="B9" s="61"/>
      <c r="D9" s="14" t="s">
        <v>130</v>
      </c>
      <c r="E9" s="99" cm="1">
        <f t="array" ref="E9">SUMPRODUCT('Summary - $ &amp; m3'!$R$8:$U$167*(E$2='Summary - $ &amp; m3'!$R$7:$U$7)*(E$1='Summary - $ &amp; m3'!$A$8:$A$167)*($A9='Summary - $ &amp; m3'!$C$8:$C$167))+SUMPRODUCT('Summary - $ &amp; m3'!$R$8:$U$167*(E$2='Summary - $ &amp; m3'!$R$7:$U$7)*(E$1='Summary - $ &amp; m3'!$A$8:$A$167)*($B9='Summary - $ &amp; m3'!$C$8:$C$167))</f>
        <v>13591250</v>
      </c>
      <c r="F9" s="100" cm="1">
        <f t="array" ref="F9">SUMPRODUCT('Summary - $ &amp; m3'!$R$8:$U$167*(F$2='Summary - $ &amp; m3'!$R$7:$U$7)*(F$1='Summary - $ &amp; m3'!$A$8:$A$167)*($A9='Summary - $ &amp; m3'!$C$8:$C$167))+SUMPRODUCT('Summary - $ &amp; m3'!$R$8:$U$167*(F$2='Summary - $ &amp; m3'!$R$7:$U$7)*(F$1='Summary - $ &amp; m3'!$A$8:$A$167)*($B9='Summary - $ &amp; m3'!$C$8:$C$167))</f>
        <v>1307400</v>
      </c>
      <c r="G9" s="100" cm="1">
        <f t="array" ref="G9">SUMPRODUCT('Summary - $ &amp; m3'!$R$8:$U$167*(G$2='Summary - $ &amp; m3'!$R$7:$U$7)*(G$1='Summary - $ &amp; m3'!$A$8:$A$167)*($A9='Summary - $ &amp; m3'!$C$8:$C$167))+SUMPRODUCT('Summary - $ &amp; m3'!$R$8:$U$167*(G$2='Summary - $ &amp; m3'!$R$7:$U$7)*(G$1='Summary - $ &amp; m3'!$A$8:$A$167)*($B9='Summary - $ &amp; m3'!$C$8:$C$167))</f>
        <v>661875</v>
      </c>
      <c r="H9" s="101">
        <v>0</v>
      </c>
      <c r="I9" s="102">
        <f t="shared" si="0"/>
        <v>15560525</v>
      </c>
      <c r="K9" s="14" t="s">
        <v>130</v>
      </c>
      <c r="L9" s="99" cm="1">
        <f t="array" ref="L9">SUMPRODUCT('Summary - $ &amp; m3'!$R$8:$U$167*(L$2='Summary - $ &amp; m3'!$R$7:$U$7)*(L$1='Summary - $ &amp; m3'!$A$8:$A$167)*($A9='Summary - $ &amp; m3'!$C$8:$C$167))+SUMPRODUCT('Summary - $ &amp; m3'!$R$8:$U$167*(L$2='Summary - $ &amp; m3'!$R$7:$U$7)*(L$1='Summary - $ &amp; m3'!$A$8:$A$167)*($B9='Summary - $ &amp; m3'!$C$8:$C$167))</f>
        <v>16822350</v>
      </c>
      <c r="M9" s="100" cm="1">
        <f t="array" ref="M9">SUMPRODUCT('Summary - $ &amp; m3'!$R$8:$U$167*(M$2='Summary - $ &amp; m3'!$R$7:$U$7)*(M$1='Summary - $ &amp; m3'!$A$8:$A$167)*($A9='Summary - $ &amp; m3'!$C$8:$C$167))+SUMPRODUCT('Summary - $ &amp; m3'!$R$8:$U$167*(M$2='Summary - $ &amp; m3'!$R$7:$U$7)*(M$1='Summary - $ &amp; m3'!$A$8:$A$167)*($B9='Summary - $ &amp; m3'!$C$8:$C$167))</f>
        <v>1319878</v>
      </c>
      <c r="N9" s="100" cm="1">
        <f t="array" ref="N9">SUMPRODUCT('Summary - $ &amp; m3'!$R$8:$U$167*(N$2='Summary - $ &amp; m3'!$R$7:$U$7)*(N$1='Summary - $ &amp; m3'!$A$8:$A$167)*($A9='Summary - $ &amp; m3'!$C$8:$C$167))+SUMPRODUCT('Summary - $ &amp; m3'!$R$8:$U$167*(N$2='Summary - $ &amp; m3'!$R$7:$U$7)*(N$1='Summary - $ &amp; m3'!$A$8:$A$167)*($B9='Summary - $ &amp; m3'!$C$8:$C$167))</f>
        <v>694239</v>
      </c>
      <c r="O9" s="101">
        <v>0</v>
      </c>
      <c r="P9" s="102">
        <f t="shared" si="1"/>
        <v>18836467</v>
      </c>
      <c r="R9" s="14" t="s">
        <v>130</v>
      </c>
      <c r="S9" s="99" cm="1">
        <f t="array" ref="S9">SUMPRODUCT('Summary - $ &amp; m3'!$R$8:$U$167*(S$2='Summary - $ &amp; m3'!$R$7:$U$7)*(S$1='Summary - $ &amp; m3'!$A$8:$A$167)*($A9='Summary - $ &amp; m3'!$C$8:$C$167))+SUMPRODUCT('Summary - $ &amp; m3'!$R$8:$U$167*(S$2='Summary - $ &amp; m3'!$R$7:$U$7)*(S$1='Summary - $ &amp; m3'!$A$8:$A$167)*($B9='Summary - $ &amp; m3'!$C$8:$C$167))</f>
        <v>18805230</v>
      </c>
      <c r="T9" s="100" cm="1">
        <f t="array" ref="T9">SUMPRODUCT('Summary - $ &amp; m3'!$R$8:$U$167*(T$2='Summary - $ &amp; m3'!$R$7:$U$7)*(T$1='Summary - $ &amp; m3'!$A$8:$A$167)*($A9='Summary - $ &amp; m3'!$C$8:$C$167))+SUMPRODUCT('Summary - $ &amp; m3'!$R$8:$U$167*(T$2='Summary - $ &amp; m3'!$R$7:$U$7)*(T$1='Summary - $ &amp; m3'!$A$8:$A$167)*($B9='Summary - $ &amp; m3'!$C$8:$C$167))</f>
        <v>1394822</v>
      </c>
      <c r="U9" s="100" cm="1">
        <f t="array" ref="U9">SUMPRODUCT('Summary - $ &amp; m3'!$R$8:$U$167*(U$2='Summary - $ &amp; m3'!$R$7:$U$7)*(U$1='Summary - $ &amp; m3'!$A$8:$A$167)*($A9='Summary - $ &amp; m3'!$C$8:$C$167))+SUMPRODUCT('Summary - $ &amp; m3'!$R$8:$U$167*(U$2='Summary - $ &amp; m3'!$R$7:$U$7)*(U$1='Summary - $ &amp; m3'!$A$8:$A$167)*($B9='Summary - $ &amp; m3'!$C$8:$C$167))</f>
        <v>717820</v>
      </c>
      <c r="V9" s="101">
        <v>0</v>
      </c>
      <c r="W9" s="102">
        <f t="shared" si="2"/>
        <v>20917872</v>
      </c>
      <c r="Y9" s="14" t="s">
        <v>130</v>
      </c>
      <c r="Z9" s="99" cm="1">
        <f t="array" ref="Z9">SUMPRODUCT('Summary - $ &amp; m3'!$R$8:$U$167*(Z$2='Summary - $ &amp; m3'!$R$7:$U$7)*(Z$1='Summary - $ &amp; m3'!$A$8:$A$167)*($A9='Summary - $ &amp; m3'!$C$8:$C$167))+SUMPRODUCT('Summary - $ &amp; m3'!$R$8:$U$167*(Z$2='Summary - $ &amp; m3'!$R$7:$U$7)*(Z$1='Summary - $ &amp; m3'!$A$8:$A$167)*($B9='Summary - $ &amp; m3'!$C$8:$C$167))</f>
        <v>20300909</v>
      </c>
      <c r="AA9" s="100" cm="1">
        <f t="array" ref="AA9">SUMPRODUCT('Summary - $ &amp; m3'!$R$8:$U$167*(AA$2='Summary - $ &amp; m3'!$R$7:$U$7)*(AA$1='Summary - $ &amp; m3'!$A$8:$A$167)*($A9='Summary - $ &amp; m3'!$C$8:$C$167))+SUMPRODUCT('Summary - $ &amp; m3'!$R$8:$U$167*(AA$2='Summary - $ &amp; m3'!$R$7:$U$7)*(AA$1='Summary - $ &amp; m3'!$A$8:$A$167)*($B9='Summary - $ &amp; m3'!$C$8:$C$167))</f>
        <v>1481678</v>
      </c>
      <c r="AB9" s="100" cm="1">
        <f t="array" ref="AB9">SUMPRODUCT('Summary - $ &amp; m3'!$R$8:$U$167*(AB$2='Summary - $ &amp; m3'!$R$7:$U$7)*(AB$1='Summary - $ &amp; m3'!$A$8:$A$167)*($A9='Summary - $ &amp; m3'!$C$8:$C$167))+SUMPRODUCT('Summary - $ &amp; m3'!$R$8:$U$167*(AB$2='Summary - $ &amp; m3'!$R$7:$U$7)*(AB$1='Summary - $ &amp; m3'!$A$8:$A$167)*($B9='Summary - $ &amp; m3'!$C$8:$C$167))</f>
        <v>738061</v>
      </c>
      <c r="AC9" s="101">
        <v>0</v>
      </c>
      <c r="AD9" s="102">
        <f t="shared" si="3"/>
        <v>22520648</v>
      </c>
    </row>
    <row r="10" spans="1:33" x14ac:dyDescent="0.25">
      <c r="A10" s="61" t="s">
        <v>333</v>
      </c>
      <c r="B10" s="61"/>
      <c r="D10" s="14" t="s">
        <v>333</v>
      </c>
      <c r="E10" s="99" cm="1">
        <f t="array" ref="E10">SUMPRODUCT('Summary - $ &amp; m3'!$R$8:$U$167*(E$2='Summary - $ &amp; m3'!$R$7:$U$7)*(E$1='Summary - $ &amp; m3'!$A$8:$A$167)*($A10='Summary - $ &amp; m3'!$C$8:$C$167))+SUMPRODUCT('Summary - $ &amp; m3'!$R$8:$U$167*(E$2='Summary - $ &amp; m3'!$R$7:$U$7)*(E$1='Summary - $ &amp; m3'!$A$8:$A$167)*($B10='Summary - $ &amp; m3'!$C$8:$C$167))</f>
        <v>7650000</v>
      </c>
      <c r="F10" s="100" cm="1">
        <f t="array" ref="F10">SUMPRODUCT('Summary - $ &amp; m3'!$R$8:$U$167*(F$2='Summary - $ &amp; m3'!$R$7:$U$7)*(F$1='Summary - $ &amp; m3'!$A$8:$A$167)*($A10='Summary - $ &amp; m3'!$C$8:$C$167))+SUMPRODUCT('Summary - $ &amp; m3'!$R$8:$U$167*(F$2='Summary - $ &amp; m3'!$R$7:$U$7)*(F$1='Summary - $ &amp; m3'!$A$8:$A$167)*($B10='Summary - $ &amp; m3'!$C$8:$C$167))</f>
        <v>871600</v>
      </c>
      <c r="G10" s="100" cm="1">
        <f t="array" ref="G10">SUMPRODUCT('Summary - $ &amp; m3'!$R$8:$U$167*(G$2='Summary - $ &amp; m3'!$R$7:$U$7)*(G$1='Summary - $ &amp; m3'!$A$8:$A$167)*($A10='Summary - $ &amp; m3'!$C$8:$C$167))+SUMPRODUCT('Summary - $ &amp; m3'!$R$8:$U$167*(G$2='Summary - $ &amp; m3'!$R$7:$U$7)*(G$1='Summary - $ &amp; m3'!$A$8:$A$167)*($B10='Summary - $ &amp; m3'!$C$8:$C$167))</f>
        <v>783000</v>
      </c>
      <c r="H10" s="101">
        <v>0</v>
      </c>
      <c r="I10" s="102">
        <f t="shared" ref="I10" si="4">SUM(E10:H10)</f>
        <v>9304600</v>
      </c>
      <c r="K10" s="14" t="s">
        <v>333</v>
      </c>
      <c r="L10" s="99" cm="1">
        <f t="array" ref="L10">SUMPRODUCT('Summary - $ &amp; m3'!$R$8:$U$167*(L$2='Summary - $ &amp; m3'!$R$7:$U$7)*(L$1='Summary - $ &amp; m3'!$A$8:$A$167)*($A10='Summary - $ &amp; m3'!$C$8:$C$167))+SUMPRODUCT('Summary - $ &amp; m3'!$R$8:$U$167*(L$2='Summary - $ &amp; m3'!$R$7:$U$7)*(L$1='Summary - $ &amp; m3'!$A$8:$A$167)*($B10='Summary - $ &amp; m3'!$C$8:$C$167))</f>
        <v>7813200</v>
      </c>
      <c r="M10" s="100" cm="1">
        <f t="array" ref="M10">SUMPRODUCT('Summary - $ &amp; m3'!$R$8:$U$167*(M$2='Summary - $ &amp; m3'!$R$7:$U$7)*(M$1='Summary - $ &amp; m3'!$A$8:$A$167)*($A10='Summary - $ &amp; m3'!$C$8:$C$167))+SUMPRODUCT('Summary - $ &amp; m3'!$R$8:$U$167*(M$2='Summary - $ &amp; m3'!$R$7:$U$7)*(M$1='Summary - $ &amp; m3'!$A$8:$A$167)*($B10='Summary - $ &amp; m3'!$C$8:$C$167))</f>
        <v>879919</v>
      </c>
      <c r="N10" s="100" cm="1">
        <f t="array" ref="N10">SUMPRODUCT('Summary - $ &amp; m3'!$R$8:$U$167*(N$2='Summary - $ &amp; m3'!$R$7:$U$7)*(N$1='Summary - $ &amp; m3'!$A$8:$A$167)*($A10='Summary - $ &amp; m3'!$C$8:$C$167))+SUMPRODUCT('Summary - $ &amp; m3'!$R$8:$U$167*(N$2='Summary - $ &amp; m3'!$R$7:$U$7)*(N$1='Summary - $ &amp; m3'!$A$8:$A$167)*($B10='Summary - $ &amp; m3'!$C$8:$C$167))</f>
        <v>305160</v>
      </c>
      <c r="O10" s="101">
        <v>0</v>
      </c>
      <c r="P10" s="102">
        <f t="shared" ref="P10" si="5">SUM(L10:O10)</f>
        <v>8998279</v>
      </c>
      <c r="R10" s="14" t="s">
        <v>333</v>
      </c>
      <c r="S10" s="99" cm="1">
        <f t="array" ref="S10">SUMPRODUCT('Summary - $ &amp; m3'!$R$8:$U$167*(S$2='Summary - $ &amp; m3'!$R$7:$U$7)*(S$1='Summary - $ &amp; m3'!$A$8:$A$167)*($A10='Summary - $ &amp; m3'!$C$8:$C$167))+SUMPRODUCT('Summary - $ &amp; m3'!$R$8:$U$167*(S$2='Summary - $ &amp; m3'!$R$7:$U$7)*(S$1='Summary - $ &amp; m3'!$A$8:$A$167)*($B10='Summary - $ &amp; m3'!$C$8:$C$167))</f>
        <v>7985070</v>
      </c>
      <c r="T10" s="100" cm="1">
        <f t="array" ref="T10">SUMPRODUCT('Summary - $ &amp; m3'!$R$8:$U$167*(T$2='Summary - $ &amp; m3'!$R$7:$U$7)*(T$1='Summary - $ &amp; m3'!$A$8:$A$167)*($A10='Summary - $ &amp; m3'!$C$8:$C$167))+SUMPRODUCT('Summary - $ &amp; m3'!$R$8:$U$167*(T$2='Summary - $ &amp; m3'!$R$7:$U$7)*(T$1='Summary - $ &amp; m3'!$A$8:$A$167)*($B10='Summary - $ &amp; m3'!$C$8:$C$167))</f>
        <v>929881</v>
      </c>
      <c r="U10" s="100" cm="1">
        <f t="array" ref="U10">SUMPRODUCT('Summary - $ &amp; m3'!$R$8:$U$167*(U$2='Summary - $ &amp; m3'!$R$7:$U$7)*(U$1='Summary - $ &amp; m3'!$A$8:$A$167)*($A10='Summary - $ &amp; m3'!$C$8:$C$167))+SUMPRODUCT('Summary - $ &amp; m3'!$R$8:$U$167*(U$2='Summary - $ &amp; m3'!$R$7:$U$7)*(U$1='Summary - $ &amp; m3'!$A$8:$A$167)*($B10='Summary - $ &amp; m3'!$C$8:$C$167))</f>
        <v>310409</v>
      </c>
      <c r="V10" s="101">
        <v>0</v>
      </c>
      <c r="W10" s="102">
        <f t="shared" ref="W10" si="6">SUM(S10:V10)</f>
        <v>9225360</v>
      </c>
      <c r="Y10" s="14" t="s">
        <v>333</v>
      </c>
      <c r="Z10" s="99" cm="1">
        <f t="array" ref="Z10">SUMPRODUCT('Summary - $ &amp; m3'!$R$8:$U$167*(Z$2='Summary - $ &amp; m3'!$R$7:$U$7)*(Z$1='Summary - $ &amp; m3'!$A$8:$A$167)*($A10='Summary - $ &amp; m3'!$C$8:$C$167))+SUMPRODUCT('Summary - $ &amp; m3'!$R$8:$U$167*(Z$2='Summary - $ &amp; m3'!$R$7:$U$7)*(Z$1='Summary - $ &amp; m3'!$A$8:$A$167)*($B10='Summary - $ &amp; m3'!$C$8:$C$167))</f>
        <v>8150077</v>
      </c>
      <c r="AA10" s="100" cm="1">
        <f t="array" ref="AA10">SUMPRODUCT('Summary - $ &amp; m3'!$R$8:$U$167*(AA$2='Summary - $ &amp; m3'!$R$7:$U$7)*(AA$1='Summary - $ &amp; m3'!$A$8:$A$167)*($A10='Summary - $ &amp; m3'!$C$8:$C$167))+SUMPRODUCT('Summary - $ &amp; m3'!$R$8:$U$167*(AA$2='Summary - $ &amp; m3'!$R$7:$U$7)*(AA$1='Summary - $ &amp; m3'!$A$8:$A$167)*($B10='Summary - $ &amp; m3'!$C$8:$C$167))</f>
        <v>987785</v>
      </c>
      <c r="AB10" s="100" cm="1">
        <f t="array" ref="AB10">SUMPRODUCT('Summary - $ &amp; m3'!$R$8:$U$167*(AB$2='Summary - $ &amp; m3'!$R$7:$U$7)*(AB$1='Summary - $ &amp; m3'!$A$8:$A$167)*($A10='Summary - $ &amp; m3'!$C$8:$C$167))+SUMPRODUCT('Summary - $ &amp; m3'!$R$8:$U$167*(AB$2='Summary - $ &amp; m3'!$R$7:$U$7)*(AB$1='Summary - $ &amp; m3'!$A$8:$A$167)*($B10='Summary - $ &amp; m3'!$C$8:$C$167))</f>
        <v>315748</v>
      </c>
      <c r="AC10" s="101">
        <v>0</v>
      </c>
      <c r="AD10" s="102">
        <f t="shared" ref="AD10" si="7">SUM(Z10:AC10)</f>
        <v>9453610</v>
      </c>
    </row>
    <row r="11" spans="1:33" x14ac:dyDescent="0.25">
      <c r="A11" s="61" t="s">
        <v>160</v>
      </c>
      <c r="B11" s="61"/>
      <c r="D11" s="14" t="s">
        <v>160</v>
      </c>
      <c r="E11" s="99" cm="1">
        <f t="array" ref="E11">SUMPRODUCT('Summary - $ &amp; m3'!$R$8:$U$167*(E$2='Summary - $ &amp; m3'!$R$7:$U$7)*(E$1='Summary - $ &amp; m3'!$A$8:$A$167)*($A11='Summary - $ &amp; m3'!$C$8:$C$167))+SUMPRODUCT('Summary - $ &amp; m3'!$R$8:$U$167*(E$2='Summary - $ &amp; m3'!$R$7:$U$7)*(E$1='Summary - $ &amp; m3'!$A$8:$A$167)*($B11='Summary - $ &amp; m3'!$C$8:$C$167))</f>
        <v>3089600</v>
      </c>
      <c r="F11" s="100" cm="1">
        <f t="array" ref="F11">SUMPRODUCT('Summary - $ &amp; m3'!$R$8:$U$167*(F$2='Summary - $ &amp; m3'!$R$7:$U$7)*(F$1='Summary - $ &amp; m3'!$A$8:$A$167)*($A11='Summary - $ &amp; m3'!$C$8:$C$167))+SUMPRODUCT('Summary - $ &amp; m3'!$R$8:$U$167*(F$2='Summary - $ &amp; m3'!$R$7:$U$7)*(F$1='Summary - $ &amp; m3'!$A$8:$A$167)*($B11='Summary - $ &amp; m3'!$C$8:$C$167))</f>
        <v>2369800</v>
      </c>
      <c r="G11" s="100" cm="1">
        <f t="array" ref="G11">SUMPRODUCT('Summary - $ &amp; m3'!$R$8:$U$167*(G$2='Summary - $ &amp; m3'!$R$7:$U$7)*(G$1='Summary - $ &amp; m3'!$A$8:$A$167)*($A11='Summary - $ &amp; m3'!$C$8:$C$167))+SUMPRODUCT('Summary - $ &amp; m3'!$R$8:$U$167*(G$2='Summary - $ &amp; m3'!$R$7:$U$7)*(G$1='Summary - $ &amp; m3'!$A$8:$A$167)*($B11='Summary - $ &amp; m3'!$C$8:$C$167))</f>
        <v>624593</v>
      </c>
      <c r="H11" s="101">
        <v>0</v>
      </c>
      <c r="I11" s="102">
        <f t="shared" si="0"/>
        <v>6083993</v>
      </c>
      <c r="K11" s="14" t="s">
        <v>160</v>
      </c>
      <c r="L11" s="99" cm="1">
        <f t="array" ref="L11">SUMPRODUCT('Summary - $ &amp; m3'!$R$8:$U$167*(L$2='Summary - $ &amp; m3'!$R$7:$U$7)*(L$1='Summary - $ &amp; m3'!$A$8:$A$167)*($A11='Summary - $ &amp; m3'!$C$8:$C$167))+SUMPRODUCT('Summary - $ &amp; m3'!$R$8:$U$167*(L$2='Summary - $ &amp; m3'!$R$7:$U$7)*(L$1='Summary - $ &amp; m3'!$A$8:$A$167)*($B11='Summary - $ &amp; m3'!$C$8:$C$167))</f>
        <v>3165902</v>
      </c>
      <c r="M11" s="100" cm="1">
        <f t="array" ref="M11">SUMPRODUCT('Summary - $ &amp; m3'!$R$8:$U$167*(M$2='Summary - $ &amp; m3'!$R$7:$U$7)*(M$1='Summary - $ &amp; m3'!$A$8:$A$167)*($A11='Summary - $ &amp; m3'!$C$8:$C$167))+SUMPRODUCT('Summary - $ &amp; m3'!$R$8:$U$167*(M$2='Summary - $ &amp; m3'!$R$7:$U$7)*(M$1='Summary - $ &amp; m3'!$A$8:$A$167)*($B11='Summary - $ &amp; m3'!$C$8:$C$167))</f>
        <v>2322064</v>
      </c>
      <c r="N11" s="100" cm="1">
        <f t="array" ref="N11">SUMPRODUCT('Summary - $ &amp; m3'!$R$8:$U$167*(N$2='Summary - $ &amp; m3'!$R$7:$U$7)*(N$1='Summary - $ &amp; m3'!$A$8:$A$167)*($A11='Summary - $ &amp; m3'!$C$8:$C$167))+SUMPRODUCT('Summary - $ &amp; m3'!$R$8:$U$167*(N$2='Summary - $ &amp; m3'!$R$7:$U$7)*(N$1='Summary - $ &amp; m3'!$A$8:$A$167)*($B11='Summary - $ &amp; m3'!$C$8:$C$167))</f>
        <v>635335</v>
      </c>
      <c r="O11" s="101">
        <v>0</v>
      </c>
      <c r="P11" s="102">
        <f t="shared" si="1"/>
        <v>6123301</v>
      </c>
      <c r="R11" s="14" t="s">
        <v>160</v>
      </c>
      <c r="S11" s="99" cm="1">
        <f t="array" ref="S11">SUMPRODUCT('Summary - $ &amp; m3'!$R$8:$U$167*(S$2='Summary - $ &amp; m3'!$R$7:$U$7)*(S$1='Summary - $ &amp; m3'!$A$8:$A$167)*($A11='Summary - $ &amp; m3'!$C$8:$C$167))+SUMPRODUCT('Summary - $ &amp; m3'!$R$8:$U$167*(S$2='Summary - $ &amp; m3'!$R$7:$U$7)*(S$1='Summary - $ &amp; m3'!$A$8:$A$167)*($B11='Summary - $ &amp; m3'!$C$8:$C$167))</f>
        <v>3266180</v>
      </c>
      <c r="T11" s="100" cm="1">
        <f t="array" ref="T11">SUMPRODUCT('Summary - $ &amp; m3'!$R$8:$U$167*(T$2='Summary - $ &amp; m3'!$R$7:$U$7)*(T$1='Summary - $ &amp; m3'!$A$8:$A$167)*($A11='Summary - $ &amp; m3'!$C$8:$C$167))+SUMPRODUCT('Summary - $ &amp; m3'!$R$8:$U$167*(T$2='Summary - $ &amp; m3'!$R$7:$U$7)*(T$1='Summary - $ &amp; m3'!$A$8:$A$167)*($B11='Summary - $ &amp; m3'!$C$8:$C$167))</f>
        <v>2355795</v>
      </c>
      <c r="U11" s="100" cm="1">
        <f t="array" ref="U11">SUMPRODUCT('Summary - $ &amp; m3'!$R$8:$U$167*(U$2='Summary - $ &amp; m3'!$R$7:$U$7)*(U$1='Summary - $ &amp; m3'!$A$8:$A$167)*($A11='Summary - $ &amp; m3'!$C$8:$C$167))+SUMPRODUCT('Summary - $ &amp; m3'!$R$8:$U$167*(U$2='Summary - $ &amp; m3'!$R$7:$U$7)*(U$1='Summary - $ &amp; m3'!$A$8:$A$167)*($B11='Summary - $ &amp; m3'!$C$8:$C$167))</f>
        <v>646272</v>
      </c>
      <c r="V11" s="101">
        <v>0</v>
      </c>
      <c r="W11" s="102">
        <f t="shared" si="2"/>
        <v>6268247</v>
      </c>
      <c r="Y11" s="14" t="s">
        <v>160</v>
      </c>
      <c r="Z11" s="99" cm="1">
        <f t="array" ref="Z11">SUMPRODUCT('Summary - $ &amp; m3'!$R$8:$U$167*(Z$2='Summary - $ &amp; m3'!$R$7:$U$7)*(Z$1='Summary - $ &amp; m3'!$A$8:$A$167)*($A11='Summary - $ &amp; m3'!$C$8:$C$167))+SUMPRODUCT('Summary - $ &amp; m3'!$R$8:$U$167*(Z$2='Summary - $ &amp; m3'!$R$7:$U$7)*(Z$1='Summary - $ &amp; m3'!$A$8:$A$167)*($B11='Summary - $ &amp; m3'!$C$8:$C$167))</f>
        <v>3369229</v>
      </c>
      <c r="AA11" s="100" cm="1">
        <f t="array" ref="AA11">SUMPRODUCT('Summary - $ &amp; m3'!$R$8:$U$167*(AA$2='Summary - $ &amp; m3'!$R$7:$U$7)*(AA$1='Summary - $ &amp; m3'!$A$8:$A$167)*($A11='Summary - $ &amp; m3'!$C$8:$C$167))+SUMPRODUCT('Summary - $ &amp; m3'!$R$8:$U$167*(AA$2='Summary - $ &amp; m3'!$R$7:$U$7)*(AA$1='Summary - $ &amp; m3'!$A$8:$A$167)*($B11='Summary - $ &amp; m3'!$C$8:$C$167))</f>
        <v>2371055</v>
      </c>
      <c r="AB11" s="100" cm="1">
        <f t="array" ref="AB11">SUMPRODUCT('Summary - $ &amp; m3'!$R$8:$U$167*(AB$2='Summary - $ &amp; m3'!$R$7:$U$7)*(AB$1='Summary - $ &amp; m3'!$A$8:$A$167)*($A11='Summary - $ &amp; m3'!$C$8:$C$167))+SUMPRODUCT('Summary - $ &amp; m3'!$R$8:$U$167*(AB$2='Summary - $ &amp; m3'!$R$7:$U$7)*(AB$1='Summary - $ &amp; m3'!$A$8:$A$167)*($B11='Summary - $ &amp; m3'!$C$8:$C$167))</f>
        <v>657379</v>
      </c>
      <c r="AC11" s="101">
        <v>0</v>
      </c>
      <c r="AD11" s="102">
        <f t="shared" si="3"/>
        <v>6397663</v>
      </c>
    </row>
    <row r="12" spans="1:33" x14ac:dyDescent="0.25">
      <c r="A12" s="61" t="s">
        <v>161</v>
      </c>
      <c r="B12" s="61"/>
      <c r="D12" s="14" t="s">
        <v>161</v>
      </c>
      <c r="E12" s="99" cm="1">
        <f t="array" ref="E12">SUMPRODUCT('Summary - $ &amp; m3'!$R$8:$U$167*(E$2='Summary - $ &amp; m3'!$R$7:$U$7)*(E$1='Summary - $ &amp; m3'!$A$8:$A$167)*($A12='Summary - $ &amp; m3'!$C$8:$C$167))+SUMPRODUCT('Summary - $ &amp; m3'!$R$8:$U$167*(E$2='Summary - $ &amp; m3'!$R$7:$U$7)*(E$1='Summary - $ &amp; m3'!$A$8:$A$167)*($B12='Summary - $ &amp; m3'!$C$8:$C$167))</f>
        <v>10150000</v>
      </c>
      <c r="F12" s="100" cm="1">
        <f t="array" ref="F12">SUMPRODUCT('Summary - $ &amp; m3'!$R$8:$U$167*(F$2='Summary - $ &amp; m3'!$R$7:$U$7)*(F$1='Summary - $ &amp; m3'!$A$8:$A$167)*($A12='Summary - $ &amp; m3'!$C$8:$C$167))+SUMPRODUCT('Summary - $ &amp; m3'!$R$8:$U$167*(F$2='Summary - $ &amp; m3'!$R$7:$U$7)*(F$1='Summary - $ &amp; m3'!$A$8:$A$167)*($B12='Summary - $ &amp; m3'!$C$8:$C$167))</f>
        <v>300000</v>
      </c>
      <c r="G12" s="100" cm="1">
        <f t="array" ref="G12">SUMPRODUCT('Summary - $ &amp; m3'!$R$8:$U$167*(G$2='Summary - $ &amp; m3'!$R$7:$U$7)*(G$1='Summary - $ &amp; m3'!$A$8:$A$167)*($A12='Summary - $ &amp; m3'!$C$8:$C$167))+SUMPRODUCT('Summary - $ &amp; m3'!$R$8:$U$167*(G$2='Summary - $ &amp; m3'!$R$7:$U$7)*(G$1='Summary - $ &amp; m3'!$A$8:$A$167)*($B12='Summary - $ &amp; m3'!$C$8:$C$167))</f>
        <v>425000</v>
      </c>
      <c r="H12" s="101">
        <v>0</v>
      </c>
      <c r="I12" s="102">
        <f t="shared" si="0"/>
        <v>10875000</v>
      </c>
      <c r="K12" s="14" t="s">
        <v>161</v>
      </c>
      <c r="L12" s="99" cm="1">
        <f t="array" ref="L12">SUMPRODUCT('Summary - $ &amp; m3'!$R$8:$U$167*(L$2='Summary - $ &amp; m3'!$R$7:$U$7)*(L$1='Summary - $ &amp; m3'!$A$8:$A$167)*($A12='Summary - $ &amp; m3'!$C$8:$C$167))+SUMPRODUCT('Summary - $ &amp; m3'!$R$8:$U$167*(L$2='Summary - $ &amp; m3'!$R$7:$U$7)*(L$1='Summary - $ &amp; m3'!$A$8:$A$167)*($B12='Summary - $ &amp; m3'!$C$8:$C$167))</f>
        <v>11770800</v>
      </c>
      <c r="M12" s="100" cm="1">
        <f t="array" ref="M12">SUMPRODUCT('Summary - $ &amp; m3'!$R$8:$U$167*(M$2='Summary - $ &amp; m3'!$R$7:$U$7)*(M$1='Summary - $ &amp; m3'!$A$8:$A$167)*($A12='Summary - $ &amp; m3'!$C$8:$C$167))+SUMPRODUCT('Summary - $ &amp; m3'!$R$8:$U$167*(M$2='Summary - $ &amp; m3'!$R$7:$U$7)*(M$1='Summary - $ &amp; m3'!$A$8:$A$167)*($B12='Summary - $ &amp; m3'!$C$8:$C$167))</f>
        <v>508600</v>
      </c>
      <c r="N12" s="100" cm="1">
        <f t="array" ref="N12">SUMPRODUCT('Summary - $ &amp; m3'!$R$8:$U$167*(N$2='Summary - $ &amp; m3'!$R$7:$U$7)*(N$1='Summary - $ &amp; m3'!$A$8:$A$167)*($A12='Summary - $ &amp; m3'!$C$8:$C$167))+SUMPRODUCT('Summary - $ &amp; m3'!$R$8:$U$167*(N$2='Summary - $ &amp; m3'!$R$7:$U$7)*(N$1='Summary - $ &amp; m3'!$A$8:$A$167)*($B12='Summary - $ &amp; m3'!$C$8:$C$167))</f>
        <v>483170</v>
      </c>
      <c r="O12" s="101">
        <v>0</v>
      </c>
      <c r="P12" s="102">
        <f t="shared" si="1"/>
        <v>12762570</v>
      </c>
      <c r="R12" s="14" t="s">
        <v>161</v>
      </c>
      <c r="S12" s="99" cm="1">
        <f t="array" ref="S12">SUMPRODUCT('Summary - $ &amp; m3'!$R$8:$U$167*(S$2='Summary - $ &amp; m3'!$R$7:$U$7)*(S$1='Summary - $ &amp; m3'!$A$8:$A$167)*($A12='Summary - $ &amp; m3'!$C$8:$C$167))+SUMPRODUCT('Summary - $ &amp; m3'!$R$8:$U$167*(S$2='Summary - $ &amp; m3'!$R$7:$U$7)*(S$1='Summary - $ &amp; m3'!$A$8:$A$167)*($B12='Summary - $ &amp; m3'!$C$8:$C$167))</f>
        <v>13452372</v>
      </c>
      <c r="T12" s="100" cm="1">
        <f t="array" ref="T12">SUMPRODUCT('Summary - $ &amp; m3'!$R$8:$U$167*(T$2='Summary - $ &amp; m3'!$R$7:$U$7)*(T$1='Summary - $ &amp; m3'!$A$8:$A$167)*($A12='Summary - $ &amp; m3'!$C$8:$C$167))+SUMPRODUCT('Summary - $ &amp; m3'!$R$8:$U$167*(T$2='Summary - $ &amp; m3'!$R$7:$U$7)*(T$1='Summary - $ &amp; m3'!$A$8:$A$167)*($B12='Summary - $ &amp; m3'!$C$8:$C$167))</f>
        <v>517348</v>
      </c>
      <c r="U12" s="100" cm="1">
        <f t="array" ref="U12">SUMPRODUCT('Summary - $ &amp; m3'!$R$8:$U$167*(U$2='Summary - $ &amp; m3'!$R$7:$U$7)*(U$1='Summary - $ &amp; m3'!$A$8:$A$167)*($A12='Summary - $ &amp; m3'!$C$8:$C$167))+SUMPRODUCT('Summary - $ &amp; m3'!$R$8:$U$167*(U$2='Summary - $ &amp; m3'!$R$7:$U$7)*(U$1='Summary - $ &amp; m3'!$A$8:$A$167)*($B12='Summary - $ &amp; m3'!$C$8:$C$167))</f>
        <v>543215</v>
      </c>
      <c r="V12" s="101">
        <v>0</v>
      </c>
      <c r="W12" s="102">
        <f t="shared" si="2"/>
        <v>14512935</v>
      </c>
      <c r="Y12" s="14" t="s">
        <v>161</v>
      </c>
      <c r="Z12" s="99" cm="1">
        <f t="array" ref="Z12">SUMPRODUCT('Summary - $ &amp; m3'!$R$8:$U$167*(Z$2='Summary - $ &amp; m3'!$R$7:$U$7)*(Z$1='Summary - $ &amp; m3'!$A$8:$A$167)*($A12='Summary - $ &amp; m3'!$C$8:$C$167))+SUMPRODUCT('Summary - $ &amp; m3'!$R$8:$U$167*(Z$2='Summary - $ &amp; m3'!$R$7:$U$7)*(Z$1='Summary - $ &amp; m3'!$A$8:$A$167)*($B12='Summary - $ &amp; m3'!$C$8:$C$167))</f>
        <v>15196499</v>
      </c>
      <c r="AA12" s="100" cm="1">
        <f t="array" ref="AA12">SUMPRODUCT('Summary - $ &amp; m3'!$R$8:$U$167*(AA$2='Summary - $ &amp; m3'!$R$7:$U$7)*(AA$1='Summary - $ &amp; m3'!$A$8:$A$167)*($A12='Summary - $ &amp; m3'!$C$8:$C$167))+SUMPRODUCT('Summary - $ &amp; m3'!$R$8:$U$167*(AA$2='Summary - $ &amp; m3'!$R$7:$U$7)*(AA$1='Summary - $ &amp; m3'!$A$8:$A$167)*($B12='Summary - $ &amp; m3'!$C$8:$C$167))</f>
        <v>526246</v>
      </c>
      <c r="AB12" s="100" cm="1">
        <f t="array" ref="AB12">SUMPRODUCT('Summary - $ &amp; m3'!$R$8:$U$167*(AB$2='Summary - $ &amp; m3'!$R$7:$U$7)*(AB$1='Summary - $ &amp; m3'!$A$8:$A$167)*($A12='Summary - $ &amp; m3'!$C$8:$C$167))+SUMPRODUCT('Summary - $ &amp; m3'!$R$8:$U$167*(AB$2='Summary - $ &amp; m3'!$R$7:$U$7)*(AB$1='Summary - $ &amp; m3'!$A$8:$A$167)*($B12='Summary - $ &amp; m3'!$C$8:$C$167))</f>
        <v>605183</v>
      </c>
      <c r="AC12" s="101">
        <v>0</v>
      </c>
      <c r="AD12" s="102">
        <f t="shared" si="3"/>
        <v>16327928</v>
      </c>
    </row>
    <row r="13" spans="1:33" x14ac:dyDescent="0.25">
      <c r="A13" s="61" t="s">
        <v>162</v>
      </c>
      <c r="B13" s="61"/>
      <c r="D13" s="14" t="s">
        <v>162</v>
      </c>
      <c r="E13" s="99" cm="1">
        <f t="array" ref="E13">SUMPRODUCT('Summary - $ &amp; m3'!$R$8:$U$167*(E$2='Summary - $ &amp; m3'!$R$7:$U$7)*(E$1='Summary - $ &amp; m3'!$A$8:$A$167)*($A13='Summary - $ &amp; m3'!$C$8:$C$167))+SUMPRODUCT('Summary - $ &amp; m3'!$R$8:$U$167*(E$2='Summary - $ &amp; m3'!$R$7:$U$7)*(E$1='Summary - $ &amp; m3'!$A$8:$A$167)*($B13='Summary - $ &amp; m3'!$C$8:$C$167))</f>
        <v>0</v>
      </c>
      <c r="F13" s="100" cm="1">
        <f t="array" ref="F13">SUMPRODUCT('Summary - $ &amp; m3'!$R$8:$U$167*(F$2='Summary - $ &amp; m3'!$R$7:$U$7)*(F$1='Summary - $ &amp; m3'!$A$8:$A$167)*($A13='Summary - $ &amp; m3'!$C$8:$C$167))+SUMPRODUCT('Summary - $ &amp; m3'!$R$8:$U$167*(F$2='Summary - $ &amp; m3'!$R$7:$U$7)*(F$1='Summary - $ &amp; m3'!$A$8:$A$167)*($B13='Summary - $ &amp; m3'!$C$8:$C$167))</f>
        <v>100000</v>
      </c>
      <c r="G13" s="100" cm="1">
        <f t="array" ref="G13">SUMPRODUCT('Summary - $ &amp; m3'!$R$8:$U$167*(G$2='Summary - $ &amp; m3'!$R$7:$U$7)*(G$1='Summary - $ &amp; m3'!$A$8:$A$167)*($A13='Summary - $ &amp; m3'!$C$8:$C$167))+SUMPRODUCT('Summary - $ &amp; m3'!$R$8:$U$167*(G$2='Summary - $ &amp; m3'!$R$7:$U$7)*(G$1='Summary - $ &amp; m3'!$A$8:$A$167)*($B13='Summary - $ &amp; m3'!$C$8:$C$167))</f>
        <v>2360000</v>
      </c>
      <c r="H13" s="101">
        <v>0</v>
      </c>
      <c r="I13" s="102">
        <f t="shared" si="0"/>
        <v>2460000</v>
      </c>
      <c r="K13" s="14" t="s">
        <v>162</v>
      </c>
      <c r="L13" s="99" cm="1">
        <f t="array" ref="L13">SUMPRODUCT('Summary - $ &amp; m3'!$R$8:$U$167*(L$2='Summary - $ &amp; m3'!$R$7:$U$7)*(L$1='Summary - $ &amp; m3'!$A$8:$A$167)*($A13='Summary - $ &amp; m3'!$C$8:$C$167))+SUMPRODUCT('Summary - $ &amp; m3'!$R$8:$U$167*(L$2='Summary - $ &amp; m3'!$R$7:$U$7)*(L$1='Summary - $ &amp; m3'!$A$8:$A$167)*($B13='Summary - $ &amp; m3'!$C$8:$C$167))</f>
        <v>0</v>
      </c>
      <c r="M13" s="100" cm="1">
        <f t="array" ref="M13">SUMPRODUCT('Summary - $ &amp; m3'!$R$8:$U$167*(M$2='Summary - $ &amp; m3'!$R$7:$U$7)*(M$1='Summary - $ &amp; m3'!$A$8:$A$167)*($A13='Summary - $ &amp; m3'!$C$8:$C$167))+SUMPRODUCT('Summary - $ &amp; m3'!$R$8:$U$167*(M$2='Summary - $ &amp; m3'!$R$7:$U$7)*(M$1='Summary - $ &amp; m3'!$A$8:$A$167)*($B13='Summary - $ &amp; m3'!$C$8:$C$167))</f>
        <v>50860</v>
      </c>
      <c r="N13" s="100" cm="1">
        <f t="array" ref="N13">SUMPRODUCT('Summary - $ &amp; m3'!$R$8:$U$167*(N$2='Summary - $ &amp; m3'!$R$7:$U$7)*(N$1='Summary - $ &amp; m3'!$A$8:$A$167)*($A13='Summary - $ &amp; m3'!$C$8:$C$167))+SUMPRODUCT('Summary - $ &amp; m3'!$R$8:$U$167*(N$2='Summary - $ &amp; m3'!$R$7:$U$7)*(N$1='Summary - $ &amp; m3'!$A$8:$A$167)*($B13='Summary - $ &amp; m3'!$C$8:$C$167))</f>
        <v>2593860</v>
      </c>
      <c r="O13" s="101">
        <v>0</v>
      </c>
      <c r="P13" s="102">
        <f t="shared" si="1"/>
        <v>2644720</v>
      </c>
      <c r="R13" s="14" t="s">
        <v>162</v>
      </c>
      <c r="S13" s="99" cm="1">
        <f t="array" ref="S13">SUMPRODUCT('Summary - $ &amp; m3'!$R$8:$U$167*(S$2='Summary - $ &amp; m3'!$R$7:$U$7)*(S$1='Summary - $ &amp; m3'!$A$8:$A$167)*($A13='Summary - $ &amp; m3'!$C$8:$C$167))+SUMPRODUCT('Summary - $ &amp; m3'!$R$8:$U$167*(S$2='Summary - $ &amp; m3'!$R$7:$U$7)*(S$1='Summary - $ &amp; m3'!$A$8:$A$167)*($B13='Summary - $ &amp; m3'!$C$8:$C$167))</f>
        <v>0</v>
      </c>
      <c r="T13" s="100" cm="1">
        <f t="array" ref="T13">SUMPRODUCT('Summary - $ &amp; m3'!$R$8:$U$167*(T$2='Summary - $ &amp; m3'!$R$7:$U$7)*(T$1='Summary - $ &amp; m3'!$A$8:$A$167)*($A13='Summary - $ &amp; m3'!$C$8:$C$167))+SUMPRODUCT('Summary - $ &amp; m3'!$R$8:$U$167*(T$2='Summary - $ &amp; m3'!$R$7:$U$7)*(T$1='Summary - $ &amp; m3'!$A$8:$A$167)*($B13='Summary - $ &amp; m3'!$C$8:$C$167))</f>
        <v>51735</v>
      </c>
      <c r="U13" s="100" cm="1">
        <f t="array" ref="U13">SUMPRODUCT('Summary - $ &amp; m3'!$R$8:$U$167*(U$2='Summary - $ &amp; m3'!$R$7:$U$7)*(U$1='Summary - $ &amp; m3'!$A$8:$A$167)*($A13='Summary - $ &amp; m3'!$C$8:$C$167))+SUMPRODUCT('Summary - $ &amp; m3'!$R$8:$U$167*(U$2='Summary - $ &amp; m3'!$R$7:$U$7)*(U$1='Summary - $ &amp; m3'!$A$8:$A$167)*($B13='Summary - $ &amp; m3'!$C$8:$C$167))</f>
        <v>2948883</v>
      </c>
      <c r="V13" s="101">
        <v>0</v>
      </c>
      <c r="W13" s="102">
        <f t="shared" si="2"/>
        <v>3000618</v>
      </c>
      <c r="Y13" s="14" t="s">
        <v>162</v>
      </c>
      <c r="Z13" s="99" cm="1">
        <f t="array" ref="Z13">SUMPRODUCT('Summary - $ &amp; m3'!$R$8:$U$167*(Z$2='Summary - $ &amp; m3'!$R$7:$U$7)*(Z$1='Summary - $ &amp; m3'!$A$8:$A$167)*($A13='Summary - $ &amp; m3'!$C$8:$C$167))+SUMPRODUCT('Summary - $ &amp; m3'!$R$8:$U$167*(Z$2='Summary - $ &amp; m3'!$R$7:$U$7)*(Z$1='Summary - $ &amp; m3'!$A$8:$A$167)*($B13='Summary - $ &amp; m3'!$C$8:$C$167))</f>
        <v>0</v>
      </c>
      <c r="AA13" s="100" cm="1">
        <f t="array" ref="AA13">SUMPRODUCT('Summary - $ &amp; m3'!$R$8:$U$167*(AA$2='Summary - $ &amp; m3'!$R$7:$U$7)*(AA$1='Summary - $ &amp; m3'!$A$8:$A$167)*($A13='Summary - $ &amp; m3'!$C$8:$C$167))+SUMPRODUCT('Summary - $ &amp; m3'!$R$8:$U$167*(AA$2='Summary - $ &amp; m3'!$R$7:$U$7)*(AA$1='Summary - $ &amp; m3'!$A$8:$A$167)*($B13='Summary - $ &amp; m3'!$C$8:$C$167))</f>
        <v>52625</v>
      </c>
      <c r="AB13" s="100" cm="1">
        <f t="array" ref="AB13">SUMPRODUCT('Summary - $ &amp; m3'!$R$8:$U$167*(AB$2='Summary - $ &amp; m3'!$R$7:$U$7)*(AB$1='Summary - $ &amp; m3'!$A$8:$A$167)*($A13='Summary - $ &amp; m3'!$C$8:$C$167))+SUMPRODUCT('Summary - $ &amp; m3'!$R$8:$U$167*(AB$2='Summary - $ &amp; m3'!$R$7:$U$7)*(AB$1='Summary - $ &amp; m3'!$A$8:$A$167)*($B13='Summary - $ &amp; m3'!$C$8:$C$167))</f>
        <v>3315352</v>
      </c>
      <c r="AC13" s="101">
        <v>0</v>
      </c>
      <c r="AD13" s="102">
        <f t="shared" si="3"/>
        <v>3367977</v>
      </c>
    </row>
    <row r="14" spans="1:33" hidden="1" outlineLevel="1" x14ac:dyDescent="0.25">
      <c r="A14" s="61" t="s">
        <v>17</v>
      </c>
      <c r="B14" s="61"/>
      <c r="D14" s="29" t="s">
        <v>136</v>
      </c>
      <c r="E14" s="103">
        <v>0</v>
      </c>
      <c r="F14" s="104">
        <v>0</v>
      </c>
      <c r="G14" s="105">
        <v>0</v>
      </c>
      <c r="H14" s="102" cm="1">
        <f t="array" ref="H14">SUMPRODUCT('Summary - $ &amp; m3'!$R$8:$U$167*(H$2='Summary - $ &amp; m3'!$R$7:$U$7)*(H$1='Summary - $ &amp; m3'!$A$8:$A$167)*($A14='Summary - $ &amp; m3'!$C$8:$C$167))+SUMPRODUCT('Summary - $ &amp; m3'!$R$8:$U$167*(H$2='Summary - $ &amp; m3'!$R$7:$U$7)*(H$1='Summary - $ &amp; m3'!$A$8:$A$167)*($B14='Summary - $ &amp; m3'!$C$8:$C$167))</f>
        <v>2573738</v>
      </c>
      <c r="I14" s="102">
        <f t="shared" si="0"/>
        <v>2573738</v>
      </c>
      <c r="K14" s="29" t="s">
        <v>136</v>
      </c>
      <c r="L14" s="103">
        <v>0</v>
      </c>
      <c r="M14" s="104">
        <v>0</v>
      </c>
      <c r="N14" s="105">
        <v>0</v>
      </c>
      <c r="O14" s="102" cm="1">
        <f t="array" ref="O14">SUMPRODUCT('Summary - $ &amp; m3'!$R$8:$U$167*(O$2='Summary - $ &amp; m3'!$R$7:$U$7)*(O$1='Summary - $ &amp; m3'!$A$8:$A$167)*($A14='Summary - $ &amp; m3'!$C$8:$C$167))+SUMPRODUCT('Summary - $ &amp; m3'!$R$8:$U$167*(O$2='Summary - $ &amp; m3'!$R$7:$U$7)*(O$1='Summary - $ &amp; m3'!$A$8:$A$167)*($B14='Summary - $ &amp; m3'!$C$8:$C$167))</f>
        <v>2618006</v>
      </c>
      <c r="P14" s="102">
        <f t="shared" si="1"/>
        <v>2618006</v>
      </c>
      <c r="R14" s="29" t="s">
        <v>136</v>
      </c>
      <c r="S14" s="103">
        <v>0</v>
      </c>
      <c r="T14" s="104">
        <v>0</v>
      </c>
      <c r="U14" s="105">
        <v>0</v>
      </c>
      <c r="V14" s="102" cm="1">
        <f t="array" ref="V14">SUMPRODUCT('Summary - $ &amp; m3'!$R$8:$U$167*(V$2='Summary - $ &amp; m3'!$R$7:$U$7)*(V$1='Summary - $ &amp; m3'!$A$8:$A$167)*($A14='Summary - $ &amp; m3'!$C$8:$C$167))+SUMPRODUCT('Summary - $ &amp; m3'!$R$8:$U$167*(V$2='Summary - $ &amp; m3'!$R$7:$U$7)*(V$1='Summary - $ &amp; m3'!$A$8:$A$167)*($B14='Summary - $ &amp; m3'!$C$8:$C$167))</f>
        <v>2663036</v>
      </c>
      <c r="W14" s="102">
        <f t="shared" si="2"/>
        <v>2663036</v>
      </c>
      <c r="Y14" s="29" t="s">
        <v>136</v>
      </c>
      <c r="Z14" s="103">
        <v>0</v>
      </c>
      <c r="AA14" s="104">
        <v>0</v>
      </c>
      <c r="AB14" s="105">
        <v>0</v>
      </c>
      <c r="AC14" s="102" cm="1">
        <f t="array" ref="AC14">SUMPRODUCT('Summary - $ &amp; m3'!$R$8:$U$167*(AC$2='Summary - $ &amp; m3'!$R$7:$U$7)*(AC$1='Summary - $ &amp; m3'!$A$8:$A$167)*($A14='Summary - $ &amp; m3'!$C$8:$C$167))+SUMPRODUCT('Summary - $ &amp; m3'!$R$8:$U$167*(AC$2='Summary - $ &amp; m3'!$R$7:$U$7)*(AC$1='Summary - $ &amp; m3'!$A$8:$A$167)*($B14='Summary - $ &amp; m3'!$C$8:$C$167))</f>
        <v>2708841</v>
      </c>
      <c r="AD14" s="102">
        <f t="shared" si="3"/>
        <v>2708841</v>
      </c>
    </row>
    <row r="15" spans="1:33" collapsed="1" x14ac:dyDescent="0.25">
      <c r="A15" s="61"/>
      <c r="B15" s="61"/>
      <c r="D15" s="24" t="s">
        <v>313</v>
      </c>
      <c r="E15" s="98">
        <f>SUM(E16:E18)</f>
        <v>20424307</v>
      </c>
      <c r="F15" s="93">
        <f>SUM(F16:F18)</f>
        <v>2764900</v>
      </c>
      <c r="G15" s="93">
        <f>SUM(G16:G18)</f>
        <v>2308820</v>
      </c>
      <c r="H15" s="106">
        <f>SUM(H16:H18)</f>
        <v>1838341</v>
      </c>
      <c r="I15" s="106">
        <f t="shared" si="0"/>
        <v>27336368</v>
      </c>
      <c r="K15" s="24" t="s">
        <v>313</v>
      </c>
      <c r="L15" s="98">
        <f>SUM(L16:L18)</f>
        <v>22519821</v>
      </c>
      <c r="M15" s="93">
        <f>SUM(M16:M18)</f>
        <v>2941132</v>
      </c>
      <c r="N15" s="93">
        <f>SUM(N16:N18)</f>
        <v>2459427</v>
      </c>
      <c r="O15" s="106">
        <f>SUM(O16:O18)</f>
        <v>1869961</v>
      </c>
      <c r="P15" s="106">
        <f t="shared" si="1"/>
        <v>29790341</v>
      </c>
      <c r="R15" s="24" t="s">
        <v>313</v>
      </c>
      <c r="S15" s="98">
        <f>SUM(S16:S18)</f>
        <v>25306980</v>
      </c>
      <c r="T15" s="93">
        <f>SUM(T16:T18)</f>
        <v>3086911</v>
      </c>
      <c r="U15" s="93">
        <f>SUM(U16:U18)</f>
        <v>2583491</v>
      </c>
      <c r="V15" s="106">
        <f>SUM(V16:V18)</f>
        <v>1902125</v>
      </c>
      <c r="W15" s="106">
        <f t="shared" si="2"/>
        <v>32879507</v>
      </c>
      <c r="Y15" s="24" t="s">
        <v>313</v>
      </c>
      <c r="Z15" s="98">
        <f>SUM(Z16:Z18)</f>
        <v>27703220</v>
      </c>
      <c r="AA15" s="93">
        <f>SUM(AA16:AA18)</f>
        <v>3312615</v>
      </c>
      <c r="AB15" s="93">
        <f>SUM(AB16:AB18)</f>
        <v>2706147</v>
      </c>
      <c r="AC15" s="106">
        <f>SUM(AC16:AC18)</f>
        <v>1934841</v>
      </c>
      <c r="AD15" s="106">
        <f t="shared" si="3"/>
        <v>35656823</v>
      </c>
    </row>
    <row r="16" spans="1:33" x14ac:dyDescent="0.25">
      <c r="A16" s="61" t="s">
        <v>22</v>
      </c>
      <c r="B16" s="61"/>
      <c r="D16" s="14" t="s">
        <v>22</v>
      </c>
      <c r="E16" s="99" cm="1">
        <f t="array" ref="E16">SUMPRODUCT('Summary - $ &amp; m3'!$R$8:$U$167*(E$2='Summary - $ &amp; m3'!$R$7:$U$7)*(E$1='Summary - $ &amp; m3'!$A$8:$A$167)*($A16='Summary - $ &amp; m3'!$C$8:$C$167))+SUMPRODUCT('Summary - $ &amp; m3'!$R$8:$U$167*(E$2='Summary - $ &amp; m3'!$R$7:$U$7)*(E$1='Summary - $ &amp; m3'!$A$8:$A$167)*($B16='Summary - $ &amp; m3'!$C$8:$C$167))</f>
        <v>12971618</v>
      </c>
      <c r="F16" s="100" cm="1">
        <f t="array" ref="F16">SUMPRODUCT('Summary - $ &amp; m3'!$R$8:$U$167*(F$2='Summary - $ &amp; m3'!$R$7:$U$7)*(F$1='Summary - $ &amp; m3'!$A$8:$A$167)*($A16='Summary - $ &amp; m3'!$C$8:$C$167))+SUMPRODUCT('Summary - $ &amp; m3'!$R$8:$U$167*(F$2='Summary - $ &amp; m3'!$R$7:$U$7)*(F$1='Summary - $ &amp; m3'!$A$8:$A$167)*($B16='Summary - $ &amp; m3'!$C$8:$C$167))</f>
        <v>1744900</v>
      </c>
      <c r="G16" s="100" cm="1">
        <f t="array" ref="G16">SUMPRODUCT('Summary - $ &amp; m3'!$R$8:$U$167*(G$2='Summary - $ &amp; m3'!$R$7:$U$7)*(G$1='Summary - $ &amp; m3'!$A$8:$A$167)*($A16='Summary - $ &amp; m3'!$C$8:$C$167))+SUMPRODUCT('Summary - $ &amp; m3'!$R$8:$U$167*(G$2='Summary - $ &amp; m3'!$R$7:$U$7)*(G$1='Summary - $ &amp; m3'!$A$8:$A$167)*($B16='Summary - $ &amp; m3'!$C$8:$C$167))</f>
        <v>2058820</v>
      </c>
      <c r="H16" s="101">
        <v>0</v>
      </c>
      <c r="I16" s="102">
        <f t="shared" si="0"/>
        <v>16775338</v>
      </c>
      <c r="K16" s="14" t="s">
        <v>22</v>
      </c>
      <c r="L16" s="99" cm="1">
        <f t="array" ref="L16">SUMPRODUCT('Summary - $ &amp; m3'!$R$8:$U$167*(L$2='Summary - $ &amp; m3'!$R$7:$U$7)*(L$1='Summary - $ &amp; m3'!$A$8:$A$167)*($A16='Summary - $ &amp; m3'!$C$8:$C$167))+SUMPRODUCT('Summary - $ &amp; m3'!$R$8:$U$167*(L$2='Summary - $ &amp; m3'!$R$7:$U$7)*(L$1='Summary - $ &amp; m3'!$A$8:$A$167)*($B16='Summary - $ &amp; m3'!$C$8:$C$167))</f>
        <v>14558778</v>
      </c>
      <c r="M16" s="100" cm="1">
        <f t="array" ref="M16">SUMPRODUCT('Summary - $ &amp; m3'!$R$8:$U$167*(M$2='Summary - $ &amp; m3'!$R$7:$U$7)*(M$1='Summary - $ &amp; m3'!$A$8:$A$167)*($A16='Summary - $ &amp; m3'!$C$8:$C$167))+SUMPRODUCT('Summary - $ &amp; m3'!$R$8:$U$167*(M$2='Summary - $ &amp; m3'!$R$7:$U$7)*(M$1='Summary - $ &amp; m3'!$A$8:$A$167)*($B16='Summary - $ &amp; m3'!$C$8:$C$167))</f>
        <v>1852728</v>
      </c>
      <c r="N16" s="100" cm="1">
        <f t="array" ref="N16">SUMPRODUCT('Summary - $ &amp; m3'!$R$8:$U$167*(N$2='Summary - $ &amp; m3'!$R$7:$U$7)*(N$1='Summary - $ &amp; m3'!$A$8:$A$167)*($A16='Summary - $ &amp; m3'!$C$8:$C$167))+SUMPRODUCT('Summary - $ &amp; m3'!$R$8:$U$167*(N$2='Summary - $ &amp; m3'!$R$7:$U$7)*(N$1='Summary - $ &amp; m3'!$A$8:$A$167)*($B16='Summary - $ &amp; m3'!$C$8:$C$167))</f>
        <v>2179697</v>
      </c>
      <c r="O16" s="101" t="s">
        <v>235</v>
      </c>
      <c r="P16" s="102">
        <f t="shared" si="1"/>
        <v>18591203</v>
      </c>
      <c r="R16" s="14" t="s">
        <v>22</v>
      </c>
      <c r="S16" s="99" cm="1">
        <f t="array" ref="S16">SUMPRODUCT('Summary - $ &amp; m3'!$R$8:$U$167*(S$2='Summary - $ &amp; m3'!$R$7:$U$7)*(S$1='Summary - $ &amp; m3'!$A$8:$A$167)*($A16='Summary - $ &amp; m3'!$C$8:$C$167))+SUMPRODUCT('Summary - $ &amp; m3'!$R$8:$U$167*(S$2='Summary - $ &amp; m3'!$R$7:$U$7)*(S$1='Summary - $ &amp; m3'!$A$8:$A$167)*($B16='Summary - $ &amp; m3'!$C$8:$C$167))</f>
        <v>16491888</v>
      </c>
      <c r="T16" s="100" cm="1">
        <f t="array" ref="T16">SUMPRODUCT('Summary - $ &amp; m3'!$R$8:$U$167*(T$2='Summary - $ &amp; m3'!$R$7:$U$7)*(T$1='Summary - $ &amp; m3'!$A$8:$A$167)*($A16='Summary - $ &amp; m3'!$C$8:$C$167))+SUMPRODUCT('Summary - $ &amp; m3'!$R$8:$U$167*(T$2='Summary - $ &amp; m3'!$R$7:$U$7)*(T$1='Summary - $ &amp; m3'!$A$8:$A$167)*($B16='Summary - $ &amp; m3'!$C$8:$C$167))</f>
        <v>1938399</v>
      </c>
      <c r="U16" s="100" cm="1">
        <f t="array" ref="U16">SUMPRODUCT('Summary - $ &amp; m3'!$R$8:$U$167*(U$2='Summary - $ &amp; m3'!$R$7:$U$7)*(U$1='Summary - $ &amp; m3'!$A$8:$A$167)*($A16='Summary - $ &amp; m3'!$C$8:$C$167))+SUMPRODUCT('Summary - $ &amp; m3'!$R$8:$U$167*(U$2='Summary - $ &amp; m3'!$R$7:$U$7)*(U$1='Summary - $ &amp; m3'!$A$8:$A$167)*($B16='Summary - $ &amp; m3'!$C$8:$C$167))</f>
        <v>2273082</v>
      </c>
      <c r="V16" s="101" t="s">
        <v>235</v>
      </c>
      <c r="W16" s="102">
        <f t="shared" si="2"/>
        <v>20703369</v>
      </c>
      <c r="Y16" s="14" t="s">
        <v>22</v>
      </c>
      <c r="Z16" s="99" cm="1">
        <f t="array" ref="Z16">SUMPRODUCT('Summary - $ &amp; m3'!$R$8:$U$167*(Z$2='Summary - $ &amp; m3'!$R$7:$U$7)*(Z$1='Summary - $ &amp; m3'!$A$8:$A$167)*($A16='Summary - $ &amp; m3'!$C$8:$C$167))+SUMPRODUCT('Summary - $ &amp; m3'!$R$8:$U$167*(Z$2='Summary - $ &amp; m3'!$R$7:$U$7)*(Z$1='Summary - $ &amp; m3'!$A$8:$A$167)*($B16='Summary - $ &amp; m3'!$C$8:$C$167))</f>
        <v>18400631</v>
      </c>
      <c r="AA16" s="100" cm="1">
        <f t="array" ref="AA16">SUMPRODUCT('Summary - $ &amp; m3'!$R$8:$U$167*(AA$2='Summary - $ &amp; m3'!$R$7:$U$7)*(AA$1='Summary - $ &amp; m3'!$A$8:$A$167)*($A16='Summary - $ &amp; m3'!$C$8:$C$167))+SUMPRODUCT('Summary - $ &amp; m3'!$R$8:$U$167*(AA$2='Summary - $ &amp; m3'!$R$7:$U$7)*(AA$1='Summary - $ &amp; m3'!$A$8:$A$167)*($B16='Summary - $ &amp; m3'!$C$8:$C$167))</f>
        <v>2112773</v>
      </c>
      <c r="AB16" s="100" cm="1">
        <f t="array" ref="AB16">SUMPRODUCT('Summary - $ &amp; m3'!$R$8:$U$167*(AB$2='Summary - $ &amp; m3'!$R$7:$U$7)*(AB$1='Summary - $ &amp; m3'!$A$8:$A$167)*($A16='Summary - $ &amp; m3'!$C$8:$C$167))+SUMPRODUCT('Summary - $ &amp; m3'!$R$8:$U$167*(AB$2='Summary - $ &amp; m3'!$R$7:$U$7)*(AB$1='Summary - $ &amp; m3'!$A$8:$A$167)*($B16='Summary - $ &amp; m3'!$C$8:$C$167))</f>
        <v>2390399</v>
      </c>
      <c r="AC16" s="101" t="s">
        <v>235</v>
      </c>
      <c r="AD16" s="102">
        <f t="shared" si="3"/>
        <v>22903803</v>
      </c>
    </row>
    <row r="17" spans="1:30" x14ac:dyDescent="0.25">
      <c r="A17" s="61" t="s">
        <v>21</v>
      </c>
      <c r="B17" s="61"/>
      <c r="D17" s="14" t="s">
        <v>21</v>
      </c>
      <c r="E17" s="99" cm="1">
        <f t="array" ref="E17">SUMPRODUCT('Summary - $ &amp; m3'!$R$8:$U$167*(E$2='Summary - $ &amp; m3'!$R$7:$U$7)*(E$1='Summary - $ &amp; m3'!$A$8:$A$167)*($A17='Summary - $ &amp; m3'!$C$8:$C$167))+SUMPRODUCT('Summary - $ &amp; m3'!$R$8:$U$167*(E$2='Summary - $ &amp; m3'!$R$7:$U$7)*(E$1='Summary - $ &amp; m3'!$A$8:$A$167)*($B17='Summary - $ &amp; m3'!$C$8:$C$167))</f>
        <v>7452689</v>
      </c>
      <c r="F17" s="100" cm="1">
        <f t="array" ref="F17">SUMPRODUCT('Summary - $ &amp; m3'!$R$8:$U$167*(F$2='Summary - $ &amp; m3'!$R$7:$U$7)*(F$1='Summary - $ &amp; m3'!$A$8:$A$167)*($A17='Summary - $ &amp; m3'!$C$8:$C$167))+SUMPRODUCT('Summary - $ &amp; m3'!$R$8:$U$167*(F$2='Summary - $ &amp; m3'!$R$7:$U$7)*(F$1='Summary - $ &amp; m3'!$A$8:$A$167)*($B17='Summary - $ &amp; m3'!$C$8:$C$167))</f>
        <v>1020000</v>
      </c>
      <c r="G17" s="100" cm="1">
        <f t="array" ref="G17">SUMPRODUCT('Summary - $ &amp; m3'!$R$8:$U$167*(G$2='Summary - $ &amp; m3'!$R$7:$U$7)*(G$1='Summary - $ &amp; m3'!$A$8:$A$167)*($A17='Summary - $ &amp; m3'!$C$8:$C$167))+SUMPRODUCT('Summary - $ &amp; m3'!$R$8:$U$167*(G$2='Summary - $ &amp; m3'!$R$7:$U$7)*(G$1='Summary - $ &amp; m3'!$A$8:$A$167)*($B17='Summary - $ &amp; m3'!$C$8:$C$167))</f>
        <v>250000</v>
      </c>
      <c r="H17" s="101">
        <v>0</v>
      </c>
      <c r="I17" s="102">
        <f t="shared" si="0"/>
        <v>8722689</v>
      </c>
      <c r="K17" s="14" t="s">
        <v>21</v>
      </c>
      <c r="L17" s="99" cm="1">
        <f t="array" ref="L17">SUMPRODUCT('Summary - $ &amp; m3'!$R$8:$U$167*(L$2='Summary - $ &amp; m3'!$R$7:$U$7)*(L$1='Summary - $ &amp; m3'!$A$8:$A$167)*($A17='Summary - $ &amp; m3'!$C$8:$C$167))+SUMPRODUCT('Summary - $ &amp; m3'!$R$8:$U$167*(L$2='Summary - $ &amp; m3'!$R$7:$U$7)*(L$1='Summary - $ &amp; m3'!$A$8:$A$167)*($B17='Summary - $ &amp; m3'!$C$8:$C$167))</f>
        <v>7961043</v>
      </c>
      <c r="M17" s="100" cm="1">
        <f t="array" ref="M17">SUMPRODUCT('Summary - $ &amp; m3'!$R$8:$U$167*(M$2='Summary - $ &amp; m3'!$R$7:$U$7)*(M$1='Summary - $ &amp; m3'!$A$8:$A$167)*($A17='Summary - $ &amp; m3'!$C$8:$C$167))+SUMPRODUCT('Summary - $ &amp; m3'!$R$8:$U$167*(M$2='Summary - $ &amp; m3'!$R$7:$U$7)*(M$1='Summary - $ &amp; m3'!$A$8:$A$167)*($B17='Summary - $ &amp; m3'!$C$8:$C$167))</f>
        <v>1088404</v>
      </c>
      <c r="N17" s="100" cm="1">
        <f t="array" ref="N17">SUMPRODUCT('Summary - $ &amp; m3'!$R$8:$U$167*(N$2='Summary - $ &amp; m3'!$R$7:$U$7)*(N$1='Summary - $ &amp; m3'!$A$8:$A$167)*($A17='Summary - $ &amp; m3'!$C$8:$C$167))+SUMPRODUCT('Summary - $ &amp; m3'!$R$8:$U$167*(N$2='Summary - $ &amp; m3'!$R$7:$U$7)*(N$1='Summary - $ &amp; m3'!$A$8:$A$167)*($B17='Summary - $ &amp; m3'!$C$8:$C$167))</f>
        <v>279730</v>
      </c>
      <c r="O17" s="101" t="s">
        <v>235</v>
      </c>
      <c r="P17" s="102">
        <f t="shared" si="1"/>
        <v>9329177</v>
      </c>
      <c r="R17" s="14" t="s">
        <v>21</v>
      </c>
      <c r="S17" s="99" cm="1">
        <f t="array" ref="S17">SUMPRODUCT('Summary - $ &amp; m3'!$R$8:$U$167*(S$2='Summary - $ &amp; m3'!$R$7:$U$7)*(S$1='Summary - $ &amp; m3'!$A$8:$A$167)*($A17='Summary - $ &amp; m3'!$C$8:$C$167))+SUMPRODUCT('Summary - $ &amp; m3'!$R$8:$U$167*(S$2='Summary - $ &amp; m3'!$R$7:$U$7)*(S$1='Summary - $ &amp; m3'!$A$8:$A$167)*($B17='Summary - $ &amp; m3'!$C$8:$C$167))</f>
        <v>8815092</v>
      </c>
      <c r="T17" s="100" cm="1">
        <f t="array" ref="T17">SUMPRODUCT('Summary - $ &amp; m3'!$R$8:$U$167*(T$2='Summary - $ &amp; m3'!$R$7:$U$7)*(T$1='Summary - $ &amp; m3'!$A$8:$A$167)*($A17='Summary - $ &amp; m3'!$C$8:$C$167))+SUMPRODUCT('Summary - $ &amp; m3'!$R$8:$U$167*(T$2='Summary - $ &amp; m3'!$R$7:$U$7)*(T$1='Summary - $ &amp; m3'!$A$8:$A$167)*($B17='Summary - $ &amp; m3'!$C$8:$C$167))</f>
        <v>1148512</v>
      </c>
      <c r="U17" s="100" cm="1">
        <f t="array" ref="U17">SUMPRODUCT('Summary - $ &amp; m3'!$R$8:$U$167*(U$2='Summary - $ &amp; m3'!$R$7:$U$7)*(U$1='Summary - $ &amp; m3'!$A$8:$A$167)*($A17='Summary - $ &amp; m3'!$C$8:$C$167))+SUMPRODUCT('Summary - $ &amp; m3'!$R$8:$U$167*(U$2='Summary - $ &amp; m3'!$R$7:$U$7)*(U$1='Summary - $ &amp; m3'!$A$8:$A$167)*($B17='Summary - $ &amp; m3'!$C$8:$C$167))</f>
        <v>310409</v>
      </c>
      <c r="V17" s="101" t="s">
        <v>235</v>
      </c>
      <c r="W17" s="102">
        <f t="shared" si="2"/>
        <v>10274013</v>
      </c>
      <c r="Y17" s="14" t="s">
        <v>21</v>
      </c>
      <c r="Z17" s="99" cm="1">
        <f t="array" ref="Z17">SUMPRODUCT('Summary - $ &amp; m3'!$R$8:$U$167*(Z$2='Summary - $ &amp; m3'!$R$7:$U$7)*(Z$1='Summary - $ &amp; m3'!$A$8:$A$167)*($A17='Summary - $ &amp; m3'!$C$8:$C$167))+SUMPRODUCT('Summary - $ &amp; m3'!$R$8:$U$167*(Z$2='Summary - $ &amp; m3'!$R$7:$U$7)*(Z$1='Summary - $ &amp; m3'!$A$8:$A$167)*($B17='Summary - $ &amp; m3'!$C$8:$C$167))</f>
        <v>9302589</v>
      </c>
      <c r="AA17" s="100" cm="1">
        <f t="array" ref="AA17">SUMPRODUCT('Summary - $ &amp; m3'!$R$8:$U$167*(AA$2='Summary - $ &amp; m3'!$R$7:$U$7)*(AA$1='Summary - $ &amp; m3'!$A$8:$A$167)*($A17='Summary - $ &amp; m3'!$C$8:$C$167))+SUMPRODUCT('Summary - $ &amp; m3'!$R$8:$U$167*(AA$2='Summary - $ &amp; m3'!$R$7:$U$7)*(AA$1='Summary - $ &amp; m3'!$A$8:$A$167)*($B17='Summary - $ &amp; m3'!$C$8:$C$167))</f>
        <v>1199842</v>
      </c>
      <c r="AB17" s="100" cm="1">
        <f t="array" ref="AB17">SUMPRODUCT('Summary - $ &amp; m3'!$R$8:$U$167*(AB$2='Summary - $ &amp; m3'!$R$7:$U$7)*(AB$1='Summary - $ &amp; m3'!$A$8:$A$167)*($A17='Summary - $ &amp; m3'!$C$8:$C$167))+SUMPRODUCT('Summary - $ &amp; m3'!$R$8:$U$167*(AB$2='Summary - $ &amp; m3'!$R$7:$U$7)*(AB$1='Summary - $ &amp; m3'!$A$8:$A$167)*($B17='Summary - $ &amp; m3'!$C$8:$C$167))</f>
        <v>315748</v>
      </c>
      <c r="AC17" s="101" t="s">
        <v>235</v>
      </c>
      <c r="AD17" s="102">
        <f t="shared" si="3"/>
        <v>10818179</v>
      </c>
    </row>
    <row r="18" spans="1:30" hidden="1" outlineLevel="1" x14ac:dyDescent="0.25">
      <c r="A18" s="61" t="s">
        <v>23</v>
      </c>
      <c r="B18" s="61"/>
      <c r="D18" s="14" t="s">
        <v>136</v>
      </c>
      <c r="E18" s="103">
        <v>0</v>
      </c>
      <c r="F18" s="104">
        <v>0</v>
      </c>
      <c r="G18" s="105">
        <v>0</v>
      </c>
      <c r="H18" s="102" cm="1">
        <f t="array" ref="H18">SUMPRODUCT('Summary - $ &amp; m3'!$R$8:$U$167*(H$2='Summary - $ &amp; m3'!$R$7:$U$7)*(H$1='Summary - $ &amp; m3'!$A$8:$A$167)*($A18='Summary - $ &amp; m3'!$C$8:$C$167))+SUMPRODUCT('Summary - $ &amp; m3'!$R$8:$U$167*(H$2='Summary - $ &amp; m3'!$R$7:$U$7)*(H$1='Summary - $ &amp; m3'!$A$8:$A$167)*($B18='Summary - $ &amp; m3'!$C$8:$C$167))</f>
        <v>1838341</v>
      </c>
      <c r="I18" s="102">
        <f t="shared" si="0"/>
        <v>1838341</v>
      </c>
      <c r="K18" s="14" t="s">
        <v>136</v>
      </c>
      <c r="L18" s="103">
        <v>0</v>
      </c>
      <c r="M18" s="104">
        <v>0</v>
      </c>
      <c r="N18" s="105">
        <v>0</v>
      </c>
      <c r="O18" s="102" cm="1">
        <f t="array" ref="O18">SUMPRODUCT('Summary - $ &amp; m3'!$R$8:$U$167*(O$2='Summary - $ &amp; m3'!$R$7:$U$7)*(O$1='Summary - $ &amp; m3'!$A$8:$A$167)*($A18='Summary - $ &amp; m3'!$C$8:$C$167))+SUMPRODUCT('Summary - $ &amp; m3'!$R$8:$U$167*(O$2='Summary - $ &amp; m3'!$R$7:$U$7)*(O$1='Summary - $ &amp; m3'!$A$8:$A$167)*($B18='Summary - $ &amp; m3'!$C$8:$C$167))</f>
        <v>1869961</v>
      </c>
      <c r="P18" s="102">
        <f t="shared" si="1"/>
        <v>1869961</v>
      </c>
      <c r="R18" s="14" t="s">
        <v>136</v>
      </c>
      <c r="S18" s="103">
        <v>0</v>
      </c>
      <c r="T18" s="104">
        <v>0</v>
      </c>
      <c r="U18" s="105">
        <v>0</v>
      </c>
      <c r="V18" s="102" cm="1">
        <f t="array" ref="V18">SUMPRODUCT('Summary - $ &amp; m3'!$R$8:$U$167*(V$2='Summary - $ &amp; m3'!$R$7:$U$7)*(V$1='Summary - $ &amp; m3'!$A$8:$A$167)*($A18='Summary - $ &amp; m3'!$C$8:$C$167))+SUMPRODUCT('Summary - $ &amp; m3'!$R$8:$U$167*(V$2='Summary - $ &amp; m3'!$R$7:$U$7)*(V$1='Summary - $ &amp; m3'!$A$8:$A$167)*($B18='Summary - $ &amp; m3'!$C$8:$C$167))</f>
        <v>1902125</v>
      </c>
      <c r="W18" s="102">
        <f t="shared" si="2"/>
        <v>1902125</v>
      </c>
      <c r="Y18" s="14" t="s">
        <v>136</v>
      </c>
      <c r="Z18" s="103">
        <v>0</v>
      </c>
      <c r="AA18" s="104">
        <v>0</v>
      </c>
      <c r="AB18" s="105">
        <v>0</v>
      </c>
      <c r="AC18" s="102" cm="1">
        <f t="array" ref="AC18">SUMPRODUCT('Summary - $ &amp; m3'!$R$8:$U$167*(AC$2='Summary - $ &amp; m3'!$R$7:$U$7)*(AC$1='Summary - $ &amp; m3'!$A$8:$A$167)*($A18='Summary - $ &amp; m3'!$C$8:$C$167))+SUMPRODUCT('Summary - $ &amp; m3'!$R$8:$U$167*(AC$2='Summary - $ &amp; m3'!$R$7:$U$7)*(AC$1='Summary - $ &amp; m3'!$A$8:$A$167)*($B18='Summary - $ &amp; m3'!$C$8:$C$167))</f>
        <v>1934841</v>
      </c>
      <c r="AD18" s="102">
        <f t="shared" si="3"/>
        <v>1934841</v>
      </c>
    </row>
    <row r="19" spans="1:30" collapsed="1" x14ac:dyDescent="0.25">
      <c r="A19" s="61"/>
      <c r="B19" s="61"/>
      <c r="D19" s="24" t="s">
        <v>314</v>
      </c>
      <c r="E19" s="98">
        <f>SUM(E20:E28)</f>
        <v>32580678</v>
      </c>
      <c r="F19" s="93">
        <f>SUM(F20:F28)</f>
        <v>2127000</v>
      </c>
      <c r="G19" s="93">
        <f>SUM(G20:G28)</f>
        <v>2813206</v>
      </c>
      <c r="H19" s="106">
        <f>SUM(H20:H28)</f>
        <v>5527149</v>
      </c>
      <c r="I19" s="106">
        <f t="shared" si="0"/>
        <v>43048033</v>
      </c>
      <c r="K19" s="24" t="s">
        <v>314</v>
      </c>
      <c r="L19" s="98">
        <f>SUM(L20:L28)</f>
        <v>37445454</v>
      </c>
      <c r="M19" s="93">
        <f>SUM(M20:M28)</f>
        <v>2163584</v>
      </c>
      <c r="N19" s="93">
        <f>SUM(N20:N28)</f>
        <v>3237076</v>
      </c>
      <c r="O19" s="106">
        <f>SUM(O20:O28)</f>
        <v>5622215</v>
      </c>
      <c r="P19" s="106">
        <f t="shared" si="1"/>
        <v>48468329</v>
      </c>
      <c r="R19" s="24" t="s">
        <v>314</v>
      </c>
      <c r="S19" s="98">
        <f>SUM(S20:S28)</f>
        <v>41035499</v>
      </c>
      <c r="T19" s="93">
        <f>SUM(T20:T28)</f>
        <v>2200799</v>
      </c>
      <c r="U19" s="93">
        <f>SUM(U20:U28)</f>
        <v>3498699</v>
      </c>
      <c r="V19" s="106">
        <f>SUM(V20:V28)</f>
        <v>5718918</v>
      </c>
      <c r="W19" s="106">
        <f t="shared" si="2"/>
        <v>52453915</v>
      </c>
      <c r="Y19" s="24" t="s">
        <v>314</v>
      </c>
      <c r="Z19" s="98">
        <f>SUM(Z20:Z28)</f>
        <v>44068148</v>
      </c>
      <c r="AA19" s="93">
        <f>SUM(AA20:AA28)</f>
        <v>2238653</v>
      </c>
      <c r="AB19" s="93">
        <f>SUM(AB20:AB28)</f>
        <v>3713330</v>
      </c>
      <c r="AC19" s="106">
        <f>SUM(AC20:AC28)</f>
        <v>5817283</v>
      </c>
      <c r="AD19" s="106">
        <f t="shared" si="3"/>
        <v>55837414</v>
      </c>
    </row>
    <row r="20" spans="1:30" x14ac:dyDescent="0.25">
      <c r="A20" s="61" t="s">
        <v>9</v>
      </c>
      <c r="B20" s="61"/>
      <c r="D20" s="14" t="s">
        <v>9</v>
      </c>
      <c r="E20" s="99" cm="1">
        <f t="array" ref="E20">SUMPRODUCT('Summary - $ &amp; m3'!$R$8:$U$167*(E$2='Summary - $ &amp; m3'!$R$7:$U$7)*(E$1='Summary - $ &amp; m3'!$A$8:$A$167)*($A20='Summary - $ &amp; m3'!$C$8:$C$167))+SUMPRODUCT('Summary - $ &amp; m3'!$R$8:$U$167*(E$2='Summary - $ &amp; m3'!$R$7:$U$7)*(E$1='Summary - $ &amp; m3'!$A$8:$A$167)*($B20='Summary - $ &amp; m3'!$C$8:$C$167))</f>
        <v>13883782</v>
      </c>
      <c r="F20" s="100" cm="1">
        <f t="array" ref="F20">SUMPRODUCT('Summary - $ &amp; m3'!$R$8:$U$167*(F$2='Summary - $ &amp; m3'!$R$7:$U$7)*(F$1='Summary - $ &amp; m3'!$A$8:$A$167)*($A20='Summary - $ &amp; m3'!$C$8:$C$167))+SUMPRODUCT('Summary - $ &amp; m3'!$R$8:$U$167*(F$2='Summary - $ &amp; m3'!$R$7:$U$7)*(F$1='Summary - $ &amp; m3'!$A$8:$A$167)*($B20='Summary - $ &amp; m3'!$C$8:$C$167))</f>
        <v>639500</v>
      </c>
      <c r="G20" s="100" cm="1">
        <f t="array" ref="G20">SUMPRODUCT('Summary - $ &amp; m3'!$R$8:$U$167*(G$2='Summary - $ &amp; m3'!$R$7:$U$7)*(G$1='Summary - $ &amp; m3'!$A$8:$A$167)*($A20='Summary - $ &amp; m3'!$C$8:$C$167))+SUMPRODUCT('Summary - $ &amp; m3'!$R$8:$U$167*(G$2='Summary - $ &amp; m3'!$R$7:$U$7)*(G$1='Summary - $ &amp; m3'!$A$8:$A$167)*($B20='Summary - $ &amp; m3'!$C$8:$C$167))</f>
        <v>276500</v>
      </c>
      <c r="H20" s="101">
        <v>0</v>
      </c>
      <c r="I20" s="102">
        <f t="shared" si="0"/>
        <v>14799782</v>
      </c>
      <c r="K20" s="14" t="s">
        <v>9</v>
      </c>
      <c r="L20" s="99" cm="1">
        <f t="array" ref="L20">SUMPRODUCT('Summary - $ &amp; m3'!$R$8:$U$167*(L$2='Summary - $ &amp; m3'!$R$7:$U$7)*(L$1='Summary - $ &amp; m3'!$A$8:$A$167)*($A20='Summary - $ &amp; m3'!$C$8:$C$167))+SUMPRODUCT('Summary - $ &amp; m3'!$R$8:$U$167*(L$2='Summary - $ &amp; m3'!$R$7:$U$7)*(L$1='Summary - $ &amp; m3'!$A$8:$A$167)*($B20='Summary - $ &amp; m3'!$C$8:$C$167))</f>
        <v>16367318</v>
      </c>
      <c r="M20" s="100" cm="1">
        <f t="array" ref="M20">SUMPRODUCT('Summary - $ &amp; m3'!$R$8:$U$167*(M$2='Summary - $ &amp; m3'!$R$7:$U$7)*(M$1='Summary - $ &amp; m3'!$A$8:$A$167)*($A20='Summary - $ &amp; m3'!$C$8:$C$167))+SUMPRODUCT('Summary - $ &amp; m3'!$R$8:$U$167*(M$2='Summary - $ &amp; m3'!$R$7:$U$7)*(M$1='Summary - $ &amp; m3'!$A$8:$A$167)*($B20='Summary - $ &amp; m3'!$C$8:$C$167))</f>
        <v>650499</v>
      </c>
      <c r="N20" s="100" cm="1">
        <f t="array" ref="N20">SUMPRODUCT('Summary - $ &amp; m3'!$R$8:$U$167*(N$2='Summary - $ &amp; m3'!$R$7:$U$7)*(N$1='Summary - $ &amp; m3'!$A$8:$A$167)*($A20='Summary - $ &amp; m3'!$C$8:$C$167))+SUMPRODUCT('Summary - $ &amp; m3'!$R$8:$U$167*(N$2='Summary - $ &amp; m3'!$R$7:$U$7)*(N$1='Summary - $ &amp; m3'!$A$8:$A$167)*($B20='Summary - $ &amp; m3'!$C$8:$C$167))</f>
        <v>334405</v>
      </c>
      <c r="O20" s="101">
        <v>0</v>
      </c>
      <c r="P20" s="102">
        <f t="shared" si="1"/>
        <v>17352222</v>
      </c>
      <c r="R20" s="14" t="s">
        <v>9</v>
      </c>
      <c r="S20" s="99" cm="1">
        <f t="array" ref="S20">SUMPRODUCT('Summary - $ &amp; m3'!$R$8:$U$167*(S$2='Summary - $ &amp; m3'!$R$7:$U$7)*(S$1='Summary - $ &amp; m3'!$A$8:$A$167)*($A20='Summary - $ &amp; m3'!$C$8:$C$167))+SUMPRODUCT('Summary - $ &amp; m3'!$R$8:$U$167*(S$2='Summary - $ &amp; m3'!$R$7:$U$7)*(S$1='Summary - $ &amp; m3'!$A$8:$A$167)*($B20='Summary - $ &amp; m3'!$C$8:$C$167))</f>
        <v>18081220</v>
      </c>
      <c r="T20" s="100" cm="1">
        <f t="array" ref="T20">SUMPRODUCT('Summary - $ &amp; m3'!$R$8:$U$167*(T$2='Summary - $ &amp; m3'!$R$7:$U$7)*(T$1='Summary - $ &amp; m3'!$A$8:$A$167)*($A20='Summary - $ &amp; m3'!$C$8:$C$167))+SUMPRODUCT('Summary - $ &amp; m3'!$R$8:$U$167*(T$2='Summary - $ &amp; m3'!$R$7:$U$7)*(T$1='Summary - $ &amp; m3'!$A$8:$A$167)*($B20='Summary - $ &amp; m3'!$C$8:$C$167))</f>
        <v>661688</v>
      </c>
      <c r="U20" s="100" cm="1">
        <f t="array" ref="U20">SUMPRODUCT('Summary - $ &amp; m3'!$R$8:$U$167*(U$2='Summary - $ &amp; m3'!$R$7:$U$7)*(U$1='Summary - $ &amp; m3'!$A$8:$A$167)*($A20='Summary - $ &amp; m3'!$C$8:$C$167))+SUMPRODUCT('Summary - $ &amp; m3'!$R$8:$U$167*(U$2='Summary - $ &amp; m3'!$R$7:$U$7)*(U$1='Summary - $ &amp; m3'!$A$8:$A$167)*($B20='Summary - $ &amp; m3'!$C$8:$C$167))</f>
        <v>380768</v>
      </c>
      <c r="V20" s="101">
        <v>0</v>
      </c>
      <c r="W20" s="102">
        <f t="shared" si="2"/>
        <v>19123676</v>
      </c>
      <c r="Y20" s="14" t="s">
        <v>9</v>
      </c>
      <c r="Z20" s="99" cm="1">
        <f t="array" ref="Z20">SUMPRODUCT('Summary - $ &amp; m3'!$R$8:$U$167*(Z$2='Summary - $ &amp; m3'!$R$7:$U$7)*(Z$1='Summary - $ &amp; m3'!$A$8:$A$167)*($A20='Summary - $ &amp; m3'!$C$8:$C$167))+SUMPRODUCT('Summary - $ &amp; m3'!$R$8:$U$167*(Z$2='Summary - $ &amp; m3'!$R$7:$U$7)*(Z$1='Summary - $ &amp; m3'!$A$8:$A$167)*($B20='Summary - $ &amp; m3'!$C$8:$C$167))</f>
        <v>19689958</v>
      </c>
      <c r="AA20" s="100" cm="1">
        <f t="array" ref="AA20">SUMPRODUCT('Summary - $ &amp; m3'!$R$8:$U$167*(AA$2='Summary - $ &amp; m3'!$R$7:$U$7)*(AA$1='Summary - $ &amp; m3'!$A$8:$A$167)*($A20='Summary - $ &amp; m3'!$C$8:$C$167))+SUMPRODUCT('Summary - $ &amp; m3'!$R$8:$U$167*(AA$2='Summary - $ &amp; m3'!$R$7:$U$7)*(AA$1='Summary - $ &amp; m3'!$A$8:$A$167)*($B20='Summary - $ &amp; m3'!$C$8:$C$167))</f>
        <v>673069</v>
      </c>
      <c r="AB20" s="100" cm="1">
        <f t="array" ref="AB20">SUMPRODUCT('Summary - $ &amp; m3'!$R$8:$U$167*(AB$2='Summary - $ &amp; m3'!$R$7:$U$7)*(AB$1='Summary - $ &amp; m3'!$A$8:$A$167)*($A20='Summary - $ &amp; m3'!$C$8:$C$167))+SUMPRODUCT('Summary - $ &amp; m3'!$R$8:$U$167*(AB$2='Summary - $ &amp; m3'!$R$7:$U$7)*(AB$1='Summary - $ &amp; m3'!$A$8:$A$167)*($B20='Summary - $ &amp; m3'!$C$8:$C$167))</f>
        <v>421260</v>
      </c>
      <c r="AC20" s="101">
        <v>0</v>
      </c>
      <c r="AD20" s="102">
        <f t="shared" si="3"/>
        <v>20784287</v>
      </c>
    </row>
    <row r="21" spans="1:30" x14ac:dyDescent="0.25">
      <c r="A21" s="61" t="s">
        <v>163</v>
      </c>
      <c r="B21" s="61"/>
      <c r="D21" s="14" t="s">
        <v>163</v>
      </c>
      <c r="E21" s="99" cm="1">
        <f t="array" ref="E21">SUMPRODUCT('Summary - $ &amp; m3'!$R$8:$U$167*(E$2='Summary - $ &amp; m3'!$R$7:$U$7)*(E$1='Summary - $ &amp; m3'!$A$8:$A$167)*($A21='Summary - $ &amp; m3'!$C$8:$C$167))+SUMPRODUCT('Summary - $ &amp; m3'!$R$8:$U$167*(E$2='Summary - $ &amp; m3'!$R$7:$U$7)*(E$1='Summary - $ &amp; m3'!$A$8:$A$167)*($B21='Summary - $ &amp; m3'!$C$8:$C$167))</f>
        <v>3934086</v>
      </c>
      <c r="F21" s="100" cm="1">
        <f t="array" ref="F21">SUMPRODUCT('Summary - $ &amp; m3'!$R$8:$U$167*(F$2='Summary - $ &amp; m3'!$R$7:$U$7)*(F$1='Summary - $ &amp; m3'!$A$8:$A$167)*($A21='Summary - $ &amp; m3'!$C$8:$C$167))+SUMPRODUCT('Summary - $ &amp; m3'!$R$8:$U$167*(F$2='Summary - $ &amp; m3'!$R$7:$U$7)*(F$1='Summary - $ &amp; m3'!$A$8:$A$167)*($B21='Summary - $ &amp; m3'!$C$8:$C$167))</f>
        <v>463500</v>
      </c>
      <c r="G21" s="100" cm="1">
        <f t="array" ref="G21">SUMPRODUCT('Summary - $ &amp; m3'!$R$8:$U$167*(G$2='Summary - $ &amp; m3'!$R$7:$U$7)*(G$1='Summary - $ &amp; m3'!$A$8:$A$167)*($A21='Summary - $ &amp; m3'!$C$8:$C$167))+SUMPRODUCT('Summary - $ &amp; m3'!$R$8:$U$167*(G$2='Summary - $ &amp; m3'!$R$7:$U$7)*(G$1='Summary - $ &amp; m3'!$A$8:$A$167)*($B21='Summary - $ &amp; m3'!$C$8:$C$167))</f>
        <v>455600</v>
      </c>
      <c r="H21" s="101">
        <v>0</v>
      </c>
      <c r="I21" s="102">
        <f t="shared" si="0"/>
        <v>4853186</v>
      </c>
      <c r="K21" s="14" t="s">
        <v>163</v>
      </c>
      <c r="L21" s="99" cm="1">
        <f t="array" ref="L21">SUMPRODUCT('Summary - $ &amp; m3'!$R$8:$U$167*(L$2='Summary - $ &amp; m3'!$R$7:$U$7)*(L$1='Summary - $ &amp; m3'!$A$8:$A$167)*($A21='Summary - $ &amp; m3'!$C$8:$C$167))+SUMPRODUCT('Summary - $ &amp; m3'!$R$8:$U$167*(L$2='Summary - $ &amp; m3'!$R$7:$U$7)*(L$1='Summary - $ &amp; m3'!$A$8:$A$167)*($B21='Summary - $ &amp; m3'!$C$8:$C$167))</f>
        <v>4432296</v>
      </c>
      <c r="M21" s="100" cm="1">
        <f t="array" ref="M21">SUMPRODUCT('Summary - $ &amp; m3'!$R$8:$U$167*(M$2='Summary - $ &amp; m3'!$R$7:$U$7)*(M$1='Summary - $ &amp; m3'!$A$8:$A$167)*($A21='Summary - $ &amp; m3'!$C$8:$C$167))+SUMPRODUCT('Summary - $ &amp; m3'!$R$8:$U$167*(M$2='Summary - $ &amp; m3'!$R$7:$U$7)*(M$1='Summary - $ &amp; m3'!$A$8:$A$167)*($B21='Summary - $ &amp; m3'!$C$8:$C$167))</f>
        <v>471472</v>
      </c>
      <c r="N21" s="100" cm="1">
        <f t="array" ref="N21">SUMPRODUCT('Summary - $ &amp; m3'!$R$8:$U$167*(N$2='Summary - $ &amp; m3'!$R$7:$U$7)*(N$1='Summary - $ &amp; m3'!$A$8:$A$167)*($A21='Summary - $ &amp; m3'!$C$8:$C$167))+SUMPRODUCT('Summary - $ &amp; m3'!$R$8:$U$167*(N$2='Summary - $ &amp; m3'!$R$7:$U$7)*(N$1='Summary - $ &amp; m3'!$A$8:$A$167)*($B21='Summary - $ &amp; m3'!$C$8:$C$167))</f>
        <v>514296</v>
      </c>
      <c r="O21" s="101">
        <v>0</v>
      </c>
      <c r="P21" s="102">
        <f t="shared" si="1"/>
        <v>5418064</v>
      </c>
      <c r="R21" s="14" t="s">
        <v>163</v>
      </c>
      <c r="S21" s="99" cm="1">
        <f t="array" ref="S21">SUMPRODUCT('Summary - $ &amp; m3'!$R$8:$U$167*(S$2='Summary - $ &amp; m3'!$R$7:$U$7)*(S$1='Summary - $ &amp; m3'!$A$8:$A$167)*($A21='Summary - $ &amp; m3'!$C$8:$C$167))+SUMPRODUCT('Summary - $ &amp; m3'!$R$8:$U$167*(S$2='Summary - $ &amp; m3'!$R$7:$U$7)*(S$1='Summary - $ &amp; m3'!$A$8:$A$167)*($B21='Summary - $ &amp; m3'!$C$8:$C$167))</f>
        <v>4969196</v>
      </c>
      <c r="T21" s="100" cm="1">
        <f t="array" ref="T21">SUMPRODUCT('Summary - $ &amp; m3'!$R$8:$U$167*(T$2='Summary - $ &amp; m3'!$R$7:$U$7)*(T$1='Summary - $ &amp; m3'!$A$8:$A$167)*($A21='Summary - $ &amp; m3'!$C$8:$C$167))+SUMPRODUCT('Summary - $ &amp; m3'!$R$8:$U$167*(T$2='Summary - $ &amp; m3'!$R$7:$U$7)*(T$1='Summary - $ &amp; m3'!$A$8:$A$167)*($B21='Summary - $ &amp; m3'!$C$8:$C$167))</f>
        <v>479582</v>
      </c>
      <c r="U21" s="100" cm="1">
        <f t="array" ref="U21">SUMPRODUCT('Summary - $ &amp; m3'!$R$8:$U$167*(U$2='Summary - $ &amp; m3'!$R$7:$U$7)*(U$1='Summary - $ &amp; m3'!$A$8:$A$167)*($A21='Summary - $ &amp; m3'!$C$8:$C$167))+SUMPRODUCT('Summary - $ &amp; m3'!$R$8:$U$167*(U$2='Summary - $ &amp; m3'!$R$7:$U$7)*(U$1='Summary - $ &amp; m3'!$A$8:$A$167)*($B21='Summary - $ &amp; m3'!$C$8:$C$167))</f>
        <v>575291</v>
      </c>
      <c r="V21" s="101">
        <v>0</v>
      </c>
      <c r="W21" s="102">
        <f t="shared" si="2"/>
        <v>6024069</v>
      </c>
      <c r="Y21" s="14" t="s">
        <v>163</v>
      </c>
      <c r="Z21" s="99" cm="1">
        <f t="array" ref="Z21">SUMPRODUCT('Summary - $ &amp; m3'!$R$8:$U$167*(Z$2='Summary - $ &amp; m3'!$R$7:$U$7)*(Z$1='Summary - $ &amp; m3'!$A$8:$A$167)*($A21='Summary - $ &amp; m3'!$C$8:$C$167))+SUMPRODUCT('Summary - $ &amp; m3'!$R$8:$U$167*(Z$2='Summary - $ &amp; m3'!$R$7:$U$7)*(Z$1='Summary - $ &amp; m3'!$A$8:$A$167)*($B21='Summary - $ &amp; m3'!$C$8:$C$167))</f>
        <v>5320426</v>
      </c>
      <c r="AA21" s="100" cm="1">
        <f t="array" ref="AA21">SUMPRODUCT('Summary - $ &amp; m3'!$R$8:$U$167*(AA$2='Summary - $ &amp; m3'!$R$7:$U$7)*(AA$1='Summary - $ &amp; m3'!$A$8:$A$167)*($A21='Summary - $ &amp; m3'!$C$8:$C$167))+SUMPRODUCT('Summary - $ &amp; m3'!$R$8:$U$167*(AA$2='Summary - $ &amp; m3'!$R$7:$U$7)*(AA$1='Summary - $ &amp; m3'!$A$8:$A$167)*($B21='Summary - $ &amp; m3'!$C$8:$C$167))</f>
        <v>487830</v>
      </c>
      <c r="AB21" s="100" cm="1">
        <f t="array" ref="AB21">SUMPRODUCT('Summary - $ &amp; m3'!$R$8:$U$167*(AB$2='Summary - $ &amp; m3'!$R$7:$U$7)*(AB$1='Summary - $ &amp; m3'!$A$8:$A$167)*($A21='Summary - $ &amp; m3'!$C$8:$C$167))+SUMPRODUCT('Summary - $ &amp; m3'!$R$8:$U$167*(AB$2='Summary - $ &amp; m3'!$R$7:$U$7)*(AB$1='Summary - $ &amp; m3'!$A$8:$A$167)*($B21='Summary - $ &amp; m3'!$C$8:$C$167))</f>
        <v>614445</v>
      </c>
      <c r="AC21" s="101">
        <v>0</v>
      </c>
      <c r="AD21" s="102">
        <f t="shared" si="3"/>
        <v>6422701</v>
      </c>
    </row>
    <row r="22" spans="1:30" x14ac:dyDescent="0.25">
      <c r="A22" s="61" t="s">
        <v>164</v>
      </c>
      <c r="B22" s="61"/>
      <c r="D22" s="14" t="s">
        <v>164</v>
      </c>
      <c r="E22" s="99" cm="1">
        <f t="array" ref="E22">SUMPRODUCT('Summary - $ &amp; m3'!$R$8:$U$167*(E$2='Summary - $ &amp; m3'!$R$7:$U$7)*(E$1='Summary - $ &amp; m3'!$A$8:$A$167)*($A22='Summary - $ &amp; m3'!$C$8:$C$167))+SUMPRODUCT('Summary - $ &amp; m3'!$R$8:$U$167*(E$2='Summary - $ &amp; m3'!$R$7:$U$7)*(E$1='Summary - $ &amp; m3'!$A$8:$A$167)*($B22='Summary - $ &amp; m3'!$C$8:$C$167))</f>
        <v>10023833</v>
      </c>
      <c r="F22" s="100" cm="1">
        <f t="array" ref="F22">SUMPRODUCT('Summary - $ &amp; m3'!$R$8:$U$167*(F$2='Summary - $ &amp; m3'!$R$7:$U$7)*(F$1='Summary - $ &amp; m3'!$A$8:$A$167)*($A22='Summary - $ &amp; m3'!$C$8:$C$167))+SUMPRODUCT('Summary - $ &amp; m3'!$R$8:$U$167*(F$2='Summary - $ &amp; m3'!$R$7:$U$7)*(F$1='Summary - $ &amp; m3'!$A$8:$A$167)*($B22='Summary - $ &amp; m3'!$C$8:$C$167))</f>
        <v>411500</v>
      </c>
      <c r="G22" s="100" cm="1">
        <f t="array" ref="G22">SUMPRODUCT('Summary - $ &amp; m3'!$R$8:$U$167*(G$2='Summary - $ &amp; m3'!$R$7:$U$7)*(G$1='Summary - $ &amp; m3'!$A$8:$A$167)*($A22='Summary - $ &amp; m3'!$C$8:$C$167))+SUMPRODUCT('Summary - $ &amp; m3'!$R$8:$U$167*(G$2='Summary - $ &amp; m3'!$R$7:$U$7)*(G$1='Summary - $ &amp; m3'!$A$8:$A$167)*($B22='Summary - $ &amp; m3'!$C$8:$C$167))</f>
        <v>516800</v>
      </c>
      <c r="H22" s="101">
        <v>0</v>
      </c>
      <c r="I22" s="102">
        <f t="shared" si="0"/>
        <v>10952133</v>
      </c>
      <c r="K22" s="14" t="s">
        <v>164</v>
      </c>
      <c r="L22" s="99" cm="1">
        <f t="array" ref="L22">SUMPRODUCT('Summary - $ &amp; m3'!$R$8:$U$167*(L$2='Summary - $ &amp; m3'!$R$7:$U$7)*(L$1='Summary - $ &amp; m3'!$A$8:$A$167)*($A22='Summary - $ &amp; m3'!$C$8:$C$167))+SUMPRODUCT('Summary - $ &amp; m3'!$R$8:$U$167*(L$2='Summary - $ &amp; m3'!$R$7:$U$7)*(L$1='Summary - $ &amp; m3'!$A$8:$A$167)*($B22='Summary - $ &amp; m3'!$C$8:$C$167))</f>
        <v>11328015</v>
      </c>
      <c r="M22" s="100" cm="1">
        <f t="array" ref="M22">SUMPRODUCT('Summary - $ &amp; m3'!$R$8:$U$167*(M$2='Summary - $ &amp; m3'!$R$7:$U$7)*(M$1='Summary - $ &amp; m3'!$A$8:$A$167)*($A22='Summary - $ &amp; m3'!$C$8:$C$167))+SUMPRODUCT('Summary - $ &amp; m3'!$R$8:$U$167*(M$2='Summary - $ &amp; m3'!$R$7:$U$7)*(M$1='Summary - $ &amp; m3'!$A$8:$A$167)*($B22='Summary - $ &amp; m3'!$C$8:$C$167))</f>
        <v>418578</v>
      </c>
      <c r="N22" s="100" cm="1">
        <f t="array" ref="N22">SUMPRODUCT('Summary - $ &amp; m3'!$R$8:$U$167*(N$2='Summary - $ &amp; m3'!$R$7:$U$7)*(N$1='Summary - $ &amp; m3'!$A$8:$A$167)*($A22='Summary - $ &amp; m3'!$C$8:$C$167))+SUMPRODUCT('Summary - $ &amp; m3'!$R$8:$U$167*(N$2='Summary - $ &amp; m3'!$R$7:$U$7)*(N$1='Summary - $ &amp; m3'!$A$8:$A$167)*($B22='Summary - $ &amp; m3'!$C$8:$C$167))</f>
        <v>607675</v>
      </c>
      <c r="O22" s="101">
        <v>0</v>
      </c>
      <c r="P22" s="102">
        <f t="shared" si="1"/>
        <v>12354268</v>
      </c>
      <c r="R22" s="14" t="s">
        <v>164</v>
      </c>
      <c r="S22" s="99" cm="1">
        <f t="array" ref="S22">SUMPRODUCT('Summary - $ &amp; m3'!$R$8:$U$167*(S$2='Summary - $ &amp; m3'!$R$7:$U$7)*(S$1='Summary - $ &amp; m3'!$A$8:$A$167)*($A22='Summary - $ &amp; m3'!$C$8:$C$167))+SUMPRODUCT('Summary - $ &amp; m3'!$R$8:$U$167*(S$2='Summary - $ &amp; m3'!$R$7:$U$7)*(S$1='Summary - $ &amp; m3'!$A$8:$A$167)*($B22='Summary - $ &amp; m3'!$C$8:$C$167))</f>
        <v>12166684</v>
      </c>
      <c r="T22" s="100" cm="1">
        <f t="array" ref="T22">SUMPRODUCT('Summary - $ &amp; m3'!$R$8:$U$167*(T$2='Summary - $ &amp; m3'!$R$7:$U$7)*(T$1='Summary - $ &amp; m3'!$A$8:$A$167)*($A22='Summary - $ &amp; m3'!$C$8:$C$167))+SUMPRODUCT('Summary - $ &amp; m3'!$R$8:$U$167*(T$2='Summary - $ &amp; m3'!$R$7:$U$7)*(T$1='Summary - $ &amp; m3'!$A$8:$A$167)*($B22='Summary - $ &amp; m3'!$C$8:$C$167))</f>
        <v>425778</v>
      </c>
      <c r="U22" s="100" cm="1">
        <f t="array" ref="U22">SUMPRODUCT('Summary - $ &amp; m3'!$R$8:$U$167*(U$2='Summary - $ &amp; m3'!$R$7:$U$7)*(U$1='Summary - $ &amp; m3'!$A$8:$A$167)*($A22='Summary - $ &amp; m3'!$C$8:$C$167))+SUMPRODUCT('Summary - $ &amp; m3'!$R$8:$U$167*(U$2='Summary - $ &amp; m3'!$R$7:$U$7)*(U$1='Summary - $ &amp; m3'!$A$8:$A$167)*($B22='Summary - $ &amp; m3'!$C$8:$C$167))</f>
        <v>654756</v>
      </c>
      <c r="V22" s="101">
        <v>0</v>
      </c>
      <c r="W22" s="102">
        <f t="shared" si="2"/>
        <v>13247218</v>
      </c>
      <c r="Y22" s="14" t="s">
        <v>164</v>
      </c>
      <c r="Z22" s="99" cm="1">
        <f t="array" ref="Z22">SUMPRODUCT('Summary - $ &amp; m3'!$R$8:$U$167*(Z$2='Summary - $ &amp; m3'!$R$7:$U$7)*(Z$1='Summary - $ &amp; m3'!$A$8:$A$167)*($A22='Summary - $ &amp; m3'!$C$8:$C$167))+SUMPRODUCT('Summary - $ &amp; m3'!$R$8:$U$167*(Z$2='Summary - $ &amp; m3'!$R$7:$U$7)*(Z$1='Summary - $ &amp; m3'!$A$8:$A$167)*($B22='Summary - $ &amp; m3'!$C$8:$C$167))</f>
        <v>12756070</v>
      </c>
      <c r="AA22" s="100" cm="1">
        <f t="array" ref="AA22">SUMPRODUCT('Summary - $ &amp; m3'!$R$8:$U$167*(AA$2='Summary - $ &amp; m3'!$R$7:$U$7)*(AA$1='Summary - $ &amp; m3'!$A$8:$A$167)*($A22='Summary - $ &amp; m3'!$C$8:$C$167))+SUMPRODUCT('Summary - $ &amp; m3'!$R$8:$U$167*(AA$2='Summary - $ &amp; m3'!$R$7:$U$7)*(AA$1='Summary - $ &amp; m3'!$A$8:$A$167)*($B22='Summary - $ &amp; m3'!$C$8:$C$167))</f>
        <v>433101</v>
      </c>
      <c r="AB22" s="100" cm="1">
        <f t="array" ref="AB22">SUMPRODUCT('Summary - $ &amp; m3'!$R$8:$U$167*(AB$2='Summary - $ &amp; m3'!$R$7:$U$7)*(AB$1='Summary - $ &amp; m3'!$A$8:$A$167)*($A22='Summary - $ &amp; m3'!$C$8:$C$167))+SUMPRODUCT('Summary - $ &amp; m3'!$R$8:$U$167*(AB$2='Summary - $ &amp; m3'!$R$7:$U$7)*(AB$1='Summary - $ &amp; m3'!$A$8:$A$167)*($B22='Summary - $ &amp; m3'!$C$8:$C$167))</f>
        <v>691067</v>
      </c>
      <c r="AC22" s="101">
        <v>0</v>
      </c>
      <c r="AD22" s="102">
        <f t="shared" si="3"/>
        <v>13880238</v>
      </c>
    </row>
    <row r="23" spans="1:30" x14ac:dyDescent="0.25">
      <c r="A23" s="61" t="s">
        <v>165</v>
      </c>
      <c r="B23" s="61"/>
      <c r="D23" s="14" t="s">
        <v>165</v>
      </c>
      <c r="E23" s="99" cm="1">
        <f t="array" ref="E23">SUMPRODUCT('Summary - $ &amp; m3'!$R$8:$U$167*(E$2='Summary - $ &amp; m3'!$R$7:$U$7)*(E$1='Summary - $ &amp; m3'!$A$8:$A$167)*($A23='Summary - $ &amp; m3'!$C$8:$C$167))+SUMPRODUCT('Summary - $ &amp; m3'!$R$8:$U$167*(E$2='Summary - $ &amp; m3'!$R$7:$U$7)*(E$1='Summary - $ &amp; m3'!$A$8:$A$167)*($B23='Summary - $ &amp; m3'!$C$8:$C$167))</f>
        <v>2114178</v>
      </c>
      <c r="F23" s="100" cm="1">
        <f t="array" ref="F23">SUMPRODUCT('Summary - $ &amp; m3'!$R$8:$U$167*(F$2='Summary - $ &amp; m3'!$R$7:$U$7)*(F$1='Summary - $ &amp; m3'!$A$8:$A$167)*($A23='Summary - $ &amp; m3'!$C$8:$C$167))+SUMPRODUCT('Summary - $ &amp; m3'!$R$8:$U$167*(F$2='Summary - $ &amp; m3'!$R$7:$U$7)*(F$1='Summary - $ &amp; m3'!$A$8:$A$167)*($B23='Summary - $ &amp; m3'!$C$8:$C$167))</f>
        <v>367500</v>
      </c>
      <c r="G23" s="100" cm="1">
        <f t="array" ref="G23">SUMPRODUCT('Summary - $ &amp; m3'!$R$8:$U$167*(G$2='Summary - $ &amp; m3'!$R$7:$U$7)*(G$1='Summary - $ &amp; m3'!$A$8:$A$167)*($A23='Summary - $ &amp; m3'!$C$8:$C$167))+SUMPRODUCT('Summary - $ &amp; m3'!$R$8:$U$167*(G$2='Summary - $ &amp; m3'!$R$7:$U$7)*(G$1='Summary - $ &amp; m3'!$A$8:$A$167)*($B23='Summary - $ &amp; m3'!$C$8:$C$167))</f>
        <v>875500</v>
      </c>
      <c r="H23" s="101">
        <v>0</v>
      </c>
      <c r="I23" s="102">
        <f t="shared" si="0"/>
        <v>3357178</v>
      </c>
      <c r="K23" s="14" t="s">
        <v>165</v>
      </c>
      <c r="L23" s="99" cm="1">
        <f t="array" ref="L23">SUMPRODUCT('Summary - $ &amp; m3'!$R$8:$U$167*(L$2='Summary - $ &amp; m3'!$R$7:$U$7)*(L$1='Summary - $ &amp; m3'!$A$8:$A$167)*($A23='Summary - $ &amp; m3'!$C$8:$C$167))+SUMPRODUCT('Summary - $ &amp; m3'!$R$8:$U$167*(L$2='Summary - $ &amp; m3'!$R$7:$U$7)*(L$1='Summary - $ &amp; m3'!$A$8:$A$167)*($B23='Summary - $ &amp; m3'!$C$8:$C$167))</f>
        <v>2480745</v>
      </c>
      <c r="M23" s="100" cm="1">
        <f t="array" ref="M23">SUMPRODUCT('Summary - $ &amp; m3'!$R$8:$U$167*(M$2='Summary - $ &amp; m3'!$R$7:$U$7)*(M$1='Summary - $ &amp; m3'!$A$8:$A$167)*($A23='Summary - $ &amp; m3'!$C$8:$C$167))+SUMPRODUCT('Summary - $ &amp; m3'!$R$8:$U$167*(M$2='Summary - $ &amp; m3'!$R$7:$U$7)*(M$1='Summary - $ &amp; m3'!$A$8:$A$167)*($B23='Summary - $ &amp; m3'!$C$8:$C$167))</f>
        <v>373821</v>
      </c>
      <c r="N23" s="100" cm="1">
        <f t="array" ref="N23">SUMPRODUCT('Summary - $ &amp; m3'!$R$8:$U$167*(N$2='Summary - $ &amp; m3'!$R$7:$U$7)*(N$1='Summary - $ &amp; m3'!$A$8:$A$167)*($A23='Summary - $ &amp; m3'!$C$8:$C$167))+SUMPRODUCT('Summary - $ &amp; m3'!$R$8:$U$167*(N$2='Summary - $ &amp; m3'!$R$7:$U$7)*(N$1='Summary - $ &amp; m3'!$A$8:$A$167)*($B23='Summary - $ &amp; m3'!$C$8:$C$167))</f>
        <v>1056362</v>
      </c>
      <c r="O23" s="101">
        <v>0</v>
      </c>
      <c r="P23" s="102">
        <f t="shared" si="1"/>
        <v>3910928</v>
      </c>
      <c r="R23" s="14" t="s">
        <v>165</v>
      </c>
      <c r="S23" s="99" cm="1">
        <f t="array" ref="S23">SUMPRODUCT('Summary - $ &amp; m3'!$R$8:$U$167*(S$2='Summary - $ &amp; m3'!$R$7:$U$7)*(S$1='Summary - $ &amp; m3'!$A$8:$A$167)*($A23='Summary - $ &amp; m3'!$C$8:$C$167))+SUMPRODUCT('Summary - $ &amp; m3'!$R$8:$U$167*(S$2='Summary - $ &amp; m3'!$R$7:$U$7)*(S$1='Summary - $ &amp; m3'!$A$8:$A$167)*($B23='Summary - $ &amp; m3'!$C$8:$C$167))</f>
        <v>2783877</v>
      </c>
      <c r="T23" s="100" cm="1">
        <f t="array" ref="T23">SUMPRODUCT('Summary - $ &amp; m3'!$R$8:$U$167*(T$2='Summary - $ &amp; m3'!$R$7:$U$7)*(T$1='Summary - $ &amp; m3'!$A$8:$A$167)*($A23='Summary - $ &amp; m3'!$C$8:$C$167))+SUMPRODUCT('Summary - $ &amp; m3'!$R$8:$U$167*(T$2='Summary - $ &amp; m3'!$R$7:$U$7)*(T$1='Summary - $ &amp; m3'!$A$8:$A$167)*($B23='Summary - $ &amp; m3'!$C$8:$C$167))</f>
        <v>380250</v>
      </c>
      <c r="U23" s="100" cm="1">
        <f t="array" ref="U23">SUMPRODUCT('Summary - $ &amp; m3'!$R$8:$U$167*(U$2='Summary - $ &amp; m3'!$R$7:$U$7)*(U$1='Summary - $ &amp; m3'!$A$8:$A$167)*($A23='Summary - $ &amp; m3'!$C$8:$C$167))+SUMPRODUCT('Summary - $ &amp; m3'!$R$8:$U$167*(U$2='Summary - $ &amp; m3'!$R$7:$U$7)*(U$1='Summary - $ &amp; m3'!$A$8:$A$167)*($B23='Summary - $ &amp; m3'!$C$8:$C$167))</f>
        <v>1157824</v>
      </c>
      <c r="V23" s="101">
        <v>0</v>
      </c>
      <c r="W23" s="102">
        <f t="shared" si="2"/>
        <v>4321951</v>
      </c>
      <c r="Y23" s="14" t="s">
        <v>165</v>
      </c>
      <c r="Z23" s="99" cm="1">
        <f t="array" ref="Z23">SUMPRODUCT('Summary - $ &amp; m3'!$R$8:$U$167*(Z$2='Summary - $ &amp; m3'!$R$7:$U$7)*(Z$1='Summary - $ &amp; m3'!$A$8:$A$167)*($A23='Summary - $ &amp; m3'!$C$8:$C$167))+SUMPRODUCT('Summary - $ &amp; m3'!$R$8:$U$167*(Z$2='Summary - $ &amp; m3'!$R$7:$U$7)*(Z$1='Summary - $ &amp; m3'!$A$8:$A$167)*($B23='Summary - $ &amp; m3'!$C$8:$C$167))</f>
        <v>2980583</v>
      </c>
      <c r="AA23" s="100" cm="1">
        <f t="array" ref="AA23">SUMPRODUCT('Summary - $ &amp; m3'!$R$8:$U$167*(AA$2='Summary - $ &amp; m3'!$R$7:$U$7)*(AA$1='Summary - $ &amp; m3'!$A$8:$A$167)*($A23='Summary - $ &amp; m3'!$C$8:$C$167))+SUMPRODUCT('Summary - $ &amp; m3'!$R$8:$U$167*(AA$2='Summary - $ &amp; m3'!$R$7:$U$7)*(AA$1='Summary - $ &amp; m3'!$A$8:$A$167)*($B23='Summary - $ &amp; m3'!$C$8:$C$167))</f>
        <v>386791</v>
      </c>
      <c r="AB23" s="100" cm="1">
        <f t="array" ref="AB23">SUMPRODUCT('Summary - $ &amp; m3'!$R$8:$U$167*(AB$2='Summary - $ &amp; m3'!$R$7:$U$7)*(AB$1='Summary - $ &amp; m3'!$A$8:$A$167)*($A23='Summary - $ &amp; m3'!$C$8:$C$167))+SUMPRODUCT('Summary - $ &amp; m3'!$R$8:$U$167*(AB$2='Summary - $ &amp; m3'!$R$7:$U$7)*(AB$1='Summary - $ &amp; m3'!$A$8:$A$167)*($B23='Summary - $ &amp; m3'!$C$8:$C$167))</f>
        <v>1241120</v>
      </c>
      <c r="AC23" s="101">
        <v>0</v>
      </c>
      <c r="AD23" s="102">
        <f t="shared" si="3"/>
        <v>4608494</v>
      </c>
    </row>
    <row r="24" spans="1:30" x14ac:dyDescent="0.25">
      <c r="A24" s="61" t="s">
        <v>166</v>
      </c>
      <c r="B24" s="61"/>
      <c r="D24" s="14" t="s">
        <v>166</v>
      </c>
      <c r="E24" s="99" cm="1">
        <f t="array" ref="E24">SUMPRODUCT('Summary - $ &amp; m3'!$R$8:$U$167*(E$2='Summary - $ &amp; m3'!$R$7:$U$7)*(E$1='Summary - $ &amp; m3'!$A$8:$A$167)*($A24='Summary - $ &amp; m3'!$C$8:$C$167))+SUMPRODUCT('Summary - $ &amp; m3'!$R$8:$U$167*(E$2='Summary - $ &amp; m3'!$R$7:$U$7)*(E$1='Summary - $ &amp; m3'!$A$8:$A$167)*($B24='Summary - $ &amp; m3'!$C$8:$C$167))</f>
        <v>246930</v>
      </c>
      <c r="F24" s="100" cm="1">
        <f t="array" ref="F24">SUMPRODUCT('Summary - $ &amp; m3'!$R$8:$U$167*(F$2='Summary - $ &amp; m3'!$R$7:$U$7)*(F$1='Summary - $ &amp; m3'!$A$8:$A$167)*($A24='Summary - $ &amp; m3'!$C$8:$C$167))+SUMPRODUCT('Summary - $ &amp; m3'!$R$8:$U$167*(F$2='Summary - $ &amp; m3'!$R$7:$U$7)*(F$1='Summary - $ &amp; m3'!$A$8:$A$167)*($B24='Summary - $ &amp; m3'!$C$8:$C$167))</f>
        <v>100000</v>
      </c>
      <c r="G24" s="100" cm="1">
        <f t="array" ref="G24">SUMPRODUCT('Summary - $ &amp; m3'!$R$8:$U$167*(G$2='Summary - $ &amp; m3'!$R$7:$U$7)*(G$1='Summary - $ &amp; m3'!$A$8:$A$167)*($A24='Summary - $ &amp; m3'!$C$8:$C$167))+SUMPRODUCT('Summary - $ &amp; m3'!$R$8:$U$167*(G$2='Summary - $ &amp; m3'!$R$7:$U$7)*(G$1='Summary - $ &amp; m3'!$A$8:$A$167)*($B24='Summary - $ &amp; m3'!$C$8:$C$167))</f>
        <v>226000</v>
      </c>
      <c r="H24" s="101">
        <v>0</v>
      </c>
      <c r="I24" s="102">
        <f t="shared" si="0"/>
        <v>572930</v>
      </c>
      <c r="K24" s="14" t="s">
        <v>166</v>
      </c>
      <c r="L24" s="99" cm="1">
        <f t="array" ref="L24">SUMPRODUCT('Summary - $ &amp; m3'!$R$8:$U$167*(L$2='Summary - $ &amp; m3'!$R$7:$U$7)*(L$1='Summary - $ &amp; m3'!$A$8:$A$167)*($A24='Summary - $ &amp; m3'!$C$8:$C$167))+SUMPRODUCT('Summary - $ &amp; m3'!$R$8:$U$167*(L$2='Summary - $ &amp; m3'!$R$7:$U$7)*(L$1='Summary - $ &amp; m3'!$A$8:$A$167)*($B24='Summary - $ &amp; m3'!$C$8:$C$167))</f>
        <v>374254</v>
      </c>
      <c r="M24" s="100" cm="1">
        <f t="array" ref="M24">SUMPRODUCT('Summary - $ &amp; m3'!$R$8:$U$167*(M$2='Summary - $ &amp; m3'!$R$7:$U$7)*(M$1='Summary - $ &amp; m3'!$A$8:$A$167)*($A24='Summary - $ &amp; m3'!$C$8:$C$167))+SUMPRODUCT('Summary - $ &amp; m3'!$R$8:$U$167*(M$2='Summary - $ &amp; m3'!$R$7:$U$7)*(M$1='Summary - $ &amp; m3'!$A$8:$A$167)*($B24='Summary - $ &amp; m3'!$C$8:$C$167))</f>
        <v>101720</v>
      </c>
      <c r="N24" s="100" cm="1">
        <f t="array" ref="N24">SUMPRODUCT('Summary - $ &amp; m3'!$R$8:$U$167*(N$2='Summary - $ &amp; m3'!$R$7:$U$7)*(N$1='Summary - $ &amp; m3'!$A$8:$A$167)*($A24='Summary - $ &amp; m3'!$C$8:$C$167))+SUMPRODUCT('Summary - $ &amp; m3'!$R$8:$U$167*(N$2='Summary - $ &amp; m3'!$R$7:$U$7)*(N$1='Summary - $ &amp; m3'!$A$8:$A$167)*($B24='Summary - $ &amp; m3'!$C$8:$C$167))</f>
        <v>247180</v>
      </c>
      <c r="O24" s="101">
        <v>0</v>
      </c>
      <c r="P24" s="102">
        <f t="shared" si="1"/>
        <v>723154</v>
      </c>
      <c r="R24" s="14" t="s">
        <v>166</v>
      </c>
      <c r="S24" s="99" cm="1">
        <f t="array" ref="S24">SUMPRODUCT('Summary - $ &amp; m3'!$R$8:$U$167*(S$2='Summary - $ &amp; m3'!$R$7:$U$7)*(S$1='Summary - $ &amp; m3'!$A$8:$A$167)*($A24='Summary - $ &amp; m3'!$C$8:$C$167))+SUMPRODUCT('Summary - $ &amp; m3'!$R$8:$U$167*(S$2='Summary - $ &amp; m3'!$R$7:$U$7)*(S$1='Summary - $ &amp; m3'!$A$8:$A$167)*($B24='Summary - $ &amp; m3'!$C$8:$C$167))</f>
        <v>403278</v>
      </c>
      <c r="T24" s="100" cm="1">
        <f t="array" ref="T24">SUMPRODUCT('Summary - $ &amp; m3'!$R$8:$U$167*(T$2='Summary - $ &amp; m3'!$R$7:$U$7)*(T$1='Summary - $ &amp; m3'!$A$8:$A$167)*($A24='Summary - $ &amp; m3'!$C$8:$C$167))+SUMPRODUCT('Summary - $ &amp; m3'!$R$8:$U$167*(T$2='Summary - $ &amp; m3'!$R$7:$U$7)*(T$1='Summary - $ &amp; m3'!$A$8:$A$167)*($B24='Summary - $ &amp; m3'!$C$8:$C$167))</f>
        <v>103470</v>
      </c>
      <c r="U24" s="100" cm="1">
        <f t="array" ref="U24">SUMPRODUCT('Summary - $ &amp; m3'!$R$8:$U$167*(U$2='Summary - $ &amp; m3'!$R$7:$U$7)*(U$1='Summary - $ &amp; m3'!$A$8:$A$167)*($A24='Summary - $ &amp; m3'!$C$8:$C$167))+SUMPRODUCT('Summary - $ &amp; m3'!$R$8:$U$167*(U$2='Summary - $ &amp; m3'!$R$7:$U$7)*(U$1='Summary - $ &amp; m3'!$A$8:$A$167)*($B24='Summary - $ &amp; m3'!$C$8:$C$167))</f>
        <v>239325</v>
      </c>
      <c r="V24" s="101">
        <v>0</v>
      </c>
      <c r="W24" s="102">
        <f t="shared" si="2"/>
        <v>746073</v>
      </c>
      <c r="Y24" s="14" t="s">
        <v>166</v>
      </c>
      <c r="Z24" s="99" cm="1">
        <f t="array" ref="Z24">SUMPRODUCT('Summary - $ &amp; m3'!$R$8:$U$167*(Z$2='Summary - $ &amp; m3'!$R$7:$U$7)*(Z$1='Summary - $ &amp; m3'!$A$8:$A$167)*($A24='Summary - $ &amp; m3'!$C$8:$C$167))+SUMPRODUCT('Summary - $ &amp; m3'!$R$8:$U$167*(Z$2='Summary - $ &amp; m3'!$R$7:$U$7)*(Z$1='Summary - $ &amp; m3'!$A$8:$A$167)*($B24='Summary - $ &amp; m3'!$C$8:$C$167))</f>
        <v>452477</v>
      </c>
      <c r="AA24" s="100" cm="1">
        <f t="array" ref="AA24">SUMPRODUCT('Summary - $ &amp; m3'!$R$8:$U$167*(AA$2='Summary - $ &amp; m3'!$R$7:$U$7)*(AA$1='Summary - $ &amp; m3'!$A$8:$A$167)*($A24='Summary - $ &amp; m3'!$C$8:$C$167))+SUMPRODUCT('Summary - $ &amp; m3'!$R$8:$U$167*(AA$2='Summary - $ &amp; m3'!$R$7:$U$7)*(AA$1='Summary - $ &amp; m3'!$A$8:$A$167)*($B24='Summary - $ &amp; m3'!$C$8:$C$167))</f>
        <v>105250</v>
      </c>
      <c r="AB24" s="100" cm="1">
        <f t="array" ref="AB24">SUMPRODUCT('Summary - $ &amp; m3'!$R$8:$U$167*(AB$2='Summary - $ &amp; m3'!$R$7:$U$7)*(AB$1='Summary - $ &amp; m3'!$A$8:$A$167)*($A24='Summary - $ &amp; m3'!$C$8:$C$167))+SUMPRODUCT('Summary - $ &amp; m3'!$R$8:$U$167*(AB$2='Summary - $ &amp; m3'!$R$7:$U$7)*(AB$1='Summary - $ &amp; m3'!$A$8:$A$167)*($B24='Summary - $ &amp; m3'!$C$8:$C$167))</f>
        <v>238564</v>
      </c>
      <c r="AC24" s="101">
        <v>0</v>
      </c>
      <c r="AD24" s="102">
        <f t="shared" si="3"/>
        <v>796291</v>
      </c>
    </row>
    <row r="25" spans="1:30" x14ac:dyDescent="0.25">
      <c r="A25" s="61" t="s">
        <v>167</v>
      </c>
      <c r="B25" s="61"/>
      <c r="D25" s="14" t="s">
        <v>167</v>
      </c>
      <c r="E25" s="100" cm="1">
        <f t="array" ref="E25">SUMPRODUCT('Summary - $ &amp; m3'!$R$8:$U$167*(E$2='Summary - $ &amp; m3'!$R$7:$U$7)*(E$1='Summary - $ &amp; m3'!$A$8:$A$167)*($A25='Summary - $ &amp; m3'!$C$8:$C$167))+SUMPRODUCT('Summary - $ &amp; m3'!$R$8:$U$167*(E$2='Summary - $ &amp; m3'!$R$7:$U$7)*(E$1='Summary - $ &amp; m3'!$A$8:$A$167)*($B25='Summary - $ &amp; m3'!$C$8:$C$167))</f>
        <v>77869</v>
      </c>
      <c r="F25" s="100" cm="1">
        <f t="array" ref="F25">SUMPRODUCT('Summary - $ &amp; m3'!$R$8:$U$167*(F$2='Summary - $ &amp; m3'!$R$7:$U$7)*(F$1='Summary - $ &amp; m3'!$A$8:$A$167)*($A25='Summary - $ &amp; m3'!$C$8:$C$167))+SUMPRODUCT('Summary - $ &amp; m3'!$R$8:$U$167*(F$2='Summary - $ &amp; m3'!$R$7:$U$7)*(F$1='Summary - $ &amp; m3'!$A$8:$A$167)*($B25='Summary - $ &amp; m3'!$C$8:$C$167))</f>
        <v>75000</v>
      </c>
      <c r="G25" s="100" cm="1">
        <f t="array" ref="G25">SUMPRODUCT('Summary - $ &amp; m3'!$R$8:$U$167*(G$2='Summary - $ &amp; m3'!$R$7:$U$7)*(G$1='Summary - $ &amp; m3'!$A$8:$A$167)*($A25='Summary - $ &amp; m3'!$C$8:$C$167))+SUMPRODUCT('Summary - $ &amp; m3'!$R$8:$U$167*(G$2='Summary - $ &amp; m3'!$R$7:$U$7)*(G$1='Summary - $ &amp; m3'!$A$8:$A$167)*($B25='Summary - $ &amp; m3'!$C$8:$C$167))</f>
        <v>52806</v>
      </c>
      <c r="H25" s="101">
        <v>0</v>
      </c>
      <c r="I25" s="102">
        <f t="shared" si="0"/>
        <v>205675</v>
      </c>
      <c r="K25" s="14" t="s">
        <v>167</v>
      </c>
      <c r="L25" s="99" cm="1">
        <f t="array" ref="L25">SUMPRODUCT('Summary - $ &amp; m3'!$R$8:$U$167*(L$2='Summary - $ &amp; m3'!$R$7:$U$7)*(L$1='Summary - $ &amp; m3'!$A$8:$A$167)*($A25='Summary - $ &amp; m3'!$C$8:$C$167))+SUMPRODUCT('Summary - $ &amp; m3'!$R$8:$U$167*(L$2='Summary - $ &amp; m3'!$R$7:$U$7)*(L$1='Summary - $ &amp; m3'!$A$8:$A$167)*($B25='Summary - $ &amp; m3'!$C$8:$C$167))</f>
        <v>116826</v>
      </c>
      <c r="M25" s="100" cm="1">
        <f t="array" ref="M25">SUMPRODUCT('Summary - $ &amp; m3'!$R$8:$U$167*(M$2='Summary - $ &amp; m3'!$R$7:$U$7)*(M$1='Summary - $ &amp; m3'!$A$8:$A$167)*($A25='Summary - $ &amp; m3'!$C$8:$C$167))+SUMPRODUCT('Summary - $ &amp; m3'!$R$8:$U$167*(M$2='Summary - $ &amp; m3'!$R$7:$U$7)*(M$1='Summary - $ &amp; m3'!$A$8:$A$167)*($B25='Summary - $ &amp; m3'!$C$8:$C$167))</f>
        <v>76290</v>
      </c>
      <c r="N25" s="100" cm="1">
        <f t="array" ref="N25">SUMPRODUCT('Summary - $ &amp; m3'!$R$8:$U$167*(N$2='Summary - $ &amp; m3'!$R$7:$U$7)*(N$1='Summary - $ &amp; m3'!$A$8:$A$167)*($A25='Summary - $ &amp; m3'!$C$8:$C$167))+SUMPRODUCT('Summary - $ &amp; m3'!$R$8:$U$167*(N$2='Summary - $ &amp; m3'!$R$7:$U$7)*(N$1='Summary - $ &amp; m3'!$A$8:$A$167)*($B25='Summary - $ &amp; m3'!$C$8:$C$167))</f>
        <v>60106</v>
      </c>
      <c r="O25" s="101">
        <v>0</v>
      </c>
      <c r="P25" s="102">
        <f t="shared" si="1"/>
        <v>253222</v>
      </c>
      <c r="R25" s="14" t="s">
        <v>167</v>
      </c>
      <c r="S25" s="99" cm="1">
        <f t="array" ref="S25">SUMPRODUCT('Summary - $ &amp; m3'!$R$8:$U$167*(S$2='Summary - $ &amp; m3'!$R$7:$U$7)*(S$1='Summary - $ &amp; m3'!$A$8:$A$167)*($A25='Summary - $ &amp; m3'!$C$8:$C$167))+SUMPRODUCT('Summary - $ &amp; m3'!$R$8:$U$167*(S$2='Summary - $ &amp; m3'!$R$7:$U$7)*(S$1='Summary - $ &amp; m3'!$A$8:$A$167)*($B25='Summary - $ &amp; m3'!$C$8:$C$167))</f>
        <v>238324</v>
      </c>
      <c r="T25" s="100" cm="1">
        <f t="array" ref="T25">SUMPRODUCT('Summary - $ &amp; m3'!$R$8:$U$167*(T$2='Summary - $ &amp; m3'!$R$7:$U$7)*(T$1='Summary - $ &amp; m3'!$A$8:$A$167)*($A25='Summary - $ &amp; m3'!$C$8:$C$167))+SUMPRODUCT('Summary - $ &amp; m3'!$R$8:$U$167*(T$2='Summary - $ &amp; m3'!$R$7:$U$7)*(T$1='Summary - $ &amp; m3'!$A$8:$A$167)*($B25='Summary - $ &amp; m3'!$C$8:$C$167))</f>
        <v>77602</v>
      </c>
      <c r="U25" s="100" cm="1">
        <f t="array" ref="U25">SUMPRODUCT('Summary - $ &amp; m3'!$R$8:$U$167*(U$2='Summary - $ &amp; m3'!$R$7:$U$7)*(U$1='Summary - $ &amp; m3'!$A$8:$A$167)*($A25='Summary - $ &amp; m3'!$C$8:$C$167))+SUMPRODUCT('Summary - $ &amp; m3'!$R$8:$U$167*(U$2='Summary - $ &amp; m3'!$R$7:$U$7)*(U$1='Summary - $ &amp; m3'!$A$8:$A$167)*($B25='Summary - $ &amp; m3'!$C$8:$C$167))</f>
        <v>66510</v>
      </c>
      <c r="V25" s="101">
        <v>0</v>
      </c>
      <c r="W25" s="102">
        <f t="shared" si="2"/>
        <v>382436</v>
      </c>
      <c r="Y25" s="14" t="s">
        <v>167</v>
      </c>
      <c r="Z25" s="99" cm="1">
        <f t="array" ref="Z25">SUMPRODUCT('Summary - $ &amp; m3'!$R$8:$U$167*(Z$2='Summary - $ &amp; m3'!$R$7:$U$7)*(Z$1='Summary - $ &amp; m3'!$A$8:$A$167)*($A25='Summary - $ &amp; m3'!$C$8:$C$167))+SUMPRODUCT('Summary - $ &amp; m3'!$R$8:$U$167*(Z$2='Summary - $ &amp; m3'!$R$7:$U$7)*(Z$1='Summary - $ &amp; m3'!$A$8:$A$167)*($B25='Summary - $ &amp; m3'!$C$8:$C$167))</f>
        <v>427856</v>
      </c>
      <c r="AA25" s="100" cm="1">
        <f t="array" ref="AA25">SUMPRODUCT('Summary - $ &amp; m3'!$R$8:$U$167*(AA$2='Summary - $ &amp; m3'!$R$7:$U$7)*(AA$1='Summary - $ &amp; m3'!$A$8:$A$167)*($A25='Summary - $ &amp; m3'!$C$8:$C$167))+SUMPRODUCT('Summary - $ &amp; m3'!$R$8:$U$167*(AA$2='Summary - $ &amp; m3'!$R$7:$U$7)*(AA$1='Summary - $ &amp; m3'!$A$8:$A$167)*($B25='Summary - $ &amp; m3'!$C$8:$C$167))</f>
        <v>78937</v>
      </c>
      <c r="AB25" s="100" cm="1">
        <f t="array" ref="AB25">SUMPRODUCT('Summary - $ &amp; m3'!$R$8:$U$167*(AB$2='Summary - $ &amp; m3'!$R$7:$U$7)*(AB$1='Summary - $ &amp; m3'!$A$8:$A$167)*($A25='Summary - $ &amp; m3'!$C$8:$C$167))+SUMPRODUCT('Summary - $ &amp; m3'!$R$8:$U$167*(AB$2='Summary - $ &amp; m3'!$R$7:$U$7)*(AB$1='Summary - $ &amp; m3'!$A$8:$A$167)*($B25='Summary - $ &amp; m3'!$C$8:$C$167))</f>
        <v>75352</v>
      </c>
      <c r="AC25" s="101">
        <v>0</v>
      </c>
      <c r="AD25" s="102">
        <f t="shared" si="3"/>
        <v>582145</v>
      </c>
    </row>
    <row r="26" spans="1:30" x14ac:dyDescent="0.25">
      <c r="A26" s="61" t="s">
        <v>168</v>
      </c>
      <c r="B26" s="61"/>
      <c r="D26" s="14" t="s">
        <v>20</v>
      </c>
      <c r="E26" s="99" cm="1">
        <f t="array" ref="E26">SUMPRODUCT('Summary - $ &amp; m3'!$R$8:$U$167*(E$2='Summary - $ &amp; m3'!$R$7:$U$7)*(E$1='Summary - $ &amp; m3'!$A$8:$A$167)*($A26='Summary - $ &amp; m3'!$C$8:$C$167))+SUMPRODUCT('Summary - $ &amp; m3'!$R$8:$U$167*(E$2='Summary - $ &amp; m3'!$R$7:$U$7)*(E$1='Summary - $ &amp; m3'!$A$8:$A$167)*($B26='Summary - $ &amp; m3'!$C$8:$C$167))</f>
        <v>500000</v>
      </c>
      <c r="F26" s="100" cm="1">
        <f t="array" ref="F26">SUMPRODUCT('Summary - $ &amp; m3'!$R$8:$U$167*(F$2='Summary - $ &amp; m3'!$R$7:$U$7)*(F$1='Summary - $ &amp; m3'!$A$8:$A$167)*($A26='Summary - $ &amp; m3'!$C$8:$C$167))+SUMPRODUCT('Summary - $ &amp; m3'!$R$8:$U$167*(F$2='Summary - $ &amp; m3'!$R$7:$U$7)*(F$1='Summary - $ &amp; m3'!$A$8:$A$167)*($B26='Summary - $ &amp; m3'!$C$8:$C$167))</f>
        <v>30000</v>
      </c>
      <c r="G26" s="100" cm="1">
        <f t="array" ref="G26">SUMPRODUCT('Summary - $ &amp; m3'!$R$8:$U$167*(G$2='Summary - $ &amp; m3'!$R$7:$U$7)*(G$1='Summary - $ &amp; m3'!$A$8:$A$167)*($A26='Summary - $ &amp; m3'!$C$8:$C$167))+SUMPRODUCT('Summary - $ &amp; m3'!$R$8:$U$167*(G$2='Summary - $ &amp; m3'!$R$7:$U$7)*(G$1='Summary - $ &amp; m3'!$A$8:$A$167)*($B26='Summary - $ &amp; m3'!$C$8:$C$167))</f>
        <v>250000</v>
      </c>
      <c r="H26" s="101">
        <v>0</v>
      </c>
      <c r="I26" s="102">
        <f t="shared" si="0"/>
        <v>780000</v>
      </c>
      <c r="K26" s="14" t="s">
        <v>20</v>
      </c>
      <c r="L26" s="99" cm="1">
        <f t="array" ref="L26">SUMPRODUCT('Summary - $ &amp; m3'!$R$8:$U$167*(L$2='Summary - $ &amp; m3'!$R$7:$U$7)*(L$1='Summary - $ &amp; m3'!$A$8:$A$167)*($A26='Summary - $ &amp; m3'!$C$8:$C$167))+SUMPRODUCT('Summary - $ &amp; m3'!$R$8:$U$167*(L$2='Summary - $ &amp; m3'!$R$7:$U$7)*(L$1='Summary - $ &amp; m3'!$A$8:$A$167)*($B26='Summary - $ &amp; m3'!$C$8:$C$167))</f>
        <v>510000</v>
      </c>
      <c r="M26" s="100" cm="1">
        <f t="array" ref="M26">SUMPRODUCT('Summary - $ &amp; m3'!$R$8:$U$167*(M$2='Summary - $ &amp; m3'!$R$7:$U$7)*(M$1='Summary - $ &amp; m3'!$A$8:$A$167)*($A26='Summary - $ &amp; m3'!$C$8:$C$167))+SUMPRODUCT('Summary - $ &amp; m3'!$R$8:$U$167*(M$2='Summary - $ &amp; m3'!$R$7:$U$7)*(M$1='Summary - $ &amp; m3'!$A$8:$A$167)*($B26='Summary - $ &amp; m3'!$C$8:$C$167))</f>
        <v>30516</v>
      </c>
      <c r="N26" s="100" cm="1">
        <f t="array" ref="N26">SUMPRODUCT('Summary - $ &amp; m3'!$R$8:$U$167*(N$2='Summary - $ &amp; m3'!$R$7:$U$7)*(N$1='Summary - $ &amp; m3'!$A$8:$A$167)*($A26='Summary - $ &amp; m3'!$C$8:$C$167))+SUMPRODUCT('Summary - $ &amp; m3'!$R$8:$U$167*(N$2='Summary - $ &amp; m3'!$R$7:$U$7)*(N$1='Summary - $ &amp; m3'!$A$8:$A$167)*($B26='Summary - $ &amp; m3'!$C$8:$C$167))</f>
        <v>254300</v>
      </c>
      <c r="O26" s="101">
        <v>0</v>
      </c>
      <c r="P26" s="102">
        <f t="shared" si="1"/>
        <v>794816</v>
      </c>
      <c r="R26" s="14" t="s">
        <v>20</v>
      </c>
      <c r="S26" s="99" cm="1">
        <f t="array" ref="S26">SUMPRODUCT('Summary - $ &amp; m3'!$R$8:$U$167*(S$2='Summary - $ &amp; m3'!$R$7:$U$7)*(S$1='Summary - $ &amp; m3'!$A$8:$A$167)*($A26='Summary - $ &amp; m3'!$C$8:$C$167))+SUMPRODUCT('Summary - $ &amp; m3'!$R$8:$U$167*(S$2='Summary - $ &amp; m3'!$R$7:$U$7)*(S$1='Summary - $ &amp; m3'!$A$8:$A$167)*($B26='Summary - $ &amp; m3'!$C$8:$C$167))</f>
        <v>520200</v>
      </c>
      <c r="T26" s="100" cm="1">
        <f t="array" ref="T26">SUMPRODUCT('Summary - $ &amp; m3'!$R$8:$U$167*(T$2='Summary - $ &amp; m3'!$R$7:$U$7)*(T$1='Summary - $ &amp; m3'!$A$8:$A$167)*($A26='Summary - $ &amp; m3'!$C$8:$C$167))+SUMPRODUCT('Summary - $ &amp; m3'!$R$8:$U$167*(T$2='Summary - $ &amp; m3'!$R$7:$U$7)*(T$1='Summary - $ &amp; m3'!$A$8:$A$167)*($B26='Summary - $ &amp; m3'!$C$8:$C$167))</f>
        <v>31041</v>
      </c>
      <c r="U26" s="100" cm="1">
        <f t="array" ref="U26">SUMPRODUCT('Summary - $ &amp; m3'!$R$8:$U$167*(U$2='Summary - $ &amp; m3'!$R$7:$U$7)*(U$1='Summary - $ &amp; m3'!$A$8:$A$167)*($A26='Summary - $ &amp; m3'!$C$8:$C$167))+SUMPRODUCT('Summary - $ &amp; m3'!$R$8:$U$167*(U$2='Summary - $ &amp; m3'!$R$7:$U$7)*(U$1='Summary - $ &amp; m3'!$A$8:$A$167)*($B26='Summary - $ &amp; m3'!$C$8:$C$167))</f>
        <v>258674</v>
      </c>
      <c r="V26" s="101">
        <v>0</v>
      </c>
      <c r="W26" s="102">
        <f t="shared" si="2"/>
        <v>809915</v>
      </c>
      <c r="Y26" s="14" t="s">
        <v>20</v>
      </c>
      <c r="Z26" s="99" cm="1">
        <f t="array" ref="Z26">SUMPRODUCT('Summary - $ &amp; m3'!$R$8:$U$167*(Z$2='Summary - $ &amp; m3'!$R$7:$U$7)*(Z$1='Summary - $ &amp; m3'!$A$8:$A$167)*($A26='Summary - $ &amp; m3'!$C$8:$C$167))+SUMPRODUCT('Summary - $ &amp; m3'!$R$8:$U$167*(Z$2='Summary - $ &amp; m3'!$R$7:$U$7)*(Z$1='Summary - $ &amp; m3'!$A$8:$A$167)*($B26='Summary - $ &amp; m3'!$C$8:$C$167))</f>
        <v>530604</v>
      </c>
      <c r="AA26" s="100" cm="1">
        <f t="array" ref="AA26">SUMPRODUCT('Summary - $ &amp; m3'!$R$8:$U$167*(AA$2='Summary - $ &amp; m3'!$R$7:$U$7)*(AA$1='Summary - $ &amp; m3'!$A$8:$A$167)*($A26='Summary - $ &amp; m3'!$C$8:$C$167))+SUMPRODUCT('Summary - $ &amp; m3'!$R$8:$U$167*(AA$2='Summary - $ &amp; m3'!$R$7:$U$7)*(AA$1='Summary - $ &amp; m3'!$A$8:$A$167)*($B26='Summary - $ &amp; m3'!$C$8:$C$167))</f>
        <v>31575</v>
      </c>
      <c r="AB26" s="100" cm="1">
        <f t="array" ref="AB26">SUMPRODUCT('Summary - $ &amp; m3'!$R$8:$U$167*(AB$2='Summary - $ &amp; m3'!$R$7:$U$7)*(AB$1='Summary - $ &amp; m3'!$A$8:$A$167)*($A26='Summary - $ &amp; m3'!$C$8:$C$167))+SUMPRODUCT('Summary - $ &amp; m3'!$R$8:$U$167*(AB$2='Summary - $ &amp; m3'!$R$7:$U$7)*(AB$1='Summary - $ &amp; m3'!$A$8:$A$167)*($B26='Summary - $ &amp; m3'!$C$8:$C$167))</f>
        <v>263123</v>
      </c>
      <c r="AC26" s="101">
        <v>0</v>
      </c>
      <c r="AD26" s="102">
        <f t="shared" si="3"/>
        <v>825302</v>
      </c>
    </row>
    <row r="27" spans="1:30" x14ac:dyDescent="0.25">
      <c r="A27" s="61" t="s">
        <v>18</v>
      </c>
      <c r="B27" s="61"/>
      <c r="D27" s="14" t="s">
        <v>18</v>
      </c>
      <c r="E27" s="99" cm="1">
        <f t="array" ref="E27">SUMPRODUCT('Summary - $ &amp; m3'!$R$8:$U$167*(E$2='Summary - $ &amp; m3'!$R$7:$U$7)*(E$1='Summary - $ &amp; m3'!$A$8:$A$167)*($A27='Summary - $ &amp; m3'!$C$8:$C$167))+SUMPRODUCT('Summary - $ &amp; m3'!$R$8:$U$167*(E$2='Summary - $ &amp; m3'!$R$7:$U$7)*(E$1='Summary - $ &amp; m3'!$A$8:$A$167)*($B27='Summary - $ &amp; m3'!$C$8:$C$167))</f>
        <v>1800000</v>
      </c>
      <c r="F27" s="100" cm="1">
        <f t="array" ref="F27">SUMPRODUCT('Summary - $ &amp; m3'!$R$8:$U$167*(F$2='Summary - $ &amp; m3'!$R$7:$U$7)*(F$1='Summary - $ &amp; m3'!$A$8:$A$167)*($A27='Summary - $ &amp; m3'!$C$8:$C$167))+SUMPRODUCT('Summary - $ &amp; m3'!$R$8:$U$167*(F$2='Summary - $ &amp; m3'!$R$7:$U$7)*(F$1='Summary - $ &amp; m3'!$A$8:$A$167)*($B27='Summary - $ &amp; m3'!$C$8:$C$167))</f>
        <v>40000</v>
      </c>
      <c r="G27" s="100" cm="1">
        <f t="array" ref="G27">SUMPRODUCT('Summary - $ &amp; m3'!$R$8:$U$167*(G$2='Summary - $ &amp; m3'!$R$7:$U$7)*(G$1='Summary - $ &amp; m3'!$A$8:$A$167)*($A27='Summary - $ &amp; m3'!$C$8:$C$167))+SUMPRODUCT('Summary - $ &amp; m3'!$R$8:$U$167*(G$2='Summary - $ &amp; m3'!$R$7:$U$7)*(G$1='Summary - $ &amp; m3'!$A$8:$A$167)*($B27='Summary - $ &amp; m3'!$C$8:$C$167))</f>
        <v>160000</v>
      </c>
      <c r="H27" s="101">
        <v>0</v>
      </c>
      <c r="I27" s="102">
        <f t="shared" si="0"/>
        <v>2000000</v>
      </c>
      <c r="K27" s="14" t="s">
        <v>18</v>
      </c>
      <c r="L27" s="99" cm="1">
        <f t="array" ref="L27">SUMPRODUCT('Summary - $ &amp; m3'!$R$8:$U$167*(L$2='Summary - $ &amp; m3'!$R$7:$U$7)*(L$1='Summary - $ &amp; m3'!$A$8:$A$167)*($A27='Summary - $ &amp; m3'!$C$8:$C$167))+SUMPRODUCT('Summary - $ &amp; m3'!$R$8:$U$167*(L$2='Summary - $ &amp; m3'!$R$7:$U$7)*(L$1='Summary - $ &amp; m3'!$A$8:$A$167)*($B27='Summary - $ &amp; m3'!$C$8:$C$167))</f>
        <v>1836000</v>
      </c>
      <c r="M27" s="100" cm="1">
        <f t="array" ref="M27">SUMPRODUCT('Summary - $ &amp; m3'!$R$8:$U$167*(M$2='Summary - $ &amp; m3'!$R$7:$U$7)*(M$1='Summary - $ &amp; m3'!$A$8:$A$167)*($A27='Summary - $ &amp; m3'!$C$8:$C$167))+SUMPRODUCT('Summary - $ &amp; m3'!$R$8:$U$167*(M$2='Summary - $ &amp; m3'!$R$7:$U$7)*(M$1='Summary - $ &amp; m3'!$A$8:$A$167)*($B27='Summary - $ &amp; m3'!$C$8:$C$167))</f>
        <v>40688</v>
      </c>
      <c r="N27" s="100" cm="1">
        <f t="array" ref="N27">SUMPRODUCT('Summary - $ &amp; m3'!$R$8:$U$167*(N$2='Summary - $ &amp; m3'!$R$7:$U$7)*(N$1='Summary - $ &amp; m3'!$A$8:$A$167)*($A27='Summary - $ &amp; m3'!$C$8:$C$167))+SUMPRODUCT('Summary - $ &amp; m3'!$R$8:$U$167*(N$2='Summary - $ &amp; m3'!$R$7:$U$7)*(N$1='Summary - $ &amp; m3'!$A$8:$A$167)*($B27='Summary - $ &amp; m3'!$C$8:$C$167))</f>
        <v>162752</v>
      </c>
      <c r="O27" s="101">
        <v>0</v>
      </c>
      <c r="P27" s="102">
        <f t="shared" si="1"/>
        <v>2039440</v>
      </c>
      <c r="R27" s="14" t="s">
        <v>18</v>
      </c>
      <c r="S27" s="99" cm="1">
        <f t="array" ref="S27">SUMPRODUCT('Summary - $ &amp; m3'!$R$8:$U$167*(S$2='Summary - $ &amp; m3'!$R$7:$U$7)*(S$1='Summary - $ &amp; m3'!$A$8:$A$167)*($A27='Summary - $ &amp; m3'!$C$8:$C$167))+SUMPRODUCT('Summary - $ &amp; m3'!$R$8:$U$167*(S$2='Summary - $ &amp; m3'!$R$7:$U$7)*(S$1='Summary - $ &amp; m3'!$A$8:$A$167)*($B27='Summary - $ &amp; m3'!$C$8:$C$167))</f>
        <v>1872720</v>
      </c>
      <c r="T27" s="100" cm="1">
        <f t="array" ref="T27">SUMPRODUCT('Summary - $ &amp; m3'!$R$8:$U$167*(T$2='Summary - $ &amp; m3'!$R$7:$U$7)*(T$1='Summary - $ &amp; m3'!$A$8:$A$167)*($A27='Summary - $ &amp; m3'!$C$8:$C$167))+SUMPRODUCT('Summary - $ &amp; m3'!$R$8:$U$167*(T$2='Summary - $ &amp; m3'!$R$7:$U$7)*(T$1='Summary - $ &amp; m3'!$A$8:$A$167)*($B27='Summary - $ &amp; m3'!$C$8:$C$167))</f>
        <v>41388</v>
      </c>
      <c r="U27" s="100" cm="1">
        <f t="array" ref="U27">SUMPRODUCT('Summary - $ &amp; m3'!$R$8:$U$167*(U$2='Summary - $ &amp; m3'!$R$7:$U$7)*(U$1='Summary - $ &amp; m3'!$A$8:$A$167)*($A27='Summary - $ &amp; m3'!$C$8:$C$167))+SUMPRODUCT('Summary - $ &amp; m3'!$R$8:$U$167*(U$2='Summary - $ &amp; m3'!$R$7:$U$7)*(U$1='Summary - $ &amp; m3'!$A$8:$A$167)*($B27='Summary - $ &amp; m3'!$C$8:$C$167))</f>
        <v>165551</v>
      </c>
      <c r="V27" s="101">
        <v>0</v>
      </c>
      <c r="W27" s="102">
        <f t="shared" si="2"/>
        <v>2079659</v>
      </c>
      <c r="Y27" s="14" t="s">
        <v>18</v>
      </c>
      <c r="Z27" s="99" cm="1">
        <f t="array" ref="Z27">SUMPRODUCT('Summary - $ &amp; m3'!$R$8:$U$167*(Z$2='Summary - $ &amp; m3'!$R$7:$U$7)*(Z$1='Summary - $ &amp; m3'!$A$8:$A$167)*($A27='Summary - $ &amp; m3'!$C$8:$C$167))+SUMPRODUCT('Summary - $ &amp; m3'!$R$8:$U$167*(Z$2='Summary - $ &amp; m3'!$R$7:$U$7)*(Z$1='Summary - $ &amp; m3'!$A$8:$A$167)*($B27='Summary - $ &amp; m3'!$C$8:$C$167))</f>
        <v>1910174</v>
      </c>
      <c r="AA27" s="100" cm="1">
        <f t="array" ref="AA27">SUMPRODUCT('Summary - $ &amp; m3'!$R$8:$U$167*(AA$2='Summary - $ &amp; m3'!$R$7:$U$7)*(AA$1='Summary - $ &amp; m3'!$A$8:$A$167)*($A27='Summary - $ &amp; m3'!$C$8:$C$167))+SUMPRODUCT('Summary - $ &amp; m3'!$R$8:$U$167*(AA$2='Summary - $ &amp; m3'!$R$7:$U$7)*(AA$1='Summary - $ &amp; m3'!$A$8:$A$167)*($B27='Summary - $ &amp; m3'!$C$8:$C$167))</f>
        <v>42100</v>
      </c>
      <c r="AB27" s="100" cm="1">
        <f t="array" ref="AB27">SUMPRODUCT('Summary - $ &amp; m3'!$R$8:$U$167*(AB$2='Summary - $ &amp; m3'!$R$7:$U$7)*(AB$1='Summary - $ &amp; m3'!$A$8:$A$167)*($A27='Summary - $ &amp; m3'!$C$8:$C$167))+SUMPRODUCT('Summary - $ &amp; m3'!$R$8:$U$167*(AB$2='Summary - $ &amp; m3'!$R$7:$U$7)*(AB$1='Summary - $ &amp; m3'!$A$8:$A$167)*($B27='Summary - $ &amp; m3'!$C$8:$C$167))</f>
        <v>168399</v>
      </c>
      <c r="AC27" s="101">
        <v>0</v>
      </c>
      <c r="AD27" s="102">
        <f t="shared" si="3"/>
        <v>2120673</v>
      </c>
    </row>
    <row r="28" spans="1:30" hidden="1" outlineLevel="1" x14ac:dyDescent="0.25">
      <c r="A28" s="61" t="s">
        <v>19</v>
      </c>
      <c r="B28" s="61"/>
      <c r="D28" s="14" t="s">
        <v>136</v>
      </c>
      <c r="E28" s="103">
        <v>0</v>
      </c>
      <c r="F28" s="104">
        <v>0</v>
      </c>
      <c r="G28" s="105">
        <v>0</v>
      </c>
      <c r="H28" s="102" cm="1">
        <f t="array" ref="H28">SUMPRODUCT('Summary - $ &amp; m3'!$R$8:$U$167*(H$2='Summary - $ &amp; m3'!$R$7:$U$7)*(H$1='Summary - $ &amp; m3'!$A$8:$A$167)*($A28='Summary - $ &amp; m3'!$C$8:$C$167))+SUMPRODUCT('Summary - $ &amp; m3'!$R$8:$U$167*(H$2='Summary - $ &amp; m3'!$R$7:$U$7)*(H$1='Summary - $ &amp; m3'!$A$8:$A$167)*($B28='Summary - $ &amp; m3'!$C$8:$C$167))</f>
        <v>5527149</v>
      </c>
      <c r="I28" s="102">
        <f t="shared" si="0"/>
        <v>5527149</v>
      </c>
      <c r="K28" s="14" t="s">
        <v>136</v>
      </c>
      <c r="L28" s="103">
        <v>0</v>
      </c>
      <c r="M28" s="104">
        <v>0</v>
      </c>
      <c r="N28" s="105">
        <v>0</v>
      </c>
      <c r="O28" s="102" cm="1">
        <f t="array" ref="O28">SUMPRODUCT('Summary - $ &amp; m3'!$R$8:$U$167*(O$2='Summary - $ &amp; m3'!$R$7:$U$7)*(O$1='Summary - $ &amp; m3'!$A$8:$A$167)*($A28='Summary - $ &amp; m3'!$C$8:$C$167))+SUMPRODUCT('Summary - $ &amp; m3'!$R$8:$U$167*(O$2='Summary - $ &amp; m3'!$R$7:$U$7)*(O$1='Summary - $ &amp; m3'!$A$8:$A$167)*($B28='Summary - $ &amp; m3'!$C$8:$C$167))</f>
        <v>5622215</v>
      </c>
      <c r="P28" s="102">
        <f t="shared" si="1"/>
        <v>5622215</v>
      </c>
      <c r="R28" s="14" t="s">
        <v>136</v>
      </c>
      <c r="S28" s="103">
        <v>0</v>
      </c>
      <c r="T28" s="104">
        <v>0</v>
      </c>
      <c r="U28" s="105">
        <v>0</v>
      </c>
      <c r="V28" s="102" cm="1">
        <f t="array" ref="V28">SUMPRODUCT('Summary - $ &amp; m3'!$R$8:$U$167*(V$2='Summary - $ &amp; m3'!$R$7:$U$7)*(V$1='Summary - $ &amp; m3'!$A$8:$A$167)*($A28='Summary - $ &amp; m3'!$C$8:$C$167))+SUMPRODUCT('Summary - $ &amp; m3'!$R$8:$U$167*(V$2='Summary - $ &amp; m3'!$R$7:$U$7)*(V$1='Summary - $ &amp; m3'!$A$8:$A$167)*($B28='Summary - $ &amp; m3'!$C$8:$C$167))</f>
        <v>5718918</v>
      </c>
      <c r="W28" s="102">
        <f t="shared" si="2"/>
        <v>5718918</v>
      </c>
      <c r="Y28" s="14" t="s">
        <v>136</v>
      </c>
      <c r="Z28" s="103">
        <v>0</v>
      </c>
      <c r="AA28" s="104">
        <v>0</v>
      </c>
      <c r="AB28" s="105">
        <v>0</v>
      </c>
      <c r="AC28" s="102" cm="1">
        <f t="array" ref="AC28">SUMPRODUCT('Summary - $ &amp; m3'!$R$8:$U$167*(AC$2='Summary - $ &amp; m3'!$R$7:$U$7)*(AC$1='Summary - $ &amp; m3'!$A$8:$A$167)*($A28='Summary - $ &amp; m3'!$C$8:$C$167))+SUMPRODUCT('Summary - $ &amp; m3'!$R$8:$U$167*(AC$2='Summary - $ &amp; m3'!$R$7:$U$7)*(AC$1='Summary - $ &amp; m3'!$A$8:$A$167)*($B28='Summary - $ &amp; m3'!$C$8:$C$167))</f>
        <v>5817283</v>
      </c>
      <c r="AD28" s="102">
        <f t="shared" si="3"/>
        <v>5817283</v>
      </c>
    </row>
    <row r="29" spans="1:30" collapsed="1" x14ac:dyDescent="0.25">
      <c r="A29" s="61"/>
      <c r="B29" s="61"/>
      <c r="D29" s="24" t="s">
        <v>315</v>
      </c>
      <c r="E29" s="98">
        <f>SUM(E30:E33)</f>
        <v>20621597</v>
      </c>
      <c r="F29" s="93">
        <f>SUM(F30:F33)</f>
        <v>940000</v>
      </c>
      <c r="G29" s="93">
        <f>SUM(G30:G33)</f>
        <v>510000</v>
      </c>
      <c r="H29" s="106">
        <f>SUM(H30:H33)</f>
        <v>4814162</v>
      </c>
      <c r="I29" s="106">
        <f t="shared" si="0"/>
        <v>26885759</v>
      </c>
      <c r="K29" s="24" t="s">
        <v>315</v>
      </c>
      <c r="L29" s="98">
        <f>SUM(L30:L33)</f>
        <v>22337787</v>
      </c>
      <c r="M29" s="93">
        <f>SUM(M30:M33)</f>
        <v>956168</v>
      </c>
      <c r="N29" s="93">
        <f>SUM(N30:N33)</f>
        <v>518772</v>
      </c>
      <c r="O29" s="106">
        <f>SUM(O30:O33)</f>
        <v>4896966</v>
      </c>
      <c r="P29" s="106">
        <f t="shared" si="1"/>
        <v>28709693</v>
      </c>
      <c r="R29" s="24" t="s">
        <v>315</v>
      </c>
      <c r="S29" s="98">
        <f>SUM(S30:S33)</f>
        <v>23489919</v>
      </c>
      <c r="T29" s="93">
        <f>SUM(T30:T33)</f>
        <v>972614</v>
      </c>
      <c r="U29" s="93">
        <f>SUM(U30:U33)</f>
        <v>527695</v>
      </c>
      <c r="V29" s="106">
        <f>SUM(V30:V33)</f>
        <v>4981193</v>
      </c>
      <c r="W29" s="106">
        <f t="shared" si="2"/>
        <v>29971421</v>
      </c>
      <c r="Y29" s="24" t="s">
        <v>315</v>
      </c>
      <c r="Z29" s="98">
        <f>SUM(Z30:Z33)</f>
        <v>24851675</v>
      </c>
      <c r="AA29" s="93">
        <f>SUM(AA30:AA33)</f>
        <v>989345</v>
      </c>
      <c r="AB29" s="93">
        <f>SUM(AB30:AB33)</f>
        <v>536771</v>
      </c>
      <c r="AC29" s="106">
        <f>SUM(AC30:AC33)</f>
        <v>5066870</v>
      </c>
      <c r="AD29" s="106">
        <f t="shared" si="3"/>
        <v>31444661</v>
      </c>
    </row>
    <row r="30" spans="1:30" x14ac:dyDescent="0.25">
      <c r="A30" s="61" t="s">
        <v>8</v>
      </c>
      <c r="B30" s="61"/>
      <c r="D30" s="14" t="s">
        <v>8</v>
      </c>
      <c r="E30" s="99" cm="1">
        <f t="array" ref="E30">SUMPRODUCT('Summary - $ &amp; m3'!$R$8:$U$167*(E$2='Summary - $ &amp; m3'!$R$7:$U$7)*(E$1='Summary - $ &amp; m3'!$A$8:$A$167)*($A30='Summary - $ &amp; m3'!$C$8:$C$167))+SUMPRODUCT('Summary - $ &amp; m3'!$R$8:$U$167*(E$2='Summary - $ &amp; m3'!$R$7:$U$7)*(E$1='Summary - $ &amp; m3'!$A$8:$A$167)*($B30='Summary - $ &amp; m3'!$C$8:$C$167))</f>
        <v>18321597</v>
      </c>
      <c r="F30" s="100" cm="1">
        <f t="array" ref="F30">SUMPRODUCT('Summary - $ &amp; m3'!$R$8:$U$167*(F$2='Summary - $ &amp; m3'!$R$7:$U$7)*(F$1='Summary - $ &amp; m3'!$A$8:$A$167)*($A30='Summary - $ &amp; m3'!$C$8:$C$167))+SUMPRODUCT('Summary - $ &amp; m3'!$R$8:$U$167*(F$2='Summary - $ &amp; m3'!$R$7:$U$7)*(F$1='Summary - $ &amp; m3'!$A$8:$A$167)*($B30='Summary - $ &amp; m3'!$C$8:$C$167))</f>
        <v>870000</v>
      </c>
      <c r="G30" s="100" cm="1">
        <f t="array" ref="G30">SUMPRODUCT('Summary - $ &amp; m3'!$R$8:$U$167*(G$2='Summary - $ &amp; m3'!$R$7:$U$7)*(G$1='Summary - $ &amp; m3'!$A$8:$A$167)*($A30='Summary - $ &amp; m3'!$C$8:$C$167))+SUMPRODUCT('Summary - $ &amp; m3'!$R$8:$U$167*(G$2='Summary - $ &amp; m3'!$R$7:$U$7)*(G$1='Summary - $ &amp; m3'!$A$8:$A$167)*($B30='Summary - $ &amp; m3'!$C$8:$C$167))</f>
        <v>100000</v>
      </c>
      <c r="H30" s="101">
        <v>0</v>
      </c>
      <c r="I30" s="102">
        <f t="shared" si="0"/>
        <v>19291597</v>
      </c>
      <c r="K30" s="14" t="s">
        <v>8</v>
      </c>
      <c r="L30" s="99" cm="1">
        <f t="array" ref="L30">SUMPRODUCT('Summary - $ &amp; m3'!$R$8:$U$167*(L$2='Summary - $ &amp; m3'!$R$7:$U$7)*(L$1='Summary - $ &amp; m3'!$A$8:$A$167)*($A30='Summary - $ &amp; m3'!$C$8:$C$167))+SUMPRODUCT('Summary - $ &amp; m3'!$R$8:$U$167*(L$2='Summary - $ &amp; m3'!$R$7:$U$7)*(L$1='Summary - $ &amp; m3'!$A$8:$A$167)*($B30='Summary - $ &amp; m3'!$C$8:$C$167))</f>
        <v>19991787</v>
      </c>
      <c r="M30" s="100" cm="1">
        <f t="array" ref="M30">SUMPRODUCT('Summary - $ &amp; m3'!$R$8:$U$167*(M$2='Summary - $ &amp; m3'!$R$7:$U$7)*(M$1='Summary - $ &amp; m3'!$A$8:$A$167)*($A30='Summary - $ &amp; m3'!$C$8:$C$167))+SUMPRODUCT('Summary - $ &amp; m3'!$R$8:$U$167*(M$2='Summary - $ &amp; m3'!$R$7:$U$7)*(M$1='Summary - $ &amp; m3'!$A$8:$A$167)*($B30='Summary - $ &amp; m3'!$C$8:$C$167))</f>
        <v>884964</v>
      </c>
      <c r="N30" s="100" cm="1">
        <f t="array" ref="N30">SUMPRODUCT('Summary - $ &amp; m3'!$R$8:$U$167*(N$2='Summary - $ &amp; m3'!$R$7:$U$7)*(N$1='Summary - $ &amp; m3'!$A$8:$A$167)*($A30='Summary - $ &amp; m3'!$C$8:$C$167))+SUMPRODUCT('Summary - $ &amp; m3'!$R$8:$U$167*(N$2='Summary - $ &amp; m3'!$R$7:$U$7)*(N$1='Summary - $ &amp; m3'!$A$8:$A$167)*($B30='Summary - $ &amp; m3'!$C$8:$C$167))</f>
        <v>101720</v>
      </c>
      <c r="O30" s="101">
        <v>0</v>
      </c>
      <c r="P30" s="102">
        <f t="shared" si="1"/>
        <v>20978471</v>
      </c>
      <c r="R30" s="14" t="s">
        <v>8</v>
      </c>
      <c r="S30" s="99" cm="1">
        <f t="array" ref="S30">SUMPRODUCT('Summary - $ &amp; m3'!$R$8:$U$167*(S$2='Summary - $ &amp; m3'!$R$7:$U$7)*(S$1='Summary - $ &amp; m3'!$A$8:$A$167)*($A30='Summary - $ &amp; m3'!$C$8:$C$167))+SUMPRODUCT('Summary - $ &amp; m3'!$R$8:$U$167*(S$2='Summary - $ &amp; m3'!$R$7:$U$7)*(S$1='Summary - $ &amp; m3'!$A$8:$A$167)*($B30='Summary - $ &amp; m3'!$C$8:$C$167))</f>
        <v>21096999</v>
      </c>
      <c r="T30" s="100" cm="1">
        <f t="array" ref="T30">SUMPRODUCT('Summary - $ &amp; m3'!$R$8:$U$167*(T$2='Summary - $ &amp; m3'!$R$7:$U$7)*(T$1='Summary - $ &amp; m3'!$A$8:$A$167)*($A30='Summary - $ &amp; m3'!$C$8:$C$167))+SUMPRODUCT('Summary - $ &amp; m3'!$R$8:$U$167*(T$2='Summary - $ &amp; m3'!$R$7:$U$7)*(T$1='Summary - $ &amp; m3'!$A$8:$A$167)*($B30='Summary - $ &amp; m3'!$C$8:$C$167))</f>
        <v>900185</v>
      </c>
      <c r="U30" s="100" cm="1">
        <f t="array" ref="U30">SUMPRODUCT('Summary - $ &amp; m3'!$R$8:$U$167*(U$2='Summary - $ &amp; m3'!$R$7:$U$7)*(U$1='Summary - $ &amp; m3'!$A$8:$A$167)*($A30='Summary - $ &amp; m3'!$C$8:$C$167))+SUMPRODUCT('Summary - $ &amp; m3'!$R$8:$U$167*(U$2='Summary - $ &amp; m3'!$R$7:$U$7)*(U$1='Summary - $ &amp; m3'!$A$8:$A$167)*($B30='Summary - $ &amp; m3'!$C$8:$C$167))</f>
        <v>103470</v>
      </c>
      <c r="V30" s="101">
        <v>0</v>
      </c>
      <c r="W30" s="102">
        <f t="shared" si="2"/>
        <v>22100654</v>
      </c>
      <c r="Y30" s="14" t="s">
        <v>8</v>
      </c>
      <c r="Z30" s="99" cm="1">
        <f t="array" ref="Z30">SUMPRODUCT('Summary - $ &amp; m3'!$R$8:$U$167*(Z$2='Summary - $ &amp; m3'!$R$7:$U$7)*(Z$1='Summary - $ &amp; m3'!$A$8:$A$167)*($A30='Summary - $ &amp; m3'!$C$8:$C$167))+SUMPRODUCT('Summary - $ &amp; m3'!$R$8:$U$167*(Z$2='Summary - $ &amp; m3'!$R$7:$U$7)*(Z$1='Summary - $ &amp; m3'!$A$8:$A$167)*($B30='Summary - $ &amp; m3'!$C$8:$C$167))</f>
        <v>22410897</v>
      </c>
      <c r="AA30" s="100" cm="1">
        <f t="array" ref="AA30">SUMPRODUCT('Summary - $ &amp; m3'!$R$8:$U$167*(AA$2='Summary - $ &amp; m3'!$R$7:$U$7)*(AA$1='Summary - $ &amp; m3'!$A$8:$A$167)*($A30='Summary - $ &amp; m3'!$C$8:$C$167))+SUMPRODUCT('Summary - $ &amp; m3'!$R$8:$U$167*(AA$2='Summary - $ &amp; m3'!$R$7:$U$7)*(AA$1='Summary - $ &amp; m3'!$A$8:$A$167)*($B30='Summary - $ &amp; m3'!$C$8:$C$167))</f>
        <v>915670</v>
      </c>
      <c r="AB30" s="100" cm="1">
        <f t="array" ref="AB30">SUMPRODUCT('Summary - $ &amp; m3'!$R$8:$U$167*(AB$2='Summary - $ &amp; m3'!$R$7:$U$7)*(AB$1='Summary - $ &amp; m3'!$A$8:$A$167)*($A30='Summary - $ &amp; m3'!$C$8:$C$167))+SUMPRODUCT('Summary - $ &amp; m3'!$R$8:$U$167*(AB$2='Summary - $ &amp; m3'!$R$7:$U$7)*(AB$1='Summary - $ &amp; m3'!$A$8:$A$167)*($B30='Summary - $ &amp; m3'!$C$8:$C$167))</f>
        <v>105249</v>
      </c>
      <c r="AC30" s="101">
        <v>0</v>
      </c>
      <c r="AD30" s="102">
        <f t="shared" si="3"/>
        <v>23431816</v>
      </c>
    </row>
    <row r="31" spans="1:30" x14ac:dyDescent="0.25">
      <c r="A31" s="61" t="s">
        <v>171</v>
      </c>
      <c r="B31" s="61"/>
      <c r="D31" s="14" t="s">
        <v>26</v>
      </c>
      <c r="E31" s="99" cm="1">
        <f t="array" ref="E31">SUMPRODUCT('Summary - $ &amp; m3'!$R$8:$U$167*(E$2='Summary - $ &amp; m3'!$R$7:$U$7)*(E$1='Summary - $ &amp; m3'!$A$8:$A$167)*($A31='Summary - $ &amp; m3'!$C$8:$C$167))+SUMPRODUCT('Summary - $ &amp; m3'!$R$8:$U$167*(E$2='Summary - $ &amp; m3'!$R$7:$U$7)*(E$1='Summary - $ &amp; m3'!$A$8:$A$167)*($B31='Summary - $ &amp; m3'!$C$8:$C$167))</f>
        <v>500000</v>
      </c>
      <c r="F31" s="100" cm="1">
        <f t="array" ref="F31">SUMPRODUCT('Summary - $ &amp; m3'!$R$8:$U$167*(F$2='Summary - $ &amp; m3'!$R$7:$U$7)*(F$1='Summary - $ &amp; m3'!$A$8:$A$167)*($A31='Summary - $ &amp; m3'!$C$8:$C$167))+SUMPRODUCT('Summary - $ &amp; m3'!$R$8:$U$167*(F$2='Summary - $ &amp; m3'!$R$7:$U$7)*(F$1='Summary - $ &amp; m3'!$A$8:$A$167)*($B31='Summary - $ &amp; m3'!$C$8:$C$167))</f>
        <v>30000</v>
      </c>
      <c r="G31" s="100" cm="1">
        <f t="array" ref="G31">SUMPRODUCT('Summary - $ &amp; m3'!$R$8:$U$167*(G$2='Summary - $ &amp; m3'!$R$7:$U$7)*(G$1='Summary - $ &amp; m3'!$A$8:$A$167)*($A31='Summary - $ &amp; m3'!$C$8:$C$167))+SUMPRODUCT('Summary - $ &amp; m3'!$R$8:$U$167*(G$2='Summary - $ &amp; m3'!$R$7:$U$7)*(G$1='Summary - $ &amp; m3'!$A$8:$A$167)*($B31='Summary - $ &amp; m3'!$C$8:$C$167))</f>
        <v>250000</v>
      </c>
      <c r="H31" s="101">
        <v>0</v>
      </c>
      <c r="I31" s="102">
        <f t="shared" si="0"/>
        <v>780000</v>
      </c>
      <c r="K31" s="14" t="s">
        <v>26</v>
      </c>
      <c r="L31" s="99" cm="1">
        <f t="array" ref="L31">SUMPRODUCT('Summary - $ &amp; m3'!$R$8:$U$167*(L$2='Summary - $ &amp; m3'!$R$7:$U$7)*(L$1='Summary - $ &amp; m3'!$A$8:$A$167)*($A31='Summary - $ &amp; m3'!$C$8:$C$167))+SUMPRODUCT('Summary - $ &amp; m3'!$R$8:$U$167*(L$2='Summary - $ &amp; m3'!$R$7:$U$7)*(L$1='Summary - $ &amp; m3'!$A$8:$A$167)*($B31='Summary - $ &amp; m3'!$C$8:$C$167))</f>
        <v>510000</v>
      </c>
      <c r="M31" s="100" cm="1">
        <f t="array" ref="M31">SUMPRODUCT('Summary - $ &amp; m3'!$R$8:$U$167*(M$2='Summary - $ &amp; m3'!$R$7:$U$7)*(M$1='Summary - $ &amp; m3'!$A$8:$A$167)*($A31='Summary - $ &amp; m3'!$C$8:$C$167))+SUMPRODUCT('Summary - $ &amp; m3'!$R$8:$U$167*(M$2='Summary - $ &amp; m3'!$R$7:$U$7)*(M$1='Summary - $ &amp; m3'!$A$8:$A$167)*($B31='Summary - $ &amp; m3'!$C$8:$C$167))</f>
        <v>30516</v>
      </c>
      <c r="N31" s="100" cm="1">
        <f t="array" ref="N31">SUMPRODUCT('Summary - $ &amp; m3'!$R$8:$U$167*(N$2='Summary - $ &amp; m3'!$R$7:$U$7)*(N$1='Summary - $ &amp; m3'!$A$8:$A$167)*($A31='Summary - $ &amp; m3'!$C$8:$C$167))+SUMPRODUCT('Summary - $ &amp; m3'!$R$8:$U$167*(N$2='Summary - $ &amp; m3'!$R$7:$U$7)*(N$1='Summary - $ &amp; m3'!$A$8:$A$167)*($B31='Summary - $ &amp; m3'!$C$8:$C$167))</f>
        <v>254300</v>
      </c>
      <c r="O31" s="101">
        <v>0</v>
      </c>
      <c r="P31" s="102">
        <f t="shared" si="1"/>
        <v>794816</v>
      </c>
      <c r="R31" s="14" t="s">
        <v>26</v>
      </c>
      <c r="S31" s="99" cm="1">
        <f t="array" ref="S31">SUMPRODUCT('Summary - $ &amp; m3'!$R$8:$U$167*(S$2='Summary - $ &amp; m3'!$R$7:$U$7)*(S$1='Summary - $ &amp; m3'!$A$8:$A$167)*($A31='Summary - $ &amp; m3'!$C$8:$C$167))+SUMPRODUCT('Summary - $ &amp; m3'!$R$8:$U$167*(S$2='Summary - $ &amp; m3'!$R$7:$U$7)*(S$1='Summary - $ &amp; m3'!$A$8:$A$167)*($B31='Summary - $ &amp; m3'!$C$8:$C$167))</f>
        <v>520200</v>
      </c>
      <c r="T31" s="100" cm="1">
        <f t="array" ref="T31">SUMPRODUCT('Summary - $ &amp; m3'!$R$8:$U$167*(T$2='Summary - $ &amp; m3'!$R$7:$U$7)*(T$1='Summary - $ &amp; m3'!$A$8:$A$167)*($A31='Summary - $ &amp; m3'!$C$8:$C$167))+SUMPRODUCT('Summary - $ &amp; m3'!$R$8:$U$167*(T$2='Summary - $ &amp; m3'!$R$7:$U$7)*(T$1='Summary - $ &amp; m3'!$A$8:$A$167)*($B31='Summary - $ &amp; m3'!$C$8:$C$167))</f>
        <v>31041</v>
      </c>
      <c r="U31" s="100" cm="1">
        <f t="array" ref="U31">SUMPRODUCT('Summary - $ &amp; m3'!$R$8:$U$167*(U$2='Summary - $ &amp; m3'!$R$7:$U$7)*(U$1='Summary - $ &amp; m3'!$A$8:$A$167)*($A31='Summary - $ &amp; m3'!$C$8:$C$167))+SUMPRODUCT('Summary - $ &amp; m3'!$R$8:$U$167*(U$2='Summary - $ &amp; m3'!$R$7:$U$7)*(U$1='Summary - $ &amp; m3'!$A$8:$A$167)*($B31='Summary - $ &amp; m3'!$C$8:$C$167))</f>
        <v>258674</v>
      </c>
      <c r="V31" s="101">
        <v>0</v>
      </c>
      <c r="W31" s="102">
        <f t="shared" si="2"/>
        <v>809915</v>
      </c>
      <c r="Y31" s="14" t="s">
        <v>26</v>
      </c>
      <c r="Z31" s="99" cm="1">
        <f t="array" ref="Z31">SUMPRODUCT('Summary - $ &amp; m3'!$R$8:$U$167*(Z$2='Summary - $ &amp; m3'!$R$7:$U$7)*(Z$1='Summary - $ &amp; m3'!$A$8:$A$167)*($A31='Summary - $ &amp; m3'!$C$8:$C$167))+SUMPRODUCT('Summary - $ &amp; m3'!$R$8:$U$167*(Z$2='Summary - $ &amp; m3'!$R$7:$U$7)*(Z$1='Summary - $ &amp; m3'!$A$8:$A$167)*($B31='Summary - $ &amp; m3'!$C$8:$C$167))</f>
        <v>530604</v>
      </c>
      <c r="AA31" s="100" cm="1">
        <f t="array" ref="AA31">SUMPRODUCT('Summary - $ &amp; m3'!$R$8:$U$167*(AA$2='Summary - $ &amp; m3'!$R$7:$U$7)*(AA$1='Summary - $ &amp; m3'!$A$8:$A$167)*($A31='Summary - $ &amp; m3'!$C$8:$C$167))+SUMPRODUCT('Summary - $ &amp; m3'!$R$8:$U$167*(AA$2='Summary - $ &amp; m3'!$R$7:$U$7)*(AA$1='Summary - $ &amp; m3'!$A$8:$A$167)*($B31='Summary - $ &amp; m3'!$C$8:$C$167))</f>
        <v>31575</v>
      </c>
      <c r="AB31" s="100" cm="1">
        <f t="array" ref="AB31">SUMPRODUCT('Summary - $ &amp; m3'!$R$8:$U$167*(AB$2='Summary - $ &amp; m3'!$R$7:$U$7)*(AB$1='Summary - $ &amp; m3'!$A$8:$A$167)*($A31='Summary - $ &amp; m3'!$C$8:$C$167))+SUMPRODUCT('Summary - $ &amp; m3'!$R$8:$U$167*(AB$2='Summary - $ &amp; m3'!$R$7:$U$7)*(AB$1='Summary - $ &amp; m3'!$A$8:$A$167)*($B31='Summary - $ &amp; m3'!$C$8:$C$167))</f>
        <v>263123</v>
      </c>
      <c r="AC31" s="101">
        <v>0</v>
      </c>
      <c r="AD31" s="102">
        <f t="shared" si="3"/>
        <v>825302</v>
      </c>
    </row>
    <row r="32" spans="1:30" x14ac:dyDescent="0.25">
      <c r="A32" s="61" t="s">
        <v>24</v>
      </c>
      <c r="B32" s="61"/>
      <c r="D32" s="14" t="s">
        <v>24</v>
      </c>
      <c r="E32" s="99" cm="1">
        <f t="array" ref="E32">SUMPRODUCT('Summary - $ &amp; m3'!$R$8:$U$167*(E$2='Summary - $ &amp; m3'!$R$7:$U$7)*(E$1='Summary - $ &amp; m3'!$A$8:$A$167)*($A32='Summary - $ &amp; m3'!$C$8:$C$167))+SUMPRODUCT('Summary - $ &amp; m3'!$R$8:$U$167*(E$2='Summary - $ &amp; m3'!$R$7:$U$7)*(E$1='Summary - $ &amp; m3'!$A$8:$A$167)*($B32='Summary - $ &amp; m3'!$C$8:$C$167))</f>
        <v>1800000</v>
      </c>
      <c r="F32" s="100" cm="1">
        <f t="array" ref="F32">SUMPRODUCT('Summary - $ &amp; m3'!$R$8:$U$167*(F$2='Summary - $ &amp; m3'!$R$7:$U$7)*(F$1='Summary - $ &amp; m3'!$A$8:$A$167)*($A32='Summary - $ &amp; m3'!$C$8:$C$167))+SUMPRODUCT('Summary - $ &amp; m3'!$R$8:$U$167*(F$2='Summary - $ &amp; m3'!$R$7:$U$7)*(F$1='Summary - $ &amp; m3'!$A$8:$A$167)*($B32='Summary - $ &amp; m3'!$C$8:$C$167))</f>
        <v>40000</v>
      </c>
      <c r="G32" s="100" cm="1">
        <f t="array" ref="G32">SUMPRODUCT('Summary - $ &amp; m3'!$R$8:$U$167*(G$2='Summary - $ &amp; m3'!$R$7:$U$7)*(G$1='Summary - $ &amp; m3'!$A$8:$A$167)*($A32='Summary - $ &amp; m3'!$C$8:$C$167))+SUMPRODUCT('Summary - $ &amp; m3'!$R$8:$U$167*(G$2='Summary - $ &amp; m3'!$R$7:$U$7)*(G$1='Summary - $ &amp; m3'!$A$8:$A$167)*($B32='Summary - $ &amp; m3'!$C$8:$C$167))</f>
        <v>160000</v>
      </c>
      <c r="H32" s="101">
        <v>0</v>
      </c>
      <c r="I32" s="102">
        <f t="shared" si="0"/>
        <v>2000000</v>
      </c>
      <c r="K32" s="14" t="s">
        <v>24</v>
      </c>
      <c r="L32" s="99" cm="1">
        <f t="array" ref="L32">SUMPRODUCT('Summary - $ &amp; m3'!$R$8:$U$167*(L$2='Summary - $ &amp; m3'!$R$7:$U$7)*(L$1='Summary - $ &amp; m3'!$A$8:$A$167)*($A32='Summary - $ &amp; m3'!$C$8:$C$167))+SUMPRODUCT('Summary - $ &amp; m3'!$R$8:$U$167*(L$2='Summary - $ &amp; m3'!$R$7:$U$7)*(L$1='Summary - $ &amp; m3'!$A$8:$A$167)*($B32='Summary - $ &amp; m3'!$C$8:$C$167))</f>
        <v>1836000</v>
      </c>
      <c r="M32" s="100" cm="1">
        <f t="array" ref="M32">SUMPRODUCT('Summary - $ &amp; m3'!$R$8:$U$167*(M$2='Summary - $ &amp; m3'!$R$7:$U$7)*(M$1='Summary - $ &amp; m3'!$A$8:$A$167)*($A32='Summary - $ &amp; m3'!$C$8:$C$167))+SUMPRODUCT('Summary - $ &amp; m3'!$R$8:$U$167*(M$2='Summary - $ &amp; m3'!$R$7:$U$7)*(M$1='Summary - $ &amp; m3'!$A$8:$A$167)*($B32='Summary - $ &amp; m3'!$C$8:$C$167))</f>
        <v>40688</v>
      </c>
      <c r="N32" s="100" cm="1">
        <f t="array" ref="N32">SUMPRODUCT('Summary - $ &amp; m3'!$R$8:$U$167*(N$2='Summary - $ &amp; m3'!$R$7:$U$7)*(N$1='Summary - $ &amp; m3'!$A$8:$A$167)*($A32='Summary - $ &amp; m3'!$C$8:$C$167))+SUMPRODUCT('Summary - $ &amp; m3'!$R$8:$U$167*(N$2='Summary - $ &amp; m3'!$R$7:$U$7)*(N$1='Summary - $ &amp; m3'!$A$8:$A$167)*($B32='Summary - $ &amp; m3'!$C$8:$C$167))</f>
        <v>162752</v>
      </c>
      <c r="O32" s="101">
        <v>0</v>
      </c>
      <c r="P32" s="102">
        <f t="shared" si="1"/>
        <v>2039440</v>
      </c>
      <c r="R32" s="14" t="s">
        <v>24</v>
      </c>
      <c r="S32" s="99" cm="1">
        <f t="array" ref="S32">SUMPRODUCT('Summary - $ &amp; m3'!$R$8:$U$167*(S$2='Summary - $ &amp; m3'!$R$7:$U$7)*(S$1='Summary - $ &amp; m3'!$A$8:$A$167)*($A32='Summary - $ &amp; m3'!$C$8:$C$167))+SUMPRODUCT('Summary - $ &amp; m3'!$R$8:$U$167*(S$2='Summary - $ &amp; m3'!$R$7:$U$7)*(S$1='Summary - $ &amp; m3'!$A$8:$A$167)*($B32='Summary - $ &amp; m3'!$C$8:$C$167))</f>
        <v>1872720</v>
      </c>
      <c r="T32" s="100" cm="1">
        <f t="array" ref="T32">SUMPRODUCT('Summary - $ &amp; m3'!$R$8:$U$167*(T$2='Summary - $ &amp; m3'!$R$7:$U$7)*(T$1='Summary - $ &amp; m3'!$A$8:$A$167)*($A32='Summary - $ &amp; m3'!$C$8:$C$167))+SUMPRODUCT('Summary - $ &amp; m3'!$R$8:$U$167*(T$2='Summary - $ &amp; m3'!$R$7:$U$7)*(T$1='Summary - $ &amp; m3'!$A$8:$A$167)*($B32='Summary - $ &amp; m3'!$C$8:$C$167))</f>
        <v>41388</v>
      </c>
      <c r="U32" s="100" cm="1">
        <f t="array" ref="U32">SUMPRODUCT('Summary - $ &amp; m3'!$R$8:$U$167*(U$2='Summary - $ &amp; m3'!$R$7:$U$7)*(U$1='Summary - $ &amp; m3'!$A$8:$A$167)*($A32='Summary - $ &amp; m3'!$C$8:$C$167))+SUMPRODUCT('Summary - $ &amp; m3'!$R$8:$U$167*(U$2='Summary - $ &amp; m3'!$R$7:$U$7)*(U$1='Summary - $ &amp; m3'!$A$8:$A$167)*($B32='Summary - $ &amp; m3'!$C$8:$C$167))</f>
        <v>165551</v>
      </c>
      <c r="V32" s="101">
        <v>0</v>
      </c>
      <c r="W32" s="102">
        <f t="shared" si="2"/>
        <v>2079659</v>
      </c>
      <c r="Y32" s="14" t="s">
        <v>24</v>
      </c>
      <c r="Z32" s="99" cm="1">
        <f t="array" ref="Z32">SUMPRODUCT('Summary - $ &amp; m3'!$R$8:$U$167*(Z$2='Summary - $ &amp; m3'!$R$7:$U$7)*(Z$1='Summary - $ &amp; m3'!$A$8:$A$167)*($A32='Summary - $ &amp; m3'!$C$8:$C$167))+SUMPRODUCT('Summary - $ &amp; m3'!$R$8:$U$167*(Z$2='Summary - $ &amp; m3'!$R$7:$U$7)*(Z$1='Summary - $ &amp; m3'!$A$8:$A$167)*($B32='Summary - $ &amp; m3'!$C$8:$C$167))</f>
        <v>1910174</v>
      </c>
      <c r="AA32" s="100" cm="1">
        <f t="array" ref="AA32">SUMPRODUCT('Summary - $ &amp; m3'!$R$8:$U$167*(AA$2='Summary - $ &amp; m3'!$R$7:$U$7)*(AA$1='Summary - $ &amp; m3'!$A$8:$A$167)*($A32='Summary - $ &amp; m3'!$C$8:$C$167))+SUMPRODUCT('Summary - $ &amp; m3'!$R$8:$U$167*(AA$2='Summary - $ &amp; m3'!$R$7:$U$7)*(AA$1='Summary - $ &amp; m3'!$A$8:$A$167)*($B32='Summary - $ &amp; m3'!$C$8:$C$167))</f>
        <v>42100</v>
      </c>
      <c r="AB32" s="100" cm="1">
        <f t="array" ref="AB32">SUMPRODUCT('Summary - $ &amp; m3'!$R$8:$U$167*(AB$2='Summary - $ &amp; m3'!$R$7:$U$7)*(AB$1='Summary - $ &amp; m3'!$A$8:$A$167)*($A32='Summary - $ &amp; m3'!$C$8:$C$167))+SUMPRODUCT('Summary - $ &amp; m3'!$R$8:$U$167*(AB$2='Summary - $ &amp; m3'!$R$7:$U$7)*(AB$1='Summary - $ &amp; m3'!$A$8:$A$167)*($B32='Summary - $ &amp; m3'!$C$8:$C$167))</f>
        <v>168399</v>
      </c>
      <c r="AC32" s="101">
        <v>0</v>
      </c>
      <c r="AD32" s="102">
        <f t="shared" si="3"/>
        <v>2120673</v>
      </c>
    </row>
    <row r="33" spans="1:30" hidden="1" outlineLevel="1" x14ac:dyDescent="0.25">
      <c r="A33" s="61" t="s">
        <v>25</v>
      </c>
      <c r="B33" s="61"/>
      <c r="D33" s="14" t="s">
        <v>136</v>
      </c>
      <c r="E33" s="103">
        <v>0</v>
      </c>
      <c r="F33" s="104">
        <v>0</v>
      </c>
      <c r="G33" s="105">
        <v>0</v>
      </c>
      <c r="H33" s="102" cm="1">
        <f t="array" ref="H33">SUMPRODUCT('Summary - $ &amp; m3'!$R$8:$U$167*(H$2='Summary - $ &amp; m3'!$R$7:$U$7)*(H$1='Summary - $ &amp; m3'!$A$8:$A$167)*($A33='Summary - $ &amp; m3'!$C$8:$C$167))+SUMPRODUCT('Summary - $ &amp; m3'!$R$8:$U$167*(H$2='Summary - $ &amp; m3'!$R$7:$U$7)*(H$1='Summary - $ &amp; m3'!$A$8:$A$167)*($B33='Summary - $ &amp; m3'!$C$8:$C$167))</f>
        <v>4814162</v>
      </c>
      <c r="I33" s="102">
        <f t="shared" si="0"/>
        <v>4814162</v>
      </c>
      <c r="K33" s="14" t="s">
        <v>136</v>
      </c>
      <c r="L33" s="103">
        <v>0</v>
      </c>
      <c r="M33" s="104">
        <v>0</v>
      </c>
      <c r="N33" s="105">
        <v>0</v>
      </c>
      <c r="O33" s="102" cm="1">
        <f t="array" ref="O33">SUMPRODUCT('Summary - $ &amp; m3'!$R$8:$U$167*(O$2='Summary - $ &amp; m3'!$R$7:$U$7)*(O$1='Summary - $ &amp; m3'!$A$8:$A$167)*($A33='Summary - $ &amp; m3'!$C$8:$C$167))+SUMPRODUCT('Summary - $ &amp; m3'!$R$8:$U$167*(O$2='Summary - $ &amp; m3'!$R$7:$U$7)*(O$1='Summary - $ &amp; m3'!$A$8:$A$167)*($B33='Summary - $ &amp; m3'!$C$8:$C$167))</f>
        <v>4896966</v>
      </c>
      <c r="P33" s="102">
        <f t="shared" si="1"/>
        <v>4896966</v>
      </c>
      <c r="R33" s="14" t="s">
        <v>136</v>
      </c>
      <c r="S33" s="103">
        <v>0</v>
      </c>
      <c r="T33" s="104">
        <v>0</v>
      </c>
      <c r="U33" s="105">
        <v>0</v>
      </c>
      <c r="V33" s="102" cm="1">
        <f t="array" ref="V33">SUMPRODUCT('Summary - $ &amp; m3'!$R$8:$U$167*(V$2='Summary - $ &amp; m3'!$R$7:$U$7)*(V$1='Summary - $ &amp; m3'!$A$8:$A$167)*($A33='Summary - $ &amp; m3'!$C$8:$C$167))+SUMPRODUCT('Summary - $ &amp; m3'!$R$8:$U$167*(V$2='Summary - $ &amp; m3'!$R$7:$U$7)*(V$1='Summary - $ &amp; m3'!$A$8:$A$167)*($B33='Summary - $ &amp; m3'!$C$8:$C$167))</f>
        <v>4981193</v>
      </c>
      <c r="W33" s="102">
        <f t="shared" si="2"/>
        <v>4981193</v>
      </c>
      <c r="Y33" s="14" t="s">
        <v>136</v>
      </c>
      <c r="Z33" s="103">
        <v>0</v>
      </c>
      <c r="AA33" s="104">
        <v>0</v>
      </c>
      <c r="AB33" s="105">
        <v>0</v>
      </c>
      <c r="AC33" s="102" cm="1">
        <f t="array" ref="AC33">SUMPRODUCT('Summary - $ &amp; m3'!$R$8:$U$167*(AC$2='Summary - $ &amp; m3'!$R$7:$U$7)*(AC$1='Summary - $ &amp; m3'!$A$8:$A$167)*($A33='Summary - $ &amp; m3'!$C$8:$C$167))+SUMPRODUCT('Summary - $ &amp; m3'!$R$8:$U$167*(AC$2='Summary - $ &amp; m3'!$R$7:$U$7)*(AC$1='Summary - $ &amp; m3'!$A$8:$A$167)*($B33='Summary - $ &amp; m3'!$C$8:$C$167))</f>
        <v>5066870</v>
      </c>
      <c r="AD33" s="102">
        <f t="shared" si="3"/>
        <v>5066870</v>
      </c>
    </row>
    <row r="34" spans="1:30" collapsed="1" x14ac:dyDescent="0.25">
      <c r="A34" s="61"/>
      <c r="B34" s="61"/>
      <c r="D34" s="24" t="s">
        <v>316</v>
      </c>
      <c r="E34" s="93">
        <f>SUM(E35:E36)</f>
        <v>3178709</v>
      </c>
      <c r="F34" s="93">
        <f>SUM(F35:F36)</f>
        <v>25000</v>
      </c>
      <c r="G34" s="93">
        <f>SUM(G35:G36)</f>
        <v>0</v>
      </c>
      <c r="H34" s="106">
        <f>SUM(H35:H36)</f>
        <v>275945</v>
      </c>
      <c r="I34" s="106">
        <f t="shared" si="0"/>
        <v>3479654</v>
      </c>
      <c r="K34" s="24" t="s">
        <v>316</v>
      </c>
      <c r="L34" s="98">
        <f>SUM(L35:L36)</f>
        <v>3307129</v>
      </c>
      <c r="M34" s="93">
        <f>SUM(M35:M36)</f>
        <v>25430</v>
      </c>
      <c r="N34" s="93">
        <f>SUM(N35:N36)</f>
        <v>0</v>
      </c>
      <c r="O34" s="106">
        <f>SUM(O35:O36)</f>
        <v>280691</v>
      </c>
      <c r="P34" s="106">
        <f t="shared" si="1"/>
        <v>3613250</v>
      </c>
      <c r="R34" s="24" t="s">
        <v>316</v>
      </c>
      <c r="S34" s="98">
        <f>SUM(S35:S36)</f>
        <v>3440737</v>
      </c>
      <c r="T34" s="93">
        <f>SUM(T35:T36)</f>
        <v>25867</v>
      </c>
      <c r="U34" s="93">
        <f>SUM(U35:U36)</f>
        <v>0</v>
      </c>
      <c r="V34" s="106">
        <f>SUM(V35:V36)</f>
        <v>285519</v>
      </c>
      <c r="W34" s="106">
        <f t="shared" si="2"/>
        <v>3752123</v>
      </c>
      <c r="Y34" s="24" t="s">
        <v>316</v>
      </c>
      <c r="Z34" s="98">
        <f>SUM(Z35:Z36)</f>
        <v>3579743</v>
      </c>
      <c r="AA34" s="93">
        <f>SUM(AA35:AA36)</f>
        <v>26312</v>
      </c>
      <c r="AB34" s="93">
        <f>SUM(AB35:AB36)</f>
        <v>0</v>
      </c>
      <c r="AC34" s="106">
        <f>SUM(AC35:AC36)</f>
        <v>290430</v>
      </c>
      <c r="AD34" s="106">
        <f t="shared" si="3"/>
        <v>3896485</v>
      </c>
    </row>
    <row r="35" spans="1:30" x14ac:dyDescent="0.25">
      <c r="A35" s="61" t="s">
        <v>27</v>
      </c>
      <c r="B35" s="61"/>
      <c r="D35" s="14" t="s">
        <v>27</v>
      </c>
      <c r="E35" s="99" cm="1">
        <f t="array" ref="E35">SUMPRODUCT('Summary - $ &amp; m3'!$R$8:$U$167*(E$2='Summary - $ &amp; m3'!$R$7:$U$7)*(E$1='Summary - $ &amp; m3'!$A$8:$A$167)*($A35='Summary - $ &amp; m3'!$C$8:$C$167))+SUMPRODUCT('Summary - $ &amp; m3'!$R$8:$U$167*(E$2='Summary - $ &amp; m3'!$R$7:$U$7)*(E$1='Summary - $ &amp; m3'!$A$8:$A$167)*($B35='Summary - $ &amp; m3'!$C$8:$C$167))</f>
        <v>3178709</v>
      </c>
      <c r="F35" s="100" cm="1">
        <f t="array" ref="F35">SUMPRODUCT('Summary - $ &amp; m3'!$R$8:$U$167*(F$2='Summary - $ &amp; m3'!$R$7:$U$7)*(F$1='Summary - $ &amp; m3'!$A$8:$A$167)*($A35='Summary - $ &amp; m3'!$C$8:$C$167))+SUMPRODUCT('Summary - $ &amp; m3'!$R$8:$U$167*(F$2='Summary - $ &amp; m3'!$R$7:$U$7)*(F$1='Summary - $ &amp; m3'!$A$8:$A$167)*($B35='Summary - $ &amp; m3'!$C$8:$C$167))</f>
        <v>25000</v>
      </c>
      <c r="G35" s="100" cm="1">
        <f t="array" ref="G35">SUMPRODUCT('Summary - $ &amp; m3'!$R$8:$U$167*(G$2='Summary - $ &amp; m3'!$R$7:$U$7)*(G$1='Summary - $ &amp; m3'!$A$8:$A$167)*($A35='Summary - $ &amp; m3'!$C$8:$C$167))+SUMPRODUCT('Summary - $ &amp; m3'!$R$8:$U$167*(G$2='Summary - $ &amp; m3'!$R$7:$U$7)*(G$1='Summary - $ &amp; m3'!$A$8:$A$167)*($B35='Summary - $ &amp; m3'!$C$8:$C$167))</f>
        <v>0</v>
      </c>
      <c r="H35" s="101">
        <v>0</v>
      </c>
      <c r="I35" s="102">
        <f t="shared" si="0"/>
        <v>3203709</v>
      </c>
      <c r="K35" s="14" t="s">
        <v>27</v>
      </c>
      <c r="L35" s="99" cm="1">
        <f t="array" ref="L35">SUMPRODUCT('Summary - $ &amp; m3'!$R$8:$U$167*(L$2='Summary - $ &amp; m3'!$R$7:$U$7)*(L$1='Summary - $ &amp; m3'!$A$8:$A$167)*($A35='Summary - $ &amp; m3'!$C$8:$C$167))+SUMPRODUCT('Summary - $ &amp; m3'!$R$8:$U$167*(L$2='Summary - $ &amp; m3'!$R$7:$U$7)*(L$1='Summary - $ &amp; m3'!$A$8:$A$167)*($B35='Summary - $ &amp; m3'!$C$8:$C$167))</f>
        <v>3307129</v>
      </c>
      <c r="M35" s="100" cm="1">
        <f t="array" ref="M35">SUMPRODUCT('Summary - $ &amp; m3'!$R$8:$U$167*(M$2='Summary - $ &amp; m3'!$R$7:$U$7)*(M$1='Summary - $ &amp; m3'!$A$8:$A$167)*($A35='Summary - $ &amp; m3'!$C$8:$C$167))+SUMPRODUCT('Summary - $ &amp; m3'!$R$8:$U$167*(M$2='Summary - $ &amp; m3'!$R$7:$U$7)*(M$1='Summary - $ &amp; m3'!$A$8:$A$167)*($B35='Summary - $ &amp; m3'!$C$8:$C$167))</f>
        <v>25430</v>
      </c>
      <c r="N35" s="100" cm="1">
        <f t="array" ref="N35">SUMPRODUCT('Summary - $ &amp; m3'!$R$8:$U$167*(N$2='Summary - $ &amp; m3'!$R$7:$U$7)*(N$1='Summary - $ &amp; m3'!$A$8:$A$167)*($A35='Summary - $ &amp; m3'!$C$8:$C$167))+SUMPRODUCT('Summary - $ &amp; m3'!$R$8:$U$167*(N$2='Summary - $ &amp; m3'!$R$7:$U$7)*(N$1='Summary - $ &amp; m3'!$A$8:$A$167)*($B35='Summary - $ &amp; m3'!$C$8:$C$167))</f>
        <v>0</v>
      </c>
      <c r="O35" s="101">
        <v>0</v>
      </c>
      <c r="P35" s="102">
        <f t="shared" si="1"/>
        <v>3332559</v>
      </c>
      <c r="R35" s="14" t="s">
        <v>27</v>
      </c>
      <c r="S35" s="99" cm="1">
        <f t="array" ref="S35">SUMPRODUCT('Summary - $ &amp; m3'!$R$8:$U$167*(S$2='Summary - $ &amp; m3'!$R$7:$U$7)*(S$1='Summary - $ &amp; m3'!$A$8:$A$167)*($A35='Summary - $ &amp; m3'!$C$8:$C$167))+SUMPRODUCT('Summary - $ &amp; m3'!$R$8:$U$167*(S$2='Summary - $ &amp; m3'!$R$7:$U$7)*(S$1='Summary - $ &amp; m3'!$A$8:$A$167)*($B35='Summary - $ &amp; m3'!$C$8:$C$167))</f>
        <v>3440737</v>
      </c>
      <c r="T35" s="100" cm="1">
        <f t="array" ref="T35">SUMPRODUCT('Summary - $ &amp; m3'!$R$8:$U$167*(T$2='Summary - $ &amp; m3'!$R$7:$U$7)*(T$1='Summary - $ &amp; m3'!$A$8:$A$167)*($A35='Summary - $ &amp; m3'!$C$8:$C$167))+SUMPRODUCT('Summary - $ &amp; m3'!$R$8:$U$167*(T$2='Summary - $ &amp; m3'!$R$7:$U$7)*(T$1='Summary - $ &amp; m3'!$A$8:$A$167)*($B35='Summary - $ &amp; m3'!$C$8:$C$167))</f>
        <v>25867</v>
      </c>
      <c r="U35" s="100" cm="1">
        <f t="array" ref="U35">SUMPRODUCT('Summary - $ &amp; m3'!$R$8:$U$167*(U$2='Summary - $ &amp; m3'!$R$7:$U$7)*(U$1='Summary - $ &amp; m3'!$A$8:$A$167)*($A35='Summary - $ &amp; m3'!$C$8:$C$167))+SUMPRODUCT('Summary - $ &amp; m3'!$R$8:$U$167*(U$2='Summary - $ &amp; m3'!$R$7:$U$7)*(U$1='Summary - $ &amp; m3'!$A$8:$A$167)*($B35='Summary - $ &amp; m3'!$C$8:$C$167))</f>
        <v>0</v>
      </c>
      <c r="V35" s="101">
        <v>0</v>
      </c>
      <c r="W35" s="102">
        <f t="shared" si="2"/>
        <v>3466604</v>
      </c>
      <c r="Y35" s="14" t="s">
        <v>27</v>
      </c>
      <c r="Z35" s="99" cm="1">
        <f t="array" ref="Z35">SUMPRODUCT('Summary - $ &amp; m3'!$R$8:$U$167*(Z$2='Summary - $ &amp; m3'!$R$7:$U$7)*(Z$1='Summary - $ &amp; m3'!$A$8:$A$167)*($A35='Summary - $ &amp; m3'!$C$8:$C$167))+SUMPRODUCT('Summary - $ &amp; m3'!$R$8:$U$167*(Z$2='Summary - $ &amp; m3'!$R$7:$U$7)*(Z$1='Summary - $ &amp; m3'!$A$8:$A$167)*($B35='Summary - $ &amp; m3'!$C$8:$C$167))</f>
        <v>3579743</v>
      </c>
      <c r="AA35" s="100" cm="1">
        <f t="array" ref="AA35">SUMPRODUCT('Summary - $ &amp; m3'!$R$8:$U$167*(AA$2='Summary - $ &amp; m3'!$R$7:$U$7)*(AA$1='Summary - $ &amp; m3'!$A$8:$A$167)*($A35='Summary - $ &amp; m3'!$C$8:$C$167))+SUMPRODUCT('Summary - $ &amp; m3'!$R$8:$U$167*(AA$2='Summary - $ &amp; m3'!$R$7:$U$7)*(AA$1='Summary - $ &amp; m3'!$A$8:$A$167)*($B35='Summary - $ &amp; m3'!$C$8:$C$167))</f>
        <v>26312</v>
      </c>
      <c r="AB35" s="100" cm="1">
        <f t="array" ref="AB35">SUMPRODUCT('Summary - $ &amp; m3'!$R$8:$U$167*(AB$2='Summary - $ &amp; m3'!$R$7:$U$7)*(AB$1='Summary - $ &amp; m3'!$A$8:$A$167)*($A35='Summary - $ &amp; m3'!$C$8:$C$167))+SUMPRODUCT('Summary - $ &amp; m3'!$R$8:$U$167*(AB$2='Summary - $ &amp; m3'!$R$7:$U$7)*(AB$1='Summary - $ &amp; m3'!$A$8:$A$167)*($B35='Summary - $ &amp; m3'!$C$8:$C$167))</f>
        <v>0</v>
      </c>
      <c r="AC35" s="101">
        <v>0</v>
      </c>
      <c r="AD35" s="102">
        <f t="shared" si="3"/>
        <v>3606055</v>
      </c>
    </row>
    <row r="36" spans="1:30" hidden="1" outlineLevel="1" x14ac:dyDescent="0.25">
      <c r="A36" s="61" t="s">
        <v>28</v>
      </c>
      <c r="B36" s="61"/>
      <c r="D36" s="14" t="s">
        <v>136</v>
      </c>
      <c r="E36" s="103">
        <v>0</v>
      </c>
      <c r="F36" s="104">
        <v>0</v>
      </c>
      <c r="G36" s="105">
        <v>0</v>
      </c>
      <c r="H36" s="102" cm="1">
        <f t="array" ref="H36">SUMPRODUCT('Summary - $ &amp; m3'!$R$8:$U$167*(H$2='Summary - $ &amp; m3'!$R$7:$U$7)*(H$1='Summary - $ &amp; m3'!$A$8:$A$167)*($A36='Summary - $ &amp; m3'!$C$8:$C$167))+SUMPRODUCT('Summary - $ &amp; m3'!$R$8:$U$167*(H$2='Summary - $ &amp; m3'!$R$7:$U$7)*(H$1='Summary - $ &amp; m3'!$A$8:$A$167)*($B36='Summary - $ &amp; m3'!$C$8:$C$167))</f>
        <v>275945</v>
      </c>
      <c r="I36" s="102">
        <f t="shared" si="0"/>
        <v>275945</v>
      </c>
      <c r="K36" s="14" t="s">
        <v>136</v>
      </c>
      <c r="L36" s="103">
        <v>0</v>
      </c>
      <c r="M36" s="104">
        <v>0</v>
      </c>
      <c r="N36" s="105">
        <v>0</v>
      </c>
      <c r="O36" s="102" cm="1">
        <f t="array" ref="O36">SUMPRODUCT('Summary - $ &amp; m3'!$R$8:$U$167*(O$2='Summary - $ &amp; m3'!$R$7:$U$7)*(O$1='Summary - $ &amp; m3'!$A$8:$A$167)*($A36='Summary - $ &amp; m3'!$C$8:$C$167))+SUMPRODUCT('Summary - $ &amp; m3'!$R$8:$U$167*(O$2='Summary - $ &amp; m3'!$R$7:$U$7)*(O$1='Summary - $ &amp; m3'!$A$8:$A$167)*($B36='Summary - $ &amp; m3'!$C$8:$C$167))</f>
        <v>280691</v>
      </c>
      <c r="P36" s="102">
        <f t="shared" si="1"/>
        <v>280691</v>
      </c>
      <c r="R36" s="14" t="s">
        <v>136</v>
      </c>
      <c r="S36" s="103">
        <v>0</v>
      </c>
      <c r="T36" s="104">
        <v>0</v>
      </c>
      <c r="U36" s="105">
        <v>0</v>
      </c>
      <c r="V36" s="102" cm="1">
        <f t="array" ref="V36">SUMPRODUCT('Summary - $ &amp; m3'!$R$8:$U$167*(V$2='Summary - $ &amp; m3'!$R$7:$U$7)*(V$1='Summary - $ &amp; m3'!$A$8:$A$167)*($A36='Summary - $ &amp; m3'!$C$8:$C$167))+SUMPRODUCT('Summary - $ &amp; m3'!$R$8:$U$167*(V$2='Summary - $ &amp; m3'!$R$7:$U$7)*(V$1='Summary - $ &amp; m3'!$A$8:$A$167)*($B36='Summary - $ &amp; m3'!$C$8:$C$167))</f>
        <v>285519</v>
      </c>
      <c r="W36" s="102">
        <f t="shared" si="2"/>
        <v>285519</v>
      </c>
      <c r="Y36" s="14" t="s">
        <v>136</v>
      </c>
      <c r="Z36" s="103">
        <v>0</v>
      </c>
      <c r="AA36" s="104">
        <v>0</v>
      </c>
      <c r="AB36" s="105">
        <v>0</v>
      </c>
      <c r="AC36" s="102" cm="1">
        <f t="array" ref="AC36">SUMPRODUCT('Summary - $ &amp; m3'!$R$8:$U$167*(AC$2='Summary - $ &amp; m3'!$R$7:$U$7)*(AC$1='Summary - $ &amp; m3'!$A$8:$A$167)*($A36='Summary - $ &amp; m3'!$C$8:$C$167))+SUMPRODUCT('Summary - $ &amp; m3'!$R$8:$U$167*(AC$2='Summary - $ &amp; m3'!$R$7:$U$7)*(AC$1='Summary - $ &amp; m3'!$A$8:$A$167)*($B36='Summary - $ &amp; m3'!$C$8:$C$167))</f>
        <v>290430</v>
      </c>
      <c r="AD36" s="102">
        <f t="shared" si="3"/>
        <v>290430</v>
      </c>
    </row>
    <row r="37" spans="1:30" collapsed="1" x14ac:dyDescent="0.25">
      <c r="A37" s="61"/>
      <c r="B37" s="61"/>
      <c r="D37" s="107" t="s">
        <v>229</v>
      </c>
      <c r="E37" s="108">
        <f>SUM(E7,E15,E19,E29,E34)</f>
        <v>134785541</v>
      </c>
      <c r="F37" s="109">
        <f>SUM(F7,F15,F19,F29,F34)</f>
        <v>11965700</v>
      </c>
      <c r="G37" s="109">
        <f>SUM(G7,G15,G19,G29,G34)</f>
        <v>11756494</v>
      </c>
      <c r="H37" s="110">
        <f>SUM(H7,H15,H19,H29,H34)</f>
        <v>15029335</v>
      </c>
      <c r="I37" s="111">
        <f>SUM(I7,I15,I19,I29,I34)</f>
        <v>173537070</v>
      </c>
      <c r="K37" s="107" t="s">
        <v>229</v>
      </c>
      <c r="L37" s="112">
        <f>SUM(L7,L15,L19,L29,L34)</f>
        <v>146754892</v>
      </c>
      <c r="M37" s="113">
        <f>SUM(M7,M15,M19,M29,M34)</f>
        <v>12235695</v>
      </c>
      <c r="N37" s="113">
        <f>SUM(N7,N15,N19,N29,N34)</f>
        <v>11995099</v>
      </c>
      <c r="O37" s="111">
        <f>SUM(O7,O15,O19,O29,O34)</f>
        <v>15287839</v>
      </c>
      <c r="P37" s="111">
        <f>SUM(P7,P15,P19,P29,P34)</f>
        <v>186273525</v>
      </c>
      <c r="R37" s="107" t="s">
        <v>229</v>
      </c>
      <c r="S37" s="112">
        <f>SUM(S7,S15,S19,S29,S34)</f>
        <v>156829983</v>
      </c>
      <c r="T37" s="113">
        <f>SUM(T7,T15,T19,T29,T34)</f>
        <v>12451478</v>
      </c>
      <c r="U37" s="113">
        <f>SUM(U7,U15,U19,U29,U34)</f>
        <v>12780139</v>
      </c>
      <c r="V37" s="111">
        <f>SUM(V7,V15,V19,V29,V34)</f>
        <v>15550791</v>
      </c>
      <c r="W37" s="111">
        <f>SUM(W7,W15,W19,W29,W34)</f>
        <v>197612391</v>
      </c>
      <c r="Y37" s="107" t="s">
        <v>229</v>
      </c>
      <c r="Z37" s="112">
        <f>SUM(Z7,Z15,Z19,Z29,Z34)</f>
        <v>166234535</v>
      </c>
      <c r="AA37" s="113">
        <f>SUM(AA7,AA15,AA19,AA29,AA34)</f>
        <v>12770421</v>
      </c>
      <c r="AB37" s="113">
        <f>SUM(AB7,AB15,AB19,AB29,AB34)</f>
        <v>13548371</v>
      </c>
      <c r="AC37" s="111">
        <f>SUM(AC7,AC15,AC19,AC29,AC34)</f>
        <v>15818265</v>
      </c>
      <c r="AD37" s="111">
        <f>SUM(AD7,AD15,AD19,AD29,AD34)</f>
        <v>208371592</v>
      </c>
    </row>
    <row r="38" spans="1:30" x14ac:dyDescent="0.25">
      <c r="A38" s="61" t="s">
        <v>30</v>
      </c>
      <c r="B38" s="61"/>
      <c r="D38" s="114" t="s">
        <v>317</v>
      </c>
      <c r="E38" s="103">
        <v>0</v>
      </c>
      <c r="F38" s="104">
        <v>0</v>
      </c>
      <c r="G38" s="104">
        <v>0</v>
      </c>
      <c r="H38" s="102" cm="1">
        <f t="array" ref="H38">SUMPRODUCT('Summary - $ &amp; m3'!$R$8:$U$167*(H$2='Summary - $ &amp; m3'!$R$7:$U$7)*(H$1='Summary - $ &amp; m3'!$A$8:$A$167)*($A38='Summary - $ &amp; m3'!$C$8:$C$167))+SUMPRODUCT('Summary - $ &amp; m3'!$R$8:$U$167*(H$2='Summary - $ &amp; m3'!$R$7:$U$7)*(H$1='Summary - $ &amp; m3'!$A$8:$A$167)*($B38='Summary - $ &amp; m3'!$C$8:$C$167))</f>
        <v>7703652</v>
      </c>
      <c r="I38" s="102">
        <f t="shared" ref="I38:I46" si="8">SUM(E38:H38)</f>
        <v>7703652</v>
      </c>
      <c r="K38" s="114" t="s">
        <v>317</v>
      </c>
      <c r="L38" s="103">
        <v>0</v>
      </c>
      <c r="M38" s="104">
        <v>0</v>
      </c>
      <c r="N38" s="104">
        <v>0</v>
      </c>
      <c r="O38" s="102" cm="1">
        <f t="array" ref="O38">SUMPRODUCT('Summary - $ &amp; m3'!$R$8:$U$167*(O$2='Summary - $ &amp; m3'!$R$7:$U$7)*(O$1='Summary - $ &amp; m3'!$A$8:$A$167)*($A38='Summary - $ &amp; m3'!$C$8:$C$167))+SUMPRODUCT('Summary - $ &amp; m3'!$R$8:$U$167*(O$2='Summary - $ &amp; m3'!$R$7:$U$7)*(O$1='Summary - $ &amp; m3'!$A$8:$A$167)*($B38='Summary - $ &amp; m3'!$C$8:$C$167))</f>
        <v>7836155</v>
      </c>
      <c r="P38" s="102">
        <f t="shared" ref="P38:P46" si="9">SUM(L38:O38)</f>
        <v>7836155</v>
      </c>
      <c r="R38" s="114" t="s">
        <v>317</v>
      </c>
      <c r="S38" s="103">
        <v>0</v>
      </c>
      <c r="T38" s="104">
        <v>0</v>
      </c>
      <c r="U38" s="104">
        <v>0</v>
      </c>
      <c r="V38" s="102" cm="1">
        <f t="array" ref="V38">SUMPRODUCT('Summary - $ &amp; m3'!$R$8:$U$167*(V$2='Summary - $ &amp; m3'!$R$7:$U$7)*(V$1='Summary - $ &amp; m3'!$A$8:$A$167)*($A38='Summary - $ &amp; m3'!$C$8:$C$167))+SUMPRODUCT('Summary - $ &amp; m3'!$R$8:$U$167*(V$2='Summary - $ &amp; m3'!$R$7:$U$7)*(V$1='Summary - $ &amp; m3'!$A$8:$A$167)*($B38='Summary - $ &amp; m3'!$C$8:$C$167))</f>
        <v>7970936</v>
      </c>
      <c r="W38" s="102">
        <f t="shared" ref="W38:W46" si="10">SUM(S38:V38)</f>
        <v>7970936</v>
      </c>
      <c r="Y38" s="114" t="s">
        <v>317</v>
      </c>
      <c r="Z38" s="103">
        <v>0</v>
      </c>
      <c r="AA38" s="104">
        <v>0</v>
      </c>
      <c r="AB38" s="104">
        <v>0</v>
      </c>
      <c r="AC38" s="102" cm="1">
        <f t="array" ref="AC38">SUMPRODUCT('Summary - $ &amp; m3'!$R$8:$U$167*(AC$2='Summary - $ &amp; m3'!$R$7:$U$7)*(AC$1='Summary - $ &amp; m3'!$A$8:$A$167)*($A38='Summary - $ &amp; m3'!$C$8:$C$167))+SUMPRODUCT('Summary - $ &amp; m3'!$R$8:$U$167*(AC$2='Summary - $ &amp; m3'!$R$7:$U$7)*(AC$1='Summary - $ &amp; m3'!$A$8:$A$167)*($B38='Summary - $ &amp; m3'!$C$8:$C$167))</f>
        <v>8108038</v>
      </c>
      <c r="AD38" s="102">
        <f t="shared" ref="AD38:AD46" si="11">SUM(Z38:AC38)</f>
        <v>8108038</v>
      </c>
    </row>
    <row r="39" spans="1:30" x14ac:dyDescent="0.25">
      <c r="A39" s="61" t="s">
        <v>32</v>
      </c>
      <c r="B39" s="61"/>
      <c r="D39" s="14" t="s">
        <v>318</v>
      </c>
      <c r="E39" s="103">
        <v>0</v>
      </c>
      <c r="F39" s="104">
        <v>0</v>
      </c>
      <c r="G39" s="104">
        <v>0</v>
      </c>
      <c r="H39" s="102" cm="1">
        <f t="array" ref="H39">SUMPRODUCT('Summary - $ &amp; m3'!$R$8:$U$167*(H$2='Summary - $ &amp; m3'!$R$7:$U$7)*(H$1='Summary - $ &amp; m3'!$A$8:$A$167)*($A39='Summary - $ &amp; m3'!$C$8:$C$167))+SUMPRODUCT('Summary - $ &amp; m3'!$R$8:$U$167*(H$2='Summary - $ &amp; m3'!$R$7:$U$7)*(H$1='Summary - $ &amp; m3'!$A$8:$A$167)*($B39='Summary - $ &amp; m3'!$C$8:$C$167))</f>
        <v>1583000</v>
      </c>
      <c r="I39" s="102">
        <f t="shared" si="8"/>
        <v>1583000</v>
      </c>
      <c r="K39" s="14" t="s">
        <v>318</v>
      </c>
      <c r="L39" s="103">
        <v>0</v>
      </c>
      <c r="M39" s="104">
        <v>0</v>
      </c>
      <c r="N39" s="104">
        <v>0</v>
      </c>
      <c r="O39" s="102" cm="1">
        <f t="array" ref="O39">SUMPRODUCT('Summary - $ &amp; m3'!$R$8:$U$167*(O$2='Summary - $ &amp; m3'!$R$7:$U$7)*(O$1='Summary - $ &amp; m3'!$A$8:$A$167)*($A39='Summary - $ &amp; m3'!$C$8:$C$167))+SUMPRODUCT('Summary - $ &amp; m3'!$R$8:$U$167*(O$2='Summary - $ &amp; m3'!$R$7:$U$7)*(O$1='Summary - $ &amp; m3'!$A$8:$A$167)*($B39='Summary - $ &amp; m3'!$C$8:$C$167))</f>
        <v>1406788</v>
      </c>
      <c r="P39" s="102">
        <f t="shared" si="9"/>
        <v>1406788</v>
      </c>
      <c r="R39" s="14" t="s">
        <v>318</v>
      </c>
      <c r="S39" s="103">
        <v>0</v>
      </c>
      <c r="T39" s="104">
        <v>0</v>
      </c>
      <c r="U39" s="104">
        <v>0</v>
      </c>
      <c r="V39" s="102" cm="1">
        <f t="array" ref="V39">SUMPRODUCT('Summary - $ &amp; m3'!$R$8:$U$167*(V$2='Summary - $ &amp; m3'!$R$7:$U$7)*(V$1='Summary - $ &amp; m3'!$A$8:$A$167)*($A39='Summary - $ &amp; m3'!$C$8:$C$167))+SUMPRODUCT('Summary - $ &amp; m3'!$R$8:$U$167*(V$2='Summary - $ &amp; m3'!$R$7:$U$7)*(V$1='Summary - $ &amp; m3'!$A$8:$A$167)*($B39='Summary - $ &amp; m3'!$C$8:$C$167))</f>
        <v>1430985</v>
      </c>
      <c r="W39" s="102">
        <f t="shared" si="10"/>
        <v>1430985</v>
      </c>
      <c r="Y39" s="14" t="s">
        <v>318</v>
      </c>
      <c r="Z39" s="103">
        <v>0</v>
      </c>
      <c r="AA39" s="104">
        <v>0</v>
      </c>
      <c r="AB39" s="104">
        <v>0</v>
      </c>
      <c r="AC39" s="102" cm="1">
        <f t="array" ref="AC39">SUMPRODUCT('Summary - $ &amp; m3'!$R$8:$U$167*(AC$2='Summary - $ &amp; m3'!$R$7:$U$7)*(AC$1='Summary - $ &amp; m3'!$A$8:$A$167)*($A39='Summary - $ &amp; m3'!$C$8:$C$167))+SUMPRODUCT('Summary - $ &amp; m3'!$R$8:$U$167*(AC$2='Summary - $ &amp; m3'!$R$7:$U$7)*(AC$1='Summary - $ &amp; m3'!$A$8:$A$167)*($B39='Summary - $ &amp; m3'!$C$8:$C$167))</f>
        <v>1455596</v>
      </c>
      <c r="AD39" s="102">
        <f t="shared" si="11"/>
        <v>1455596</v>
      </c>
    </row>
    <row r="40" spans="1:30" x14ac:dyDescent="0.25">
      <c r="A40" s="61" t="s">
        <v>36</v>
      </c>
      <c r="B40" s="61"/>
      <c r="D40" s="14" t="s">
        <v>319</v>
      </c>
      <c r="E40" s="103">
        <v>0</v>
      </c>
      <c r="F40" s="104">
        <v>0</v>
      </c>
      <c r="G40" s="104">
        <v>0</v>
      </c>
      <c r="H40" s="102" cm="1">
        <f t="array" ref="H40">SUMPRODUCT('Summary - $ &amp; m3'!$R$8:$U$167*(H$2='Summary - $ &amp; m3'!$R$7:$U$7)*(H$1='Summary - $ &amp; m3'!$A$8:$A$167)*($A40='Summary - $ &amp; m3'!$C$8:$C$167))+SUMPRODUCT('Summary - $ &amp; m3'!$R$8:$U$167*(H$2='Summary - $ &amp; m3'!$R$7:$U$7)*(H$1='Summary - $ &amp; m3'!$A$8:$A$167)*($B40='Summary - $ &amp; m3'!$C$8:$C$167))</f>
        <v>828000</v>
      </c>
      <c r="I40" s="102">
        <f t="shared" si="8"/>
        <v>828000</v>
      </c>
      <c r="K40" s="14" t="s">
        <v>319</v>
      </c>
      <c r="L40" s="103">
        <v>0</v>
      </c>
      <c r="M40" s="104">
        <v>0</v>
      </c>
      <c r="N40" s="104">
        <v>0</v>
      </c>
      <c r="O40" s="102" cm="1">
        <f t="array" ref="O40">SUMPRODUCT('Summary - $ &amp; m3'!$R$8:$U$167*(O$2='Summary - $ &amp; m3'!$R$7:$U$7)*(O$1='Summary - $ &amp; m3'!$A$8:$A$167)*($A40='Summary - $ &amp; m3'!$C$8:$C$167))+SUMPRODUCT('Summary - $ &amp; m3'!$R$8:$U$167*(O$2='Summary - $ &amp; m3'!$R$7:$U$7)*(O$1='Summary - $ &amp; m3'!$A$8:$A$167)*($B40='Summary - $ &amp; m3'!$C$8:$C$167))</f>
        <v>842242</v>
      </c>
      <c r="P40" s="102">
        <f t="shared" si="9"/>
        <v>842242</v>
      </c>
      <c r="R40" s="14" t="s">
        <v>319</v>
      </c>
      <c r="S40" s="103">
        <v>0</v>
      </c>
      <c r="T40" s="104">
        <v>0</v>
      </c>
      <c r="U40" s="104">
        <v>0</v>
      </c>
      <c r="V40" s="102" cm="1">
        <f t="array" ref="V40">SUMPRODUCT('Summary - $ &amp; m3'!$R$8:$U$167*(V$2='Summary - $ &amp; m3'!$R$7:$U$7)*(V$1='Summary - $ &amp; m3'!$A$8:$A$167)*($A40='Summary - $ &amp; m3'!$C$8:$C$167))+SUMPRODUCT('Summary - $ &amp; m3'!$R$8:$U$167*(V$2='Summary - $ &amp; m3'!$R$7:$U$7)*(V$1='Summary - $ &amp; m3'!$A$8:$A$167)*($B40='Summary - $ &amp; m3'!$C$8:$C$167))</f>
        <v>856728</v>
      </c>
      <c r="W40" s="102">
        <f t="shared" si="10"/>
        <v>856728</v>
      </c>
      <c r="Y40" s="14" t="s">
        <v>319</v>
      </c>
      <c r="Z40" s="103">
        <v>0</v>
      </c>
      <c r="AA40" s="104">
        <v>0</v>
      </c>
      <c r="AB40" s="104">
        <v>0</v>
      </c>
      <c r="AC40" s="102" cm="1">
        <f t="array" ref="AC40">SUMPRODUCT('Summary - $ &amp; m3'!$R$8:$U$167*(AC$2='Summary - $ &amp; m3'!$R$7:$U$7)*(AC$1='Summary - $ &amp; m3'!$A$8:$A$167)*($A40='Summary - $ &amp; m3'!$C$8:$C$167))+SUMPRODUCT('Summary - $ &amp; m3'!$R$8:$U$167*(AC$2='Summary - $ &amp; m3'!$R$7:$U$7)*(AC$1='Summary - $ &amp; m3'!$A$8:$A$167)*($B40='Summary - $ &amp; m3'!$C$8:$C$167))</f>
        <v>871464</v>
      </c>
      <c r="AD40" s="102">
        <f t="shared" si="11"/>
        <v>871464</v>
      </c>
    </row>
    <row r="41" spans="1:30" x14ac:dyDescent="0.25">
      <c r="A41" s="61" t="s">
        <v>177</v>
      </c>
      <c r="B41" s="61"/>
      <c r="D41" s="14" t="s">
        <v>329</v>
      </c>
      <c r="E41" s="103">
        <v>0</v>
      </c>
      <c r="F41" s="104">
        <v>0</v>
      </c>
      <c r="G41" s="104">
        <v>0</v>
      </c>
      <c r="H41" s="102" cm="1">
        <f t="array" ref="H41">SUMPRODUCT('Summary - $ &amp; m3'!$R$8:$U$167*(H$2='Summary - $ &amp; m3'!$R$7:$U$7)*(H$1='Summary - $ &amp; m3'!$A$8:$A$167)*($A41='Summary - $ &amp; m3'!$C$8:$C$167))+SUMPRODUCT('Summary - $ &amp; m3'!$R$8:$U$167*(H$2='Summary - $ &amp; m3'!$R$7:$U$7)*(H$1='Summary - $ &amp; m3'!$A$8:$A$167)*($B41='Summary - $ &amp; m3'!$C$8:$C$167))</f>
        <v>610000</v>
      </c>
      <c r="I41" s="102">
        <f t="shared" si="8"/>
        <v>610000</v>
      </c>
      <c r="K41" s="14" t="s">
        <v>329</v>
      </c>
      <c r="L41" s="103">
        <v>0</v>
      </c>
      <c r="M41" s="104">
        <v>0</v>
      </c>
      <c r="N41" s="104">
        <v>0</v>
      </c>
      <c r="O41" s="102" cm="1">
        <f t="array" ref="O41">SUMPRODUCT('Summary - $ &amp; m3'!$R$8:$U$167*(O$2='Summary - $ &amp; m3'!$R$7:$U$7)*(O$1='Summary - $ &amp; m3'!$A$8:$A$167)*($A41='Summary - $ &amp; m3'!$C$8:$C$167))+SUMPRODUCT('Summary - $ &amp; m3'!$R$8:$U$167*(O$2='Summary - $ &amp; m3'!$R$7:$U$7)*(O$1='Summary - $ &amp; m3'!$A$8:$A$167)*($B41='Summary - $ &amp; m3'!$C$8:$C$167))</f>
        <v>620492</v>
      </c>
      <c r="P41" s="102">
        <f t="shared" si="9"/>
        <v>620492</v>
      </c>
      <c r="R41" s="14" t="s">
        <v>329</v>
      </c>
      <c r="S41" s="103">
        <v>0</v>
      </c>
      <c r="T41" s="104">
        <v>0</v>
      </c>
      <c r="U41" s="104">
        <v>0</v>
      </c>
      <c r="V41" s="102" cm="1">
        <f t="array" ref="V41">SUMPRODUCT('Summary - $ &amp; m3'!$R$8:$U$167*(V$2='Summary - $ &amp; m3'!$R$7:$U$7)*(V$1='Summary - $ &amp; m3'!$A$8:$A$167)*($A41='Summary - $ &amp; m3'!$C$8:$C$167))+SUMPRODUCT('Summary - $ &amp; m3'!$R$8:$U$167*(V$2='Summary - $ &amp; m3'!$R$7:$U$7)*(V$1='Summary - $ &amp; m3'!$A$8:$A$167)*($B41='Summary - $ &amp; m3'!$C$8:$C$167))</f>
        <v>631164</v>
      </c>
      <c r="W41" s="102">
        <f t="shared" si="10"/>
        <v>631164</v>
      </c>
      <c r="Y41" s="14" t="s">
        <v>329</v>
      </c>
      <c r="Z41" s="103">
        <v>0</v>
      </c>
      <c r="AA41" s="104">
        <v>0</v>
      </c>
      <c r="AB41" s="104">
        <v>0</v>
      </c>
      <c r="AC41" s="102" cm="1">
        <f t="array" ref="AC41">SUMPRODUCT('Summary - $ &amp; m3'!$R$8:$U$167*(AC$2='Summary - $ &amp; m3'!$R$7:$U$7)*(AC$1='Summary - $ &amp; m3'!$A$8:$A$167)*($A41='Summary - $ &amp; m3'!$C$8:$C$167))+SUMPRODUCT('Summary - $ &amp; m3'!$R$8:$U$167*(AC$2='Summary - $ &amp; m3'!$R$7:$U$7)*(AC$1='Summary - $ &amp; m3'!$A$8:$A$167)*($B41='Summary - $ &amp; m3'!$C$8:$C$167))</f>
        <v>642020</v>
      </c>
      <c r="AD41" s="102">
        <f t="shared" si="11"/>
        <v>642020</v>
      </c>
    </row>
    <row r="42" spans="1:30" x14ac:dyDescent="0.25">
      <c r="A42" s="61" t="s">
        <v>38</v>
      </c>
      <c r="B42" s="61"/>
      <c r="D42" s="14" t="s">
        <v>330</v>
      </c>
      <c r="E42" s="103">
        <v>0</v>
      </c>
      <c r="F42" s="104">
        <v>0</v>
      </c>
      <c r="G42" s="104">
        <v>0</v>
      </c>
      <c r="H42" s="102" cm="1">
        <f t="array" ref="H42">SUMPRODUCT('Summary - $ &amp; m3'!$R$8:$U$167*(H$2='Summary - $ &amp; m3'!$R$7:$U$7)*(H$1='Summary - $ &amp; m3'!$A$8:$A$167)*($A42='Summary - $ &amp; m3'!$C$8:$C$167))+SUMPRODUCT('Summary - $ &amp; m3'!$R$8:$U$167*(H$2='Summary - $ &amp; m3'!$R$7:$U$7)*(H$1='Summary - $ &amp; m3'!$A$8:$A$167)*($B42='Summary - $ &amp; m3'!$C$8:$C$167))</f>
        <v>3223200</v>
      </c>
      <c r="I42" s="102">
        <f t="shared" si="8"/>
        <v>3223200</v>
      </c>
      <c r="K42" s="14" t="s">
        <v>330</v>
      </c>
      <c r="L42" s="103">
        <v>0</v>
      </c>
      <c r="M42" s="104">
        <v>0</v>
      </c>
      <c r="N42" s="104">
        <v>0</v>
      </c>
      <c r="O42" s="102" cm="1">
        <f t="array" ref="O42">SUMPRODUCT('Summary - $ &amp; m3'!$R$8:$U$167*(O$2='Summary - $ &amp; m3'!$R$7:$U$7)*(O$1='Summary - $ &amp; m3'!$A$8:$A$167)*($A42='Summary - $ &amp; m3'!$C$8:$C$167))+SUMPRODUCT('Summary - $ &amp; m3'!$R$8:$U$167*(O$2='Summary - $ &amp; m3'!$R$7:$U$7)*(O$1='Summary - $ &amp; m3'!$A$8:$A$167)*($B42='Summary - $ &amp; m3'!$C$8:$C$167))</f>
        <v>3278639</v>
      </c>
      <c r="P42" s="102">
        <f t="shared" si="9"/>
        <v>3278639</v>
      </c>
      <c r="R42" s="14" t="s">
        <v>330</v>
      </c>
      <c r="S42" s="103">
        <v>0</v>
      </c>
      <c r="T42" s="104">
        <v>0</v>
      </c>
      <c r="U42" s="104">
        <v>0</v>
      </c>
      <c r="V42" s="102" cm="1">
        <f t="array" ref="V42">SUMPRODUCT('Summary - $ &amp; m3'!$R$8:$U$167*(V$2='Summary - $ &amp; m3'!$R$7:$U$7)*(V$1='Summary - $ &amp; m3'!$A$8:$A$167)*($A42='Summary - $ &amp; m3'!$C$8:$C$167))+SUMPRODUCT('Summary - $ &amp; m3'!$R$8:$U$167*(V$2='Summary - $ &amp; m3'!$R$7:$U$7)*(V$1='Summary - $ &amp; m3'!$A$8:$A$167)*($B42='Summary - $ &amp; m3'!$C$8:$C$167))</f>
        <v>3335032</v>
      </c>
      <c r="W42" s="102">
        <f t="shared" si="10"/>
        <v>3335032</v>
      </c>
      <c r="Y42" s="14" t="s">
        <v>330</v>
      </c>
      <c r="Z42" s="103">
        <v>0</v>
      </c>
      <c r="AA42" s="104">
        <v>0</v>
      </c>
      <c r="AB42" s="104">
        <v>0</v>
      </c>
      <c r="AC42" s="102" cm="1">
        <f t="array" ref="AC42">SUMPRODUCT('Summary - $ &amp; m3'!$R$8:$U$167*(AC$2='Summary - $ &amp; m3'!$R$7:$U$7)*(AC$1='Summary - $ &amp; m3'!$A$8:$A$167)*($A42='Summary - $ &amp; m3'!$C$8:$C$167))+SUMPRODUCT('Summary - $ &amp; m3'!$R$8:$U$167*(AC$2='Summary - $ &amp; m3'!$R$7:$U$7)*(AC$1='Summary - $ &amp; m3'!$A$8:$A$167)*($B42='Summary - $ &amp; m3'!$C$8:$C$167))</f>
        <v>3392393</v>
      </c>
      <c r="AD42" s="102">
        <f t="shared" si="11"/>
        <v>3392393</v>
      </c>
    </row>
    <row r="43" spans="1:30" x14ac:dyDescent="0.25">
      <c r="A43" s="61" t="s">
        <v>34</v>
      </c>
      <c r="B43" s="61"/>
      <c r="D43" s="14" t="s">
        <v>331</v>
      </c>
      <c r="E43" s="103">
        <v>0</v>
      </c>
      <c r="F43" s="104">
        <v>0</v>
      </c>
      <c r="G43" s="104">
        <v>0</v>
      </c>
      <c r="H43" s="102" cm="1">
        <f t="array" ref="H43">SUMPRODUCT('Summary - $ &amp; m3'!$R$8:$U$167*(H$2='Summary - $ &amp; m3'!$R$7:$U$7)*(H$1='Summary - $ &amp; m3'!$A$8:$A$167)*($A43='Summary - $ &amp; m3'!$C$8:$C$167))+SUMPRODUCT('Summary - $ &amp; m3'!$R$8:$U$167*(H$2='Summary - $ &amp; m3'!$R$7:$U$7)*(H$1='Summary - $ &amp; m3'!$A$8:$A$167)*($B43='Summary - $ &amp; m3'!$C$8:$C$167))</f>
        <v>3100000</v>
      </c>
      <c r="I43" s="102">
        <f t="shared" si="8"/>
        <v>3100000</v>
      </c>
      <c r="K43" s="14" t="s">
        <v>331</v>
      </c>
      <c r="L43" s="103">
        <v>0</v>
      </c>
      <c r="M43" s="104">
        <v>0</v>
      </c>
      <c r="N43" s="104">
        <v>0</v>
      </c>
      <c r="O43" s="102" cm="1">
        <f t="array" ref="O43">SUMPRODUCT('Summary - $ &amp; m3'!$R$8:$U$167*(O$2='Summary - $ &amp; m3'!$R$7:$U$7)*(O$1='Summary - $ &amp; m3'!$A$8:$A$167)*($A43='Summary - $ &amp; m3'!$C$8:$C$167))+SUMPRODUCT('Summary - $ &amp; m3'!$R$8:$U$167*(O$2='Summary - $ &amp; m3'!$R$7:$U$7)*(O$1='Summary - $ &amp; m3'!$A$8:$A$167)*($B43='Summary - $ &amp; m3'!$C$8:$C$167))</f>
        <v>3153320</v>
      </c>
      <c r="P43" s="102">
        <f t="shared" si="9"/>
        <v>3153320</v>
      </c>
      <c r="R43" s="14" t="s">
        <v>331</v>
      </c>
      <c r="S43" s="103">
        <v>0</v>
      </c>
      <c r="T43" s="104">
        <v>0</v>
      </c>
      <c r="U43" s="104">
        <v>0</v>
      </c>
      <c r="V43" s="102" cm="1">
        <f t="array" ref="V43">SUMPRODUCT('Summary - $ &amp; m3'!$R$8:$U$167*(V$2='Summary - $ &amp; m3'!$R$7:$U$7)*(V$1='Summary - $ &amp; m3'!$A$8:$A$167)*($A43='Summary - $ &amp; m3'!$C$8:$C$167))+SUMPRODUCT('Summary - $ &amp; m3'!$R$8:$U$167*(V$2='Summary - $ &amp; m3'!$R$7:$U$7)*(V$1='Summary - $ &amp; m3'!$A$8:$A$167)*($B43='Summary - $ &amp; m3'!$C$8:$C$167))</f>
        <v>3207557</v>
      </c>
      <c r="W43" s="102">
        <f t="shared" si="10"/>
        <v>3207557</v>
      </c>
      <c r="Y43" s="14" t="s">
        <v>331</v>
      </c>
      <c r="Z43" s="103">
        <v>0</v>
      </c>
      <c r="AA43" s="104">
        <v>0</v>
      </c>
      <c r="AB43" s="104">
        <v>0</v>
      </c>
      <c r="AC43" s="102" cm="1">
        <f t="array" ref="AC43">SUMPRODUCT('Summary - $ &amp; m3'!$R$8:$U$167*(AC$2='Summary - $ &amp; m3'!$R$7:$U$7)*(AC$1='Summary - $ &amp; m3'!$A$8:$A$167)*($A43='Summary - $ &amp; m3'!$C$8:$C$167))+SUMPRODUCT('Summary - $ &amp; m3'!$R$8:$U$167*(AC$2='Summary - $ &amp; m3'!$R$7:$U$7)*(AC$1='Summary - $ &amp; m3'!$A$8:$A$167)*($B43='Summary - $ &amp; m3'!$C$8:$C$167))</f>
        <v>3262727</v>
      </c>
      <c r="AD43" s="102">
        <f t="shared" si="11"/>
        <v>3262727</v>
      </c>
    </row>
    <row r="44" spans="1:30" x14ac:dyDescent="0.25">
      <c r="A44" s="61" t="s">
        <v>35</v>
      </c>
      <c r="B44" s="61"/>
      <c r="D44" s="29" t="s">
        <v>332</v>
      </c>
      <c r="E44" s="103">
        <v>0</v>
      </c>
      <c r="F44" s="104">
        <v>0</v>
      </c>
      <c r="G44" s="104">
        <v>0</v>
      </c>
      <c r="H44" s="102" cm="1">
        <f t="array" ref="H44">SUMPRODUCT('Summary - $ &amp; m3'!$R$8:$U$167*(H$2='Summary - $ &amp; m3'!$R$7:$U$7)*(H$1='Summary - $ &amp; m3'!$A$8:$A$167)*($A44='Summary - $ &amp; m3'!$C$8:$C$167))+SUMPRODUCT('Summary - $ &amp; m3'!$R$8:$U$167*(H$2='Summary - $ &amp; m3'!$R$7:$U$7)*(H$1='Summary - $ &amp; m3'!$A$8:$A$167)*($B44='Summary - $ &amp; m3'!$C$8:$C$167))</f>
        <v>590000</v>
      </c>
      <c r="I44" s="102">
        <f t="shared" si="8"/>
        <v>590000</v>
      </c>
      <c r="K44" s="29" t="s">
        <v>332</v>
      </c>
      <c r="L44" s="103">
        <v>0</v>
      </c>
      <c r="M44" s="104">
        <v>0</v>
      </c>
      <c r="N44" s="104">
        <v>0</v>
      </c>
      <c r="O44" s="102" cm="1">
        <f t="array" ref="O44">SUMPRODUCT('Summary - $ &amp; m3'!$R$8:$U$167*(O$2='Summary - $ &amp; m3'!$R$7:$U$7)*(O$1='Summary - $ &amp; m3'!$A$8:$A$167)*($A44='Summary - $ &amp; m3'!$C$8:$C$167))+SUMPRODUCT('Summary - $ &amp; m3'!$R$8:$U$167*(O$2='Summary - $ &amp; m3'!$R$7:$U$7)*(O$1='Summary - $ &amp; m3'!$A$8:$A$167)*($B44='Summary - $ &amp; m3'!$C$8:$C$167))</f>
        <v>600148</v>
      </c>
      <c r="P44" s="102">
        <f t="shared" si="9"/>
        <v>600148</v>
      </c>
      <c r="R44" s="29" t="s">
        <v>332</v>
      </c>
      <c r="S44" s="103">
        <v>0</v>
      </c>
      <c r="T44" s="104">
        <v>0</v>
      </c>
      <c r="U44" s="104">
        <v>0</v>
      </c>
      <c r="V44" s="102" cm="1">
        <f t="array" ref="V44">SUMPRODUCT('Summary - $ &amp; m3'!$R$8:$U$167*(V$2='Summary - $ &amp; m3'!$R$7:$U$7)*(V$1='Summary - $ &amp; m3'!$A$8:$A$167)*($A44='Summary - $ &amp; m3'!$C$8:$C$167))+SUMPRODUCT('Summary - $ &amp; m3'!$R$8:$U$167*(V$2='Summary - $ &amp; m3'!$R$7:$U$7)*(V$1='Summary - $ &amp; m3'!$A$8:$A$167)*($B44='Summary - $ &amp; m3'!$C$8:$C$167))</f>
        <v>610471</v>
      </c>
      <c r="W44" s="102">
        <f t="shared" si="10"/>
        <v>610471</v>
      </c>
      <c r="Y44" s="29" t="s">
        <v>332</v>
      </c>
      <c r="Z44" s="103">
        <v>0</v>
      </c>
      <c r="AA44" s="104">
        <v>0</v>
      </c>
      <c r="AB44" s="104">
        <v>0</v>
      </c>
      <c r="AC44" s="102" cm="1">
        <f t="array" ref="AC44">SUMPRODUCT('Summary - $ &amp; m3'!$R$8:$U$167*(AC$2='Summary - $ &amp; m3'!$R$7:$U$7)*(AC$1='Summary - $ &amp; m3'!$A$8:$A$167)*($A44='Summary - $ &amp; m3'!$C$8:$C$167))+SUMPRODUCT('Summary - $ &amp; m3'!$R$8:$U$167*(AC$2='Summary - $ &amp; m3'!$R$7:$U$7)*(AC$1='Summary - $ &amp; m3'!$A$8:$A$167)*($B44='Summary - $ &amp; m3'!$C$8:$C$167))</f>
        <v>620971</v>
      </c>
      <c r="AD44" s="102">
        <f t="shared" si="11"/>
        <v>620971</v>
      </c>
    </row>
    <row r="45" spans="1:30" ht="13.5" thickBot="1" x14ac:dyDescent="0.3">
      <c r="A45" s="61"/>
      <c r="B45" s="61"/>
      <c r="D45" s="115" t="s">
        <v>144</v>
      </c>
      <c r="E45" s="116"/>
      <c r="F45" s="117"/>
      <c r="G45" s="117"/>
      <c r="H45" s="118">
        <f>SUM(H38:H44)</f>
        <v>17637852</v>
      </c>
      <c r="I45" s="118">
        <f t="shared" si="8"/>
        <v>17637852</v>
      </c>
      <c r="K45" s="115" t="s">
        <v>144</v>
      </c>
      <c r="L45" s="116"/>
      <c r="M45" s="117"/>
      <c r="N45" s="117"/>
      <c r="O45" s="118">
        <f>SUM(O38:O44)</f>
        <v>17737784</v>
      </c>
      <c r="P45" s="118">
        <f t="shared" si="9"/>
        <v>17737784</v>
      </c>
      <c r="R45" s="115" t="s">
        <v>144</v>
      </c>
      <c r="S45" s="116"/>
      <c r="T45" s="117"/>
      <c r="U45" s="117"/>
      <c r="V45" s="118">
        <f>SUM(V38:V44)</f>
        <v>18042873</v>
      </c>
      <c r="W45" s="118">
        <f t="shared" si="10"/>
        <v>18042873</v>
      </c>
      <c r="Y45" s="115" t="s">
        <v>144</v>
      </c>
      <c r="Z45" s="116"/>
      <c r="AA45" s="117"/>
      <c r="AB45" s="117"/>
      <c r="AC45" s="118">
        <f>SUM(AC38:AC44)</f>
        <v>18353209</v>
      </c>
      <c r="AD45" s="118">
        <f t="shared" si="11"/>
        <v>18353209</v>
      </c>
    </row>
    <row r="46" spans="1:30" ht="13.5" thickTop="1" x14ac:dyDescent="0.25">
      <c r="A46" s="61"/>
      <c r="B46" s="61"/>
      <c r="D46" s="119" t="s">
        <v>131</v>
      </c>
      <c r="E46" s="120">
        <f>SUM(E37,E45)</f>
        <v>134785541</v>
      </c>
      <c r="F46" s="121">
        <f>SUM(F37,F45)</f>
        <v>11965700</v>
      </c>
      <c r="G46" s="121">
        <f>SUM(G37,G45)</f>
        <v>11756494</v>
      </c>
      <c r="H46" s="122">
        <f>SUM(H37,H45)</f>
        <v>32667187</v>
      </c>
      <c r="I46" s="122">
        <f t="shared" si="8"/>
        <v>191174922</v>
      </c>
      <c r="K46" s="119" t="s">
        <v>131</v>
      </c>
      <c r="L46" s="120">
        <f>SUM(L37,L45)</f>
        <v>146754892</v>
      </c>
      <c r="M46" s="121">
        <f>SUM(M37,M45)</f>
        <v>12235695</v>
      </c>
      <c r="N46" s="121">
        <f>SUM(N37,N45)</f>
        <v>11995099</v>
      </c>
      <c r="O46" s="122">
        <f>SUM(O37,O45)</f>
        <v>33025623</v>
      </c>
      <c r="P46" s="122">
        <f t="shared" si="9"/>
        <v>204011309</v>
      </c>
      <c r="R46" s="119" t="s">
        <v>131</v>
      </c>
      <c r="S46" s="120">
        <f>SUM(S37,S45)</f>
        <v>156829983</v>
      </c>
      <c r="T46" s="121">
        <f>SUM(T37,T45)</f>
        <v>12451478</v>
      </c>
      <c r="U46" s="121">
        <f>SUM(U37,U45)</f>
        <v>12780139</v>
      </c>
      <c r="V46" s="122">
        <f>SUM(V37,V45)</f>
        <v>33593664</v>
      </c>
      <c r="W46" s="122">
        <f t="shared" si="10"/>
        <v>215655264</v>
      </c>
      <c r="Y46" s="119" t="s">
        <v>131</v>
      </c>
      <c r="Z46" s="120">
        <f>SUM(Z37,Z45)</f>
        <v>166234535</v>
      </c>
      <c r="AA46" s="121">
        <f>SUM(AA37,AA45)</f>
        <v>12770421</v>
      </c>
      <c r="AB46" s="121">
        <f>SUM(AB37,AB45)</f>
        <v>13548371</v>
      </c>
      <c r="AC46" s="122">
        <f>SUM(AC37,AC45)</f>
        <v>34171474</v>
      </c>
      <c r="AD46" s="122">
        <f t="shared" si="11"/>
        <v>226724801</v>
      </c>
    </row>
  </sheetData>
  <mergeCells count="8">
    <mergeCell ref="Y3:AD3"/>
    <mergeCell ref="Y4:AD4"/>
    <mergeCell ref="D3:I3"/>
    <mergeCell ref="D4:I4"/>
    <mergeCell ref="K3:P3"/>
    <mergeCell ref="K4:P4"/>
    <mergeCell ref="R3:W3"/>
    <mergeCell ref="R4:W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B500A-CAAF-466B-B9A5-7571AB80D029}">
  <sheetPr codeName="Sheet10"/>
  <dimension ref="A1:AI38"/>
  <sheetViews>
    <sheetView showGridLines="0" topLeftCell="D3" zoomScaleNormal="100" workbookViewId="0">
      <selection activeCell="D3" sqref="D3"/>
    </sheetView>
  </sheetViews>
  <sheetFormatPr defaultColWidth="9.140625" defaultRowHeight="15" outlineLevelRow="1" outlineLevelCol="1" x14ac:dyDescent="0.25"/>
  <cols>
    <col min="1" max="2" width="22.85546875" style="82" hidden="1" customWidth="1" outlineLevel="1"/>
    <col min="3" max="3" width="21.7109375" style="82" hidden="1" customWidth="1" outlineLevel="1"/>
    <col min="4" max="4" width="5.7109375" style="60" customWidth="1" collapsed="1"/>
    <col min="5" max="5" width="32.85546875" style="60" bestFit="1" customWidth="1"/>
    <col min="6" max="8" width="15.7109375" style="60" customWidth="1"/>
    <col min="9" max="10" width="10.7109375" style="60" customWidth="1"/>
    <col min="11" max="11" width="5.7109375" style="85" customWidth="1"/>
    <col min="12" max="12" width="32.85546875" style="60" customWidth="1"/>
    <col min="13" max="15" width="15.7109375" style="60" customWidth="1"/>
    <col min="16" max="17" width="10.7109375" style="60" customWidth="1"/>
    <col min="18" max="18" width="5.7109375" style="85" customWidth="1"/>
    <col min="19" max="19" width="32.85546875" style="60" customWidth="1"/>
    <col min="20" max="22" width="15.7109375" style="60" customWidth="1"/>
    <col min="23" max="24" width="10.7109375" style="60" customWidth="1"/>
    <col min="25" max="25" width="5.7109375" style="85" customWidth="1"/>
    <col min="26" max="26" width="32.85546875" style="60" customWidth="1"/>
    <col min="27" max="29" width="15.7109375" style="60" customWidth="1"/>
    <col min="30" max="31" width="10.7109375" style="60" customWidth="1"/>
    <col min="32" max="32" width="5.7109375" style="60" customWidth="1"/>
    <col min="33" max="16384" width="9.140625" style="60"/>
  </cols>
  <sheetData>
    <row r="1" spans="1:35" hidden="1" outlineLevel="1" x14ac:dyDescent="0.25">
      <c r="A1" s="65"/>
      <c r="B1" s="65"/>
      <c r="C1" s="65"/>
      <c r="D1" s="61"/>
      <c r="E1" s="61"/>
      <c r="F1" s="61"/>
      <c r="G1" s="61"/>
      <c r="H1" s="61"/>
      <c r="I1" s="61"/>
      <c r="J1" s="61"/>
      <c r="K1" s="123"/>
      <c r="L1" s="61"/>
      <c r="M1" s="61"/>
      <c r="N1" s="61"/>
      <c r="O1" s="61"/>
      <c r="P1" s="61"/>
      <c r="Q1" s="61"/>
      <c r="R1" s="123"/>
      <c r="S1" s="61"/>
      <c r="T1" s="61"/>
      <c r="U1" s="61"/>
      <c r="V1" s="61"/>
      <c r="W1" s="61"/>
      <c r="X1" s="61"/>
      <c r="Y1" s="123"/>
      <c r="Z1" s="61"/>
      <c r="AA1" s="61"/>
      <c r="AB1" s="61"/>
      <c r="AC1" s="61"/>
      <c r="AD1" s="61"/>
      <c r="AE1" s="61"/>
    </row>
    <row r="2" spans="1:35" s="18" customFormat="1" hidden="1" outlineLevel="1" x14ac:dyDescent="0.25">
      <c r="A2" s="62"/>
      <c r="B2" s="62"/>
      <c r="C2" s="62"/>
      <c r="D2" s="63"/>
      <c r="E2" s="66" t="s">
        <v>359</v>
      </c>
      <c r="F2" s="63">
        <v>2027</v>
      </c>
      <c r="G2" s="63">
        <v>2027</v>
      </c>
      <c r="H2" s="63">
        <v>2027</v>
      </c>
      <c r="I2" s="63">
        <v>2027</v>
      </c>
      <c r="J2" s="63">
        <v>2027</v>
      </c>
      <c r="K2" s="123"/>
      <c r="L2" s="63"/>
      <c r="M2" s="63">
        <v>2028</v>
      </c>
      <c r="N2" s="63">
        <v>2028</v>
      </c>
      <c r="O2" s="63">
        <v>2028</v>
      </c>
      <c r="P2" s="63"/>
      <c r="Q2" s="63"/>
      <c r="R2" s="123"/>
      <c r="S2" s="63"/>
      <c r="T2" s="63">
        <v>2029</v>
      </c>
      <c r="U2" s="63">
        <v>2029</v>
      </c>
      <c r="V2" s="63">
        <v>2029</v>
      </c>
      <c r="W2" s="63"/>
      <c r="X2" s="63"/>
      <c r="Y2" s="123"/>
      <c r="Z2" s="63"/>
      <c r="AA2" s="63">
        <v>2030</v>
      </c>
      <c r="AB2" s="63">
        <v>2030</v>
      </c>
      <c r="AC2" s="63">
        <v>2030</v>
      </c>
      <c r="AD2" s="63">
        <v>2030</v>
      </c>
      <c r="AE2" s="63">
        <v>2030</v>
      </c>
    </row>
    <row r="3" spans="1:35" s="18" customFormat="1" ht="12.75" collapsed="1" x14ac:dyDescent="0.2">
      <c r="A3" s="63"/>
      <c r="B3" s="63"/>
      <c r="C3" s="63"/>
      <c r="D3" s="320"/>
      <c r="E3" s="392" t="s">
        <v>390</v>
      </c>
      <c r="F3" s="392"/>
      <c r="G3" s="392"/>
      <c r="H3" s="392"/>
      <c r="I3" s="392"/>
      <c r="J3" s="392"/>
      <c r="K3" s="320"/>
      <c r="L3" s="392" t="s">
        <v>392</v>
      </c>
      <c r="M3" s="392"/>
      <c r="N3" s="392"/>
      <c r="O3" s="392"/>
      <c r="P3" s="392"/>
      <c r="Q3" s="392"/>
      <c r="R3" s="320"/>
      <c r="S3" s="392" t="s">
        <v>395</v>
      </c>
      <c r="T3" s="392"/>
      <c r="U3" s="392"/>
      <c r="V3" s="392"/>
      <c r="W3" s="392"/>
      <c r="X3" s="392"/>
      <c r="Y3" s="320"/>
      <c r="Z3" s="392" t="s">
        <v>397</v>
      </c>
      <c r="AA3" s="392"/>
      <c r="AB3" s="392"/>
      <c r="AC3" s="392"/>
      <c r="AD3" s="392"/>
      <c r="AE3" s="392"/>
      <c r="AF3" s="320"/>
      <c r="AG3" s="320"/>
      <c r="AH3" s="320"/>
      <c r="AI3" s="320"/>
    </row>
    <row r="4" spans="1:35" s="18" customFormat="1" ht="12.75" x14ac:dyDescent="0.2">
      <c r="A4" s="63"/>
      <c r="B4" s="63"/>
      <c r="C4" s="63"/>
      <c r="D4" s="320"/>
      <c r="E4" s="392" t="s">
        <v>404</v>
      </c>
      <c r="F4" s="392"/>
      <c r="G4" s="392"/>
      <c r="H4" s="392"/>
      <c r="I4" s="392"/>
      <c r="J4" s="392"/>
      <c r="K4" s="320"/>
      <c r="L4" s="392" t="s">
        <v>405</v>
      </c>
      <c r="M4" s="392"/>
      <c r="N4" s="392"/>
      <c r="O4" s="392"/>
      <c r="P4" s="392"/>
      <c r="Q4" s="392"/>
      <c r="R4" s="320"/>
      <c r="S4" s="392" t="s">
        <v>406</v>
      </c>
      <c r="T4" s="392"/>
      <c r="U4" s="392"/>
      <c r="V4" s="392"/>
      <c r="W4" s="392"/>
      <c r="X4" s="392"/>
      <c r="Y4" s="320"/>
      <c r="Z4" s="392" t="s">
        <v>407</v>
      </c>
      <c r="AA4" s="392"/>
      <c r="AB4" s="392"/>
      <c r="AC4" s="392"/>
      <c r="AD4" s="392"/>
      <c r="AE4" s="392"/>
      <c r="AF4" s="320"/>
      <c r="AG4" s="320"/>
      <c r="AH4" s="320"/>
      <c r="AI4" s="320"/>
    </row>
    <row r="5" spans="1:35" ht="12.75" x14ac:dyDescent="0.25">
      <c r="A5" s="61"/>
      <c r="B5" s="61"/>
      <c r="C5" s="61"/>
      <c r="K5" s="60"/>
      <c r="R5" s="60"/>
      <c r="Y5" s="60"/>
    </row>
    <row r="6" spans="1:35" ht="27" x14ac:dyDescent="0.25">
      <c r="A6" s="66" t="s">
        <v>359</v>
      </c>
      <c r="B6" s="65" t="s">
        <v>236</v>
      </c>
      <c r="C6" s="65" t="s">
        <v>237</v>
      </c>
      <c r="E6" s="32" t="s">
        <v>241</v>
      </c>
      <c r="F6" s="27" t="s">
        <v>238</v>
      </c>
      <c r="G6" s="33" t="s">
        <v>239</v>
      </c>
      <c r="H6" s="30" t="s">
        <v>240</v>
      </c>
      <c r="I6" s="34" t="s">
        <v>211</v>
      </c>
      <c r="J6" s="34" t="s">
        <v>191</v>
      </c>
      <c r="L6" s="32" t="s">
        <v>242</v>
      </c>
      <c r="M6" s="27" t="s">
        <v>238</v>
      </c>
      <c r="N6" s="33" t="s">
        <v>239</v>
      </c>
      <c r="O6" s="30" t="s">
        <v>240</v>
      </c>
      <c r="P6" s="34" t="s">
        <v>211</v>
      </c>
      <c r="Q6" s="34" t="s">
        <v>191</v>
      </c>
      <c r="S6" s="32" t="s">
        <v>243</v>
      </c>
      <c r="T6" s="27" t="s">
        <v>238</v>
      </c>
      <c r="U6" s="33" t="s">
        <v>239</v>
      </c>
      <c r="V6" s="30" t="s">
        <v>240</v>
      </c>
      <c r="W6" s="34" t="s">
        <v>211</v>
      </c>
      <c r="X6" s="34" t="s">
        <v>191</v>
      </c>
      <c r="Z6" s="32" t="s">
        <v>244</v>
      </c>
      <c r="AA6" s="27" t="s">
        <v>238</v>
      </c>
      <c r="AB6" s="33" t="s">
        <v>239</v>
      </c>
      <c r="AC6" s="30" t="s">
        <v>240</v>
      </c>
      <c r="AD6" s="34" t="s">
        <v>211</v>
      </c>
      <c r="AE6" s="34" t="s">
        <v>191</v>
      </c>
    </row>
    <row r="7" spans="1:35" x14ac:dyDescent="0.25">
      <c r="A7" s="65"/>
      <c r="B7" s="65"/>
      <c r="C7" s="65"/>
      <c r="E7" s="67" t="s">
        <v>135</v>
      </c>
      <c r="F7" s="75">
        <f>SUM(F8:F14)</f>
        <v>109272906.35894507</v>
      </c>
      <c r="G7" s="75">
        <f>SUM(G8:G14)</f>
        <v>122122245.15977828</v>
      </c>
      <c r="H7" s="77">
        <f>F7-G7</f>
        <v>-12849338.80083321</v>
      </c>
      <c r="I7" s="69">
        <f t="shared" ref="I7:I35" si="0">IFERROR(F7/G7,0)</f>
        <v>0.89478297926784911</v>
      </c>
      <c r="J7" s="69">
        <f>'Summary - PAC'!K7</f>
        <v>1.025616418484073</v>
      </c>
      <c r="L7" s="67" t="s">
        <v>135</v>
      </c>
      <c r="M7" s="68">
        <f>SUM(M8:M14)</f>
        <v>118550763.04810309</v>
      </c>
      <c r="N7" s="68">
        <f>SUM(N8:N14)</f>
        <v>125104700.528923</v>
      </c>
      <c r="O7" s="77">
        <f>M7-N7</f>
        <v>-6553937.4808199108</v>
      </c>
      <c r="P7" s="69">
        <f t="shared" ref="P7:P35" si="1">IFERROR(M7/N7,0)</f>
        <v>0.94761238024541927</v>
      </c>
      <c r="Q7" s="69">
        <f>'Summary - PAC'!K55</f>
        <v>1.0695350606332392</v>
      </c>
      <c r="S7" s="67" t="s">
        <v>135</v>
      </c>
      <c r="T7" s="68">
        <f>SUM(T8:T14)</f>
        <v>125724144.33070993</v>
      </c>
      <c r="U7" s="68">
        <f>SUM(U8:U14)</f>
        <v>127883968.27194017</v>
      </c>
      <c r="V7" s="77">
        <f>T7-U7</f>
        <v>-2159823.9412302375</v>
      </c>
      <c r="W7" s="69">
        <f t="shared" ref="W7:W35" si="2">IFERROR(T7/U7,0)</f>
        <v>0.98311106567605522</v>
      </c>
      <c r="X7" s="69">
        <f>'Summary - PAC'!K103</f>
        <v>1.0916518456214908</v>
      </c>
      <c r="Z7" s="67" t="s">
        <v>135</v>
      </c>
      <c r="AA7" s="68">
        <f>SUM(AA8:AA14)</f>
        <v>132046195.32328492</v>
      </c>
      <c r="AB7" s="68">
        <f>SUM(AB8:AB14)</f>
        <v>128694297.9976403</v>
      </c>
      <c r="AC7" s="77">
        <f>AA7-AB7</f>
        <v>3351897.3256446272</v>
      </c>
      <c r="AD7" s="69">
        <f t="shared" ref="AD7:AD35" si="3">IFERROR(AA7/AB7,0)</f>
        <v>1.026045422196608</v>
      </c>
      <c r="AE7" s="69">
        <f>'Summary - PAC'!K151</f>
        <v>1.1061655733663089</v>
      </c>
    </row>
    <row r="8" spans="1:35" x14ac:dyDescent="0.25">
      <c r="A8" s="65" t="s">
        <v>159</v>
      </c>
      <c r="B8" s="65"/>
      <c r="C8" s="65"/>
      <c r="E8" s="70" t="s">
        <v>159</v>
      </c>
      <c r="F8" s="71">
        <f>SUMIFS('Summary - TRC'!$J:$J,'Summary - TRC'!$C:$C,$A8,'Summary - TRC'!$A:$A,F$2)</f>
        <v>27132114.102075294</v>
      </c>
      <c r="G8" s="71">
        <f>SUMIFS('Summary - TRC'!$N:$N,'Summary - TRC'!$C:$C,$A8,'Summary - TRC'!$A:$A,G$2)</f>
        <v>46333980</v>
      </c>
      <c r="H8" s="71">
        <f t="shared" ref="H8:H35" si="4">F8-G8</f>
        <v>-19201865.897924706</v>
      </c>
      <c r="I8" s="72">
        <f t="shared" si="0"/>
        <v>0.58557702364604325</v>
      </c>
      <c r="J8" s="72">
        <f>'Summary - PAC'!K8</f>
        <v>0.89346843130932296</v>
      </c>
      <c r="L8" s="70" t="s">
        <v>159</v>
      </c>
      <c r="M8" s="71">
        <f>SUMIFS('Summary - TRC'!$J:$J,'Summary - TRC'!$C:$C,$A8,'Summary - TRC'!$A:$A,M$2)</f>
        <v>25357140.122719485</v>
      </c>
      <c r="N8" s="71">
        <f>SUMIFS('Summary - TRC'!$N:$N,'Summary - TRC'!$C:$C,$A8,'Summary - TRC'!$A:$A,N$2)</f>
        <v>41649702</v>
      </c>
      <c r="O8" s="71">
        <f t="shared" ref="O8:O35" si="5">M8-N8</f>
        <v>-16292561.877280515</v>
      </c>
      <c r="P8" s="72">
        <f t="shared" si="1"/>
        <v>0.60881924491847472</v>
      </c>
      <c r="Q8" s="72">
        <f>'Summary - PAC'!K56</f>
        <v>0.91360356090662487</v>
      </c>
      <c r="S8" s="70" t="s">
        <v>159</v>
      </c>
      <c r="T8" s="71">
        <f>SUMIFS('Summary - TRC'!$J:$J,'Summary - TRC'!$C:$C,$A8,'Summary - TRC'!$A:$A,T$2)</f>
        <v>23921743.253463481</v>
      </c>
      <c r="U8" s="71">
        <f>SUMIFS('Summary - TRC'!$N:$N,'Summary - TRC'!$C:$C,$A8,'Summary - TRC'!$A:$A,U$2)</f>
        <v>37920624.600000001</v>
      </c>
      <c r="V8" s="71">
        <f t="shared" ref="V8:V35" si="6">T8-U8</f>
        <v>-13998881.346536521</v>
      </c>
      <c r="W8" s="72">
        <f t="shared" si="2"/>
        <v>0.63083726878969915</v>
      </c>
      <c r="X8" s="72">
        <f>'Summary - PAC'!K104</f>
        <v>0.93053537983750556</v>
      </c>
      <c r="Z8" s="70" t="s">
        <v>159</v>
      </c>
      <c r="AA8" s="71">
        <f>SUMIFS('Summary - TRC'!$J:$J,'Summary - TRC'!$C:$C,$A8,'Summary - TRC'!$A:$A,AA$2)</f>
        <v>22956820.954476725</v>
      </c>
      <c r="AB8" s="71">
        <f>SUMIFS('Summary - TRC'!$N:$N,'Summary - TRC'!$C:$C,$A8,'Summary - TRC'!$A:$A,AB$2)</f>
        <v>35221291.75</v>
      </c>
      <c r="AC8" s="71">
        <f t="shared" ref="AC8:AC35" si="7">AA8-AB8</f>
        <v>-12264470.795523275</v>
      </c>
      <c r="AD8" s="72">
        <f t="shared" si="3"/>
        <v>0.65178816033846132</v>
      </c>
      <c r="AE8" s="72">
        <f>'Summary - PAC'!K152</f>
        <v>0.94532643336003741</v>
      </c>
    </row>
    <row r="9" spans="1:35" x14ac:dyDescent="0.25">
      <c r="A9" s="65" t="s">
        <v>130</v>
      </c>
      <c r="B9" s="65"/>
      <c r="C9" s="65"/>
      <c r="E9" s="70" t="s">
        <v>130</v>
      </c>
      <c r="F9" s="71">
        <f>SUMIFS('Summary - TRC'!$J:$J,'Summary - TRC'!$C:$C,$A9,'Summary - TRC'!$A:$A,F$2)</f>
        <v>25155419.217856552</v>
      </c>
      <c r="G9" s="71">
        <f>SUMIFS('Summary - TRC'!$N:$N,'Summary - TRC'!$C:$C,$A9,'Summary - TRC'!$A:$A,G$2)</f>
        <v>22029875</v>
      </c>
      <c r="H9" s="71">
        <f t="shared" si="4"/>
        <v>3125544.2178565525</v>
      </c>
      <c r="I9" s="72">
        <f t="shared" si="0"/>
        <v>1.141877528486047</v>
      </c>
      <c r="J9" s="72">
        <f>'Summary - PAC'!K9</f>
        <v>1.1563039394833827</v>
      </c>
      <c r="L9" s="70" t="s">
        <v>130</v>
      </c>
      <c r="M9" s="71">
        <f>SUMIFS('Summary - TRC'!$J:$J,'Summary - TRC'!$C:$C,$A9,'Summary - TRC'!$A:$A,M$2)</f>
        <v>31690629.921645641</v>
      </c>
      <c r="N9" s="71">
        <f>SUMIFS('Summary - TRC'!$N:$N,'Summary - TRC'!$C:$C,$A9,'Summary - TRC'!$A:$A,N$2)</f>
        <v>26578117</v>
      </c>
      <c r="O9" s="71">
        <f t="shared" si="5"/>
        <v>5112512.9216456413</v>
      </c>
      <c r="P9" s="72">
        <f t="shared" si="1"/>
        <v>1.192357980877488</v>
      </c>
      <c r="Q9" s="72">
        <f>'Summary - PAC'!K57</f>
        <v>1.2038478988814336</v>
      </c>
      <c r="S9" s="70" t="s">
        <v>130</v>
      </c>
      <c r="T9" s="71">
        <f>SUMIFS('Summary - TRC'!$J:$J,'Summary - TRC'!$C:$C,$A9,'Summary - TRC'!$A:$A,T$2)</f>
        <v>35932880.429035127</v>
      </c>
      <c r="U9" s="71">
        <f>SUMIFS('Summary - TRC'!$N:$N,'Summary - TRC'!$C:$C,$A9,'Summary - TRC'!$A:$A,U$2)</f>
        <v>29133042</v>
      </c>
      <c r="V9" s="71">
        <f t="shared" si="6"/>
        <v>6799838.4290351272</v>
      </c>
      <c r="W9" s="72">
        <f t="shared" si="2"/>
        <v>1.2334063991338469</v>
      </c>
      <c r="X9" s="72">
        <f>'Summary - PAC'!K105</f>
        <v>1.2294685573860087</v>
      </c>
      <c r="Z9" s="70" t="s">
        <v>130</v>
      </c>
      <c r="AA9" s="71">
        <f>SUMIFS('Summary - TRC'!$J:$J,'Summary - TRC'!$C:$C,$A9,'Summary - TRC'!$A:$A,AA$2)</f>
        <v>39215534.719181322</v>
      </c>
      <c r="AB9" s="71">
        <f>SUMIFS('Summary - TRC'!$N:$N,'Summary - TRC'!$C:$C,$A9,'Summary - TRC'!$A:$A,AB$2)</f>
        <v>30877739</v>
      </c>
      <c r="AC9" s="71">
        <f t="shared" si="7"/>
        <v>8337795.7191813216</v>
      </c>
      <c r="AD9" s="72">
        <f t="shared" si="3"/>
        <v>1.2700261090742855</v>
      </c>
      <c r="AE9" s="72">
        <f>'Summary - PAC'!K153</f>
        <v>1.2465007336278702</v>
      </c>
    </row>
    <row r="10" spans="1:35" x14ac:dyDescent="0.25">
      <c r="A10" s="65" t="s">
        <v>333</v>
      </c>
      <c r="B10" s="65"/>
      <c r="C10" s="65"/>
      <c r="E10" s="70" t="s">
        <v>333</v>
      </c>
      <c r="F10" s="71">
        <f>SUMIFS('Summary - TRC'!$J:$J,'Summary - TRC'!$C:$C,$A10,'Summary - TRC'!$A:$A,F$2)</f>
        <v>25220779.381153688</v>
      </c>
      <c r="G10" s="71">
        <f>SUMIFS('Summary - TRC'!$N:$N,'Summary - TRC'!$C:$C,$A10,'Summary - TRC'!$A:$A,G$2)</f>
        <v>31418591.159778282</v>
      </c>
      <c r="H10" s="71">
        <f t="shared" si="4"/>
        <v>-6197811.7786245942</v>
      </c>
      <c r="I10" s="72">
        <f t="shared" si="0"/>
        <v>0.80273425542520949</v>
      </c>
      <c r="J10" s="72">
        <f>'Summary - PAC'!K10</f>
        <v>1.797863667419497</v>
      </c>
      <c r="L10" s="70" t="s">
        <v>333</v>
      </c>
      <c r="M10" s="71">
        <f>SUMIFS('Summary - TRC'!$J:$J,'Summary - TRC'!$C:$C,$A10,'Summary - TRC'!$A:$A,M$2)</f>
        <v>26008079.833118718</v>
      </c>
      <c r="N10" s="71">
        <f>SUMIFS('Summary - TRC'!$N:$N,'Summary - TRC'!$C:$C,$A10,'Summary - TRC'!$A:$A,N$2)</f>
        <v>33128368.528923012</v>
      </c>
      <c r="O10" s="71">
        <f t="shared" si="5"/>
        <v>-7120288.6958042942</v>
      </c>
      <c r="P10" s="72">
        <f t="shared" si="1"/>
        <v>0.78506974499550553</v>
      </c>
      <c r="Q10" s="72">
        <f>'Summary - PAC'!K58</f>
        <v>1.9362364612348673</v>
      </c>
      <c r="S10" s="70" t="s">
        <v>333</v>
      </c>
      <c r="T10" s="71">
        <f>SUMIFS('Summary - TRC'!$J:$J,'Summary - TRC'!$C:$C,$A10,'Summary - TRC'!$A:$A,T$2)</f>
        <v>26694019.630085353</v>
      </c>
      <c r="U10" s="71">
        <f>SUMIFS('Summary - TRC'!$N:$N,'Summary - TRC'!$C:$C,$A10,'Summary - TRC'!$A:$A,U$2)</f>
        <v>35617449.671940163</v>
      </c>
      <c r="V10" s="71">
        <f t="shared" si="6"/>
        <v>-8923430.04185481</v>
      </c>
      <c r="W10" s="72">
        <f t="shared" si="2"/>
        <v>0.74946465499227499</v>
      </c>
      <c r="X10" s="72">
        <f>'Summary - PAC'!K106</f>
        <v>1.9597138265125285</v>
      </c>
      <c r="Z10" s="70" t="s">
        <v>333</v>
      </c>
      <c r="AA10" s="71">
        <f>SUMIFS('Summary - TRC'!$J:$J,'Summary - TRC'!$C:$C,$A10,'Summary - TRC'!$A:$A,AA$2)</f>
        <v>27673810.438613035</v>
      </c>
      <c r="AB10" s="71">
        <f>SUMIFS('Summary - TRC'!$N:$N,'Summary - TRC'!$C:$C,$A10,'Summary - TRC'!$A:$A,AB$2)</f>
        <v>35922068.247640297</v>
      </c>
      <c r="AC10" s="71">
        <f t="shared" si="7"/>
        <v>-8248257.809027262</v>
      </c>
      <c r="AD10" s="72">
        <f t="shared" si="3"/>
        <v>0.77038466292738905</v>
      </c>
      <c r="AE10" s="72">
        <f>'Summary - PAC'!K154</f>
        <v>1.9757922748877572</v>
      </c>
    </row>
    <row r="11" spans="1:35" x14ac:dyDescent="0.25">
      <c r="A11" s="65" t="s">
        <v>160</v>
      </c>
      <c r="B11" s="65"/>
      <c r="C11" s="65"/>
      <c r="E11" s="70" t="s">
        <v>160</v>
      </c>
      <c r="F11" s="71">
        <f>SUMIFS('Summary - TRC'!$J:$J,'Summary - TRC'!$C:$C,$A11,'Summary - TRC'!$A:$A,F$2)</f>
        <v>17562583.892735232</v>
      </c>
      <c r="G11" s="71">
        <f>SUMIFS('Summary - TRC'!$N:$N,'Summary - TRC'!$C:$C,$A11,'Summary - TRC'!$A:$A,G$2)</f>
        <v>9537961</v>
      </c>
      <c r="H11" s="71">
        <f t="shared" si="4"/>
        <v>8024622.8927352317</v>
      </c>
      <c r="I11" s="72">
        <f t="shared" si="0"/>
        <v>1.8413352594684789</v>
      </c>
      <c r="J11" s="72">
        <f>'Summary - PAC'!K11</f>
        <v>1.2706471517824678</v>
      </c>
      <c r="L11" s="70" t="s">
        <v>160</v>
      </c>
      <c r="M11" s="71">
        <f>SUMIFS('Summary - TRC'!$J:$J,'Summary - TRC'!$C:$C,$A11,'Summary - TRC'!$A:$A,M$2)</f>
        <v>18261043.857871324</v>
      </c>
      <c r="N11" s="71">
        <f>SUMIFS('Summary - TRC'!$N:$N,'Summary - TRC'!$C:$C,$A11,'Summary - TRC'!$A:$A,N$2)</f>
        <v>9500967</v>
      </c>
      <c r="O11" s="71">
        <f t="shared" si="5"/>
        <v>8760076.8578713238</v>
      </c>
      <c r="P11" s="72">
        <f t="shared" si="1"/>
        <v>1.922019501580347</v>
      </c>
      <c r="Q11" s="72">
        <f>'Summary - PAC'!K59</f>
        <v>1.3165422773244759</v>
      </c>
      <c r="S11" s="70" t="s">
        <v>160</v>
      </c>
      <c r="T11" s="71">
        <f>SUMIFS('Summary - TRC'!$J:$J,'Summary - TRC'!$C:$C,$A11,'Summary - TRC'!$A:$A,T$2)</f>
        <v>18902049.986813609</v>
      </c>
      <c r="U11" s="71">
        <f>SUMIFS('Summary - TRC'!$N:$N,'Summary - TRC'!$C:$C,$A11,'Summary - TRC'!$A:$A,U$2)</f>
        <v>9545635</v>
      </c>
      <c r="V11" s="71">
        <f t="shared" si="6"/>
        <v>9356414.9868136086</v>
      </c>
      <c r="W11" s="72">
        <f t="shared" si="2"/>
        <v>1.980177325742458</v>
      </c>
      <c r="X11" s="72">
        <f>'Summary - PAC'!K107</f>
        <v>1.33318500949464</v>
      </c>
      <c r="Z11" s="70" t="s">
        <v>160</v>
      </c>
      <c r="AA11" s="71">
        <f>SUMIFS('Summary - TRC'!$J:$J,'Summary - TRC'!$C:$C,$A11,'Summary - TRC'!$A:$A,AA$2)</f>
        <v>19013472.434342112</v>
      </c>
      <c r="AB11" s="71">
        <f>SUMIFS('Summary - TRC'!$N:$N,'Summary - TRC'!$C:$C,$A11,'Summary - TRC'!$A:$A,AB$2)</f>
        <v>9572002</v>
      </c>
      <c r="AC11" s="71">
        <f t="shared" si="7"/>
        <v>9441470.4343421124</v>
      </c>
      <c r="AD11" s="72">
        <f t="shared" si="3"/>
        <v>1.9863631907245853</v>
      </c>
      <c r="AE11" s="72">
        <f>'Summary - PAC'!K155</f>
        <v>1.3458889722446103</v>
      </c>
    </row>
    <row r="12" spans="1:35" x14ac:dyDescent="0.25">
      <c r="A12" s="65" t="s">
        <v>161</v>
      </c>
      <c r="B12" s="65"/>
      <c r="C12" s="65"/>
      <c r="E12" s="70" t="s">
        <v>161</v>
      </c>
      <c r="F12" s="71">
        <f>SUMIFS('Summary - TRC'!$J:$J,'Summary - TRC'!$C:$C,$A12,'Summary - TRC'!$A:$A,F$2)</f>
        <v>13250635.968653176</v>
      </c>
      <c r="G12" s="71">
        <f>SUMIFS('Summary - TRC'!$N:$N,'Summary - TRC'!$C:$C,$A12,'Summary - TRC'!$A:$A,G$2)</f>
        <v>7768100</v>
      </c>
      <c r="H12" s="71">
        <f t="shared" si="4"/>
        <v>5482535.968653176</v>
      </c>
      <c r="I12" s="72">
        <f t="shared" si="0"/>
        <v>1.705775668265493</v>
      </c>
      <c r="J12" s="72">
        <f>'Summary - PAC'!K12</f>
        <v>0.77340654795743524</v>
      </c>
      <c r="L12" s="70" t="s">
        <v>161</v>
      </c>
      <c r="M12" s="71">
        <f>SUMIFS('Summary - TRC'!$J:$J,'Summary - TRC'!$C:$C,$A12,'Summary - TRC'!$A:$A,M$2)</f>
        <v>15547916.448321428</v>
      </c>
      <c r="N12" s="71">
        <f>SUMIFS('Summary - TRC'!$N:$N,'Summary - TRC'!$C:$C,$A12,'Summary - TRC'!$A:$A,N$2)</f>
        <v>8984820</v>
      </c>
      <c r="O12" s="71">
        <f t="shared" si="5"/>
        <v>6563096.4483214281</v>
      </c>
      <c r="P12" s="72">
        <f t="shared" si="1"/>
        <v>1.7304649896515933</v>
      </c>
      <c r="Q12" s="72">
        <f>'Summary - PAC'!K60</f>
        <v>0.77605464160953341</v>
      </c>
      <c r="S12" s="70" t="s">
        <v>161</v>
      </c>
      <c r="T12" s="71">
        <f>SUMIFS('Summary - TRC'!$J:$J,'Summary - TRC'!$C:$C,$A12,'Summary - TRC'!$A:$A,T$2)</f>
        <v>17939910.880592249</v>
      </c>
      <c r="U12" s="71">
        <f>SUMIFS('Summary - TRC'!$N:$N,'Summary - TRC'!$C:$C,$A12,'Summary - TRC'!$A:$A,U$2)</f>
        <v>10003563</v>
      </c>
      <c r="V12" s="71">
        <f t="shared" si="6"/>
        <v>7936347.8805922493</v>
      </c>
      <c r="W12" s="72">
        <f t="shared" si="2"/>
        <v>1.7933521167000448</v>
      </c>
      <c r="X12" s="72">
        <f>'Summary - PAC'!K108</f>
        <v>0.78963884412785845</v>
      </c>
      <c r="Z12" s="70" t="s">
        <v>161</v>
      </c>
      <c r="AA12" s="71">
        <f>SUMIFS('Summary - TRC'!$J:$J,'Summary - TRC'!$C:$C,$A12,'Summary - TRC'!$A:$A,AA$2)</f>
        <v>20278471.615937449</v>
      </c>
      <c r="AB12" s="71">
        <f>SUMIFS('Summary - TRC'!$N:$N,'Summary - TRC'!$C:$C,$A12,'Summary - TRC'!$A:$A,AB$2)</f>
        <v>11024379</v>
      </c>
      <c r="AC12" s="71">
        <f t="shared" si="7"/>
        <v>9254092.615937449</v>
      </c>
      <c r="AD12" s="72">
        <f t="shared" si="3"/>
        <v>1.8394207615628462</v>
      </c>
      <c r="AE12" s="72">
        <f>'Summary - PAC'!K156</f>
        <v>0.80003253367035132</v>
      </c>
    </row>
    <row r="13" spans="1:35" x14ac:dyDescent="0.25">
      <c r="A13" s="65" t="s">
        <v>162</v>
      </c>
      <c r="B13" s="65"/>
      <c r="C13" s="65"/>
      <c r="E13" s="70" t="s">
        <v>162</v>
      </c>
      <c r="F13" s="71">
        <f>SUMIFS('Summary - TRC'!$J:$J,'Summary - TRC'!$C:$C,$A13,'Summary - TRC'!$A:$A,F$2)</f>
        <v>951373.79647113313</v>
      </c>
      <c r="G13" s="71">
        <f>SUMIFS('Summary - TRC'!$N:$N,'Summary - TRC'!$C:$C,$A13,'Summary - TRC'!$A:$A,G$2)</f>
        <v>2460000</v>
      </c>
      <c r="H13" s="71">
        <f t="shared" si="4"/>
        <v>-1508626.2035288669</v>
      </c>
      <c r="I13" s="72">
        <f t="shared" si="0"/>
        <v>0.38673731563867203</v>
      </c>
      <c r="J13" s="72">
        <f>'Summary - PAC'!K13</f>
        <v>0.25292733473931006</v>
      </c>
      <c r="L13" s="70" t="s">
        <v>162</v>
      </c>
      <c r="M13" s="71">
        <f>SUMIFS('Summary - TRC'!$J:$J,'Summary - TRC'!$C:$C,$A13,'Summary - TRC'!$A:$A,M$2)</f>
        <v>1685952.8644264902</v>
      </c>
      <c r="N13" s="71">
        <f>SUMIFS('Summary - TRC'!$N:$N,'Summary - TRC'!$C:$C,$A13,'Summary - TRC'!$A:$A,N$2)</f>
        <v>2644720</v>
      </c>
      <c r="O13" s="71">
        <f t="shared" si="5"/>
        <v>-958767.13557350985</v>
      </c>
      <c r="P13" s="72">
        <f t="shared" si="1"/>
        <v>0.63747877447385359</v>
      </c>
      <c r="Q13" s="72">
        <f>'Summary - PAC'!K61</f>
        <v>0.46501980884634003</v>
      </c>
      <c r="S13" s="70" t="s">
        <v>162</v>
      </c>
      <c r="T13" s="71">
        <f>SUMIFS('Summary - TRC'!$J:$J,'Summary - TRC'!$C:$C,$A13,'Summary - TRC'!$A:$A,T$2)</f>
        <v>2333540.1507201223</v>
      </c>
      <c r="U13" s="71">
        <f>SUMIFS('Summary - TRC'!$N:$N,'Summary - TRC'!$C:$C,$A13,'Summary - TRC'!$A:$A,U$2)</f>
        <v>3000618</v>
      </c>
      <c r="V13" s="71">
        <f t="shared" si="6"/>
        <v>-667077.84927987773</v>
      </c>
      <c r="W13" s="72">
        <f t="shared" si="2"/>
        <v>0.77768651348492956</v>
      </c>
      <c r="X13" s="72">
        <f>'Summary - PAC'!K109</f>
        <v>0.56659334254350058</v>
      </c>
      <c r="Z13" s="70" t="s">
        <v>162</v>
      </c>
      <c r="AA13" s="71">
        <f>SUMIFS('Summary - TRC'!$J:$J,'Summary - TRC'!$C:$C,$A13,'Summary - TRC'!$A:$A,AA$2)</f>
        <v>2908085.1607342996</v>
      </c>
      <c r="AB13" s="71">
        <f>SUMIFS('Summary - TRC'!$N:$N,'Summary - TRC'!$C:$C,$A13,'Summary - TRC'!$A:$A,AB$2)</f>
        <v>3367977</v>
      </c>
      <c r="AC13" s="71">
        <f t="shared" si="7"/>
        <v>-459891.83926570043</v>
      </c>
      <c r="AD13" s="72">
        <f t="shared" si="3"/>
        <v>0.86345160929967735</v>
      </c>
      <c r="AE13" s="72">
        <f>'Summary - PAC'!K157</f>
        <v>0.63664687517497032</v>
      </c>
    </row>
    <row r="14" spans="1:35" x14ac:dyDescent="0.25">
      <c r="A14" s="65" t="s">
        <v>17</v>
      </c>
      <c r="B14" s="65"/>
      <c r="C14" s="65"/>
      <c r="E14" s="70" t="s">
        <v>136</v>
      </c>
      <c r="F14" s="71">
        <f>SUMIFS('Summary - TRC'!$J:$J,'Summary - TRC'!$C:$C,$A14,'Summary - TRC'!$A:$A,F$2)</f>
        <v>0</v>
      </c>
      <c r="G14" s="71">
        <f>SUMIFS('Summary - TRC'!$N:$N,'Summary - TRC'!$C:$C,$A14,'Summary - TRC'!$A:$A,G$2)</f>
        <v>2573738</v>
      </c>
      <c r="H14" s="71">
        <f t="shared" si="4"/>
        <v>-2573738</v>
      </c>
      <c r="I14" s="73">
        <f t="shared" si="0"/>
        <v>0</v>
      </c>
      <c r="J14" s="73">
        <f>'Summary - PAC'!K14</f>
        <v>0</v>
      </c>
      <c r="L14" s="70" t="s">
        <v>136</v>
      </c>
      <c r="M14" s="71">
        <f>SUMIFS('Summary - TRC'!$J:$J,'Summary - TRC'!$C:$C,$A14,'Summary - TRC'!$A:$A,M$2)</f>
        <v>0</v>
      </c>
      <c r="N14" s="71">
        <f>SUMIFS('Summary - TRC'!$N:$N,'Summary - TRC'!$C:$C,$A14,'Summary - TRC'!$A:$A,N$2)</f>
        <v>2618006</v>
      </c>
      <c r="O14" s="71">
        <f t="shared" si="5"/>
        <v>-2618006</v>
      </c>
      <c r="P14" s="73">
        <f t="shared" si="1"/>
        <v>0</v>
      </c>
      <c r="Q14" s="73">
        <f>'Summary - PAC'!K62</f>
        <v>0</v>
      </c>
      <c r="S14" s="70" t="s">
        <v>136</v>
      </c>
      <c r="T14" s="71">
        <f>SUMIFS('Summary - TRC'!$J:$J,'Summary - TRC'!$C:$C,$A14,'Summary - TRC'!$A:$A,T$2)</f>
        <v>0</v>
      </c>
      <c r="U14" s="71">
        <f>SUMIFS('Summary - TRC'!$N:$N,'Summary - TRC'!$C:$C,$A14,'Summary - TRC'!$A:$A,U$2)</f>
        <v>2663036</v>
      </c>
      <c r="V14" s="71">
        <f t="shared" si="6"/>
        <v>-2663036</v>
      </c>
      <c r="W14" s="73">
        <f t="shared" si="2"/>
        <v>0</v>
      </c>
      <c r="X14" s="73">
        <f>'Summary - PAC'!K110</f>
        <v>0</v>
      </c>
      <c r="Z14" s="70" t="s">
        <v>136</v>
      </c>
      <c r="AA14" s="71">
        <f>SUMIFS('Summary - TRC'!$J:$J,'Summary - TRC'!$C:$C,$A14,'Summary - TRC'!$A:$A,AA$2)</f>
        <v>0</v>
      </c>
      <c r="AB14" s="71">
        <f>SUMIFS('Summary - TRC'!$N:$N,'Summary - TRC'!$C:$C,$A14,'Summary - TRC'!$A:$A,AB$2)</f>
        <v>2708841</v>
      </c>
      <c r="AC14" s="71">
        <f t="shared" si="7"/>
        <v>-2708841</v>
      </c>
      <c r="AD14" s="73">
        <f t="shared" si="3"/>
        <v>0</v>
      </c>
      <c r="AE14" s="73">
        <f>'Summary - PAC'!K158</f>
        <v>0</v>
      </c>
    </row>
    <row r="15" spans="1:35" x14ac:dyDescent="0.25">
      <c r="A15" s="65"/>
      <c r="B15" s="65"/>
      <c r="C15" s="65"/>
      <c r="E15" s="74" t="s">
        <v>137</v>
      </c>
      <c r="F15" s="75">
        <f>SUM(F16:F18)</f>
        <v>26205203.405143637</v>
      </c>
      <c r="G15" s="75">
        <f>SUM(G16:G18)</f>
        <v>27996293.14979966</v>
      </c>
      <c r="H15" s="75">
        <f t="shared" si="4"/>
        <v>-1791089.7446560226</v>
      </c>
      <c r="I15" s="76">
        <f t="shared" si="0"/>
        <v>0.93602403950149948</v>
      </c>
      <c r="J15" s="76">
        <f>'Summary - PAC'!K30</f>
        <v>0.70966413663016126</v>
      </c>
      <c r="L15" s="74" t="s">
        <v>137</v>
      </c>
      <c r="M15" s="75">
        <f>SUM(M16:M18)</f>
        <v>28499332.006444246</v>
      </c>
      <c r="N15" s="75">
        <f>SUM(N16:N18)</f>
        <v>30013385.761081509</v>
      </c>
      <c r="O15" s="75">
        <f t="shared" si="5"/>
        <v>-1514053.7546372637</v>
      </c>
      <c r="P15" s="76">
        <f t="shared" si="1"/>
        <v>0.9495540500931906</v>
      </c>
      <c r="Q15" s="76">
        <f>'Summary - PAC'!K78</f>
        <v>0.70570835949209243</v>
      </c>
      <c r="S15" s="74" t="s">
        <v>137</v>
      </c>
      <c r="T15" s="75">
        <f>SUM(T16:T18)</f>
        <v>30860516.206469059</v>
      </c>
      <c r="U15" s="75">
        <f>SUM(U16:U18)</f>
        <v>32086229.715728544</v>
      </c>
      <c r="V15" s="75">
        <f t="shared" si="6"/>
        <v>-1225713.5092594847</v>
      </c>
      <c r="W15" s="76">
        <f t="shared" si="2"/>
        <v>0.96179939119931424</v>
      </c>
      <c r="X15" s="76">
        <f>'Summary - PAC'!K126</f>
        <v>0.68937139989721152</v>
      </c>
      <c r="Z15" s="74" t="s">
        <v>137</v>
      </c>
      <c r="AA15" s="75">
        <f>SUM(AA16:AA18)</f>
        <v>33223098.854784034</v>
      </c>
      <c r="AB15" s="75">
        <f>SUM(AB16:AB18)</f>
        <v>34327023.043628298</v>
      </c>
      <c r="AC15" s="75">
        <f t="shared" si="7"/>
        <v>-1103924.1888442636</v>
      </c>
      <c r="AD15" s="76">
        <f t="shared" si="3"/>
        <v>0.96784095761985478</v>
      </c>
      <c r="AE15" s="76">
        <f>'Summary - PAC'!K174</f>
        <v>0.68170870650369497</v>
      </c>
    </row>
    <row r="16" spans="1:35" x14ac:dyDescent="0.25">
      <c r="A16" s="65" t="s">
        <v>22</v>
      </c>
      <c r="B16" s="65"/>
      <c r="C16" s="65"/>
      <c r="E16" s="70" t="s">
        <v>22</v>
      </c>
      <c r="F16" s="71">
        <f>SUMIFS('Summary - TRC'!$J:$J,'Summary - TRC'!$C:$C,$A16,'Summary - TRC'!$A:$A,F$2)</f>
        <v>12822904.532909317</v>
      </c>
      <c r="G16" s="71">
        <f>SUMIFS('Summary - TRC'!$N:$N,'Summary - TRC'!$C:$C,$A16,'Summary - TRC'!$A:$A,G$2)</f>
        <v>15815027.380000001</v>
      </c>
      <c r="H16" s="71">
        <f t="shared" si="4"/>
        <v>-2992122.8470906839</v>
      </c>
      <c r="I16" s="72">
        <f t="shared" si="0"/>
        <v>0.81080507954892433</v>
      </c>
      <c r="J16" s="72">
        <f>'Summary - PAC'!K31</f>
        <v>0.60950781390047837</v>
      </c>
      <c r="L16" s="70" t="s">
        <v>22</v>
      </c>
      <c r="M16" s="71">
        <f>SUMIFS('Summary - TRC'!$J:$J,'Summary - TRC'!$C:$C,$A16,'Summary - TRC'!$A:$A,M$2)</f>
        <v>14450131.97827106</v>
      </c>
      <c r="N16" s="71">
        <f>SUMIFS('Summary - TRC'!$N:$N,'Summary - TRC'!$C:$C,$A16,'Summary - TRC'!$A:$A,N$2)</f>
        <v>17288937.519999996</v>
      </c>
      <c r="O16" s="71">
        <f t="shared" si="5"/>
        <v>-2838805.5417289361</v>
      </c>
      <c r="P16" s="72">
        <f t="shared" si="1"/>
        <v>0.83580219788260668</v>
      </c>
      <c r="Q16" s="72">
        <f>'Summary - PAC'!K79</f>
        <v>0.61353723807159732</v>
      </c>
      <c r="S16" s="70" t="s">
        <v>22</v>
      </c>
      <c r="T16" s="71">
        <f>SUMIFS('Summary - TRC'!$J:$J,'Summary - TRC'!$C:$C,$A16,'Summary - TRC'!$A:$A,T$2)</f>
        <v>16012173.111566063</v>
      </c>
      <c r="U16" s="71">
        <f>SUMIFS('Summary - TRC'!$N:$N,'Summary - TRC'!$C:$C,$A16,'Summary - TRC'!$A:$A,U$2)</f>
        <v>18733180.159999996</v>
      </c>
      <c r="V16" s="71">
        <f t="shared" si="6"/>
        <v>-2721007.0484339334</v>
      </c>
      <c r="W16" s="72">
        <f t="shared" si="2"/>
        <v>0.85474932578484664</v>
      </c>
      <c r="X16" s="72">
        <f>'Summary - PAC'!K127</f>
        <v>0.60713006001758896</v>
      </c>
      <c r="Z16" s="70" t="s">
        <v>22</v>
      </c>
      <c r="AA16" s="71">
        <f>SUMIFS('Summary - TRC'!$J:$J,'Summary - TRC'!$C:$C,$A16,'Summary - TRC'!$A:$A,AA$2)</f>
        <v>17782583.769019566</v>
      </c>
      <c r="AB16" s="71">
        <f>SUMIFS('Summary - TRC'!$N:$N,'Summary - TRC'!$C:$C,$A16,'Summary - TRC'!$A:$A,AB$2)</f>
        <v>20442720.749999996</v>
      </c>
      <c r="AC16" s="71">
        <f t="shared" si="7"/>
        <v>-2660136.9809804298</v>
      </c>
      <c r="AD16" s="72">
        <f t="shared" si="3"/>
        <v>0.8698736330886665</v>
      </c>
      <c r="AE16" s="72">
        <f>'Summary - PAC'!K175</f>
        <v>0.60563223222728058</v>
      </c>
    </row>
    <row r="17" spans="1:31" x14ac:dyDescent="0.25">
      <c r="A17" s="65" t="s">
        <v>21</v>
      </c>
      <c r="B17" s="65"/>
      <c r="C17" s="65"/>
      <c r="E17" s="70" t="s">
        <v>21</v>
      </c>
      <c r="F17" s="71">
        <f>SUMIFS('Summary - TRC'!$J:$J,'Summary - TRC'!$C:$C,$A17,'Summary - TRC'!$A:$A,F$2)</f>
        <v>13382298.87223432</v>
      </c>
      <c r="G17" s="71">
        <f>SUMIFS('Summary - TRC'!$N:$N,'Summary - TRC'!$C:$C,$A17,'Summary - TRC'!$A:$A,G$2)</f>
        <v>10342924.769799657</v>
      </c>
      <c r="H17" s="71">
        <f t="shared" si="4"/>
        <v>3039374.1024346631</v>
      </c>
      <c r="I17" s="72">
        <f t="shared" si="0"/>
        <v>1.2938602155658467</v>
      </c>
      <c r="J17" s="72">
        <f>'Summary - PAC'!K32</f>
        <v>1.0518477047046786</v>
      </c>
      <c r="L17" s="70" t="s">
        <v>21</v>
      </c>
      <c r="M17" s="71">
        <f>SUMIFS('Summary - TRC'!$J:$J,'Summary - TRC'!$C:$C,$A17,'Summary - TRC'!$A:$A,M$2)</f>
        <v>14049200.028173188</v>
      </c>
      <c r="N17" s="71">
        <f>SUMIFS('Summary - TRC'!$N:$N,'Summary - TRC'!$C:$C,$A17,'Summary - TRC'!$A:$A,N$2)</f>
        <v>10854487.241081513</v>
      </c>
      <c r="O17" s="71">
        <f t="shared" si="5"/>
        <v>3194712.7870916743</v>
      </c>
      <c r="P17" s="72">
        <f t="shared" si="1"/>
        <v>1.2943218519803024</v>
      </c>
      <c r="Q17" s="72">
        <f>'Summary - PAC'!K80</f>
        <v>1.0308409128448979</v>
      </c>
      <c r="S17" s="70" t="s">
        <v>21</v>
      </c>
      <c r="T17" s="71">
        <f>SUMIFS('Summary - TRC'!$J:$J,'Summary - TRC'!$C:$C,$A17,'Summary - TRC'!$A:$A,T$2)</f>
        <v>14848343.094902996</v>
      </c>
      <c r="U17" s="71">
        <f>SUMIFS('Summary - TRC'!$N:$N,'Summary - TRC'!$C:$C,$A17,'Summary - TRC'!$A:$A,U$2)</f>
        <v>11450924.555728547</v>
      </c>
      <c r="V17" s="71">
        <f t="shared" si="6"/>
        <v>3397418.5391744487</v>
      </c>
      <c r="W17" s="72">
        <f t="shared" si="2"/>
        <v>1.2966938191444832</v>
      </c>
      <c r="X17" s="72">
        <f>'Summary - PAC'!K128</f>
        <v>0.98272740213428522</v>
      </c>
      <c r="Z17" s="70" t="s">
        <v>21</v>
      </c>
      <c r="AA17" s="71">
        <f>SUMIFS('Summary - TRC'!$J:$J,'Summary - TRC'!$C:$C,$A17,'Summary - TRC'!$A:$A,AA$2)</f>
        <v>15440515.08576447</v>
      </c>
      <c r="AB17" s="71">
        <f>SUMIFS('Summary - TRC'!$N:$N,'Summary - TRC'!$C:$C,$A17,'Summary - TRC'!$A:$A,AB$2)</f>
        <v>11949461.293628301</v>
      </c>
      <c r="AC17" s="71">
        <f t="shared" si="7"/>
        <v>3491053.7921361681</v>
      </c>
      <c r="AD17" s="72">
        <f t="shared" si="3"/>
        <v>1.2921515628489186</v>
      </c>
      <c r="AE17" s="72">
        <f>'Summary - PAC'!K176</f>
        <v>0.96469889691946453</v>
      </c>
    </row>
    <row r="18" spans="1:31" x14ac:dyDescent="0.25">
      <c r="A18" s="65" t="s">
        <v>23</v>
      </c>
      <c r="B18" s="65"/>
      <c r="C18" s="65"/>
      <c r="E18" s="70" t="s">
        <v>136</v>
      </c>
      <c r="F18" s="71">
        <f>SUMIFS('Summary - TRC'!$J:$J,'Summary - TRC'!$C:$C,$A18,'Summary - TRC'!$A:$A,F$2)</f>
        <v>0</v>
      </c>
      <c r="G18" s="71">
        <f>SUMIFS('Summary - TRC'!$N:$N,'Summary - TRC'!$C:$C,$A18,'Summary - TRC'!$A:$A,G$2)</f>
        <v>1838341</v>
      </c>
      <c r="H18" s="71">
        <f t="shared" si="4"/>
        <v>-1838341</v>
      </c>
      <c r="I18" s="73">
        <f t="shared" si="0"/>
        <v>0</v>
      </c>
      <c r="J18" s="73">
        <f>'Summary - PAC'!K33</f>
        <v>0</v>
      </c>
      <c r="L18" s="70" t="s">
        <v>136</v>
      </c>
      <c r="M18" s="71">
        <f>SUMIFS('Summary - TRC'!$J:$J,'Summary - TRC'!$C:$C,$A18,'Summary - TRC'!$A:$A,M$2)</f>
        <v>0</v>
      </c>
      <c r="N18" s="71">
        <f>SUMIFS('Summary - TRC'!$N:$N,'Summary - TRC'!$C:$C,$A18,'Summary - TRC'!$A:$A,N$2)</f>
        <v>1869961</v>
      </c>
      <c r="O18" s="71">
        <f t="shared" si="5"/>
        <v>-1869961</v>
      </c>
      <c r="P18" s="73">
        <f t="shared" si="1"/>
        <v>0</v>
      </c>
      <c r="Q18" s="73">
        <f>'Summary - PAC'!K81</f>
        <v>0</v>
      </c>
      <c r="S18" s="70" t="s">
        <v>136</v>
      </c>
      <c r="T18" s="71">
        <f>SUMIFS('Summary - TRC'!$J:$J,'Summary - TRC'!$C:$C,$A18,'Summary - TRC'!$A:$A,T$2)</f>
        <v>0</v>
      </c>
      <c r="U18" s="71">
        <f>SUMIFS('Summary - TRC'!$N:$N,'Summary - TRC'!$C:$C,$A18,'Summary - TRC'!$A:$A,U$2)</f>
        <v>1902125</v>
      </c>
      <c r="V18" s="71">
        <f t="shared" si="6"/>
        <v>-1902125</v>
      </c>
      <c r="W18" s="73">
        <f t="shared" si="2"/>
        <v>0</v>
      </c>
      <c r="X18" s="73">
        <f>'Summary - PAC'!K129</f>
        <v>0</v>
      </c>
      <c r="Z18" s="70" t="s">
        <v>136</v>
      </c>
      <c r="AA18" s="71">
        <f>SUMIFS('Summary - TRC'!$J:$J,'Summary - TRC'!$C:$C,$A18,'Summary - TRC'!$A:$A,AA$2)</f>
        <v>0</v>
      </c>
      <c r="AB18" s="71">
        <f>SUMIFS('Summary - TRC'!$N:$N,'Summary - TRC'!$C:$C,$A18,'Summary - TRC'!$A:$A,AB$2)</f>
        <v>1934841</v>
      </c>
      <c r="AC18" s="71">
        <f t="shared" si="7"/>
        <v>-1934841</v>
      </c>
      <c r="AD18" s="73">
        <f t="shared" si="3"/>
        <v>0</v>
      </c>
      <c r="AE18" s="73">
        <f>'Summary - PAC'!K177</f>
        <v>0</v>
      </c>
    </row>
    <row r="19" spans="1:31" x14ac:dyDescent="0.25">
      <c r="A19" s="65"/>
      <c r="B19" s="65"/>
      <c r="C19" s="65"/>
      <c r="E19" s="74" t="s">
        <v>138</v>
      </c>
      <c r="F19" s="77">
        <f>SUM(F20:F26)</f>
        <v>126166665.80634306</v>
      </c>
      <c r="G19" s="77">
        <f>SUM(G20:G26)</f>
        <v>80274862.421114385</v>
      </c>
      <c r="H19" s="77">
        <f t="shared" si="4"/>
        <v>45891803.385228679</v>
      </c>
      <c r="I19" s="76">
        <f t="shared" si="0"/>
        <v>1.571683363896466</v>
      </c>
      <c r="J19" s="76">
        <f>'Summary - PAC'!K15</f>
        <v>2.1700581665216632</v>
      </c>
      <c r="L19" s="74" t="s">
        <v>138</v>
      </c>
      <c r="M19" s="77">
        <f>SUM(M20:M26)</f>
        <v>148827358.67384455</v>
      </c>
      <c r="N19" s="77">
        <f>SUM(N20:N26)</f>
        <v>91565098.612652645</v>
      </c>
      <c r="O19" s="77">
        <f t="shared" si="5"/>
        <v>57262260.061191902</v>
      </c>
      <c r="P19" s="76">
        <f t="shared" si="1"/>
        <v>1.6253721224440345</v>
      </c>
      <c r="Q19" s="76">
        <f>'Summary - PAC'!K63</f>
        <v>2.2689852247690903</v>
      </c>
      <c r="S19" s="74" t="s">
        <v>138</v>
      </c>
      <c r="T19" s="77">
        <f>SUM(T20:T26)</f>
        <v>166773690.8390713</v>
      </c>
      <c r="U19" s="77">
        <f>SUM(U20:U26)</f>
        <v>99896737.912945256</v>
      </c>
      <c r="V19" s="77">
        <f t="shared" si="6"/>
        <v>66876952.926126048</v>
      </c>
      <c r="W19" s="76">
        <f t="shared" si="2"/>
        <v>1.6694608284847678</v>
      </c>
      <c r="X19" s="76">
        <f>'Summary - PAC'!K111</f>
        <v>2.3498257057184757</v>
      </c>
      <c r="Z19" s="74" t="s">
        <v>138</v>
      </c>
      <c r="AA19" s="77">
        <f>SUM(AA20:AA26)</f>
        <v>180689562.69557053</v>
      </c>
      <c r="AB19" s="77">
        <f>SUM(AB20:AB26)</f>
        <v>108825466.63906689</v>
      </c>
      <c r="AC19" s="77">
        <f t="shared" si="7"/>
        <v>71864096.056503639</v>
      </c>
      <c r="AD19" s="76">
        <f t="shared" si="3"/>
        <v>1.6603610191247771</v>
      </c>
      <c r="AE19" s="76">
        <f>'Summary - PAC'!K159</f>
        <v>2.3980025076994509</v>
      </c>
    </row>
    <row r="20" spans="1:31" x14ac:dyDescent="0.25">
      <c r="A20" s="65" t="s">
        <v>9</v>
      </c>
      <c r="B20" s="65"/>
      <c r="C20" s="65"/>
      <c r="E20" s="70" t="s">
        <v>9</v>
      </c>
      <c r="F20" s="71">
        <f>SUMIFS('Summary - TRC'!$J:$J,'Summary - TRC'!$C:$C,$A20,'Summary - TRC'!$A:$A,F$2)</f>
        <v>74684001.149741635</v>
      </c>
      <c r="G20" s="71">
        <f>SUMIFS('Summary - TRC'!$N:$N,'Summary - TRC'!$C:$C,$A20,'Summary - TRC'!$A:$A,G$2)</f>
        <v>47292591.271112211</v>
      </c>
      <c r="H20" s="71">
        <f t="shared" si="4"/>
        <v>27391409.878629424</v>
      </c>
      <c r="I20" s="72">
        <f t="shared" si="0"/>
        <v>1.5791902947673953</v>
      </c>
      <c r="J20" s="72">
        <f>'Summary - PAC'!K16</f>
        <v>4.0808645764256752</v>
      </c>
      <c r="L20" s="70" t="s">
        <v>9</v>
      </c>
      <c r="M20" s="71">
        <f>SUMIFS('Summary - TRC'!$J:$J,'Summary - TRC'!$C:$C,$A20,'Summary - TRC'!$A:$A,M$2)</f>
        <v>88711474.759880185</v>
      </c>
      <c r="N20" s="71">
        <f>SUMIFS('Summary - TRC'!$N:$N,'Summary - TRC'!$C:$C,$A20,'Summary - TRC'!$A:$A,N$2)</f>
        <v>55203877.627355739</v>
      </c>
      <c r="O20" s="71">
        <f t="shared" si="5"/>
        <v>33507597.132524446</v>
      </c>
      <c r="P20" s="72">
        <f t="shared" si="1"/>
        <v>1.6069790488036313</v>
      </c>
      <c r="Q20" s="72">
        <f>'Summary - PAC'!K64</f>
        <v>4.1196124674644157</v>
      </c>
      <c r="S20" s="70" t="s">
        <v>9</v>
      </c>
      <c r="T20" s="71">
        <f>SUMIFS('Summary - TRC'!$J:$J,'Summary - TRC'!$C:$C,$A20,'Summary - TRC'!$A:$A,T$2)</f>
        <v>99657230.131238624</v>
      </c>
      <c r="U20" s="71">
        <f>SUMIFS('Summary - TRC'!$N:$N,'Summary - TRC'!$C:$C,$A20,'Summary - TRC'!$A:$A,U$2)</f>
        <v>60531961.253840178</v>
      </c>
      <c r="V20" s="71">
        <f t="shared" si="6"/>
        <v>39125268.877398446</v>
      </c>
      <c r="W20" s="72">
        <f t="shared" si="2"/>
        <v>1.6463571981969496</v>
      </c>
      <c r="X20" s="72">
        <f>'Summary - PAC'!K112</f>
        <v>4.194206924827232</v>
      </c>
      <c r="Z20" s="70" t="s">
        <v>9</v>
      </c>
      <c r="AA20" s="71">
        <f>SUMIFS('Summary - TRC'!$J:$J,'Summary - TRC'!$C:$C,$A20,'Summary - TRC'!$A:$A,AA$2)</f>
        <v>108725689.20934197</v>
      </c>
      <c r="AB20" s="71">
        <f>SUMIFS('Summary - TRC'!$N:$N,'Summary - TRC'!$C:$C,$A20,'Summary - TRC'!$A:$A,AB$2)</f>
        <v>67365809.466370806</v>
      </c>
      <c r="AC20" s="71">
        <f t="shared" si="7"/>
        <v>41359879.742971167</v>
      </c>
      <c r="AD20" s="72">
        <f t="shared" si="3"/>
        <v>1.6139595155257227</v>
      </c>
      <c r="AE20" s="72">
        <f>'Summary - PAC'!K160</f>
        <v>4.2091590221085928</v>
      </c>
    </row>
    <row r="21" spans="1:31" x14ac:dyDescent="0.25">
      <c r="A21" s="65" t="s">
        <v>163</v>
      </c>
      <c r="B21" s="65"/>
      <c r="C21" s="65"/>
      <c r="E21" s="70" t="s">
        <v>163</v>
      </c>
      <c r="F21" s="71">
        <f>SUMIFS('Summary - TRC'!$J:$J,'Summary - TRC'!$C:$C,$A21,'Summary - TRC'!$A:$A,F$2)</f>
        <v>14060383.27489916</v>
      </c>
      <c r="G21" s="71">
        <f>SUMIFS('Summary - TRC'!$N:$N,'Summary - TRC'!$C:$C,$A21,'Summary - TRC'!$A:$A,G$2)</f>
        <v>10577466.331375513</v>
      </c>
      <c r="H21" s="71">
        <f t="shared" si="4"/>
        <v>3482916.9435236473</v>
      </c>
      <c r="I21" s="72">
        <f t="shared" si="0"/>
        <v>1.3292770531627609</v>
      </c>
      <c r="J21" s="72">
        <f>'Summary - PAC'!K17</f>
        <v>2.0239419353707162</v>
      </c>
      <c r="L21" s="70" t="s">
        <v>163</v>
      </c>
      <c r="M21" s="71">
        <f>SUMIFS('Summary - TRC'!$J:$J,'Summary - TRC'!$C:$C,$A21,'Summary - TRC'!$A:$A,M$2)</f>
        <v>16142135.292667147</v>
      </c>
      <c r="N21" s="71">
        <f>SUMIFS('Summary - TRC'!$N:$N,'Summary - TRC'!$C:$C,$A21,'Summary - TRC'!$A:$A,N$2)</f>
        <v>11801787.646106105</v>
      </c>
      <c r="O21" s="71">
        <f t="shared" si="5"/>
        <v>4340347.6465610415</v>
      </c>
      <c r="P21" s="72">
        <f t="shared" si="1"/>
        <v>1.3677703562132046</v>
      </c>
      <c r="Q21" s="72">
        <f>'Summary - PAC'!K65</f>
        <v>2.0870126256066439</v>
      </c>
      <c r="S21" s="70" t="s">
        <v>163</v>
      </c>
      <c r="T21" s="71">
        <f>SUMIFS('Summary - TRC'!$J:$J,'Summary - TRC'!$C:$C,$A21,'Summary - TRC'!$A:$A,T$2)</f>
        <v>18386981.653981198</v>
      </c>
      <c r="U21" s="71">
        <f>SUMIFS('Summary - TRC'!$N:$N,'Summary - TRC'!$C:$C,$A21,'Summary - TRC'!$A:$A,U$2)</f>
        <v>13080371.715248831</v>
      </c>
      <c r="V21" s="71">
        <f t="shared" si="6"/>
        <v>5306609.938732367</v>
      </c>
      <c r="W21" s="72">
        <f t="shared" si="2"/>
        <v>1.4056925945419447</v>
      </c>
      <c r="X21" s="72">
        <f>'Summary - PAC'!K113</f>
        <v>2.1388180879951428</v>
      </c>
      <c r="Z21" s="70" t="s">
        <v>163</v>
      </c>
      <c r="AA21" s="71">
        <f>SUMIFS('Summary - TRC'!$J:$J,'Summary - TRC'!$C:$C,$A21,'Summary - TRC'!$A:$A,AA$2)</f>
        <v>19897981.887751155</v>
      </c>
      <c r="AB21" s="71">
        <f>SUMIFS('Summary - TRC'!$N:$N,'Summary - TRC'!$C:$C,$A21,'Summary - TRC'!$A:$A,AB$2)</f>
        <v>13718660.997699466</v>
      </c>
      <c r="AC21" s="71">
        <f t="shared" si="7"/>
        <v>6179320.890051689</v>
      </c>
      <c r="AD21" s="72">
        <f t="shared" si="3"/>
        <v>1.4504317798280695</v>
      </c>
      <c r="AE21" s="72">
        <f>'Summary - PAC'!K161</f>
        <v>2.1756595947528301</v>
      </c>
    </row>
    <row r="22" spans="1:31" x14ac:dyDescent="0.25">
      <c r="A22" s="65" t="s">
        <v>164</v>
      </c>
      <c r="B22" s="65"/>
      <c r="C22" s="65"/>
      <c r="E22" s="70" t="s">
        <v>164</v>
      </c>
      <c r="F22" s="71">
        <f>SUMIFS('Summary - TRC'!$J:$J,'Summary - TRC'!$C:$C,$A22,'Summary - TRC'!$A:$A,F$2)</f>
        <v>27232805.050035156</v>
      </c>
      <c r="G22" s="71">
        <f>SUMIFS('Summary - TRC'!$N:$N,'Summary - TRC'!$C:$C,$A22,'Summary - TRC'!$A:$A,G$2)</f>
        <v>10406819.966302657</v>
      </c>
      <c r="H22" s="71">
        <f t="shared" si="4"/>
        <v>16825985.083732501</v>
      </c>
      <c r="I22" s="72">
        <f t="shared" si="0"/>
        <v>2.6168229236419132</v>
      </c>
      <c r="J22" s="72">
        <f>'Summary - PAC'!K18</f>
        <v>1.6287690969889785</v>
      </c>
      <c r="L22" s="70" t="s">
        <v>164</v>
      </c>
      <c r="M22" s="71">
        <f>SUMIFS('Summary - TRC'!$J:$J,'Summary - TRC'!$C:$C,$A22,'Summary - TRC'!$A:$A,M$2)</f>
        <v>31653437.563660283</v>
      </c>
      <c r="N22" s="71">
        <f>SUMIFS('Summary - TRC'!$N:$N,'Summary - TRC'!$C:$C,$A22,'Summary - TRC'!$A:$A,N$2)</f>
        <v>11482419.594430307</v>
      </c>
      <c r="O22" s="71">
        <f t="shared" si="5"/>
        <v>20171017.969229974</v>
      </c>
      <c r="P22" s="72">
        <f t="shared" si="1"/>
        <v>2.7566870643722323</v>
      </c>
      <c r="Q22" s="72">
        <f>'Summary - PAC'!K66</f>
        <v>1.6650720255636302</v>
      </c>
      <c r="S22" s="70" t="s">
        <v>164</v>
      </c>
      <c r="T22" s="71">
        <f>SUMIFS('Summary - TRC'!$J:$J,'Summary - TRC'!$C:$C,$A22,'Summary - TRC'!$A:$A,T$2)</f>
        <v>34533303.895102501</v>
      </c>
      <c r="U22" s="71">
        <f>SUMIFS('Summary - TRC'!$N:$N,'Summary - TRC'!$C:$C,$A22,'Summary - TRC'!$A:$A,U$2)</f>
        <v>12091604.712189002</v>
      </c>
      <c r="V22" s="71">
        <f t="shared" si="6"/>
        <v>22441699.182913497</v>
      </c>
      <c r="W22" s="72">
        <f t="shared" si="2"/>
        <v>2.8559736045862492</v>
      </c>
      <c r="X22" s="72">
        <f>'Summary - PAC'!K114</f>
        <v>1.6935854567712787</v>
      </c>
      <c r="Z22" s="70" t="s">
        <v>164</v>
      </c>
      <c r="AA22" s="71">
        <f>SUMIFS('Summary - TRC'!$J:$J,'Summary - TRC'!$C:$C,$A22,'Summary - TRC'!$A:$A,AA$2)</f>
        <v>36368867.543558016</v>
      </c>
      <c r="AB22" s="71">
        <f>SUMIFS('Summary - TRC'!$N:$N,'Summary - TRC'!$C:$C,$A22,'Summary - TRC'!$A:$A,AB$2)</f>
        <v>12443092.629905287</v>
      </c>
      <c r="AC22" s="71">
        <f t="shared" si="7"/>
        <v>23925774.913652729</v>
      </c>
      <c r="AD22" s="72">
        <f t="shared" si="3"/>
        <v>2.9228157842488747</v>
      </c>
      <c r="AE22" s="72">
        <f>'Summary - PAC'!K162</f>
        <v>1.7094628711040289</v>
      </c>
    </row>
    <row r="23" spans="1:31" x14ac:dyDescent="0.25">
      <c r="A23" s="65" t="s">
        <v>165</v>
      </c>
      <c r="B23" s="65"/>
      <c r="C23" s="65"/>
      <c r="E23" s="70" t="s">
        <v>165</v>
      </c>
      <c r="F23" s="71">
        <f>SUMIFS('Summary - TRC'!$J:$J,'Summary - TRC'!$C:$C,$A23,'Summary - TRC'!$A:$A,F$2)</f>
        <v>9734448.0674892962</v>
      </c>
      <c r="G23" s="71">
        <f>SUMIFS('Summary - TRC'!$N:$N,'Summary - TRC'!$C:$C,$A23,'Summary - TRC'!$A:$A,G$2)</f>
        <v>5219776.4090909092</v>
      </c>
      <c r="H23" s="71">
        <f t="shared" si="4"/>
        <v>4514671.658398387</v>
      </c>
      <c r="I23" s="72">
        <f t="shared" si="0"/>
        <v>1.8649166754605635</v>
      </c>
      <c r="J23" s="72">
        <f>'Summary - PAC'!K19</f>
        <v>1.4819576786532802</v>
      </c>
      <c r="L23" s="70" t="s">
        <v>165</v>
      </c>
      <c r="M23" s="71">
        <f>SUMIFS('Summary - TRC'!$J:$J,'Summary - TRC'!$C:$C,$A23,'Summary - TRC'!$A:$A,M$2)</f>
        <v>11608464.254716717</v>
      </c>
      <c r="N23" s="71">
        <f>SUMIFS('Summary - TRC'!$N:$N,'Summary - TRC'!$C:$C,$A23,'Summary - TRC'!$A:$A,N$2)</f>
        <v>6004044.345676275</v>
      </c>
      <c r="O23" s="71">
        <f t="shared" si="5"/>
        <v>5604419.9090404417</v>
      </c>
      <c r="P23" s="72">
        <f t="shared" si="1"/>
        <v>1.933440791968231</v>
      </c>
      <c r="Q23" s="72">
        <f>'Summary - PAC'!K67</f>
        <v>1.536333295545236</v>
      </c>
      <c r="S23" s="70" t="s">
        <v>165</v>
      </c>
      <c r="T23" s="71">
        <f>SUMIFS('Summary - TRC'!$J:$J,'Summary - TRC'!$C:$C,$A23,'Summary - TRC'!$A:$A,T$2)</f>
        <v>13162696.975528659</v>
      </c>
      <c r="U23" s="71">
        <f>SUMIFS('Summary - TRC'!$N:$N,'Summary - TRC'!$C:$C,$A23,'Summary - TRC'!$A:$A,U$2)</f>
        <v>6570572.2084257212</v>
      </c>
      <c r="V23" s="71">
        <f t="shared" si="6"/>
        <v>6592124.7671029381</v>
      </c>
      <c r="W23" s="72">
        <f t="shared" si="2"/>
        <v>2.0032801646483054</v>
      </c>
      <c r="X23" s="72">
        <f>'Summary - PAC'!K115</f>
        <v>1.5879928730628801</v>
      </c>
      <c r="Z23" s="70" t="s">
        <v>165</v>
      </c>
      <c r="AA23" s="71">
        <f>SUMIFS('Summary - TRC'!$J:$J,'Summary - TRC'!$C:$C,$A23,'Summary - TRC'!$A:$A,AA$2)</f>
        <v>14167073.246289888</v>
      </c>
      <c r="AB23" s="71">
        <f>SUMIFS('Summary - TRC'!$N:$N,'Summary - TRC'!$C:$C,$A23,'Summary - TRC'!$A:$A,AB$2)</f>
        <v>6910367.1831485592</v>
      </c>
      <c r="AC23" s="71">
        <f t="shared" si="7"/>
        <v>7256706.0631413292</v>
      </c>
      <c r="AD23" s="72">
        <f t="shared" si="3"/>
        <v>2.0501187376609078</v>
      </c>
      <c r="AE23" s="72">
        <f>'Summary - PAC'!K163</f>
        <v>1.6146587891706907</v>
      </c>
    </row>
    <row r="24" spans="1:31" x14ac:dyDescent="0.25">
      <c r="A24" s="65" t="s">
        <v>166</v>
      </c>
      <c r="B24" s="65"/>
      <c r="C24" s="65"/>
      <c r="E24" s="70" t="s">
        <v>166</v>
      </c>
      <c r="F24" s="71">
        <f>SUMIFS('Summary - TRC'!$J:$J,'Summary - TRC'!$C:$C,$A24,'Summary - TRC'!$A:$A,F$2)</f>
        <v>287138.21302399482</v>
      </c>
      <c r="G24" s="71">
        <f>SUMIFS('Summary - TRC'!$N:$N,'Summary - TRC'!$C:$C,$A24,'Summary - TRC'!$A:$A,G$2)</f>
        <v>375147.61376882985</v>
      </c>
      <c r="H24" s="71">
        <f t="shared" si="4"/>
        <v>-88009.400744835031</v>
      </c>
      <c r="I24" s="72">
        <f t="shared" si="0"/>
        <v>0.7654006116134664</v>
      </c>
      <c r="J24" s="72">
        <f>'Summary - PAC'!K20</f>
        <v>0.43580437859696769</v>
      </c>
      <c r="L24" s="70" t="s">
        <v>166</v>
      </c>
      <c r="M24" s="71">
        <f>SUMIFS('Summary - TRC'!$J:$J,'Summary - TRC'!$C:$C,$A24,'Summary - TRC'!$A:$A,M$2)</f>
        <v>458584.00003833271</v>
      </c>
      <c r="N24" s="71">
        <f>SUMIFS('Summary - TRC'!$N:$N,'Summary - TRC'!$C:$C,$A24,'Summary - TRC'!$A:$A,N$2)</f>
        <v>422524.79205843748</v>
      </c>
      <c r="O24" s="71">
        <f t="shared" si="5"/>
        <v>36059.207979895233</v>
      </c>
      <c r="P24" s="72">
        <f t="shared" si="1"/>
        <v>1.0853422299889754</v>
      </c>
      <c r="Q24" s="72">
        <f>'Summary - PAC'!K68</f>
        <v>0.55142984161811559</v>
      </c>
      <c r="S24" s="70" t="s">
        <v>166</v>
      </c>
      <c r="T24" s="71">
        <f>SUMIFS('Summary - TRC'!$J:$J,'Summary - TRC'!$C:$C,$A24,'Summary - TRC'!$A:$A,T$2)</f>
        <v>509841.56191915635</v>
      </c>
      <c r="U24" s="71">
        <f>SUMIFS('Summary - TRC'!$N:$N,'Summary - TRC'!$C:$C,$A24,'Summary - TRC'!$A:$A,U$2)</f>
        <v>420508.62377791316</v>
      </c>
      <c r="V24" s="71">
        <f t="shared" si="6"/>
        <v>89332.938141243183</v>
      </c>
      <c r="W24" s="72">
        <f t="shared" si="2"/>
        <v>1.2124402047659868</v>
      </c>
      <c r="X24" s="72">
        <f>'Summary - PAC'!K116</f>
        <v>0.59423205051697814</v>
      </c>
      <c r="Z24" s="70" t="s">
        <v>166</v>
      </c>
      <c r="AA24" s="71">
        <f>SUMIFS('Summary - TRC'!$J:$J,'Summary - TRC'!$C:$C,$A24,'Summary - TRC'!$A:$A,AA$2)</f>
        <v>580779.75107387302</v>
      </c>
      <c r="AB24" s="71">
        <f>SUMIFS('Summary - TRC'!$N:$N,'Summary - TRC'!$C:$C,$A24,'Summary - TRC'!$A:$A,AB$2)</f>
        <v>429298.98615570448</v>
      </c>
      <c r="AC24" s="71">
        <f t="shared" si="7"/>
        <v>151480.76491816854</v>
      </c>
      <c r="AD24" s="72">
        <f t="shared" si="3"/>
        <v>1.3528560975059636</v>
      </c>
      <c r="AE24" s="72">
        <f>'Summary - PAC'!K164</f>
        <v>0.6342227533640592</v>
      </c>
    </row>
    <row r="25" spans="1:31" x14ac:dyDescent="0.25">
      <c r="A25" s="65" t="s">
        <v>167</v>
      </c>
      <c r="B25" s="65"/>
      <c r="C25" s="65"/>
      <c r="E25" s="70" t="s">
        <v>167</v>
      </c>
      <c r="F25" s="71">
        <f>SUMIFS('Summary - TRC'!$J:$J,'Summary - TRC'!$C:$C,$A25,'Summary - TRC'!$A:$A,F$2)</f>
        <v>167890.05115382961</v>
      </c>
      <c r="G25" s="71">
        <f>SUMIFS('Summary - TRC'!$N:$N,'Summary - TRC'!$C:$C,$A25,'Summary - TRC'!$A:$A,G$2)</f>
        <v>395911.82946425863</v>
      </c>
      <c r="H25" s="71">
        <f t="shared" si="4"/>
        <v>-228021.77831042901</v>
      </c>
      <c r="I25" s="72">
        <f t="shared" si="0"/>
        <v>0.42405919363666317</v>
      </c>
      <c r="J25" s="72">
        <f>'Summary - PAC'!K21</f>
        <v>0.65582059715105967</v>
      </c>
      <c r="L25" s="70" t="s">
        <v>167</v>
      </c>
      <c r="M25" s="71">
        <f>SUMIFS('Summary - TRC'!$J:$J,'Summary - TRC'!$C:$C,$A25,'Summary - TRC'!$A:$A,M$2)</f>
        <v>253262.80288185558</v>
      </c>
      <c r="N25" s="71">
        <f>SUMIFS('Summary - TRC'!$N:$N,'Summary - TRC'!$C:$C,$A25,'Summary - TRC'!$A:$A,N$2)</f>
        <v>539973.60702576942</v>
      </c>
      <c r="O25" s="71">
        <f t="shared" si="5"/>
        <v>-286710.80414391385</v>
      </c>
      <c r="P25" s="72">
        <f t="shared" si="1"/>
        <v>0.46902811468296263</v>
      </c>
      <c r="Q25" s="72">
        <f>'Summary - PAC'!K69</f>
        <v>0.80530390254590678</v>
      </c>
      <c r="S25" s="70" t="s">
        <v>167</v>
      </c>
      <c r="T25" s="71">
        <f>SUMIFS('Summary - TRC'!$J:$J,'Summary - TRC'!$C:$C,$A25,'Summary - TRC'!$A:$A,T$2)</f>
        <v>523636.62130118447</v>
      </c>
      <c r="U25" s="71">
        <f>SUMIFS('Summary - TRC'!$N:$N,'Summary - TRC'!$C:$C,$A25,'Summary - TRC'!$A:$A,U$2)</f>
        <v>986147.39946362819</v>
      </c>
      <c r="V25" s="71">
        <f t="shared" si="6"/>
        <v>-462510.77816244372</v>
      </c>
      <c r="W25" s="72">
        <f t="shared" si="2"/>
        <v>0.53099224475569651</v>
      </c>
      <c r="X25" s="72">
        <f>'Summary - PAC'!K117</f>
        <v>1.1051578900985886</v>
      </c>
      <c r="Z25" s="70" t="s">
        <v>167</v>
      </c>
      <c r="AA25" s="71">
        <f>SUMIFS('Summary - TRC'!$J:$J,'Summary - TRC'!$C:$C,$A25,'Summary - TRC'!$A:$A,AA$2)</f>
        <v>949171.0575556173</v>
      </c>
      <c r="AB25" s="71">
        <f>SUMIFS('Summary - TRC'!$N:$N,'Summary - TRC'!$C:$C,$A25,'Summary - TRC'!$A:$A,AB$2)</f>
        <v>1635757.3757870691</v>
      </c>
      <c r="AC25" s="71">
        <f t="shared" si="7"/>
        <v>-686586.31823145179</v>
      </c>
      <c r="AD25" s="72">
        <f t="shared" si="3"/>
        <v>0.58026396310694273</v>
      </c>
      <c r="AE25" s="72">
        <f>'Summary - PAC'!K165</f>
        <v>1.3164347042452271</v>
      </c>
    </row>
    <row r="26" spans="1:31" x14ac:dyDescent="0.25">
      <c r="A26" s="65" t="s">
        <v>19</v>
      </c>
      <c r="B26" s="65" t="s">
        <v>168</v>
      </c>
      <c r="C26" s="65" t="s">
        <v>18</v>
      </c>
      <c r="E26" s="70" t="s">
        <v>136</v>
      </c>
      <c r="F26" s="71">
        <f>SUMIFS('Summary - TRC'!$J:$J,'Summary - TRC'!$C:$C,$A26,'Summary - TRC'!$A:$A,F$2)</f>
        <v>0</v>
      </c>
      <c r="G26" s="71">
        <f>SUMIFS('Summary - TRC'!$N:$N,'Summary - TRC'!$C:$C,$A26,'Summary - TRC'!$A:$A,G$2)+SUMIFS('Summary - TRC'!$N:$N,'Summary - TRC'!$C:$C,$B26,'Summary - TRC'!$A:$A,G$2)+SUMIFS('Summary - TRC'!$N:$N,'Summary - TRC'!$C:$C,$C26,'Summary - TRC'!$A:$A,G$2)</f>
        <v>6007149</v>
      </c>
      <c r="H26" s="71">
        <f t="shared" si="4"/>
        <v>-6007149</v>
      </c>
      <c r="I26" s="73">
        <f t="shared" si="0"/>
        <v>0</v>
      </c>
      <c r="J26" s="73">
        <f>'Summary - PAC'!K24</f>
        <v>0</v>
      </c>
      <c r="L26" s="70" t="s">
        <v>136</v>
      </c>
      <c r="M26" s="71">
        <f>SUMIFS('Summary - TRC'!$J:$J,'Summary - TRC'!$C:$C,$A26,'Summary - TRC'!$A:$A,M$2)</f>
        <v>0</v>
      </c>
      <c r="N26" s="71">
        <f>SUMIFS('Summary - TRC'!$N:$N,'Summary - TRC'!$C:$C,$A26,'Summary - TRC'!$A:$A,N$2)+SUMIFS('Summary - TRC'!$N:$N,'Summary - TRC'!$C:$C,$B26,'Summary - TRC'!$A:$A,N$2)+SUMIFS('Summary - TRC'!$N:$N,'Summary - TRC'!$C:$C,$C26,'Summary - TRC'!$A:$A,N$2)</f>
        <v>6110471</v>
      </c>
      <c r="O26" s="71">
        <f t="shared" si="5"/>
        <v>-6110471</v>
      </c>
      <c r="P26" s="73">
        <f t="shared" si="1"/>
        <v>0</v>
      </c>
      <c r="Q26" s="73">
        <f>'Summary - PAC'!K72</f>
        <v>0</v>
      </c>
      <c r="S26" s="70" t="s">
        <v>136</v>
      </c>
      <c r="T26" s="71">
        <f>SUMIFS('Summary - TRC'!$J:$J,'Summary - TRC'!$C:$C,$A26,'Summary - TRC'!$A:$A,T$2)</f>
        <v>0</v>
      </c>
      <c r="U26" s="71">
        <f>SUMIFS('Summary - TRC'!$N:$N,'Summary - TRC'!$C:$C,$A26,'Summary - TRC'!$A:$A,U$2)+SUMIFS('Summary - TRC'!$N:$N,'Summary - TRC'!$C:$C,$B26,'Summary - TRC'!$A:$A,U$2)+SUMIFS('Summary - TRC'!$N:$N,'Summary - TRC'!$C:$C,$C26,'Summary - TRC'!$A:$A,U$2)</f>
        <v>6215572</v>
      </c>
      <c r="V26" s="71">
        <f t="shared" si="6"/>
        <v>-6215572</v>
      </c>
      <c r="W26" s="73">
        <f t="shared" si="2"/>
        <v>0</v>
      </c>
      <c r="X26" s="73">
        <f>'Summary - PAC'!K120</f>
        <v>0</v>
      </c>
      <c r="Z26" s="70" t="s">
        <v>136</v>
      </c>
      <c r="AA26" s="71">
        <f>SUMIFS('Summary - TRC'!$J:$J,'Summary - TRC'!$C:$C,$A26,'Summary - TRC'!$A:$A,AA$2)</f>
        <v>0</v>
      </c>
      <c r="AB26" s="71">
        <f>SUMIFS('Summary - TRC'!$N:$N,'Summary - TRC'!$C:$C,$A26,'Summary - TRC'!$A:$A,AB$2)+SUMIFS('Summary - TRC'!$N:$N,'Summary - TRC'!$C:$C,$B26,'Summary - TRC'!$A:$A,AB$2)+SUMIFS('Summary - TRC'!$N:$N,'Summary - TRC'!$C:$C,$C26,'Summary - TRC'!$A:$A,AB$2)</f>
        <v>6322480</v>
      </c>
      <c r="AC26" s="71">
        <f t="shared" si="7"/>
        <v>-6322480</v>
      </c>
      <c r="AD26" s="73">
        <f t="shared" si="3"/>
        <v>0</v>
      </c>
      <c r="AE26" s="73">
        <f>'Summary - PAC'!K168</f>
        <v>0</v>
      </c>
    </row>
    <row r="27" spans="1:31" x14ac:dyDescent="0.25">
      <c r="A27" s="65"/>
      <c r="B27" s="65"/>
      <c r="C27" s="65"/>
      <c r="E27" s="74" t="s">
        <v>139</v>
      </c>
      <c r="F27" s="77">
        <f>SUM(F28:F29)</f>
        <v>206982533.34288839</v>
      </c>
      <c r="G27" s="77">
        <f>SUM(G28:G29)</f>
        <v>53125543.655199915</v>
      </c>
      <c r="H27" s="77">
        <f t="shared" si="4"/>
        <v>153856989.68768847</v>
      </c>
      <c r="I27" s="76">
        <f t="shared" si="0"/>
        <v>3.8961019333047142</v>
      </c>
      <c r="J27" s="76">
        <f>'Summary - PAC'!K25</f>
        <v>6.6871075943670348</v>
      </c>
      <c r="L27" s="74" t="s">
        <v>139</v>
      </c>
      <c r="M27" s="77">
        <f>SUM(M28:M29)</f>
        <v>232236944.71772915</v>
      </c>
      <c r="N27" s="77">
        <f>SUM(N28:N29)</f>
        <v>55733737.187199913</v>
      </c>
      <c r="O27" s="77">
        <f t="shared" si="5"/>
        <v>176503207.53052923</v>
      </c>
      <c r="P27" s="76">
        <f t="shared" si="1"/>
        <v>4.1669006321554525</v>
      </c>
      <c r="Q27" s="76">
        <f>'Summary - PAC'!K73</f>
        <v>7.026497133862331</v>
      </c>
      <c r="S27" s="74" t="s">
        <v>139</v>
      </c>
      <c r="T27" s="77">
        <f>SUM(T28:T29)</f>
        <v>250890019.94819432</v>
      </c>
      <c r="U27" s="77">
        <f>SUM(U28:U29)</f>
        <v>57594932.35119991</v>
      </c>
      <c r="V27" s="77">
        <f t="shared" si="6"/>
        <v>193295087.5969944</v>
      </c>
      <c r="W27" s="76">
        <f t="shared" si="2"/>
        <v>4.3561127638509571</v>
      </c>
      <c r="X27" s="76">
        <f>'Summary - PAC'!K121</f>
        <v>7.2713717389950787</v>
      </c>
      <c r="Z27" s="74" t="s">
        <v>139</v>
      </c>
      <c r="AA27" s="77">
        <f>SUM(AA28:AA29)</f>
        <v>270245186.33537608</v>
      </c>
      <c r="AB27" s="77">
        <f>SUM(AB28:AB29)</f>
        <v>59551621.811199911</v>
      </c>
      <c r="AC27" s="77">
        <f t="shared" si="7"/>
        <v>210693564.52417618</v>
      </c>
      <c r="AD27" s="76">
        <f t="shared" si="3"/>
        <v>4.5379987667195811</v>
      </c>
      <c r="AE27" s="76">
        <f>'Summary - PAC'!K169</f>
        <v>7.4654628699211907</v>
      </c>
    </row>
    <row r="28" spans="1:31" x14ac:dyDescent="0.25">
      <c r="A28" s="65" t="s">
        <v>8</v>
      </c>
      <c r="B28" s="65"/>
      <c r="C28" s="65"/>
      <c r="E28" s="70" t="s">
        <v>8</v>
      </c>
      <c r="F28" s="71">
        <f>SUMIFS('Summary - TRC'!$J:$J,'Summary - TRC'!$C:$C,$A28,'Summary - TRC'!$A:$A,F$2)</f>
        <v>206982533.34288839</v>
      </c>
      <c r="G28" s="71">
        <f>SUMIFS('Summary - TRC'!$N:$N,'Summary - TRC'!$C:$C,$A28,'Summary - TRC'!$A:$A,G$2)</f>
        <v>47831381.655199915</v>
      </c>
      <c r="H28" s="71">
        <f t="shared" si="4"/>
        <v>159151151.68768847</v>
      </c>
      <c r="I28" s="72">
        <f t="shared" si="0"/>
        <v>4.3273375382495685</v>
      </c>
      <c r="J28" s="72">
        <f>'Summary - PAC'!K26</f>
        <v>9.3194961095870834</v>
      </c>
      <c r="L28" s="70" t="s">
        <v>8</v>
      </c>
      <c r="M28" s="71">
        <f>SUMIFS('Summary - TRC'!$J:$J,'Summary - TRC'!$C:$C,$A28,'Summary - TRC'!$A:$A,M$2)</f>
        <v>232236944.71772915</v>
      </c>
      <c r="N28" s="71">
        <f>SUMIFS('Summary - TRC'!$N:$N,'Summary - TRC'!$C:$C,$A28,'Summary - TRC'!$A:$A,N$2)</f>
        <v>50348515.187199913</v>
      </c>
      <c r="O28" s="71">
        <f t="shared" si="5"/>
        <v>181888429.53052923</v>
      </c>
      <c r="P28" s="72">
        <f t="shared" si="1"/>
        <v>4.6125877566449205</v>
      </c>
      <c r="Q28" s="72">
        <f>'Summary - PAC'!K74</f>
        <v>9.6159808585939093</v>
      </c>
      <c r="S28" s="70" t="s">
        <v>8</v>
      </c>
      <c r="T28" s="71">
        <f>SUMIFS('Summary - TRC'!$J:$J,'Summary - TRC'!$C:$C,$A28,'Summary - TRC'!$A:$A,T$2)</f>
        <v>250890019.94819432</v>
      </c>
      <c r="U28" s="71">
        <f>SUMIFS('Summary - TRC'!$N:$N,'Summary - TRC'!$C:$C,$A28,'Summary - TRC'!$A:$A,U$2)</f>
        <v>52117085.35119991</v>
      </c>
      <c r="V28" s="71">
        <f t="shared" si="6"/>
        <v>198772934.5969944</v>
      </c>
      <c r="W28" s="72">
        <f t="shared" si="2"/>
        <v>4.8139687447509569</v>
      </c>
      <c r="X28" s="72">
        <f>'Summary - PAC'!K122</f>
        <v>9.8609454560450391</v>
      </c>
      <c r="Z28" s="70" t="s">
        <v>8</v>
      </c>
      <c r="AA28" s="71">
        <f>SUMIFS('Summary - TRC'!$J:$J,'Summary - TRC'!$C:$C,$A28,'Summary - TRC'!$A:$A,AA$2)</f>
        <v>270245186.33537608</v>
      </c>
      <c r="AB28" s="71">
        <f>SUMIFS('Summary - TRC'!$N:$N,'Summary - TRC'!$C:$C,$A28,'Summary - TRC'!$A:$A,AB$2)</f>
        <v>53979554.811199911</v>
      </c>
      <c r="AC28" s="71">
        <f t="shared" si="7"/>
        <v>216265631.52417618</v>
      </c>
      <c r="AD28" s="72">
        <f t="shared" si="3"/>
        <v>5.0064359974918586</v>
      </c>
      <c r="AE28" s="72">
        <f>'Summary - PAC'!K170</f>
        <v>10.018384795816036</v>
      </c>
    </row>
    <row r="29" spans="1:31" x14ac:dyDescent="0.25">
      <c r="A29" s="65" t="s">
        <v>25</v>
      </c>
      <c r="B29" s="65" t="s">
        <v>171</v>
      </c>
      <c r="C29" s="65" t="s">
        <v>24</v>
      </c>
      <c r="E29" s="70" t="s">
        <v>136</v>
      </c>
      <c r="F29" s="71">
        <f>SUMIFS('Summary - TRC'!$J:$J,'Summary - TRC'!$C:$C,$A29,'Summary - TRC'!$A:$A,F$2)</f>
        <v>0</v>
      </c>
      <c r="G29" s="71">
        <f>SUMIFS('Summary - TRC'!$N:$N,'Summary - TRC'!$C:$C,$A29,'Summary - TRC'!$A:$A,G$2)+SUMIFS('Summary - TRC'!$N:$N,'Summary - TRC'!$C:$C,$B29,'Summary - TRC'!$A:$A,G$2)+SUMIFS('Summary - TRC'!$N:$N,'Summary - TRC'!$C:$C,$C29,'Summary - TRC'!$A:$A,G$2)</f>
        <v>5294162</v>
      </c>
      <c r="H29" s="71">
        <f t="shared" si="4"/>
        <v>-5294162</v>
      </c>
      <c r="I29" s="73">
        <f t="shared" si="0"/>
        <v>0</v>
      </c>
      <c r="J29" s="73">
        <f>'Summary - PAC'!K29</f>
        <v>0</v>
      </c>
      <c r="L29" s="70" t="s">
        <v>136</v>
      </c>
      <c r="M29" s="71">
        <f>SUMIFS('Summary - TRC'!$J:$J,'Summary - TRC'!$C:$C,$A29,'Summary - TRC'!$A:$A,M$2)</f>
        <v>0</v>
      </c>
      <c r="N29" s="71">
        <f>SUMIFS('Summary - TRC'!$N:$N,'Summary - TRC'!$C:$C,$A29,'Summary - TRC'!$A:$A,N$2)+SUMIFS('Summary - TRC'!$N:$N,'Summary - TRC'!$C:$C,$B29,'Summary - TRC'!$A:$A,N$2)+SUMIFS('Summary - TRC'!$N:$N,'Summary - TRC'!$C:$C,$C29,'Summary - TRC'!$A:$A,N$2)</f>
        <v>5385222</v>
      </c>
      <c r="O29" s="71">
        <f t="shared" si="5"/>
        <v>-5385222</v>
      </c>
      <c r="P29" s="73">
        <f t="shared" si="1"/>
        <v>0</v>
      </c>
      <c r="Q29" s="73">
        <f>'Summary - PAC'!K77</f>
        <v>0</v>
      </c>
      <c r="S29" s="70" t="s">
        <v>136</v>
      </c>
      <c r="T29" s="71">
        <f>SUMIFS('Summary - TRC'!$J:$J,'Summary - TRC'!$C:$C,$A29,'Summary - TRC'!$A:$A,T$2)</f>
        <v>0</v>
      </c>
      <c r="U29" s="71">
        <f>SUMIFS('Summary - TRC'!$N:$N,'Summary - TRC'!$C:$C,$A29,'Summary - TRC'!$A:$A,U$2)+SUMIFS('Summary - TRC'!$N:$N,'Summary - TRC'!$C:$C,$B29,'Summary - TRC'!$A:$A,U$2)+SUMIFS('Summary - TRC'!$N:$N,'Summary - TRC'!$C:$C,$C29,'Summary - TRC'!$A:$A,U$2)</f>
        <v>5477847</v>
      </c>
      <c r="V29" s="71">
        <f t="shared" si="6"/>
        <v>-5477847</v>
      </c>
      <c r="W29" s="73">
        <f t="shared" si="2"/>
        <v>0</v>
      </c>
      <c r="X29" s="72">
        <f>'Summary - PAC'!K125</f>
        <v>0</v>
      </c>
      <c r="Z29" s="70" t="s">
        <v>136</v>
      </c>
      <c r="AA29" s="71">
        <f>SUMIFS('Summary - TRC'!$J:$J,'Summary - TRC'!$C:$C,$A29,'Summary - TRC'!$A:$A,AA$2)</f>
        <v>0</v>
      </c>
      <c r="AB29" s="71">
        <f>SUMIFS('Summary - TRC'!$N:$N,'Summary - TRC'!$C:$C,$A29,'Summary - TRC'!$A:$A,AB$2)+SUMIFS('Summary - TRC'!$N:$N,'Summary - TRC'!$C:$C,$B29,'Summary - TRC'!$A:$A,AB$2)+SUMIFS('Summary - TRC'!$N:$N,'Summary - TRC'!$C:$C,$C29,'Summary - TRC'!$A:$A,AB$2)</f>
        <v>5572067</v>
      </c>
      <c r="AC29" s="71">
        <f t="shared" si="7"/>
        <v>-5572067</v>
      </c>
      <c r="AD29" s="73">
        <f t="shared" si="3"/>
        <v>0</v>
      </c>
      <c r="AE29" s="73">
        <f>'Summary - PAC'!K173</f>
        <v>0</v>
      </c>
    </row>
    <row r="30" spans="1:31" x14ac:dyDescent="0.25">
      <c r="A30" s="65"/>
      <c r="B30" s="65"/>
      <c r="C30" s="65"/>
      <c r="E30" s="74" t="s">
        <v>140</v>
      </c>
      <c r="F30" s="77">
        <f>SUM(F31:F32)</f>
        <v>50051503.187286846</v>
      </c>
      <c r="G30" s="77">
        <f>SUM(G31:G32)</f>
        <v>9173027.5453613047</v>
      </c>
      <c r="H30" s="77">
        <f t="shared" si="4"/>
        <v>40878475.641925544</v>
      </c>
      <c r="I30" s="78">
        <f t="shared" si="0"/>
        <v>5.4563777269585678</v>
      </c>
      <c r="J30" s="78">
        <f>'Summary - PAC'!K34</f>
        <v>12.321972532964985</v>
      </c>
      <c r="L30" s="74" t="s">
        <v>140</v>
      </c>
      <c r="M30" s="77">
        <f>SUM(M31:M32)</f>
        <v>57982945.300117433</v>
      </c>
      <c r="N30" s="77">
        <f>SUM(N31:N32)</f>
        <v>10105137.542637859</v>
      </c>
      <c r="O30" s="77">
        <f t="shared" si="5"/>
        <v>47877807.757479578</v>
      </c>
      <c r="P30" s="78">
        <f t="shared" si="1"/>
        <v>5.7379669554682273</v>
      </c>
      <c r="Q30" s="78">
        <f>'Summary - PAC'!K82</f>
        <v>13.754148351304609</v>
      </c>
      <c r="S30" s="74" t="s">
        <v>140</v>
      </c>
      <c r="T30" s="77">
        <f>SUM(T31:T32)</f>
        <v>63482386.804961801</v>
      </c>
      <c r="U30" s="77">
        <f>SUM(U31:U32)</f>
        <v>10640079.112510175</v>
      </c>
      <c r="V30" s="77">
        <f t="shared" si="6"/>
        <v>52842307.692451626</v>
      </c>
      <c r="W30" s="78">
        <f t="shared" si="2"/>
        <v>5.9663453752258082</v>
      </c>
      <c r="X30" s="78">
        <f>'Summary - PAC'!K130</f>
        <v>14.506105878883142</v>
      </c>
      <c r="Z30" s="74" t="s">
        <v>140</v>
      </c>
      <c r="AA30" s="77">
        <f>SUM(AA31:AA32)</f>
        <v>66302727.738610707</v>
      </c>
      <c r="AB30" s="77">
        <f>SUM(AB31:AB32)</f>
        <v>10777854.254978254</v>
      </c>
      <c r="AC30" s="77">
        <f t="shared" si="7"/>
        <v>55524873.483632453</v>
      </c>
      <c r="AD30" s="78">
        <f t="shared" si="3"/>
        <v>6.1517558291332159</v>
      </c>
      <c r="AE30" s="78">
        <f>'Summary - PAC'!K178</f>
        <v>14.593899614151159</v>
      </c>
    </row>
    <row r="31" spans="1:31" x14ac:dyDescent="0.25">
      <c r="A31" s="65" t="s">
        <v>27</v>
      </c>
      <c r="B31" s="65"/>
      <c r="C31" s="65"/>
      <c r="E31" s="70" t="s">
        <v>245</v>
      </c>
      <c r="F31" s="71">
        <f>SUMIFS('Summary - TRC'!$J:$J,'Summary - TRC'!$C:$C,$A31,'Summary - TRC'!$A:$A,F$2)</f>
        <v>50051503.187286846</v>
      </c>
      <c r="G31" s="71">
        <f>SUMIFS('Summary - TRC'!$N:$N,'Summary - TRC'!$C:$C,$A31,'Summary - TRC'!$A:$A,G$2)</f>
        <v>8897082.5453613047</v>
      </c>
      <c r="H31" s="71">
        <f t="shared" si="4"/>
        <v>41154420.641925544</v>
      </c>
      <c r="I31" s="72">
        <f t="shared" si="0"/>
        <v>5.6256084994268525</v>
      </c>
      <c r="J31" s="72">
        <f>'Summary - PAC'!K35</f>
        <v>13.383300734311931</v>
      </c>
      <c r="L31" s="70" t="s">
        <v>245</v>
      </c>
      <c r="M31" s="71">
        <f>SUMIFS('Summary - TRC'!$J:$J,'Summary - TRC'!$C:$C,$A31,'Summary - TRC'!$A:$A,M$2)</f>
        <v>57982945.300117433</v>
      </c>
      <c r="N31" s="71">
        <f>SUMIFS('Summary - TRC'!$N:$N,'Summary - TRC'!$C:$C,$A31,'Summary - TRC'!$A:$A,N$2)</f>
        <v>9824446.5426378585</v>
      </c>
      <c r="O31" s="71">
        <f t="shared" si="5"/>
        <v>48158498.757479578</v>
      </c>
      <c r="P31" s="72">
        <f t="shared" si="1"/>
        <v>5.9019045040830402</v>
      </c>
      <c r="Q31" s="72">
        <f>'Summary - PAC'!K83</f>
        <v>14.912617160071697</v>
      </c>
      <c r="S31" s="70" t="s">
        <v>245</v>
      </c>
      <c r="T31" s="71">
        <f>SUMIFS('Summary - TRC'!$J:$J,'Summary - TRC'!$C:$C,$A31,'Summary - TRC'!$A:$A,T$2)</f>
        <v>63482386.804961801</v>
      </c>
      <c r="U31" s="71">
        <f>SUMIFS('Summary - TRC'!$N:$N,'Summary - TRC'!$C:$C,$A31,'Summary - TRC'!$A:$A,U$2)</f>
        <v>10354560.112510175</v>
      </c>
      <c r="V31" s="71">
        <f t="shared" si="6"/>
        <v>53127826.692451626</v>
      </c>
      <c r="W31" s="72">
        <f t="shared" si="2"/>
        <v>6.1308627421326802</v>
      </c>
      <c r="X31" s="72">
        <f>'Summary - PAC'!K131</f>
        <v>15.700868489332111</v>
      </c>
      <c r="Z31" s="70" t="s">
        <v>245</v>
      </c>
      <c r="AA31" s="71">
        <f>SUMIFS('Summary - TRC'!$J:$J,'Summary - TRC'!$C:$C,$A31,'Summary - TRC'!$A:$A,AA$2)</f>
        <v>66302727.738610707</v>
      </c>
      <c r="AB31" s="71">
        <f>SUMIFS('Summary - TRC'!$N:$N,'Summary - TRC'!$C:$C,$A31,'Summary - TRC'!$A:$A,AB$2)</f>
        <v>10487424.254978254</v>
      </c>
      <c r="AC31" s="71">
        <f t="shared" si="7"/>
        <v>55815303.483632453</v>
      </c>
      <c r="AD31" s="72">
        <f t="shared" si="3"/>
        <v>6.3221174357600338</v>
      </c>
      <c r="AE31" s="72">
        <f>'Summary - PAC'!K179</f>
        <v>15.76928553170869</v>
      </c>
    </row>
    <row r="32" spans="1:31" x14ac:dyDescent="0.25">
      <c r="A32" s="65" t="s">
        <v>28</v>
      </c>
      <c r="B32" s="65"/>
      <c r="C32" s="65"/>
      <c r="E32" s="70" t="s">
        <v>136</v>
      </c>
      <c r="F32" s="71">
        <f>SUMIFS('Summary - TRC'!$J:$J,'Summary - TRC'!$C:$C,$A32,'Summary - TRC'!$A:$A,F$2)</f>
        <v>0</v>
      </c>
      <c r="G32" s="71">
        <f>SUMIFS('Summary - TRC'!$N:$N,'Summary - TRC'!$C:$C,$A32,'Summary - TRC'!$A:$A,G$2)</f>
        <v>275945</v>
      </c>
      <c r="H32" s="71">
        <f t="shared" si="4"/>
        <v>-275945</v>
      </c>
      <c r="I32" s="73">
        <f t="shared" si="0"/>
        <v>0</v>
      </c>
      <c r="J32" s="73">
        <f>'Summary - PAC'!K36</f>
        <v>0</v>
      </c>
      <c r="L32" s="70" t="s">
        <v>136</v>
      </c>
      <c r="M32" s="71">
        <f>SUMIFS('Summary - TRC'!$J:$J,'Summary - TRC'!$C:$C,$A32,'Summary - TRC'!$A:$A,M$2)</f>
        <v>0</v>
      </c>
      <c r="N32" s="71">
        <f>SUMIFS('Summary - TRC'!$N:$N,'Summary - TRC'!$C:$C,$A32,'Summary - TRC'!$A:$A,N$2)</f>
        <v>280691</v>
      </c>
      <c r="O32" s="71">
        <f t="shared" si="5"/>
        <v>-280691</v>
      </c>
      <c r="P32" s="73">
        <f t="shared" si="1"/>
        <v>0</v>
      </c>
      <c r="Q32" s="73">
        <f>'Summary - PAC'!K84</f>
        <v>0</v>
      </c>
      <c r="S32" s="70" t="s">
        <v>136</v>
      </c>
      <c r="T32" s="71">
        <f>SUMIFS('Summary - TRC'!$J:$J,'Summary - TRC'!$C:$C,$A32,'Summary - TRC'!$A:$A,T$2)</f>
        <v>0</v>
      </c>
      <c r="U32" s="71">
        <f>SUMIFS('Summary - TRC'!$N:$N,'Summary - TRC'!$C:$C,$A32,'Summary - TRC'!$A:$A,U$2)</f>
        <v>285519</v>
      </c>
      <c r="V32" s="71">
        <f t="shared" si="6"/>
        <v>-285519</v>
      </c>
      <c r="W32" s="73">
        <f t="shared" si="2"/>
        <v>0</v>
      </c>
      <c r="X32" s="73">
        <f>'Summary - PAC'!K132</f>
        <v>0</v>
      </c>
      <c r="Z32" s="70" t="s">
        <v>136</v>
      </c>
      <c r="AA32" s="71">
        <f>SUMIFS('Summary - TRC'!$J:$J,'Summary - TRC'!$C:$C,$A32,'Summary - TRC'!$A:$A,AA$2)</f>
        <v>0</v>
      </c>
      <c r="AB32" s="71">
        <f>SUMIFS('Summary - TRC'!$N:$N,'Summary - TRC'!$C:$C,$A32,'Summary - TRC'!$A:$A,AB$2)</f>
        <v>290430</v>
      </c>
      <c r="AC32" s="71">
        <f t="shared" si="7"/>
        <v>-290430</v>
      </c>
      <c r="AD32" s="73">
        <f t="shared" si="3"/>
        <v>0</v>
      </c>
      <c r="AE32" s="73">
        <f>'Summary - PAC'!K180</f>
        <v>0</v>
      </c>
    </row>
    <row r="33" spans="1:31" x14ac:dyDescent="0.25">
      <c r="A33" s="65"/>
      <c r="B33" s="65"/>
      <c r="C33" s="65"/>
      <c r="E33" s="79" t="s">
        <v>229</v>
      </c>
      <c r="F33" s="80">
        <f>SUM(F7,F15,F19,F27,F30)</f>
        <v>518678812.10060704</v>
      </c>
      <c r="G33" s="80">
        <f>SUM(G7,G15,G19,G27,G30)</f>
        <v>292691971.93125355</v>
      </c>
      <c r="H33" s="80">
        <f t="shared" si="4"/>
        <v>225986840.16935349</v>
      </c>
      <c r="I33" s="81">
        <f t="shared" si="0"/>
        <v>1.7720978429242074</v>
      </c>
      <c r="J33" s="81">
        <f>'Summary - PAC'!K47</f>
        <v>2.3633702273013792</v>
      </c>
      <c r="L33" s="79" t="s">
        <v>229</v>
      </c>
      <c r="M33" s="80">
        <f>SUM(M7,M15,M19,M27,M30)</f>
        <v>586097343.74623847</v>
      </c>
      <c r="N33" s="80">
        <f>SUM(N7,N15,N19,N27,N30)</f>
        <v>312522059.63249493</v>
      </c>
      <c r="O33" s="80">
        <f t="shared" si="5"/>
        <v>273575284.11374354</v>
      </c>
      <c r="P33" s="81">
        <f t="shared" si="1"/>
        <v>1.8753791154309229</v>
      </c>
      <c r="Q33" s="81">
        <f>'Summary - PAC'!K95</f>
        <v>2.4876220109398361</v>
      </c>
      <c r="S33" s="79" t="s">
        <v>229</v>
      </c>
      <c r="T33" s="80">
        <f>SUM(T7,T15,T19,T27,T30)</f>
        <v>637730758.12940633</v>
      </c>
      <c r="U33" s="80">
        <f>SUM(U7,U15,U19,U27,U30)</f>
        <v>328101947.36432409</v>
      </c>
      <c r="V33" s="80">
        <f t="shared" si="6"/>
        <v>309628810.76508224</v>
      </c>
      <c r="W33" s="81">
        <f t="shared" si="2"/>
        <v>1.9436969614242208</v>
      </c>
      <c r="X33" s="81">
        <f>'Summary - PAC'!K143</f>
        <v>2.5506546369930772</v>
      </c>
      <c r="Z33" s="79" t="s">
        <v>229</v>
      </c>
      <c r="AA33" s="80">
        <f>SUM(AA7,AA15,AA19,AA27,AA30)</f>
        <v>682506770.94762635</v>
      </c>
      <c r="AB33" s="80">
        <f>SUM(AB7,AB15,AB19,AB27,AB30)</f>
        <v>342176263.74651361</v>
      </c>
      <c r="AC33" s="80">
        <f t="shared" si="7"/>
        <v>340330507.20111275</v>
      </c>
      <c r="AD33" s="81">
        <f t="shared" si="3"/>
        <v>1.9946058311433075</v>
      </c>
      <c r="AE33" s="81">
        <f>'Summary - PAC'!K191</f>
        <v>2.5915827957499049</v>
      </c>
    </row>
    <row r="34" spans="1:31" ht="15.75" thickBot="1" x14ac:dyDescent="0.3">
      <c r="A34" s="65" t="s">
        <v>187</v>
      </c>
      <c r="B34" s="65"/>
      <c r="C34" s="65"/>
      <c r="E34" s="24" t="s">
        <v>187</v>
      </c>
      <c r="F34" s="77">
        <f>SUMIFS('Summary - TRC'!$J:$J,'Summary - TRC'!$C:$C,$A34,'Summary - TRC'!$A:$A,F$2)</f>
        <v>0</v>
      </c>
      <c r="G34" s="77">
        <f>SUMIFS('Summary - TRC'!$N:$N,'Summary - TRC'!$C:$C,$A34,'Summary - TRC'!$A:$A,G$2)</f>
        <v>17637852</v>
      </c>
      <c r="H34" s="77">
        <f t="shared" si="4"/>
        <v>-17637852</v>
      </c>
      <c r="I34" s="76">
        <f t="shared" si="0"/>
        <v>0</v>
      </c>
      <c r="J34" s="76">
        <f>'Summary - PAC'!K37</f>
        <v>0</v>
      </c>
      <c r="L34" s="24" t="s">
        <v>187</v>
      </c>
      <c r="M34" s="77">
        <f>SUMIFS('Summary - TRC'!$J:$J,'Summary - TRC'!$C:$C,$A34,'Summary - TRC'!$A:$A,M$2)</f>
        <v>0</v>
      </c>
      <c r="N34" s="77">
        <f>SUMIFS('Summary - TRC'!$N:$N,'Summary - TRC'!$C:$C,$A34,'Summary - TRC'!$A:$A,N$2)</f>
        <v>17737784</v>
      </c>
      <c r="O34" s="77">
        <f t="shared" si="5"/>
        <v>-17737784</v>
      </c>
      <c r="P34" s="76">
        <f t="shared" si="1"/>
        <v>0</v>
      </c>
      <c r="Q34" s="76">
        <f>'Summary - PAC'!K85</f>
        <v>0</v>
      </c>
      <c r="S34" s="24" t="s">
        <v>187</v>
      </c>
      <c r="T34" s="77">
        <f>SUMIFS('Summary - TRC'!$J:$J,'Summary - TRC'!$C:$C,$A34,'Summary - TRC'!$A:$A,T$2)</f>
        <v>0</v>
      </c>
      <c r="U34" s="77">
        <f>SUMIFS('Summary - TRC'!$N:$N,'Summary - TRC'!$C:$C,$A34,'Summary - TRC'!$A:$A,U$2)</f>
        <v>18042873</v>
      </c>
      <c r="V34" s="77">
        <f t="shared" si="6"/>
        <v>-18042873</v>
      </c>
      <c r="W34" s="76">
        <f t="shared" si="2"/>
        <v>0</v>
      </c>
      <c r="X34" s="76">
        <f>'Summary - PAC'!K133</f>
        <v>0</v>
      </c>
      <c r="Z34" s="24" t="s">
        <v>187</v>
      </c>
      <c r="AA34" s="77">
        <f>SUMIFS('Summary - TRC'!$J:$J,'Summary - TRC'!$C:$C,$A34,'Summary - TRC'!$A:$A,AA$2)</f>
        <v>0</v>
      </c>
      <c r="AB34" s="77">
        <f>SUMIFS('Summary - TRC'!$N:$N,'Summary - TRC'!$C:$C,$A34,'Summary - TRC'!$A:$A,AB$2)</f>
        <v>18353209</v>
      </c>
      <c r="AC34" s="77">
        <f t="shared" si="7"/>
        <v>-18353209</v>
      </c>
      <c r="AD34" s="76">
        <f t="shared" si="3"/>
        <v>0</v>
      </c>
      <c r="AE34" s="76">
        <f>'Summary - PAC'!K181</f>
        <v>0</v>
      </c>
    </row>
    <row r="35" spans="1:31" ht="15.75" thickTop="1" x14ac:dyDescent="0.25">
      <c r="E35" s="15" t="s">
        <v>276</v>
      </c>
      <c r="F35" s="83">
        <f>SUM(F33:F34)</f>
        <v>518678812.10060704</v>
      </c>
      <c r="G35" s="83">
        <f t="shared" ref="G35" si="8">SUM(G33:G34)</f>
        <v>310329823.93125355</v>
      </c>
      <c r="H35" s="83">
        <f t="shared" si="4"/>
        <v>208348988.16935349</v>
      </c>
      <c r="I35" s="84">
        <f t="shared" si="0"/>
        <v>1.6713791975582355</v>
      </c>
      <c r="J35" s="84">
        <f>'Summary - PAC'!K46</f>
        <v>2.1453250263186474</v>
      </c>
      <c r="L35" s="15" t="s">
        <v>276</v>
      </c>
      <c r="M35" s="83">
        <f>SUM(M33:M34)</f>
        <v>586097343.74623847</v>
      </c>
      <c r="N35" s="83">
        <f t="shared" ref="N35" si="9">SUM(N33:N34)</f>
        <v>330259843.63249493</v>
      </c>
      <c r="O35" s="83">
        <f t="shared" si="5"/>
        <v>255837500.11374354</v>
      </c>
      <c r="P35" s="84">
        <f t="shared" si="1"/>
        <v>1.774655184535342</v>
      </c>
      <c r="Q35" s="84">
        <f>'Summary - PAC'!K94</f>
        <v>2.2713354623167081</v>
      </c>
      <c r="S35" s="15" t="s">
        <v>276</v>
      </c>
      <c r="T35" s="83">
        <f>SUM(T33:T34)</f>
        <v>637730758.12940633</v>
      </c>
      <c r="U35" s="83">
        <f t="shared" ref="U35" si="10">SUM(U33:U34)</f>
        <v>346144820.36432409</v>
      </c>
      <c r="V35" s="83">
        <f t="shared" si="6"/>
        <v>291585937.76508224</v>
      </c>
      <c r="W35" s="84">
        <f t="shared" si="2"/>
        <v>1.8423813404406353</v>
      </c>
      <c r="X35" s="84">
        <f>'Summary - PAC'!K142</f>
        <v>2.3372532257382734</v>
      </c>
      <c r="Z35" s="15" t="s">
        <v>276</v>
      </c>
      <c r="AA35" s="83">
        <f>SUM(AA33:AA34)</f>
        <v>682506770.94762635</v>
      </c>
      <c r="AB35" s="83">
        <f t="shared" ref="AB35" si="11">SUM(AB33:AB34)</f>
        <v>360529472.74651361</v>
      </c>
      <c r="AC35" s="83">
        <f t="shared" si="7"/>
        <v>321977298.20111275</v>
      </c>
      <c r="AD35" s="84">
        <f t="shared" si="3"/>
        <v>1.8930678974683806</v>
      </c>
      <c r="AE35" s="84">
        <f>'Summary - PAC'!K190</f>
        <v>2.3817960389354078</v>
      </c>
    </row>
    <row r="36" spans="1:31" ht="45" customHeight="1" x14ac:dyDescent="0.25">
      <c r="E36" s="393" t="s">
        <v>246</v>
      </c>
      <c r="F36" s="393"/>
      <c r="G36" s="393"/>
      <c r="H36" s="393"/>
      <c r="I36" s="393"/>
      <c r="J36" s="393"/>
      <c r="L36" s="393" t="s">
        <v>246</v>
      </c>
      <c r="M36" s="393"/>
      <c r="N36" s="393"/>
      <c r="O36" s="393"/>
      <c r="P36" s="393"/>
      <c r="Q36" s="393"/>
      <c r="S36" s="393" t="s">
        <v>246</v>
      </c>
      <c r="T36" s="393"/>
      <c r="U36" s="393"/>
      <c r="V36" s="393"/>
      <c r="W36" s="393"/>
      <c r="X36" s="393"/>
      <c r="Z36" s="393" t="s">
        <v>246</v>
      </c>
      <c r="AA36" s="393"/>
      <c r="AB36" s="393"/>
      <c r="AC36" s="393"/>
      <c r="AD36" s="393"/>
      <c r="AE36" s="393"/>
    </row>
    <row r="37" spans="1:31" ht="15" customHeight="1" x14ac:dyDescent="0.25">
      <c r="E37" s="394" t="s">
        <v>247</v>
      </c>
      <c r="F37" s="394"/>
      <c r="G37" s="394"/>
      <c r="H37" s="394"/>
      <c r="I37" s="394"/>
      <c r="J37" s="394"/>
      <c r="L37" s="394" t="s">
        <v>247</v>
      </c>
      <c r="M37" s="394"/>
      <c r="N37" s="394"/>
      <c r="O37" s="394"/>
      <c r="P37" s="394"/>
      <c r="Q37" s="394"/>
      <c r="S37" s="394" t="s">
        <v>247</v>
      </c>
      <c r="T37" s="394"/>
      <c r="U37" s="394"/>
      <c r="V37" s="394"/>
      <c r="W37" s="394"/>
      <c r="X37" s="394"/>
      <c r="Z37" s="394" t="s">
        <v>247</v>
      </c>
      <c r="AA37" s="394"/>
      <c r="AB37" s="394"/>
      <c r="AC37" s="394"/>
      <c r="AD37" s="394"/>
      <c r="AE37" s="394"/>
    </row>
    <row r="38" spans="1:31" ht="30" customHeight="1" x14ac:dyDescent="0.25">
      <c r="E38" s="395" t="s">
        <v>337</v>
      </c>
      <c r="F38" s="395"/>
      <c r="G38" s="395"/>
      <c r="H38" s="395"/>
      <c r="I38" s="395"/>
      <c r="J38" s="395"/>
      <c r="L38" s="395" t="s">
        <v>337</v>
      </c>
      <c r="M38" s="395"/>
      <c r="N38" s="395"/>
      <c r="O38" s="395"/>
      <c r="P38" s="395"/>
      <c r="Q38" s="395"/>
      <c r="S38" s="395" t="s">
        <v>337</v>
      </c>
      <c r="T38" s="395"/>
      <c r="U38" s="395"/>
      <c r="V38" s="395"/>
      <c r="W38" s="395"/>
      <c r="X38" s="395"/>
      <c r="Z38" s="395" t="s">
        <v>337</v>
      </c>
      <c r="AA38" s="395"/>
      <c r="AB38" s="395"/>
      <c r="AC38" s="395"/>
      <c r="AD38" s="395"/>
      <c r="AE38" s="395"/>
    </row>
  </sheetData>
  <mergeCells count="20">
    <mergeCell ref="Z3:AE3"/>
    <mergeCell ref="Z4:AE4"/>
    <mergeCell ref="E3:J3"/>
    <mergeCell ref="E4:J4"/>
    <mergeCell ref="L3:Q3"/>
    <mergeCell ref="L4:Q4"/>
    <mergeCell ref="S3:X3"/>
    <mergeCell ref="S4:X4"/>
    <mergeCell ref="S36:X36"/>
    <mergeCell ref="S37:X37"/>
    <mergeCell ref="S38:X38"/>
    <mergeCell ref="Z36:AE36"/>
    <mergeCell ref="Z37:AE37"/>
    <mergeCell ref="Z38:AE38"/>
    <mergeCell ref="E36:J36"/>
    <mergeCell ref="E37:J37"/>
    <mergeCell ref="E38:J38"/>
    <mergeCell ref="L36:Q36"/>
    <mergeCell ref="L37:Q37"/>
    <mergeCell ref="L38:Q38"/>
  </mergeCells>
  <pageMargins left="0.7" right="0.7" top="0.75" bottom="0.75" header="0.3" footer="0.3"/>
  <pageSetup orientation="portrait" r:id="rId1"/>
  <cellWatches>
    <cellWatch r="H35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E48BE-8393-4793-ACDB-F2661BBFB5F5}">
  <sheetPr codeName="Sheet12"/>
  <dimension ref="A1:AH38"/>
  <sheetViews>
    <sheetView showGridLines="0" topLeftCell="C2" zoomScaleNormal="100" workbookViewId="0">
      <selection activeCell="C2" sqref="C2"/>
    </sheetView>
  </sheetViews>
  <sheetFormatPr defaultColWidth="9.140625" defaultRowHeight="12.75" outlineLevelRow="1" outlineLevelCol="1" x14ac:dyDescent="0.25"/>
  <cols>
    <col min="1" max="1" width="42" style="60" hidden="1" customWidth="1" outlineLevel="1"/>
    <col min="2" max="2" width="15.28515625" style="60" hidden="1" customWidth="1" outlineLevel="1"/>
    <col min="3" max="3" width="5.7109375" style="60" customWidth="1" collapsed="1"/>
    <col min="4" max="4" width="40" style="60" bestFit="1" customWidth="1"/>
    <col min="5" max="5" width="15.7109375" style="60" customWidth="1"/>
    <col min="6" max="6" width="15.7109375" style="86" customWidth="1"/>
    <col min="7" max="7" width="10.7109375" style="60" customWidth="1"/>
    <col min="8" max="8" width="15.7109375" style="60" customWidth="1"/>
    <col min="9" max="9" width="10.7109375" style="60" customWidth="1"/>
    <col min="10" max="10" width="5.7109375" style="60" customWidth="1"/>
    <col min="11" max="11" width="40" style="60" bestFit="1" customWidth="1"/>
    <col min="12" max="12" width="15.7109375" style="60" customWidth="1"/>
    <col min="13" max="13" width="15.7109375" style="86" customWidth="1"/>
    <col min="14" max="14" width="10.7109375" style="60" customWidth="1"/>
    <col min="15" max="15" width="15.7109375" style="60" customWidth="1"/>
    <col min="16" max="16" width="10.7109375" style="60" customWidth="1"/>
    <col min="17" max="17" width="5.7109375" style="60" customWidth="1"/>
    <col min="18" max="18" width="40" style="60" bestFit="1" customWidth="1"/>
    <col min="19" max="19" width="15.7109375" style="60" customWidth="1"/>
    <col min="20" max="20" width="15.7109375" style="86" customWidth="1"/>
    <col min="21" max="21" width="10.7109375" style="60" customWidth="1"/>
    <col min="22" max="22" width="15.7109375" style="60" customWidth="1"/>
    <col min="23" max="23" width="10.7109375" style="60" customWidth="1"/>
    <col min="24" max="24" width="5.7109375" style="60" customWidth="1"/>
    <col min="25" max="25" width="40" style="60" bestFit="1" customWidth="1"/>
    <col min="26" max="26" width="15.7109375" style="60" customWidth="1"/>
    <col min="27" max="27" width="15.7109375" style="86" customWidth="1"/>
    <col min="28" max="28" width="10.7109375" style="60" customWidth="1"/>
    <col min="29" max="29" width="15.7109375" style="60" customWidth="1"/>
    <col min="30" max="30" width="10.7109375" style="60" customWidth="1"/>
    <col min="31" max="31" width="5.7109375" style="60" customWidth="1"/>
    <col min="32" max="16384" width="9.140625" style="60"/>
  </cols>
  <sheetData>
    <row r="1" spans="1:34" hidden="1" outlineLevel="1" x14ac:dyDescent="0.25">
      <c r="A1" s="63"/>
      <c r="B1" s="63"/>
      <c r="C1" s="63"/>
      <c r="D1" s="64" t="s">
        <v>359</v>
      </c>
      <c r="E1" s="63">
        <v>2027</v>
      </c>
      <c r="F1" s="88">
        <v>2027</v>
      </c>
      <c r="G1" s="63">
        <v>2027</v>
      </c>
      <c r="H1" s="63">
        <v>2027</v>
      </c>
      <c r="I1" s="63">
        <v>2027</v>
      </c>
      <c r="J1" s="63"/>
      <c r="K1" s="63"/>
      <c r="L1" s="63">
        <v>2028</v>
      </c>
      <c r="M1" s="88">
        <v>2028</v>
      </c>
      <c r="N1" s="63">
        <v>2028</v>
      </c>
      <c r="O1" s="63">
        <v>2028</v>
      </c>
      <c r="P1" s="63">
        <v>2028</v>
      </c>
      <c r="Q1" s="63"/>
      <c r="R1" s="63"/>
      <c r="S1" s="63">
        <v>2029</v>
      </c>
      <c r="T1" s="88">
        <v>2029</v>
      </c>
      <c r="U1" s="63">
        <v>2029</v>
      </c>
      <c r="V1" s="63">
        <v>2029</v>
      </c>
      <c r="W1" s="63">
        <v>2029</v>
      </c>
      <c r="X1" s="63"/>
      <c r="Y1" s="63"/>
      <c r="Z1" s="63">
        <v>2030</v>
      </c>
      <c r="AA1" s="88">
        <v>2030</v>
      </c>
      <c r="AB1" s="63">
        <v>2030</v>
      </c>
      <c r="AC1" s="63">
        <v>2030</v>
      </c>
      <c r="AD1" s="63">
        <v>2030</v>
      </c>
    </row>
    <row r="2" spans="1:34" collapsed="1" x14ac:dyDescent="0.2">
      <c r="A2" s="63"/>
      <c r="B2" s="63"/>
      <c r="C2" s="320"/>
      <c r="D2" s="392" t="s">
        <v>402</v>
      </c>
      <c r="E2" s="392"/>
      <c r="F2" s="392"/>
      <c r="G2" s="392"/>
      <c r="H2" s="392"/>
      <c r="I2" s="392"/>
      <c r="J2" s="320"/>
      <c r="K2" s="392" t="s">
        <v>409</v>
      </c>
      <c r="L2" s="392"/>
      <c r="M2" s="392"/>
      <c r="N2" s="392"/>
      <c r="O2" s="392"/>
      <c r="P2" s="392"/>
      <c r="Q2" s="320"/>
      <c r="R2" s="392" t="s">
        <v>410</v>
      </c>
      <c r="S2" s="392"/>
      <c r="T2" s="392"/>
      <c r="U2" s="392"/>
      <c r="V2" s="392"/>
      <c r="W2" s="392"/>
      <c r="X2" s="320"/>
      <c r="Y2" s="392" t="s">
        <v>411</v>
      </c>
      <c r="Z2" s="392"/>
      <c r="AA2" s="392"/>
      <c r="AB2" s="392"/>
      <c r="AC2" s="392"/>
      <c r="AD2" s="392"/>
      <c r="AE2" s="320"/>
      <c r="AF2" s="320"/>
      <c r="AG2" s="320"/>
      <c r="AH2" s="320"/>
    </row>
    <row r="3" spans="1:34" ht="14.25" x14ac:dyDescent="0.2">
      <c r="A3" s="63"/>
      <c r="B3" s="63"/>
      <c r="C3" s="320"/>
      <c r="D3" s="392" t="s">
        <v>408</v>
      </c>
      <c r="E3" s="392"/>
      <c r="F3" s="392"/>
      <c r="G3" s="392"/>
      <c r="H3" s="392"/>
      <c r="I3" s="392"/>
      <c r="J3" s="320"/>
      <c r="K3" s="392" t="s">
        <v>414</v>
      </c>
      <c r="L3" s="392"/>
      <c r="M3" s="392"/>
      <c r="N3" s="392"/>
      <c r="O3" s="392"/>
      <c r="P3" s="392"/>
      <c r="Q3" s="320"/>
      <c r="R3" s="392" t="s">
        <v>413</v>
      </c>
      <c r="S3" s="392"/>
      <c r="T3" s="392"/>
      <c r="U3" s="392"/>
      <c r="V3" s="392"/>
      <c r="W3" s="392"/>
      <c r="X3" s="320"/>
      <c r="Y3" s="392" t="s">
        <v>412</v>
      </c>
      <c r="Z3" s="392"/>
      <c r="AA3" s="392"/>
      <c r="AB3" s="392"/>
      <c r="AC3" s="392"/>
      <c r="AD3" s="392"/>
      <c r="AE3" s="320"/>
      <c r="AF3" s="320"/>
      <c r="AG3" s="320"/>
      <c r="AH3" s="320"/>
    </row>
    <row r="4" spans="1:34" s="320" customFormat="1" x14ac:dyDescent="0.2">
      <c r="A4" s="321"/>
      <c r="B4" s="321"/>
    </row>
    <row r="5" spans="1:34" ht="38.25" x14ac:dyDescent="0.25">
      <c r="A5" s="66" t="s">
        <v>359</v>
      </c>
      <c r="B5" s="61" t="s">
        <v>132</v>
      </c>
      <c r="D5" s="23" t="s">
        <v>415</v>
      </c>
      <c r="E5" s="22" t="s">
        <v>134</v>
      </c>
      <c r="F5" s="48" t="s">
        <v>248</v>
      </c>
      <c r="G5" s="22" t="s">
        <v>145</v>
      </c>
      <c r="H5" s="48" t="s">
        <v>249</v>
      </c>
      <c r="I5" s="22" t="s">
        <v>250</v>
      </c>
      <c r="K5" s="23" t="s">
        <v>416</v>
      </c>
      <c r="L5" s="22" t="s">
        <v>134</v>
      </c>
      <c r="M5" s="48" t="s">
        <v>248</v>
      </c>
      <c r="N5" s="22" t="s">
        <v>145</v>
      </c>
      <c r="O5" s="48" t="s">
        <v>249</v>
      </c>
      <c r="P5" s="22" t="s">
        <v>250</v>
      </c>
      <c r="R5" s="23" t="s">
        <v>417</v>
      </c>
      <c r="S5" s="22" t="s">
        <v>134</v>
      </c>
      <c r="T5" s="48" t="s">
        <v>248</v>
      </c>
      <c r="U5" s="22" t="s">
        <v>145</v>
      </c>
      <c r="V5" s="48" t="s">
        <v>249</v>
      </c>
      <c r="W5" s="22" t="s">
        <v>250</v>
      </c>
      <c r="Y5" s="23" t="s">
        <v>418</v>
      </c>
      <c r="Z5" s="22" t="s">
        <v>134</v>
      </c>
      <c r="AA5" s="48" t="s">
        <v>248</v>
      </c>
      <c r="AB5" s="22" t="s">
        <v>145</v>
      </c>
      <c r="AC5" s="48" t="s">
        <v>249</v>
      </c>
      <c r="AD5" s="22" t="s">
        <v>250</v>
      </c>
    </row>
    <row r="6" spans="1:34" x14ac:dyDescent="0.25">
      <c r="A6" s="61" t="s">
        <v>135</v>
      </c>
      <c r="B6" s="61"/>
      <c r="D6" s="24" t="s">
        <v>135</v>
      </c>
      <c r="E6" s="45">
        <f>SUM(E7:E13)</f>
        <v>72787256</v>
      </c>
      <c r="F6" s="25">
        <f>SUM(F7:F13)</f>
        <v>19911599.600000001</v>
      </c>
      <c r="G6" s="26">
        <f t="shared" ref="G6:G12" si="0">IFERROR(E6/F6,"-")</f>
        <v>3.6555202727158091</v>
      </c>
      <c r="H6" s="25">
        <f>SUM(H7:H13)</f>
        <v>359010641.60000002</v>
      </c>
      <c r="I6" s="26">
        <f t="shared" ref="I6:I12" si="1">IFERROR(E6/H6,"-")</f>
        <v>0.20274400690634012</v>
      </c>
      <c r="K6" s="24" t="s">
        <v>135</v>
      </c>
      <c r="L6" s="45">
        <f>SUM(L7:L13)</f>
        <v>75691912</v>
      </c>
      <c r="M6" s="25">
        <f>SUM(M7:M13)</f>
        <v>22400728.600000001</v>
      </c>
      <c r="N6" s="26">
        <f t="shared" ref="N6:N12" si="2">IFERROR(L6/M6,"-")</f>
        <v>3.3789933064945039</v>
      </c>
      <c r="O6" s="25">
        <f>SUM(O7:O13)</f>
        <v>375643761.60000002</v>
      </c>
      <c r="P6" s="26">
        <f t="shared" ref="P6:P12" si="3">IFERROR(L6/O6,"-")</f>
        <v>0.20149918549851939</v>
      </c>
      <c r="R6" s="24" t="s">
        <v>135</v>
      </c>
      <c r="S6" s="45">
        <f>SUM(S7:S13)</f>
        <v>78555425</v>
      </c>
      <c r="T6" s="25">
        <f>SUM(T7:T13)</f>
        <v>23828214.400000002</v>
      </c>
      <c r="U6" s="26">
        <f t="shared" ref="U6:U12" si="4">IFERROR(S6/T6,"-")</f>
        <v>3.2967398933593612</v>
      </c>
      <c r="V6" s="25">
        <f>SUM(V7:V13)</f>
        <v>384540711.60000002</v>
      </c>
      <c r="W6" s="26">
        <f t="shared" ref="W6:W12" si="5">IFERROR(S6/V6,"-")</f>
        <v>0.20428376666061174</v>
      </c>
      <c r="Y6" s="24" t="s">
        <v>135</v>
      </c>
      <c r="Z6" s="45">
        <f>SUM(Z7:Z13)</f>
        <v>81536209</v>
      </c>
      <c r="AA6" s="25">
        <f>SUM(AA7:AA13)</f>
        <v>25053075.350000001</v>
      </c>
      <c r="AB6" s="26">
        <f t="shared" ref="AB6:AB12" si="6">IFERROR(Z6/AA6,"-")</f>
        <v>3.2545389282916917</v>
      </c>
      <c r="AC6" s="25">
        <f>SUM(AC7:AC13)</f>
        <v>392077620.35000002</v>
      </c>
      <c r="AD6" s="26">
        <f t="shared" ref="AD6:AD12" si="7">IFERROR(Z6/AC6,"-")</f>
        <v>0.20795935490328221</v>
      </c>
    </row>
    <row r="7" spans="1:34" x14ac:dyDescent="0.25">
      <c r="A7" s="61" t="s">
        <v>159</v>
      </c>
      <c r="B7" s="61"/>
      <c r="D7" s="20" t="s">
        <v>159</v>
      </c>
      <c r="E7" s="46">
        <f>SUMIFS('Summary - $ &amp; m3'!$X:$X,'Summary - $ &amp; m3'!$A:$A,E$1,'Summary - $ &amp; m3'!$C:$C,$A7)+SUMIFS('Summary - $ &amp; m3'!$X:$X,'Summary - $ &amp; m3'!$A:$A,E$1,'Summary - $ &amp; m3'!$C:$C,$B7)</f>
        <v>25929400</v>
      </c>
      <c r="F7" s="12">
        <f>SUMIFS('Summary - $ &amp; m3'!$H:$H,'Summary - $ &amp; m3'!$A:$A,F$1,'Summary - $ &amp; m3'!$C:$C,$A7)+SUMIFS('Summary - $ &amp; m3'!$H:$H,'Summary - $ &amp; m3'!$A:$A,F$1,'Summary - $ &amp; m3'!$C:$C,$B7)</f>
        <v>4576140</v>
      </c>
      <c r="G7" s="13">
        <f t="shared" si="0"/>
        <v>5.6662165056139013</v>
      </c>
      <c r="H7" s="12">
        <f>SUMIFS('Summary - $ &amp; m3'!$P:$P,'Summary - $ &amp; m3'!$A:$A,H$1,'Summary - $ &amp; m3'!$C:$C,$A7)+SUMIFS('Summary - $ &amp; m3'!$P:$P,'Summary - $ &amp; m3'!$A:$A,H$1,'Summary - $ &amp; m3'!$C:$C,$B7)</f>
        <v>114403500</v>
      </c>
      <c r="I7" s="13">
        <f t="shared" si="1"/>
        <v>0.22664866022455607</v>
      </c>
      <c r="K7" s="20" t="s">
        <v>159</v>
      </c>
      <c r="L7" s="46">
        <f>SUMIFS('Summary - $ &amp; m3'!$X:$X,'Summary - $ &amp; m3'!$A:$A,L$1,'Summary - $ &amp; m3'!$C:$C,$A7)+SUMIFS('Summary - $ &amp; m3'!$X:$X,'Summary - $ &amp; m3'!$A:$A,L$1,'Summary - $ &amp; m3'!$C:$C,$B7)</f>
        <v>23708569</v>
      </c>
      <c r="M7" s="12">
        <f>SUMIFS('Summary - $ &amp; m3'!$H:$H,'Summary - $ &amp; m3'!$A:$A,M$1,'Summary - $ &amp; m3'!$C:$C,$A7)+SUMIFS('Summary - $ &amp; m3'!$H:$H,'Summary - $ &amp; m3'!$A:$A,M$1,'Summary - $ &amp; m3'!$C:$C,$B7)</f>
        <v>4118526</v>
      </c>
      <c r="N7" s="13">
        <f t="shared" si="2"/>
        <v>5.7565665483233568</v>
      </c>
      <c r="O7" s="12">
        <f>SUMIFS('Summary - $ &amp; m3'!$P:$P,'Summary - $ &amp; m3'!$A:$A,O$1,'Summary - $ &amp; m3'!$C:$C,$A7)+SUMIFS('Summary - $ &amp; m3'!$P:$P,'Summary - $ &amp; m3'!$A:$A,O$1,'Summary - $ &amp; m3'!$C:$C,$B7)</f>
        <v>102963150</v>
      </c>
      <c r="P7" s="13">
        <f t="shared" si="3"/>
        <v>0.23026266193293426</v>
      </c>
      <c r="R7" s="20" t="s">
        <v>159</v>
      </c>
      <c r="S7" s="46">
        <f>SUMIFS('Summary - $ &amp; m3'!$X:$X,'Summary - $ &amp; m3'!$A:$A,S$1,'Summary - $ &amp; m3'!$C:$C,$A7)+SUMIFS('Summary - $ &amp; m3'!$X:$X,'Summary - $ &amp; m3'!$A:$A,S$1,'Summary - $ &amp; m3'!$C:$C,$B7)</f>
        <v>21967357</v>
      </c>
      <c r="T7" s="12">
        <f>SUMIFS('Summary - $ &amp; m3'!$H:$H,'Summary - $ &amp; m3'!$A:$A,T$1,'Summary - $ &amp; m3'!$C:$C,$A7)+SUMIFS('Summary - $ &amp; m3'!$H:$H,'Summary - $ &amp; m3'!$A:$A,T$1,'Summary - $ &amp; m3'!$C:$C,$B7)</f>
        <v>3752434.8000000003</v>
      </c>
      <c r="U7" s="13">
        <f t="shared" si="4"/>
        <v>5.8541608770923874</v>
      </c>
      <c r="V7" s="12">
        <f>SUMIFS('Summary - $ &amp; m3'!$P:$P,'Summary - $ &amp; m3'!$A:$A,V$1,'Summary - $ &amp; m3'!$C:$C,$A7)+SUMIFS('Summary - $ &amp; m3'!$P:$P,'Summary - $ &amp; m3'!$A:$A,V$1,'Summary - $ &amp; m3'!$C:$C,$B7)</f>
        <v>93810870</v>
      </c>
      <c r="W7" s="13">
        <f t="shared" si="5"/>
        <v>0.23416643508369553</v>
      </c>
      <c r="Y7" s="20" t="s">
        <v>159</v>
      </c>
      <c r="Z7" s="46">
        <f>SUMIFS('Summary - $ &amp; m3'!$X:$X,'Summary - $ &amp; m3'!$A:$A,Z$1,'Summary - $ &amp; m3'!$C:$C,$A7)+SUMIFS('Summary - $ &amp; m3'!$X:$X,'Summary - $ &amp; m3'!$A:$A,Z$1,'Summary - $ &amp; m3'!$C:$C,$B7)</f>
        <v>20759542</v>
      </c>
      <c r="AA7" s="12">
        <f>SUMIFS('Summary - $ &amp; m3'!$H:$H,'Summary - $ &amp; m3'!$A:$A,AA$1,'Summary - $ &amp; m3'!$C:$C,$A7)+SUMIFS('Summary - $ &amp; m3'!$H:$H,'Summary - $ &amp; m3'!$A:$A,AA$1,'Summary - $ &amp; m3'!$C:$C,$B7)</f>
        <v>3489306.75</v>
      </c>
      <c r="AB7" s="13">
        <f t="shared" si="6"/>
        <v>5.9494746341805573</v>
      </c>
      <c r="AC7" s="12">
        <f>SUMIFS('Summary - $ &amp; m3'!$P:$P,'Summary - $ &amp; m3'!$A:$A,AC$1,'Summary - $ &amp; m3'!$C:$C,$A7)+SUMIFS('Summary - $ &amp; m3'!$P:$P,'Summary - $ &amp; m3'!$A:$A,AC$1,'Summary - $ &amp; m3'!$C:$C,$B7)</f>
        <v>87232668.75</v>
      </c>
      <c r="AD7" s="13">
        <f t="shared" si="7"/>
        <v>0.23797898536722231</v>
      </c>
    </row>
    <row r="8" spans="1:34" x14ac:dyDescent="0.25">
      <c r="A8" s="61" t="s">
        <v>130</v>
      </c>
      <c r="B8" s="61"/>
      <c r="D8" s="20" t="s">
        <v>130</v>
      </c>
      <c r="E8" s="46">
        <f>SUMIFS('Summary - $ &amp; m3'!$X:$X,'Summary - $ &amp; m3'!$A:$A,E$1,'Summary - $ &amp; m3'!$C:$C,$A8)+SUMIFS('Summary - $ &amp; m3'!$X:$X,'Summary - $ &amp; m3'!$A:$A,E$1,'Summary - $ &amp; m3'!$C:$C,$B8)</f>
        <v>15560525</v>
      </c>
      <c r="F8" s="12">
        <f>SUMIFS('Summary - $ &amp; m3'!$H:$H,'Summary - $ &amp; m3'!$A:$A,F$1,'Summary - $ &amp; m3'!$C:$C,$A8)+SUMIFS('Summary - $ &amp; m3'!$H:$H,'Summary - $ &amp; m3'!$A:$A,F$1,'Summary - $ &amp; m3'!$C:$C,$B8)</f>
        <v>3141255</v>
      </c>
      <c r="G8" s="13">
        <f t="shared" si="0"/>
        <v>4.9536013472322367</v>
      </c>
      <c r="H8" s="12">
        <f>SUMIFS('Summary - $ &amp; m3'!$P:$P,'Summary - $ &amp; m3'!$A:$A,H$1,'Summary - $ &amp; m3'!$C:$C,$A8)+SUMIFS('Summary - $ &amp; m3'!$P:$P,'Summary - $ &amp; m3'!$A:$A,H$1,'Summary - $ &amp; m3'!$C:$C,$B8)</f>
        <v>94237650</v>
      </c>
      <c r="I8" s="13">
        <f t="shared" si="1"/>
        <v>0.16512004490774124</v>
      </c>
      <c r="K8" s="20" t="s">
        <v>130</v>
      </c>
      <c r="L8" s="46">
        <f>SUMIFS('Summary - $ &amp; m3'!$X:$X,'Summary - $ &amp; m3'!$A:$A,L$1,'Summary - $ &amp; m3'!$C:$C,$A8)+SUMIFS('Summary - $ &amp; m3'!$X:$X,'Summary - $ &amp; m3'!$A:$A,L$1,'Summary - $ &amp; m3'!$C:$C,$B8)</f>
        <v>18836467</v>
      </c>
      <c r="M8" s="12">
        <f>SUMIFS('Summary - $ &amp; m3'!$H:$H,'Summary - $ &amp; m3'!$A:$A,M$1,'Summary - $ &amp; m3'!$C:$C,$A8)+SUMIFS('Summary - $ &amp; m3'!$H:$H,'Summary - $ &amp; m3'!$A:$A,M$1,'Summary - $ &amp; m3'!$C:$C,$B8)</f>
        <v>3816765</v>
      </c>
      <c r="N8" s="13">
        <f t="shared" si="2"/>
        <v>4.9351917134012702</v>
      </c>
      <c r="O8" s="12">
        <f>SUMIFS('Summary - $ &amp; m3'!$P:$P,'Summary - $ &amp; m3'!$A:$A,O$1,'Summary - $ &amp; m3'!$C:$C,$A8)+SUMIFS('Summary - $ &amp; m3'!$P:$P,'Summary - $ &amp; m3'!$A:$A,O$1,'Summary - $ &amp; m3'!$C:$C,$B8)</f>
        <v>114502950</v>
      </c>
      <c r="P8" s="13">
        <f t="shared" ref="P8" si="8">IFERROR(L8/O8,"-")</f>
        <v>0.16450639044670901</v>
      </c>
      <c r="R8" s="20" t="s">
        <v>130</v>
      </c>
      <c r="S8" s="46">
        <f>SUMIFS('Summary - $ &amp; m3'!$X:$X,'Summary - $ &amp; m3'!$A:$A,S$1,'Summary - $ &amp; m3'!$C:$C,$A8)+SUMIFS('Summary - $ &amp; m3'!$X:$X,'Summary - $ &amp; m3'!$A:$A,S$1,'Summary - $ &amp; m3'!$C:$C,$B8)</f>
        <v>20917872</v>
      </c>
      <c r="T8" s="12">
        <f>SUMIFS('Summary - $ &amp; m3'!$H:$H,'Summary - $ &amp; m3'!$A:$A,T$1,'Summary - $ &amp; m3'!$C:$C,$A8)+SUMIFS('Summary - $ &amp; m3'!$H:$H,'Summary - $ &amp; m3'!$A:$A,T$1,'Summary - $ &amp; m3'!$C:$C,$B8)</f>
        <v>4185225</v>
      </c>
      <c r="U8" s="13">
        <f t="shared" si="4"/>
        <v>4.9980280630073652</v>
      </c>
      <c r="V8" s="12">
        <f>SUMIFS('Summary - $ &amp; m3'!$P:$P,'Summary - $ &amp; m3'!$A:$A,V$1,'Summary - $ &amp; m3'!$C:$C,$A8)+SUMIFS('Summary - $ &amp; m3'!$P:$P,'Summary - $ &amp; m3'!$A:$A,V$1,'Summary - $ &amp; m3'!$C:$C,$B8)</f>
        <v>125556750</v>
      </c>
      <c r="W8" s="13">
        <f t="shared" si="5"/>
        <v>0.16660093543357885</v>
      </c>
      <c r="Y8" s="20" t="s">
        <v>130</v>
      </c>
      <c r="Z8" s="46">
        <f>SUMIFS('Summary - $ &amp; m3'!$X:$X,'Summary - $ &amp; m3'!$A:$A,Z$1,'Summary - $ &amp; m3'!$C:$C,$A8)+SUMIFS('Summary - $ &amp; m3'!$X:$X,'Summary - $ &amp; m3'!$A:$A,Z$1,'Summary - $ &amp; m3'!$C:$C,$B8)</f>
        <v>22520648</v>
      </c>
      <c r="AA8" s="12">
        <f>SUMIFS('Summary - $ &amp; m3'!$H:$H,'Summary - $ &amp; m3'!$A:$A,AA$1,'Summary - $ &amp; m3'!$C:$C,$A8)+SUMIFS('Summary - $ &amp; m3'!$H:$H,'Summary - $ &amp; m3'!$A:$A,AA$1,'Summary - $ &amp; m3'!$C:$C,$B8)</f>
        <v>4430865</v>
      </c>
      <c r="AB8" s="13">
        <f t="shared" si="6"/>
        <v>5.0826752789805152</v>
      </c>
      <c r="AC8" s="12">
        <f>SUMIFS('Summary - $ &amp; m3'!$P:$P,'Summary - $ &amp; m3'!$A:$A,AC$1,'Summary - $ &amp; m3'!$C:$C,$A8)+SUMIFS('Summary - $ &amp; m3'!$P:$P,'Summary - $ &amp; m3'!$A:$A,AC$1,'Summary - $ &amp; m3'!$C:$C,$B8)</f>
        <v>132925950</v>
      </c>
      <c r="AD8" s="13">
        <f t="shared" si="7"/>
        <v>0.16942250929935052</v>
      </c>
    </row>
    <row r="9" spans="1:34" x14ac:dyDescent="0.25">
      <c r="A9" s="61" t="s">
        <v>333</v>
      </c>
      <c r="B9" s="61"/>
      <c r="D9" s="20" t="s">
        <v>333</v>
      </c>
      <c r="E9" s="46">
        <f>SUMIFS('Summary - $ &amp; m3'!$X:$X,'Summary - $ &amp; m3'!$A:$A,E$1,'Summary - $ &amp; m3'!$C:$C,$A9)+SUMIFS('Summary - $ &amp; m3'!$X:$X,'Summary - $ &amp; m3'!$A:$A,E$1,'Summary - $ &amp; m3'!$C:$C,$B9)</f>
        <v>9304600</v>
      </c>
      <c r="F9" s="12">
        <f>SUMIFS('Summary - $ &amp; m3'!$H:$H,'Summary - $ &amp; m3'!$A:$A,F$1,'Summary - $ &amp; m3'!$C:$C,$A9)+SUMIFS('Summary - $ &amp; m3'!$H:$H,'Summary - $ &amp; m3'!$A:$A,F$1,'Summary - $ &amp; m3'!$C:$C,$B9)</f>
        <v>4647327.5999999996</v>
      </c>
      <c r="G9" s="13">
        <f t="shared" ref="G9" si="9">IFERROR(E9/F9,"-")</f>
        <v>2.0021398964858861</v>
      </c>
      <c r="H9" s="12">
        <f>SUMIFS('Summary - $ &amp; m3'!$P:$P,'Summary - $ &amp; m3'!$A:$A,H$1,'Summary - $ &amp; m3'!$C:$C,$A9)+SUMIFS('Summary - $ &amp; m3'!$P:$P,'Summary - $ &amp; m3'!$A:$A,H$1,'Summary - $ &amp; m3'!$C:$C,$B9)</f>
        <v>74285721.599999994</v>
      </c>
      <c r="I9" s="13">
        <f t="shared" ref="I9" si="10">IFERROR(E9/H9,"-")</f>
        <v>0.12525421843650772</v>
      </c>
      <c r="K9" s="20" t="s">
        <v>333</v>
      </c>
      <c r="L9" s="46">
        <f>SUMIFS('Summary - $ &amp; m3'!$X:$X,'Summary - $ &amp; m3'!$A:$A,L$1,'Summary - $ &amp; m3'!$C:$C,$A9)+SUMIFS('Summary - $ &amp; m3'!$X:$X,'Summary - $ &amp; m3'!$A:$A,L$1,'Summary - $ &amp; m3'!$C:$C,$B9)</f>
        <v>8998279</v>
      </c>
      <c r="M9" s="12">
        <f>SUMIFS('Summary - $ &amp; m3'!$H:$H,'Summary - $ &amp; m3'!$A:$A,M$1,'Summary - $ &amp; m3'!$C:$C,$A9)+SUMIFS('Summary - $ &amp; m3'!$H:$H,'Summary - $ &amp; m3'!$A:$A,M$1,'Summary - $ &amp; m3'!$C:$C,$B9)</f>
        <v>4652095.5999999996</v>
      </c>
      <c r="N9" s="13">
        <f t="shared" ref="N9" si="11">IFERROR(L9/M9,"-")</f>
        <v>1.9342420650168928</v>
      </c>
      <c r="O9" s="12">
        <f>SUMIFS('Summary - $ &amp; m3'!$P:$P,'Summary - $ &amp; m3'!$A:$A,O$1,'Summary - $ &amp; m3'!$C:$C,$A9)+SUMIFS('Summary - $ &amp; m3'!$P:$P,'Summary - $ &amp; m3'!$A:$A,O$1,'Summary - $ &amp; m3'!$C:$C,$B9)</f>
        <v>74357241.599999994</v>
      </c>
      <c r="P9" s="13">
        <f t="shared" ref="P9" si="12">IFERROR(L9/O9,"-")</f>
        <v>0.12101415822288922</v>
      </c>
      <c r="R9" s="20" t="s">
        <v>333</v>
      </c>
      <c r="S9" s="46">
        <f>SUMIFS('Summary - $ &amp; m3'!$X:$X,'Summary - $ &amp; m3'!$A:$A,S$1,'Summary - $ &amp; m3'!$C:$C,$A9)+SUMIFS('Summary - $ &amp; m3'!$X:$X,'Summary - $ &amp; m3'!$A:$A,S$1,'Summary - $ &amp; m3'!$C:$C,$B9)</f>
        <v>9225360</v>
      </c>
      <c r="T9" s="12">
        <f>SUMIFS('Summary - $ &amp; m3'!$H:$H,'Summary - $ &amp; m3'!$A:$A,T$1,'Summary - $ &amp; m3'!$C:$C,$A9)+SUMIFS('Summary - $ &amp; m3'!$H:$H,'Summary - $ &amp; m3'!$A:$A,T$1,'Summary - $ &amp; m3'!$C:$C,$B9)</f>
        <v>4659247.5999999996</v>
      </c>
      <c r="U9" s="13">
        <f t="shared" ref="U9" si="13">IFERROR(S9/T9,"-")</f>
        <v>1.9800106781189308</v>
      </c>
      <c r="V9" s="12">
        <f>SUMIFS('Summary - $ &amp; m3'!$P:$P,'Summary - $ &amp; m3'!$A:$A,V$1,'Summary - $ &amp; m3'!$C:$C,$A9)+SUMIFS('Summary - $ &amp; m3'!$P:$P,'Summary - $ &amp; m3'!$A:$A,V$1,'Summary - $ &amp; m3'!$C:$C,$B9)</f>
        <v>74464521.599999994</v>
      </c>
      <c r="W9" s="13">
        <f t="shared" ref="W9" si="14">IFERROR(S9/V9,"-")</f>
        <v>0.1238893341658157</v>
      </c>
      <c r="Y9" s="20" t="s">
        <v>333</v>
      </c>
      <c r="Z9" s="46">
        <f>SUMIFS('Summary - $ &amp; m3'!$X:$X,'Summary - $ &amp; m3'!$A:$A,Z$1,'Summary - $ &amp; m3'!$C:$C,$A9)+SUMIFS('Summary - $ &amp; m3'!$X:$X,'Summary - $ &amp; m3'!$A:$A,Z$1,'Summary - $ &amp; m3'!$C:$C,$B9)</f>
        <v>9453610</v>
      </c>
      <c r="AA9" s="12">
        <f>SUMIFS('Summary - $ &amp; m3'!$H:$H,'Summary - $ &amp; m3'!$A:$A,AA$1,'Summary - $ &amp; m3'!$C:$C,$A9)+SUMIFS('Summary - $ &amp; m3'!$H:$H,'Summary - $ &amp; m3'!$A:$A,AA$1,'Summary - $ &amp; m3'!$C:$C,$B9)</f>
        <v>4661631.5999999996</v>
      </c>
      <c r="AB9" s="13">
        <f t="shared" ref="AB9" si="15">IFERROR(Z9/AA9,"-")</f>
        <v>2.0279616261396547</v>
      </c>
      <c r="AC9" s="12">
        <f>SUMIFS('Summary - $ &amp; m3'!$P:$P,'Summary - $ &amp; m3'!$A:$A,AC$1,'Summary - $ &amp; m3'!$C:$C,$A9)+SUMIFS('Summary - $ &amp; m3'!$P:$P,'Summary - $ &amp; m3'!$A:$A,AC$1,'Summary - $ &amp; m3'!$C:$C,$B9)</f>
        <v>74500281.599999994</v>
      </c>
      <c r="AD9" s="13">
        <f t="shared" ref="AD9" si="16">IFERROR(Z9/AC9,"-")</f>
        <v>0.12689361431890211</v>
      </c>
    </row>
    <row r="10" spans="1:34" x14ac:dyDescent="0.25">
      <c r="A10" s="61" t="s">
        <v>160</v>
      </c>
      <c r="B10" s="61"/>
      <c r="D10" s="20" t="s">
        <v>160</v>
      </c>
      <c r="E10" s="46">
        <f>SUMIFS('Summary - $ &amp; m3'!$X:$X,'Summary - $ &amp; m3'!$A:$A,E$1,'Summary - $ &amp; m3'!$C:$C,$A10)+SUMIFS('Summary - $ &amp; m3'!$X:$X,'Summary - $ &amp; m3'!$A:$A,E$1,'Summary - $ &amp; m3'!$C:$C,$B10)</f>
        <v>6083993</v>
      </c>
      <c r="F10" s="12">
        <f>SUMIFS('Summary - $ &amp; m3'!$H:$H,'Summary - $ &amp; m3'!$A:$A,F$1,'Summary - $ &amp; m3'!$C:$C,$A10)+SUMIFS('Summary - $ &amp; m3'!$H:$H,'Summary - $ &amp; m3'!$A:$A,F$1,'Summary - $ &amp; m3'!$C:$C,$B10)</f>
        <v>3150352</v>
      </c>
      <c r="G10" s="13">
        <f t="shared" si="0"/>
        <v>1.9312105440915808</v>
      </c>
      <c r="H10" s="12">
        <f>SUMIFS('Summary - $ &amp; m3'!$P:$P,'Summary - $ &amp; m3'!$A:$A,H$1,'Summary - $ &amp; m3'!$C:$C,$A10)+SUMIFS('Summary - $ &amp; m3'!$P:$P,'Summary - $ &amp; m3'!$A:$A,H$1,'Summary - $ &amp; m3'!$C:$C,$B10)</f>
        <v>31503520</v>
      </c>
      <c r="I10" s="13">
        <f t="shared" si="1"/>
        <v>0.19312105440915808</v>
      </c>
      <c r="K10" s="20" t="s">
        <v>160</v>
      </c>
      <c r="L10" s="46">
        <f>SUMIFS('Summary - $ &amp; m3'!$X:$X,'Summary - $ &amp; m3'!$A:$A,L$1,'Summary - $ &amp; m3'!$C:$C,$A10)+SUMIFS('Summary - $ &amp; m3'!$X:$X,'Summary - $ &amp; m3'!$A:$A,L$1,'Summary - $ &amp; m3'!$C:$C,$B10)</f>
        <v>6123301</v>
      </c>
      <c r="M10" s="12">
        <f>SUMIFS('Summary - $ &amp; m3'!$H:$H,'Summary - $ &amp; m3'!$A:$A,M$1,'Summary - $ &amp; m3'!$C:$C,$A10)+SUMIFS('Summary - $ &amp; m3'!$H:$H,'Summary - $ &amp; m3'!$A:$A,M$1,'Summary - $ &amp; m3'!$C:$C,$B10)</f>
        <v>3150352.0000000005</v>
      </c>
      <c r="N10" s="13">
        <f t="shared" si="2"/>
        <v>1.943687879957541</v>
      </c>
      <c r="O10" s="12">
        <f>SUMIFS('Summary - $ &amp; m3'!$P:$P,'Summary - $ &amp; m3'!$A:$A,O$1,'Summary - $ &amp; m3'!$C:$C,$A10)+SUMIFS('Summary - $ &amp; m3'!$P:$P,'Summary - $ &amp; m3'!$A:$A,O$1,'Summary - $ &amp; m3'!$C:$C,$B10)</f>
        <v>31503520</v>
      </c>
      <c r="P10" s="13">
        <f t="shared" si="3"/>
        <v>0.19436878799575413</v>
      </c>
      <c r="R10" s="20" t="s">
        <v>160</v>
      </c>
      <c r="S10" s="46">
        <f>SUMIFS('Summary - $ &amp; m3'!$X:$X,'Summary - $ &amp; m3'!$A:$A,S$1,'Summary - $ &amp; m3'!$C:$C,$A10)+SUMIFS('Summary - $ &amp; m3'!$X:$X,'Summary - $ &amp; m3'!$A:$A,S$1,'Summary - $ &amp; m3'!$C:$C,$B10)</f>
        <v>6268247</v>
      </c>
      <c r="T10" s="12">
        <f>SUMIFS('Summary - $ &amp; m3'!$H:$H,'Summary - $ &amp; m3'!$A:$A,T$1,'Summary - $ &amp; m3'!$C:$C,$A10)+SUMIFS('Summary - $ &amp; m3'!$H:$H,'Summary - $ &amp; m3'!$A:$A,T$1,'Summary - $ &amp; m3'!$C:$C,$B10)</f>
        <v>3150352.0000000009</v>
      </c>
      <c r="U10" s="13">
        <f t="shared" si="4"/>
        <v>1.9896973417573649</v>
      </c>
      <c r="V10" s="12">
        <f>SUMIFS('Summary - $ &amp; m3'!$P:$P,'Summary - $ &amp; m3'!$A:$A,V$1,'Summary - $ &amp; m3'!$C:$C,$A10)+SUMIFS('Summary - $ &amp; m3'!$P:$P,'Summary - $ &amp; m3'!$A:$A,V$1,'Summary - $ &amp; m3'!$C:$C,$B10)</f>
        <v>31503520.000000007</v>
      </c>
      <c r="W10" s="13">
        <f t="shared" si="5"/>
        <v>0.19896973417573652</v>
      </c>
      <c r="Y10" s="20" t="s">
        <v>160</v>
      </c>
      <c r="Z10" s="46">
        <f>SUMIFS('Summary - $ &amp; m3'!$X:$X,'Summary - $ &amp; m3'!$A:$A,Z$1,'Summary - $ &amp; m3'!$C:$C,$A10)+SUMIFS('Summary - $ &amp; m3'!$X:$X,'Summary - $ &amp; m3'!$A:$A,Z$1,'Summary - $ &amp; m3'!$C:$C,$B10)</f>
        <v>6397663</v>
      </c>
      <c r="AA10" s="12">
        <f>SUMIFS('Summary - $ &amp; m3'!$H:$H,'Summary - $ &amp; m3'!$A:$A,AA$1,'Summary - $ &amp; m3'!$C:$C,$A10)+SUMIFS('Summary - $ &amp; m3'!$H:$H,'Summary - $ &amp; m3'!$A:$A,AA$1,'Summary - $ &amp; m3'!$C:$C,$B10)</f>
        <v>3150352.0000000005</v>
      </c>
      <c r="AB10" s="13">
        <f t="shared" si="6"/>
        <v>2.0307771956911478</v>
      </c>
      <c r="AC10" s="12">
        <f>SUMIFS('Summary - $ &amp; m3'!$P:$P,'Summary - $ &amp; m3'!$A:$A,AC$1,'Summary - $ &amp; m3'!$C:$C,$A10)+SUMIFS('Summary - $ &amp; m3'!$P:$P,'Summary - $ &amp; m3'!$A:$A,AC$1,'Summary - $ &amp; m3'!$C:$C,$B10)</f>
        <v>31503520.000000004</v>
      </c>
      <c r="AD10" s="13">
        <f t="shared" si="7"/>
        <v>0.2030777195691148</v>
      </c>
    </row>
    <row r="11" spans="1:34" x14ac:dyDescent="0.25">
      <c r="A11" s="61" t="s">
        <v>161</v>
      </c>
      <c r="B11" s="61"/>
      <c r="D11" s="20" t="s">
        <v>161</v>
      </c>
      <c r="E11" s="46">
        <f>SUMIFS('Summary - $ &amp; m3'!$X:$X,'Summary - $ &amp; m3'!$A:$A,E$1,'Summary - $ &amp; m3'!$C:$C,$A11)+SUMIFS('Summary - $ &amp; m3'!$X:$X,'Summary - $ &amp; m3'!$A:$A,E$1,'Summary - $ &amp; m3'!$C:$C,$B11)</f>
        <v>10875000</v>
      </c>
      <c r="F11" s="12">
        <f>SUMIFS('Summary - $ &amp; m3'!$H:$H,'Summary - $ &amp; m3'!$A:$A,F$1,'Summary - $ &amp; m3'!$C:$C,$A11)+SUMIFS('Summary - $ &amp; m3'!$H:$H,'Summary - $ &amp; m3'!$A:$A,F$1,'Summary - $ &amp; m3'!$C:$C,$B11)</f>
        <v>1869025</v>
      </c>
      <c r="G11" s="13">
        <f t="shared" si="0"/>
        <v>5.8185417530530623</v>
      </c>
      <c r="H11" s="12">
        <f>SUMIFS('Summary - $ &amp; m3'!$P:$P,'Summary - $ &amp; m3'!$A:$A,H$1,'Summary - $ &amp; m3'!$C:$C,$A11)+SUMIFS('Summary - $ &amp; m3'!$P:$P,'Summary - $ &amp; m3'!$A:$A,H$1,'Summary - $ &amp; m3'!$C:$C,$B11)</f>
        <v>42052750</v>
      </c>
      <c r="I11" s="13">
        <f t="shared" si="1"/>
        <v>0.25860377739862433</v>
      </c>
      <c r="K11" s="20" t="s">
        <v>161</v>
      </c>
      <c r="L11" s="46">
        <f>SUMIFS('Summary - $ &amp; m3'!$X:$X,'Summary - $ &amp; m3'!$A:$A,L$1,'Summary - $ &amp; m3'!$C:$C,$A11)+SUMIFS('Summary - $ &amp; m3'!$X:$X,'Summary - $ &amp; m3'!$A:$A,L$1,'Summary - $ &amp; m3'!$C:$C,$B11)</f>
        <v>12762570</v>
      </c>
      <c r="M11" s="12">
        <f>SUMIFS('Summary - $ &amp; m3'!$H:$H,'Summary - $ &amp; m3'!$A:$A,M$1,'Summary - $ &amp; m3'!$C:$C,$A11)+SUMIFS('Summary - $ &amp; m3'!$H:$H,'Summary - $ &amp; m3'!$A:$A,M$1,'Summary - $ &amp; m3'!$C:$C,$B11)</f>
        <v>2105990</v>
      </c>
      <c r="N11" s="13">
        <f t="shared" si="2"/>
        <v>6.0601284906386068</v>
      </c>
      <c r="O11" s="12">
        <f>SUMIFS('Summary - $ &amp; m3'!$P:$P,'Summary - $ &amp; m3'!$A:$A,O$1,'Summary - $ &amp; m3'!$C:$C,$A11)+SUMIFS('Summary - $ &amp; m3'!$P:$P,'Summary - $ &amp; m3'!$A:$A,O$1,'Summary - $ &amp; m3'!$C:$C,$B11)</f>
        <v>47759900</v>
      </c>
      <c r="P11" s="13">
        <f t="shared" si="3"/>
        <v>0.26722354946304328</v>
      </c>
      <c r="R11" s="20" t="s">
        <v>161</v>
      </c>
      <c r="S11" s="46">
        <f>SUMIFS('Summary - $ &amp; m3'!$X:$X,'Summary - $ &amp; m3'!$A:$A,S$1,'Summary - $ &amp; m3'!$C:$C,$A11)+SUMIFS('Summary - $ &amp; m3'!$X:$X,'Summary - $ &amp; m3'!$A:$A,S$1,'Summary - $ &amp; m3'!$C:$C,$B11)</f>
        <v>14512935</v>
      </c>
      <c r="T11" s="12">
        <f>SUMIFS('Summary - $ &amp; m3'!$H:$H,'Summary - $ &amp; m3'!$A:$A,T$1,'Summary - $ &amp; m3'!$C:$C,$A11)+SUMIFS('Summary - $ &amp; m3'!$H:$H,'Summary - $ &amp; m3'!$A:$A,T$1,'Summary - $ &amp; m3'!$C:$C,$B11)</f>
        <v>2342955</v>
      </c>
      <c r="U11" s="13">
        <f t="shared" si="4"/>
        <v>6.1942867020493351</v>
      </c>
      <c r="V11" s="12">
        <f>SUMIFS('Summary - $ &amp; m3'!$P:$P,'Summary - $ &amp; m3'!$A:$A,V$1,'Summary - $ &amp; m3'!$C:$C,$A11)+SUMIFS('Summary - $ &amp; m3'!$P:$P,'Summary - $ &amp; m3'!$A:$A,V$1,'Summary - $ &amp; m3'!$C:$C,$B11)</f>
        <v>53467050</v>
      </c>
      <c r="W11" s="13">
        <f t="shared" si="5"/>
        <v>0.27143698782708231</v>
      </c>
      <c r="Y11" s="20" t="s">
        <v>161</v>
      </c>
      <c r="Z11" s="46">
        <f>SUMIFS('Summary - $ &amp; m3'!$X:$X,'Summary - $ &amp; m3'!$A:$A,Z$1,'Summary - $ &amp; m3'!$C:$C,$A11)+SUMIFS('Summary - $ &amp; m3'!$X:$X,'Summary - $ &amp; m3'!$A:$A,Z$1,'Summary - $ &amp; m3'!$C:$C,$B11)</f>
        <v>16327928</v>
      </c>
      <c r="AA11" s="12">
        <f>SUMIFS('Summary - $ &amp; m3'!$H:$H,'Summary - $ &amp; m3'!$A:$A,AA$1,'Summary - $ &amp; m3'!$C:$C,$A11)+SUMIFS('Summary - $ &amp; m3'!$H:$H,'Summary - $ &amp; m3'!$A:$A,AA$1,'Summary - $ &amp; m3'!$C:$C,$B11)</f>
        <v>2579920</v>
      </c>
      <c r="AB11" s="13">
        <f t="shared" si="6"/>
        <v>6.328850506992465</v>
      </c>
      <c r="AC11" s="12">
        <f>SUMIFS('Summary - $ &amp; m3'!$P:$P,'Summary - $ &amp; m3'!$A:$A,AC$1,'Summary - $ &amp; m3'!$C:$C,$A11)+SUMIFS('Summary - $ &amp; m3'!$P:$P,'Summary - $ &amp; m3'!$A:$A,AC$1,'Summary - $ &amp; m3'!$C:$C,$B11)</f>
        <v>59174200</v>
      </c>
      <c r="AD11" s="13">
        <f t="shared" si="7"/>
        <v>0.2759298478052935</v>
      </c>
    </row>
    <row r="12" spans="1:34" x14ac:dyDescent="0.25">
      <c r="A12" s="61" t="s">
        <v>162</v>
      </c>
      <c r="B12" s="61"/>
      <c r="D12" s="20" t="s">
        <v>162</v>
      </c>
      <c r="E12" s="46">
        <f>SUMIFS('Summary - $ &amp; m3'!$X:$X,'Summary - $ &amp; m3'!$A:$A,E$1,'Summary - $ &amp; m3'!$C:$C,$A12)+SUMIFS('Summary - $ &amp; m3'!$X:$X,'Summary - $ &amp; m3'!$A:$A,E$1,'Summary - $ &amp; m3'!$C:$C,$B12)</f>
        <v>2460000</v>
      </c>
      <c r="F12" s="12">
        <f>SUMIFS('Summary - $ &amp; m3'!$H:$H,'Summary - $ &amp; m3'!$A:$A,F$1,'Summary - $ &amp; m3'!$C:$C,$A12)+SUMIFS('Summary - $ &amp; m3'!$H:$H,'Summary - $ &amp; m3'!$A:$A,F$1,'Summary - $ &amp; m3'!$C:$C,$B12)</f>
        <v>2527500</v>
      </c>
      <c r="G12" s="13">
        <f t="shared" si="0"/>
        <v>0.97329376854599403</v>
      </c>
      <c r="H12" s="12">
        <f>SUMIFS('Summary - $ &amp; m3'!$P:$P,'Summary - $ &amp; m3'!$A:$A,H$1,'Summary - $ &amp; m3'!$C:$C,$A12)+SUMIFS('Summary - $ &amp; m3'!$P:$P,'Summary - $ &amp; m3'!$A:$A,H$1,'Summary - $ &amp; m3'!$C:$C,$B12)</f>
        <v>2527500</v>
      </c>
      <c r="I12" s="13">
        <f t="shared" si="1"/>
        <v>0.97329376854599403</v>
      </c>
      <c r="K12" s="20" t="s">
        <v>162</v>
      </c>
      <c r="L12" s="46">
        <f>SUMIFS('Summary - $ &amp; m3'!$X:$X,'Summary - $ &amp; m3'!$A:$A,L$1,'Summary - $ &amp; m3'!$C:$C,$A12)+SUMIFS('Summary - $ &amp; m3'!$X:$X,'Summary - $ &amp; m3'!$A:$A,L$1,'Summary - $ &amp; m3'!$C:$C,$B12)</f>
        <v>2644720</v>
      </c>
      <c r="M12" s="12">
        <f>SUMIFS('Summary - $ &amp; m3'!$H:$H,'Summary - $ &amp; m3'!$A:$A,M$1,'Summary - $ &amp; m3'!$C:$C,$A12)+SUMIFS('Summary - $ &amp; m3'!$H:$H,'Summary - $ &amp; m3'!$A:$A,M$1,'Summary - $ &amp; m3'!$C:$C,$B12)</f>
        <v>4557000</v>
      </c>
      <c r="N12" s="13">
        <f t="shared" si="2"/>
        <v>0.58036427474215491</v>
      </c>
      <c r="O12" s="12">
        <f>SUMIFS('Summary - $ &amp; m3'!$P:$P,'Summary - $ &amp; m3'!$A:$A,O$1,'Summary - $ &amp; m3'!$C:$C,$A12)+SUMIFS('Summary - $ &amp; m3'!$P:$P,'Summary - $ &amp; m3'!$A:$A,O$1,'Summary - $ &amp; m3'!$C:$C,$B12)</f>
        <v>4557000</v>
      </c>
      <c r="P12" s="13">
        <f t="shared" si="3"/>
        <v>0.58036427474215491</v>
      </c>
      <c r="R12" s="20" t="s">
        <v>162</v>
      </c>
      <c r="S12" s="46">
        <f>SUMIFS('Summary - $ &amp; m3'!$X:$X,'Summary - $ &amp; m3'!$A:$A,S$1,'Summary - $ &amp; m3'!$C:$C,$A12)+SUMIFS('Summary - $ &amp; m3'!$X:$X,'Summary - $ &amp; m3'!$A:$A,S$1,'Summary - $ &amp; m3'!$C:$C,$B12)</f>
        <v>3000618</v>
      </c>
      <c r="T12" s="12">
        <f>SUMIFS('Summary - $ &amp; m3'!$H:$H,'Summary - $ &amp; m3'!$A:$A,T$1,'Summary - $ &amp; m3'!$C:$C,$A12)+SUMIFS('Summary - $ &amp; m3'!$H:$H,'Summary - $ &amp; m3'!$A:$A,T$1,'Summary - $ &amp; m3'!$C:$C,$B12)</f>
        <v>5738000</v>
      </c>
      <c r="U12" s="13">
        <f t="shared" si="4"/>
        <v>0.52293795747647265</v>
      </c>
      <c r="V12" s="12">
        <f>SUMIFS('Summary - $ &amp; m3'!$P:$P,'Summary - $ &amp; m3'!$A:$A,V$1,'Summary - $ &amp; m3'!$C:$C,$A12)+SUMIFS('Summary - $ &amp; m3'!$P:$P,'Summary - $ &amp; m3'!$A:$A,V$1,'Summary - $ &amp; m3'!$C:$C,$B12)</f>
        <v>5738000</v>
      </c>
      <c r="W12" s="13">
        <f t="shared" si="5"/>
        <v>0.52293795747647265</v>
      </c>
      <c r="Y12" s="20" t="s">
        <v>162</v>
      </c>
      <c r="Z12" s="46">
        <f>SUMIFS('Summary - $ &amp; m3'!$X:$X,'Summary - $ &amp; m3'!$A:$A,Z$1,'Summary - $ &amp; m3'!$C:$C,$A12)+SUMIFS('Summary - $ &amp; m3'!$X:$X,'Summary - $ &amp; m3'!$A:$A,Z$1,'Summary - $ &amp; m3'!$C:$C,$B12)</f>
        <v>3367977</v>
      </c>
      <c r="AA12" s="12">
        <f>SUMIFS('Summary - $ &amp; m3'!$H:$H,'Summary - $ &amp; m3'!$A:$A,AA$1,'Summary - $ &amp; m3'!$C:$C,$A12)+SUMIFS('Summary - $ &amp; m3'!$H:$H,'Summary - $ &amp; m3'!$A:$A,AA$1,'Summary - $ &amp; m3'!$C:$C,$B12)</f>
        <v>6741000</v>
      </c>
      <c r="AB12" s="13">
        <f t="shared" si="6"/>
        <v>0.49962572318647086</v>
      </c>
      <c r="AC12" s="12">
        <f>SUMIFS('Summary - $ &amp; m3'!$P:$P,'Summary - $ &amp; m3'!$A:$A,AC$1,'Summary - $ &amp; m3'!$C:$C,$A12)+SUMIFS('Summary - $ &amp; m3'!$P:$P,'Summary - $ &amp; m3'!$A:$A,AC$1,'Summary - $ &amp; m3'!$C:$C,$B12)</f>
        <v>6741000</v>
      </c>
      <c r="AD12" s="13">
        <f t="shared" si="7"/>
        <v>0.49962572318647086</v>
      </c>
    </row>
    <row r="13" spans="1:34" x14ac:dyDescent="0.25">
      <c r="A13" s="61" t="s">
        <v>17</v>
      </c>
      <c r="B13" s="61"/>
      <c r="D13" s="21" t="s">
        <v>136</v>
      </c>
      <c r="E13" s="46">
        <f>SUMIFS('Summary - $ &amp; m3'!$X:$X,'Summary - $ &amp; m3'!$A:$A,E$1,'Summary - $ &amp; m3'!$C:$C,$A13)+SUMIFS('Summary - $ &amp; m3'!$X:$X,'Summary - $ &amp; m3'!$A:$A,E$1,'Summary - $ &amp; m3'!$C:$C,$B13)</f>
        <v>2573738</v>
      </c>
      <c r="F13" s="12" t="s">
        <v>235</v>
      </c>
      <c r="G13" s="12" t="s">
        <v>235</v>
      </c>
      <c r="H13" s="12" t="s">
        <v>251</v>
      </c>
      <c r="I13" s="12" t="s">
        <v>251</v>
      </c>
      <c r="K13" s="21" t="s">
        <v>136</v>
      </c>
      <c r="L13" s="46">
        <f>SUMIFS('Summary - $ &amp; m3'!$X:$X,'Summary - $ &amp; m3'!$A:$A,L$1,'Summary - $ &amp; m3'!$C:$C,$A13)+SUMIFS('Summary - $ &amp; m3'!$X:$X,'Summary - $ &amp; m3'!$A:$A,L$1,'Summary - $ &amp; m3'!$C:$C,$B13)</f>
        <v>2618006</v>
      </c>
      <c r="M13" s="12" t="s">
        <v>235</v>
      </c>
      <c r="N13" s="12" t="s">
        <v>235</v>
      </c>
      <c r="O13" s="12" t="s">
        <v>251</v>
      </c>
      <c r="P13" s="12" t="s">
        <v>251</v>
      </c>
      <c r="R13" s="21" t="s">
        <v>136</v>
      </c>
      <c r="S13" s="46">
        <f>SUMIFS('Summary - $ &amp; m3'!$X:$X,'Summary - $ &amp; m3'!$A:$A,S$1,'Summary - $ &amp; m3'!$C:$C,$A13)+SUMIFS('Summary - $ &amp; m3'!$X:$X,'Summary - $ &amp; m3'!$A:$A,S$1,'Summary - $ &amp; m3'!$C:$C,$B13)</f>
        <v>2663036</v>
      </c>
      <c r="T13" s="12" t="s">
        <v>235</v>
      </c>
      <c r="U13" s="12" t="s">
        <v>235</v>
      </c>
      <c r="V13" s="12" t="s">
        <v>251</v>
      </c>
      <c r="W13" s="12" t="s">
        <v>251</v>
      </c>
      <c r="Y13" s="21" t="s">
        <v>136</v>
      </c>
      <c r="Z13" s="46">
        <f>SUMIFS('Summary - $ &amp; m3'!$X:$X,'Summary - $ &amp; m3'!$A:$A,Z$1,'Summary - $ &amp; m3'!$C:$C,$A13)+SUMIFS('Summary - $ &amp; m3'!$X:$X,'Summary - $ &amp; m3'!$A:$A,Z$1,'Summary - $ &amp; m3'!$C:$C,$B13)</f>
        <v>2708841</v>
      </c>
      <c r="AA13" s="12" t="s">
        <v>235</v>
      </c>
      <c r="AB13" s="12" t="s">
        <v>235</v>
      </c>
      <c r="AC13" s="12" t="s">
        <v>251</v>
      </c>
      <c r="AD13" s="12" t="s">
        <v>251</v>
      </c>
    </row>
    <row r="14" spans="1:34" x14ac:dyDescent="0.25">
      <c r="A14" s="61" t="s">
        <v>137</v>
      </c>
      <c r="B14" s="61"/>
      <c r="D14" s="24" t="s">
        <v>137</v>
      </c>
      <c r="E14" s="45">
        <f>SUM(E15:E17)</f>
        <v>27336368</v>
      </c>
      <c r="F14" s="25">
        <f>SUM(F15:F17)</f>
        <v>4677266.9425628539</v>
      </c>
      <c r="G14" s="26">
        <f t="shared" ref="G14:G16" si="17">IFERROR(E14/F14,"-")</f>
        <v>5.8445173935318211</v>
      </c>
      <c r="H14" s="25">
        <f>SUM(H15:H17)</f>
        <v>91078773.174954236</v>
      </c>
      <c r="I14" s="26">
        <f>IFERROR(E14/H14,"-")</f>
        <v>0.30013983551896628</v>
      </c>
      <c r="K14" s="24" t="s">
        <v>137</v>
      </c>
      <c r="L14" s="45">
        <f>SUM(L15:L17)</f>
        <v>29790341</v>
      </c>
      <c r="M14" s="25">
        <f>SUM(M15:M17)</f>
        <v>4894384.0745430216</v>
      </c>
      <c r="N14" s="26">
        <f t="shared" ref="N14:N16" si="18">IFERROR(L14/M14,"-")</f>
        <v>6.0866373677021786</v>
      </c>
      <c r="O14" s="25">
        <f>SUM(O15:O17)</f>
        <v>94917544.227716267</v>
      </c>
      <c r="P14" s="26">
        <f>IFERROR(L14/O14,"-")</f>
        <v>0.31385494897055199</v>
      </c>
      <c r="R14" s="24" t="s">
        <v>137</v>
      </c>
      <c r="S14" s="45">
        <f>SUM(S15:S17)</f>
        <v>32879507</v>
      </c>
      <c r="T14" s="25">
        <f>SUM(T15:T17)</f>
        <v>5095636.8590231892</v>
      </c>
      <c r="U14" s="26">
        <f t="shared" ref="U14:U16" si="19">IFERROR(S14/T14,"-")</f>
        <v>6.4524823706340122</v>
      </c>
      <c r="V14" s="25">
        <f>SUM(V15:V17)</f>
        <v>98804898.263978273</v>
      </c>
      <c r="W14" s="26">
        <f>IFERROR(S14/V14,"-")</f>
        <v>0.33277203435962671</v>
      </c>
      <c r="Y14" s="24" t="s">
        <v>137</v>
      </c>
      <c r="Z14" s="45">
        <f>SUM(Z15:Z17)</f>
        <v>35656823</v>
      </c>
      <c r="AA14" s="25">
        <f>SUM(AA15:AA17)</f>
        <v>5313785.5638033571</v>
      </c>
      <c r="AB14" s="26">
        <f t="shared" ref="AB14:AB16" si="20">IFERROR(Z14/AA14,"-")</f>
        <v>6.7102487618033511</v>
      </c>
      <c r="AC14" s="25">
        <f>SUM(AC15:AC17)</f>
        <v>102653985.47324029</v>
      </c>
      <c r="AD14" s="26">
        <f>IFERROR(Z14/AC14,"-")</f>
        <v>0.34734962150393056</v>
      </c>
    </row>
    <row r="15" spans="1:34" x14ac:dyDescent="0.25">
      <c r="A15" s="61" t="s">
        <v>22</v>
      </c>
      <c r="B15" s="61"/>
      <c r="D15" s="20" t="s">
        <v>22</v>
      </c>
      <c r="E15" s="46">
        <f>SUMIFS('Summary - $ &amp; m3'!$X:$X,'Summary - $ &amp; m3'!$A:$A,E$1,'Summary - $ &amp; m3'!$C:$C,$A15)+SUMIFS('Summary - $ &amp; m3'!$X:$X,'Summary - $ &amp; m3'!$A:$A,E$1,'Summary - $ &amp; m3'!$C:$C,$B15)</f>
        <v>16775338</v>
      </c>
      <c r="F15" s="12">
        <f>SUMIFS('Summary - $ &amp; m3'!$H:$H,'Summary - $ &amp; m3'!$A:$A,F$1,'Summary - $ &amp; m3'!$C:$C,$A15)+SUMIFS('Summary - $ &amp; m3'!$H:$H,'Summary - $ &amp; m3'!$A:$A,F$1,'Summary - $ &amp; m3'!$C:$C,$B15)</f>
        <v>2224164.6831628536</v>
      </c>
      <c r="G15" s="13">
        <f t="shared" si="17"/>
        <v>7.5423093114421631</v>
      </c>
      <c r="H15" s="12">
        <f>SUMIFS('Summary - $ &amp; m3'!$P:$P,'Summary - $ &amp; m3'!$A:$A,H$1,'Summary - $ &amp; m3'!$C:$C,$A15)+SUMIFS('Summary - $ &amp; m3'!$P:$P,'Summary - $ &amp; m3'!$A:$A,H$1,'Summary - $ &amp; m3'!$C:$C,$B15)</f>
        <v>49714160.197954245</v>
      </c>
      <c r="I15" s="13">
        <f>IFERROR(E15/H15,"-")</f>
        <v>0.33743581171246079</v>
      </c>
      <c r="K15" s="20" t="s">
        <v>22</v>
      </c>
      <c r="L15" s="46">
        <f>SUMIFS('Summary - $ &amp; m3'!$X:$X,'Summary - $ &amp; m3'!$A:$A,L$1,'Summary - $ &amp; m3'!$C:$C,$A15)+SUMIFS('Summary - $ &amp; m3'!$X:$X,'Summary - $ &amp; m3'!$A:$A,L$1,'Summary - $ &amp; m3'!$C:$C,$B15)</f>
        <v>18591203</v>
      </c>
      <c r="M15" s="12">
        <f>SUMIFS('Summary - $ &amp; m3'!$H:$H,'Summary - $ &amp; m3'!$A:$A,M$1,'Summary - $ &amp; m3'!$C:$C,$A15)+SUMIFS('Summary - $ &amp; m3'!$H:$H,'Summary - $ &amp; m3'!$A:$A,M$1,'Summary - $ &amp; m3'!$C:$C,$B15)</f>
        <v>2415998.9586430215</v>
      </c>
      <c r="N15" s="13">
        <f t="shared" si="18"/>
        <v>7.6950376710600903</v>
      </c>
      <c r="O15" s="12">
        <f>SUMIFS('Summary - $ &amp; m3'!$P:$P,'Summary - $ &amp; m3'!$A:$A,O$1,'Summary - $ &amp; m3'!$C:$C,$A15)+SUMIFS('Summary - $ &amp; m3'!$P:$P,'Summary - $ &amp; m3'!$A:$A,O$1,'Summary - $ &amp; m3'!$C:$C,$B15)</f>
        <v>53242215.50371626</v>
      </c>
      <c r="P15" s="13">
        <f>IFERROR(L15/O15,"-")</f>
        <v>0.34918161883594701</v>
      </c>
      <c r="R15" s="20" t="s">
        <v>22</v>
      </c>
      <c r="S15" s="46">
        <f>SUMIFS('Summary - $ &amp; m3'!$X:$X,'Summary - $ &amp; m3'!$A:$A,S$1,'Summary - $ &amp; m3'!$C:$C,$A15)+SUMIFS('Summary - $ &amp; m3'!$X:$X,'Summary - $ &amp; m3'!$A:$A,S$1,'Summary - $ &amp; m3'!$C:$C,$B15)</f>
        <v>20703369</v>
      </c>
      <c r="T15" s="12">
        <f>SUMIFS('Summary - $ &amp; m3'!$H:$H,'Summary - $ &amp; m3'!$A:$A,T$1,'Summary - $ &amp; m3'!$C:$C,$A15)+SUMIFS('Summary - $ &amp; m3'!$H:$H,'Summary - $ &amp; m3'!$A:$A,T$1,'Summary - $ &amp; m3'!$C:$C,$B15)</f>
        <v>2587295.2341231895</v>
      </c>
      <c r="U15" s="13">
        <f t="shared" si="19"/>
        <v>8.001935274702495</v>
      </c>
      <c r="V15" s="12">
        <f>SUMIFS('Summary - $ &amp; m3'!$P:$P,'Summary - $ &amp; m3'!$A:$A,V$1,'Summary - $ &amp; m3'!$C:$C,$A15)+SUMIFS('Summary - $ &amp; m3'!$P:$P,'Summary - $ &amp; m3'!$A:$A,V$1,'Summary - $ &amp; m3'!$C:$C,$B15)</f>
        <v>56564890.809478275</v>
      </c>
      <c r="W15" s="13">
        <f>IFERROR(S15/V15,"-")</f>
        <v>0.3660109425426637</v>
      </c>
      <c r="Y15" s="20" t="s">
        <v>22</v>
      </c>
      <c r="Z15" s="46">
        <f>SUMIFS('Summary - $ &amp; m3'!$X:$X,'Summary - $ &amp; m3'!$A:$A,Z$1,'Summary - $ &amp; m3'!$C:$C,$A15)+SUMIFS('Summary - $ &amp; m3'!$X:$X,'Summary - $ &amp; m3'!$A:$A,Z$1,'Summary - $ &amp; m3'!$C:$C,$B15)</f>
        <v>22903803</v>
      </c>
      <c r="AA15" s="12">
        <f>SUMIFS('Summary - $ &amp; m3'!$H:$H,'Summary - $ &amp; m3'!$A:$A,AA$1,'Summary - $ &amp; m3'!$C:$C,$A15)+SUMIFS('Summary - $ &amp; m3'!$H:$H,'Summary - $ &amp; m3'!$A:$A,AA$1,'Summary - $ &amp; m3'!$C:$C,$B15)</f>
        <v>2802112.5096033574</v>
      </c>
      <c r="AB15" s="13">
        <f t="shared" si="20"/>
        <v>8.1737628027084686</v>
      </c>
      <c r="AC15" s="12">
        <f>SUMIFS('Summary - $ &amp; m3'!$P:$P,'Summary - $ &amp; m3'!$A:$A,AC$1,'Summary - $ &amp; m3'!$C:$C,$A15)+SUMIFS('Summary - $ &amp; m3'!$P:$P,'Summary - $ &amp; m3'!$A:$A,AC$1,'Summary - $ &amp; m3'!$C:$C,$B15)</f>
        <v>60322776.115240291</v>
      </c>
      <c r="AD15" s="13">
        <f>IFERROR(Z15/AC15,"-")</f>
        <v>0.37968748248994216</v>
      </c>
    </row>
    <row r="16" spans="1:34" x14ac:dyDescent="0.25">
      <c r="A16" s="61" t="s">
        <v>21</v>
      </c>
      <c r="B16" s="61"/>
      <c r="D16" s="20" t="s">
        <v>21</v>
      </c>
      <c r="E16" s="46">
        <f>SUMIFS('Summary - $ &amp; m3'!$X:$X,'Summary - $ &amp; m3'!$A:$A,E$1,'Summary - $ &amp; m3'!$C:$C,$A16)+SUMIFS('Summary - $ &amp; m3'!$X:$X,'Summary - $ &amp; m3'!$A:$A,E$1,'Summary - $ &amp; m3'!$C:$C,$B16)</f>
        <v>8722689</v>
      </c>
      <c r="F16" s="12">
        <f>SUMIFS('Summary - $ &amp; m3'!$H:$H,'Summary - $ &amp; m3'!$A:$A,F$1,'Summary - $ &amp; m3'!$C:$C,$A16)+SUMIFS('Summary - $ &amp; m3'!$H:$H,'Summary - $ &amp; m3'!$A:$A,F$1,'Summary - $ &amp; m3'!$C:$C,$B16)</f>
        <v>2453102.2594000003</v>
      </c>
      <c r="G16" s="13">
        <f t="shared" si="17"/>
        <v>3.5557787966545944</v>
      </c>
      <c r="H16" s="12">
        <f>SUMIFS('Summary - $ &amp; m3'!$P:$P,'Summary - $ &amp; m3'!$A:$A,H$1,'Summary - $ &amp; m3'!$C:$C,$A16)+SUMIFS('Summary - $ &amp; m3'!$P:$P,'Summary - $ &amp; m3'!$A:$A,H$1,'Summary - $ &amp; m3'!$C:$C,$B16)</f>
        <v>41364612.976999998</v>
      </c>
      <c r="I16" s="13">
        <f>IFERROR(E16/H16,"-")</f>
        <v>0.21087321679644591</v>
      </c>
      <c r="K16" s="20" t="s">
        <v>21</v>
      </c>
      <c r="L16" s="46">
        <f>SUMIFS('Summary - $ &amp; m3'!$X:$X,'Summary - $ &amp; m3'!$A:$A,L$1,'Summary - $ &amp; m3'!$C:$C,$A16)+SUMIFS('Summary - $ &amp; m3'!$X:$X,'Summary - $ &amp; m3'!$A:$A,L$1,'Summary - $ &amp; m3'!$C:$C,$B16)</f>
        <v>9329177</v>
      </c>
      <c r="M16" s="12">
        <f>SUMIFS('Summary - $ &amp; m3'!$H:$H,'Summary - $ &amp; m3'!$A:$A,M$1,'Summary - $ &amp; m3'!$C:$C,$A16)+SUMIFS('Summary - $ &amp; m3'!$H:$H,'Summary - $ &amp; m3'!$A:$A,M$1,'Summary - $ &amp; m3'!$C:$C,$B16)</f>
        <v>2478385.1158999996</v>
      </c>
      <c r="N16" s="13">
        <f t="shared" si="18"/>
        <v>3.7642160373498719</v>
      </c>
      <c r="O16" s="12">
        <f>SUMIFS('Summary - $ &amp; m3'!$P:$P,'Summary - $ &amp; m3'!$A:$A,O$1,'Summary - $ &amp; m3'!$C:$C,$A16)+SUMIFS('Summary - $ &amp; m3'!$P:$P,'Summary - $ &amp; m3'!$A:$A,O$1,'Summary - $ &amp; m3'!$C:$C,$B16)</f>
        <v>41675328.723999999</v>
      </c>
      <c r="P16" s="13">
        <f>IFERROR(L16/O16,"-")</f>
        <v>0.22385371119166508</v>
      </c>
      <c r="R16" s="20" t="s">
        <v>21</v>
      </c>
      <c r="S16" s="46">
        <f>SUMIFS('Summary - $ &amp; m3'!$X:$X,'Summary - $ &amp; m3'!$A:$A,S$1,'Summary - $ &amp; m3'!$C:$C,$A16)+SUMIFS('Summary - $ &amp; m3'!$X:$X,'Summary - $ &amp; m3'!$A:$A,S$1,'Summary - $ &amp; m3'!$C:$C,$B16)</f>
        <v>10274013</v>
      </c>
      <c r="T16" s="12">
        <f>SUMIFS('Summary - $ &amp; m3'!$H:$H,'Summary - $ &amp; m3'!$A:$A,T$1,'Summary - $ &amp; m3'!$C:$C,$A16)+SUMIFS('Summary - $ &amp; m3'!$H:$H,'Summary - $ &amp; m3'!$A:$A,T$1,'Summary - $ &amp; m3'!$C:$C,$B16)</f>
        <v>2508341.6248999997</v>
      </c>
      <c r="U16" s="13">
        <f t="shared" si="19"/>
        <v>4.0959384870111526</v>
      </c>
      <c r="V16" s="12">
        <f>SUMIFS('Summary - $ &amp; m3'!$P:$P,'Summary - $ &amp; m3'!$A:$A,V$1,'Summary - $ &amp; m3'!$C:$C,$A16)+SUMIFS('Summary - $ &amp; m3'!$P:$P,'Summary - $ &amp; m3'!$A:$A,V$1,'Summary - $ &amp; m3'!$C:$C,$B16)</f>
        <v>42240007.454499997</v>
      </c>
      <c r="W16" s="13">
        <f>IFERROR(S16/V16,"-")</f>
        <v>0.24322943150677565</v>
      </c>
      <c r="Y16" s="20" t="s">
        <v>21</v>
      </c>
      <c r="Z16" s="46">
        <f>SUMIFS('Summary - $ &amp; m3'!$X:$X,'Summary - $ &amp; m3'!$A:$A,Z$1,'Summary - $ &amp; m3'!$C:$C,$A16)+SUMIFS('Summary - $ &amp; m3'!$X:$X,'Summary - $ &amp; m3'!$A:$A,Z$1,'Summary - $ &amp; m3'!$C:$C,$B16)</f>
        <v>10818179</v>
      </c>
      <c r="AA16" s="12">
        <f>SUMIFS('Summary - $ &amp; m3'!$H:$H,'Summary - $ &amp; m3'!$A:$A,AA$1,'Summary - $ &amp; m3'!$C:$C,$A16)+SUMIFS('Summary - $ &amp; m3'!$H:$H,'Summary - $ &amp; m3'!$A:$A,AA$1,'Summary - $ &amp; m3'!$C:$C,$B16)</f>
        <v>2511673.0541999997</v>
      </c>
      <c r="AB16" s="13">
        <f t="shared" si="20"/>
        <v>4.3071605127546064</v>
      </c>
      <c r="AC16" s="12">
        <f>SUMIFS('Summary - $ &amp; m3'!$P:$P,'Summary - $ &amp; m3'!$A:$A,AC$1,'Summary - $ &amp; m3'!$C:$C,$A16)+SUMIFS('Summary - $ &amp; m3'!$P:$P,'Summary - $ &amp; m3'!$A:$A,AC$1,'Summary - $ &amp; m3'!$C:$C,$B16)</f>
        <v>42331209.357999995</v>
      </c>
      <c r="AD16" s="13">
        <f>IFERROR(Z16/AC16,"-")</f>
        <v>0.25556035757233847</v>
      </c>
    </row>
    <row r="17" spans="1:30" x14ac:dyDescent="0.25">
      <c r="A17" s="61" t="s">
        <v>23</v>
      </c>
      <c r="B17" s="61"/>
      <c r="D17" s="21" t="s">
        <v>136</v>
      </c>
      <c r="E17" s="46">
        <f>SUMIFS('Summary - $ &amp; m3'!$X:$X,'Summary - $ &amp; m3'!$A:$A,E$1,'Summary - $ &amp; m3'!$C:$C,$A17)+SUMIFS('Summary - $ &amp; m3'!$X:$X,'Summary - $ &amp; m3'!$A:$A,E$1,'Summary - $ &amp; m3'!$C:$C,$B17)</f>
        <v>1838341</v>
      </c>
      <c r="F17" s="12" t="s">
        <v>235</v>
      </c>
      <c r="G17" s="12" t="s">
        <v>235</v>
      </c>
      <c r="H17" s="12" t="s">
        <v>251</v>
      </c>
      <c r="I17" s="12" t="s">
        <v>251</v>
      </c>
      <c r="K17" s="21" t="s">
        <v>136</v>
      </c>
      <c r="L17" s="46">
        <f>SUMIFS('Summary - $ &amp; m3'!$X:$X,'Summary - $ &amp; m3'!$A:$A,L$1,'Summary - $ &amp; m3'!$C:$C,$A17)+SUMIFS('Summary - $ &amp; m3'!$X:$X,'Summary - $ &amp; m3'!$A:$A,L$1,'Summary - $ &amp; m3'!$C:$C,$B17)</f>
        <v>1869961</v>
      </c>
      <c r="M17" s="12" t="s">
        <v>235</v>
      </c>
      <c r="N17" s="12" t="s">
        <v>235</v>
      </c>
      <c r="O17" s="12" t="s">
        <v>251</v>
      </c>
      <c r="P17" s="12" t="s">
        <v>251</v>
      </c>
      <c r="R17" s="21" t="s">
        <v>136</v>
      </c>
      <c r="S17" s="46">
        <f>SUMIFS('Summary - $ &amp; m3'!$X:$X,'Summary - $ &amp; m3'!$A:$A,S$1,'Summary - $ &amp; m3'!$C:$C,$A17)+SUMIFS('Summary - $ &amp; m3'!$X:$X,'Summary - $ &amp; m3'!$A:$A,S$1,'Summary - $ &amp; m3'!$C:$C,$B17)</f>
        <v>1902125</v>
      </c>
      <c r="T17" s="12" t="s">
        <v>235</v>
      </c>
      <c r="U17" s="12" t="s">
        <v>235</v>
      </c>
      <c r="V17" s="12" t="s">
        <v>251</v>
      </c>
      <c r="W17" s="12" t="s">
        <v>251</v>
      </c>
      <c r="Y17" s="21" t="s">
        <v>136</v>
      </c>
      <c r="Z17" s="46">
        <f>SUMIFS('Summary - $ &amp; m3'!$X:$X,'Summary - $ &amp; m3'!$A:$A,Z$1,'Summary - $ &amp; m3'!$C:$C,$A17)+SUMIFS('Summary - $ &amp; m3'!$X:$X,'Summary - $ &amp; m3'!$A:$A,Z$1,'Summary - $ &amp; m3'!$C:$C,$B17)</f>
        <v>1934841</v>
      </c>
      <c r="AA17" s="12" t="s">
        <v>235</v>
      </c>
      <c r="AB17" s="12" t="s">
        <v>235</v>
      </c>
      <c r="AC17" s="12" t="s">
        <v>251</v>
      </c>
      <c r="AD17" s="12" t="s">
        <v>251</v>
      </c>
    </row>
    <row r="18" spans="1:30" x14ac:dyDescent="0.25">
      <c r="A18" s="61" t="s">
        <v>138</v>
      </c>
      <c r="B18" s="61"/>
      <c r="D18" s="24" t="s">
        <v>138</v>
      </c>
      <c r="E18" s="45">
        <f>SUM(E19:E27)</f>
        <v>43048033</v>
      </c>
      <c r="F18" s="25">
        <f>SUM(F19:F27)</f>
        <v>29114672.08387788</v>
      </c>
      <c r="G18" s="26">
        <f t="shared" ref="G18:G24" si="21">IFERROR(E18/F18,"-")</f>
        <v>1.4785683615457121</v>
      </c>
      <c r="H18" s="25">
        <f>SUM(H19:H27)</f>
        <v>413533581.23366952</v>
      </c>
      <c r="I18" s="26">
        <f t="shared" ref="I18:I24" si="22">IFERROR(E18/H18,"-")</f>
        <v>0.10409803448507719</v>
      </c>
      <c r="K18" s="24" t="s">
        <v>138</v>
      </c>
      <c r="L18" s="45">
        <f>SUM(L19:L27)</f>
        <v>48468329</v>
      </c>
      <c r="M18" s="25">
        <f>SUM(M19:M27)</f>
        <v>32858094.778249655</v>
      </c>
      <c r="N18" s="26">
        <f t="shared" ref="N18:N24" si="23">IFERROR(L18/M18,"-")</f>
        <v>1.4750803212145918</v>
      </c>
      <c r="O18" s="25">
        <f>SUM(O19:O27)</f>
        <v>467900643.05079925</v>
      </c>
      <c r="P18" s="26">
        <f t="shared" ref="P18:P24" si="24">IFERROR(L18/O18,"-")</f>
        <v>0.1035867971541511</v>
      </c>
      <c r="R18" s="24" t="s">
        <v>138</v>
      </c>
      <c r="S18" s="45">
        <f>SUM(S19:S27)</f>
        <v>52453915</v>
      </c>
      <c r="T18" s="25">
        <f>SUM(T19:T27)</f>
        <v>35469570.480942838</v>
      </c>
      <c r="U18" s="26">
        <f t="shared" ref="U18:U24" si="25">IFERROR(S18/T18,"-")</f>
        <v>1.4788426893464228</v>
      </c>
      <c r="V18" s="25">
        <f>SUM(V19:V27)</f>
        <v>506150738.21294439</v>
      </c>
      <c r="W18" s="26">
        <f t="shared" ref="W18:W24" si="26">IFERROR(S18/V18,"-")</f>
        <v>0.10363299120178689</v>
      </c>
      <c r="Y18" s="24" t="s">
        <v>138</v>
      </c>
      <c r="Z18" s="45">
        <f>SUM(Z19:Z27)</f>
        <v>55837414</v>
      </c>
      <c r="AA18" s="25">
        <f>SUM(AA19:AA27)</f>
        <v>37305908.0415892</v>
      </c>
      <c r="AB18" s="26">
        <f t="shared" ref="AB18:AB24" si="27">IFERROR(Z18/AA18,"-")</f>
        <v>1.4967445354165241</v>
      </c>
      <c r="AC18" s="25">
        <f>SUM(AC19:AC27)</f>
        <v>533168779.82555848</v>
      </c>
      <c r="AD18" s="26">
        <f t="shared" ref="AD18:AD24" si="28">IFERROR(Z18/AC18,"-")</f>
        <v>0.10472746363406503</v>
      </c>
    </row>
    <row r="19" spans="1:30" x14ac:dyDescent="0.25">
      <c r="A19" s="61" t="s">
        <v>9</v>
      </c>
      <c r="B19" s="61"/>
      <c r="D19" s="20" t="s">
        <v>9</v>
      </c>
      <c r="E19" s="46">
        <f>SUMIFS('Summary - $ &amp; m3'!$X:$X,'Summary - $ &amp; m3'!$A:$A,E$1,'Summary - $ &amp; m3'!$C:$C,$A19)+SUMIFS('Summary - $ &amp; m3'!$X:$X,'Summary - $ &amp; m3'!$A:$A,E$1,'Summary - $ &amp; m3'!$C:$C,$B19)</f>
        <v>14799782</v>
      </c>
      <c r="F19" s="12">
        <f>SUMIFS('Summary - $ &amp; m3'!$H:$H,'Summary - $ &amp; m3'!$A:$A,F$1,'Summary - $ &amp; m3'!$C:$C,$A19)+SUMIFS('Summary - $ &amp; m3'!$H:$H,'Summary - $ &amp; m3'!$A:$A,F$1,'Summary - $ &amp; m3'!$C:$C,$B19)</f>
        <v>17612901.980007812</v>
      </c>
      <c r="G19" s="13">
        <f t="shared" si="21"/>
        <v>0.84028072243853114</v>
      </c>
      <c r="H19" s="12">
        <f>SUMIFS('Summary - $ &amp; m3'!$P:$P,'Summary - $ &amp; m3'!$A:$A,H$1,'Summary - $ &amp; m3'!$C:$C,$A19)+SUMIFS('Summary - $ &amp; m3'!$P:$P,'Summary - $ &amp; m3'!$A:$A,H$1,'Summary - $ &amp; m3'!$C:$C,$B19)</f>
        <v>269281638.3666836</v>
      </c>
      <c r="I19" s="13">
        <f t="shared" si="22"/>
        <v>5.4960234532764475E-2</v>
      </c>
      <c r="K19" s="20" t="s">
        <v>9</v>
      </c>
      <c r="L19" s="46">
        <f>SUMIFS('Summary - $ &amp; m3'!$X:$X,'Summary - $ &amp; m3'!$A:$A,L$1,'Summary - $ &amp; m3'!$C:$C,$A19)+SUMIFS('Summary - $ &amp; m3'!$X:$X,'Summary - $ &amp; m3'!$A:$A,L$1,'Summary - $ &amp; m3'!$C:$C,$B19)</f>
        <v>17352222</v>
      </c>
      <c r="M19" s="12">
        <f>SUMIFS('Summary - $ &amp; m3'!$H:$H,'Summary - $ &amp; m3'!$A:$A,M$1,'Summary - $ &amp; m3'!$C:$C,$A19)+SUMIFS('Summary - $ &amp; m3'!$H:$H,'Summary - $ &amp; m3'!$A:$A,M$1,'Summary - $ &amp; m3'!$C:$C,$B19)</f>
        <v>19948799.822119839</v>
      </c>
      <c r="N19" s="13">
        <f t="shared" si="23"/>
        <v>0.86983789274176415</v>
      </c>
      <c r="O19" s="12">
        <f>SUMIFS('Summary - $ &amp; m3'!$P:$P,'Summary - $ &amp; m3'!$A:$A,O$1,'Summary - $ &amp; m3'!$C:$C,$A19)+SUMIFS('Summary - $ &amp; m3'!$P:$P,'Summary - $ &amp; m3'!$A:$A,O$1,'Summary - $ &amp; m3'!$C:$C,$B19)</f>
        <v>306619454.50186235</v>
      </c>
      <c r="P19" s="13">
        <f t="shared" si="24"/>
        <v>5.6592045107479005E-2</v>
      </c>
      <c r="R19" s="20" t="s">
        <v>9</v>
      </c>
      <c r="S19" s="46">
        <f>SUMIFS('Summary - $ &amp; m3'!$X:$X,'Summary - $ &amp; m3'!$A:$A,S$1,'Summary - $ &amp; m3'!$C:$C,$A19)+SUMIFS('Summary - $ &amp; m3'!$X:$X,'Summary - $ &amp; m3'!$A:$A,S$1,'Summary - $ &amp; m3'!$C:$C,$B19)</f>
        <v>19123676</v>
      </c>
      <c r="T19" s="12">
        <f>SUMIFS('Summary - $ &amp; m3'!$H:$H,'Summary - $ &amp; m3'!$A:$A,T$1,'Summary - $ &amp; m3'!$C:$C,$A19)+SUMIFS('Summary - $ &amp; m3'!$H:$H,'Summary - $ &amp; m3'!$A:$A,T$1,'Summary - $ &amp; m3'!$C:$C,$B19)</f>
        <v>21570369.758018624</v>
      </c>
      <c r="U19" s="13">
        <f t="shared" si="25"/>
        <v>0.88657154302563201</v>
      </c>
      <c r="V19" s="12">
        <f>SUMIFS('Summary - $ &amp; m3'!$P:$P,'Summary - $ &amp; m3'!$A:$A,V$1,'Summary - $ &amp; m3'!$C:$C,$A19)+SUMIFS('Summary - $ &amp; m3'!$P:$P,'Summary - $ &amp; m3'!$A:$A,V$1,'Summary - $ &amp; m3'!$C:$C,$B19)</f>
        <v>332039600.57369167</v>
      </c>
      <c r="W19" s="13">
        <f t="shared" si="26"/>
        <v>5.7594563922370945E-2</v>
      </c>
      <c r="Y19" s="20" t="s">
        <v>9</v>
      </c>
      <c r="Z19" s="46">
        <f>SUMIFS('Summary - $ &amp; m3'!$X:$X,'Summary - $ &amp; m3'!$A:$A,Z$1,'Summary - $ &amp; m3'!$C:$C,$A19)+SUMIFS('Summary - $ &amp; m3'!$X:$X,'Summary - $ &amp; m3'!$A:$A,Z$1,'Summary - $ &amp; m3'!$C:$C,$B19)</f>
        <v>20784287</v>
      </c>
      <c r="AA19" s="12">
        <f>SUMIFS('Summary - $ &amp; m3'!$H:$H,'Summary - $ &amp; m3'!$A:$A,AA$1,'Summary - $ &amp; m3'!$C:$C,$A19)+SUMIFS('Summary - $ &amp; m3'!$H:$H,'Summary - $ &amp; m3'!$A:$A,AA$1,'Summary - $ &amp; m3'!$C:$C,$B19)</f>
        <v>22799106.096814446</v>
      </c>
      <c r="AB19" s="13">
        <f t="shared" si="27"/>
        <v>0.91162727660204357</v>
      </c>
      <c r="AC19" s="12">
        <f>SUMIFS('Summary - $ &amp; m3'!$P:$P,'Summary - $ &amp; m3'!$A:$A,AC$1,'Summary - $ &amp; m3'!$C:$C,$A19)+SUMIFS('Summary - $ &amp; m3'!$P:$P,'Summary - $ &amp; m3'!$A:$A,AC$1,'Summary - $ &amp; m3'!$C:$C,$B19)</f>
        <v>351049230.70933998</v>
      </c>
      <c r="AD19" s="13">
        <f t="shared" si="28"/>
        <v>5.9206188710348925E-2</v>
      </c>
    </row>
    <row r="20" spans="1:30" x14ac:dyDescent="0.25">
      <c r="A20" s="61" t="s">
        <v>163</v>
      </c>
      <c r="B20" s="61"/>
      <c r="D20" s="20" t="s">
        <v>163</v>
      </c>
      <c r="E20" s="46">
        <f>SUMIFS('Summary - $ &amp; m3'!$X:$X,'Summary - $ &amp; m3'!$A:$A,E$1,'Summary - $ &amp; m3'!$C:$C,$A20)+SUMIFS('Summary - $ &amp; m3'!$X:$X,'Summary - $ &amp; m3'!$A:$A,E$1,'Summary - $ &amp; m3'!$C:$C,$B20)</f>
        <v>4853186</v>
      </c>
      <c r="F20" s="12">
        <f>SUMIFS('Summary - $ &amp; m3'!$H:$H,'Summary - $ &amp; m3'!$A:$A,F$1,'Summary - $ &amp; m3'!$C:$C,$A20)+SUMIFS('Summary - $ &amp; m3'!$H:$H,'Summary - $ &amp; m3'!$A:$A,F$1,'Summary - $ &amp; m3'!$C:$C,$B20)</f>
        <v>3145180.8974258802</v>
      </c>
      <c r="G20" s="13">
        <f t="shared" si="21"/>
        <v>1.5430546471816637</v>
      </c>
      <c r="H20" s="12">
        <f>SUMIFS('Summary - $ &amp; m3'!$P:$P,'Summary - $ &amp; m3'!$A:$A,H$1,'Summary - $ &amp; m3'!$C:$C,$A20)+SUMIFS('Summary - $ &amp; m3'!$P:$P,'Summary - $ &amp; m3'!$A:$A,H$1,'Summary - $ &amp; m3'!$C:$C,$B20)</f>
        <v>43435618.150065243</v>
      </c>
      <c r="I20" s="13">
        <f t="shared" si="22"/>
        <v>0.11173286364275467</v>
      </c>
      <c r="K20" s="20" t="s">
        <v>163</v>
      </c>
      <c r="L20" s="46">
        <f>SUMIFS('Summary - $ &amp; m3'!$X:$X,'Summary - $ &amp; m3'!$A:$A,L$1,'Summary - $ &amp; m3'!$C:$C,$A20)+SUMIFS('Summary - $ &amp; m3'!$X:$X,'Summary - $ &amp; m3'!$A:$A,L$1,'Summary - $ &amp; m3'!$C:$C,$B20)</f>
        <v>5418064</v>
      </c>
      <c r="M20" s="12">
        <f>SUMIFS('Summary - $ &amp; m3'!$H:$H,'Summary - $ &amp; m3'!$A:$A,M$1,'Summary - $ &amp; m3'!$C:$C,$A20)+SUMIFS('Summary - $ &amp; m3'!$H:$H,'Summary - $ &amp; m3'!$A:$A,M$1,'Summary - $ &amp; m3'!$C:$C,$B20)</f>
        <v>3474427.4432333936</v>
      </c>
      <c r="N20" s="13">
        <f t="shared" si="23"/>
        <v>1.5594120437172829</v>
      </c>
      <c r="O20" s="12">
        <f>SUMIFS('Summary - $ &amp; m3'!$P:$P,'Summary - $ &amp; m3'!$A:$A,O$1,'Summary - $ &amp; m3'!$C:$C,$A20)+SUMIFS('Summary - $ &amp; m3'!$P:$P,'Summary - $ &amp; m3'!$A:$A,O$1,'Summary - $ &amp; m3'!$C:$C,$B20)</f>
        <v>48012042.131662019</v>
      </c>
      <c r="P20" s="13">
        <f t="shared" si="24"/>
        <v>0.11284802227620733</v>
      </c>
      <c r="R20" s="20" t="s">
        <v>163</v>
      </c>
      <c r="S20" s="46">
        <f>SUMIFS('Summary - $ &amp; m3'!$X:$X,'Summary - $ &amp; m3'!$A:$A,S$1,'Summary - $ &amp; m3'!$C:$C,$A20)+SUMIFS('Summary - $ &amp; m3'!$X:$X,'Summary - $ &amp; m3'!$A:$A,S$1,'Summary - $ &amp; m3'!$C:$C,$B20)</f>
        <v>6024069</v>
      </c>
      <c r="T20" s="12">
        <f>SUMIFS('Summary - $ &amp; m3'!$H:$H,'Summary - $ &amp; m3'!$A:$A,T$1,'Summary - $ &amp; m3'!$C:$C,$A20)+SUMIFS('Summary - $ &amp; m3'!$H:$H,'Summary - $ &amp; m3'!$A:$A,T$1,'Summary - $ &amp; m3'!$C:$C,$B20)</f>
        <v>3818289.6984629072</v>
      </c>
      <c r="U20" s="13">
        <f t="shared" si="25"/>
        <v>1.5776877805853895</v>
      </c>
      <c r="V20" s="12">
        <f>SUMIFS('Summary - $ &amp; m3'!$P:$P,'Summary - $ &amp; m3'!$A:$A,V$1,'Summary - $ &amp; m3'!$C:$C,$A20)+SUMIFS('Summary - $ &amp; m3'!$P:$P,'Summary - $ &amp; m3'!$A:$A,V$1,'Summary - $ &amp; m3'!$C:$C,$B20)</f>
        <v>52765192.680396818</v>
      </c>
      <c r="W20" s="13">
        <f t="shared" si="26"/>
        <v>0.11416747848317904</v>
      </c>
      <c r="Y20" s="20" t="s">
        <v>163</v>
      </c>
      <c r="Z20" s="46">
        <f>SUMIFS('Summary - $ &amp; m3'!$X:$X,'Summary - $ &amp; m3'!$A:$A,Z$1,'Summary - $ &amp; m3'!$C:$C,$A20)+SUMIFS('Summary - $ &amp; m3'!$X:$X,'Summary - $ &amp; m3'!$A:$A,Z$1,'Summary - $ &amp; m3'!$C:$C,$B20)</f>
        <v>6422701</v>
      </c>
      <c r="AA20" s="12">
        <f>SUMIFS('Summary - $ &amp; m3'!$H:$H,'Summary - $ &amp; m3'!$A:$A,AA$1,'Summary - $ &amp; m3'!$C:$C,$A20)+SUMIFS('Summary - $ &amp; m3'!$H:$H,'Summary - $ &amp; m3'!$A:$A,AA$1,'Summary - $ &amp; m3'!$C:$C,$B20)</f>
        <v>4011725.1362350872</v>
      </c>
      <c r="AB20" s="13">
        <f t="shared" si="27"/>
        <v>1.6009823160585619</v>
      </c>
      <c r="AC20" s="12">
        <f>SUMIFS('Summary - $ &amp; m3'!$P:$P,'Summary - $ &amp; m3'!$A:$A,AC$1,'Summary - $ &amp; m3'!$C:$C,$A20)+SUMIFS('Summary - $ &amp; m3'!$P:$P,'Summary - $ &amp; m3'!$A:$A,AC$1,'Summary - $ &amp; m3'!$C:$C,$B20)</f>
        <v>55474690.790175922</v>
      </c>
      <c r="AD20" s="13">
        <f t="shared" si="28"/>
        <v>0.11577713924161978</v>
      </c>
    </row>
    <row r="21" spans="1:30" x14ac:dyDescent="0.25">
      <c r="A21" s="61" t="s">
        <v>164</v>
      </c>
      <c r="B21" s="61"/>
      <c r="D21" s="20" t="s">
        <v>164</v>
      </c>
      <c r="E21" s="46">
        <f>SUMIFS('Summary - $ &amp; m3'!$X:$X,'Summary - $ &amp; m3'!$A:$A,E$1,'Summary - $ &amp; m3'!$C:$C,$A21)+SUMIFS('Summary - $ &amp; m3'!$X:$X,'Summary - $ &amp; m3'!$A:$A,E$1,'Summary - $ &amp; m3'!$C:$C,$B21)</f>
        <v>10952133</v>
      </c>
      <c r="F21" s="12">
        <f>SUMIFS('Summary - $ &amp; m3'!$H:$H,'Summary - $ &amp; m3'!$A:$A,F$1,'Summary - $ &amp; m3'!$C:$C,$A21)+SUMIFS('Summary - $ &amp; m3'!$H:$H,'Summary - $ &amp; m3'!$A:$A,F$1,'Summary - $ &amp; m3'!$C:$C,$B21)</f>
        <v>6227205.2764457874</v>
      </c>
      <c r="G21" s="13">
        <f t="shared" si="21"/>
        <v>1.7587557361287103</v>
      </c>
      <c r="H21" s="12">
        <f>SUMIFS('Summary - $ &amp; m3'!$P:$P,'Summary - $ &amp; m3'!$A:$A,H$1,'Summary - $ &amp; m3'!$C:$C,$A21)+SUMIFS('Summary - $ &amp; m3'!$P:$P,'Summary - $ &amp; m3'!$A:$A,H$1,'Summary - $ &amp; m3'!$C:$C,$B21)</f>
        <v>75400468.342467129</v>
      </c>
      <c r="I21" s="13">
        <f t="shared" si="22"/>
        <v>0.14525285108649025</v>
      </c>
      <c r="K21" s="20" t="s">
        <v>164</v>
      </c>
      <c r="L21" s="46">
        <f>SUMIFS('Summary - $ &amp; m3'!$X:$X,'Summary - $ &amp; m3'!$A:$A,L$1,'Summary - $ &amp; m3'!$C:$C,$A21)+SUMIFS('Summary - $ &amp; m3'!$X:$X,'Summary - $ &amp; m3'!$A:$A,L$1,'Summary - $ &amp; m3'!$C:$C,$B21)</f>
        <v>12354268</v>
      </c>
      <c r="M21" s="12">
        <f>SUMIFS('Summary - $ &amp; m3'!$H:$H,'Summary - $ &amp; m3'!$A:$A,M$1,'Summary - $ &amp; m3'!$C:$C,$A21)+SUMIFS('Summary - $ &amp; m3'!$H:$H,'Summary - $ &amp; m3'!$A:$A,M$1,'Summary - $ &amp; m3'!$C:$C,$B21)</f>
        <v>6903154.7146677971</v>
      </c>
      <c r="N21" s="13">
        <f t="shared" si="23"/>
        <v>1.7896553837551545</v>
      </c>
      <c r="O21" s="12">
        <f>SUMIFS('Summary - $ &amp; m3'!$P:$P,'Summary - $ &amp; m3'!$A:$A,O$1,'Summary - $ &amp; m3'!$C:$C,$A21)+SUMIFS('Summary - $ &amp; m3'!$P:$P,'Summary - $ &amp; m3'!$A:$A,O$1,'Summary - $ &amp; m3'!$C:$C,$B21)</f>
        <v>83465972.869826123</v>
      </c>
      <c r="P21" s="13">
        <f t="shared" si="24"/>
        <v>0.14801562331595616</v>
      </c>
      <c r="R21" s="20" t="s">
        <v>164</v>
      </c>
      <c r="S21" s="46">
        <f>SUMIFS('Summary - $ &amp; m3'!$X:$X,'Summary - $ &amp; m3'!$A:$A,S$1,'Summary - $ &amp; m3'!$C:$C,$A21)+SUMIFS('Summary - $ &amp; m3'!$X:$X,'Summary - $ &amp; m3'!$A:$A,S$1,'Summary - $ &amp; m3'!$C:$C,$B21)</f>
        <v>13247218</v>
      </c>
      <c r="T21" s="12">
        <f>SUMIFS('Summary - $ &amp; m3'!$H:$H,'Summary - $ &amp; m3'!$A:$A,T$1,'Summary - $ &amp; m3'!$C:$C,$A21)+SUMIFS('Summary - $ &amp; m3'!$H:$H,'Summary - $ &amp; m3'!$A:$A,T$1,'Summary - $ &amp; m3'!$C:$C,$B21)</f>
        <v>7263120.1553304363</v>
      </c>
      <c r="U21" s="13">
        <f t="shared" si="25"/>
        <v>1.8239018103366784</v>
      </c>
      <c r="V21" s="12">
        <f>SUMIFS('Summary - $ &amp; m3'!$P:$P,'Summary - $ &amp; m3'!$A:$A,V$1,'Summary - $ &amp; m3'!$C:$C,$A21)+SUMIFS('Summary - $ &amp; m3'!$P:$P,'Summary - $ &amp; m3'!$A:$A,V$1,'Summary - $ &amp; m3'!$C:$C,$B21)</f>
        <v>87825645.634091377</v>
      </c>
      <c r="W21" s="13">
        <f t="shared" si="26"/>
        <v>0.15083541833773678</v>
      </c>
      <c r="Y21" s="20" t="s">
        <v>164</v>
      </c>
      <c r="Z21" s="46">
        <f>SUMIFS('Summary - $ &amp; m3'!$X:$X,'Summary - $ &amp; m3'!$A:$A,Z$1,'Summary - $ &amp; m3'!$C:$C,$A21)+SUMIFS('Summary - $ &amp; m3'!$X:$X,'Summary - $ &amp; m3'!$A:$A,Z$1,'Summary - $ &amp; m3'!$C:$C,$B21)</f>
        <v>13880238</v>
      </c>
      <c r="AA21" s="12">
        <f>SUMIFS('Summary - $ &amp; m3'!$H:$H,'Summary - $ &amp; m3'!$A:$A,AA$1,'Summary - $ &amp; m3'!$C:$C,$A21)+SUMIFS('Summary - $ &amp; m3'!$H:$H,'Summary - $ &amp; m3'!$A:$A,AA$1,'Summary - $ &amp; m3'!$C:$C,$B21)</f>
        <v>7447854.4333298001</v>
      </c>
      <c r="AB21" s="13">
        <f t="shared" si="27"/>
        <v>1.86365591919798</v>
      </c>
      <c r="AC21" s="12">
        <f>SUMIFS('Summary - $ &amp; m3'!$P:$P,'Summary - $ &amp; m3'!$A:$A,AC$1,'Summary - $ &amp; m3'!$C:$C,$A21)+SUMIFS('Summary - $ &amp; m3'!$P:$P,'Summary - $ &amp; m3'!$A:$A,AC$1,'Summary - $ &amp; m3'!$C:$C,$B21)</f>
        <v>90101927.757835031</v>
      </c>
      <c r="AD21" s="13">
        <f t="shared" si="28"/>
        <v>0.15405039986830926</v>
      </c>
    </row>
    <row r="22" spans="1:30" x14ac:dyDescent="0.25">
      <c r="A22" s="61" t="s">
        <v>165</v>
      </c>
      <c r="B22" s="61"/>
      <c r="D22" s="20" t="s">
        <v>165</v>
      </c>
      <c r="E22" s="46">
        <f>SUMIFS('Summary - $ &amp; m3'!$X:$X,'Summary - $ &amp; m3'!$A:$A,E$1,'Summary - $ &amp; m3'!$C:$C,$A22)+SUMIFS('Summary - $ &amp; m3'!$X:$X,'Summary - $ &amp; m3'!$A:$A,E$1,'Summary - $ &amp; m3'!$C:$C,$B22)</f>
        <v>3357178</v>
      </c>
      <c r="F22" s="12">
        <f>SUMIFS('Summary - $ &amp; m3'!$H:$H,'Summary - $ &amp; m3'!$A:$A,F$1,'Summary - $ &amp; m3'!$C:$C,$A22)+SUMIFS('Summary - $ &amp; m3'!$H:$H,'Summary - $ &amp; m3'!$A:$A,F$1,'Summary - $ &amp; m3'!$C:$C,$B22)</f>
        <v>1897555.8749230783</v>
      </c>
      <c r="G22" s="13">
        <f t="shared" si="21"/>
        <v>1.7692116708479484</v>
      </c>
      <c r="H22" s="12">
        <f>SUMIFS('Summary - $ &amp; m3'!$P:$P,'Summary - $ &amp; m3'!$A:$A,H$1,'Summary - $ &amp; m3'!$C:$C,$A22)+SUMIFS('Summary - $ &amp; m3'!$P:$P,'Summary - $ &amp; m3'!$A:$A,H$1,'Summary - $ &amp; m3'!$C:$C,$B22)</f>
        <v>23819561.699076939</v>
      </c>
      <c r="I22" s="13">
        <f t="shared" si="22"/>
        <v>0.14094205604673649</v>
      </c>
      <c r="K22" s="20" t="s">
        <v>165</v>
      </c>
      <c r="L22" s="46">
        <f>SUMIFS('Summary - $ &amp; m3'!$X:$X,'Summary - $ &amp; m3'!$A:$A,L$1,'Summary - $ &amp; m3'!$C:$C,$A22)+SUMIFS('Summary - $ &amp; m3'!$X:$X,'Summary - $ &amp; m3'!$A:$A,L$1,'Summary - $ &amp; m3'!$C:$C,$B22)</f>
        <v>3910928</v>
      </c>
      <c r="M22" s="12">
        <f>SUMIFS('Summary - $ &amp; m3'!$H:$H,'Summary - $ &amp; m3'!$A:$A,M$1,'Summary - $ &amp; m3'!$C:$C,$A22)+SUMIFS('Summary - $ &amp; m3'!$H:$H,'Summary - $ &amp; m3'!$A:$A,M$1,'Summary - $ &amp; m3'!$C:$C,$B22)</f>
        <v>2186041.6299948758</v>
      </c>
      <c r="N22" s="13">
        <f t="shared" si="23"/>
        <v>1.7890455270100083</v>
      </c>
      <c r="O22" s="12">
        <f>SUMIFS('Summary - $ &amp; m3'!$P:$P,'Summary - $ &amp; m3'!$A:$A,O$1,'Summary - $ &amp; m3'!$C:$C,$A22)+SUMIFS('Summary - $ &amp; m3'!$P:$P,'Summary - $ &amp; m3'!$A:$A,O$1,'Summary - $ &amp; m3'!$C:$C,$B22)</f>
        <v>27438541.706279971</v>
      </c>
      <c r="P22" s="13">
        <f t="shared" si="24"/>
        <v>0.14253410556089757</v>
      </c>
      <c r="R22" s="20" t="s">
        <v>165</v>
      </c>
      <c r="S22" s="46">
        <f>SUMIFS('Summary - $ &amp; m3'!$X:$X,'Summary - $ &amp; m3'!$A:$A,S$1,'Summary - $ &amp; m3'!$C:$C,$A22)+SUMIFS('Summary - $ &amp; m3'!$X:$X,'Summary - $ &amp; m3'!$A:$A,S$1,'Summary - $ &amp; m3'!$C:$C,$B22)</f>
        <v>4321951</v>
      </c>
      <c r="T22" s="12">
        <f>SUMIFS('Summary - $ &amp; m3'!$H:$H,'Summary - $ &amp; m3'!$A:$A,T$1,'Summary - $ &amp; m3'!$C:$C,$A22)+SUMIFS('Summary - $ &amp; m3'!$H:$H,'Summary - $ &amp; m3'!$A:$A,T$1,'Summary - $ &amp; m3'!$C:$C,$B22)</f>
        <v>2404592.3740192219</v>
      </c>
      <c r="U22" s="13">
        <f t="shared" si="25"/>
        <v>1.7973736616223051</v>
      </c>
      <c r="V22" s="12">
        <f>SUMIFS('Summary - $ &amp; m3'!$P:$P,'Summary - $ &amp; m3'!$A:$A,V$1,'Summary - $ &amp; m3'!$C:$C,$A22)+SUMIFS('Summary - $ &amp; m3'!$P:$P,'Summary - $ &amp; m3'!$A:$A,V$1,'Summary - $ &amp; m3'!$C:$C,$B22)</f>
        <v>30181754.849206273</v>
      </c>
      <c r="W22" s="13">
        <f t="shared" si="26"/>
        <v>0.14319747216797965</v>
      </c>
      <c r="Y22" s="20" t="s">
        <v>165</v>
      </c>
      <c r="Z22" s="46">
        <f>SUMIFS('Summary - $ &amp; m3'!$X:$X,'Summary - $ &amp; m3'!$A:$A,Z$1,'Summary - $ &amp; m3'!$C:$C,$A22)+SUMIFS('Summary - $ &amp; m3'!$X:$X,'Summary - $ &amp; m3'!$A:$A,Z$1,'Summary - $ &amp; m3'!$C:$C,$B22)</f>
        <v>4608494</v>
      </c>
      <c r="AA22" s="12">
        <f>SUMIFS('Summary - $ &amp; m3'!$H:$H,'Summary - $ &amp; m3'!$A:$A,AA$1,'Summary - $ &amp; m3'!$C:$C,$A22)+SUMIFS('Summary - $ &amp; m3'!$H:$H,'Summary - $ &amp; m3'!$A:$A,AA$1,'Summary - $ &amp; m3'!$C:$C,$B22)</f>
        <v>2525597.63058706</v>
      </c>
      <c r="AB22" s="13">
        <f t="shared" si="27"/>
        <v>1.8247142554250746</v>
      </c>
      <c r="AC22" s="12">
        <f>SUMIFS('Summary - $ &amp; m3'!$P:$P,'Summary - $ &amp; m3'!$A:$A,AC$1,'Summary - $ &amp; m3'!$C:$C,$A22)+SUMIFS('Summary - $ &amp; m3'!$P:$P,'Summary - $ &amp; m3'!$A:$A,AC$1,'Summary - $ &amp; m3'!$C:$C,$B22)</f>
        <v>31699602.045093495</v>
      </c>
      <c r="AD22" s="13">
        <f t="shared" si="28"/>
        <v>0.1453801846926753</v>
      </c>
    </row>
    <row r="23" spans="1:30" x14ac:dyDescent="0.25">
      <c r="A23" s="61" t="s">
        <v>166</v>
      </c>
      <c r="B23" s="61"/>
      <c r="D23" s="20" t="s">
        <v>166</v>
      </c>
      <c r="E23" s="46">
        <f>SUMIFS('Summary - $ &amp; m3'!$X:$X,'Summary - $ &amp; m3'!$A:$A,E$1,'Summary - $ &amp; m3'!$C:$C,$A23)+SUMIFS('Summary - $ &amp; m3'!$X:$X,'Summary - $ &amp; m3'!$A:$A,E$1,'Summary - $ &amp; m3'!$C:$C,$B23)</f>
        <v>572930</v>
      </c>
      <c r="F23" s="12">
        <f>SUMIFS('Summary - $ &amp; m3'!$H:$H,'Summary - $ &amp; m3'!$A:$A,F$1,'Summary - $ &amp; m3'!$C:$C,$A23)+SUMIFS('Summary - $ &amp; m3'!$H:$H,'Summary - $ &amp; m3'!$A:$A,F$1,'Summary - $ &amp; m3'!$C:$C,$B23)</f>
        <v>196590.45507531945</v>
      </c>
      <c r="G23" s="13">
        <f t="shared" si="21"/>
        <v>2.9143327420473901</v>
      </c>
      <c r="H23" s="12">
        <f>SUMIFS('Summary - $ &amp; m3'!$P:$P,'Summary - $ &amp; m3'!$A:$A,H$1,'Summary - $ &amp; m3'!$C:$C,$A23)+SUMIFS('Summary - $ &amp; m3'!$P:$P,'Summary - $ &amp; m3'!$A:$A,H$1,'Summary - $ &amp; m3'!$C:$C,$B23)</f>
        <v>982952.27537659719</v>
      </c>
      <c r="I23" s="13">
        <f t="shared" si="22"/>
        <v>0.58286654840947805</v>
      </c>
      <c r="K23" s="20" t="s">
        <v>166</v>
      </c>
      <c r="L23" s="46">
        <f>SUMIFS('Summary - $ &amp; m3'!$X:$X,'Summary - $ &amp; m3'!$A:$A,L$1,'Summary - $ &amp; m3'!$C:$C,$A23)+SUMIFS('Summary - $ &amp; m3'!$X:$X,'Summary - $ &amp; m3'!$A:$A,L$1,'Summary - $ &amp; m3'!$C:$C,$B23)</f>
        <v>723154</v>
      </c>
      <c r="M23" s="12">
        <f>SUMIFS('Summary - $ &amp; m3'!$H:$H,'Summary - $ &amp; m3'!$A:$A,M$1,'Summary - $ &amp; m3'!$C:$C,$A23)+SUMIFS('Summary - $ &amp; m3'!$H:$H,'Summary - $ &amp; m3'!$A:$A,M$1,'Summary - $ &amp; m3'!$C:$C,$B23)</f>
        <v>294499.16823374992</v>
      </c>
      <c r="N23" s="13">
        <f t="shared" si="23"/>
        <v>2.4555383444275742</v>
      </c>
      <c r="O23" s="12">
        <f>SUMIFS('Summary - $ &amp; m3'!$P:$P,'Summary - $ &amp; m3'!$A:$A,O$1,'Summary - $ &amp; m3'!$C:$C,$A23)+SUMIFS('Summary - $ &amp; m3'!$P:$P,'Summary - $ &amp; m3'!$A:$A,O$1,'Summary - $ &amp; m3'!$C:$C,$B23)</f>
        <v>1472495.8411687496</v>
      </c>
      <c r="P23" s="13">
        <f t="shared" si="24"/>
        <v>0.49110766888551488</v>
      </c>
      <c r="R23" s="20" t="s">
        <v>166</v>
      </c>
      <c r="S23" s="46">
        <f>SUMIFS('Summary - $ &amp; m3'!$X:$X,'Summary - $ &amp; m3'!$A:$A,S$1,'Summary - $ &amp; m3'!$C:$C,$A23)+SUMIFS('Summary - $ &amp; m3'!$X:$X,'Summary - $ &amp; m3'!$A:$A,S$1,'Summary - $ &amp; m3'!$C:$C,$B23)</f>
        <v>746073</v>
      </c>
      <c r="T23" s="12">
        <f>SUMIFS('Summary - $ &amp; m3'!$H:$H,'Summary - $ &amp; m3'!$A:$A,T$1,'Summary - $ &amp; m3'!$C:$C,$A23)+SUMIFS('Summary - $ &amp; m3'!$H:$H,'Summary - $ &amp; m3'!$A:$A,T$1,'Summary - $ &amp; m3'!$C:$C,$B23)</f>
        <v>310854.49511165277</v>
      </c>
      <c r="U23" s="13">
        <f t="shared" si="25"/>
        <v>2.4000714537907046</v>
      </c>
      <c r="V23" s="12">
        <f>SUMIFS('Summary - $ &amp; m3'!$P:$P,'Summary - $ &amp; m3'!$A:$A,V$1,'Summary - $ &amp; m3'!$C:$C,$A23)+SUMIFS('Summary - $ &amp; m3'!$P:$P,'Summary - $ &amp; m3'!$A:$A,V$1,'Summary - $ &amp; m3'!$C:$C,$B23)</f>
        <v>1554272.4755582639</v>
      </c>
      <c r="W23" s="13">
        <f t="shared" si="26"/>
        <v>0.48001429075814095</v>
      </c>
      <c r="Y23" s="20" t="s">
        <v>166</v>
      </c>
      <c r="Z23" s="46">
        <f>SUMIFS('Summary - $ &amp; m3'!$X:$X,'Summary - $ &amp; m3'!$A:$A,Z$1,'Summary - $ &amp; m3'!$C:$C,$A23)+SUMIFS('Summary - $ &amp; m3'!$X:$X,'Summary - $ &amp; m3'!$A:$A,Z$1,'Summary - $ &amp; m3'!$C:$C,$B23)</f>
        <v>796291</v>
      </c>
      <c r="AA23" s="12">
        <f>SUMIFS('Summary - $ &amp; m3'!$H:$H,'Summary - $ &amp; m3'!$A:$A,AA$1,'Summary - $ &amp; m3'!$C:$C,$A23)+SUMIFS('Summary - $ &amp; m3'!$H:$H,'Summary - $ &amp; m3'!$A:$A,AA$1,'Summary - $ &amp; m3'!$C:$C,$B23)</f>
        <v>341939.94462281797</v>
      </c>
      <c r="AB23" s="13">
        <f t="shared" si="27"/>
        <v>2.3287451861711004</v>
      </c>
      <c r="AC23" s="12">
        <f>SUMIFS('Summary - $ &amp; m3'!$P:$P,'Summary - $ &amp; m3'!$A:$A,AC$1,'Summary - $ &amp; m3'!$C:$C,$A23)+SUMIFS('Summary - $ &amp; m3'!$P:$P,'Summary - $ &amp; m3'!$A:$A,AC$1,'Summary - $ &amp; m3'!$C:$C,$B23)</f>
        <v>1709699.7231140898</v>
      </c>
      <c r="AD23" s="13">
        <f t="shared" si="28"/>
        <v>0.46574903723422012</v>
      </c>
    </row>
    <row r="24" spans="1:30" x14ac:dyDescent="0.25">
      <c r="A24" s="61" t="s">
        <v>167</v>
      </c>
      <c r="B24" s="61"/>
      <c r="D24" s="20" t="s">
        <v>167</v>
      </c>
      <c r="E24" s="46">
        <f>SUMIFS('Summary - $ &amp; m3'!$X:$X,'Summary - $ &amp; m3'!$A:$A,E$1,'Summary - $ &amp; m3'!$C:$C,$A24)+SUMIFS('Summary - $ &amp; m3'!$X:$X,'Summary - $ &amp; m3'!$A:$A,E$1,'Summary - $ &amp; m3'!$C:$C,$B24)</f>
        <v>205675</v>
      </c>
      <c r="F24" s="12">
        <f>SUMIFS('Summary - $ &amp; m3'!$H:$H,'Summary - $ &amp; m3'!$A:$A,F$1,'Summary - $ &amp; m3'!$C:$C,$A24)+SUMIFS('Summary - $ &amp; m3'!$H:$H,'Summary - $ &amp; m3'!$A:$A,F$1,'Summary - $ &amp; m3'!$C:$C,$B24)</f>
        <v>35237.600000000006</v>
      </c>
      <c r="G24" s="13">
        <f t="shared" si="21"/>
        <v>5.8368050037459973</v>
      </c>
      <c r="H24" s="12">
        <f>SUMIFS('Summary - $ &amp; m3'!$P:$P,'Summary - $ &amp; m3'!$A:$A,H$1,'Summary - $ &amp; m3'!$C:$C,$A24)+SUMIFS('Summary - $ &amp; m3'!$P:$P,'Summary - $ &amp; m3'!$A:$A,H$1,'Summary - $ &amp; m3'!$C:$C,$B24)</f>
        <v>613342.4</v>
      </c>
      <c r="I24" s="13">
        <f t="shared" si="22"/>
        <v>0.33533471679114307</v>
      </c>
      <c r="K24" s="20" t="s">
        <v>167</v>
      </c>
      <c r="L24" s="46">
        <f>SUMIFS('Summary - $ &amp; m3'!$X:$X,'Summary - $ &amp; m3'!$A:$A,L$1,'Summary - $ &amp; m3'!$C:$C,$A24)+SUMIFS('Summary - $ &amp; m3'!$X:$X,'Summary - $ &amp; m3'!$A:$A,L$1,'Summary - $ &amp; m3'!$C:$C,$B24)</f>
        <v>253222</v>
      </c>
      <c r="M24" s="12">
        <f>SUMIFS('Summary - $ &amp; m3'!$H:$H,'Summary - $ &amp; m3'!$A:$A,M$1,'Summary - $ &amp; m3'!$C:$C,$A24)+SUMIFS('Summary - $ &amp; m3'!$H:$H,'Summary - $ &amp; m3'!$A:$A,M$1,'Summary - $ &amp; m3'!$C:$C,$B24)</f>
        <v>51172</v>
      </c>
      <c r="N24" s="13">
        <f t="shared" si="23"/>
        <v>4.9484483702024544</v>
      </c>
      <c r="O24" s="12">
        <f>SUMIFS('Summary - $ &amp; m3'!$P:$P,'Summary - $ &amp; m3'!$A:$A,O$1,'Summary - $ &amp; m3'!$C:$C,$A24)+SUMIFS('Summary - $ &amp; m3'!$P:$P,'Summary - $ &amp; m3'!$A:$A,O$1,'Summary - $ &amp; m3'!$C:$C,$B24)</f>
        <v>892136</v>
      </c>
      <c r="P24" s="13">
        <f t="shared" si="24"/>
        <v>0.28383789018714634</v>
      </c>
      <c r="R24" s="20" t="s">
        <v>167</v>
      </c>
      <c r="S24" s="46">
        <f>SUMIFS('Summary - $ &amp; m3'!$X:$X,'Summary - $ &amp; m3'!$A:$A,S$1,'Summary - $ &amp; m3'!$C:$C,$A24)+SUMIFS('Summary - $ &amp; m3'!$X:$X,'Summary - $ &amp; m3'!$A:$A,S$1,'Summary - $ &amp; m3'!$C:$C,$B24)</f>
        <v>382436</v>
      </c>
      <c r="T24" s="12">
        <f>SUMIFS('Summary - $ &amp; m3'!$H:$H,'Summary - $ &amp; m3'!$A:$A,T$1,'Summary - $ &amp; m3'!$C:$C,$A24)+SUMIFS('Summary - $ &amp; m3'!$H:$H,'Summary - $ &amp; m3'!$A:$A,T$1,'Summary - $ &amp; m3'!$C:$C,$B24)</f>
        <v>102344</v>
      </c>
      <c r="U24" s="13">
        <f t="shared" si="25"/>
        <v>3.7367701086531695</v>
      </c>
      <c r="V24" s="12">
        <f>SUMIFS('Summary - $ &amp; m3'!$P:$P,'Summary - $ &amp; m3'!$A:$A,V$1,'Summary - $ &amp; m3'!$C:$C,$A24)+SUMIFS('Summary - $ &amp; m3'!$P:$P,'Summary - $ &amp; m3'!$A:$A,V$1,'Summary - $ &amp; m3'!$C:$C,$B24)</f>
        <v>1784272</v>
      </c>
      <c r="W24" s="13">
        <f t="shared" si="26"/>
        <v>0.21433727593102397</v>
      </c>
      <c r="Y24" s="20" t="s">
        <v>167</v>
      </c>
      <c r="Z24" s="46">
        <f>SUMIFS('Summary - $ &amp; m3'!$X:$X,'Summary - $ &amp; m3'!$A:$A,Z$1,'Summary - $ &amp; m3'!$C:$C,$A24)+SUMIFS('Summary - $ &amp; m3'!$X:$X,'Summary - $ &amp; m3'!$A:$A,Z$1,'Summary - $ &amp; m3'!$C:$C,$B24)</f>
        <v>582145</v>
      </c>
      <c r="AA24" s="12">
        <f>SUMIFS('Summary - $ &amp; m3'!$H:$H,'Summary - $ &amp; m3'!$A:$A,AA$1,'Summary - $ &amp; m3'!$C:$C,$A24)+SUMIFS('Summary - $ &amp; m3'!$H:$H,'Summary - $ &amp; m3'!$A:$A,AA$1,'Summary - $ &amp; m3'!$C:$C,$B24)</f>
        <v>179684.8</v>
      </c>
      <c r="AB24" s="13">
        <f t="shared" si="27"/>
        <v>3.239812159960108</v>
      </c>
      <c r="AC24" s="12">
        <f>SUMIFS('Summary - $ &amp; m3'!$P:$P,'Summary - $ &amp; m3'!$A:$A,AC$1,'Summary - $ &amp; m3'!$C:$C,$A24)+SUMIFS('Summary - $ &amp; m3'!$P:$P,'Summary - $ &amp; m3'!$A:$A,AC$1,'Summary - $ &amp; m3'!$C:$C,$B24)</f>
        <v>3133628.8</v>
      </c>
      <c r="AD24" s="13">
        <f t="shared" si="28"/>
        <v>0.1857734394067351</v>
      </c>
    </row>
    <row r="25" spans="1:30" x14ac:dyDescent="0.25">
      <c r="A25" s="61" t="s">
        <v>168</v>
      </c>
      <c r="B25" s="61"/>
      <c r="D25" s="20" t="s">
        <v>168</v>
      </c>
      <c r="E25" s="46">
        <f>SUMIFS('Summary - $ &amp; m3'!$X:$X,'Summary - $ &amp; m3'!$A:$A,E$1,'Summary - $ &amp; m3'!$C:$C,$A25)+SUMIFS('Summary - $ &amp; m3'!$X:$X,'Summary - $ &amp; m3'!$A:$A,E$1,'Summary - $ &amp; m3'!$C:$C,$B25)</f>
        <v>780000</v>
      </c>
      <c r="F25" s="12" t="s">
        <v>235</v>
      </c>
      <c r="G25" s="12" t="s">
        <v>235</v>
      </c>
      <c r="H25" s="12" t="s">
        <v>251</v>
      </c>
      <c r="I25" s="12" t="s">
        <v>251</v>
      </c>
      <c r="K25" s="20" t="s">
        <v>168</v>
      </c>
      <c r="L25" s="46">
        <f>SUMIFS('Summary - $ &amp; m3'!$X:$X,'Summary - $ &amp; m3'!$A:$A,L$1,'Summary - $ &amp; m3'!$C:$C,$A25)+SUMIFS('Summary - $ &amp; m3'!$X:$X,'Summary - $ &amp; m3'!$A:$A,L$1,'Summary - $ &amp; m3'!$C:$C,$B25)</f>
        <v>794816</v>
      </c>
      <c r="M25" s="12" t="s">
        <v>235</v>
      </c>
      <c r="N25" s="12" t="s">
        <v>235</v>
      </c>
      <c r="O25" s="12" t="s">
        <v>251</v>
      </c>
      <c r="P25" s="12" t="s">
        <v>251</v>
      </c>
      <c r="R25" s="20" t="s">
        <v>168</v>
      </c>
      <c r="S25" s="46">
        <f>SUMIFS('Summary - $ &amp; m3'!$X:$X,'Summary - $ &amp; m3'!$A:$A,S$1,'Summary - $ &amp; m3'!$C:$C,$A25)+SUMIFS('Summary - $ &amp; m3'!$X:$X,'Summary - $ &amp; m3'!$A:$A,S$1,'Summary - $ &amp; m3'!$C:$C,$B25)</f>
        <v>809915</v>
      </c>
      <c r="T25" s="12" t="s">
        <v>235</v>
      </c>
      <c r="U25" s="12" t="s">
        <v>235</v>
      </c>
      <c r="V25" s="12" t="s">
        <v>251</v>
      </c>
      <c r="W25" s="12" t="s">
        <v>251</v>
      </c>
      <c r="Y25" s="20" t="s">
        <v>168</v>
      </c>
      <c r="Z25" s="46">
        <f>SUMIFS('Summary - $ &amp; m3'!$X:$X,'Summary - $ &amp; m3'!$A:$A,Z$1,'Summary - $ &amp; m3'!$C:$C,$A25)+SUMIFS('Summary - $ &amp; m3'!$X:$X,'Summary - $ &amp; m3'!$A:$A,Z$1,'Summary - $ &amp; m3'!$C:$C,$B25)</f>
        <v>825302</v>
      </c>
      <c r="AA25" s="12" t="s">
        <v>235</v>
      </c>
      <c r="AB25" s="12" t="s">
        <v>235</v>
      </c>
      <c r="AC25" s="12" t="s">
        <v>251</v>
      </c>
      <c r="AD25" s="12" t="s">
        <v>251</v>
      </c>
    </row>
    <row r="26" spans="1:30" x14ac:dyDescent="0.25">
      <c r="A26" s="61" t="s">
        <v>18</v>
      </c>
      <c r="B26" s="61"/>
      <c r="D26" s="20" t="s">
        <v>18</v>
      </c>
      <c r="E26" s="46">
        <f>SUMIFS('Summary - $ &amp; m3'!$X:$X,'Summary - $ &amp; m3'!$A:$A,E$1,'Summary - $ &amp; m3'!$C:$C,$A26)+SUMIFS('Summary - $ &amp; m3'!$X:$X,'Summary - $ &amp; m3'!$A:$A,E$1,'Summary - $ &amp; m3'!$C:$C,$B26)</f>
        <v>2000000</v>
      </c>
      <c r="F26" s="12" t="s">
        <v>235</v>
      </c>
      <c r="G26" s="12" t="s">
        <v>235</v>
      </c>
      <c r="H26" s="12" t="s">
        <v>251</v>
      </c>
      <c r="I26" s="12" t="s">
        <v>251</v>
      </c>
      <c r="K26" s="20" t="s">
        <v>18</v>
      </c>
      <c r="L26" s="46">
        <f>SUMIFS('Summary - $ &amp; m3'!$X:$X,'Summary - $ &amp; m3'!$A:$A,L$1,'Summary - $ &amp; m3'!$C:$C,$A26)+SUMIFS('Summary - $ &amp; m3'!$X:$X,'Summary - $ &amp; m3'!$A:$A,L$1,'Summary - $ &amp; m3'!$C:$C,$B26)</f>
        <v>2039440</v>
      </c>
      <c r="M26" s="12" t="s">
        <v>235</v>
      </c>
      <c r="N26" s="12" t="s">
        <v>235</v>
      </c>
      <c r="O26" s="12" t="s">
        <v>251</v>
      </c>
      <c r="P26" s="12" t="s">
        <v>251</v>
      </c>
      <c r="R26" s="20" t="s">
        <v>18</v>
      </c>
      <c r="S26" s="46">
        <f>SUMIFS('Summary - $ &amp; m3'!$X:$X,'Summary - $ &amp; m3'!$A:$A,S$1,'Summary - $ &amp; m3'!$C:$C,$A26)+SUMIFS('Summary - $ &amp; m3'!$X:$X,'Summary - $ &amp; m3'!$A:$A,S$1,'Summary - $ &amp; m3'!$C:$C,$B26)</f>
        <v>2079659</v>
      </c>
      <c r="T26" s="12" t="s">
        <v>235</v>
      </c>
      <c r="U26" s="12" t="s">
        <v>235</v>
      </c>
      <c r="V26" s="12" t="s">
        <v>251</v>
      </c>
      <c r="W26" s="12" t="s">
        <v>251</v>
      </c>
      <c r="Y26" s="20" t="s">
        <v>18</v>
      </c>
      <c r="Z26" s="46">
        <f>SUMIFS('Summary - $ &amp; m3'!$X:$X,'Summary - $ &amp; m3'!$A:$A,Z$1,'Summary - $ &amp; m3'!$C:$C,$A26)+SUMIFS('Summary - $ &amp; m3'!$X:$X,'Summary - $ &amp; m3'!$A:$A,Z$1,'Summary - $ &amp; m3'!$C:$C,$B26)</f>
        <v>2120673</v>
      </c>
      <c r="AA26" s="12" t="s">
        <v>235</v>
      </c>
      <c r="AB26" s="12" t="s">
        <v>235</v>
      </c>
      <c r="AC26" s="12" t="s">
        <v>251</v>
      </c>
      <c r="AD26" s="12" t="s">
        <v>251</v>
      </c>
    </row>
    <row r="27" spans="1:30" x14ac:dyDescent="0.25">
      <c r="A27" s="61" t="s">
        <v>19</v>
      </c>
      <c r="B27" s="61"/>
      <c r="D27" s="21" t="s">
        <v>136</v>
      </c>
      <c r="E27" s="46">
        <f>SUMIFS('Summary - $ &amp; m3'!$X:$X,'Summary - $ &amp; m3'!$A:$A,E$1,'Summary - $ &amp; m3'!$C:$C,$A27)+SUMIFS('Summary - $ &amp; m3'!$X:$X,'Summary - $ &amp; m3'!$A:$A,E$1,'Summary - $ &amp; m3'!$C:$C,$B27)</f>
        <v>5527149</v>
      </c>
      <c r="F27" s="12" t="s">
        <v>235</v>
      </c>
      <c r="G27" s="12" t="s">
        <v>235</v>
      </c>
      <c r="H27" s="12" t="s">
        <v>251</v>
      </c>
      <c r="I27" s="12" t="s">
        <v>251</v>
      </c>
      <c r="K27" s="21" t="s">
        <v>136</v>
      </c>
      <c r="L27" s="46">
        <f>SUMIFS('Summary - $ &amp; m3'!$X:$X,'Summary - $ &amp; m3'!$A:$A,L$1,'Summary - $ &amp; m3'!$C:$C,$A27)+SUMIFS('Summary - $ &amp; m3'!$X:$X,'Summary - $ &amp; m3'!$A:$A,L$1,'Summary - $ &amp; m3'!$C:$C,$B27)</f>
        <v>5622215</v>
      </c>
      <c r="M27" s="12" t="s">
        <v>235</v>
      </c>
      <c r="N27" s="12" t="s">
        <v>235</v>
      </c>
      <c r="O27" s="12" t="s">
        <v>251</v>
      </c>
      <c r="P27" s="12" t="s">
        <v>251</v>
      </c>
      <c r="R27" s="21" t="s">
        <v>136</v>
      </c>
      <c r="S27" s="46">
        <f>SUMIFS('Summary - $ &amp; m3'!$X:$X,'Summary - $ &amp; m3'!$A:$A,S$1,'Summary - $ &amp; m3'!$C:$C,$A27)+SUMIFS('Summary - $ &amp; m3'!$X:$X,'Summary - $ &amp; m3'!$A:$A,S$1,'Summary - $ &amp; m3'!$C:$C,$B27)</f>
        <v>5718918</v>
      </c>
      <c r="T27" s="12" t="s">
        <v>235</v>
      </c>
      <c r="U27" s="12" t="s">
        <v>235</v>
      </c>
      <c r="V27" s="12" t="s">
        <v>251</v>
      </c>
      <c r="W27" s="12" t="s">
        <v>251</v>
      </c>
      <c r="Y27" s="21" t="s">
        <v>136</v>
      </c>
      <c r="Z27" s="46">
        <f>SUMIFS('Summary - $ &amp; m3'!$X:$X,'Summary - $ &amp; m3'!$A:$A,Z$1,'Summary - $ &amp; m3'!$C:$C,$A27)+SUMIFS('Summary - $ &amp; m3'!$X:$X,'Summary - $ &amp; m3'!$A:$A,Z$1,'Summary - $ &amp; m3'!$C:$C,$B27)</f>
        <v>5817283</v>
      </c>
      <c r="AA27" s="12" t="s">
        <v>235</v>
      </c>
      <c r="AB27" s="12" t="s">
        <v>235</v>
      </c>
      <c r="AC27" s="12" t="s">
        <v>251</v>
      </c>
      <c r="AD27" s="12" t="s">
        <v>251</v>
      </c>
    </row>
    <row r="28" spans="1:30" x14ac:dyDescent="0.25">
      <c r="A28" s="61" t="s">
        <v>139</v>
      </c>
      <c r="B28" s="61"/>
      <c r="D28" s="24" t="s">
        <v>139</v>
      </c>
      <c r="E28" s="45">
        <f>SUM(E29:E32)</f>
        <v>26885759</v>
      </c>
      <c r="F28" s="25">
        <f>SUM(F29:F32)</f>
        <v>54214897.259044752</v>
      </c>
      <c r="G28" s="26">
        <f t="shared" ref="G28:G29" si="29">IFERROR(E28/F28,"-")</f>
        <v>0.49591090934908316</v>
      </c>
      <c r="H28" s="25">
        <f>SUM(H29:H32)</f>
        <v>881702950.88867092</v>
      </c>
      <c r="I28" s="26">
        <f>IFERROR(E28/H28,"-")</f>
        <v>3.0492989700104514E-2</v>
      </c>
      <c r="K28" s="24" t="s">
        <v>139</v>
      </c>
      <c r="L28" s="45">
        <f>SUM(L29:L32)</f>
        <v>28709693</v>
      </c>
      <c r="M28" s="25">
        <f>SUM(M29:M32)</f>
        <v>57986708.478613123</v>
      </c>
      <c r="N28" s="26">
        <f t="shared" ref="N28:N29" si="30">IFERROR(L28/M28,"-")</f>
        <v>0.49510816794488027</v>
      </c>
      <c r="O28" s="25">
        <f>SUM(O29:O32)</f>
        <v>946998155.97133923</v>
      </c>
      <c r="P28" s="26">
        <f>IFERROR(L28/O28,"-")</f>
        <v>3.0316524714403874E-2</v>
      </c>
      <c r="R28" s="24" t="s">
        <v>139</v>
      </c>
      <c r="S28" s="45">
        <f>SUM(S29:S32)</f>
        <v>29971421</v>
      </c>
      <c r="T28" s="25">
        <f>SUM(T29:T32)</f>
        <v>60289125.814803705</v>
      </c>
      <c r="U28" s="26">
        <f t="shared" ref="U28:U29" si="31">IFERROR(S28/T28,"-")</f>
        <v>0.4971281403559622</v>
      </c>
      <c r="V28" s="25">
        <f>SUM(V29:V32)</f>
        <v>985844271.1532073</v>
      </c>
      <c r="W28" s="26">
        <f>IFERROR(S28/V28,"-")</f>
        <v>3.0401780359224938E-2</v>
      </c>
      <c r="Y28" s="24" t="s">
        <v>139</v>
      </c>
      <c r="Z28" s="45">
        <f>SUM(Z29:Z32)</f>
        <v>31444661</v>
      </c>
      <c r="AA28" s="25">
        <f>SUM(AA29:AA32)</f>
        <v>62775217.38641651</v>
      </c>
      <c r="AB28" s="26">
        <f t="shared" ref="AB28:AB29" si="32">IFERROR(Z28/AA28,"-")</f>
        <v>0.50090883487412807</v>
      </c>
      <c r="AC28" s="25">
        <f>SUM(AC29:AC32)</f>
        <v>1027996522.5726756</v>
      </c>
      <c r="AD28" s="26">
        <f>IFERROR(Z28/AC28,"-")</f>
        <v>3.0588295105615962E-2</v>
      </c>
    </row>
    <row r="29" spans="1:30" x14ac:dyDescent="0.25">
      <c r="A29" s="61" t="s">
        <v>8</v>
      </c>
      <c r="B29" s="61"/>
      <c r="D29" s="20" t="s">
        <v>8</v>
      </c>
      <c r="E29" s="46">
        <f>SUMIFS('Summary - $ &amp; m3'!$X:$X,'Summary - $ &amp; m3'!$A:$A,E$1,'Summary - $ &amp; m3'!$C:$C,$A29)+SUMIFS('Summary - $ &amp; m3'!$X:$X,'Summary - $ &amp; m3'!$A:$A,E$1,'Summary - $ &amp; m3'!$C:$C,$B29)</f>
        <v>19291597</v>
      </c>
      <c r="F29" s="12">
        <f>SUMIFS('Summary - $ &amp; m3'!$H:$H,'Summary - $ &amp; m3'!$A:$A,F$1,'Summary - $ &amp; m3'!$C:$C,$A29)+SUMIFS('Summary - $ &amp; m3'!$H:$H,'Summary - $ &amp; m3'!$A:$A,F$1,'Summary - $ &amp; m3'!$C:$C,$B29)</f>
        <v>54214897.259044752</v>
      </c>
      <c r="G29" s="13">
        <f t="shared" si="29"/>
        <v>0.35583571998343233</v>
      </c>
      <c r="H29" s="12">
        <f>SUMIFS('Summary - $ &amp; m3'!$P:$P,'Summary - $ &amp; m3'!$A:$A,H$1,'Summary - $ &amp; m3'!$C:$C,$A29)+SUMIFS('Summary - $ &amp; m3'!$P:$P,'Summary - $ &amp; m3'!$A:$A,H$1,'Summary - $ &amp; m3'!$C:$C,$B29)</f>
        <v>881702950.88867092</v>
      </c>
      <c r="I29" s="13">
        <f>IFERROR(E29/H29,"-")</f>
        <v>2.1879927906054919E-2</v>
      </c>
      <c r="K29" s="20" t="s">
        <v>8</v>
      </c>
      <c r="L29" s="46">
        <f>SUMIFS('Summary - $ &amp; m3'!$X:$X,'Summary - $ &amp; m3'!$A:$A,L$1,'Summary - $ &amp; m3'!$C:$C,$A29)+SUMIFS('Summary - $ &amp; m3'!$X:$X,'Summary - $ &amp; m3'!$A:$A,L$1,'Summary - $ &amp; m3'!$C:$C,$B29)</f>
        <v>20978471</v>
      </c>
      <c r="M29" s="12">
        <f>SUMIFS('Summary - $ &amp; m3'!$H:$H,'Summary - $ &amp; m3'!$A:$A,M$1,'Summary - $ &amp; m3'!$C:$C,$A29)+SUMIFS('Summary - $ &amp; m3'!$H:$H,'Summary - $ &amp; m3'!$A:$A,M$1,'Summary - $ &amp; m3'!$C:$C,$B29)</f>
        <v>57986708.478613123</v>
      </c>
      <c r="N29" s="13">
        <f t="shared" si="30"/>
        <v>0.36178068302906619</v>
      </c>
      <c r="O29" s="12">
        <f>SUMIFS('Summary - $ &amp; m3'!$P:$P,'Summary - $ &amp; m3'!$A:$A,O$1,'Summary - $ &amp; m3'!$C:$C,$A29)+SUMIFS('Summary - $ &amp; m3'!$P:$P,'Summary - $ &amp; m3'!$A:$A,O$1,'Summary - $ &amp; m3'!$C:$C,$B29)</f>
        <v>946998155.97133923</v>
      </c>
      <c r="P29" s="13">
        <f>IFERROR(L29/O29,"-")</f>
        <v>2.2152599630442058E-2</v>
      </c>
      <c r="R29" s="20" t="s">
        <v>8</v>
      </c>
      <c r="S29" s="46">
        <f>SUMIFS('Summary - $ &amp; m3'!$X:$X,'Summary - $ &amp; m3'!$A:$A,S$1,'Summary - $ &amp; m3'!$C:$C,$A29)+SUMIFS('Summary - $ &amp; m3'!$X:$X,'Summary - $ &amp; m3'!$A:$A,S$1,'Summary - $ &amp; m3'!$C:$C,$B29)</f>
        <v>22100654</v>
      </c>
      <c r="T29" s="12">
        <f>SUMIFS('Summary - $ &amp; m3'!$H:$H,'Summary - $ &amp; m3'!$A:$A,T$1,'Summary - $ &amp; m3'!$C:$C,$A29)+SUMIFS('Summary - $ &amp; m3'!$H:$H,'Summary - $ &amp; m3'!$A:$A,T$1,'Summary - $ &amp; m3'!$C:$C,$B29)</f>
        <v>60289125.814803705</v>
      </c>
      <c r="U29" s="13">
        <f t="shared" si="31"/>
        <v>0.36657778166976324</v>
      </c>
      <c r="V29" s="12">
        <f>SUMIFS('Summary - $ &amp; m3'!$P:$P,'Summary - $ &amp; m3'!$A:$A,V$1,'Summary - $ &amp; m3'!$C:$C,$A29)+SUMIFS('Summary - $ &amp; m3'!$P:$P,'Summary - $ &amp; m3'!$A:$A,V$1,'Summary - $ &amp; m3'!$C:$C,$B29)</f>
        <v>985844271.1532073</v>
      </c>
      <c r="W29" s="13">
        <f>IFERROR(S29/V29,"-")</f>
        <v>2.2417997088066861E-2</v>
      </c>
      <c r="Y29" s="20" t="s">
        <v>8</v>
      </c>
      <c r="Z29" s="46">
        <f>SUMIFS('Summary - $ &amp; m3'!$X:$X,'Summary - $ &amp; m3'!$A:$A,Z$1,'Summary - $ &amp; m3'!$C:$C,$A29)+SUMIFS('Summary - $ &amp; m3'!$X:$X,'Summary - $ &amp; m3'!$A:$A,Z$1,'Summary - $ &amp; m3'!$C:$C,$B29)</f>
        <v>23431816</v>
      </c>
      <c r="AA29" s="12">
        <f>SUMIFS('Summary - $ &amp; m3'!$H:$H,'Summary - $ &amp; m3'!$A:$A,AA$1,'Summary - $ &amp; m3'!$C:$C,$A29)+SUMIFS('Summary - $ &amp; m3'!$H:$H,'Summary - $ &amp; m3'!$A:$A,AA$1,'Summary - $ &amp; m3'!$C:$C,$B29)</f>
        <v>62775217.38641651</v>
      </c>
      <c r="AB29" s="13">
        <f t="shared" si="32"/>
        <v>0.37326538999879666</v>
      </c>
      <c r="AC29" s="12">
        <f>SUMIFS('Summary - $ &amp; m3'!$P:$P,'Summary - $ &amp; m3'!$A:$A,AC$1,'Summary - $ &amp; m3'!$C:$C,$A29)+SUMIFS('Summary - $ &amp; m3'!$P:$P,'Summary - $ &amp; m3'!$A:$A,AC$1,'Summary - $ &amp; m3'!$C:$C,$B29)</f>
        <v>1027996522.5726756</v>
      </c>
      <c r="AD29" s="13">
        <f>IFERROR(Z29/AC29,"-")</f>
        <v>2.279367243515501E-2</v>
      </c>
    </row>
    <row r="30" spans="1:30" x14ac:dyDescent="0.25">
      <c r="A30" s="61" t="s">
        <v>171</v>
      </c>
      <c r="B30" s="61"/>
      <c r="D30" s="20" t="s">
        <v>171</v>
      </c>
      <c r="E30" s="46">
        <f>SUMIFS('Summary - $ &amp; m3'!$X:$X,'Summary - $ &amp; m3'!$A:$A,E$1,'Summary - $ &amp; m3'!$C:$C,$A30)+SUMIFS('Summary - $ &amp; m3'!$X:$X,'Summary - $ &amp; m3'!$A:$A,E$1,'Summary - $ &amp; m3'!$C:$C,$B30)</f>
        <v>780000</v>
      </c>
      <c r="F30" s="12" t="s">
        <v>235</v>
      </c>
      <c r="G30" s="12" t="s">
        <v>235</v>
      </c>
      <c r="H30" s="12" t="s">
        <v>251</v>
      </c>
      <c r="I30" s="12" t="s">
        <v>251</v>
      </c>
      <c r="K30" s="20" t="s">
        <v>171</v>
      </c>
      <c r="L30" s="46">
        <f>SUMIFS('Summary - $ &amp; m3'!$X:$X,'Summary - $ &amp; m3'!$A:$A,L$1,'Summary - $ &amp; m3'!$C:$C,$A30)+SUMIFS('Summary - $ &amp; m3'!$X:$X,'Summary - $ &amp; m3'!$A:$A,L$1,'Summary - $ &amp; m3'!$C:$C,$B30)</f>
        <v>794816</v>
      </c>
      <c r="M30" s="12" t="s">
        <v>235</v>
      </c>
      <c r="N30" s="12" t="s">
        <v>235</v>
      </c>
      <c r="O30" s="12" t="s">
        <v>251</v>
      </c>
      <c r="P30" s="12" t="s">
        <v>251</v>
      </c>
      <c r="R30" s="20" t="s">
        <v>171</v>
      </c>
      <c r="S30" s="46">
        <f>SUMIFS('Summary - $ &amp; m3'!$X:$X,'Summary - $ &amp; m3'!$A:$A,S$1,'Summary - $ &amp; m3'!$C:$C,$A30)+SUMIFS('Summary - $ &amp; m3'!$X:$X,'Summary - $ &amp; m3'!$A:$A,S$1,'Summary - $ &amp; m3'!$C:$C,$B30)</f>
        <v>809915</v>
      </c>
      <c r="T30" s="12" t="s">
        <v>235</v>
      </c>
      <c r="U30" s="12" t="s">
        <v>235</v>
      </c>
      <c r="V30" s="12" t="s">
        <v>251</v>
      </c>
      <c r="W30" s="12" t="s">
        <v>251</v>
      </c>
      <c r="Y30" s="20" t="s">
        <v>171</v>
      </c>
      <c r="Z30" s="46">
        <f>SUMIFS('Summary - $ &amp; m3'!$X:$X,'Summary - $ &amp; m3'!$A:$A,Z$1,'Summary - $ &amp; m3'!$C:$C,$A30)+SUMIFS('Summary - $ &amp; m3'!$X:$X,'Summary - $ &amp; m3'!$A:$A,Z$1,'Summary - $ &amp; m3'!$C:$C,$B30)</f>
        <v>825302</v>
      </c>
      <c r="AA30" s="12" t="s">
        <v>235</v>
      </c>
      <c r="AB30" s="12" t="s">
        <v>235</v>
      </c>
      <c r="AC30" s="12" t="s">
        <v>251</v>
      </c>
      <c r="AD30" s="12" t="s">
        <v>251</v>
      </c>
    </row>
    <row r="31" spans="1:30" x14ac:dyDescent="0.25">
      <c r="A31" s="61" t="s">
        <v>24</v>
      </c>
      <c r="B31" s="61"/>
      <c r="D31" s="20" t="s">
        <v>24</v>
      </c>
      <c r="E31" s="46">
        <f>SUMIFS('Summary - $ &amp; m3'!$X:$X,'Summary - $ &amp; m3'!$A:$A,E$1,'Summary - $ &amp; m3'!$C:$C,$A31)+SUMIFS('Summary - $ &amp; m3'!$X:$X,'Summary - $ &amp; m3'!$A:$A,E$1,'Summary - $ &amp; m3'!$C:$C,$B31)</f>
        <v>2000000</v>
      </c>
      <c r="F31" s="12" t="s">
        <v>235</v>
      </c>
      <c r="G31" s="12" t="s">
        <v>235</v>
      </c>
      <c r="H31" s="12" t="s">
        <v>251</v>
      </c>
      <c r="I31" s="12" t="s">
        <v>251</v>
      </c>
      <c r="K31" s="20" t="s">
        <v>24</v>
      </c>
      <c r="L31" s="46">
        <f>SUMIFS('Summary - $ &amp; m3'!$X:$X,'Summary - $ &amp; m3'!$A:$A,L$1,'Summary - $ &amp; m3'!$C:$C,$A31)+SUMIFS('Summary - $ &amp; m3'!$X:$X,'Summary - $ &amp; m3'!$A:$A,L$1,'Summary - $ &amp; m3'!$C:$C,$B31)</f>
        <v>2039440</v>
      </c>
      <c r="M31" s="12" t="s">
        <v>235</v>
      </c>
      <c r="N31" s="12" t="s">
        <v>235</v>
      </c>
      <c r="O31" s="12" t="s">
        <v>251</v>
      </c>
      <c r="P31" s="12" t="s">
        <v>251</v>
      </c>
      <c r="R31" s="20" t="s">
        <v>24</v>
      </c>
      <c r="S31" s="46">
        <f>SUMIFS('Summary - $ &amp; m3'!$X:$X,'Summary - $ &amp; m3'!$A:$A,S$1,'Summary - $ &amp; m3'!$C:$C,$A31)+SUMIFS('Summary - $ &amp; m3'!$X:$X,'Summary - $ &amp; m3'!$A:$A,S$1,'Summary - $ &amp; m3'!$C:$C,$B31)</f>
        <v>2079659</v>
      </c>
      <c r="T31" s="12" t="s">
        <v>235</v>
      </c>
      <c r="U31" s="12" t="s">
        <v>235</v>
      </c>
      <c r="V31" s="12" t="s">
        <v>251</v>
      </c>
      <c r="W31" s="12" t="s">
        <v>251</v>
      </c>
      <c r="Y31" s="20" t="s">
        <v>24</v>
      </c>
      <c r="Z31" s="46">
        <f>SUMIFS('Summary - $ &amp; m3'!$X:$X,'Summary - $ &amp; m3'!$A:$A,Z$1,'Summary - $ &amp; m3'!$C:$C,$A31)+SUMIFS('Summary - $ &amp; m3'!$X:$X,'Summary - $ &amp; m3'!$A:$A,Z$1,'Summary - $ &amp; m3'!$C:$C,$B31)</f>
        <v>2120673</v>
      </c>
      <c r="AA31" s="12" t="s">
        <v>235</v>
      </c>
      <c r="AB31" s="12" t="s">
        <v>235</v>
      </c>
      <c r="AC31" s="12" t="s">
        <v>251</v>
      </c>
      <c r="AD31" s="12" t="s">
        <v>251</v>
      </c>
    </row>
    <row r="32" spans="1:30" x14ac:dyDescent="0.25">
      <c r="A32" s="61" t="s">
        <v>25</v>
      </c>
      <c r="B32" s="61"/>
      <c r="D32" s="21" t="s">
        <v>136</v>
      </c>
      <c r="E32" s="46">
        <f>SUMIFS('Summary - $ &amp; m3'!$X:$X,'Summary - $ &amp; m3'!$A:$A,E$1,'Summary - $ &amp; m3'!$C:$C,$A32)+SUMIFS('Summary - $ &amp; m3'!$X:$X,'Summary - $ &amp; m3'!$A:$A,E$1,'Summary - $ &amp; m3'!$C:$C,$B32)</f>
        <v>4814162</v>
      </c>
      <c r="F32" s="12" t="s">
        <v>235</v>
      </c>
      <c r="G32" s="12" t="s">
        <v>235</v>
      </c>
      <c r="H32" s="12" t="s">
        <v>251</v>
      </c>
      <c r="I32" s="12" t="s">
        <v>251</v>
      </c>
      <c r="K32" s="21" t="s">
        <v>136</v>
      </c>
      <c r="L32" s="46">
        <f>SUMIFS('Summary - $ &amp; m3'!$X:$X,'Summary - $ &amp; m3'!$A:$A,L$1,'Summary - $ &amp; m3'!$C:$C,$A32)+SUMIFS('Summary - $ &amp; m3'!$X:$X,'Summary - $ &amp; m3'!$A:$A,L$1,'Summary - $ &amp; m3'!$C:$C,$B32)</f>
        <v>4896966</v>
      </c>
      <c r="M32" s="12" t="s">
        <v>235</v>
      </c>
      <c r="N32" s="12" t="s">
        <v>235</v>
      </c>
      <c r="O32" s="12" t="s">
        <v>251</v>
      </c>
      <c r="P32" s="12" t="s">
        <v>251</v>
      </c>
      <c r="R32" s="21" t="s">
        <v>136</v>
      </c>
      <c r="S32" s="46">
        <f>SUMIFS('Summary - $ &amp; m3'!$X:$X,'Summary - $ &amp; m3'!$A:$A,S$1,'Summary - $ &amp; m3'!$C:$C,$A32)+SUMIFS('Summary - $ &amp; m3'!$X:$X,'Summary - $ &amp; m3'!$A:$A,S$1,'Summary - $ &amp; m3'!$C:$C,$B32)</f>
        <v>4981193</v>
      </c>
      <c r="T32" s="12" t="s">
        <v>235</v>
      </c>
      <c r="U32" s="12" t="s">
        <v>235</v>
      </c>
      <c r="V32" s="12" t="s">
        <v>251</v>
      </c>
      <c r="W32" s="12" t="s">
        <v>251</v>
      </c>
      <c r="Y32" s="21" t="s">
        <v>136</v>
      </c>
      <c r="Z32" s="46">
        <f>SUMIFS('Summary - $ &amp; m3'!$X:$X,'Summary - $ &amp; m3'!$A:$A,Z$1,'Summary - $ &amp; m3'!$C:$C,$A32)+SUMIFS('Summary - $ &amp; m3'!$X:$X,'Summary - $ &amp; m3'!$A:$A,Z$1,'Summary - $ &amp; m3'!$C:$C,$B32)</f>
        <v>5066870</v>
      </c>
      <c r="AA32" s="12" t="s">
        <v>235</v>
      </c>
      <c r="AB32" s="12" t="s">
        <v>235</v>
      </c>
      <c r="AC32" s="12" t="s">
        <v>251</v>
      </c>
      <c r="AD32" s="12" t="s">
        <v>251</v>
      </c>
    </row>
    <row r="33" spans="1:30" x14ac:dyDescent="0.25">
      <c r="A33" s="61" t="s">
        <v>140</v>
      </c>
      <c r="B33" s="61"/>
      <c r="D33" s="24" t="s">
        <v>140</v>
      </c>
      <c r="E33" s="45">
        <f>SUM(E34:E35)</f>
        <v>3479654</v>
      </c>
      <c r="F33" s="25">
        <f>SUM(F34:F35)</f>
        <v>18249620.580527794</v>
      </c>
      <c r="G33" s="26">
        <f t="shared" ref="G33:G34" si="33">IFERROR(E33/F33,"-")</f>
        <v>0.19066993665132767</v>
      </c>
      <c r="H33" s="25">
        <f>SUM(H34:H35)</f>
        <v>200745826.38580573</v>
      </c>
      <c r="I33" s="26">
        <f>IFERROR(E33/H33,"-")</f>
        <v>1.7333630604666153E-2</v>
      </c>
      <c r="K33" s="24" t="s">
        <v>140</v>
      </c>
      <c r="L33" s="45">
        <f>SUM(L34:L35)</f>
        <v>3613250</v>
      </c>
      <c r="M33" s="25">
        <f>SUM(M34:M35)</f>
        <v>20156297.357597861</v>
      </c>
      <c r="N33" s="26">
        <f t="shared" ref="N33:N34" si="34">IFERROR(L33/M33,"-")</f>
        <v>0.17926159432441571</v>
      </c>
      <c r="O33" s="25">
        <f>SUM(O34:O35)</f>
        <v>221719270.93357646</v>
      </c>
      <c r="P33" s="26">
        <f>IFERROR(L33/O33,"-")</f>
        <v>1.6296508574946883E-2</v>
      </c>
      <c r="R33" s="24" t="s">
        <v>140</v>
      </c>
      <c r="S33" s="45">
        <f>SUM(S34:S35)</f>
        <v>3752123</v>
      </c>
      <c r="T33" s="25">
        <f>SUM(T34:T35)</f>
        <v>21245826.944495041</v>
      </c>
      <c r="U33" s="26">
        <f t="shared" ref="U33:U34" si="35">IFERROR(S33/T33,"-")</f>
        <v>0.17660517568002709</v>
      </c>
      <c r="V33" s="25">
        <f>SUM(V34:V35)</f>
        <v>233704096.38944545</v>
      </c>
      <c r="W33" s="26">
        <f>IFERROR(S33/V33,"-")</f>
        <v>1.6055015970911555E-2</v>
      </c>
      <c r="Y33" s="24" t="s">
        <v>140</v>
      </c>
      <c r="Z33" s="45">
        <f>SUM(Z34:Z35)</f>
        <v>3896485</v>
      </c>
      <c r="AA33" s="25">
        <f>SUM(AA34:AA35)</f>
        <v>21518209.34121934</v>
      </c>
      <c r="AB33" s="26">
        <f t="shared" ref="AB33:AB34" si="36">IFERROR(Z33/AA33,"-")</f>
        <v>0.18107849673792623</v>
      </c>
      <c r="AC33" s="25">
        <f>SUM(AC34:AC35)</f>
        <v>236700302.75341272</v>
      </c>
      <c r="AD33" s="26">
        <f>IFERROR(Z33/AC33,"-")</f>
        <v>1.6461681521629658E-2</v>
      </c>
    </row>
    <row r="34" spans="1:30" ht="14.25" x14ac:dyDescent="0.25">
      <c r="A34" s="61" t="s">
        <v>27</v>
      </c>
      <c r="B34" s="61"/>
      <c r="D34" s="70" t="s">
        <v>252</v>
      </c>
      <c r="E34" s="46">
        <f>SUMIFS('Summary - $ &amp; m3'!$X:$X,'Summary - $ &amp; m3'!$A:$A,E$1,'Summary - $ &amp; m3'!$C:$C,$A34)+SUMIFS('Summary - $ &amp; m3'!$X:$X,'Summary - $ &amp; m3'!$A:$A,E$1,'Summary - $ &amp; m3'!$C:$C,$B34)</f>
        <v>3203709</v>
      </c>
      <c r="F34" s="12">
        <f>SUMIFS('Summary - $ &amp; m3'!$H:$H,'Summary - $ &amp; m3'!$A:$A,F$1,'Summary - $ &amp; m3'!$C:$C,$A34)+SUMIFS('Summary - $ &amp; m3'!$H:$H,'Summary - $ &amp; m3'!$A:$A,F$1,'Summary - $ &amp; m3'!$C:$C,$B34)</f>
        <v>18249620.580527794</v>
      </c>
      <c r="G34" s="13">
        <f t="shared" si="33"/>
        <v>0.1755493483200595</v>
      </c>
      <c r="H34" s="12">
        <f>SUMIFS('Summary - $ &amp; m3'!$P:$P,'Summary - $ &amp; m3'!$A:$A,H$1,'Summary - $ &amp; m3'!$C:$C,$A34)+SUMIFS('Summary - $ &amp; m3'!$P:$P,'Summary - $ &amp; m3'!$A:$A,H$1,'Summary - $ &amp; m3'!$C:$C,$B34)</f>
        <v>200745826.38580573</v>
      </c>
      <c r="I34" s="13">
        <f>IFERROR(E34/H34,"-")</f>
        <v>1.5959031665459953E-2</v>
      </c>
      <c r="K34" s="70" t="s">
        <v>252</v>
      </c>
      <c r="L34" s="46">
        <f>SUMIFS('Summary - $ &amp; m3'!$X:$X,'Summary - $ &amp; m3'!$A:$A,L$1,'Summary - $ &amp; m3'!$C:$C,$A34)+SUMIFS('Summary - $ &amp; m3'!$X:$X,'Summary - $ &amp; m3'!$A:$A,L$1,'Summary - $ &amp; m3'!$C:$C,$B34)</f>
        <v>3332559</v>
      </c>
      <c r="M34" s="12">
        <f>SUMIFS('Summary - $ &amp; m3'!$H:$H,'Summary - $ &amp; m3'!$A:$A,M$1,'Summary - $ &amp; m3'!$C:$C,$A34)+SUMIFS('Summary - $ &amp; m3'!$H:$H,'Summary - $ &amp; m3'!$A:$A,M$1,'Summary - $ &amp; m3'!$C:$C,$B34)</f>
        <v>20156297.357597861</v>
      </c>
      <c r="N34" s="13">
        <f t="shared" si="34"/>
        <v>0.16533587200447808</v>
      </c>
      <c r="O34" s="12">
        <f>SUMIFS('Summary - $ &amp; m3'!$P:$P,'Summary - $ &amp; m3'!$A:$A,O$1,'Summary - $ &amp; m3'!$C:$C,$A34)+SUMIFS('Summary - $ &amp; m3'!$P:$P,'Summary - $ &amp; m3'!$A:$A,O$1,'Summary - $ &amp; m3'!$C:$C,$B34)</f>
        <v>221719270.93357646</v>
      </c>
      <c r="P34" s="13">
        <f>IFERROR(L34/O34,"-")</f>
        <v>1.5030533818588918E-2</v>
      </c>
      <c r="R34" s="70" t="s">
        <v>252</v>
      </c>
      <c r="S34" s="46">
        <f>SUMIFS('Summary - $ &amp; m3'!$X:$X,'Summary - $ &amp; m3'!$A:$A,S$1,'Summary - $ &amp; m3'!$C:$C,$A34)+SUMIFS('Summary - $ &amp; m3'!$X:$X,'Summary - $ &amp; m3'!$A:$A,S$1,'Summary - $ &amp; m3'!$C:$C,$B34)</f>
        <v>3466604</v>
      </c>
      <c r="T34" s="12">
        <f>SUMIFS('Summary - $ &amp; m3'!$H:$H,'Summary - $ &amp; m3'!$A:$A,T$1,'Summary - $ &amp; m3'!$C:$C,$A34)+SUMIFS('Summary - $ &amp; m3'!$H:$H,'Summary - $ &amp; m3'!$A:$A,T$1,'Summary - $ &amp; m3'!$C:$C,$B34)</f>
        <v>21245826.944495041</v>
      </c>
      <c r="U34" s="13">
        <f t="shared" si="35"/>
        <v>0.16316634834014893</v>
      </c>
      <c r="V34" s="12">
        <f>SUMIFS('Summary - $ &amp; m3'!$P:$P,'Summary - $ &amp; m3'!$A:$A,V$1,'Summary - $ &amp; m3'!$C:$C,$A34)+SUMIFS('Summary - $ &amp; m3'!$P:$P,'Summary - $ &amp; m3'!$A:$A,V$1,'Summary - $ &amp; m3'!$C:$C,$B34)</f>
        <v>233704096.38944545</v>
      </c>
      <c r="W34" s="13">
        <f>IFERROR(S34/V34,"-")</f>
        <v>1.4833304394558993E-2</v>
      </c>
      <c r="Y34" s="70" t="s">
        <v>252</v>
      </c>
      <c r="Z34" s="46">
        <f>SUMIFS('Summary - $ &amp; m3'!$X:$X,'Summary - $ &amp; m3'!$A:$A,Z$1,'Summary - $ &amp; m3'!$C:$C,$A34)+SUMIFS('Summary - $ &amp; m3'!$X:$X,'Summary - $ &amp; m3'!$A:$A,Z$1,'Summary - $ &amp; m3'!$C:$C,$B34)</f>
        <v>3606055</v>
      </c>
      <c r="AA34" s="12">
        <f>SUMIFS('Summary - $ &amp; m3'!$H:$H,'Summary - $ &amp; m3'!$A:$A,AA$1,'Summary - $ &amp; m3'!$C:$C,$A34)+SUMIFS('Summary - $ &amp; m3'!$H:$H,'Summary - $ &amp; m3'!$A:$A,AA$1,'Summary - $ &amp; m3'!$C:$C,$B34)</f>
        <v>21518209.34121934</v>
      </c>
      <c r="AB34" s="13">
        <f t="shared" si="36"/>
        <v>0.16758155582641343</v>
      </c>
      <c r="AC34" s="12">
        <f>SUMIFS('Summary - $ &amp; m3'!$P:$P,'Summary - $ &amp; m3'!$A:$A,AC$1,'Summary - $ &amp; m3'!$C:$C,$A34)+SUMIFS('Summary - $ &amp; m3'!$P:$P,'Summary - $ &amp; m3'!$A:$A,AC$1,'Summary - $ &amp; m3'!$C:$C,$B34)</f>
        <v>236700302.75341272</v>
      </c>
      <c r="AD34" s="13">
        <f>IFERROR(Z34/AC34,"-")</f>
        <v>1.5234686893310314E-2</v>
      </c>
    </row>
    <row r="35" spans="1:30" x14ac:dyDescent="0.25">
      <c r="A35" s="61" t="s">
        <v>28</v>
      </c>
      <c r="B35" s="61"/>
      <c r="D35" s="21" t="s">
        <v>136</v>
      </c>
      <c r="E35" s="46">
        <f>SUMIFS('Summary - $ &amp; m3'!$X:$X,'Summary - $ &amp; m3'!$A:$A,E$1,'Summary - $ &amp; m3'!$C:$C,$A35)+SUMIFS('Summary - $ &amp; m3'!$X:$X,'Summary - $ &amp; m3'!$A:$A,E$1,'Summary - $ &amp; m3'!$C:$C,$B35)</f>
        <v>275945</v>
      </c>
      <c r="F35" s="12" t="s">
        <v>235</v>
      </c>
      <c r="G35" s="12" t="s">
        <v>235</v>
      </c>
      <c r="H35" s="12" t="s">
        <v>251</v>
      </c>
      <c r="I35" s="12" t="s">
        <v>251</v>
      </c>
      <c r="K35" s="21" t="s">
        <v>136</v>
      </c>
      <c r="L35" s="46">
        <f>SUMIFS('Summary - $ &amp; m3'!$X:$X,'Summary - $ &amp; m3'!$A:$A,L$1,'Summary - $ &amp; m3'!$C:$C,$A35)+SUMIFS('Summary - $ &amp; m3'!$X:$X,'Summary - $ &amp; m3'!$A:$A,L$1,'Summary - $ &amp; m3'!$C:$C,$B35)</f>
        <v>280691</v>
      </c>
      <c r="M35" s="12" t="s">
        <v>235</v>
      </c>
      <c r="N35" s="12" t="s">
        <v>235</v>
      </c>
      <c r="O35" s="12" t="s">
        <v>251</v>
      </c>
      <c r="P35" s="12" t="s">
        <v>251</v>
      </c>
      <c r="R35" s="21" t="s">
        <v>136</v>
      </c>
      <c r="S35" s="46">
        <f>SUMIFS('Summary - $ &amp; m3'!$X:$X,'Summary - $ &amp; m3'!$A:$A,S$1,'Summary - $ &amp; m3'!$C:$C,$A35)+SUMIFS('Summary - $ &amp; m3'!$X:$X,'Summary - $ &amp; m3'!$A:$A,S$1,'Summary - $ &amp; m3'!$C:$C,$B35)</f>
        <v>285519</v>
      </c>
      <c r="T35" s="12" t="s">
        <v>235</v>
      </c>
      <c r="U35" s="12" t="s">
        <v>235</v>
      </c>
      <c r="V35" s="12" t="s">
        <v>251</v>
      </c>
      <c r="W35" s="12" t="s">
        <v>251</v>
      </c>
      <c r="Y35" s="21" t="s">
        <v>136</v>
      </c>
      <c r="Z35" s="46">
        <f>SUMIFS('Summary - $ &amp; m3'!$X:$X,'Summary - $ &amp; m3'!$A:$A,Z$1,'Summary - $ &amp; m3'!$C:$C,$A35)+SUMIFS('Summary - $ &amp; m3'!$X:$X,'Summary - $ &amp; m3'!$A:$A,Z$1,'Summary - $ &amp; m3'!$C:$C,$B35)</f>
        <v>290430</v>
      </c>
      <c r="AA35" s="12" t="s">
        <v>235</v>
      </c>
      <c r="AB35" s="12" t="s">
        <v>235</v>
      </c>
      <c r="AC35" s="12" t="s">
        <v>251</v>
      </c>
      <c r="AD35" s="12" t="s">
        <v>251</v>
      </c>
    </row>
    <row r="36" spans="1:30" ht="13.5" thickBot="1" x14ac:dyDescent="0.3">
      <c r="A36" s="61" t="s">
        <v>143</v>
      </c>
      <c r="B36" s="61"/>
      <c r="D36" s="24" t="s">
        <v>187</v>
      </c>
      <c r="E36" s="45">
        <f>SUMIFS('Summary - $ &amp; m3'!$X:$X,'Summary - $ &amp; m3'!$A:$A,E$1,'Summary - $ &amp; m3'!$B:$B,"Portfolio*")</f>
        <v>17637852</v>
      </c>
      <c r="F36" s="28" t="s">
        <v>235</v>
      </c>
      <c r="G36" s="28" t="s">
        <v>235</v>
      </c>
      <c r="H36" s="28" t="s">
        <v>251</v>
      </c>
      <c r="I36" s="28" t="s">
        <v>251</v>
      </c>
      <c r="K36" s="24" t="s">
        <v>187</v>
      </c>
      <c r="L36" s="45">
        <f>SUMIFS('Summary - $ &amp; m3'!$X:$X,'Summary - $ &amp; m3'!$A:$A,L$1,'Summary - $ &amp; m3'!$B:$B,"Portfolio*")</f>
        <v>17737784</v>
      </c>
      <c r="M36" s="28" t="s">
        <v>235</v>
      </c>
      <c r="N36" s="28" t="s">
        <v>235</v>
      </c>
      <c r="O36" s="28" t="s">
        <v>251</v>
      </c>
      <c r="P36" s="28" t="s">
        <v>251</v>
      </c>
      <c r="R36" s="24" t="s">
        <v>187</v>
      </c>
      <c r="S36" s="45">
        <f>SUMIFS('Summary - $ &amp; m3'!$X:$X,'Summary - $ &amp; m3'!$A:$A,S$1,'Summary - $ &amp; m3'!$B:$B,"Portfolio*")</f>
        <v>18042873</v>
      </c>
      <c r="T36" s="28" t="s">
        <v>235</v>
      </c>
      <c r="U36" s="28" t="s">
        <v>235</v>
      </c>
      <c r="V36" s="28" t="s">
        <v>251</v>
      </c>
      <c r="W36" s="28" t="s">
        <v>251</v>
      </c>
      <c r="Y36" s="24" t="s">
        <v>187</v>
      </c>
      <c r="Z36" s="45">
        <f>SUMIFS('Summary - $ &amp; m3'!$X:$X,'Summary - $ &amp; m3'!$A:$A,Z$1,'Summary - $ &amp; m3'!$B:$B,"Portfolio*")</f>
        <v>18353209</v>
      </c>
      <c r="AA36" s="28" t="s">
        <v>235</v>
      </c>
      <c r="AB36" s="28" t="s">
        <v>235</v>
      </c>
      <c r="AC36" s="28" t="s">
        <v>251</v>
      </c>
      <c r="AD36" s="28" t="s">
        <v>251</v>
      </c>
    </row>
    <row r="37" spans="1:30" ht="13.5" thickTop="1" x14ac:dyDescent="0.25">
      <c r="A37" s="61" t="s">
        <v>131</v>
      </c>
      <c r="B37" s="61"/>
      <c r="D37" s="15" t="s">
        <v>131</v>
      </c>
      <c r="E37" s="47">
        <f>SUM(E6,E14,E18,E28,E33,E36)</f>
        <v>191174922</v>
      </c>
      <c r="F37" s="16">
        <f>SUM(F6,F14,F18,F28,F33,F36)</f>
        <v>126168056.46601328</v>
      </c>
      <c r="G37" s="17">
        <f>IFERROR(E37/F37,"-")</f>
        <v>1.515240286288297</v>
      </c>
      <c r="H37" s="16">
        <f>SUM(H6,H14,H18,H28,H33,H36)</f>
        <v>1946071773.2831006</v>
      </c>
      <c r="I37" s="17">
        <f>IFERROR(E37/H37,"-")</f>
        <v>9.8236316164989276E-2</v>
      </c>
      <c r="K37" s="15" t="s">
        <v>131</v>
      </c>
      <c r="L37" s="47">
        <f>SUM(L6,L14,L18,L28,L33,L36)</f>
        <v>204011309</v>
      </c>
      <c r="M37" s="16">
        <f>SUM(M6,M14,M18,M28,M33,M36)</f>
        <v>138296213.28900367</v>
      </c>
      <c r="N37" s="17">
        <f>IFERROR(L37/M37,"-")</f>
        <v>1.4751763923837062</v>
      </c>
      <c r="O37" s="16">
        <f>SUM(O6,O14,O18,O28,O33,O36)</f>
        <v>2107179375.7834311</v>
      </c>
      <c r="P37" s="17">
        <f>IFERROR(L37/O37,"-")</f>
        <v>9.6817248376944831E-2</v>
      </c>
      <c r="R37" s="15" t="s">
        <v>131</v>
      </c>
      <c r="S37" s="47">
        <f>SUM(S6,S14,S18,S28,S33,S36)</f>
        <v>215655264</v>
      </c>
      <c r="T37" s="16">
        <f>SUM(T6,T14,T18,T28,T33,T36)</f>
        <v>145928374.49926478</v>
      </c>
      <c r="U37" s="17">
        <f>IFERROR(S37/T37,"-")</f>
        <v>1.4778158445195764</v>
      </c>
      <c r="V37" s="16">
        <f>SUM(V6,V14,V18,V28,V33,V36)</f>
        <v>2209044715.6195755</v>
      </c>
      <c r="W37" s="17">
        <f>IFERROR(S37/V37,"-")</f>
        <v>9.7623765818391189E-2</v>
      </c>
      <c r="Y37" s="15" t="s">
        <v>131</v>
      </c>
      <c r="Z37" s="47">
        <f>SUM(Z6,Z14,Z18,Z28,Z33,Z36)</f>
        <v>226724801</v>
      </c>
      <c r="AA37" s="16">
        <f>SUM(AA6,AA14,AA18,AA28,AA33,AA36)</f>
        <v>151966195.6830284</v>
      </c>
      <c r="AB37" s="17">
        <f>IFERROR(Z37/AA37,"-")</f>
        <v>1.4919423361291702</v>
      </c>
      <c r="AC37" s="16">
        <f>SUM(AC6,AC14,AC18,AC28,AC33,AC36)</f>
        <v>2292597210.9748869</v>
      </c>
      <c r="AD37" s="17">
        <f>IFERROR(Z37/AC37,"-")</f>
        <v>9.8894302023332409E-2</v>
      </c>
    </row>
    <row r="38" spans="1:30" ht="30" customHeight="1" x14ac:dyDescent="0.25">
      <c r="A38" s="61"/>
      <c r="B38" s="61"/>
      <c r="D38" s="395" t="s">
        <v>364</v>
      </c>
      <c r="E38" s="395"/>
      <c r="F38" s="395"/>
      <c r="G38" s="395"/>
      <c r="H38" s="395"/>
      <c r="I38" s="395"/>
      <c r="K38" s="395" t="s">
        <v>364</v>
      </c>
      <c r="L38" s="395"/>
      <c r="M38" s="395"/>
      <c r="N38" s="395"/>
      <c r="O38" s="395"/>
      <c r="P38" s="395"/>
      <c r="R38" s="395" t="s">
        <v>364</v>
      </c>
      <c r="S38" s="395"/>
      <c r="T38" s="395"/>
      <c r="U38" s="395"/>
      <c r="V38" s="395"/>
      <c r="W38" s="395"/>
      <c r="Y38" s="395" t="s">
        <v>364</v>
      </c>
      <c r="Z38" s="395"/>
      <c r="AA38" s="395"/>
      <c r="AB38" s="395"/>
      <c r="AC38" s="395"/>
      <c r="AD38" s="395"/>
    </row>
  </sheetData>
  <mergeCells count="12">
    <mergeCell ref="D38:I38"/>
    <mergeCell ref="K38:P38"/>
    <mergeCell ref="R38:W38"/>
    <mergeCell ref="Y38:AD38"/>
    <mergeCell ref="D2:I2"/>
    <mergeCell ref="D3:I3"/>
    <mergeCell ref="K2:P2"/>
    <mergeCell ref="K3:P3"/>
    <mergeCell ref="R2:W2"/>
    <mergeCell ref="R3:W3"/>
    <mergeCell ref="Y2:AD2"/>
    <mergeCell ref="Y3:AD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89E54-0127-446E-B06A-85CBFAC5301E}">
  <sheetPr codeName="Sheet11"/>
  <dimension ref="A1:AD34"/>
  <sheetViews>
    <sheetView showGridLines="0" topLeftCell="D2" zoomScaleNormal="100" workbookViewId="0">
      <selection activeCell="D2" sqref="D2"/>
    </sheetView>
  </sheetViews>
  <sheetFormatPr defaultColWidth="9.140625" defaultRowHeight="12.75" outlineLevelRow="1" outlineLevelCol="1" x14ac:dyDescent="0.25"/>
  <cols>
    <col min="1" max="2" width="22.85546875" style="60" hidden="1" customWidth="1" outlineLevel="1"/>
    <col min="3" max="3" width="21.7109375" style="60" hidden="1" customWidth="1" outlineLevel="1"/>
    <col min="4" max="4" width="5.7109375" style="60" customWidth="1" collapsed="1"/>
    <col min="5" max="5" width="32.85546875" style="60" bestFit="1" customWidth="1"/>
    <col min="6" max="8" width="15.7109375" style="60" customWidth="1"/>
    <col min="9" max="9" width="10.7109375" style="60" customWidth="1"/>
    <col min="10" max="10" width="5.7109375" style="60" customWidth="1"/>
    <col min="11" max="11" width="32.85546875" style="60" bestFit="1" customWidth="1"/>
    <col min="12" max="14" width="15.7109375" style="60" customWidth="1"/>
    <col min="15" max="15" width="10.7109375" style="60" customWidth="1"/>
    <col min="16" max="16" width="5.7109375" style="60" customWidth="1"/>
    <col min="17" max="17" width="32.85546875" style="60" bestFit="1" customWidth="1"/>
    <col min="18" max="20" width="15.7109375" style="60" customWidth="1"/>
    <col min="21" max="21" width="10.7109375" style="60" customWidth="1"/>
    <col min="22" max="22" width="5.7109375" style="60" customWidth="1"/>
    <col min="23" max="23" width="32.85546875" style="60" bestFit="1" customWidth="1"/>
    <col min="24" max="26" width="15.7109375" style="60" customWidth="1"/>
    <col min="27" max="27" width="10.7109375" style="60" customWidth="1"/>
    <col min="28" max="28" width="5.7109375" style="60" customWidth="1"/>
    <col min="29" max="16384" width="9.140625" style="60"/>
  </cols>
  <sheetData>
    <row r="1" spans="1:30" hidden="1" outlineLevel="1" x14ac:dyDescent="0.25">
      <c r="A1" s="63"/>
      <c r="B1" s="63"/>
      <c r="C1" s="63"/>
      <c r="D1" s="63"/>
      <c r="E1" s="64" t="s">
        <v>359</v>
      </c>
      <c r="F1" s="63">
        <v>2027</v>
      </c>
      <c r="G1" s="63">
        <v>2027</v>
      </c>
      <c r="H1" s="63">
        <v>2027</v>
      </c>
      <c r="I1" s="63"/>
      <c r="J1" s="63"/>
      <c r="K1" s="63"/>
      <c r="L1" s="63">
        <v>2028</v>
      </c>
      <c r="M1" s="63">
        <v>2028</v>
      </c>
      <c r="N1" s="63">
        <v>2028</v>
      </c>
      <c r="O1" s="63"/>
      <c r="P1" s="63"/>
      <c r="Q1" s="63"/>
      <c r="R1" s="63">
        <v>2029</v>
      </c>
      <c r="S1" s="63">
        <v>2029</v>
      </c>
      <c r="T1" s="63">
        <v>2029</v>
      </c>
      <c r="U1" s="63"/>
      <c r="V1" s="63"/>
      <c r="W1" s="63"/>
      <c r="X1" s="63">
        <v>2030</v>
      </c>
      <c r="Y1" s="63">
        <v>2030</v>
      </c>
      <c r="Z1" s="63">
        <v>2030</v>
      </c>
      <c r="AA1" s="63"/>
    </row>
    <row r="2" spans="1:30" ht="15" collapsed="1" x14ac:dyDescent="0.25">
      <c r="A2" s="63"/>
      <c r="B2" s="63"/>
      <c r="C2" s="63"/>
      <c r="D2"/>
      <c r="E2" s="392" t="s">
        <v>390</v>
      </c>
      <c r="F2" s="392"/>
      <c r="G2" s="392"/>
      <c r="H2" s="392"/>
      <c r="I2" s="392"/>
      <c r="J2" s="322"/>
      <c r="K2" s="392" t="s">
        <v>392</v>
      </c>
      <c r="L2" s="392"/>
      <c r="M2" s="392"/>
      <c r="N2" s="392"/>
      <c r="O2" s="392"/>
      <c r="P2"/>
      <c r="Q2" s="392" t="s">
        <v>395</v>
      </c>
      <c r="R2" s="392"/>
      <c r="S2" s="392"/>
      <c r="T2" s="392"/>
      <c r="U2" s="392"/>
      <c r="V2"/>
      <c r="W2" s="392" t="s">
        <v>397</v>
      </c>
      <c r="X2" s="392"/>
      <c r="Y2" s="392"/>
      <c r="Z2" s="392"/>
      <c r="AA2" s="392"/>
      <c r="AB2"/>
      <c r="AC2"/>
      <c r="AD2"/>
    </row>
    <row r="3" spans="1:30" ht="15" x14ac:dyDescent="0.25">
      <c r="A3" s="63"/>
      <c r="B3" s="63"/>
      <c r="C3" s="63"/>
      <c r="D3"/>
      <c r="E3" s="392" t="s">
        <v>419</v>
      </c>
      <c r="F3" s="392"/>
      <c r="G3" s="392"/>
      <c r="H3" s="392"/>
      <c r="I3" s="392"/>
      <c r="J3" s="322"/>
      <c r="K3" s="392" t="s">
        <v>420</v>
      </c>
      <c r="L3" s="392"/>
      <c r="M3" s="392"/>
      <c r="N3" s="392"/>
      <c r="O3" s="392"/>
      <c r="P3"/>
      <c r="Q3" s="392" t="s">
        <v>421</v>
      </c>
      <c r="R3" s="392"/>
      <c r="S3" s="392"/>
      <c r="T3" s="392"/>
      <c r="U3" s="392"/>
      <c r="V3"/>
      <c r="W3" s="392" t="s">
        <v>422</v>
      </c>
      <c r="X3" s="392"/>
      <c r="Y3" s="392"/>
      <c r="Z3" s="392"/>
      <c r="AA3" s="392"/>
      <c r="AB3"/>
      <c r="AC3"/>
      <c r="AD3"/>
    </row>
    <row r="4" spans="1:30" x14ac:dyDescent="0.25">
      <c r="A4" s="61"/>
      <c r="B4" s="61"/>
      <c r="C4" s="61"/>
    </row>
    <row r="5" spans="1:30" ht="14.25" x14ac:dyDescent="0.25">
      <c r="A5" s="66" t="s">
        <v>359</v>
      </c>
      <c r="B5" s="61" t="s">
        <v>236</v>
      </c>
      <c r="C5" s="61" t="s">
        <v>237</v>
      </c>
      <c r="E5" s="32" t="s">
        <v>308</v>
      </c>
      <c r="F5" s="27" t="s">
        <v>309</v>
      </c>
      <c r="G5" s="33" t="s">
        <v>310</v>
      </c>
      <c r="H5" s="30" t="s">
        <v>240</v>
      </c>
      <c r="I5" s="34" t="s">
        <v>191</v>
      </c>
      <c r="K5" s="32" t="s">
        <v>334</v>
      </c>
      <c r="L5" s="27" t="s">
        <v>309</v>
      </c>
      <c r="M5" s="33" t="s">
        <v>310</v>
      </c>
      <c r="N5" s="30" t="s">
        <v>240</v>
      </c>
      <c r="O5" s="34" t="s">
        <v>191</v>
      </c>
      <c r="Q5" s="32" t="s">
        <v>335</v>
      </c>
      <c r="R5" s="27" t="s">
        <v>309</v>
      </c>
      <c r="S5" s="33" t="s">
        <v>310</v>
      </c>
      <c r="T5" s="30" t="s">
        <v>240</v>
      </c>
      <c r="U5" s="34" t="s">
        <v>191</v>
      </c>
      <c r="W5" s="32" t="s">
        <v>336</v>
      </c>
      <c r="X5" s="27" t="s">
        <v>309</v>
      </c>
      <c r="Y5" s="33" t="s">
        <v>310</v>
      </c>
      <c r="Z5" s="30" t="s">
        <v>240</v>
      </c>
      <c r="AA5" s="34" t="s">
        <v>191</v>
      </c>
    </row>
    <row r="6" spans="1:30" x14ac:dyDescent="0.25">
      <c r="A6" s="61"/>
      <c r="B6" s="61"/>
      <c r="C6" s="61"/>
      <c r="E6" s="67" t="s">
        <v>135</v>
      </c>
      <c r="F6" s="68">
        <f>SUM(F7:F13)</f>
        <v>74651804.810003355</v>
      </c>
      <c r="G6" s="68">
        <f>SUM(G7:G13)</f>
        <v>72787256</v>
      </c>
      <c r="H6" s="68">
        <f>F6-G6</f>
        <v>1864548.8100033551</v>
      </c>
      <c r="I6" s="69">
        <f t="shared" ref="I6" si="0">IFERROR(F6/G6,0)</f>
        <v>1.025616418484073</v>
      </c>
      <c r="K6" s="67" t="s">
        <v>135</v>
      </c>
      <c r="L6" s="68">
        <f>SUM(L7:L13)</f>
        <v>80955153.690365806</v>
      </c>
      <c r="M6" s="68">
        <f>SUM(M7:M13)</f>
        <v>75691912</v>
      </c>
      <c r="N6" s="68">
        <f>L6-M6</f>
        <v>5263241.6903658062</v>
      </c>
      <c r="O6" s="69">
        <f t="shared" ref="O6:O34" si="1">IFERROR(L6/M6,0)</f>
        <v>1.0695350606332392</v>
      </c>
      <c r="Q6" s="67" t="s">
        <v>135</v>
      </c>
      <c r="R6" s="68">
        <f>SUM(R7:R13)</f>
        <v>85755174.684830591</v>
      </c>
      <c r="S6" s="68">
        <f>SUM(S7:S13)</f>
        <v>78555425</v>
      </c>
      <c r="T6" s="68">
        <f>R6-S6</f>
        <v>7199749.6848305911</v>
      </c>
      <c r="U6" s="69">
        <f t="shared" ref="U6:U34" si="2">IFERROR(R6/S6,0)</f>
        <v>1.0916518456214908</v>
      </c>
      <c r="W6" s="67" t="s">
        <v>135</v>
      </c>
      <c r="X6" s="68">
        <f>SUM(X7:X13)</f>
        <v>90192547.378600195</v>
      </c>
      <c r="Y6" s="68">
        <f>SUM(Y7:Y13)</f>
        <v>81536209</v>
      </c>
      <c r="Z6" s="68">
        <f>X6-Y6</f>
        <v>8656338.3786001951</v>
      </c>
      <c r="AA6" s="69">
        <f t="shared" ref="AA6:AA34" si="3">IFERROR(X6/Y6,0)</f>
        <v>1.1061655733663089</v>
      </c>
    </row>
    <row r="7" spans="1:30" x14ac:dyDescent="0.25">
      <c r="A7" s="61" t="s">
        <v>159</v>
      </c>
      <c r="B7" s="61"/>
      <c r="C7" s="61"/>
      <c r="E7" s="70" t="s">
        <v>159</v>
      </c>
      <c r="F7" s="71">
        <f>SUMIFS('Summary - PAC'!$F:$F,'Summary - PAC'!$C:$C,$A7,'Summary - PAC'!$A:$A,F$1)</f>
        <v>23167100.34279196</v>
      </c>
      <c r="G7" s="71">
        <f>SUMIFS('Summary - PAC'!$I:$I,'Summary - PAC'!$C:$C,$A7,'Summary - PAC'!$A:$A,G$1)</f>
        <v>25929400</v>
      </c>
      <c r="H7" s="71">
        <f t="shared" ref="H7:H34" si="4">F7-G7</f>
        <v>-2762299.6572080404</v>
      </c>
      <c r="I7" s="72">
        <f t="shared" ref="I7:I34" si="5">IFERROR(F7/G7,0)</f>
        <v>0.89346843130932296</v>
      </c>
      <c r="K7" s="70" t="s">
        <v>159</v>
      </c>
      <c r="L7" s="71">
        <f>SUMIFS('Summary - PAC'!$F:$F,'Summary - PAC'!$C:$C,$A7,'Summary - PAC'!$A:$A,L$1)</f>
        <v>21660233.062400419</v>
      </c>
      <c r="M7" s="71">
        <f>SUMIFS('Summary - PAC'!$I:$I,'Summary - PAC'!$C:$C,$A7,'Summary - PAC'!$A:$A,M$1)</f>
        <v>23708569</v>
      </c>
      <c r="N7" s="71">
        <f t="shared" ref="N7:N34" si="6">L7-M7</f>
        <v>-2048335.9375995807</v>
      </c>
      <c r="O7" s="72">
        <f t="shared" si="1"/>
        <v>0.91360356090662487</v>
      </c>
      <c r="Q7" s="70" t="s">
        <v>159</v>
      </c>
      <c r="R7" s="71">
        <f>SUMIFS('Summary - PAC'!$F:$F,'Summary - PAC'!$C:$C,$A7,'Summary - PAC'!$A:$A,R$1)</f>
        <v>20441402.890021086</v>
      </c>
      <c r="S7" s="71">
        <f>SUMIFS('Summary - PAC'!$I:$I,'Summary - PAC'!$C:$C,$A7,'Summary - PAC'!$A:$A,S$1)</f>
        <v>21967357</v>
      </c>
      <c r="T7" s="71">
        <f t="shared" ref="T7:T34" si="7">R7-S7</f>
        <v>-1525954.1099789143</v>
      </c>
      <c r="U7" s="72">
        <f t="shared" si="2"/>
        <v>0.93053537983750556</v>
      </c>
      <c r="W7" s="70" t="s">
        <v>159</v>
      </c>
      <c r="X7" s="71">
        <f>SUMIFS('Summary - PAC'!$F:$F,'Summary - PAC'!$C:$C,$A7,'Summary - PAC'!$A:$A,X$1)</f>
        <v>19624543.797047898</v>
      </c>
      <c r="Y7" s="71">
        <f>SUMIFS('Summary - PAC'!$I:$I,'Summary - PAC'!$C:$C,$A7,'Summary - PAC'!$A:$A,Y$1)</f>
        <v>20759542</v>
      </c>
      <c r="Z7" s="71">
        <f t="shared" ref="Z7:Z34" si="8">X7-Y7</f>
        <v>-1134998.2029521018</v>
      </c>
      <c r="AA7" s="72">
        <f t="shared" si="3"/>
        <v>0.94532643336003741</v>
      </c>
    </row>
    <row r="8" spans="1:30" x14ac:dyDescent="0.25">
      <c r="A8" s="61" t="s">
        <v>130</v>
      </c>
      <c r="B8" s="61"/>
      <c r="C8" s="61"/>
      <c r="E8" s="70" t="s">
        <v>130</v>
      </c>
      <c r="F8" s="71">
        <f>SUMIFS('Summary - PAC'!$F:$F,'Summary - PAC'!$C:$C,$A8,'Summary - PAC'!$A:$A,F$1)</f>
        <v>17992696.357929666</v>
      </c>
      <c r="G8" s="71">
        <f>SUMIFS('Summary - PAC'!$I:$I,'Summary - PAC'!$C:$C,$A8,'Summary - PAC'!$A:$A,G$1)</f>
        <v>15560525</v>
      </c>
      <c r="H8" s="71">
        <f t="shared" si="4"/>
        <v>2432171.3579296656</v>
      </c>
      <c r="I8" s="72">
        <f t="shared" si="5"/>
        <v>1.1563039394833827</v>
      </c>
      <c r="K8" s="70" t="s">
        <v>130</v>
      </c>
      <c r="L8" s="71">
        <f>SUMIFS('Summary - PAC'!$F:$F,'Summary - PAC'!$C:$C,$A8,'Summary - PAC'!$A:$A,L$1)</f>
        <v>22676241.22029946</v>
      </c>
      <c r="M8" s="71">
        <f>SUMIFS('Summary - PAC'!$I:$I,'Summary - PAC'!$C:$C,$A8,'Summary - PAC'!$A:$A,M$1)</f>
        <v>18836467</v>
      </c>
      <c r="N8" s="71">
        <f t="shared" si="6"/>
        <v>3839774.22029946</v>
      </c>
      <c r="O8" s="72">
        <f t="shared" si="1"/>
        <v>1.2038478988814336</v>
      </c>
      <c r="Q8" s="70" t="s">
        <v>130</v>
      </c>
      <c r="R8" s="71">
        <f>SUMIFS('Summary - PAC'!$F:$F,'Summary - PAC'!$C:$C,$A8,'Summary - PAC'!$A:$A,R$1)</f>
        <v>25717865.911425184</v>
      </c>
      <c r="S8" s="71">
        <f>SUMIFS('Summary - PAC'!$I:$I,'Summary - PAC'!$C:$C,$A8,'Summary - PAC'!$A:$A,S$1)</f>
        <v>20917872</v>
      </c>
      <c r="T8" s="71">
        <f t="shared" si="7"/>
        <v>4799993.9114251845</v>
      </c>
      <c r="U8" s="72">
        <f t="shared" si="2"/>
        <v>1.2294685573860087</v>
      </c>
      <c r="W8" s="70" t="s">
        <v>130</v>
      </c>
      <c r="X8" s="71">
        <f>SUMIFS('Summary - PAC'!$F:$F,'Summary - PAC'!$C:$C,$A8,'Summary - PAC'!$A:$A,X$1)</f>
        <v>28072004.253775027</v>
      </c>
      <c r="Y8" s="71">
        <f>SUMIFS('Summary - PAC'!$I:$I,'Summary - PAC'!$C:$C,$A8,'Summary - PAC'!$A:$A,Y$1)</f>
        <v>22520648</v>
      </c>
      <c r="Z8" s="71">
        <f t="shared" si="8"/>
        <v>5551356.2537750266</v>
      </c>
      <c r="AA8" s="72">
        <f t="shared" si="3"/>
        <v>1.2465007336278702</v>
      </c>
    </row>
    <row r="9" spans="1:30" x14ac:dyDescent="0.25">
      <c r="A9" s="61" t="s">
        <v>333</v>
      </c>
      <c r="B9" s="61"/>
      <c r="C9" s="61"/>
      <c r="E9" s="70" t="s">
        <v>333</v>
      </c>
      <c r="F9" s="71">
        <f>SUMIFS('Summary - PAC'!$F:$F,'Summary - PAC'!$C:$C,$A9,'Summary - PAC'!$A:$A,F$1)</f>
        <v>16728402.279871453</v>
      </c>
      <c r="G9" s="71">
        <f>SUMIFS('Summary - PAC'!$I:$I,'Summary - PAC'!$C:$C,$A9,'Summary - PAC'!$A:$A,G$1)</f>
        <v>9304600</v>
      </c>
      <c r="H9" s="71">
        <f t="shared" si="4"/>
        <v>7423802.2798714526</v>
      </c>
      <c r="I9" s="72">
        <f t="shared" si="5"/>
        <v>1.797863667419497</v>
      </c>
      <c r="K9" s="70" t="s">
        <v>333</v>
      </c>
      <c r="L9" s="71">
        <f>SUMIFS('Summary - PAC'!$F:$F,'Summary - PAC'!$C:$C,$A9,'Summary - PAC'!$A:$A,L$1)</f>
        <v>17422795.888164021</v>
      </c>
      <c r="M9" s="71">
        <f>SUMIFS('Summary - PAC'!$I:$I,'Summary - PAC'!$C:$C,$A9,'Summary - PAC'!$A:$A,M$1)</f>
        <v>8998279</v>
      </c>
      <c r="N9" s="71">
        <f t="shared" si="6"/>
        <v>8424516.8881640211</v>
      </c>
      <c r="O9" s="72">
        <f t="shared" si="1"/>
        <v>1.9362364612348673</v>
      </c>
      <c r="Q9" s="70" t="s">
        <v>333</v>
      </c>
      <c r="R9" s="71">
        <f>SUMIFS('Summary - PAC'!$F:$F,'Summary - PAC'!$C:$C,$A9,'Summary - PAC'!$A:$A,R$1)</f>
        <v>18079065.54655562</v>
      </c>
      <c r="S9" s="71">
        <f>SUMIFS('Summary - PAC'!$I:$I,'Summary - PAC'!$C:$C,$A9,'Summary - PAC'!$A:$A,S$1)</f>
        <v>9225360</v>
      </c>
      <c r="T9" s="71">
        <f t="shared" si="7"/>
        <v>8853705.5465556197</v>
      </c>
      <c r="U9" s="72">
        <f t="shared" si="2"/>
        <v>1.9597138265125285</v>
      </c>
      <c r="W9" s="70" t="s">
        <v>333</v>
      </c>
      <c r="X9" s="71">
        <f>SUMIFS('Summary - PAC'!$F:$F,'Summary - PAC'!$C:$C,$A9,'Summary - PAC'!$A:$A,X$1)</f>
        <v>18678369.60780165</v>
      </c>
      <c r="Y9" s="71">
        <f>SUMIFS('Summary - PAC'!$I:$I,'Summary - PAC'!$C:$C,$A9,'Summary - PAC'!$A:$A,Y$1)</f>
        <v>9453610</v>
      </c>
      <c r="Z9" s="71">
        <f t="shared" si="8"/>
        <v>9224759.6078016497</v>
      </c>
      <c r="AA9" s="72">
        <f t="shared" si="3"/>
        <v>1.9757922748877572</v>
      </c>
    </row>
    <row r="10" spans="1:30" x14ac:dyDescent="0.25">
      <c r="A10" s="61" t="s">
        <v>160</v>
      </c>
      <c r="B10" s="61"/>
      <c r="C10" s="61"/>
      <c r="E10" s="70" t="s">
        <v>160</v>
      </c>
      <c r="F10" s="71">
        <f>SUMIFS('Summary - PAC'!$F:$F,'Summary - PAC'!$C:$C,$A10,'Summary - PAC'!$A:$A,F$1)</f>
        <v>7730608.3769144714</v>
      </c>
      <c r="G10" s="71">
        <f>SUMIFS('Summary - PAC'!$I:$I,'Summary - PAC'!$C:$C,$A10,'Summary - PAC'!$A:$A,G$1)</f>
        <v>6083993</v>
      </c>
      <c r="H10" s="71">
        <f t="shared" si="4"/>
        <v>1646615.3769144714</v>
      </c>
      <c r="I10" s="72">
        <f t="shared" si="5"/>
        <v>1.2706471517824678</v>
      </c>
      <c r="K10" s="70" t="s">
        <v>160</v>
      </c>
      <c r="L10" s="71">
        <f>SUMIFS('Summary - PAC'!$F:$F,'Summary - PAC'!$C:$C,$A10,'Summary - PAC'!$A:$A,L$1)</f>
        <v>8061584.6432832414</v>
      </c>
      <c r="M10" s="71">
        <f>SUMIFS('Summary - PAC'!$I:$I,'Summary - PAC'!$C:$C,$A10,'Summary - PAC'!$A:$A,M$1)</f>
        <v>6123301</v>
      </c>
      <c r="N10" s="71">
        <f t="shared" si="6"/>
        <v>1938283.6432832414</v>
      </c>
      <c r="O10" s="72">
        <f t="shared" si="1"/>
        <v>1.3165422773244759</v>
      </c>
      <c r="Q10" s="70" t="s">
        <v>160</v>
      </c>
      <c r="R10" s="71">
        <f>SUMIFS('Summary - PAC'!$F:$F,'Summary - PAC'!$C:$C,$A10,'Summary - PAC'!$A:$A,R$1)</f>
        <v>8356732.9362097494</v>
      </c>
      <c r="S10" s="71">
        <f>SUMIFS('Summary - PAC'!$I:$I,'Summary - PAC'!$C:$C,$A10,'Summary - PAC'!$A:$A,S$1)</f>
        <v>6268247</v>
      </c>
      <c r="T10" s="71">
        <f t="shared" si="7"/>
        <v>2088485.9362097494</v>
      </c>
      <c r="U10" s="72">
        <f t="shared" si="2"/>
        <v>1.33318500949464</v>
      </c>
      <c r="W10" s="70" t="s">
        <v>160</v>
      </c>
      <c r="X10" s="71">
        <f>SUMIFS('Summary - PAC'!$F:$F,'Summary - PAC'!$C:$C,$A10,'Summary - PAC'!$A:$A,X$1)</f>
        <v>8610544.0798373707</v>
      </c>
      <c r="Y10" s="71">
        <f>SUMIFS('Summary - PAC'!$I:$I,'Summary - PAC'!$C:$C,$A10,'Summary - PAC'!$A:$A,Y$1)</f>
        <v>6397663</v>
      </c>
      <c r="Z10" s="71">
        <f t="shared" si="8"/>
        <v>2212881.0798373707</v>
      </c>
      <c r="AA10" s="72">
        <f t="shared" si="3"/>
        <v>1.3458889722446103</v>
      </c>
    </row>
    <row r="11" spans="1:30" x14ac:dyDescent="0.25">
      <c r="A11" s="61" t="s">
        <v>161</v>
      </c>
      <c r="B11" s="61"/>
      <c r="C11" s="61"/>
      <c r="E11" s="70" t="s">
        <v>161</v>
      </c>
      <c r="F11" s="71">
        <f>SUMIFS('Summary - PAC'!$F:$F,'Summary - PAC'!$C:$C,$A11,'Summary - PAC'!$A:$A,F$1)</f>
        <v>8410796.2090371083</v>
      </c>
      <c r="G11" s="71">
        <f>SUMIFS('Summary - PAC'!$I:$I,'Summary - PAC'!$C:$C,$A11,'Summary - PAC'!$A:$A,G$1)</f>
        <v>10875000</v>
      </c>
      <c r="H11" s="71">
        <f t="shared" si="4"/>
        <v>-2464203.7909628917</v>
      </c>
      <c r="I11" s="72">
        <f t="shared" si="5"/>
        <v>0.77340654795743524</v>
      </c>
      <c r="K11" s="70" t="s">
        <v>161</v>
      </c>
      <c r="L11" s="71">
        <f>SUMIFS('Summary - PAC'!$F:$F,'Summary - PAC'!$C:$C,$A11,'Summary - PAC'!$A:$A,L$1)</f>
        <v>9904451.6873665825</v>
      </c>
      <c r="M11" s="71">
        <f>SUMIFS('Summary - PAC'!$I:$I,'Summary - PAC'!$C:$C,$A11,'Summary - PAC'!$A:$A,M$1)</f>
        <v>12762570</v>
      </c>
      <c r="N11" s="71">
        <f t="shared" si="6"/>
        <v>-2858118.3126334175</v>
      </c>
      <c r="O11" s="72">
        <f t="shared" si="1"/>
        <v>0.77605464160953341</v>
      </c>
      <c r="Q11" s="70" t="s">
        <v>161</v>
      </c>
      <c r="R11" s="71">
        <f>SUMIFS('Summary - PAC'!$F:$F,'Summary - PAC'!$C:$C,$A11,'Summary - PAC'!$A:$A,R$1)</f>
        <v>11459977.218302742</v>
      </c>
      <c r="S11" s="71">
        <f>SUMIFS('Summary - PAC'!$I:$I,'Summary - PAC'!$C:$C,$A11,'Summary - PAC'!$A:$A,S$1)</f>
        <v>14512935</v>
      </c>
      <c r="T11" s="71">
        <f t="shared" si="7"/>
        <v>-3052957.7816972584</v>
      </c>
      <c r="U11" s="72">
        <f t="shared" si="2"/>
        <v>0.78963884412785845</v>
      </c>
      <c r="W11" s="70" t="s">
        <v>161</v>
      </c>
      <c r="X11" s="71">
        <f>SUMIFS('Summary - PAC'!$F:$F,'Summary - PAC'!$C:$C,$A11,'Summary - PAC'!$A:$A,X$1)</f>
        <v>13062873.607427072</v>
      </c>
      <c r="Y11" s="71">
        <f>SUMIFS('Summary - PAC'!$I:$I,'Summary - PAC'!$C:$C,$A11,'Summary - PAC'!$A:$A,Y$1)</f>
        <v>16327928</v>
      </c>
      <c r="Z11" s="71">
        <f t="shared" si="8"/>
        <v>-3265054.3925729282</v>
      </c>
      <c r="AA11" s="72">
        <f t="shared" si="3"/>
        <v>0.80003253367035132</v>
      </c>
    </row>
    <row r="12" spans="1:30" x14ac:dyDescent="0.25">
      <c r="A12" s="61" t="s">
        <v>162</v>
      </c>
      <c r="B12" s="61"/>
      <c r="C12" s="61"/>
      <c r="E12" s="70" t="s">
        <v>162</v>
      </c>
      <c r="F12" s="71">
        <f>SUMIFS('Summary - PAC'!$F:$F,'Summary - PAC'!$C:$C,$A12,'Summary - PAC'!$A:$A,F$1)</f>
        <v>622201.24345870281</v>
      </c>
      <c r="G12" s="71">
        <f>SUMIFS('Summary - PAC'!$I:$I,'Summary - PAC'!$C:$C,$A12,'Summary - PAC'!$A:$A,G$1)</f>
        <v>2460000</v>
      </c>
      <c r="H12" s="71">
        <f t="shared" si="4"/>
        <v>-1837798.7565412973</v>
      </c>
      <c r="I12" s="72">
        <f t="shared" si="5"/>
        <v>0.25292733473931006</v>
      </c>
      <c r="K12" s="70" t="s">
        <v>162</v>
      </c>
      <c r="L12" s="71">
        <f>SUMIFS('Summary - PAC'!$F:$F,'Summary - PAC'!$C:$C,$A12,'Summary - PAC'!$A:$A,L$1)</f>
        <v>1229847.1888520925</v>
      </c>
      <c r="M12" s="71">
        <f>SUMIFS('Summary - PAC'!$I:$I,'Summary - PAC'!$C:$C,$A12,'Summary - PAC'!$A:$A,M$1)</f>
        <v>2644720</v>
      </c>
      <c r="N12" s="71">
        <f t="shared" si="6"/>
        <v>-1414872.8111479075</v>
      </c>
      <c r="O12" s="72">
        <f t="shared" si="1"/>
        <v>0.46501980884634003</v>
      </c>
      <c r="Q12" s="70" t="s">
        <v>162</v>
      </c>
      <c r="R12" s="71">
        <f>SUMIFS('Summary - PAC'!$F:$F,'Summary - PAC'!$C:$C,$A12,'Summary - PAC'!$A:$A,R$1)</f>
        <v>1700130.1823161936</v>
      </c>
      <c r="S12" s="71">
        <f>SUMIFS('Summary - PAC'!$I:$I,'Summary - PAC'!$C:$C,$A12,'Summary - PAC'!$A:$A,S$1)</f>
        <v>3000618</v>
      </c>
      <c r="T12" s="71">
        <f t="shared" si="7"/>
        <v>-1300487.8176838064</v>
      </c>
      <c r="U12" s="72">
        <f t="shared" si="2"/>
        <v>0.56659334254350058</v>
      </c>
      <c r="W12" s="70" t="s">
        <v>162</v>
      </c>
      <c r="X12" s="71">
        <f>SUMIFS('Summary - PAC'!$F:$F,'Summary - PAC'!$C:$C,$A12,'Summary - PAC'!$A:$A,X$1)</f>
        <v>2144212.0327111711</v>
      </c>
      <c r="Y12" s="71">
        <f>SUMIFS('Summary - PAC'!$I:$I,'Summary - PAC'!$C:$C,$A12,'Summary - PAC'!$A:$A,Y$1)</f>
        <v>3367977</v>
      </c>
      <c r="Z12" s="71">
        <f t="shared" si="8"/>
        <v>-1223764.9672888289</v>
      </c>
      <c r="AA12" s="72">
        <f t="shared" si="3"/>
        <v>0.63664687517497032</v>
      </c>
    </row>
    <row r="13" spans="1:30" x14ac:dyDescent="0.25">
      <c r="A13" s="61" t="s">
        <v>17</v>
      </c>
      <c r="B13" s="61"/>
      <c r="C13" s="61"/>
      <c r="E13" s="70" t="s">
        <v>136</v>
      </c>
      <c r="F13" s="71">
        <f>SUMIFS('Summary - PAC'!$F:$F,'Summary - PAC'!$C:$C,$A13,'Summary - PAC'!$A:$A,F$1)</f>
        <v>0</v>
      </c>
      <c r="G13" s="71">
        <f>SUMIFS('Summary - PAC'!$I:$I,'Summary - PAC'!$C:$C,$A13,'Summary - PAC'!$A:$A,G$1)</f>
        <v>2573738</v>
      </c>
      <c r="H13" s="71">
        <f t="shared" si="4"/>
        <v>-2573738</v>
      </c>
      <c r="I13" s="73">
        <f t="shared" si="5"/>
        <v>0</v>
      </c>
      <c r="K13" s="70" t="s">
        <v>136</v>
      </c>
      <c r="L13" s="71">
        <f>SUMIFS('Summary - PAC'!$F:$F,'Summary - PAC'!$C:$C,$A13,'Summary - PAC'!$A:$A,L$1)</f>
        <v>0</v>
      </c>
      <c r="M13" s="71">
        <f>SUMIFS('Summary - PAC'!$I:$I,'Summary - PAC'!$C:$C,$A13,'Summary - PAC'!$A:$A,M$1)</f>
        <v>2618006</v>
      </c>
      <c r="N13" s="71">
        <f t="shared" si="6"/>
        <v>-2618006</v>
      </c>
      <c r="O13" s="73">
        <f t="shared" si="1"/>
        <v>0</v>
      </c>
      <c r="Q13" s="70" t="s">
        <v>136</v>
      </c>
      <c r="R13" s="71">
        <f>SUMIFS('Summary - PAC'!$F:$F,'Summary - PAC'!$C:$C,$A13,'Summary - PAC'!$A:$A,R$1)</f>
        <v>0</v>
      </c>
      <c r="S13" s="71">
        <f>SUMIFS('Summary - PAC'!$I:$I,'Summary - PAC'!$C:$C,$A13,'Summary - PAC'!$A:$A,S$1)</f>
        <v>2663036</v>
      </c>
      <c r="T13" s="71">
        <f t="shared" si="7"/>
        <v>-2663036</v>
      </c>
      <c r="U13" s="73">
        <f t="shared" si="2"/>
        <v>0</v>
      </c>
      <c r="W13" s="70" t="s">
        <v>136</v>
      </c>
      <c r="X13" s="71">
        <f>SUMIFS('Summary - PAC'!$F:$F,'Summary - PAC'!$C:$C,$A13,'Summary - PAC'!$A:$A,X$1)</f>
        <v>0</v>
      </c>
      <c r="Y13" s="71">
        <f>SUMIFS('Summary - PAC'!$I:$I,'Summary - PAC'!$C:$C,$A13,'Summary - PAC'!$A:$A,Y$1)</f>
        <v>2708841</v>
      </c>
      <c r="Z13" s="71">
        <f t="shared" si="8"/>
        <v>-2708841</v>
      </c>
      <c r="AA13" s="73">
        <f t="shared" si="3"/>
        <v>0</v>
      </c>
    </row>
    <row r="14" spans="1:30" x14ac:dyDescent="0.25">
      <c r="A14" s="61"/>
      <c r="B14" s="61"/>
      <c r="C14" s="61"/>
      <c r="E14" s="74" t="s">
        <v>137</v>
      </c>
      <c r="F14" s="75">
        <f>SUM(F15:F17)</f>
        <v>19399639.99532437</v>
      </c>
      <c r="G14" s="75">
        <f>SUM(G15:G17)</f>
        <v>27336368</v>
      </c>
      <c r="H14" s="75">
        <f t="shared" si="4"/>
        <v>-7936728.0046756305</v>
      </c>
      <c r="I14" s="76">
        <f t="shared" si="5"/>
        <v>0.70966413663016126</v>
      </c>
      <c r="K14" s="74" t="s">
        <v>137</v>
      </c>
      <c r="L14" s="75">
        <f>SUM(L15:L17)</f>
        <v>21023292.675820019</v>
      </c>
      <c r="M14" s="75">
        <f>SUM(M15:M17)</f>
        <v>29790341</v>
      </c>
      <c r="N14" s="75">
        <f t="shared" si="6"/>
        <v>-8767048.3241799809</v>
      </c>
      <c r="O14" s="76">
        <f t="shared" si="1"/>
        <v>0.70570835949209243</v>
      </c>
      <c r="Q14" s="74" t="s">
        <v>137</v>
      </c>
      <c r="R14" s="75">
        <f>SUM(R15:R17)</f>
        <v>22666191.768520165</v>
      </c>
      <c r="S14" s="75">
        <f>SUM(S15:S17)</f>
        <v>32879507</v>
      </c>
      <c r="T14" s="75">
        <f t="shared" si="7"/>
        <v>-10213315.231479835</v>
      </c>
      <c r="U14" s="76">
        <f t="shared" si="2"/>
        <v>0.68937139989721152</v>
      </c>
      <c r="W14" s="74" t="s">
        <v>137</v>
      </c>
      <c r="X14" s="75">
        <f>SUM(X15:X17)</f>
        <v>24307566.685361199</v>
      </c>
      <c r="Y14" s="75">
        <f>SUM(Y15:Y17)</f>
        <v>35656823</v>
      </c>
      <c r="Z14" s="75">
        <f t="shared" si="8"/>
        <v>-11349256.314638801</v>
      </c>
      <c r="AA14" s="76">
        <f t="shared" si="3"/>
        <v>0.68170870650369497</v>
      </c>
    </row>
    <row r="15" spans="1:30" x14ac:dyDescent="0.25">
      <c r="A15" s="61" t="s">
        <v>22</v>
      </c>
      <c r="B15" s="61"/>
      <c r="C15" s="61"/>
      <c r="E15" s="70" t="s">
        <v>22</v>
      </c>
      <c r="F15" s="71">
        <f>SUMIFS('Summary - PAC'!$F:$F,'Summary - PAC'!$C:$C,$A15,'Summary - PAC'!$A:$A,F$1)</f>
        <v>10224699.591821622</v>
      </c>
      <c r="G15" s="71">
        <f>SUMIFS('Summary - PAC'!$I:$I,'Summary - PAC'!$C:$C,$A15,'Summary - PAC'!$A:$A,G$1)</f>
        <v>16775338</v>
      </c>
      <c r="H15" s="71">
        <f t="shared" si="4"/>
        <v>-6550638.4081783779</v>
      </c>
      <c r="I15" s="72">
        <f t="shared" si="5"/>
        <v>0.60950781390047837</v>
      </c>
      <c r="K15" s="70" t="s">
        <v>22</v>
      </c>
      <c r="L15" s="71">
        <f>SUMIFS('Summary - PAC'!$F:$F,'Summary - PAC'!$C:$C,$A15,'Summary - PAC'!$A:$A,L$1)</f>
        <v>11406395.341048393</v>
      </c>
      <c r="M15" s="71">
        <f>SUMIFS('Summary - PAC'!$I:$I,'Summary - PAC'!$C:$C,$A15,'Summary - PAC'!$A:$A,M$1)</f>
        <v>18591203</v>
      </c>
      <c r="N15" s="71">
        <f t="shared" si="6"/>
        <v>-7184807.6589516066</v>
      </c>
      <c r="O15" s="72">
        <f t="shared" si="1"/>
        <v>0.61353723807159732</v>
      </c>
      <c r="Q15" s="70" t="s">
        <v>22</v>
      </c>
      <c r="R15" s="71">
        <f>SUMIFS('Summary - PAC'!$F:$F,'Summary - PAC'!$C:$C,$A15,'Summary - PAC'!$A:$A,R$1)</f>
        <v>12569637.663536292</v>
      </c>
      <c r="S15" s="71">
        <f>SUMIFS('Summary - PAC'!$I:$I,'Summary - PAC'!$C:$C,$A15,'Summary - PAC'!$A:$A,S$1)</f>
        <v>20703369</v>
      </c>
      <c r="T15" s="71">
        <f t="shared" si="7"/>
        <v>-8133731.3364637084</v>
      </c>
      <c r="U15" s="72">
        <f t="shared" si="2"/>
        <v>0.60713006001758896</v>
      </c>
      <c r="W15" s="70" t="s">
        <v>22</v>
      </c>
      <c r="X15" s="71">
        <f>SUMIFS('Summary - PAC'!$F:$F,'Summary - PAC'!$C:$C,$A15,'Summary - PAC'!$A:$A,X$1)</f>
        <v>13871281.337383885</v>
      </c>
      <c r="Y15" s="71">
        <f>SUMIFS('Summary - PAC'!$I:$I,'Summary - PAC'!$C:$C,$A15,'Summary - PAC'!$A:$A,Y$1)</f>
        <v>22903803</v>
      </c>
      <c r="Z15" s="71">
        <f t="shared" si="8"/>
        <v>-9032521.6626161151</v>
      </c>
      <c r="AA15" s="72">
        <f t="shared" si="3"/>
        <v>0.60563223222728058</v>
      </c>
    </row>
    <row r="16" spans="1:30" x14ac:dyDescent="0.25">
      <c r="A16" s="61" t="s">
        <v>21</v>
      </c>
      <c r="B16" s="61"/>
      <c r="C16" s="61"/>
      <c r="E16" s="70" t="s">
        <v>21</v>
      </c>
      <c r="F16" s="71">
        <f>SUMIFS('Summary - PAC'!$F:$F,'Summary - PAC'!$C:$C,$A16,'Summary - PAC'!$A:$A,F$1)</f>
        <v>9174940.4035027474</v>
      </c>
      <c r="G16" s="71">
        <f>SUMIFS('Summary - PAC'!$I:$I,'Summary - PAC'!$C:$C,$A16,'Summary - PAC'!$A:$A,G$1)</f>
        <v>8722689</v>
      </c>
      <c r="H16" s="71">
        <f t="shared" si="4"/>
        <v>452251.40350274742</v>
      </c>
      <c r="I16" s="72">
        <f t="shared" si="5"/>
        <v>1.0518477047046786</v>
      </c>
      <c r="K16" s="70" t="s">
        <v>21</v>
      </c>
      <c r="L16" s="71">
        <f>SUMIFS('Summary - PAC'!$F:$F,'Summary - PAC'!$C:$C,$A16,'Summary - PAC'!$A:$A,L$1)</f>
        <v>9616897.3347716257</v>
      </c>
      <c r="M16" s="71">
        <f>SUMIFS('Summary - PAC'!$I:$I,'Summary - PAC'!$C:$C,$A16,'Summary - PAC'!$A:$A,M$1)</f>
        <v>9329177</v>
      </c>
      <c r="N16" s="71">
        <f t="shared" si="6"/>
        <v>287720.3347716257</v>
      </c>
      <c r="O16" s="72">
        <f t="shared" si="1"/>
        <v>1.0308409128448979</v>
      </c>
      <c r="Q16" s="70" t="s">
        <v>21</v>
      </c>
      <c r="R16" s="71">
        <f>SUMIFS('Summary - PAC'!$F:$F,'Summary - PAC'!$C:$C,$A16,'Summary - PAC'!$A:$A,R$1)</f>
        <v>10096554.104983874</v>
      </c>
      <c r="S16" s="71">
        <f>SUMIFS('Summary - PAC'!$I:$I,'Summary - PAC'!$C:$C,$A16,'Summary - PAC'!$A:$A,S$1)</f>
        <v>10274013</v>
      </c>
      <c r="T16" s="71">
        <f t="shared" si="7"/>
        <v>-177458.89501612633</v>
      </c>
      <c r="U16" s="72">
        <f t="shared" si="2"/>
        <v>0.98272740213428522</v>
      </c>
      <c r="W16" s="70" t="s">
        <v>21</v>
      </c>
      <c r="X16" s="71">
        <f>SUMIFS('Summary - PAC'!$F:$F,'Summary - PAC'!$C:$C,$A16,'Summary - PAC'!$A:$A,X$1)</f>
        <v>10436285.347977316</v>
      </c>
      <c r="Y16" s="71">
        <f>SUMIFS('Summary - PAC'!$I:$I,'Summary - PAC'!$C:$C,$A16,'Summary - PAC'!$A:$A,Y$1)</f>
        <v>10818179</v>
      </c>
      <c r="Z16" s="71">
        <f t="shared" si="8"/>
        <v>-381893.65202268399</v>
      </c>
      <c r="AA16" s="72">
        <f t="shared" si="3"/>
        <v>0.96469889691946453</v>
      </c>
    </row>
    <row r="17" spans="1:27" x14ac:dyDescent="0.25">
      <c r="A17" s="61" t="s">
        <v>23</v>
      </c>
      <c r="B17" s="61"/>
      <c r="C17" s="61"/>
      <c r="E17" s="70" t="s">
        <v>136</v>
      </c>
      <c r="F17" s="71">
        <f>SUMIFS('Summary - PAC'!$F:$F,'Summary - PAC'!$C:$C,$A17,'Summary - PAC'!$A:$A,F$1)</f>
        <v>0</v>
      </c>
      <c r="G17" s="71">
        <f>SUMIFS('Summary - PAC'!$I:$I,'Summary - PAC'!$C:$C,$A17,'Summary - PAC'!$A:$A,G$1)</f>
        <v>1838341</v>
      </c>
      <c r="H17" s="71">
        <f t="shared" si="4"/>
        <v>-1838341</v>
      </c>
      <c r="I17" s="73">
        <f t="shared" si="5"/>
        <v>0</v>
      </c>
      <c r="K17" s="70" t="s">
        <v>136</v>
      </c>
      <c r="L17" s="71">
        <f>SUMIFS('Summary - PAC'!$F:$F,'Summary - PAC'!$C:$C,$A17,'Summary - PAC'!$A:$A,L$1)</f>
        <v>0</v>
      </c>
      <c r="M17" s="71">
        <f>SUMIFS('Summary - PAC'!$I:$I,'Summary - PAC'!$C:$C,$A17,'Summary - PAC'!$A:$A,M$1)</f>
        <v>1869961</v>
      </c>
      <c r="N17" s="71">
        <f t="shared" si="6"/>
        <v>-1869961</v>
      </c>
      <c r="O17" s="73">
        <f t="shared" si="1"/>
        <v>0</v>
      </c>
      <c r="Q17" s="70" t="s">
        <v>136</v>
      </c>
      <c r="R17" s="71">
        <f>SUMIFS('Summary - PAC'!$F:$F,'Summary - PAC'!$C:$C,$A17,'Summary - PAC'!$A:$A,R$1)</f>
        <v>0</v>
      </c>
      <c r="S17" s="71">
        <f>SUMIFS('Summary - PAC'!$I:$I,'Summary - PAC'!$C:$C,$A17,'Summary - PAC'!$A:$A,S$1)</f>
        <v>1902125</v>
      </c>
      <c r="T17" s="71">
        <f t="shared" si="7"/>
        <v>-1902125</v>
      </c>
      <c r="U17" s="73">
        <f t="shared" si="2"/>
        <v>0</v>
      </c>
      <c r="W17" s="70" t="s">
        <v>136</v>
      </c>
      <c r="X17" s="71">
        <f>SUMIFS('Summary - PAC'!$F:$F,'Summary - PAC'!$C:$C,$A17,'Summary - PAC'!$A:$A,X$1)</f>
        <v>0</v>
      </c>
      <c r="Y17" s="71">
        <f>SUMIFS('Summary - PAC'!$I:$I,'Summary - PAC'!$C:$C,$A17,'Summary - PAC'!$A:$A,Y$1)</f>
        <v>1934841</v>
      </c>
      <c r="Z17" s="71">
        <f t="shared" si="8"/>
        <v>-1934841</v>
      </c>
      <c r="AA17" s="73">
        <f t="shared" si="3"/>
        <v>0</v>
      </c>
    </row>
    <row r="18" spans="1:27" x14ac:dyDescent="0.25">
      <c r="A18" s="61"/>
      <c r="B18" s="61"/>
      <c r="C18" s="61"/>
      <c r="E18" s="74" t="s">
        <v>138</v>
      </c>
      <c r="F18" s="77">
        <f>SUM(F19:F25)</f>
        <v>93416735.564344049</v>
      </c>
      <c r="G18" s="77">
        <f>SUM(G19:G25)</f>
        <v>43048033</v>
      </c>
      <c r="H18" s="77">
        <f t="shared" si="4"/>
        <v>50368702.564344049</v>
      </c>
      <c r="I18" s="76">
        <f t="shared" si="5"/>
        <v>2.1700581665216632</v>
      </c>
      <c r="K18" s="74" t="s">
        <v>138</v>
      </c>
      <c r="L18" s="77">
        <f>SUM(L19:L25)</f>
        <v>109973922.37024722</v>
      </c>
      <c r="M18" s="77">
        <f>SUM(M19:M25)</f>
        <v>48468329</v>
      </c>
      <c r="N18" s="77">
        <f t="shared" si="6"/>
        <v>61505593.370247215</v>
      </c>
      <c r="O18" s="76">
        <f t="shared" si="1"/>
        <v>2.2689852247690903</v>
      </c>
      <c r="Q18" s="74" t="s">
        <v>138</v>
      </c>
      <c r="R18" s="77">
        <f>SUM(R19:R25)</f>
        <v>123257557.83257194</v>
      </c>
      <c r="S18" s="77">
        <f>SUM(S19:S25)</f>
        <v>52453915</v>
      </c>
      <c r="T18" s="77">
        <f t="shared" si="7"/>
        <v>70803642.832571939</v>
      </c>
      <c r="U18" s="76">
        <f t="shared" si="2"/>
        <v>2.3498257057184757</v>
      </c>
      <c r="W18" s="74" t="s">
        <v>138</v>
      </c>
      <c r="X18" s="77">
        <f>SUM(X19:X25)</f>
        <v>133898258.79545242</v>
      </c>
      <c r="Y18" s="77">
        <f>SUM(Y19:Y25)</f>
        <v>55837414</v>
      </c>
      <c r="Z18" s="77">
        <f t="shared" si="8"/>
        <v>78060844.795452416</v>
      </c>
      <c r="AA18" s="76">
        <f t="shared" si="3"/>
        <v>2.3980025076994509</v>
      </c>
    </row>
    <row r="19" spans="1:27" x14ac:dyDescent="0.25">
      <c r="A19" s="61" t="s">
        <v>9</v>
      </c>
      <c r="B19" s="61"/>
      <c r="C19" s="61"/>
      <c r="E19" s="70" t="s">
        <v>9</v>
      </c>
      <c r="F19" s="71">
        <f>SUMIFS('Summary - PAC'!$F:$F,'Summary - PAC'!$C:$C,$A19,'Summary - PAC'!$A:$A,F$1)</f>
        <v>60395906.102622338</v>
      </c>
      <c r="G19" s="71">
        <f>SUMIFS('Summary - PAC'!$I:$I,'Summary - PAC'!$C:$C,$A19,'Summary - PAC'!$A:$A,G$1)</f>
        <v>14799782</v>
      </c>
      <c r="H19" s="71">
        <f t="shared" si="4"/>
        <v>45596124.102622338</v>
      </c>
      <c r="I19" s="72">
        <f t="shared" si="5"/>
        <v>4.0808645764256752</v>
      </c>
      <c r="K19" s="70" t="s">
        <v>9</v>
      </c>
      <c r="L19" s="71">
        <f>SUMIFS('Summary - PAC'!$F:$F,'Summary - PAC'!$C:$C,$A19,'Summary - PAC'!$A:$A,L$1)</f>
        <v>71484430.08941032</v>
      </c>
      <c r="M19" s="71">
        <f>SUMIFS('Summary - PAC'!$I:$I,'Summary - PAC'!$C:$C,$A19,'Summary - PAC'!$A:$A,M$1)</f>
        <v>17352222</v>
      </c>
      <c r="N19" s="71">
        <f t="shared" si="6"/>
        <v>54132208.08941032</v>
      </c>
      <c r="O19" s="72">
        <f t="shared" si="1"/>
        <v>4.1196124674644157</v>
      </c>
      <c r="Q19" s="70" t="s">
        <v>9</v>
      </c>
      <c r="R19" s="71">
        <f>SUMIFS('Summary - PAC'!$F:$F,'Summary - PAC'!$C:$C,$A19,'Summary - PAC'!$A:$A,R$1)</f>
        <v>80208654.307352334</v>
      </c>
      <c r="S19" s="71">
        <f>SUMIFS('Summary - PAC'!$I:$I,'Summary - PAC'!$C:$C,$A19,'Summary - PAC'!$A:$A,S$1)</f>
        <v>19123676</v>
      </c>
      <c r="T19" s="71">
        <f t="shared" si="7"/>
        <v>61084978.307352334</v>
      </c>
      <c r="U19" s="72">
        <f t="shared" si="2"/>
        <v>4.194206924827232</v>
      </c>
      <c r="W19" s="70" t="s">
        <v>9</v>
      </c>
      <c r="X19" s="71">
        <f>SUMIFS('Summary - PAC'!$F:$F,'Summary - PAC'!$C:$C,$A19,'Summary - PAC'!$A:$A,X$1)</f>
        <v>87484369.144144341</v>
      </c>
      <c r="Y19" s="71">
        <f>SUMIFS('Summary - PAC'!$I:$I,'Summary - PAC'!$C:$C,$A19,'Summary - PAC'!$A:$A,Y$1)</f>
        <v>20784287</v>
      </c>
      <c r="Z19" s="71">
        <f t="shared" si="8"/>
        <v>66700082.144144341</v>
      </c>
      <c r="AA19" s="72">
        <f t="shared" si="3"/>
        <v>4.2091590221085928</v>
      </c>
    </row>
    <row r="20" spans="1:27" x14ac:dyDescent="0.25">
      <c r="A20" s="61" t="s">
        <v>163</v>
      </c>
      <c r="B20" s="61"/>
      <c r="C20" s="61"/>
      <c r="E20" s="70" t="s">
        <v>163</v>
      </c>
      <c r="F20" s="71">
        <f>SUMIFS('Summary - PAC'!$F:$F,'Summary - PAC'!$C:$C,$A20,'Summary - PAC'!$A:$A,F$1)</f>
        <v>9822566.6655540653</v>
      </c>
      <c r="G20" s="71">
        <f>SUMIFS('Summary - PAC'!$I:$I,'Summary - PAC'!$C:$C,$A20,'Summary - PAC'!$A:$A,G$1)</f>
        <v>4853186</v>
      </c>
      <c r="H20" s="71">
        <f t="shared" si="4"/>
        <v>4969380.6655540653</v>
      </c>
      <c r="I20" s="72">
        <f t="shared" si="5"/>
        <v>2.0239419353707162</v>
      </c>
      <c r="K20" s="70" t="s">
        <v>163</v>
      </c>
      <c r="L20" s="71">
        <f>SUMIFS('Summary - PAC'!$F:$F,'Summary - PAC'!$C:$C,$A20,'Summary - PAC'!$A:$A,L$1)</f>
        <v>11307567.974344835</v>
      </c>
      <c r="M20" s="71">
        <f>SUMIFS('Summary - PAC'!$I:$I,'Summary - PAC'!$C:$C,$A20,'Summary - PAC'!$A:$A,M$1)</f>
        <v>5418064</v>
      </c>
      <c r="N20" s="71">
        <f t="shared" si="6"/>
        <v>5889503.9743448347</v>
      </c>
      <c r="O20" s="72">
        <f t="shared" si="1"/>
        <v>2.0870126256066439</v>
      </c>
      <c r="Q20" s="70" t="s">
        <v>163</v>
      </c>
      <c r="R20" s="71">
        <f>SUMIFS('Summary - PAC'!$F:$F,'Summary - PAC'!$C:$C,$A20,'Summary - PAC'!$A:$A,R$1)</f>
        <v>12884387.740530813</v>
      </c>
      <c r="S20" s="71">
        <f>SUMIFS('Summary - PAC'!$I:$I,'Summary - PAC'!$C:$C,$A20,'Summary - PAC'!$A:$A,S$1)</f>
        <v>6024069</v>
      </c>
      <c r="T20" s="71">
        <f t="shared" si="7"/>
        <v>6860318.7405308131</v>
      </c>
      <c r="U20" s="72">
        <f t="shared" si="2"/>
        <v>2.1388180879951428</v>
      </c>
      <c r="W20" s="70" t="s">
        <v>163</v>
      </c>
      <c r="X20" s="71">
        <f>SUMIFS('Summary - PAC'!$F:$F,'Summary - PAC'!$C:$C,$A20,'Summary - PAC'!$A:$A,X$1)</f>
        <v>13973611.054878596</v>
      </c>
      <c r="Y20" s="71">
        <f>SUMIFS('Summary - PAC'!$I:$I,'Summary - PAC'!$C:$C,$A20,'Summary - PAC'!$A:$A,Y$1)</f>
        <v>6422701</v>
      </c>
      <c r="Z20" s="71">
        <f t="shared" si="8"/>
        <v>7550910.0548785962</v>
      </c>
      <c r="AA20" s="72">
        <f t="shared" si="3"/>
        <v>2.1756595947528301</v>
      </c>
    </row>
    <row r="21" spans="1:27" x14ac:dyDescent="0.25">
      <c r="A21" s="61" t="s">
        <v>164</v>
      </c>
      <c r="B21" s="61"/>
      <c r="C21" s="61"/>
      <c r="E21" s="70" t="s">
        <v>164</v>
      </c>
      <c r="F21" s="71">
        <f>SUMIFS('Summary - PAC'!$F:$F,'Summary - PAC'!$C:$C,$A21,'Summary - PAC'!$A:$A,F$1)</f>
        <v>17838495.776513193</v>
      </c>
      <c r="G21" s="71">
        <f>SUMIFS('Summary - PAC'!$I:$I,'Summary - PAC'!$C:$C,$A21,'Summary - PAC'!$A:$A,G$1)</f>
        <v>10952133</v>
      </c>
      <c r="H21" s="71">
        <f t="shared" si="4"/>
        <v>6886362.7765131928</v>
      </c>
      <c r="I21" s="72">
        <f t="shared" si="5"/>
        <v>1.6287690969889785</v>
      </c>
      <c r="K21" s="70" t="s">
        <v>164</v>
      </c>
      <c r="L21" s="71">
        <f>SUMIFS('Summary - PAC'!$F:$F,'Summary - PAC'!$C:$C,$A21,'Summary - PAC'!$A:$A,L$1)</f>
        <v>20570746.04311594</v>
      </c>
      <c r="M21" s="71">
        <f>SUMIFS('Summary - PAC'!$I:$I,'Summary - PAC'!$C:$C,$A21,'Summary - PAC'!$A:$A,M$1)</f>
        <v>12354268</v>
      </c>
      <c r="N21" s="71">
        <f t="shared" si="6"/>
        <v>8216478.0431159399</v>
      </c>
      <c r="O21" s="72">
        <f t="shared" si="1"/>
        <v>1.6650720255636302</v>
      </c>
      <c r="Q21" s="70" t="s">
        <v>164</v>
      </c>
      <c r="R21" s="71">
        <f>SUMIFS('Summary - PAC'!$F:$F,'Summary - PAC'!$C:$C,$A21,'Summary - PAC'!$A:$A,R$1)</f>
        <v>22435295.747478705</v>
      </c>
      <c r="S21" s="71">
        <f>SUMIFS('Summary - PAC'!$I:$I,'Summary - PAC'!$C:$C,$A21,'Summary - PAC'!$A:$A,S$1)</f>
        <v>13247218</v>
      </c>
      <c r="T21" s="71">
        <f t="shared" si="7"/>
        <v>9188077.7474787049</v>
      </c>
      <c r="U21" s="72">
        <f t="shared" si="2"/>
        <v>1.6935854567712787</v>
      </c>
      <c r="W21" s="70" t="s">
        <v>164</v>
      </c>
      <c r="X21" s="71">
        <f>SUMIFS('Summary - PAC'!$F:$F,'Summary - PAC'!$C:$C,$A21,'Summary - PAC'!$A:$A,X$1)</f>
        <v>23727751.503087245</v>
      </c>
      <c r="Y21" s="71">
        <f>SUMIFS('Summary - PAC'!$I:$I,'Summary - PAC'!$C:$C,$A21,'Summary - PAC'!$A:$A,Y$1)</f>
        <v>13880238</v>
      </c>
      <c r="Z21" s="71">
        <f t="shared" si="8"/>
        <v>9847513.5030872449</v>
      </c>
      <c r="AA21" s="72">
        <f t="shared" si="3"/>
        <v>1.7094628711040289</v>
      </c>
    </row>
    <row r="22" spans="1:27" x14ac:dyDescent="0.25">
      <c r="A22" s="61" t="s">
        <v>165</v>
      </c>
      <c r="B22" s="61"/>
      <c r="C22" s="61"/>
      <c r="E22" s="70" t="s">
        <v>165</v>
      </c>
      <c r="F22" s="71">
        <f>SUMIFS('Summary - PAC'!$F:$F,'Summary - PAC'!$C:$C,$A22,'Summary - PAC'!$A:$A,F$1)</f>
        <v>4975195.7157058623</v>
      </c>
      <c r="G22" s="71">
        <f>SUMIFS('Summary - PAC'!$I:$I,'Summary - PAC'!$C:$C,$A22,'Summary - PAC'!$A:$A,G$1)</f>
        <v>3357178</v>
      </c>
      <c r="H22" s="71">
        <f t="shared" si="4"/>
        <v>1618017.7157058623</v>
      </c>
      <c r="I22" s="72">
        <f t="shared" si="5"/>
        <v>1.4819576786532802</v>
      </c>
      <c r="K22" s="70" t="s">
        <v>165</v>
      </c>
      <c r="L22" s="71">
        <f>SUMIFS('Summary - PAC'!$F:$F,'Summary - PAC'!$C:$C,$A22,'Summary - PAC'!$A:$A,L$1)</f>
        <v>6008488.9028801387</v>
      </c>
      <c r="M22" s="71">
        <f>SUMIFS('Summary - PAC'!$I:$I,'Summary - PAC'!$C:$C,$A22,'Summary - PAC'!$A:$A,M$1)</f>
        <v>3910928</v>
      </c>
      <c r="N22" s="71">
        <f t="shared" si="6"/>
        <v>2097560.9028801387</v>
      </c>
      <c r="O22" s="72">
        <f t="shared" si="1"/>
        <v>1.536333295545236</v>
      </c>
      <c r="Q22" s="70" t="s">
        <v>165</v>
      </c>
      <c r="R22" s="71">
        <f>SUMIFS('Summary - PAC'!$F:$F,'Summary - PAC'!$C:$C,$A22,'Summary - PAC'!$A:$A,R$1)</f>
        <v>6863227.3857269874</v>
      </c>
      <c r="S22" s="71">
        <f>SUMIFS('Summary - PAC'!$I:$I,'Summary - PAC'!$C:$C,$A22,'Summary - PAC'!$A:$A,S$1)</f>
        <v>4321951</v>
      </c>
      <c r="T22" s="71">
        <f t="shared" si="7"/>
        <v>2541276.3857269874</v>
      </c>
      <c r="U22" s="72">
        <f t="shared" si="2"/>
        <v>1.5879928730628801</v>
      </c>
      <c r="W22" s="70" t="s">
        <v>165</v>
      </c>
      <c r="X22" s="71">
        <f>SUMIFS('Summary - PAC'!$F:$F,'Summary - PAC'!$C:$C,$A22,'Summary - PAC'!$A:$A,X$1)</f>
        <v>7441145.3419403937</v>
      </c>
      <c r="Y22" s="71">
        <f>SUMIFS('Summary - PAC'!$I:$I,'Summary - PAC'!$C:$C,$A22,'Summary - PAC'!$A:$A,Y$1)</f>
        <v>4608494</v>
      </c>
      <c r="Z22" s="71">
        <f t="shared" si="8"/>
        <v>2832651.3419403937</v>
      </c>
      <c r="AA22" s="72">
        <f t="shared" si="3"/>
        <v>1.6146587891706907</v>
      </c>
    </row>
    <row r="23" spans="1:27" x14ac:dyDescent="0.25">
      <c r="A23" s="61" t="s">
        <v>166</v>
      </c>
      <c r="B23" s="61"/>
      <c r="C23" s="61"/>
      <c r="E23" s="70" t="s">
        <v>166</v>
      </c>
      <c r="F23" s="71">
        <f>SUMIFS('Summary - PAC'!$F:$F,'Summary - PAC'!$C:$C,$A23,'Summary - PAC'!$A:$A,F$1)</f>
        <v>249685.4026295607</v>
      </c>
      <c r="G23" s="71">
        <f>SUMIFS('Summary - PAC'!$I:$I,'Summary - PAC'!$C:$C,$A23,'Summary - PAC'!$A:$A,G$1)</f>
        <v>572930</v>
      </c>
      <c r="H23" s="71">
        <f t="shared" si="4"/>
        <v>-323244.59737043933</v>
      </c>
      <c r="I23" s="72">
        <f t="shared" si="5"/>
        <v>0.43580437859696769</v>
      </c>
      <c r="K23" s="70" t="s">
        <v>166</v>
      </c>
      <c r="L23" s="71">
        <f>SUMIFS('Summary - PAC'!$F:$F,'Summary - PAC'!$C:$C,$A23,'Summary - PAC'!$A:$A,L$1)</f>
        <v>398768.69568550674</v>
      </c>
      <c r="M23" s="71">
        <f>SUMIFS('Summary - PAC'!$I:$I,'Summary - PAC'!$C:$C,$A23,'Summary - PAC'!$A:$A,M$1)</f>
        <v>723154</v>
      </c>
      <c r="N23" s="71">
        <f t="shared" si="6"/>
        <v>-324385.30431449326</v>
      </c>
      <c r="O23" s="72">
        <f t="shared" si="1"/>
        <v>0.55142984161811559</v>
      </c>
      <c r="Q23" s="70" t="s">
        <v>166</v>
      </c>
      <c r="R23" s="71">
        <f>SUMIFS('Summary - PAC'!$F:$F,'Summary - PAC'!$C:$C,$A23,'Summary - PAC'!$A:$A,R$1)</f>
        <v>443340.48862535344</v>
      </c>
      <c r="S23" s="71">
        <f>SUMIFS('Summary - PAC'!$I:$I,'Summary - PAC'!$C:$C,$A23,'Summary - PAC'!$A:$A,S$1)</f>
        <v>746073</v>
      </c>
      <c r="T23" s="71">
        <f t="shared" si="7"/>
        <v>-302732.51137464656</v>
      </c>
      <c r="U23" s="72">
        <f t="shared" si="2"/>
        <v>0.59423205051697814</v>
      </c>
      <c r="W23" s="70" t="s">
        <v>166</v>
      </c>
      <c r="X23" s="71">
        <f>SUMIFS('Summary - PAC'!$F:$F,'Summary - PAC'!$C:$C,$A23,'Summary - PAC'!$A:$A,X$1)</f>
        <v>505025.87049902009</v>
      </c>
      <c r="Y23" s="71">
        <f>SUMIFS('Summary - PAC'!$I:$I,'Summary - PAC'!$C:$C,$A23,'Summary - PAC'!$A:$A,Y$1)</f>
        <v>796291</v>
      </c>
      <c r="Z23" s="71">
        <f t="shared" si="8"/>
        <v>-291265.12950097991</v>
      </c>
      <c r="AA23" s="72">
        <f t="shared" si="3"/>
        <v>0.6342227533640592</v>
      </c>
    </row>
    <row r="24" spans="1:27" x14ac:dyDescent="0.25">
      <c r="A24" s="61" t="s">
        <v>167</v>
      </c>
      <c r="B24" s="61"/>
      <c r="C24" s="61"/>
      <c r="E24" s="70" t="s">
        <v>167</v>
      </c>
      <c r="F24" s="71">
        <f>SUMIFS('Summary - PAC'!$F:$F,'Summary - PAC'!$C:$C,$A24,'Summary - PAC'!$A:$A,F$1)</f>
        <v>134885.90131904421</v>
      </c>
      <c r="G24" s="71">
        <f>SUMIFS('Summary - PAC'!$I:$I,'Summary - PAC'!$C:$C,$A24,'Summary - PAC'!$A:$A,G$1)</f>
        <v>205675</v>
      </c>
      <c r="H24" s="71">
        <f t="shared" si="4"/>
        <v>-70789.098680955794</v>
      </c>
      <c r="I24" s="72">
        <f t="shared" si="5"/>
        <v>0.65582059715105967</v>
      </c>
      <c r="K24" s="70" t="s">
        <v>167</v>
      </c>
      <c r="L24" s="71">
        <f>SUMIFS('Summary - PAC'!$F:$F,'Summary - PAC'!$C:$C,$A24,'Summary - PAC'!$A:$A,L$1)</f>
        <v>203920.66481047962</v>
      </c>
      <c r="M24" s="71">
        <f>SUMIFS('Summary - PAC'!$I:$I,'Summary - PAC'!$C:$C,$A24,'Summary - PAC'!$A:$A,M$1)</f>
        <v>253222</v>
      </c>
      <c r="N24" s="71">
        <f t="shared" si="6"/>
        <v>-49301.335189520381</v>
      </c>
      <c r="O24" s="72">
        <f t="shared" si="1"/>
        <v>0.80530390254590678</v>
      </c>
      <c r="Q24" s="70" t="s">
        <v>167</v>
      </c>
      <c r="R24" s="71">
        <f>SUMIFS('Summary - PAC'!$F:$F,'Summary - PAC'!$C:$C,$A24,'Summary - PAC'!$A:$A,R$1)</f>
        <v>422652.1628577438</v>
      </c>
      <c r="S24" s="71">
        <f>SUMIFS('Summary - PAC'!$I:$I,'Summary - PAC'!$C:$C,$A24,'Summary - PAC'!$A:$A,S$1)</f>
        <v>382436</v>
      </c>
      <c r="T24" s="71">
        <f t="shared" si="7"/>
        <v>40216.162857743795</v>
      </c>
      <c r="U24" s="72">
        <f t="shared" si="2"/>
        <v>1.1051578900985886</v>
      </c>
      <c r="W24" s="70" t="s">
        <v>167</v>
      </c>
      <c r="X24" s="71">
        <f>SUMIFS('Summary - PAC'!$F:$F,'Summary - PAC'!$C:$C,$A24,'Summary - PAC'!$A:$A,X$1)</f>
        <v>766355.88090283773</v>
      </c>
      <c r="Y24" s="71">
        <f>SUMIFS('Summary - PAC'!$I:$I,'Summary - PAC'!$C:$C,$A24,'Summary - PAC'!$A:$A,Y$1)</f>
        <v>582145</v>
      </c>
      <c r="Z24" s="71">
        <f t="shared" si="8"/>
        <v>184210.88090283773</v>
      </c>
      <c r="AA24" s="72">
        <f t="shared" si="3"/>
        <v>1.3164347042452271</v>
      </c>
    </row>
    <row r="25" spans="1:27" x14ac:dyDescent="0.25">
      <c r="A25" s="61" t="s">
        <v>19</v>
      </c>
      <c r="B25" s="61" t="s">
        <v>168</v>
      </c>
      <c r="C25" s="61" t="s">
        <v>18</v>
      </c>
      <c r="E25" s="70" t="s">
        <v>136</v>
      </c>
      <c r="F25" s="71">
        <f>SUMIFS('Summary - PAC'!$F:$F,'Summary - PAC'!$C:$C,$A25,'Summary - PAC'!$A:$A,F$1)</f>
        <v>0</v>
      </c>
      <c r="G25" s="71">
        <f>SUMIFS('Summary - PAC'!$I:$I,'Summary - PAC'!$C:$C,$A25,'Summary - PAC'!$A:$A,G$1)+SUMIFS('Summary - PAC'!$I:$I,'Summary - PAC'!$C:$C,$B25,'Summary - PAC'!$A:$A,G$1)+SUMIFS('Summary - PAC'!$I:$I,'Summary - PAC'!$C:$C,$C25,'Summary - PAC'!$A:$A,G$1)</f>
        <v>8307149</v>
      </c>
      <c r="H25" s="71">
        <f t="shared" si="4"/>
        <v>-8307149</v>
      </c>
      <c r="I25" s="73">
        <f t="shared" si="5"/>
        <v>0</v>
      </c>
      <c r="K25" s="70" t="s">
        <v>136</v>
      </c>
      <c r="L25" s="71">
        <f>SUMIFS('Summary - PAC'!$F:$F,'Summary - PAC'!$C:$C,$A25,'Summary - PAC'!$A:$A,L$1)</f>
        <v>0</v>
      </c>
      <c r="M25" s="71">
        <f>SUMIFS('Summary - PAC'!$I:$I,'Summary - PAC'!$C:$C,$A25,'Summary - PAC'!$A:$A,M$1)+SUMIFS('Summary - PAC'!$I:$I,'Summary - PAC'!$C:$C,$B25,'Summary - PAC'!$A:$A,M$1)+SUMIFS('Summary - PAC'!$I:$I,'Summary - PAC'!$C:$C,$C25,'Summary - PAC'!$A:$A,M$1)</f>
        <v>8456471</v>
      </c>
      <c r="N25" s="71">
        <f t="shared" si="6"/>
        <v>-8456471</v>
      </c>
      <c r="O25" s="73">
        <f t="shared" si="1"/>
        <v>0</v>
      </c>
      <c r="Q25" s="70" t="s">
        <v>136</v>
      </c>
      <c r="R25" s="71">
        <f>SUMIFS('Summary - PAC'!$F:$F,'Summary - PAC'!$C:$C,$A25,'Summary - PAC'!$A:$A,R$1)</f>
        <v>0</v>
      </c>
      <c r="S25" s="71">
        <f>SUMIFS('Summary - PAC'!$I:$I,'Summary - PAC'!$C:$C,$A25,'Summary - PAC'!$A:$A,S$1)+SUMIFS('Summary - PAC'!$I:$I,'Summary - PAC'!$C:$C,$B25,'Summary - PAC'!$A:$A,S$1)+SUMIFS('Summary - PAC'!$I:$I,'Summary - PAC'!$C:$C,$C25,'Summary - PAC'!$A:$A,S$1)</f>
        <v>8608492</v>
      </c>
      <c r="T25" s="71">
        <f t="shared" si="7"/>
        <v>-8608492</v>
      </c>
      <c r="U25" s="73">
        <f t="shared" si="2"/>
        <v>0</v>
      </c>
      <c r="W25" s="70" t="s">
        <v>136</v>
      </c>
      <c r="X25" s="71">
        <f>SUMIFS('Summary - PAC'!$F:$F,'Summary - PAC'!$C:$C,$A25,'Summary - PAC'!$A:$A,X$1)</f>
        <v>0</v>
      </c>
      <c r="Y25" s="71">
        <f>SUMIFS('Summary - PAC'!$I:$I,'Summary - PAC'!$C:$C,$A25,'Summary - PAC'!$A:$A,Y$1)+SUMIFS('Summary - PAC'!$I:$I,'Summary - PAC'!$C:$C,$B25,'Summary - PAC'!$A:$A,Y$1)+SUMIFS('Summary - PAC'!$I:$I,'Summary - PAC'!$C:$C,$C25,'Summary - PAC'!$A:$A,Y$1)</f>
        <v>8763258</v>
      </c>
      <c r="Z25" s="71">
        <f t="shared" si="8"/>
        <v>-8763258</v>
      </c>
      <c r="AA25" s="73">
        <f t="shared" si="3"/>
        <v>0</v>
      </c>
    </row>
    <row r="26" spans="1:27" x14ac:dyDescent="0.25">
      <c r="A26" s="61"/>
      <c r="B26" s="61"/>
      <c r="C26" s="61"/>
      <c r="E26" s="74" t="s">
        <v>139</v>
      </c>
      <c r="F26" s="77">
        <f>SUM(F27:F28)</f>
        <v>179787963.18922186</v>
      </c>
      <c r="G26" s="77">
        <f>SUM(G27:G28)</f>
        <v>26885759</v>
      </c>
      <c r="H26" s="77">
        <f t="shared" si="4"/>
        <v>152902204.18922186</v>
      </c>
      <c r="I26" s="76">
        <f t="shared" si="5"/>
        <v>6.6871075943670348</v>
      </c>
      <c r="K26" s="74" t="s">
        <v>139</v>
      </c>
      <c r="L26" s="77">
        <f>SUM(L27:L28)</f>
        <v>201728575.57856742</v>
      </c>
      <c r="M26" s="77">
        <f>SUM(M27:M28)</f>
        <v>28709693</v>
      </c>
      <c r="N26" s="77">
        <f t="shared" si="6"/>
        <v>173018882.57856742</v>
      </c>
      <c r="O26" s="76">
        <f t="shared" si="1"/>
        <v>7.026497133862331</v>
      </c>
      <c r="Q26" s="74" t="s">
        <v>139</v>
      </c>
      <c r="R26" s="77">
        <f>SUM(R27:R28)</f>
        <v>217933343.63692361</v>
      </c>
      <c r="S26" s="77">
        <f>SUM(S27:S28)</f>
        <v>29971421</v>
      </c>
      <c r="T26" s="77">
        <f t="shared" si="7"/>
        <v>187961922.63692361</v>
      </c>
      <c r="U26" s="76">
        <f t="shared" si="2"/>
        <v>7.2713717389950787</v>
      </c>
      <c r="W26" s="74" t="s">
        <v>139</v>
      </c>
      <c r="X26" s="77">
        <f>SUM(X27:X28)</f>
        <v>234748949.15275893</v>
      </c>
      <c r="Y26" s="77">
        <f>SUM(Y27:Y28)</f>
        <v>31444661</v>
      </c>
      <c r="Z26" s="77">
        <f t="shared" si="8"/>
        <v>203304288.15275893</v>
      </c>
      <c r="AA26" s="76">
        <f t="shared" si="3"/>
        <v>7.4654628699211907</v>
      </c>
    </row>
    <row r="27" spans="1:27" x14ac:dyDescent="0.25">
      <c r="A27" s="61" t="s">
        <v>8</v>
      </c>
      <c r="B27" s="61"/>
      <c r="C27" s="61"/>
      <c r="E27" s="70" t="s">
        <v>8</v>
      </c>
      <c r="F27" s="71">
        <f>SUMIFS('Summary - PAC'!$F:$F,'Summary - PAC'!$C:$C,$A27,'Summary - PAC'!$A:$A,F$1)</f>
        <v>179787963.18922186</v>
      </c>
      <c r="G27" s="71">
        <f>SUMIFS('Summary - PAC'!$I:$I,'Summary - PAC'!$C:$C,$A27,'Summary - PAC'!$A:$A,G$1)</f>
        <v>19291597</v>
      </c>
      <c r="H27" s="71">
        <f t="shared" si="4"/>
        <v>160496366.18922186</v>
      </c>
      <c r="I27" s="72">
        <f t="shared" si="5"/>
        <v>9.3194961095870834</v>
      </c>
      <c r="K27" s="70" t="s">
        <v>8</v>
      </c>
      <c r="L27" s="71">
        <f>SUMIFS('Summary - PAC'!$F:$F,'Summary - PAC'!$C:$C,$A27,'Summary - PAC'!$A:$A,L$1)</f>
        <v>201728575.57856742</v>
      </c>
      <c r="M27" s="71">
        <f>SUMIFS('Summary - PAC'!$I:$I,'Summary - PAC'!$C:$C,$A27,'Summary - PAC'!$A:$A,M$1)</f>
        <v>20978471</v>
      </c>
      <c r="N27" s="71">
        <f t="shared" si="6"/>
        <v>180750104.57856742</v>
      </c>
      <c r="O27" s="72">
        <f t="shared" si="1"/>
        <v>9.6159808585939093</v>
      </c>
      <c r="Q27" s="70" t="s">
        <v>8</v>
      </c>
      <c r="R27" s="71">
        <f>SUMIFS('Summary - PAC'!$F:$F,'Summary - PAC'!$C:$C,$A27,'Summary - PAC'!$A:$A,R$1)</f>
        <v>217933343.63692361</v>
      </c>
      <c r="S27" s="71">
        <f>SUMIFS('Summary - PAC'!$I:$I,'Summary - PAC'!$C:$C,$A27,'Summary - PAC'!$A:$A,S$1)</f>
        <v>22100654</v>
      </c>
      <c r="T27" s="71">
        <f t="shared" si="7"/>
        <v>195832689.63692361</v>
      </c>
      <c r="U27" s="72">
        <f t="shared" si="2"/>
        <v>9.8609454560450391</v>
      </c>
      <c r="W27" s="70" t="s">
        <v>8</v>
      </c>
      <c r="X27" s="71">
        <f>SUMIFS('Summary - PAC'!$F:$F,'Summary - PAC'!$C:$C,$A27,'Summary - PAC'!$A:$A,X$1)</f>
        <v>234748949.15275893</v>
      </c>
      <c r="Y27" s="71">
        <f>SUMIFS('Summary - PAC'!$I:$I,'Summary - PAC'!$C:$C,$A27,'Summary - PAC'!$A:$A,Y$1)</f>
        <v>23431816</v>
      </c>
      <c r="Z27" s="71">
        <f t="shared" si="8"/>
        <v>211317133.15275893</v>
      </c>
      <c r="AA27" s="72">
        <f t="shared" si="3"/>
        <v>10.018384795816036</v>
      </c>
    </row>
    <row r="28" spans="1:27" x14ac:dyDescent="0.25">
      <c r="A28" s="61" t="s">
        <v>25</v>
      </c>
      <c r="B28" s="61" t="s">
        <v>171</v>
      </c>
      <c r="C28" s="61" t="s">
        <v>24</v>
      </c>
      <c r="E28" s="70" t="s">
        <v>136</v>
      </c>
      <c r="F28" s="71">
        <f>SUMIFS('Summary - PAC'!$F:$F,'Summary - PAC'!$C:$C,$A28,'Summary - PAC'!$A:$A,F$1)</f>
        <v>0</v>
      </c>
      <c r="G28" s="71">
        <f>SUMIFS('Summary - PAC'!$I:$I,'Summary - PAC'!$C:$C,$A28,'Summary - PAC'!$A:$A,G$1)+SUMIFS('Summary - PAC'!$I:$I,'Summary - PAC'!$C:$C,$B28,'Summary - PAC'!$A:$A,G$1)+SUMIFS('Summary - PAC'!$I:$I,'Summary - PAC'!$C:$C,$C28,'Summary - PAC'!$A:$A,G$1)</f>
        <v>7594162</v>
      </c>
      <c r="H28" s="71">
        <f t="shared" si="4"/>
        <v>-7594162</v>
      </c>
      <c r="I28" s="73">
        <f t="shared" si="5"/>
        <v>0</v>
      </c>
      <c r="K28" s="70" t="s">
        <v>136</v>
      </c>
      <c r="L28" s="71">
        <f>SUMIFS('Summary - PAC'!$F:$F,'Summary - PAC'!$C:$C,$A28,'Summary - PAC'!$A:$A,L$1)</f>
        <v>0</v>
      </c>
      <c r="M28" s="71">
        <f>SUMIFS('Summary - PAC'!$I:$I,'Summary - PAC'!$C:$C,$A28,'Summary - PAC'!$A:$A,M$1)+SUMIFS('Summary - PAC'!$I:$I,'Summary - PAC'!$C:$C,$B28,'Summary - PAC'!$A:$A,M$1)+SUMIFS('Summary - PAC'!$I:$I,'Summary - PAC'!$C:$C,$C28,'Summary - PAC'!$A:$A,M$1)</f>
        <v>7731222</v>
      </c>
      <c r="N28" s="71">
        <f t="shared" si="6"/>
        <v>-7731222</v>
      </c>
      <c r="O28" s="73">
        <f t="shared" si="1"/>
        <v>0</v>
      </c>
      <c r="Q28" s="70" t="s">
        <v>136</v>
      </c>
      <c r="R28" s="71">
        <f>SUMIFS('Summary - PAC'!$F:$F,'Summary - PAC'!$C:$C,$A28,'Summary - PAC'!$A:$A,R$1)</f>
        <v>0</v>
      </c>
      <c r="S28" s="71">
        <f>SUMIFS('Summary - PAC'!$I:$I,'Summary - PAC'!$C:$C,$A28,'Summary - PAC'!$A:$A,S$1)+SUMIFS('Summary - PAC'!$I:$I,'Summary - PAC'!$C:$C,$B28,'Summary - PAC'!$A:$A,S$1)+SUMIFS('Summary - PAC'!$I:$I,'Summary - PAC'!$C:$C,$C28,'Summary - PAC'!$A:$A,S$1)</f>
        <v>7870767</v>
      </c>
      <c r="T28" s="71">
        <f t="shared" si="7"/>
        <v>-7870767</v>
      </c>
      <c r="U28" s="73">
        <f t="shared" si="2"/>
        <v>0</v>
      </c>
      <c r="W28" s="70" t="s">
        <v>136</v>
      </c>
      <c r="X28" s="71">
        <f>SUMIFS('Summary - PAC'!$F:$F,'Summary - PAC'!$C:$C,$A28,'Summary - PAC'!$A:$A,X$1)</f>
        <v>0</v>
      </c>
      <c r="Y28" s="71">
        <f>SUMIFS('Summary - PAC'!$I:$I,'Summary - PAC'!$C:$C,$A28,'Summary - PAC'!$A:$A,Y$1)+SUMIFS('Summary - PAC'!$I:$I,'Summary - PAC'!$C:$C,$B28,'Summary - PAC'!$A:$A,Y$1)+SUMIFS('Summary - PAC'!$I:$I,'Summary - PAC'!$C:$C,$C28,'Summary - PAC'!$A:$A,Y$1)</f>
        <v>8012845</v>
      </c>
      <c r="Z28" s="71">
        <f t="shared" si="8"/>
        <v>-8012845</v>
      </c>
      <c r="AA28" s="73">
        <f t="shared" si="3"/>
        <v>0</v>
      </c>
    </row>
    <row r="29" spans="1:27" x14ac:dyDescent="0.25">
      <c r="A29" s="61"/>
      <c r="B29" s="61"/>
      <c r="C29" s="61"/>
      <c r="E29" s="74" t="s">
        <v>140</v>
      </c>
      <c r="F29" s="77">
        <f>SUM(F30:F31)</f>
        <v>42876201.012221739</v>
      </c>
      <c r="G29" s="77">
        <f>SUM(G30:G31)</f>
        <v>3479654</v>
      </c>
      <c r="H29" s="77">
        <f t="shared" si="4"/>
        <v>39396547.012221739</v>
      </c>
      <c r="I29" s="78">
        <f t="shared" si="5"/>
        <v>12.321972532964985</v>
      </c>
      <c r="K29" s="74" t="s">
        <v>140</v>
      </c>
      <c r="L29" s="77">
        <f>SUM(L30:L31)</f>
        <v>49697176.530351378</v>
      </c>
      <c r="M29" s="77">
        <f>SUM(M30:M31)</f>
        <v>3613250</v>
      </c>
      <c r="N29" s="77">
        <f t="shared" si="6"/>
        <v>46083926.530351378</v>
      </c>
      <c r="O29" s="78">
        <f t="shared" si="1"/>
        <v>13.754148351304609</v>
      </c>
      <c r="Q29" s="74" t="s">
        <v>140</v>
      </c>
      <c r="R29" s="77">
        <f>SUM(R30:R31)</f>
        <v>54428693.50859265</v>
      </c>
      <c r="S29" s="77">
        <f>SUM(S30:S31)</f>
        <v>3752123</v>
      </c>
      <c r="T29" s="77">
        <f t="shared" si="7"/>
        <v>50676570.50859265</v>
      </c>
      <c r="U29" s="78">
        <f t="shared" si="2"/>
        <v>14.506105878883142</v>
      </c>
      <c r="W29" s="74" t="s">
        <v>140</v>
      </c>
      <c r="X29" s="77">
        <f>SUM(X30:X31)</f>
        <v>56864910.938045777</v>
      </c>
      <c r="Y29" s="77">
        <f>SUM(Y30:Y31)</f>
        <v>3896485</v>
      </c>
      <c r="Z29" s="77">
        <f t="shared" si="8"/>
        <v>52968425.938045777</v>
      </c>
      <c r="AA29" s="78">
        <f t="shared" si="3"/>
        <v>14.593899614151159</v>
      </c>
    </row>
    <row r="30" spans="1:27" ht="14.25" x14ac:dyDescent="0.25">
      <c r="A30" s="61" t="s">
        <v>27</v>
      </c>
      <c r="B30" s="61"/>
      <c r="C30" s="61"/>
      <c r="E30" s="70" t="s">
        <v>245</v>
      </c>
      <c r="F30" s="71">
        <f>SUMIFS('Summary - PAC'!$F:$F,'Summary - PAC'!$C:$C,$A30,'Summary - PAC'!$A:$A,F$1)</f>
        <v>42876201.012221739</v>
      </c>
      <c r="G30" s="71">
        <f>SUMIFS('Summary - PAC'!$I:$I,'Summary - PAC'!$C:$C,$A30,'Summary - PAC'!$A:$A,G$1)</f>
        <v>3203709</v>
      </c>
      <c r="H30" s="71">
        <f t="shared" si="4"/>
        <v>39672492.012221739</v>
      </c>
      <c r="I30" s="72">
        <f t="shared" si="5"/>
        <v>13.383300734311931</v>
      </c>
      <c r="K30" s="70" t="s">
        <v>245</v>
      </c>
      <c r="L30" s="71">
        <f>SUMIFS('Summary - PAC'!$F:$F,'Summary - PAC'!$C:$C,$A30,'Summary - PAC'!$A:$A,L$1)</f>
        <v>49697176.530351378</v>
      </c>
      <c r="M30" s="71">
        <f>SUMIFS('Summary - PAC'!$I:$I,'Summary - PAC'!$C:$C,$A30,'Summary - PAC'!$A:$A,M$1)</f>
        <v>3332559</v>
      </c>
      <c r="N30" s="71">
        <f t="shared" si="6"/>
        <v>46364617.530351378</v>
      </c>
      <c r="O30" s="72">
        <f t="shared" si="1"/>
        <v>14.912617160071697</v>
      </c>
      <c r="Q30" s="70" t="s">
        <v>245</v>
      </c>
      <c r="R30" s="71">
        <f>SUMIFS('Summary - PAC'!$F:$F,'Summary - PAC'!$C:$C,$A30,'Summary - PAC'!$A:$A,R$1)</f>
        <v>54428693.50859265</v>
      </c>
      <c r="S30" s="71">
        <f>SUMIFS('Summary - PAC'!$I:$I,'Summary - PAC'!$C:$C,$A30,'Summary - PAC'!$A:$A,S$1)</f>
        <v>3466604</v>
      </c>
      <c r="T30" s="71">
        <f t="shared" si="7"/>
        <v>50962089.50859265</v>
      </c>
      <c r="U30" s="72">
        <f t="shared" si="2"/>
        <v>15.700868489332111</v>
      </c>
      <c r="W30" s="70" t="s">
        <v>245</v>
      </c>
      <c r="X30" s="71">
        <f>SUMIFS('Summary - PAC'!$F:$F,'Summary - PAC'!$C:$C,$A30,'Summary - PAC'!$A:$A,X$1)</f>
        <v>56864910.938045777</v>
      </c>
      <c r="Y30" s="71">
        <f>SUMIFS('Summary - PAC'!$I:$I,'Summary - PAC'!$C:$C,$A30,'Summary - PAC'!$A:$A,Y$1)</f>
        <v>3606055</v>
      </c>
      <c r="Z30" s="71">
        <f t="shared" si="8"/>
        <v>53258855.938045777</v>
      </c>
      <c r="AA30" s="72">
        <f t="shared" si="3"/>
        <v>15.76928553170869</v>
      </c>
    </row>
    <row r="31" spans="1:27" x14ac:dyDescent="0.25">
      <c r="A31" s="61" t="s">
        <v>28</v>
      </c>
      <c r="B31" s="61"/>
      <c r="C31" s="61"/>
      <c r="E31" s="70" t="s">
        <v>136</v>
      </c>
      <c r="F31" s="71">
        <f>SUMIFS('Summary - PAC'!$F:$F,'Summary - PAC'!$C:$C,$A31,'Summary - PAC'!$A:$A,F$1)</f>
        <v>0</v>
      </c>
      <c r="G31" s="71">
        <f>SUMIFS('Summary - PAC'!$I:$I,'Summary - PAC'!$C:$C,$A31,'Summary - PAC'!$A:$A,G$1)</f>
        <v>275945</v>
      </c>
      <c r="H31" s="71">
        <f t="shared" si="4"/>
        <v>-275945</v>
      </c>
      <c r="I31" s="73">
        <f t="shared" si="5"/>
        <v>0</v>
      </c>
      <c r="K31" s="70" t="s">
        <v>136</v>
      </c>
      <c r="L31" s="71">
        <f>SUMIFS('Summary - PAC'!$F:$F,'Summary - PAC'!$C:$C,$A31,'Summary - PAC'!$A:$A,L$1)</f>
        <v>0</v>
      </c>
      <c r="M31" s="71">
        <f>SUMIFS('Summary - PAC'!$I:$I,'Summary - PAC'!$C:$C,$A31,'Summary - PAC'!$A:$A,M$1)</f>
        <v>280691</v>
      </c>
      <c r="N31" s="71">
        <f t="shared" si="6"/>
        <v>-280691</v>
      </c>
      <c r="O31" s="73">
        <f t="shared" si="1"/>
        <v>0</v>
      </c>
      <c r="Q31" s="70" t="s">
        <v>136</v>
      </c>
      <c r="R31" s="71">
        <f>SUMIFS('Summary - PAC'!$F:$F,'Summary - PAC'!$C:$C,$A31,'Summary - PAC'!$A:$A,R$1)</f>
        <v>0</v>
      </c>
      <c r="S31" s="71">
        <f>SUMIFS('Summary - PAC'!$I:$I,'Summary - PAC'!$C:$C,$A31,'Summary - PAC'!$A:$A,S$1)</f>
        <v>285519</v>
      </c>
      <c r="T31" s="71">
        <f t="shared" si="7"/>
        <v>-285519</v>
      </c>
      <c r="U31" s="73">
        <f t="shared" si="2"/>
        <v>0</v>
      </c>
      <c r="W31" s="70" t="s">
        <v>136</v>
      </c>
      <c r="X31" s="71">
        <f>SUMIFS('Summary - PAC'!$F:$F,'Summary - PAC'!$C:$C,$A31,'Summary - PAC'!$A:$A,X$1)</f>
        <v>0</v>
      </c>
      <c r="Y31" s="71">
        <f>SUMIFS('Summary - PAC'!$I:$I,'Summary - PAC'!$C:$C,$A31,'Summary - PAC'!$A:$A,Y$1)</f>
        <v>290430</v>
      </c>
      <c r="Z31" s="71">
        <f t="shared" si="8"/>
        <v>-290430</v>
      </c>
      <c r="AA31" s="73">
        <f t="shared" si="3"/>
        <v>0</v>
      </c>
    </row>
    <row r="32" spans="1:27" x14ac:dyDescent="0.25">
      <c r="A32" s="61"/>
      <c r="B32" s="61"/>
      <c r="C32" s="61"/>
      <c r="E32" s="79" t="s">
        <v>229</v>
      </c>
      <c r="F32" s="80">
        <f>SUM(F6,F14,F18,F26,F29)</f>
        <v>410132344.57111537</v>
      </c>
      <c r="G32" s="80">
        <f>SUM(G6,G14,G18,G26,G29)</f>
        <v>173537070</v>
      </c>
      <c r="H32" s="80">
        <f t="shared" si="4"/>
        <v>236595274.57111537</v>
      </c>
      <c r="I32" s="81">
        <f t="shared" si="5"/>
        <v>2.3633702273013792</v>
      </c>
      <c r="K32" s="79" t="s">
        <v>229</v>
      </c>
      <c r="L32" s="80">
        <f>SUM(L6,L14,L18,L26,L29)</f>
        <v>463378120.84535182</v>
      </c>
      <c r="M32" s="80">
        <f>SUM(M6,M14,M18,M26,M29)</f>
        <v>186273525</v>
      </c>
      <c r="N32" s="80">
        <f t="shared" si="6"/>
        <v>277104595.84535182</v>
      </c>
      <c r="O32" s="81">
        <f t="shared" si="1"/>
        <v>2.4876220109398361</v>
      </c>
      <c r="Q32" s="79" t="s">
        <v>229</v>
      </c>
      <c r="R32" s="80">
        <f>SUM(R6,R14,R18,R26,R29)</f>
        <v>504040961.43143898</v>
      </c>
      <c r="S32" s="80">
        <f>SUM(S6,S14,S18,S26,S29)</f>
        <v>197612391</v>
      </c>
      <c r="T32" s="80">
        <f t="shared" si="7"/>
        <v>306428570.43143898</v>
      </c>
      <c r="U32" s="81">
        <f t="shared" si="2"/>
        <v>2.5506546369930772</v>
      </c>
      <c r="W32" s="79" t="s">
        <v>229</v>
      </c>
      <c r="X32" s="80">
        <f>SUM(X6,X14,X18,X26,X29)</f>
        <v>540012232.95021844</v>
      </c>
      <c r="Y32" s="80">
        <f>SUM(Y6,Y14,Y18,Y26,Y29)</f>
        <v>208371592</v>
      </c>
      <c r="Z32" s="80">
        <f t="shared" si="8"/>
        <v>331640640.95021844</v>
      </c>
      <c r="AA32" s="81">
        <f t="shared" si="3"/>
        <v>2.5915827957499045</v>
      </c>
    </row>
    <row r="33" spans="1:27" ht="13.5" thickBot="1" x14ac:dyDescent="0.3">
      <c r="A33" s="61" t="s">
        <v>187</v>
      </c>
      <c r="B33" s="61"/>
      <c r="C33" s="61"/>
      <c r="E33" s="24" t="s">
        <v>187</v>
      </c>
      <c r="F33" s="77">
        <f>SUMIFS('Summary - PAC'!$F:$F,'Summary - PAC'!$C:$C,$A33,'Summary - PAC'!$A:$A,F$1)</f>
        <v>0</v>
      </c>
      <c r="G33" s="77">
        <f>SUMIFS('Summary - TRC'!$N:$N,'Summary - TRC'!$C:$C,$A33,'Summary - TRC'!$A:$A,G$1)</f>
        <v>17637852</v>
      </c>
      <c r="H33" s="77">
        <f t="shared" si="4"/>
        <v>-17637852</v>
      </c>
      <c r="I33" s="76">
        <f t="shared" si="5"/>
        <v>0</v>
      </c>
      <c r="K33" s="24" t="s">
        <v>187</v>
      </c>
      <c r="L33" s="77">
        <f>SUMIFS('Summary - PAC'!$F:$F,'Summary - PAC'!$C:$C,$A33,'Summary - PAC'!$A:$A,L$1)</f>
        <v>0</v>
      </c>
      <c r="M33" s="77">
        <f>SUMIFS('Summary - TRC'!$N:$N,'Summary - TRC'!$C:$C,$A33,'Summary - TRC'!$A:$A,M$1)</f>
        <v>17737784</v>
      </c>
      <c r="N33" s="77">
        <f t="shared" si="6"/>
        <v>-17737784</v>
      </c>
      <c r="O33" s="76">
        <f t="shared" si="1"/>
        <v>0</v>
      </c>
      <c r="Q33" s="24" t="s">
        <v>187</v>
      </c>
      <c r="R33" s="77">
        <f>SUMIFS('Summary - PAC'!$F:$F,'Summary - PAC'!$C:$C,$A33,'Summary - PAC'!$A:$A,R$1)</f>
        <v>0</v>
      </c>
      <c r="S33" s="77">
        <f>SUMIFS('Summary - TRC'!$N:$N,'Summary - TRC'!$C:$C,$A33,'Summary - TRC'!$A:$A,S$1)</f>
        <v>18042873</v>
      </c>
      <c r="T33" s="77">
        <f t="shared" si="7"/>
        <v>-18042873</v>
      </c>
      <c r="U33" s="76">
        <f t="shared" si="2"/>
        <v>0</v>
      </c>
      <c r="W33" s="24" t="s">
        <v>187</v>
      </c>
      <c r="X33" s="77">
        <f>SUMIFS('Summary - PAC'!$F:$F,'Summary - PAC'!$C:$C,$A33,'Summary - PAC'!$A:$A,X$1)</f>
        <v>0</v>
      </c>
      <c r="Y33" s="77">
        <f>SUMIFS('Summary - TRC'!$N:$N,'Summary - TRC'!$C:$C,$A33,'Summary - TRC'!$A:$A,Y$1)</f>
        <v>18353209</v>
      </c>
      <c r="Z33" s="77">
        <f t="shared" si="8"/>
        <v>-18353209</v>
      </c>
      <c r="AA33" s="76">
        <f t="shared" si="3"/>
        <v>0</v>
      </c>
    </row>
    <row r="34" spans="1:27" ht="15" thickTop="1" x14ac:dyDescent="0.25">
      <c r="E34" s="15" t="s">
        <v>276</v>
      </c>
      <c r="F34" s="83">
        <f>SUM(F32:F33)</f>
        <v>410132344.57111537</v>
      </c>
      <c r="G34" s="83">
        <f t="shared" ref="G34" si="9">SUM(G32:G33)</f>
        <v>191174922</v>
      </c>
      <c r="H34" s="83">
        <f t="shared" si="4"/>
        <v>218957422.57111537</v>
      </c>
      <c r="I34" s="84">
        <f t="shared" si="5"/>
        <v>2.1453250263186474</v>
      </c>
      <c r="K34" s="15" t="s">
        <v>276</v>
      </c>
      <c r="L34" s="83">
        <f>SUM(L32:L33)</f>
        <v>463378120.84535182</v>
      </c>
      <c r="M34" s="83">
        <f t="shared" ref="M34" si="10">SUM(M32:M33)</f>
        <v>204011309</v>
      </c>
      <c r="N34" s="83">
        <f t="shared" si="6"/>
        <v>259366811.84535182</v>
      </c>
      <c r="O34" s="84">
        <f t="shared" si="1"/>
        <v>2.2713354623167081</v>
      </c>
      <c r="Q34" s="15" t="s">
        <v>276</v>
      </c>
      <c r="R34" s="83">
        <f>SUM(R32:R33)</f>
        <v>504040961.43143898</v>
      </c>
      <c r="S34" s="83">
        <f t="shared" ref="S34" si="11">SUM(S32:S33)</f>
        <v>215655264</v>
      </c>
      <c r="T34" s="83">
        <f t="shared" si="7"/>
        <v>288385697.43143898</v>
      </c>
      <c r="U34" s="84">
        <f t="shared" si="2"/>
        <v>2.3372532257382734</v>
      </c>
      <c r="W34" s="15" t="s">
        <v>276</v>
      </c>
      <c r="X34" s="83">
        <f>SUM(X32:X33)</f>
        <v>540012232.95021844</v>
      </c>
      <c r="Y34" s="83">
        <f t="shared" ref="Y34" si="12">SUM(Y32:Y33)</f>
        <v>226724801</v>
      </c>
      <c r="Z34" s="83">
        <f t="shared" si="8"/>
        <v>313287431.95021844</v>
      </c>
      <c r="AA34" s="84">
        <f t="shared" si="3"/>
        <v>2.3817960389354074</v>
      </c>
    </row>
  </sheetData>
  <mergeCells count="8">
    <mergeCell ref="Q2:U2"/>
    <mergeCell ref="Q3:U3"/>
    <mergeCell ref="W2:AA2"/>
    <mergeCell ref="W3:AA3"/>
    <mergeCell ref="E2:I2"/>
    <mergeCell ref="E3:I3"/>
    <mergeCell ref="K2:O2"/>
    <mergeCell ref="K3:O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4E570-7AE4-4259-AF30-556723B77C66}">
  <sheetPr codeName="Sheet1"/>
  <dimension ref="A1:BK351"/>
  <sheetViews>
    <sheetView showGridLines="0" zoomScaleNormal="100" workbookViewId="0"/>
  </sheetViews>
  <sheetFormatPr defaultColWidth="9.140625" defaultRowHeight="15" x14ac:dyDescent="0.25"/>
  <cols>
    <col min="1" max="1" width="43.140625" style="53" bestFit="1" customWidth="1"/>
    <col min="2" max="2" width="15.28515625" style="53" customWidth="1"/>
    <col min="3" max="3" width="18.28515625" style="53" customWidth="1"/>
    <col min="4" max="4" width="25.140625" style="53" customWidth="1"/>
    <col min="5" max="5" width="58.140625" style="53" customWidth="1"/>
    <col min="6" max="7" width="15.7109375" style="53" customWidth="1"/>
    <col min="8" max="9" width="15.7109375" style="58" customWidth="1"/>
    <col min="10" max="10" width="22.5703125" style="59" customWidth="1"/>
    <col min="11" max="11" width="10.7109375" style="53" customWidth="1"/>
    <col min="12" max="14" width="15.7109375" style="53" customWidth="1"/>
    <col min="15" max="15" width="10.7109375" style="53" customWidth="1"/>
    <col min="16" max="22" width="15.7109375" style="53" customWidth="1"/>
    <col min="23" max="23" width="10.7109375" style="53" customWidth="1"/>
    <col min="24" max="24" width="20.7109375" style="53" customWidth="1"/>
    <col min="25" max="29" width="15.7109375" style="53" customWidth="1"/>
    <col min="30" max="44" width="18.7109375" style="53" customWidth="1"/>
    <col min="45" max="45" width="10.7109375" style="53" customWidth="1"/>
    <col min="46" max="60" width="18.7109375" style="53" customWidth="1"/>
    <col min="61" max="61" width="10.7109375" style="53" customWidth="1"/>
    <col min="62" max="62" width="20.28515625" style="53" customWidth="1"/>
    <col min="63" max="63" width="10.7109375" style="53" customWidth="1"/>
    <col min="64" max="16384" width="9.140625" style="53"/>
  </cols>
  <sheetData>
    <row r="1" spans="1:63" s="38" customForma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 s="302" t="s">
        <v>341</v>
      </c>
      <c r="AB1" s="50">
        <v>0.02</v>
      </c>
      <c r="AC1" s="260">
        <v>1.72E-2</v>
      </c>
      <c r="AD1" s="51" t="s">
        <v>342</v>
      </c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</row>
    <row r="2" spans="1:63" s="38" customForma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 s="52" t="s">
        <v>82</v>
      </c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 s="38" customFormat="1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s="38" customFormat="1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s="54">
        <v>2027</v>
      </c>
      <c r="Y4" s="55">
        <f t="shared" ref="Y4:AH7" si="0">SUMIFS(Y$9:Y$351,$B$9:$B$351,$X4)</f>
        <v>231875</v>
      </c>
      <c r="Z4" s="55">
        <f t="shared" si="0"/>
        <v>126543191.5593725</v>
      </c>
      <c r="AA4" s="55">
        <f t="shared" si="0"/>
        <v>3637173.5</v>
      </c>
      <c r="AB4" s="55">
        <f t="shared" si="0"/>
        <v>126543191.5593725</v>
      </c>
      <c r="AC4" s="55">
        <f t="shared" si="0"/>
        <v>3637173.5</v>
      </c>
      <c r="AD4" s="55">
        <f t="shared" si="0"/>
        <v>219119822.36651927</v>
      </c>
      <c r="AE4" s="55">
        <f t="shared" si="0"/>
        <v>126168056.46601327</v>
      </c>
      <c r="AF4" s="55">
        <f t="shared" si="0"/>
        <v>3140480992.3356309</v>
      </c>
      <c r="AG4" s="55">
        <f t="shared" si="0"/>
        <v>1946071773.2831004</v>
      </c>
      <c r="AH4" s="55">
        <f t="shared" si="0"/>
        <v>-4818645.1682768986</v>
      </c>
      <c r="AI4" s="55">
        <f t="shared" ref="AI4:AR7" si="1">SUMIFS(AI$9:AI$351,$B$9:$B$351,$X4)</f>
        <v>-4291320.5529841054</v>
      </c>
      <c r="AJ4" s="55">
        <f t="shared" si="1"/>
        <v>290957.4581135835</v>
      </c>
      <c r="AK4" s="55">
        <f t="shared" si="1"/>
        <v>171819.40601479574</v>
      </c>
      <c r="AL4" s="55">
        <f t="shared" si="1"/>
        <v>7961.1775401851901</v>
      </c>
      <c r="AM4" s="55">
        <f t="shared" si="1"/>
        <v>7556.7984025333844</v>
      </c>
      <c r="AN4" s="55">
        <f t="shared" si="1"/>
        <v>-12060.482993115807</v>
      </c>
      <c r="AO4" s="55">
        <f t="shared" si="1"/>
        <v>-10411.880563273651</v>
      </c>
      <c r="AP4" s="55">
        <f t="shared" si="1"/>
        <v>312669406.36488098</v>
      </c>
      <c r="AQ4" s="55">
        <f t="shared" si="1"/>
        <v>231741603.51310316</v>
      </c>
      <c r="AR4" s="55">
        <f t="shared" si="1"/>
        <v>70478785.780045778</v>
      </c>
      <c r="AS4" s="303"/>
      <c r="AT4" s="55">
        <f t="shared" ref="AT4:BH7" si="2">SUMIFS(AT$9:AT$351,$B$9:$B$351,$X4)</f>
        <v>471652196.25678265</v>
      </c>
      <c r="AU4" s="55">
        <f t="shared" si="2"/>
        <v>2264026.6899980777</v>
      </c>
      <c r="AV4" s="55">
        <f t="shared" si="2"/>
        <v>11724608.757066231</v>
      </c>
      <c r="AW4" s="55">
        <f t="shared" si="2"/>
        <v>32519509.037419982</v>
      </c>
      <c r="AX4" s="55">
        <f t="shared" si="2"/>
        <v>518471.35934012145</v>
      </c>
      <c r="AY4" s="55">
        <f t="shared" si="2"/>
        <v>0</v>
      </c>
      <c r="AZ4" s="55">
        <f t="shared" si="2"/>
        <v>0</v>
      </c>
      <c r="BA4" s="55">
        <f t="shared" si="2"/>
        <v>0</v>
      </c>
      <c r="BB4" s="55">
        <f t="shared" si="2"/>
        <v>14878081.027610518</v>
      </c>
      <c r="BC4" s="55">
        <f t="shared" si="2"/>
        <v>4450671.4537547091</v>
      </c>
      <c r="BD4" s="55">
        <f t="shared" si="2"/>
        <v>2870086.9367851615</v>
      </c>
      <c r="BE4" s="55">
        <f t="shared" si="2"/>
        <v>0</v>
      </c>
      <c r="BF4" s="55">
        <f t="shared" si="2"/>
        <v>518678812.1006071</v>
      </c>
      <c r="BG4" s="55">
        <f t="shared" si="2"/>
        <v>253940442.93125355</v>
      </c>
      <c r="BH4" s="55">
        <f t="shared" si="2"/>
        <v>264738369.16935349</v>
      </c>
      <c r="BI4" s="304"/>
      <c r="BJ4" s="55">
        <f>SUMIFS(BJ$9:BJ$351,$B$9:$B$351,$X4)</f>
        <v>410132344.57111549</v>
      </c>
      <c r="BK4" s="55"/>
    </row>
    <row r="5" spans="1:63" s="38" customFormat="1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s="54">
        <v>2028</v>
      </c>
      <c r="Y5" s="55">
        <f t="shared" si="0"/>
        <v>274719</v>
      </c>
      <c r="Z5" s="55">
        <f t="shared" si="0"/>
        <v>135544293.98866186</v>
      </c>
      <c r="AA5" s="55">
        <f t="shared" si="0"/>
        <v>3823932.5</v>
      </c>
      <c r="AB5" s="55">
        <f t="shared" si="0"/>
        <v>138255179.86843508</v>
      </c>
      <c r="AC5" s="55">
        <f t="shared" si="0"/>
        <v>3889704.139</v>
      </c>
      <c r="AD5" s="55">
        <f t="shared" si="0"/>
        <v>240309059.30630171</v>
      </c>
      <c r="AE5" s="55">
        <f t="shared" si="0"/>
        <v>138296213.28900364</v>
      </c>
      <c r="AF5" s="55">
        <f t="shared" si="0"/>
        <v>3416951244.6628537</v>
      </c>
      <c r="AG5" s="55">
        <f t="shared" si="0"/>
        <v>2107179375.7834313</v>
      </c>
      <c r="AH5" s="55">
        <f t="shared" si="0"/>
        <v>-3816498.3998870077</v>
      </c>
      <c r="AI5" s="55">
        <f t="shared" si="1"/>
        <v>-3342155.612905947</v>
      </c>
      <c r="AJ5" s="55">
        <f t="shared" si="1"/>
        <v>329125.18745613401</v>
      </c>
      <c r="AK5" s="55">
        <f t="shared" si="1"/>
        <v>195780.76031252535</v>
      </c>
      <c r="AL5" s="55">
        <f t="shared" si="1"/>
        <v>8607.1200658381549</v>
      </c>
      <c r="AM5" s="55">
        <f t="shared" si="1"/>
        <v>8179.8591034733809</v>
      </c>
      <c r="AN5" s="55">
        <f t="shared" si="1"/>
        <v>-12405.617735287222</v>
      </c>
      <c r="AO5" s="55">
        <f t="shared" si="1"/>
        <v>-10642.294952410633</v>
      </c>
      <c r="AP5" s="55">
        <f t="shared" si="1"/>
        <v>335349386.14118451</v>
      </c>
      <c r="AQ5" s="55">
        <f t="shared" si="1"/>
        <v>247047022.53083843</v>
      </c>
      <c r="AR5" s="55">
        <f t="shared" si="1"/>
        <v>76797982.434040487</v>
      </c>
      <c r="AS5" s="303"/>
      <c r="AT5" s="55">
        <f t="shared" si="2"/>
        <v>532884838.97215462</v>
      </c>
      <c r="AU5" s="55">
        <f t="shared" si="2"/>
        <v>2633978.1375571694</v>
      </c>
      <c r="AV5" s="55">
        <f t="shared" si="2"/>
        <v>12660993.744998856</v>
      </c>
      <c r="AW5" s="55">
        <f t="shared" si="2"/>
        <v>37279634.019255161</v>
      </c>
      <c r="AX5" s="55">
        <f t="shared" si="2"/>
        <v>637898.87227266945</v>
      </c>
      <c r="AY5" s="55">
        <f t="shared" si="2"/>
        <v>0</v>
      </c>
      <c r="AZ5" s="55">
        <f t="shared" si="2"/>
        <v>0</v>
      </c>
      <c r="BA5" s="55">
        <f t="shared" si="2"/>
        <v>0</v>
      </c>
      <c r="BB5" s="55">
        <f t="shared" si="2"/>
        <v>15477326.701668631</v>
      </c>
      <c r="BC5" s="55">
        <f t="shared" si="2"/>
        <v>5239113.4044505982</v>
      </c>
      <c r="BD5" s="55">
        <f t="shared" si="2"/>
        <v>5239963.9955373248</v>
      </c>
      <c r="BE5" s="55">
        <f t="shared" si="2"/>
        <v>0</v>
      </c>
      <c r="BF5" s="55">
        <f t="shared" si="2"/>
        <v>586097343.74623847</v>
      </c>
      <c r="BG5" s="55">
        <f t="shared" si="2"/>
        <v>273003426.63249499</v>
      </c>
      <c r="BH5" s="55">
        <f t="shared" si="2"/>
        <v>313093917.11374348</v>
      </c>
      <c r="BI5" s="304"/>
      <c r="BJ5" s="55">
        <f>SUMIFS(BJ$9:BJ$351,$B$9:$B$351,$X5)</f>
        <v>463378120.84535187</v>
      </c>
      <c r="BK5" s="55"/>
    </row>
    <row r="6" spans="1:63" s="38" customFormat="1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s="54">
        <v>2029</v>
      </c>
      <c r="Y6" s="55">
        <f t="shared" si="0"/>
        <v>316085</v>
      </c>
      <c r="Z6" s="55">
        <f t="shared" si="0"/>
        <v>142421533.61707008</v>
      </c>
      <c r="AA6" s="55">
        <f t="shared" si="0"/>
        <v>3966330</v>
      </c>
      <c r="AB6" s="55">
        <f t="shared" si="0"/>
        <v>148175363.57519972</v>
      </c>
      <c r="AC6" s="55">
        <f t="shared" si="0"/>
        <v>4103945.1510672006</v>
      </c>
      <c r="AD6" s="55">
        <f t="shared" si="0"/>
        <v>253401917.53538328</v>
      </c>
      <c r="AE6" s="55">
        <f t="shared" si="0"/>
        <v>145928374.49926481</v>
      </c>
      <c r="AF6" s="55">
        <f t="shared" si="0"/>
        <v>3588510407.0307012</v>
      </c>
      <c r="AG6" s="55">
        <f t="shared" si="0"/>
        <v>2209044715.619575</v>
      </c>
      <c r="AH6" s="55">
        <f t="shared" si="0"/>
        <v>-2187981.5740071251</v>
      </c>
      <c r="AI6" s="55">
        <f t="shared" si="1"/>
        <v>-1861492.3448558233</v>
      </c>
      <c r="AJ6" s="55">
        <f t="shared" si="1"/>
        <v>356062.30579935532</v>
      </c>
      <c r="AK6" s="55">
        <f t="shared" si="1"/>
        <v>213649.65608509904</v>
      </c>
      <c r="AL6" s="55">
        <f t="shared" si="1"/>
        <v>9037.7960965793154</v>
      </c>
      <c r="AM6" s="55">
        <f t="shared" si="1"/>
        <v>8625.1235130201276</v>
      </c>
      <c r="AN6" s="55">
        <f t="shared" si="1"/>
        <v>-12419.408834098043</v>
      </c>
      <c r="AO6" s="55">
        <f t="shared" si="1"/>
        <v>-10622.071330493269</v>
      </c>
      <c r="AP6" s="55">
        <f t="shared" si="1"/>
        <v>349895523.24811488</v>
      </c>
      <c r="AQ6" s="55">
        <f t="shared" si="1"/>
        <v>256871362.26391694</v>
      </c>
      <c r="AR6" s="55">
        <f t="shared" si="1"/>
        <v>80814611.289692923</v>
      </c>
      <c r="AS6" s="303"/>
      <c r="AT6" s="55">
        <f t="shared" si="2"/>
        <v>579647105.64615488</v>
      </c>
      <c r="AU6" s="55">
        <f t="shared" si="2"/>
        <v>2935337.1510818233</v>
      </c>
      <c r="AV6" s="55">
        <f t="shared" si="2"/>
        <v>13399460.462667512</v>
      </c>
      <c r="AW6" s="55">
        <f t="shared" si="2"/>
        <v>40587182.648812331</v>
      </c>
      <c r="AX6" s="55">
        <f t="shared" si="2"/>
        <v>1161672.2206900981</v>
      </c>
      <c r="AY6" s="55">
        <f t="shared" si="2"/>
        <v>0</v>
      </c>
      <c r="AZ6" s="55">
        <f t="shared" si="2"/>
        <v>0</v>
      </c>
      <c r="BA6" s="55">
        <f t="shared" si="2"/>
        <v>0</v>
      </c>
      <c r="BB6" s="55">
        <f t="shared" si="2"/>
        <v>15731889.544935931</v>
      </c>
      <c r="BC6" s="55">
        <f t="shared" si="2"/>
        <v>5909594.7506823326</v>
      </c>
      <c r="BD6" s="55">
        <f t="shared" si="2"/>
        <v>8806692.8047888912</v>
      </c>
      <c r="BE6" s="55">
        <f t="shared" si="2"/>
        <v>0</v>
      </c>
      <c r="BF6" s="55">
        <f t="shared" si="2"/>
        <v>637730758.12940657</v>
      </c>
      <c r="BG6" s="55">
        <f t="shared" si="2"/>
        <v>287319539.36432403</v>
      </c>
      <c r="BH6" s="55">
        <f t="shared" si="2"/>
        <v>350411218.7650823</v>
      </c>
      <c r="BI6" s="304"/>
      <c r="BJ6" s="55">
        <f>SUMIFS(BJ$9:BJ$351,$B$9:$B$351,$X6)</f>
        <v>504040961.4314388</v>
      </c>
      <c r="BK6" s="55"/>
    </row>
    <row r="7" spans="1:63" s="38" customFormat="1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s="54">
        <v>2030</v>
      </c>
      <c r="Y7" s="55">
        <f t="shared" si="0"/>
        <v>356198</v>
      </c>
      <c r="Z7" s="55">
        <f t="shared" si="0"/>
        <v>148260618.17622238</v>
      </c>
      <c r="AA7" s="55">
        <f t="shared" si="0"/>
        <v>4108364.5</v>
      </c>
      <c r="AB7" s="55">
        <f t="shared" si="0"/>
        <v>157335354.09355253</v>
      </c>
      <c r="AC7" s="55">
        <f t="shared" si="0"/>
        <v>4324023.2690601647</v>
      </c>
      <c r="AD7" s="55">
        <f t="shared" si="0"/>
        <v>262055545.90155903</v>
      </c>
      <c r="AE7" s="55">
        <f t="shared" si="0"/>
        <v>151966195.68302837</v>
      </c>
      <c r="AF7" s="55">
        <f t="shared" si="0"/>
        <v>3709950042.7046733</v>
      </c>
      <c r="AG7" s="55">
        <f t="shared" si="0"/>
        <v>2292597210.9748874</v>
      </c>
      <c r="AH7" s="55">
        <f t="shared" si="0"/>
        <v>-2152301.2024318301</v>
      </c>
      <c r="AI7" s="55">
        <f t="shared" si="1"/>
        <v>-1593175.4359505489</v>
      </c>
      <c r="AJ7" s="55">
        <f t="shared" si="1"/>
        <v>370103.2175609144</v>
      </c>
      <c r="AK7" s="55">
        <f t="shared" si="1"/>
        <v>224004.03368848425</v>
      </c>
      <c r="AL7" s="55">
        <f t="shared" si="1"/>
        <v>9417.3865401441726</v>
      </c>
      <c r="AM7" s="55">
        <f t="shared" si="1"/>
        <v>9008.4491846164383</v>
      </c>
      <c r="AN7" s="55">
        <f t="shared" si="1"/>
        <v>-12962.025465668899</v>
      </c>
      <c r="AO7" s="55">
        <f t="shared" si="1"/>
        <v>-11004.804781694438</v>
      </c>
      <c r="AP7" s="55">
        <f t="shared" si="1"/>
        <v>363156729.0935362</v>
      </c>
      <c r="AQ7" s="55">
        <f t="shared" si="1"/>
        <v>266734439.68873459</v>
      </c>
      <c r="AR7" s="55">
        <f t="shared" si="1"/>
        <v>84464130.378169954</v>
      </c>
      <c r="AS7" s="303"/>
      <c r="AT7" s="55">
        <f t="shared" si="2"/>
        <v>621014067.8927511</v>
      </c>
      <c r="AU7" s="55">
        <f t="shared" si="2"/>
        <v>3141753.7751153954</v>
      </c>
      <c r="AV7" s="55">
        <f t="shared" si="2"/>
        <v>13674018.946860766</v>
      </c>
      <c r="AW7" s="55">
        <f t="shared" si="2"/>
        <v>42557997.754151694</v>
      </c>
      <c r="AX7" s="55">
        <f t="shared" si="2"/>
        <v>2118932.5787471705</v>
      </c>
      <c r="AY7" s="55">
        <f t="shared" si="2"/>
        <v>0</v>
      </c>
      <c r="AZ7" s="55">
        <f t="shared" si="2"/>
        <v>0</v>
      </c>
      <c r="BA7" s="55">
        <f t="shared" si="2"/>
        <v>0</v>
      </c>
      <c r="BB7" s="55">
        <f t="shared" si="2"/>
        <v>16166554.460526753</v>
      </c>
      <c r="BC7" s="55">
        <f t="shared" si="2"/>
        <v>6281235.5977431871</v>
      </c>
      <c r="BD7" s="55">
        <f t="shared" si="2"/>
        <v>10856976.999509109</v>
      </c>
      <c r="BE7" s="55">
        <f t="shared" si="2"/>
        <v>0</v>
      </c>
      <c r="BF7" s="55">
        <f t="shared" si="2"/>
        <v>682506770.94762647</v>
      </c>
      <c r="BG7" s="55">
        <f t="shared" si="2"/>
        <v>300039206.74651361</v>
      </c>
      <c r="BH7" s="55">
        <f t="shared" si="2"/>
        <v>382467564.20111269</v>
      </c>
      <c r="BI7" s="304"/>
      <c r="BJ7" s="55">
        <f>SUMIFS(BJ$9:BJ$351,$B$9:$B$351,$X7)</f>
        <v>540012232.95021856</v>
      </c>
      <c r="BK7" s="55"/>
    </row>
    <row r="8" spans="1:63" s="1" customFormat="1" ht="51" x14ac:dyDescent="0.25">
      <c r="A8" s="261" t="s">
        <v>39</v>
      </c>
      <c r="B8" s="261" t="s">
        <v>40</v>
      </c>
      <c r="C8" s="262" t="s">
        <v>10</v>
      </c>
      <c r="D8" s="262" t="s">
        <v>0</v>
      </c>
      <c r="E8" s="262" t="s">
        <v>41</v>
      </c>
      <c r="F8" s="263" t="s">
        <v>381</v>
      </c>
      <c r="G8" s="264" t="s">
        <v>382</v>
      </c>
      <c r="H8" s="265" t="s">
        <v>383</v>
      </c>
      <c r="I8" s="265" t="s">
        <v>384</v>
      </c>
      <c r="J8" s="262" t="s">
        <v>42</v>
      </c>
      <c r="K8" s="262" t="s">
        <v>343</v>
      </c>
      <c r="L8" s="262" t="s">
        <v>43</v>
      </c>
      <c r="M8" s="263" t="s">
        <v>44</v>
      </c>
      <c r="N8" s="262" t="s">
        <v>45</v>
      </c>
      <c r="O8" s="262" t="s">
        <v>46</v>
      </c>
      <c r="P8" s="263" t="s">
        <v>385</v>
      </c>
      <c r="Q8" s="263" t="s">
        <v>386</v>
      </c>
      <c r="R8" s="266" t="s">
        <v>387</v>
      </c>
      <c r="S8" s="266" t="s">
        <v>388</v>
      </c>
      <c r="T8" s="263" t="s">
        <v>389</v>
      </c>
      <c r="U8" s="267" t="s">
        <v>47</v>
      </c>
      <c r="V8" s="263" t="s">
        <v>48</v>
      </c>
      <c r="W8" s="263" t="s">
        <v>49</v>
      </c>
      <c r="X8" s="263" t="s">
        <v>50</v>
      </c>
      <c r="Y8" s="263" t="s">
        <v>7</v>
      </c>
      <c r="Z8" s="263" t="s">
        <v>51</v>
      </c>
      <c r="AA8" s="263" t="s">
        <v>52</v>
      </c>
      <c r="AB8" s="263" t="s">
        <v>53</v>
      </c>
      <c r="AC8" s="263" t="s">
        <v>54</v>
      </c>
      <c r="AD8" s="263" t="s">
        <v>55</v>
      </c>
      <c r="AE8" s="263" t="s">
        <v>56</v>
      </c>
      <c r="AF8" s="263" t="s">
        <v>380</v>
      </c>
      <c r="AG8" s="263" t="s">
        <v>379</v>
      </c>
      <c r="AH8" s="263" t="s">
        <v>57</v>
      </c>
      <c r="AI8" s="263" t="s">
        <v>58</v>
      </c>
      <c r="AJ8" s="263" t="s">
        <v>59</v>
      </c>
      <c r="AK8" s="263" t="s">
        <v>60</v>
      </c>
      <c r="AL8" s="263" t="s">
        <v>61</v>
      </c>
      <c r="AM8" s="263" t="s">
        <v>62</v>
      </c>
      <c r="AN8" s="263" t="s">
        <v>281</v>
      </c>
      <c r="AO8" s="263" t="s">
        <v>282</v>
      </c>
      <c r="AP8" s="263" t="s">
        <v>63</v>
      </c>
      <c r="AQ8" s="263" t="s">
        <v>64</v>
      </c>
      <c r="AR8" s="263" t="s">
        <v>65</v>
      </c>
      <c r="AS8" s="268" t="s">
        <v>66</v>
      </c>
      <c r="AT8" s="268" t="s">
        <v>67</v>
      </c>
      <c r="AU8" s="268" t="s">
        <v>68</v>
      </c>
      <c r="AV8" s="268" t="s">
        <v>69</v>
      </c>
      <c r="AW8" s="268" t="s">
        <v>70</v>
      </c>
      <c r="AX8" s="268" t="s">
        <v>280</v>
      </c>
      <c r="AY8" s="268" t="s">
        <v>71</v>
      </c>
      <c r="AZ8" s="268" t="s">
        <v>72</v>
      </c>
      <c r="BA8" s="268" t="s">
        <v>73</v>
      </c>
      <c r="BB8" s="268" t="s">
        <v>74</v>
      </c>
      <c r="BC8" s="268" t="s">
        <v>75</v>
      </c>
      <c r="BD8" s="268" t="s">
        <v>76</v>
      </c>
      <c r="BE8" s="268" t="s">
        <v>77</v>
      </c>
      <c r="BF8" s="268" t="s">
        <v>78</v>
      </c>
      <c r="BG8" s="268" t="s">
        <v>79</v>
      </c>
      <c r="BH8" s="268" t="s">
        <v>80</v>
      </c>
      <c r="BI8" s="268" t="s">
        <v>81</v>
      </c>
      <c r="BJ8" s="269" t="s">
        <v>378</v>
      </c>
      <c r="BK8" s="269" t="s">
        <v>346</v>
      </c>
    </row>
    <row r="9" spans="1:63" s="1" customFormat="1" x14ac:dyDescent="0.25">
      <c r="A9" s="270" t="s">
        <v>133</v>
      </c>
      <c r="B9" s="271">
        <v>2027</v>
      </c>
      <c r="C9" s="272" t="s">
        <v>13</v>
      </c>
      <c r="D9" s="272" t="s">
        <v>9</v>
      </c>
      <c r="E9" s="272" t="s">
        <v>287</v>
      </c>
      <c r="F9" s="273">
        <v>139</v>
      </c>
      <c r="G9" s="274">
        <v>10297.162032653927</v>
      </c>
      <c r="H9" s="275">
        <f t="shared" ref="H9:H72" si="3">IFERROR(G9/P9,0)</f>
        <v>0.35</v>
      </c>
      <c r="I9" s="274">
        <v>250</v>
      </c>
      <c r="J9" s="276" t="s">
        <v>264</v>
      </c>
      <c r="K9" s="277">
        <f>1-L9+M9</f>
        <v>0.75</v>
      </c>
      <c r="L9" s="278">
        <v>0.28000000000000003</v>
      </c>
      <c r="M9" s="278">
        <v>0.03</v>
      </c>
      <c r="N9" s="278">
        <v>0.9113</v>
      </c>
      <c r="O9" s="279">
        <v>17</v>
      </c>
      <c r="P9" s="280">
        <v>29420.462950439793</v>
      </c>
      <c r="Q9" s="281">
        <v>-611.54259459459558</v>
      </c>
      <c r="R9" s="282">
        <v>-0.37266719305067764</v>
      </c>
      <c r="S9" s="282">
        <v>-0.11007379740589061</v>
      </c>
      <c r="T9" s="281">
        <v>0</v>
      </c>
      <c r="U9" s="283">
        <v>1</v>
      </c>
      <c r="V9" s="284">
        <v>38932.645584367448</v>
      </c>
      <c r="W9" s="285">
        <v>0.15</v>
      </c>
      <c r="X9" s="286" t="s">
        <v>255</v>
      </c>
      <c r="Y9" s="287">
        <f t="shared" ref="Y9:Y72" si="4">F9</f>
        <v>139</v>
      </c>
      <c r="Z9" s="288">
        <f t="shared" ref="Z9:Z72" si="5">F9*G9</f>
        <v>1431305.5225388957</v>
      </c>
      <c r="AA9" s="288">
        <f t="shared" ref="AA9:AA72" si="6">F9*I9</f>
        <v>34750</v>
      </c>
      <c r="AB9" s="288">
        <f t="shared" ref="AB9:AB72" si="7">Z9*(1+$AB$1)^($B9-2027)</f>
        <v>1431305.5225388957</v>
      </c>
      <c r="AC9" s="288">
        <f>AA9*(1+$AC$1)^($B9-2027)</f>
        <v>34750</v>
      </c>
      <c r="AD9" s="287">
        <f t="shared" ref="AD9:AD72" si="8">IF($AD$2="Yes",P9*F9,P9*F9*N9)</f>
        <v>3726710.6362562738</v>
      </c>
      <c r="AE9" s="287">
        <f t="shared" ref="AE9:AE72" si="9">AD9*(1-L9+M9)</f>
        <v>2795032.9771922054</v>
      </c>
      <c r="AF9" s="287">
        <f t="shared" ref="AF9:AF72" si="10">AD9*O9</f>
        <v>63354080.816356659</v>
      </c>
      <c r="AG9" s="287">
        <f t="shared" ref="AG9:AG72" si="11">AE9*O9</f>
        <v>47515560.612267494</v>
      </c>
      <c r="AH9" s="287">
        <f t="shared" ref="AH9:AH72" si="12">$Q9*N9*$F9*1.072</f>
        <v>-83041.974591785824</v>
      </c>
      <c r="AI9" s="287">
        <f t="shared" ref="AI9:AI72" si="13">$Q9*(1-L9+$M9)*N9*$F9*1.072</f>
        <v>-62281.480943839364</v>
      </c>
      <c r="AJ9" s="287">
        <f t="shared" ref="AJ9:AJ72" si="14">$T9*N9*$F9</f>
        <v>0</v>
      </c>
      <c r="AK9" s="287">
        <f t="shared" ref="AK9:AK72" si="15">$T9*(1-L9+$M9)*N9*$F9</f>
        <v>0</v>
      </c>
      <c r="AL9" s="287">
        <f t="shared" ref="AL9:AL72" si="16">R9*N9*$F9*1.072</f>
        <v>-50.604847233939516</v>
      </c>
      <c r="AM9" s="287">
        <f t="shared" ref="AM9:AM72" si="17">R9*(1-L9+$M9)*N9*$F9*1.072</f>
        <v>-37.953635425454642</v>
      </c>
      <c r="AN9" s="287">
        <f t="shared" ref="AN9:AN72" si="18">S9*N9*$F9*1.072</f>
        <v>-14.94702996683484</v>
      </c>
      <c r="AO9" s="287">
        <f t="shared" ref="AO9:AO72" si="19">S9*(1-L9+$M9)*N9*$F9*1.072</f>
        <v>-11.210272475126127</v>
      </c>
      <c r="AP9" s="287">
        <f t="shared" ref="AP9:AP72" si="20">V9*F9</f>
        <v>5411637.7362270756</v>
      </c>
      <c r="AQ9" s="287">
        <f t="shared" ref="AQ9:AQ72" si="21">V9*F9*(1-L9+M9)</f>
        <v>4058728.3021703064</v>
      </c>
      <c r="AR9" s="287">
        <f t="shared" ref="AR9:AR72" si="22">AE9*U9</f>
        <v>2795032.9771922054</v>
      </c>
      <c r="AS9" s="289" t="e">
        <f>IF(J9='2027 Avoided Costs'!#REF!,3,5)</f>
        <v>#REF!</v>
      </c>
      <c r="AT9" s="290" cm="1">
        <f t="array" ref="AT9">IFERROR(IF($J9="Baseload",IF($O9=1,0,NPV('2027 Avoided Costs'!$D$6,_xlfn._xlws.FILTER('2027 Avoided Costs'!$C$14:$C$47,('2027 Avoided Costs'!$B$14:$B$47&gt;=$B9+1)*('2027 Avoided Costs'!$B$14:$B$47&lt;$B9+ROUND($O9,0)))))+_xlfn.XLOOKUP($B9,'2027 Avoided Costs'!$B$13:$B$47,'2027 Avoided Costs'!$C$13:$C$47),IF($O9=1,0,NPV('2027 Avoided Costs'!$D$6,_xlfn._xlws.FILTER('2027 Avoided Costs'!$E$14:$E$47,('2027 Avoided Costs'!$B$14:$B$47&gt;=$B9+1)*('2027 Avoided Costs'!$B$14:$B$47&lt;$B9+ROUND($O9,0)))))+_xlfn.XLOOKUP($B9,'2027 Avoided Costs'!$B$13:$B$47,'2027 Avoided Costs'!$E$13:$E$47))*IF($AE9&gt;0,$AE9*(1+$W9),0),0)</f>
        <v>12167868.788005194</v>
      </c>
      <c r="AU9" s="290" cm="1">
        <f t="array" ref="AU9">IFERROR((IF($O9=1,0,NPV('2027 Avoided Costs'!$D$6,_xlfn._xlws.FILTER('2027 Avoided Costs'!$M$14:$M$47,('2027 Avoided Costs'!$B$14:$B$47&gt;=$B9+1)*('2027 Avoided Costs'!$B$14:$B$47&lt;$B9+ROUND($O9,0)))))+_xlfn.XLOOKUP($B9,'2027 Avoided Costs'!$B$13:$B$47,'2027 Avoided Costs'!$M$13:$M$47))*IF($AK9&gt;0,$AK9*(1+$W9),0),0)</f>
        <v>0</v>
      </c>
      <c r="AV9" s="291" cm="1">
        <f t="array" ref="AV9">IFERROR((IF($O9=1,0,NPV('2027 Avoided Costs'!$D$6,_xlfn._xlws.FILTER('2027 Avoided Costs'!$Q$14:$Q$47,('2027 Avoided Costs'!$B$14:$B$47&gt;=$B9+1)*('2027 Avoided Costs'!$B$14:$B$47&lt;$B9+ROUND($O9,0)))))+_xlfn.XLOOKUP($B9,'2027 Avoided Costs'!$B$13:$B$47,'2027 Avoided Costs'!$Q$13:$Q$47))*IF($AI9&gt;0,$AI9*(1+$W9),0),0)</f>
        <v>0</v>
      </c>
      <c r="AW9" s="291" cm="1">
        <f t="array" ref="AW9">IFERROR((IF($O9=1,0,NPV('2027 Avoided Costs'!$D$6,_xlfn._xlws.FILTER('2027 Avoided Costs'!$W$14:$W$47,('2027 Avoided Costs'!$B$14:$B$47&gt;=$B9+1)*('2027 Avoided Costs'!$B$14:$B$47&lt;$B9+ROUND($O9,0)))))+_xlfn.XLOOKUP($B9,'2027 Avoided Costs'!$B$13:$B$47,'2027 Avoided Costs'!$W$13:$W$47))*IF($AM9&gt;0,$AM9*(1+$W9),0),0)</f>
        <v>0</v>
      </c>
      <c r="AX9" s="291" cm="1">
        <f t="array" ref="AX9">IFERROR((IF($O9=1,0,NPV('2027 Avoided Costs'!$D$6,_xlfn._xlws.FILTER('2027 Avoided Costs'!$AC$14:$AC$47,('2027 Avoided Costs'!$B$14:$B$47&gt;=$B9+1)*('2027 Avoided Costs'!$B$14:$B$47&lt;$B9+ROUND($O9,0)))))+_xlfn.XLOOKUP($B9,'2027 Avoided Costs'!$B$13:$B$47,'2027 Avoided Costs'!$AC$13:$AC$47))*IF($AO9&gt;0,$AO9*(1+$W9),0),0)</f>
        <v>0</v>
      </c>
      <c r="AY9" s="291" cm="1">
        <f t="array" ref="AY9">IFERROR((IF($O9=1,0,NPV('2027 Avoided Costs'!$D$4,_xlfn._xlws.FILTER('2027 Avoided Costs'!$I$14:$I$47,('2027 Avoided Costs'!$B$14:$B$47&gt;=$B9+1)*('2027 Avoided Costs'!$B$14:$B$47&lt;$B9+ROUND($O9,0)))))+_xlfn.XLOOKUP($B9,'2027 Avoided Costs'!$B$13:$B$47,'2027 Avoided Costs'!$I$13:$I$47))*IF($X9="Residential",'2027 Avoided Costs'!$J$5,IF($X9="Large Volume",'2027 Avoided Costs'!$J$7,'2027 Avoided Costs'!$J$6))*IF($AE9&gt;0,$AE9,0),0)</f>
        <v>0</v>
      </c>
      <c r="AZ9" s="291" cm="1">
        <f t="array" ref="AZ9">IFERROR(IF($J9="Baseload",IF($O9=1,0,NPV('2027 Avoided Costs'!$D$6,_xlfn._xlws.FILTER('2027 Avoided Costs'!$C$14:$C$47,('2027 Avoided Costs'!$B$14:$B$47&gt;=$B9+1)*('2027 Avoided Costs'!$B$14:$B$47&lt;$B9+ROUND($O9,0)))))+_xlfn.XLOOKUP($B9,'2027 Avoided Costs'!$B$13:$B$47,'2027 Avoided Costs'!$C$13:$C$47),IF($O9=1,0,NPV('2027 Avoided Costs'!$D$6,_xlfn._xlws.FILTER('2027 Avoided Costs'!$E$14:$E$47,('2027 Avoided Costs'!$B$14:$B$47&gt;=$B9+1)*('2027 Avoided Costs'!$B$14:$B$47&lt;$B9+ROUND($O9,0)))))+_xlfn.XLOOKUP($B9,'2027 Avoided Costs'!$B$13:$B$47,'2027 Avoided Costs'!$E$13:$E$47))*IF($AE9&lt;0,$AE9*(-1),0),0)</f>
        <v>0</v>
      </c>
      <c r="BA9" s="291" cm="1">
        <f t="array" ref="BA9">IFERROR((IF($O9=1,0,NPV('2027 Avoided Costs'!$D$6,_xlfn._xlws.FILTER('2027 Avoided Costs'!$M$14:$M$47,('2027 Avoided Costs'!$B$14:$B$47&gt;=$B9+1)*('2027 Avoided Costs'!$B$14:$B$47&lt;$B9+ROUND($O9,0)))))+_xlfn.XLOOKUP($B9,'2027 Avoided Costs'!$B$13:$B$47,'2027 Avoided Costs'!$M$13:$M$47))*IF($AK9&lt;0,$AK9*(-1),0),0)</f>
        <v>0</v>
      </c>
      <c r="BB9" s="291" cm="1">
        <f t="array" ref="BB9">IFERROR((IF($O9=1,0,NPV('2027 Avoided Costs'!$D$6,_xlfn._xlws.FILTER('2027 Avoided Costs'!$S$14:$S$47,('2027 Avoided Costs'!$B$14:$B$47&gt;=$B9+1)*('2027 Avoided Costs'!$B$14:$B$47&lt;$B9+ROUND($O9,0)))))+_xlfn.XLOOKUP($B9,'2027 Avoided Costs'!$B$13:$B$47,'2027 Avoided Costs'!$S$13:$S$47))*IF($AI9&lt;0,$AI9*(-1),0),0)</f>
        <v>39384.58550420434</v>
      </c>
      <c r="BC9" s="291" cm="1">
        <f t="array" ref="BC9">IFERROR((IF($O9=1,0,NPV('2027 Avoided Costs'!$D$6,_xlfn._xlws.FILTER('2027 Avoided Costs'!$Y$14:$Y$47,('2027 Avoided Costs'!$B$14:$B$47&gt;=$B9+1)*('2027 Avoided Costs'!$B$14:$B$47&lt;$B9+ROUND($O9,0)))))+_xlfn.XLOOKUP($B9,'2027 Avoided Costs'!$B$13:$B$47,'2027 Avoided Costs'!$Y$13:$Y$47))*IF($AM9&lt;0,$AM9*(-1),0),0)</f>
        <v>135432.17828053454</v>
      </c>
      <c r="BD9" s="291" cm="1">
        <f t="array" ref="BD9">IFERROR((IF($O9=1,0,NPV('2027 Avoided Costs'!$D$6,_xlfn._xlws.FILTER('2027 Avoided Costs'!$AE$14:$AE$47,('2027 Avoided Costs'!$B$14:$B$47&gt;=$B9+1)*('2027 Avoided Costs'!$B$14:$B$47&lt;$B9+ROUND($O9,0)))))+_xlfn.XLOOKUP($B9,'2027 Avoided Costs'!$B$13:$B$47,'2027 Avoided Costs'!$AE$13:$AE$47))*IF($AO9&lt;0,$AO9*(-1),0),0)</f>
        <v>4620.3409338623187</v>
      </c>
      <c r="BE9" s="291" cm="1">
        <f t="array" ref="BE9">IFERROR((IF($O9=1,0,NPV('2027 Avoided Costs'!$D$4,_xlfn._xlws.FILTER('2027 Avoided Costs'!$I$14:$I$47,('2027 Avoided Costs'!$B$14:$B$47&gt;=$B9+1)*('2027 Avoided Costs'!$B$14:$B$47&lt;$B9+ROUND($O9,0)))))+_xlfn.XLOOKUP($B9,'2027 Avoided Costs'!$B$13:$B$47,'2027 Avoided Costs'!$I$13:$I$47))*IF($X9="Residential",'2027 Avoided Costs'!$J$5,IF($X9="Large Volume",'2027 Avoided Costs'!$J$7,'2027 Avoided Costs'!$J$6))*IF($AE9&lt;0,$AE9*(-1),0),0)</f>
        <v>0</v>
      </c>
      <c r="BF9" s="291">
        <f t="shared" ref="BF9:BF72" si="23">SUM(AT9:AY9)+IF(AQ9&lt;0,AQ9*(-1),0)</f>
        <v>12167868.788005194</v>
      </c>
      <c r="BG9" s="291">
        <f t="shared" ref="BG9:BG72" si="24">SUM(AZ9:BE9)+IF(AQ9&gt;=0,AQ9,0)</f>
        <v>4238165.4068889078</v>
      </c>
      <c r="BH9" s="291">
        <f t="shared" ref="BH9:BH72" si="25">BF9-BG9</f>
        <v>7929703.3811162859</v>
      </c>
      <c r="BI9" s="292">
        <f>IFERROR(BF9/BG9,0)</f>
        <v>2.8710226288542167</v>
      </c>
      <c r="BJ9" s="196" cm="1">
        <f t="array" ref="BJ9">IFERROR(IF($J9="Baseload",IF($O9=1,0,NPV('2027 Avoided Costs'!$D$6,_xlfn._xlws.FILTER('2027 Avoided Costs'!$C$14:$C$47,('2027 Avoided Costs'!$B$14:$B$47&gt;=$B9+1)*('2027 Avoided Costs'!$B$14:$B$47&lt;$B9+ROUND($O9,0)))))+_xlfn.XLOOKUP($B9,'2027 Avoided Costs'!$B$13:$B$47,'2027 Avoided Costs'!$C$13:$C$47),IF($O9=1,0,NPV('2027 Avoided Costs'!$D$6,_xlfn._xlws.FILTER('2027 Avoided Costs'!$E$14:$E$47,('2027 Avoided Costs'!$B$14:$B$47&gt;=$B9+1)*('2027 Avoided Costs'!$B$14:$B$47&lt;$B9+ROUND($O9,0)))))+_xlfn.XLOOKUP($B9,'2027 Avoided Costs'!$B$13:$B$47,'2027 Avoided Costs'!$E$13:$E$47))*IF($AE9&gt;0,$AE9*(1+0),0),0)</f>
        <v>10580755.467830606</v>
      </c>
      <c r="BK9" s="293">
        <f t="shared" ref="BK9:BK72" si="26">IFERROR(BJ9/(AB9+AC9),0)</f>
        <v>7.2171587672934736</v>
      </c>
    </row>
    <row r="10" spans="1:63" s="1" customFormat="1" x14ac:dyDescent="0.25">
      <c r="A10" s="270" t="s">
        <v>133</v>
      </c>
      <c r="B10" s="271">
        <v>2027</v>
      </c>
      <c r="C10" s="272" t="s">
        <v>13</v>
      </c>
      <c r="D10" s="272" t="s">
        <v>9</v>
      </c>
      <c r="E10" s="272" t="s">
        <v>350</v>
      </c>
      <c r="F10" s="273">
        <v>19</v>
      </c>
      <c r="G10" s="274">
        <v>10297.162032653927</v>
      </c>
      <c r="H10" s="275">
        <f t="shared" si="3"/>
        <v>0.35</v>
      </c>
      <c r="I10" s="274">
        <v>250</v>
      </c>
      <c r="J10" s="276" t="s">
        <v>263</v>
      </c>
      <c r="K10" s="277">
        <f t="shared" ref="K10:K73" si="27">1-L10+M10</f>
        <v>0.75</v>
      </c>
      <c r="L10" s="278">
        <v>0.28000000000000003</v>
      </c>
      <c r="M10" s="278">
        <v>0.03</v>
      </c>
      <c r="N10" s="278">
        <v>0.9113</v>
      </c>
      <c r="O10" s="279">
        <v>17</v>
      </c>
      <c r="P10" s="280">
        <v>29420.462950439793</v>
      </c>
      <c r="Q10" s="281">
        <v>-611.54259459459558</v>
      </c>
      <c r="R10" s="282">
        <v>-6.9810798469702048E-2</v>
      </c>
      <c r="S10" s="282">
        <v>-6.9810798469702909E-2</v>
      </c>
      <c r="T10" s="281">
        <v>0</v>
      </c>
      <c r="U10" s="283">
        <v>1</v>
      </c>
      <c r="V10" s="284">
        <v>38932.645584367448</v>
      </c>
      <c r="W10" s="285">
        <v>0.15</v>
      </c>
      <c r="X10" s="286" t="s">
        <v>255</v>
      </c>
      <c r="Y10" s="287">
        <f t="shared" si="4"/>
        <v>19</v>
      </c>
      <c r="Z10" s="288">
        <f t="shared" si="5"/>
        <v>195646.07862042461</v>
      </c>
      <c r="AA10" s="288">
        <f t="shared" si="6"/>
        <v>4750</v>
      </c>
      <c r="AB10" s="288">
        <f t="shared" si="7"/>
        <v>195646.07862042461</v>
      </c>
      <c r="AC10" s="288">
        <f t="shared" ref="AC10:AC73" si="28">AA10*(1+$AC$1)^($B10-2027)</f>
        <v>4750</v>
      </c>
      <c r="AD10" s="287">
        <f t="shared" si="8"/>
        <v>509406.48984797986</v>
      </c>
      <c r="AE10" s="287">
        <f t="shared" si="9"/>
        <v>382054.86738598486</v>
      </c>
      <c r="AF10" s="287">
        <f t="shared" si="10"/>
        <v>8659910.3274156582</v>
      </c>
      <c r="AG10" s="287">
        <f t="shared" si="11"/>
        <v>6494932.7455617432</v>
      </c>
      <c r="AH10" s="287">
        <f t="shared" si="12"/>
        <v>-11351.061275136191</v>
      </c>
      <c r="AI10" s="287">
        <f t="shared" si="13"/>
        <v>-8513.2959563521435</v>
      </c>
      <c r="AJ10" s="287">
        <f t="shared" si="14"/>
        <v>0</v>
      </c>
      <c r="AK10" s="287">
        <f t="shared" si="15"/>
        <v>0</v>
      </c>
      <c r="AL10" s="287">
        <f t="shared" si="16"/>
        <v>-1.2957832505863112</v>
      </c>
      <c r="AM10" s="287">
        <f t="shared" si="17"/>
        <v>-0.97183743793973343</v>
      </c>
      <c r="AN10" s="287">
        <f t="shared" si="18"/>
        <v>-1.2957832505863274</v>
      </c>
      <c r="AO10" s="287">
        <f t="shared" si="19"/>
        <v>-0.97183743793974553</v>
      </c>
      <c r="AP10" s="287">
        <f t="shared" si="20"/>
        <v>739720.26610298152</v>
      </c>
      <c r="AQ10" s="287">
        <f t="shared" si="21"/>
        <v>554790.19957723608</v>
      </c>
      <c r="AR10" s="287">
        <f t="shared" si="22"/>
        <v>382054.86738598486</v>
      </c>
      <c r="AS10" s="289" t="e">
        <f>IF(J10='2027 Avoided Costs'!#REF!,3,5)</f>
        <v>#REF!</v>
      </c>
      <c r="AT10" s="290" cm="1">
        <f t="array" ref="AT10">IFERROR(IF($J10="Baseload",IF($O10=1,0,NPV('2027 Avoided Costs'!$D$6,_xlfn._xlws.FILTER('2027 Avoided Costs'!$C$14:$C$47,('2027 Avoided Costs'!$B$14:$B$47&gt;=$B10+1)*('2027 Avoided Costs'!$B$14:$B$47&lt;$B10+ROUND($O10,0)))))+_xlfn.XLOOKUP($B10,'2027 Avoided Costs'!$B$13:$B$47,'2027 Avoided Costs'!$C$13:$C$47),IF($O10=1,0,NPV('2027 Avoided Costs'!$D$6,_xlfn._xlws.FILTER('2027 Avoided Costs'!$E$14:$E$47,('2027 Avoided Costs'!$B$14:$B$47&gt;=$B10+1)*('2027 Avoided Costs'!$B$14:$B$47&lt;$B10+ROUND($O10,0)))))+_xlfn.XLOOKUP($B10,'2027 Avoided Costs'!$B$13:$B$47,'2027 Avoided Costs'!$E$13:$E$47))*IF($AE10&gt;0,$AE10*(1+$W10),0),0)</f>
        <v>1476412.3758168295</v>
      </c>
      <c r="AU10" s="290" cm="1">
        <f t="array" ref="AU10">IFERROR((IF($O10=1,0,NPV('2027 Avoided Costs'!$D$6,_xlfn._xlws.FILTER('2027 Avoided Costs'!$M$14:$M$47,('2027 Avoided Costs'!$B$14:$B$47&gt;=$B10+1)*('2027 Avoided Costs'!$B$14:$B$47&lt;$B10+ROUND($O10,0)))))+_xlfn.XLOOKUP($B10,'2027 Avoided Costs'!$B$13:$B$47,'2027 Avoided Costs'!$M$13:$M$47))*IF($AK10&gt;0,$AK10*(1+$W10),0),0)</f>
        <v>0</v>
      </c>
      <c r="AV10" s="291" cm="1">
        <f t="array" ref="AV10">IFERROR((IF($O10=1,0,NPV('2027 Avoided Costs'!$D$6,_xlfn._xlws.FILTER('2027 Avoided Costs'!$Q$14:$Q$47,('2027 Avoided Costs'!$B$14:$B$47&gt;=$B10+1)*('2027 Avoided Costs'!$B$14:$B$47&lt;$B10+ROUND($O10,0)))))+_xlfn.XLOOKUP($B10,'2027 Avoided Costs'!$B$13:$B$47,'2027 Avoided Costs'!$Q$13:$Q$47))*IF($AI10&gt;0,$AI10*(1+$W10),0),0)</f>
        <v>0</v>
      </c>
      <c r="AW10" s="291" cm="1">
        <f t="array" ref="AW10">IFERROR((IF($O10=1,0,NPV('2027 Avoided Costs'!$D$6,_xlfn._xlws.FILTER('2027 Avoided Costs'!$W$14:$W$47,('2027 Avoided Costs'!$B$14:$B$47&gt;=$B10+1)*('2027 Avoided Costs'!$B$14:$B$47&lt;$B10+ROUND($O10,0)))))+_xlfn.XLOOKUP($B10,'2027 Avoided Costs'!$B$13:$B$47,'2027 Avoided Costs'!$W$13:$W$47))*IF($AM10&gt;0,$AM10*(1+$W10),0),0)</f>
        <v>0</v>
      </c>
      <c r="AX10" s="291" cm="1">
        <f t="array" ref="AX10">IFERROR((IF($O10=1,0,NPV('2027 Avoided Costs'!$D$6,_xlfn._xlws.FILTER('2027 Avoided Costs'!$AC$14:$AC$47,('2027 Avoided Costs'!$B$14:$B$47&gt;=$B10+1)*('2027 Avoided Costs'!$B$14:$B$47&lt;$B10+ROUND($O10,0)))))+_xlfn.XLOOKUP($B10,'2027 Avoided Costs'!$B$13:$B$47,'2027 Avoided Costs'!$AC$13:$AC$47))*IF($AO10&gt;0,$AO10*(1+$W10),0),0)</f>
        <v>0</v>
      </c>
      <c r="AY10" s="291" cm="1">
        <f t="array" ref="AY10">IFERROR((IF($O10=1,0,NPV('2027 Avoided Costs'!$D$4,_xlfn._xlws.FILTER('2027 Avoided Costs'!$I$14:$I$47,('2027 Avoided Costs'!$B$14:$B$47&gt;=$B10+1)*('2027 Avoided Costs'!$B$14:$B$47&lt;$B10+ROUND($O10,0)))))+_xlfn.XLOOKUP($B10,'2027 Avoided Costs'!$B$13:$B$47,'2027 Avoided Costs'!$I$13:$I$47))*IF($X10="Residential",'2027 Avoided Costs'!$J$5,IF($X10="Large Volume",'2027 Avoided Costs'!$J$7,'2027 Avoided Costs'!$J$6))*IF($AE10&gt;0,$AE10,0),0)</f>
        <v>0</v>
      </c>
      <c r="AZ10" s="291" cm="1">
        <f t="array" ref="AZ10">IFERROR(IF($J10="Baseload",IF($O10=1,0,NPV('2027 Avoided Costs'!$D$6,_xlfn._xlws.FILTER('2027 Avoided Costs'!$C$14:$C$47,('2027 Avoided Costs'!$B$14:$B$47&gt;=$B10+1)*('2027 Avoided Costs'!$B$14:$B$47&lt;$B10+ROUND($O10,0)))))+_xlfn.XLOOKUP($B10,'2027 Avoided Costs'!$B$13:$B$47,'2027 Avoided Costs'!$C$13:$C$47),IF($O10=1,0,NPV('2027 Avoided Costs'!$D$6,_xlfn._xlws.FILTER('2027 Avoided Costs'!$E$14:$E$47,('2027 Avoided Costs'!$B$14:$B$47&gt;=$B10+1)*('2027 Avoided Costs'!$B$14:$B$47&lt;$B10+ROUND($O10,0)))))+_xlfn.XLOOKUP($B10,'2027 Avoided Costs'!$B$13:$B$47,'2027 Avoided Costs'!$E$13:$E$47))*IF($AE10&lt;0,$AE10*(-1),0),0)</f>
        <v>0</v>
      </c>
      <c r="BA10" s="291" cm="1">
        <f t="array" ref="BA10">IFERROR((IF($O10=1,0,NPV('2027 Avoided Costs'!$D$6,_xlfn._xlws.FILTER('2027 Avoided Costs'!$M$14:$M$47,('2027 Avoided Costs'!$B$14:$B$47&gt;=$B10+1)*('2027 Avoided Costs'!$B$14:$B$47&lt;$B10+ROUND($O10,0)))))+_xlfn.XLOOKUP($B10,'2027 Avoided Costs'!$B$13:$B$47,'2027 Avoided Costs'!$M$13:$M$47))*IF($AK10&lt;0,$AK10*(-1),0),0)</f>
        <v>0</v>
      </c>
      <c r="BB10" s="291" cm="1">
        <f t="array" ref="BB10">IFERROR((IF($O10=1,0,NPV('2027 Avoided Costs'!$D$6,_xlfn._xlws.FILTER('2027 Avoided Costs'!$S$14:$S$47,('2027 Avoided Costs'!$B$14:$B$47&gt;=$B10+1)*('2027 Avoided Costs'!$B$14:$B$47&lt;$B10+ROUND($O10,0)))))+_xlfn.XLOOKUP($B10,'2027 Avoided Costs'!$B$13:$B$47,'2027 Avoided Costs'!$S$13:$S$47))*IF($AI10&lt;0,$AI10*(-1),0),0)</f>
        <v>5383.5044933804493</v>
      </c>
      <c r="BC10" s="291" cm="1">
        <f t="array" ref="BC10">IFERROR((IF($O10=1,0,NPV('2027 Avoided Costs'!$D$6,_xlfn._xlws.FILTER('2027 Avoided Costs'!$Y$14:$Y$47,('2027 Avoided Costs'!$B$14:$B$47&gt;=$B10+1)*('2027 Avoided Costs'!$B$14:$B$47&lt;$B10+ROUND($O10,0)))))+_xlfn.XLOOKUP($B10,'2027 Avoided Costs'!$B$13:$B$47,'2027 Avoided Costs'!$Y$13:$Y$47))*IF($AM10&lt;0,$AM10*(-1),0),0)</f>
        <v>3467.8644003224695</v>
      </c>
      <c r="BD10" s="291" cm="1">
        <f t="array" ref="BD10">IFERROR((IF($O10=1,0,NPV('2027 Avoided Costs'!$D$6,_xlfn._xlws.FILTER('2027 Avoided Costs'!$AE$14:$AE$47,('2027 Avoided Costs'!$B$14:$B$47&gt;=$B10+1)*('2027 Avoided Costs'!$B$14:$B$47&lt;$B10+ROUND($O10,0)))))+_xlfn.XLOOKUP($B10,'2027 Avoided Costs'!$B$13:$B$47,'2027 Avoided Costs'!$AE$13:$AE$47))*IF($AO10&lt;0,$AO10*(-1),0),0)</f>
        <v>400.54515227314914</v>
      </c>
      <c r="BE10" s="291" cm="1">
        <f t="array" ref="BE10">IFERROR((IF($O10=1,0,NPV('2027 Avoided Costs'!$D$4,_xlfn._xlws.FILTER('2027 Avoided Costs'!$I$14:$I$47,('2027 Avoided Costs'!$B$14:$B$47&gt;=$B10+1)*('2027 Avoided Costs'!$B$14:$B$47&lt;$B10+ROUND($O10,0)))))+_xlfn.XLOOKUP($B10,'2027 Avoided Costs'!$B$13:$B$47,'2027 Avoided Costs'!$I$13:$I$47))*IF($X10="Residential",'2027 Avoided Costs'!$J$5,IF($X10="Large Volume",'2027 Avoided Costs'!$J$7,'2027 Avoided Costs'!$J$6))*IF($AE10&lt;0,$AE10*(-1),0),0)</f>
        <v>0</v>
      </c>
      <c r="BF10" s="291">
        <f t="shared" si="23"/>
        <v>1476412.3758168295</v>
      </c>
      <c r="BG10" s="291">
        <f t="shared" si="24"/>
        <v>564042.11362321209</v>
      </c>
      <c r="BH10" s="291">
        <f t="shared" si="25"/>
        <v>912370.26219361741</v>
      </c>
      <c r="BI10" s="292">
        <f t="shared" ref="BI10:BI73" si="29">IFERROR(BF10/BG10,0)</f>
        <v>2.6175569876030451</v>
      </c>
      <c r="BJ10" s="196" cm="1">
        <f t="array" ref="BJ10">IFERROR(IF($J10="Baseload",IF($O10=1,0,NPV('2027 Avoided Costs'!$D$6,_xlfn._xlws.FILTER('2027 Avoided Costs'!$C$14:$C$47,('2027 Avoided Costs'!$B$14:$B$47&gt;=$B10+1)*('2027 Avoided Costs'!$B$14:$B$47&lt;$B10+ROUND($O10,0)))))+_xlfn.XLOOKUP($B10,'2027 Avoided Costs'!$B$13:$B$47,'2027 Avoided Costs'!$C$13:$C$47),IF($O10=1,0,NPV('2027 Avoided Costs'!$D$6,_xlfn._xlws.FILTER('2027 Avoided Costs'!$E$14:$E$47,('2027 Avoided Costs'!$B$14:$B$47&gt;=$B10+1)*('2027 Avoided Costs'!$B$14:$B$47&lt;$B10+ROUND($O10,0)))))+_xlfn.XLOOKUP($B10,'2027 Avoided Costs'!$B$13:$B$47,'2027 Avoided Costs'!$E$13:$E$47))*IF($AE10&gt;0,$AE10*(1+0),0),0)</f>
        <v>1283836.8485363736</v>
      </c>
      <c r="BK10" s="293">
        <f t="shared" si="26"/>
        <v>6.406496860490579</v>
      </c>
    </row>
    <row r="11" spans="1:63" s="1" customFormat="1" x14ac:dyDescent="0.25">
      <c r="A11" s="270" t="s">
        <v>133</v>
      </c>
      <c r="B11" s="271">
        <v>2027</v>
      </c>
      <c r="C11" s="272" t="s">
        <v>13</v>
      </c>
      <c r="D11" s="272" t="s">
        <v>9</v>
      </c>
      <c r="E11" s="272" t="s">
        <v>288</v>
      </c>
      <c r="F11" s="273">
        <v>8</v>
      </c>
      <c r="G11" s="274">
        <v>347944.85154578998</v>
      </c>
      <c r="H11" s="275">
        <f t="shared" si="3"/>
        <v>0.35</v>
      </c>
      <c r="I11" s="274">
        <v>250</v>
      </c>
      <c r="J11" s="276" t="s">
        <v>264</v>
      </c>
      <c r="K11" s="277">
        <f t="shared" si="27"/>
        <v>0.75</v>
      </c>
      <c r="L11" s="278">
        <v>0.28000000000000003</v>
      </c>
      <c r="M11" s="278">
        <v>0.03</v>
      </c>
      <c r="N11" s="278">
        <v>0.9113</v>
      </c>
      <c r="O11" s="279">
        <v>15</v>
      </c>
      <c r="P11" s="280">
        <v>994128.14727368578</v>
      </c>
      <c r="Q11" s="281">
        <v>-1028725.3874999998</v>
      </c>
      <c r="R11" s="282">
        <v>0</v>
      </c>
      <c r="S11" s="282">
        <v>-431</v>
      </c>
      <c r="T11" s="281">
        <v>0</v>
      </c>
      <c r="U11" s="283">
        <v>1</v>
      </c>
      <c r="V11" s="284">
        <v>2154112.8755555553</v>
      </c>
      <c r="W11" s="285">
        <v>0.15</v>
      </c>
      <c r="X11" s="286" t="s">
        <v>255</v>
      </c>
      <c r="Y11" s="287">
        <f t="shared" si="4"/>
        <v>8</v>
      </c>
      <c r="Z11" s="288">
        <f t="shared" si="5"/>
        <v>2783558.8123663198</v>
      </c>
      <c r="AA11" s="288">
        <f t="shared" si="6"/>
        <v>2000</v>
      </c>
      <c r="AB11" s="288">
        <f t="shared" si="7"/>
        <v>2783558.8123663198</v>
      </c>
      <c r="AC11" s="288">
        <f t="shared" si="28"/>
        <v>2000</v>
      </c>
      <c r="AD11" s="287">
        <f t="shared" si="8"/>
        <v>7247591.8448840789</v>
      </c>
      <c r="AE11" s="287">
        <f t="shared" si="9"/>
        <v>5435693.8836630592</v>
      </c>
      <c r="AF11" s="287">
        <f t="shared" si="10"/>
        <v>108713877.67326118</v>
      </c>
      <c r="AG11" s="287">
        <f t="shared" si="11"/>
        <v>81535408.254945889</v>
      </c>
      <c r="AH11" s="287">
        <f t="shared" si="12"/>
        <v>-8039806.5737121599</v>
      </c>
      <c r="AI11" s="287">
        <f t="shared" si="13"/>
        <v>-6029854.9302841192</v>
      </c>
      <c r="AJ11" s="287">
        <f t="shared" si="14"/>
        <v>0</v>
      </c>
      <c r="AK11" s="287">
        <f t="shared" si="15"/>
        <v>0</v>
      </c>
      <c r="AL11" s="287">
        <f t="shared" si="16"/>
        <v>0</v>
      </c>
      <c r="AM11" s="287">
        <f t="shared" si="17"/>
        <v>0</v>
      </c>
      <c r="AN11" s="287">
        <f t="shared" si="18"/>
        <v>-3368.3980928000005</v>
      </c>
      <c r="AO11" s="287">
        <f t="shared" si="19"/>
        <v>-2526.2985696000001</v>
      </c>
      <c r="AP11" s="287">
        <f t="shared" si="20"/>
        <v>17232903.004444443</v>
      </c>
      <c r="AQ11" s="287">
        <f t="shared" si="21"/>
        <v>12924677.253333332</v>
      </c>
      <c r="AR11" s="287">
        <f t="shared" si="22"/>
        <v>5435693.8836630592</v>
      </c>
      <c r="AS11" s="289" t="e">
        <f>IF(J11='2027 Avoided Costs'!#REF!,3,5)</f>
        <v>#REF!</v>
      </c>
      <c r="AT11" s="290" cm="1">
        <f t="array" ref="AT11">IFERROR(IF($J11="Baseload",IF($O11=1,0,NPV('2027 Avoided Costs'!$D$6,_xlfn._xlws.FILTER('2027 Avoided Costs'!$C$14:$C$47,('2027 Avoided Costs'!$B$14:$B$47&gt;=$B11+1)*('2027 Avoided Costs'!$B$14:$B$47&lt;$B11+ROUND($O11,0)))))+_xlfn.XLOOKUP($B11,'2027 Avoided Costs'!$B$13:$B$47,'2027 Avoided Costs'!$C$13:$C$47),IF($O11=1,0,NPV('2027 Avoided Costs'!$D$6,_xlfn._xlws.FILTER('2027 Avoided Costs'!$E$14:$E$47,('2027 Avoided Costs'!$B$14:$B$47&gt;=$B11+1)*('2027 Avoided Costs'!$B$14:$B$47&lt;$B11+ROUND($O11,0)))))+_xlfn.XLOOKUP($B11,'2027 Avoided Costs'!$B$13:$B$47,'2027 Avoided Costs'!$E$13:$E$47))*IF($AE11&gt;0,$AE11*(1+$W11),0),0)</f>
        <v>21435981.352305137</v>
      </c>
      <c r="AU11" s="290" cm="1">
        <f t="array" ref="AU11">IFERROR((IF($O11=1,0,NPV('2027 Avoided Costs'!$D$6,_xlfn._xlws.FILTER('2027 Avoided Costs'!$M$14:$M$47,('2027 Avoided Costs'!$B$14:$B$47&gt;=$B11+1)*('2027 Avoided Costs'!$B$14:$B$47&lt;$B11+ROUND($O11,0)))))+_xlfn.XLOOKUP($B11,'2027 Avoided Costs'!$B$13:$B$47,'2027 Avoided Costs'!$M$13:$M$47))*IF($AK11&gt;0,$AK11*(1+$W11),0),0)</f>
        <v>0</v>
      </c>
      <c r="AV11" s="291" cm="1">
        <f t="array" ref="AV11">IFERROR((IF($O11=1,0,NPV('2027 Avoided Costs'!$D$6,_xlfn._xlws.FILTER('2027 Avoided Costs'!$Q$14:$Q$47,('2027 Avoided Costs'!$B$14:$B$47&gt;=$B11+1)*('2027 Avoided Costs'!$B$14:$B$47&lt;$B11+ROUND($O11,0)))))+_xlfn.XLOOKUP($B11,'2027 Avoided Costs'!$B$13:$B$47,'2027 Avoided Costs'!$Q$13:$Q$47))*IF($AI11&gt;0,$AI11*(1+$W11),0),0)</f>
        <v>0</v>
      </c>
      <c r="AW11" s="291" cm="1">
        <f t="array" ref="AW11">IFERROR((IF($O11=1,0,NPV('2027 Avoided Costs'!$D$6,_xlfn._xlws.FILTER('2027 Avoided Costs'!$W$14:$W$47,('2027 Avoided Costs'!$B$14:$B$47&gt;=$B11+1)*('2027 Avoided Costs'!$B$14:$B$47&lt;$B11+ROUND($O11,0)))))+_xlfn.XLOOKUP($B11,'2027 Avoided Costs'!$B$13:$B$47,'2027 Avoided Costs'!$W$13:$W$47))*IF($AM11&gt;0,$AM11*(1+$W11),0),0)</f>
        <v>0</v>
      </c>
      <c r="AX11" s="291" cm="1">
        <f t="array" ref="AX11">IFERROR((IF($O11=1,0,NPV('2027 Avoided Costs'!$D$6,_xlfn._xlws.FILTER('2027 Avoided Costs'!$AC$14:$AC$47,('2027 Avoided Costs'!$B$14:$B$47&gt;=$B11+1)*('2027 Avoided Costs'!$B$14:$B$47&lt;$B11+ROUND($O11,0)))))+_xlfn.XLOOKUP($B11,'2027 Avoided Costs'!$B$13:$B$47,'2027 Avoided Costs'!$AC$13:$AC$47))*IF($AO11&gt;0,$AO11*(1+$W11),0),0)</f>
        <v>0</v>
      </c>
      <c r="AY11" s="291" cm="1">
        <f t="array" ref="AY11">IFERROR((IF($O11=1,0,NPV('2027 Avoided Costs'!$D$4,_xlfn._xlws.FILTER('2027 Avoided Costs'!$I$14:$I$47,('2027 Avoided Costs'!$B$14:$B$47&gt;=$B11+1)*('2027 Avoided Costs'!$B$14:$B$47&lt;$B11+ROUND($O11,0)))))+_xlfn.XLOOKUP($B11,'2027 Avoided Costs'!$B$13:$B$47,'2027 Avoided Costs'!$I$13:$I$47))*IF($X11="Residential",'2027 Avoided Costs'!$J$5,IF($X11="Large Volume",'2027 Avoided Costs'!$J$7,'2027 Avoided Costs'!$J$6))*IF($AE11&gt;0,$AE11,0),0)</f>
        <v>0</v>
      </c>
      <c r="AZ11" s="291" cm="1">
        <f t="array" ref="AZ11">IFERROR(IF($J11="Baseload",IF($O11=1,0,NPV('2027 Avoided Costs'!$D$6,_xlfn._xlws.FILTER('2027 Avoided Costs'!$C$14:$C$47,('2027 Avoided Costs'!$B$14:$B$47&gt;=$B11+1)*('2027 Avoided Costs'!$B$14:$B$47&lt;$B11+ROUND($O11,0)))))+_xlfn.XLOOKUP($B11,'2027 Avoided Costs'!$B$13:$B$47,'2027 Avoided Costs'!$C$13:$C$47),IF($O11=1,0,NPV('2027 Avoided Costs'!$D$6,_xlfn._xlws.FILTER('2027 Avoided Costs'!$E$14:$E$47,('2027 Avoided Costs'!$B$14:$B$47&gt;=$B11+1)*('2027 Avoided Costs'!$B$14:$B$47&lt;$B11+ROUND($O11,0)))))+_xlfn.XLOOKUP($B11,'2027 Avoided Costs'!$B$13:$B$47,'2027 Avoided Costs'!$E$13:$E$47))*IF($AE11&lt;0,$AE11*(-1),0),0)</f>
        <v>0</v>
      </c>
      <c r="BA11" s="291" cm="1">
        <f t="array" ref="BA11">IFERROR((IF($O11=1,0,NPV('2027 Avoided Costs'!$D$6,_xlfn._xlws.FILTER('2027 Avoided Costs'!$M$14:$M$47,('2027 Avoided Costs'!$B$14:$B$47&gt;=$B11+1)*('2027 Avoided Costs'!$B$14:$B$47&lt;$B11+ROUND($O11,0)))))+_xlfn.XLOOKUP($B11,'2027 Avoided Costs'!$B$13:$B$47,'2027 Avoided Costs'!$M$13:$M$47))*IF($AK11&lt;0,$AK11*(-1),0),0)</f>
        <v>0</v>
      </c>
      <c r="BB11" s="291" cm="1">
        <f t="array" ref="BB11">IFERROR((IF($O11=1,0,NPV('2027 Avoided Costs'!$D$6,_xlfn._xlws.FILTER('2027 Avoided Costs'!$S$14:$S$47,('2027 Avoided Costs'!$B$14:$B$47&gt;=$B11+1)*('2027 Avoided Costs'!$B$14:$B$47&lt;$B11+ROUND($O11,0)))))+_xlfn.XLOOKUP($B11,'2027 Avoided Costs'!$B$13:$B$47,'2027 Avoided Costs'!$S$13:$S$47))*IF($AI11&lt;0,$AI11*(-1),0),0)</f>
        <v>3471353.8219345892</v>
      </c>
      <c r="BC11" s="291" cm="1">
        <f t="array" ref="BC11">IFERROR((IF($O11=1,0,NPV('2027 Avoided Costs'!$D$6,_xlfn._xlws.FILTER('2027 Avoided Costs'!$Y$14:$Y$47,('2027 Avoided Costs'!$B$14:$B$47&gt;=$B11+1)*('2027 Avoided Costs'!$B$14:$B$47&lt;$B11+ROUND($O11,0)))))+_xlfn.XLOOKUP($B11,'2027 Avoided Costs'!$B$13:$B$47,'2027 Avoided Costs'!$Y$13:$Y$47))*IF($AM11&lt;0,$AM11*(-1),0),0)</f>
        <v>0</v>
      </c>
      <c r="BD11" s="291" cm="1">
        <f t="array" ref="BD11">IFERROR((IF($O11=1,0,NPV('2027 Avoided Costs'!$D$6,_xlfn._xlws.FILTER('2027 Avoided Costs'!$AE$14:$AE$47,('2027 Avoided Costs'!$B$14:$B$47&gt;=$B11+1)*('2027 Avoided Costs'!$B$14:$B$47&lt;$B11+ROUND($O11,0)))))+_xlfn.XLOOKUP($B11,'2027 Avoided Costs'!$B$13:$B$47,'2027 Avoided Costs'!$AE$13:$AE$47))*IF($AO11&lt;0,$AO11*(-1),0),0)</f>
        <v>536392.88033493247</v>
      </c>
      <c r="BE11" s="291" cm="1">
        <f t="array" ref="BE11">IFERROR((IF($O11=1,0,NPV('2027 Avoided Costs'!$D$4,_xlfn._xlws.FILTER('2027 Avoided Costs'!$I$14:$I$47,('2027 Avoided Costs'!$B$14:$B$47&gt;=$B11+1)*('2027 Avoided Costs'!$B$14:$B$47&lt;$B11+ROUND($O11,0)))))+_xlfn.XLOOKUP($B11,'2027 Avoided Costs'!$B$13:$B$47,'2027 Avoided Costs'!$I$13:$I$47))*IF($X11="Residential",'2027 Avoided Costs'!$J$5,IF($X11="Large Volume",'2027 Avoided Costs'!$J$7,'2027 Avoided Costs'!$J$6))*IF($AE11&lt;0,$AE11*(-1),0),0)</f>
        <v>0</v>
      </c>
      <c r="BF11" s="291">
        <f t="shared" si="23"/>
        <v>21435981.352305137</v>
      </c>
      <c r="BG11" s="291">
        <f t="shared" si="24"/>
        <v>16932423.955602854</v>
      </c>
      <c r="BH11" s="291">
        <f t="shared" si="25"/>
        <v>4503557.3967022821</v>
      </c>
      <c r="BI11" s="292">
        <f t="shared" si="29"/>
        <v>1.2659723976030071</v>
      </c>
      <c r="BJ11" s="196" cm="1">
        <f t="array" ref="BJ11">IFERROR(IF($J11="Baseload",IF($O11=1,0,NPV('2027 Avoided Costs'!$D$6,_xlfn._xlws.FILTER('2027 Avoided Costs'!$C$14:$C$47,('2027 Avoided Costs'!$B$14:$B$47&gt;=$B11+1)*('2027 Avoided Costs'!$B$14:$B$47&lt;$B11+ROUND($O11,0)))))+_xlfn.XLOOKUP($B11,'2027 Avoided Costs'!$B$13:$B$47,'2027 Avoided Costs'!$C$13:$C$47),IF($O11=1,0,NPV('2027 Avoided Costs'!$D$6,_xlfn._xlws.FILTER('2027 Avoided Costs'!$E$14:$E$47,('2027 Avoided Costs'!$B$14:$B$47&gt;=$B11+1)*('2027 Avoided Costs'!$B$14:$B$47&lt;$B11+ROUND($O11,0)))))+_xlfn.XLOOKUP($B11,'2027 Avoided Costs'!$B$13:$B$47,'2027 Avoided Costs'!$E$13:$E$47))*IF($AE11&gt;0,$AE11*(1+0),0),0)</f>
        <v>18639983.784613166</v>
      </c>
      <c r="BK11" s="293">
        <f t="shared" si="26"/>
        <v>6.6916496976700275</v>
      </c>
    </row>
    <row r="12" spans="1:63" s="1" customFormat="1" x14ac:dyDescent="0.25">
      <c r="A12" s="270" t="s">
        <v>133</v>
      </c>
      <c r="B12" s="271">
        <v>2027</v>
      </c>
      <c r="C12" s="272" t="s">
        <v>13</v>
      </c>
      <c r="D12" s="272" t="s">
        <v>9</v>
      </c>
      <c r="E12" s="272" t="s">
        <v>289</v>
      </c>
      <c r="F12" s="273">
        <v>138</v>
      </c>
      <c r="G12" s="274">
        <v>4703.15443401223</v>
      </c>
      <c r="H12" s="275">
        <f t="shared" si="3"/>
        <v>0.96502300196168755</v>
      </c>
      <c r="I12" s="274">
        <v>250</v>
      </c>
      <c r="J12" s="276" t="s">
        <v>264</v>
      </c>
      <c r="K12" s="277">
        <f t="shared" si="27"/>
        <v>0.75</v>
      </c>
      <c r="L12" s="278">
        <v>0.28000000000000003</v>
      </c>
      <c r="M12" s="278">
        <v>0.03</v>
      </c>
      <c r="N12" s="278">
        <v>0.9113</v>
      </c>
      <c r="O12" s="279">
        <v>17</v>
      </c>
      <c r="P12" s="280">
        <v>4873.6189960775155</v>
      </c>
      <c r="Q12" s="281">
        <v>367.32758064516116</v>
      </c>
      <c r="R12" s="282">
        <v>0.22384530467559094</v>
      </c>
      <c r="S12" s="282">
        <v>6.6116640199584784E-2</v>
      </c>
      <c r="T12" s="281">
        <v>0</v>
      </c>
      <c r="U12" s="283">
        <v>0</v>
      </c>
      <c r="V12" s="284">
        <v>15522.169808517197</v>
      </c>
      <c r="W12" s="285">
        <v>0.15</v>
      </c>
      <c r="X12" s="286" t="s">
        <v>255</v>
      </c>
      <c r="Y12" s="287">
        <f t="shared" si="4"/>
        <v>138</v>
      </c>
      <c r="Z12" s="288">
        <f t="shared" si="5"/>
        <v>649035.3118936877</v>
      </c>
      <c r="AA12" s="288">
        <f t="shared" si="6"/>
        <v>34500</v>
      </c>
      <c r="AB12" s="288">
        <f t="shared" si="7"/>
        <v>649035.3118936877</v>
      </c>
      <c r="AC12" s="288">
        <f t="shared" si="28"/>
        <v>34500</v>
      </c>
      <c r="AD12" s="287">
        <f t="shared" si="8"/>
        <v>612903.4007753107</v>
      </c>
      <c r="AE12" s="287">
        <f t="shared" si="9"/>
        <v>459677.55058148305</v>
      </c>
      <c r="AF12" s="287">
        <f t="shared" si="10"/>
        <v>10419357.813180283</v>
      </c>
      <c r="AG12" s="287">
        <f t="shared" si="11"/>
        <v>7814518.359885212</v>
      </c>
      <c r="AH12" s="287">
        <f t="shared" si="12"/>
        <v>49520.928667854962</v>
      </c>
      <c r="AI12" s="287">
        <f t="shared" si="13"/>
        <v>37140.696500891223</v>
      </c>
      <c r="AJ12" s="287">
        <f t="shared" si="14"/>
        <v>0</v>
      </c>
      <c r="AK12" s="287">
        <f t="shared" si="15"/>
        <v>0</v>
      </c>
      <c r="AL12" s="287">
        <f t="shared" si="16"/>
        <v>30.177498095854517</v>
      </c>
      <c r="AM12" s="287">
        <f t="shared" si="17"/>
        <v>22.633123571890891</v>
      </c>
      <c r="AN12" s="287">
        <f t="shared" si="18"/>
        <v>8.9134538096247908</v>
      </c>
      <c r="AO12" s="287">
        <f t="shared" si="19"/>
        <v>6.6850903572185931</v>
      </c>
      <c r="AP12" s="287">
        <f t="shared" si="20"/>
        <v>2142059.4335753731</v>
      </c>
      <c r="AQ12" s="287">
        <f t="shared" si="21"/>
        <v>1606544.5751815299</v>
      </c>
      <c r="AR12" s="287">
        <f t="shared" si="22"/>
        <v>0</v>
      </c>
      <c r="AS12" s="289" t="e">
        <f>IF(J12='2027 Avoided Costs'!#REF!,3,5)</f>
        <v>#REF!</v>
      </c>
      <c r="AT12" s="290" cm="1">
        <f t="array" ref="AT12">IFERROR(IF($J12="Baseload",IF($O12=1,0,NPV('2027 Avoided Costs'!$D$6,_xlfn._xlws.FILTER('2027 Avoided Costs'!$C$14:$C$47,('2027 Avoided Costs'!$B$14:$B$47&gt;=$B12+1)*('2027 Avoided Costs'!$B$14:$B$47&lt;$B12+ROUND($O12,0)))))+_xlfn.XLOOKUP($B12,'2027 Avoided Costs'!$B$13:$B$47,'2027 Avoided Costs'!$C$13:$C$47),IF($O12=1,0,NPV('2027 Avoided Costs'!$D$6,_xlfn._xlws.FILTER('2027 Avoided Costs'!$E$14:$E$47,('2027 Avoided Costs'!$B$14:$B$47&gt;=$B12+1)*('2027 Avoided Costs'!$B$14:$B$47&lt;$B12+ROUND($O12,0)))))+_xlfn.XLOOKUP($B12,'2027 Avoided Costs'!$B$13:$B$47,'2027 Avoided Costs'!$E$13:$E$47))*IF($AE12&gt;0,$AE12*(1+$W12),0),0)</f>
        <v>2001155.6807769549</v>
      </c>
      <c r="AU12" s="290" cm="1">
        <f t="array" ref="AU12">IFERROR((IF($O12=1,0,NPV('2027 Avoided Costs'!$D$6,_xlfn._xlws.FILTER('2027 Avoided Costs'!$M$14:$M$47,('2027 Avoided Costs'!$B$14:$B$47&gt;=$B12+1)*('2027 Avoided Costs'!$B$14:$B$47&lt;$B12+ROUND($O12,0)))))+_xlfn.XLOOKUP($B12,'2027 Avoided Costs'!$B$13:$B$47,'2027 Avoided Costs'!$M$13:$M$47))*IF($AK12&gt;0,$AK12*(1+$W12),0),0)</f>
        <v>0</v>
      </c>
      <c r="AV12" s="291" cm="1">
        <f t="array" ref="AV12">IFERROR((IF($O12=1,0,NPV('2027 Avoided Costs'!$D$6,_xlfn._xlws.FILTER('2027 Avoided Costs'!$Q$14:$Q$47,('2027 Avoided Costs'!$B$14:$B$47&gt;=$B12+1)*('2027 Avoided Costs'!$B$14:$B$47&lt;$B12+ROUND($O12,0)))))+_xlfn.XLOOKUP($B12,'2027 Avoided Costs'!$B$13:$B$47,'2027 Avoided Costs'!$Q$13:$Q$47))*IF($AI12&gt;0,$AI12*(1+$W12),0),0)</f>
        <v>27009.418403131378</v>
      </c>
      <c r="AW12" s="291" cm="1">
        <f t="array" ref="AW12">IFERROR((IF($O12=1,0,NPV('2027 Avoided Costs'!$D$6,_xlfn._xlws.FILTER('2027 Avoided Costs'!$W$14:$W$47,('2027 Avoided Costs'!$B$14:$B$47&gt;=$B12+1)*('2027 Avoided Costs'!$B$14:$B$47&lt;$B12+ROUND($O12,0)))))+_xlfn.XLOOKUP($B12,'2027 Avoided Costs'!$B$13:$B$47,'2027 Avoided Costs'!$W$13:$W$47))*IF($AM12&gt;0,$AM12*(1+$W12),0),0)</f>
        <v>92877.564194142644</v>
      </c>
      <c r="AX12" s="291" cm="1">
        <f t="array" ref="AX12">IFERROR((IF($O12=1,0,NPV('2027 Avoided Costs'!$D$6,_xlfn._xlws.FILTER('2027 Avoided Costs'!$AC$14:$AC$47,('2027 Avoided Costs'!$B$14:$B$47&gt;=$B12+1)*('2027 Avoided Costs'!$B$14:$B$47&lt;$B12+ROUND($O12,0)))))+_xlfn.XLOOKUP($B12,'2027 Avoided Costs'!$B$13:$B$47,'2027 Avoided Costs'!$AC$13:$AC$47))*IF($AO12&gt;0,$AO12*(1+$W12),0),0)</f>
        <v>3168.5675969467898</v>
      </c>
      <c r="AY12" s="291" cm="1">
        <f t="array" ref="AY12">IFERROR((IF($O12=1,0,NPV('2027 Avoided Costs'!$D$4,_xlfn._xlws.FILTER('2027 Avoided Costs'!$I$14:$I$47,('2027 Avoided Costs'!$B$14:$B$47&gt;=$B12+1)*('2027 Avoided Costs'!$B$14:$B$47&lt;$B12+ROUND($O12,0)))))+_xlfn.XLOOKUP($B12,'2027 Avoided Costs'!$B$13:$B$47,'2027 Avoided Costs'!$I$13:$I$47))*IF($X12="Residential",'2027 Avoided Costs'!$J$5,IF($X12="Large Volume",'2027 Avoided Costs'!$J$7,'2027 Avoided Costs'!$J$6))*IF($AE12&gt;0,$AE12,0),0)</f>
        <v>0</v>
      </c>
      <c r="AZ12" s="291" cm="1">
        <f t="array" ref="AZ12">IFERROR(IF($J12="Baseload",IF($O12=1,0,NPV('2027 Avoided Costs'!$D$6,_xlfn._xlws.FILTER('2027 Avoided Costs'!$C$14:$C$47,('2027 Avoided Costs'!$B$14:$B$47&gt;=$B12+1)*('2027 Avoided Costs'!$B$14:$B$47&lt;$B12+ROUND($O12,0)))))+_xlfn.XLOOKUP($B12,'2027 Avoided Costs'!$B$13:$B$47,'2027 Avoided Costs'!$C$13:$C$47),IF($O12=1,0,NPV('2027 Avoided Costs'!$D$6,_xlfn._xlws.FILTER('2027 Avoided Costs'!$E$14:$E$47,('2027 Avoided Costs'!$B$14:$B$47&gt;=$B12+1)*('2027 Avoided Costs'!$B$14:$B$47&lt;$B12+ROUND($O12,0)))))+_xlfn.XLOOKUP($B12,'2027 Avoided Costs'!$B$13:$B$47,'2027 Avoided Costs'!$E$13:$E$47))*IF($AE12&lt;0,$AE12*(-1),0),0)</f>
        <v>0</v>
      </c>
      <c r="BA12" s="291" cm="1">
        <f t="array" ref="BA12">IFERROR((IF($O12=1,0,NPV('2027 Avoided Costs'!$D$6,_xlfn._xlws.FILTER('2027 Avoided Costs'!$M$14:$M$47,('2027 Avoided Costs'!$B$14:$B$47&gt;=$B12+1)*('2027 Avoided Costs'!$B$14:$B$47&lt;$B12+ROUND($O12,0)))))+_xlfn.XLOOKUP($B12,'2027 Avoided Costs'!$B$13:$B$47,'2027 Avoided Costs'!$M$13:$M$47))*IF($AK12&lt;0,$AK12*(-1),0),0)</f>
        <v>0</v>
      </c>
      <c r="BB12" s="291" cm="1">
        <f t="array" ref="BB12">IFERROR((IF($O12=1,0,NPV('2027 Avoided Costs'!$D$6,_xlfn._xlws.FILTER('2027 Avoided Costs'!$S$14:$S$47,('2027 Avoided Costs'!$B$14:$B$47&gt;=$B12+1)*('2027 Avoided Costs'!$B$14:$B$47&lt;$B12+ROUND($O12,0)))))+_xlfn.XLOOKUP($B12,'2027 Avoided Costs'!$B$13:$B$47,'2027 Avoided Costs'!$S$13:$S$47))*IF($AI12&lt;0,$AI12*(-1),0),0)</f>
        <v>0</v>
      </c>
      <c r="BC12" s="291" cm="1">
        <f t="array" ref="BC12">IFERROR((IF($O12=1,0,NPV('2027 Avoided Costs'!$D$6,_xlfn._xlws.FILTER('2027 Avoided Costs'!$Y$14:$Y$47,('2027 Avoided Costs'!$B$14:$B$47&gt;=$B12+1)*('2027 Avoided Costs'!$B$14:$B$47&lt;$B12+ROUND($O12,0)))))+_xlfn.XLOOKUP($B12,'2027 Avoided Costs'!$B$13:$B$47,'2027 Avoided Costs'!$Y$13:$Y$47))*IF($AM12&lt;0,$AM12*(-1),0),0)</f>
        <v>0</v>
      </c>
      <c r="BD12" s="291" cm="1">
        <f t="array" ref="BD12">IFERROR((IF($O12=1,0,NPV('2027 Avoided Costs'!$D$6,_xlfn._xlws.FILTER('2027 Avoided Costs'!$AE$14:$AE$47,('2027 Avoided Costs'!$B$14:$B$47&gt;=$B12+1)*('2027 Avoided Costs'!$B$14:$B$47&lt;$B12+ROUND($O12,0)))))+_xlfn.XLOOKUP($B12,'2027 Avoided Costs'!$B$13:$B$47,'2027 Avoided Costs'!$AE$13:$AE$47))*IF($AO12&lt;0,$AO12*(-1),0),0)</f>
        <v>0</v>
      </c>
      <c r="BE12" s="291" cm="1">
        <f t="array" ref="BE12">IFERROR((IF($O12=1,0,NPV('2027 Avoided Costs'!$D$4,_xlfn._xlws.FILTER('2027 Avoided Costs'!$I$14:$I$47,('2027 Avoided Costs'!$B$14:$B$47&gt;=$B12+1)*('2027 Avoided Costs'!$B$14:$B$47&lt;$B12+ROUND($O12,0)))))+_xlfn.XLOOKUP($B12,'2027 Avoided Costs'!$B$13:$B$47,'2027 Avoided Costs'!$I$13:$I$47))*IF($X12="Residential",'2027 Avoided Costs'!$J$5,IF($X12="Large Volume",'2027 Avoided Costs'!$J$7,'2027 Avoided Costs'!$J$6))*IF($AE12&lt;0,$AE12*(-1),0),0)</f>
        <v>0</v>
      </c>
      <c r="BF12" s="291">
        <f t="shared" si="23"/>
        <v>2124211.2309711757</v>
      </c>
      <c r="BG12" s="291">
        <f t="shared" si="24"/>
        <v>1606544.5751815299</v>
      </c>
      <c r="BH12" s="291">
        <f t="shared" si="25"/>
        <v>517666.65578964585</v>
      </c>
      <c r="BI12" s="292">
        <f t="shared" si="29"/>
        <v>1.3222236493071802</v>
      </c>
      <c r="BJ12" s="196" cm="1">
        <f t="array" ref="BJ12">IFERROR(IF($J12="Baseload",IF($O12=1,0,NPV('2027 Avoided Costs'!$D$6,_xlfn._xlws.FILTER('2027 Avoided Costs'!$C$14:$C$47,('2027 Avoided Costs'!$B$14:$B$47&gt;=$B12+1)*('2027 Avoided Costs'!$B$14:$B$47&lt;$B12+ROUND($O12,0)))))+_xlfn.XLOOKUP($B12,'2027 Avoided Costs'!$B$13:$B$47,'2027 Avoided Costs'!$C$13:$C$47),IF($O12=1,0,NPV('2027 Avoided Costs'!$D$6,_xlfn._xlws.FILTER('2027 Avoided Costs'!$E$14:$E$47,('2027 Avoided Costs'!$B$14:$B$47&gt;=$B12+1)*('2027 Avoided Costs'!$B$14:$B$47&lt;$B12+ROUND($O12,0)))))+_xlfn.XLOOKUP($B12,'2027 Avoided Costs'!$B$13:$B$47,'2027 Avoided Costs'!$E$13:$E$47))*IF($AE12&gt;0,$AE12*(1+0),0),0)</f>
        <v>1740135.3745886565</v>
      </c>
      <c r="BK12" s="293">
        <f t="shared" si="26"/>
        <v>2.5457870929414468</v>
      </c>
    </row>
    <row r="13" spans="1:63" s="1" customFormat="1" x14ac:dyDescent="0.25">
      <c r="A13" s="270" t="s">
        <v>133</v>
      </c>
      <c r="B13" s="271">
        <v>2027</v>
      </c>
      <c r="C13" s="272" t="s">
        <v>13</v>
      </c>
      <c r="D13" s="272" t="s">
        <v>9</v>
      </c>
      <c r="E13" s="272" t="s">
        <v>351</v>
      </c>
      <c r="F13" s="273">
        <v>19</v>
      </c>
      <c r="G13" s="274">
        <v>4703.15443401223</v>
      </c>
      <c r="H13" s="275">
        <f t="shared" si="3"/>
        <v>0.96502300196168755</v>
      </c>
      <c r="I13" s="274">
        <v>250</v>
      </c>
      <c r="J13" s="276" t="s">
        <v>263</v>
      </c>
      <c r="K13" s="277">
        <f t="shared" si="27"/>
        <v>0.75</v>
      </c>
      <c r="L13" s="278">
        <v>0.28000000000000003</v>
      </c>
      <c r="M13" s="278">
        <v>0.03</v>
      </c>
      <c r="N13" s="278">
        <v>0.9113</v>
      </c>
      <c r="O13" s="279">
        <v>17</v>
      </c>
      <c r="P13" s="280">
        <v>4873.6189960775155</v>
      </c>
      <c r="Q13" s="281">
        <v>367.32758064516116</v>
      </c>
      <c r="R13" s="282">
        <v>4.1932372219766874E-2</v>
      </c>
      <c r="S13" s="282">
        <v>4.1932372219767387E-2</v>
      </c>
      <c r="T13" s="281">
        <v>0</v>
      </c>
      <c r="U13" s="283">
        <v>0</v>
      </c>
      <c r="V13" s="284">
        <v>15522.169808517197</v>
      </c>
      <c r="W13" s="285">
        <v>0.15</v>
      </c>
      <c r="X13" s="286" t="s">
        <v>255</v>
      </c>
      <c r="Y13" s="287">
        <f t="shared" si="4"/>
        <v>19</v>
      </c>
      <c r="Z13" s="288">
        <f t="shared" si="5"/>
        <v>89359.934246232369</v>
      </c>
      <c r="AA13" s="288">
        <f t="shared" si="6"/>
        <v>4750</v>
      </c>
      <c r="AB13" s="288">
        <f t="shared" si="7"/>
        <v>89359.934246232369</v>
      </c>
      <c r="AC13" s="288">
        <f t="shared" si="28"/>
        <v>4750</v>
      </c>
      <c r="AD13" s="287">
        <f t="shared" si="8"/>
        <v>84385.250831383368</v>
      </c>
      <c r="AE13" s="287">
        <f t="shared" si="9"/>
        <v>63288.938123537526</v>
      </c>
      <c r="AF13" s="287">
        <f t="shared" si="10"/>
        <v>1434549.2641335172</v>
      </c>
      <c r="AG13" s="287">
        <f t="shared" si="11"/>
        <v>1075911.948100138</v>
      </c>
      <c r="AH13" s="287">
        <f t="shared" si="12"/>
        <v>6818.0988745597406</v>
      </c>
      <c r="AI13" s="287">
        <f t="shared" si="13"/>
        <v>5113.5741559198059</v>
      </c>
      <c r="AJ13" s="287">
        <f t="shared" si="14"/>
        <v>0</v>
      </c>
      <c r="AK13" s="287">
        <f t="shared" si="15"/>
        <v>0</v>
      </c>
      <c r="AL13" s="287">
        <f t="shared" si="16"/>
        <v>0.77832178933329643</v>
      </c>
      <c r="AM13" s="287">
        <f t="shared" si="17"/>
        <v>0.58374134199997252</v>
      </c>
      <c r="AN13" s="287">
        <f t="shared" si="18"/>
        <v>0.77832178933330609</v>
      </c>
      <c r="AO13" s="287">
        <f t="shared" si="19"/>
        <v>0.58374134199997951</v>
      </c>
      <c r="AP13" s="287">
        <f t="shared" si="20"/>
        <v>294921.22636182676</v>
      </c>
      <c r="AQ13" s="287">
        <f t="shared" si="21"/>
        <v>221190.91977137007</v>
      </c>
      <c r="AR13" s="287">
        <f t="shared" si="22"/>
        <v>0</v>
      </c>
      <c r="AS13" s="289" t="e">
        <f>IF(J13='2027 Avoided Costs'!#REF!,3,5)</f>
        <v>#REF!</v>
      </c>
      <c r="AT13" s="290" cm="1">
        <f t="array" ref="AT13">IFERROR(IF($J13="Baseload",IF($O13=1,0,NPV('2027 Avoided Costs'!$D$6,_xlfn._xlws.FILTER('2027 Avoided Costs'!$C$14:$C$47,('2027 Avoided Costs'!$B$14:$B$47&gt;=$B13+1)*('2027 Avoided Costs'!$B$14:$B$47&lt;$B13+ROUND($O13,0)))))+_xlfn.XLOOKUP($B13,'2027 Avoided Costs'!$B$13:$B$47,'2027 Avoided Costs'!$C$13:$C$47),IF($O13=1,0,NPV('2027 Avoided Costs'!$D$6,_xlfn._xlws.FILTER('2027 Avoided Costs'!$E$14:$E$47,('2027 Avoided Costs'!$B$14:$B$47&gt;=$B13+1)*('2027 Avoided Costs'!$B$14:$B$47&lt;$B13+ROUND($O13,0)))))+_xlfn.XLOOKUP($B13,'2027 Avoided Costs'!$B$13:$B$47,'2027 Avoided Costs'!$E$13:$E$47))*IF($AE13&gt;0,$AE13*(1+$W13),0),0)</f>
        <v>244573.69732576812</v>
      </c>
      <c r="AU13" s="290" cm="1">
        <f t="array" ref="AU13">IFERROR((IF($O13=1,0,NPV('2027 Avoided Costs'!$D$6,_xlfn._xlws.FILTER('2027 Avoided Costs'!$M$14:$M$47,('2027 Avoided Costs'!$B$14:$B$47&gt;=$B13+1)*('2027 Avoided Costs'!$B$14:$B$47&lt;$B13+ROUND($O13,0)))))+_xlfn.XLOOKUP($B13,'2027 Avoided Costs'!$B$13:$B$47,'2027 Avoided Costs'!$M$13:$M$47))*IF($AK13&gt;0,$AK13*(1+$W13),0),0)</f>
        <v>0</v>
      </c>
      <c r="AV13" s="291" cm="1">
        <f t="array" ref="AV13">IFERROR((IF($O13=1,0,NPV('2027 Avoided Costs'!$D$6,_xlfn._xlws.FILTER('2027 Avoided Costs'!$Q$14:$Q$47,('2027 Avoided Costs'!$B$14:$B$47&gt;=$B13+1)*('2027 Avoided Costs'!$B$14:$B$47&lt;$B13+ROUND($O13,0)))))+_xlfn.XLOOKUP($B13,'2027 Avoided Costs'!$B$13:$B$47,'2027 Avoided Costs'!$Q$13:$Q$47))*IF($AI13&gt;0,$AI13*(1+$W13),0),0)</f>
        <v>3718.6880410108415</v>
      </c>
      <c r="AW13" s="291" cm="1">
        <f t="array" ref="AW13">IFERROR((IF($O13=1,0,NPV('2027 Avoided Costs'!$D$6,_xlfn._xlws.FILTER('2027 Avoided Costs'!$W$14:$W$47,('2027 Avoided Costs'!$B$14:$B$47&gt;=$B13+1)*('2027 Avoided Costs'!$B$14:$B$47&lt;$B13+ROUND($O13,0)))))+_xlfn.XLOOKUP($B13,'2027 Avoided Costs'!$B$13:$B$47,'2027 Avoided Costs'!$W$13:$W$47))*IF($AM13&gt;0,$AM13*(1+$W13),0),0)</f>
        <v>2395.4481489117716</v>
      </c>
      <c r="AX13" s="291" cm="1">
        <f t="array" ref="AX13">IFERROR((IF($O13=1,0,NPV('2027 Avoided Costs'!$D$6,_xlfn._xlws.FILTER('2027 Avoided Costs'!$AC$14:$AC$47,('2027 Avoided Costs'!$B$14:$B$47&gt;=$B13+1)*('2027 Avoided Costs'!$B$14:$B$47&lt;$B13+ROUND($O13,0)))))+_xlfn.XLOOKUP($B13,'2027 Avoided Costs'!$B$13:$B$47,'2027 Avoided Costs'!$AC$13:$AC$47))*IF($AO13&gt;0,$AO13*(1+$W13),0),0)</f>
        <v>276.67896803550849</v>
      </c>
      <c r="AY13" s="291" cm="1">
        <f t="array" ref="AY13">IFERROR((IF($O13=1,0,NPV('2027 Avoided Costs'!$D$4,_xlfn._xlws.FILTER('2027 Avoided Costs'!$I$14:$I$47,('2027 Avoided Costs'!$B$14:$B$47&gt;=$B13+1)*('2027 Avoided Costs'!$B$14:$B$47&lt;$B13+ROUND($O13,0)))))+_xlfn.XLOOKUP($B13,'2027 Avoided Costs'!$B$13:$B$47,'2027 Avoided Costs'!$I$13:$I$47))*IF($X13="Residential",'2027 Avoided Costs'!$J$5,IF($X13="Large Volume",'2027 Avoided Costs'!$J$7,'2027 Avoided Costs'!$J$6))*IF($AE13&gt;0,$AE13,0),0)</f>
        <v>0</v>
      </c>
      <c r="AZ13" s="291" cm="1">
        <f t="array" ref="AZ13">IFERROR(IF($J13="Baseload",IF($O13=1,0,NPV('2027 Avoided Costs'!$D$6,_xlfn._xlws.FILTER('2027 Avoided Costs'!$C$14:$C$47,('2027 Avoided Costs'!$B$14:$B$47&gt;=$B13+1)*('2027 Avoided Costs'!$B$14:$B$47&lt;$B13+ROUND($O13,0)))))+_xlfn.XLOOKUP($B13,'2027 Avoided Costs'!$B$13:$B$47,'2027 Avoided Costs'!$C$13:$C$47),IF($O13=1,0,NPV('2027 Avoided Costs'!$D$6,_xlfn._xlws.FILTER('2027 Avoided Costs'!$E$14:$E$47,('2027 Avoided Costs'!$B$14:$B$47&gt;=$B13+1)*('2027 Avoided Costs'!$B$14:$B$47&lt;$B13+ROUND($O13,0)))))+_xlfn.XLOOKUP($B13,'2027 Avoided Costs'!$B$13:$B$47,'2027 Avoided Costs'!$E$13:$E$47))*IF($AE13&lt;0,$AE13*(-1),0),0)</f>
        <v>0</v>
      </c>
      <c r="BA13" s="291" cm="1">
        <f t="array" ref="BA13">IFERROR((IF($O13=1,0,NPV('2027 Avoided Costs'!$D$6,_xlfn._xlws.FILTER('2027 Avoided Costs'!$M$14:$M$47,('2027 Avoided Costs'!$B$14:$B$47&gt;=$B13+1)*('2027 Avoided Costs'!$B$14:$B$47&lt;$B13+ROUND($O13,0)))))+_xlfn.XLOOKUP($B13,'2027 Avoided Costs'!$B$13:$B$47,'2027 Avoided Costs'!$M$13:$M$47))*IF($AK13&lt;0,$AK13*(-1),0),0)</f>
        <v>0</v>
      </c>
      <c r="BB13" s="291" cm="1">
        <f t="array" ref="BB13">IFERROR((IF($O13=1,0,NPV('2027 Avoided Costs'!$D$6,_xlfn._xlws.FILTER('2027 Avoided Costs'!$S$14:$S$47,('2027 Avoided Costs'!$B$14:$B$47&gt;=$B13+1)*('2027 Avoided Costs'!$B$14:$B$47&lt;$B13+ROUND($O13,0)))))+_xlfn.XLOOKUP($B13,'2027 Avoided Costs'!$B$13:$B$47,'2027 Avoided Costs'!$S$13:$S$47))*IF($AI13&lt;0,$AI13*(-1),0),0)</f>
        <v>0</v>
      </c>
      <c r="BC13" s="291" cm="1">
        <f t="array" ref="BC13">IFERROR((IF($O13=1,0,NPV('2027 Avoided Costs'!$D$6,_xlfn._xlws.FILTER('2027 Avoided Costs'!$Y$14:$Y$47,('2027 Avoided Costs'!$B$14:$B$47&gt;=$B13+1)*('2027 Avoided Costs'!$B$14:$B$47&lt;$B13+ROUND($O13,0)))))+_xlfn.XLOOKUP($B13,'2027 Avoided Costs'!$B$13:$B$47,'2027 Avoided Costs'!$Y$13:$Y$47))*IF($AM13&lt;0,$AM13*(-1),0),0)</f>
        <v>0</v>
      </c>
      <c r="BD13" s="291" cm="1">
        <f t="array" ref="BD13">IFERROR((IF($O13=1,0,NPV('2027 Avoided Costs'!$D$6,_xlfn._xlws.FILTER('2027 Avoided Costs'!$AE$14:$AE$47,('2027 Avoided Costs'!$B$14:$B$47&gt;=$B13+1)*('2027 Avoided Costs'!$B$14:$B$47&lt;$B13+ROUND($O13,0)))))+_xlfn.XLOOKUP($B13,'2027 Avoided Costs'!$B$13:$B$47,'2027 Avoided Costs'!$AE$13:$AE$47))*IF($AO13&lt;0,$AO13*(-1),0),0)</f>
        <v>0</v>
      </c>
      <c r="BE13" s="291" cm="1">
        <f t="array" ref="BE13">IFERROR((IF($O13=1,0,NPV('2027 Avoided Costs'!$D$4,_xlfn._xlws.FILTER('2027 Avoided Costs'!$I$14:$I$47,('2027 Avoided Costs'!$B$14:$B$47&gt;=$B13+1)*('2027 Avoided Costs'!$B$14:$B$47&lt;$B13+ROUND($O13,0)))))+_xlfn.XLOOKUP($B13,'2027 Avoided Costs'!$B$13:$B$47,'2027 Avoided Costs'!$I$13:$I$47))*IF($X13="Residential",'2027 Avoided Costs'!$J$5,IF($X13="Large Volume",'2027 Avoided Costs'!$J$7,'2027 Avoided Costs'!$J$6))*IF($AE13&lt;0,$AE13*(-1),0),0)</f>
        <v>0</v>
      </c>
      <c r="BF13" s="291">
        <f t="shared" si="23"/>
        <v>250964.51248372623</v>
      </c>
      <c r="BG13" s="291">
        <f t="shared" si="24"/>
        <v>221190.91977137007</v>
      </c>
      <c r="BH13" s="291">
        <f t="shared" si="25"/>
        <v>29773.592712356156</v>
      </c>
      <c r="BI13" s="292">
        <f t="shared" si="29"/>
        <v>1.1346058542689323</v>
      </c>
      <c r="BJ13" s="196" cm="1">
        <f t="array" ref="BJ13">IFERROR(IF($J13="Baseload",IF($O13=1,0,NPV('2027 Avoided Costs'!$D$6,_xlfn._xlws.FILTER('2027 Avoided Costs'!$C$14:$C$47,('2027 Avoided Costs'!$B$14:$B$47&gt;=$B13+1)*('2027 Avoided Costs'!$B$14:$B$47&lt;$B13+ROUND($O13,0)))))+_xlfn.XLOOKUP($B13,'2027 Avoided Costs'!$B$13:$B$47,'2027 Avoided Costs'!$C$13:$C$47),IF($O13=1,0,NPV('2027 Avoided Costs'!$D$6,_xlfn._xlws.FILTER('2027 Avoided Costs'!$E$14:$E$47,('2027 Avoided Costs'!$B$14:$B$47&gt;=$B13+1)*('2027 Avoided Costs'!$B$14:$B$47&lt;$B13+ROUND($O13,0)))))+_xlfn.XLOOKUP($B13,'2027 Avoided Costs'!$B$13:$B$47,'2027 Avoided Costs'!$E$13:$E$47))*IF($AE13&gt;0,$AE13*(1+0),0),0)</f>
        <v>212672.78028327666</v>
      </c>
      <c r="BK13" s="293">
        <f t="shared" si="26"/>
        <v>2.2598334807761367</v>
      </c>
    </row>
    <row r="14" spans="1:63" s="1" customFormat="1" x14ac:dyDescent="0.25">
      <c r="A14" s="270" t="s">
        <v>133</v>
      </c>
      <c r="B14" s="271">
        <v>2027</v>
      </c>
      <c r="C14" s="272" t="s">
        <v>13</v>
      </c>
      <c r="D14" s="272" t="s">
        <v>9</v>
      </c>
      <c r="E14" s="272" t="s">
        <v>290</v>
      </c>
      <c r="F14" s="273">
        <v>11</v>
      </c>
      <c r="G14" s="274">
        <v>10908.742586245557</v>
      </c>
      <c r="H14" s="275">
        <f t="shared" si="3"/>
        <v>0.96502300196168755</v>
      </c>
      <c r="I14" s="274">
        <v>250</v>
      </c>
      <c r="J14" s="276" t="s">
        <v>264</v>
      </c>
      <c r="K14" s="277">
        <f t="shared" si="27"/>
        <v>0.75</v>
      </c>
      <c r="L14" s="278">
        <v>0.28000000000000003</v>
      </c>
      <c r="M14" s="278">
        <v>0.03</v>
      </c>
      <c r="N14" s="278">
        <v>0.9113</v>
      </c>
      <c r="O14" s="279">
        <v>15</v>
      </c>
      <c r="P14" s="280">
        <v>11304.127014662232</v>
      </c>
      <c r="Q14" s="281">
        <v>-11481.635000000002</v>
      </c>
      <c r="R14" s="282">
        <v>-4.84</v>
      </c>
      <c r="S14" s="282">
        <v>-9</v>
      </c>
      <c r="T14" s="281">
        <v>0</v>
      </c>
      <c r="U14" s="283">
        <v>0</v>
      </c>
      <c r="V14" s="284">
        <v>63637.429000000004</v>
      </c>
      <c r="W14" s="285">
        <v>0.15</v>
      </c>
      <c r="X14" s="286" t="s">
        <v>255</v>
      </c>
      <c r="Y14" s="287">
        <f t="shared" si="4"/>
        <v>11</v>
      </c>
      <c r="Z14" s="288">
        <f t="shared" si="5"/>
        <v>119996.16844870112</v>
      </c>
      <c r="AA14" s="288">
        <f t="shared" si="6"/>
        <v>2750</v>
      </c>
      <c r="AB14" s="288">
        <f t="shared" si="7"/>
        <v>119996.16844870112</v>
      </c>
      <c r="AC14" s="288">
        <f t="shared" si="28"/>
        <v>2750</v>
      </c>
      <c r="AD14" s="287">
        <f t="shared" si="8"/>
        <v>113315.96043307861</v>
      </c>
      <c r="AE14" s="287">
        <f t="shared" si="9"/>
        <v>84986.970324808965</v>
      </c>
      <c r="AF14" s="287">
        <f t="shared" si="10"/>
        <v>1699739.4064961791</v>
      </c>
      <c r="AG14" s="287">
        <f t="shared" si="11"/>
        <v>1274804.5548721345</v>
      </c>
      <c r="AH14" s="287">
        <f t="shared" si="12"/>
        <v>-123382.21919909604</v>
      </c>
      <c r="AI14" s="287">
        <f t="shared" si="13"/>
        <v>-92536.66439932202</v>
      </c>
      <c r="AJ14" s="287">
        <f t="shared" si="14"/>
        <v>0</v>
      </c>
      <c r="AK14" s="287">
        <f t="shared" si="15"/>
        <v>0</v>
      </c>
      <c r="AL14" s="287">
        <f t="shared" si="16"/>
        <v>-52.010880064000006</v>
      </c>
      <c r="AM14" s="287">
        <f t="shared" si="17"/>
        <v>-39.008160048000001</v>
      </c>
      <c r="AN14" s="287">
        <f t="shared" si="18"/>
        <v>-96.714446400000014</v>
      </c>
      <c r="AO14" s="287">
        <f t="shared" si="19"/>
        <v>-72.535834800000003</v>
      </c>
      <c r="AP14" s="287">
        <f t="shared" si="20"/>
        <v>700011.71900000004</v>
      </c>
      <c r="AQ14" s="287">
        <f t="shared" si="21"/>
        <v>525008.78925000003</v>
      </c>
      <c r="AR14" s="287">
        <f t="shared" si="22"/>
        <v>0</v>
      </c>
      <c r="AS14" s="289" t="e">
        <f>IF(J14='2027 Avoided Costs'!#REF!,3,5)</f>
        <v>#REF!</v>
      </c>
      <c r="AT14" s="290" cm="1">
        <f t="array" ref="AT14">IFERROR(IF($J14="Baseload",IF($O14=1,0,NPV('2027 Avoided Costs'!$D$6,_xlfn._xlws.FILTER('2027 Avoided Costs'!$C$14:$C$47,('2027 Avoided Costs'!$B$14:$B$47&gt;=$B14+1)*('2027 Avoided Costs'!$B$14:$B$47&lt;$B14+ROUND($O14,0)))))+_xlfn.XLOOKUP($B14,'2027 Avoided Costs'!$B$13:$B$47,'2027 Avoided Costs'!$C$13:$C$47),IF($O14=1,0,NPV('2027 Avoided Costs'!$D$6,_xlfn._xlws.FILTER('2027 Avoided Costs'!$E$14:$E$47,('2027 Avoided Costs'!$B$14:$B$47&gt;=$B14+1)*('2027 Avoided Costs'!$B$14:$B$47&lt;$B14+ROUND($O14,0)))))+_xlfn.XLOOKUP($B14,'2027 Avoided Costs'!$B$13:$B$47,'2027 Avoided Costs'!$E$13:$E$47))*IF($AE14&gt;0,$AE14*(1+$W14),0),0)</f>
        <v>335151.16010245896</v>
      </c>
      <c r="AU14" s="290" cm="1">
        <f t="array" ref="AU14">IFERROR((IF($O14=1,0,NPV('2027 Avoided Costs'!$D$6,_xlfn._xlws.FILTER('2027 Avoided Costs'!$M$14:$M$47,('2027 Avoided Costs'!$B$14:$B$47&gt;=$B14+1)*('2027 Avoided Costs'!$B$14:$B$47&lt;$B14+ROUND($O14,0)))))+_xlfn.XLOOKUP($B14,'2027 Avoided Costs'!$B$13:$B$47,'2027 Avoided Costs'!$M$13:$M$47))*IF($AK14&gt;0,$AK14*(1+$W14),0),0)</f>
        <v>0</v>
      </c>
      <c r="AV14" s="291" cm="1">
        <f t="array" ref="AV14">IFERROR((IF($O14=1,0,NPV('2027 Avoided Costs'!$D$6,_xlfn._xlws.FILTER('2027 Avoided Costs'!$Q$14:$Q$47,('2027 Avoided Costs'!$B$14:$B$47&gt;=$B14+1)*('2027 Avoided Costs'!$B$14:$B$47&lt;$B14+ROUND($O14,0)))))+_xlfn.XLOOKUP($B14,'2027 Avoided Costs'!$B$13:$B$47,'2027 Avoided Costs'!$Q$13:$Q$47))*IF($AI14&gt;0,$AI14*(1+$W14),0),0)</f>
        <v>0</v>
      </c>
      <c r="AW14" s="291" cm="1">
        <f t="array" ref="AW14">IFERROR((IF($O14=1,0,NPV('2027 Avoided Costs'!$D$6,_xlfn._xlws.FILTER('2027 Avoided Costs'!$W$14:$W$47,('2027 Avoided Costs'!$B$14:$B$47&gt;=$B14+1)*('2027 Avoided Costs'!$B$14:$B$47&lt;$B14+ROUND($O14,0)))))+_xlfn.XLOOKUP($B14,'2027 Avoided Costs'!$B$13:$B$47,'2027 Avoided Costs'!$W$13:$W$47))*IF($AM14&gt;0,$AM14*(1+$W14),0),0)</f>
        <v>0</v>
      </c>
      <c r="AX14" s="291" cm="1">
        <f t="array" ref="AX14">IFERROR((IF($O14=1,0,NPV('2027 Avoided Costs'!$D$6,_xlfn._xlws.FILTER('2027 Avoided Costs'!$AC$14:$AC$47,('2027 Avoided Costs'!$B$14:$B$47&gt;=$B14+1)*('2027 Avoided Costs'!$B$14:$B$47&lt;$B14+ROUND($O14,0)))))+_xlfn.XLOOKUP($B14,'2027 Avoided Costs'!$B$13:$B$47,'2027 Avoided Costs'!$AC$13:$AC$47))*IF($AO14&gt;0,$AO14*(1+$W14),0),0)</f>
        <v>0</v>
      </c>
      <c r="AY14" s="291" cm="1">
        <f t="array" ref="AY14">IFERROR((IF($O14=1,0,NPV('2027 Avoided Costs'!$D$4,_xlfn._xlws.FILTER('2027 Avoided Costs'!$I$14:$I$47,('2027 Avoided Costs'!$B$14:$B$47&gt;=$B14+1)*('2027 Avoided Costs'!$B$14:$B$47&lt;$B14+ROUND($O14,0)))))+_xlfn.XLOOKUP($B14,'2027 Avoided Costs'!$B$13:$B$47,'2027 Avoided Costs'!$I$13:$I$47))*IF($X14="Residential",'2027 Avoided Costs'!$J$5,IF($X14="Large Volume",'2027 Avoided Costs'!$J$7,'2027 Avoided Costs'!$J$6))*IF($AE14&gt;0,$AE14,0),0)</f>
        <v>0</v>
      </c>
      <c r="AZ14" s="291" cm="1">
        <f t="array" ref="AZ14">IFERROR(IF($J14="Baseload",IF($O14=1,0,NPV('2027 Avoided Costs'!$D$6,_xlfn._xlws.FILTER('2027 Avoided Costs'!$C$14:$C$47,('2027 Avoided Costs'!$B$14:$B$47&gt;=$B14+1)*('2027 Avoided Costs'!$B$14:$B$47&lt;$B14+ROUND($O14,0)))))+_xlfn.XLOOKUP($B14,'2027 Avoided Costs'!$B$13:$B$47,'2027 Avoided Costs'!$C$13:$C$47),IF($O14=1,0,NPV('2027 Avoided Costs'!$D$6,_xlfn._xlws.FILTER('2027 Avoided Costs'!$E$14:$E$47,('2027 Avoided Costs'!$B$14:$B$47&gt;=$B14+1)*('2027 Avoided Costs'!$B$14:$B$47&lt;$B14+ROUND($O14,0)))))+_xlfn.XLOOKUP($B14,'2027 Avoided Costs'!$B$13:$B$47,'2027 Avoided Costs'!$E$13:$E$47))*IF($AE14&lt;0,$AE14*(-1),0),0)</f>
        <v>0</v>
      </c>
      <c r="BA14" s="291" cm="1">
        <f t="array" ref="BA14">IFERROR((IF($O14=1,0,NPV('2027 Avoided Costs'!$D$6,_xlfn._xlws.FILTER('2027 Avoided Costs'!$M$14:$M$47,('2027 Avoided Costs'!$B$14:$B$47&gt;=$B14+1)*('2027 Avoided Costs'!$B$14:$B$47&lt;$B14+ROUND($O14,0)))))+_xlfn.XLOOKUP($B14,'2027 Avoided Costs'!$B$13:$B$47,'2027 Avoided Costs'!$M$13:$M$47))*IF($AK14&lt;0,$AK14*(-1),0),0)</f>
        <v>0</v>
      </c>
      <c r="BB14" s="291" cm="1">
        <f t="array" ref="BB14">IFERROR((IF($O14=1,0,NPV('2027 Avoided Costs'!$D$6,_xlfn._xlws.FILTER('2027 Avoided Costs'!$S$14:$S$47,('2027 Avoided Costs'!$B$14:$B$47&gt;=$B14+1)*('2027 Avoided Costs'!$B$14:$B$47&lt;$B14+ROUND($O14,0)))))+_xlfn.XLOOKUP($B14,'2027 Avoided Costs'!$B$13:$B$47,'2027 Avoided Costs'!$S$13:$S$47))*IF($AI14&lt;0,$AI14*(-1),0),0)</f>
        <v>53272.841112369701</v>
      </c>
      <c r="BC14" s="291" cm="1">
        <f t="array" ref="BC14">IFERROR((IF($O14=1,0,NPV('2027 Avoided Costs'!$D$6,_xlfn._xlws.FILTER('2027 Avoided Costs'!$Y$14:$Y$47,('2027 Avoided Costs'!$B$14:$B$47&gt;=$B14+1)*('2027 Avoided Costs'!$B$14:$B$47&lt;$B14+ROUND($O14,0)))))+_xlfn.XLOOKUP($B14,'2027 Avoided Costs'!$B$13:$B$47,'2027 Avoided Costs'!$Y$13:$Y$47))*IF($AM14&lt;0,$AM14*(-1),0),0)</f>
        <v>131458.1392995473</v>
      </c>
      <c r="BD14" s="291" cm="1">
        <f t="array" ref="BD14">IFERROR((IF($O14=1,0,NPV('2027 Avoided Costs'!$D$6,_xlfn._xlws.FILTER('2027 Avoided Costs'!$AE$14:$AE$47,('2027 Avoided Costs'!$B$14:$B$47&gt;=$B14+1)*('2027 Avoided Costs'!$B$14:$B$47&lt;$B14+ROUND($O14,0)))))+_xlfn.XLOOKUP($B14,'2027 Avoided Costs'!$B$13:$B$47,'2027 Avoided Costs'!$AE$13:$AE$47))*IF($AO14&lt;0,$AO14*(-1),0),0)</f>
        <v>15401.071680150324</v>
      </c>
      <c r="BE14" s="291" cm="1">
        <f t="array" ref="BE14">IFERROR((IF($O14=1,0,NPV('2027 Avoided Costs'!$D$4,_xlfn._xlws.FILTER('2027 Avoided Costs'!$I$14:$I$47,('2027 Avoided Costs'!$B$14:$B$47&gt;=$B14+1)*('2027 Avoided Costs'!$B$14:$B$47&lt;$B14+ROUND($O14,0)))))+_xlfn.XLOOKUP($B14,'2027 Avoided Costs'!$B$13:$B$47,'2027 Avoided Costs'!$I$13:$I$47))*IF($X14="Residential",'2027 Avoided Costs'!$J$5,IF($X14="Large Volume",'2027 Avoided Costs'!$J$7,'2027 Avoided Costs'!$J$6))*IF($AE14&lt;0,$AE14*(-1),0),0)</f>
        <v>0</v>
      </c>
      <c r="BF14" s="291">
        <f t="shared" si="23"/>
        <v>335151.16010245896</v>
      </c>
      <c r="BG14" s="291">
        <f t="shared" si="24"/>
        <v>725140.84134206735</v>
      </c>
      <c r="BH14" s="291">
        <f t="shared" si="25"/>
        <v>-389989.68123960838</v>
      </c>
      <c r="BI14" s="292">
        <f t="shared" si="29"/>
        <v>0.46218767582056469</v>
      </c>
      <c r="BJ14" s="196" cm="1">
        <f t="array" ref="BJ14">IFERROR(IF($J14="Baseload",IF($O14=1,0,NPV('2027 Avoided Costs'!$D$6,_xlfn._xlws.FILTER('2027 Avoided Costs'!$C$14:$C$47,('2027 Avoided Costs'!$B$14:$B$47&gt;=$B14+1)*('2027 Avoided Costs'!$B$14:$B$47&lt;$B14+ROUND($O14,0)))))+_xlfn.XLOOKUP($B14,'2027 Avoided Costs'!$B$13:$B$47,'2027 Avoided Costs'!$C$13:$C$47),IF($O14=1,0,NPV('2027 Avoided Costs'!$D$6,_xlfn._xlws.FILTER('2027 Avoided Costs'!$E$14:$E$47,('2027 Avoided Costs'!$B$14:$B$47&gt;=$B14+1)*('2027 Avoided Costs'!$B$14:$B$47&lt;$B14+ROUND($O14,0)))))+_xlfn.XLOOKUP($B14,'2027 Avoided Costs'!$B$13:$B$47,'2027 Avoided Costs'!$E$13:$E$47))*IF($AE14&gt;0,$AE14*(1+0),0),0)</f>
        <v>291435.7913934426</v>
      </c>
      <c r="BK14" s="293">
        <f t="shared" si="26"/>
        <v>2.374296445067785</v>
      </c>
    </row>
    <row r="15" spans="1:63" s="1" customFormat="1" x14ac:dyDescent="0.25">
      <c r="A15" s="270" t="s">
        <v>133</v>
      </c>
      <c r="B15" s="271">
        <v>2027</v>
      </c>
      <c r="C15" s="272" t="s">
        <v>13</v>
      </c>
      <c r="D15" s="272" t="s">
        <v>9</v>
      </c>
      <c r="E15" s="272" t="s">
        <v>291</v>
      </c>
      <c r="F15" s="273">
        <v>231</v>
      </c>
      <c r="G15" s="274">
        <v>12617.774627364592</v>
      </c>
      <c r="H15" s="275">
        <f t="shared" si="3"/>
        <v>0.65</v>
      </c>
      <c r="I15" s="274">
        <v>250</v>
      </c>
      <c r="J15" s="276" t="s">
        <v>264</v>
      </c>
      <c r="K15" s="277">
        <f t="shared" si="27"/>
        <v>0.75</v>
      </c>
      <c r="L15" s="278">
        <v>0.28000000000000003</v>
      </c>
      <c r="M15" s="278">
        <v>0.03</v>
      </c>
      <c r="N15" s="278">
        <v>0.97609999999999997</v>
      </c>
      <c r="O15" s="279">
        <v>15</v>
      </c>
      <c r="P15" s="280">
        <v>19411.960965176295</v>
      </c>
      <c r="Q15" s="281">
        <v>5251.5509252669026</v>
      </c>
      <c r="R15" s="282">
        <v>3.200236189237637</v>
      </c>
      <c r="S15" s="282">
        <v>0.94524593662646406</v>
      </c>
      <c r="T15" s="281">
        <v>0</v>
      </c>
      <c r="U15" s="283">
        <v>1</v>
      </c>
      <c r="V15" s="284">
        <v>44468.599122338528</v>
      </c>
      <c r="W15" s="285">
        <v>0.15</v>
      </c>
      <c r="X15" s="286" t="s">
        <v>255</v>
      </c>
      <c r="Y15" s="287">
        <f t="shared" si="4"/>
        <v>231</v>
      </c>
      <c r="Z15" s="288">
        <f t="shared" si="5"/>
        <v>2914705.9389212206</v>
      </c>
      <c r="AA15" s="288">
        <f t="shared" si="6"/>
        <v>57750</v>
      </c>
      <c r="AB15" s="288">
        <f t="shared" si="7"/>
        <v>2914705.9389212206</v>
      </c>
      <c r="AC15" s="288">
        <f t="shared" si="28"/>
        <v>57750</v>
      </c>
      <c r="AD15" s="287">
        <f t="shared" si="8"/>
        <v>4376991.4876630818</v>
      </c>
      <c r="AE15" s="287">
        <f t="shared" si="9"/>
        <v>3282743.6157473112</v>
      </c>
      <c r="AF15" s="287">
        <f t="shared" si="10"/>
        <v>65654872.314946227</v>
      </c>
      <c r="AG15" s="287">
        <f t="shared" si="11"/>
        <v>49241154.236209668</v>
      </c>
      <c r="AH15" s="287">
        <f t="shared" si="12"/>
        <v>1269371.2545221497</v>
      </c>
      <c r="AI15" s="287">
        <f t="shared" si="13"/>
        <v>952028.44089161209</v>
      </c>
      <c r="AJ15" s="287">
        <f t="shared" si="14"/>
        <v>0</v>
      </c>
      <c r="AK15" s="287">
        <f t="shared" si="15"/>
        <v>0</v>
      </c>
      <c r="AL15" s="287">
        <f t="shared" si="16"/>
        <v>773.54059478977683</v>
      </c>
      <c r="AM15" s="287">
        <f t="shared" si="17"/>
        <v>580.15544609233268</v>
      </c>
      <c r="AN15" s="287">
        <f t="shared" si="18"/>
        <v>228.47879369017397</v>
      </c>
      <c r="AO15" s="287">
        <f t="shared" si="19"/>
        <v>171.35909526763047</v>
      </c>
      <c r="AP15" s="287">
        <f t="shared" si="20"/>
        <v>10272246.3972602</v>
      </c>
      <c r="AQ15" s="287">
        <f t="shared" si="21"/>
        <v>7704184.7979451502</v>
      </c>
      <c r="AR15" s="287">
        <f t="shared" si="22"/>
        <v>3282743.6157473112</v>
      </c>
      <c r="AS15" s="289" t="e">
        <f>IF(J15='2027 Avoided Costs'!#REF!,3,5)</f>
        <v>#REF!</v>
      </c>
      <c r="AT15" s="290" cm="1">
        <f t="array" ref="AT15">IFERROR(IF($J15="Baseload",IF($O15=1,0,NPV('2027 Avoided Costs'!$D$6,_xlfn._xlws.FILTER('2027 Avoided Costs'!$C$14:$C$47,('2027 Avoided Costs'!$B$14:$B$47&gt;=$B15+1)*('2027 Avoided Costs'!$B$14:$B$47&lt;$B15+ROUND($O15,0)))))+_xlfn.XLOOKUP($B15,'2027 Avoided Costs'!$B$13:$B$47,'2027 Avoided Costs'!$C$13:$C$47),IF($O15=1,0,NPV('2027 Avoided Costs'!$D$6,_xlfn._xlws.FILTER('2027 Avoided Costs'!$E$14:$E$47,('2027 Avoided Costs'!$B$14:$B$47&gt;=$B15+1)*('2027 Avoided Costs'!$B$14:$B$47&lt;$B15+ROUND($O15,0)))))+_xlfn.XLOOKUP($B15,'2027 Avoided Costs'!$B$13:$B$47,'2027 Avoided Costs'!$E$13:$E$47))*IF($AE15&gt;0,$AE15*(1+$W15),0),0)</f>
        <v>12945694.227383029</v>
      </c>
      <c r="AU15" s="290" cm="1">
        <f t="array" ref="AU15">IFERROR((IF($O15=1,0,NPV('2027 Avoided Costs'!$D$6,_xlfn._xlws.FILTER('2027 Avoided Costs'!$M$14:$M$47,('2027 Avoided Costs'!$B$14:$B$47&gt;=$B15+1)*('2027 Avoided Costs'!$B$14:$B$47&lt;$B15+ROUND($O15,0)))))+_xlfn.XLOOKUP($B15,'2027 Avoided Costs'!$B$13:$B$47,'2027 Avoided Costs'!$M$13:$M$47))*IF($AK15&gt;0,$AK15*(1+$W15),0),0)</f>
        <v>0</v>
      </c>
      <c r="AV15" s="291" cm="1">
        <f t="array" ref="AV15">IFERROR((IF($O15=1,0,NPV('2027 Avoided Costs'!$D$6,_xlfn._xlws.FILTER('2027 Avoided Costs'!$Q$14:$Q$47,('2027 Avoided Costs'!$B$14:$B$47&gt;=$B15+1)*('2027 Avoided Costs'!$B$14:$B$47&lt;$B15+ROUND($O15,0)))))+_xlfn.XLOOKUP($B15,'2027 Avoided Costs'!$B$13:$B$47,'2027 Avoided Costs'!$Q$13:$Q$47))*IF($AI15&gt;0,$AI15*(1+$W15),0),0)</f>
        <v>630289.07757360872</v>
      </c>
      <c r="AW15" s="291" cm="1">
        <f t="array" ref="AW15">IFERROR((IF($O15=1,0,NPV('2027 Avoided Costs'!$D$6,_xlfn._xlws.FILTER('2027 Avoided Costs'!$W$14:$W$47,('2027 Avoided Costs'!$B$14:$B$47&gt;=$B15+1)*('2027 Avoided Costs'!$B$14:$B$47&lt;$B15+ROUND($O15,0)))))+_xlfn.XLOOKUP($B15,'2027 Avoided Costs'!$B$13:$B$47,'2027 Avoided Costs'!$W$13:$W$47))*IF($AM15&gt;0,$AM15*(1+$W15),0),0)</f>
        <v>2248403.3765510353</v>
      </c>
      <c r="AX15" s="291" cm="1">
        <f t="array" ref="AX15">IFERROR((IF($O15=1,0,NPV('2027 Avoided Costs'!$D$6,_xlfn._xlws.FILTER('2027 Avoided Costs'!$AC$14:$AC$47,('2027 Avoided Costs'!$B$14:$B$47&gt;=$B15+1)*('2027 Avoided Costs'!$B$14:$B$47&lt;$B15+ROUND($O15,0)))))+_xlfn.XLOOKUP($B15,'2027 Avoided Costs'!$B$13:$B$47,'2027 Avoided Costs'!$AC$13:$AC$47))*IF($AO15&gt;0,$AO15*(1+$W15),0),0)</f>
        <v>41841.122722583699</v>
      </c>
      <c r="AY15" s="291" cm="1">
        <f t="array" ref="AY15">IFERROR((IF($O15=1,0,NPV('2027 Avoided Costs'!$D$4,_xlfn._xlws.FILTER('2027 Avoided Costs'!$I$14:$I$47,('2027 Avoided Costs'!$B$14:$B$47&gt;=$B15+1)*('2027 Avoided Costs'!$B$14:$B$47&lt;$B15+ROUND($O15,0)))))+_xlfn.XLOOKUP($B15,'2027 Avoided Costs'!$B$13:$B$47,'2027 Avoided Costs'!$I$13:$I$47))*IF($X15="Residential",'2027 Avoided Costs'!$J$5,IF($X15="Large Volume",'2027 Avoided Costs'!$J$7,'2027 Avoided Costs'!$J$6))*IF($AE15&gt;0,$AE15,0),0)</f>
        <v>0</v>
      </c>
      <c r="AZ15" s="291" cm="1">
        <f t="array" ref="AZ15">IFERROR(IF($J15="Baseload",IF($O15=1,0,NPV('2027 Avoided Costs'!$D$6,_xlfn._xlws.FILTER('2027 Avoided Costs'!$C$14:$C$47,('2027 Avoided Costs'!$B$14:$B$47&gt;=$B15+1)*('2027 Avoided Costs'!$B$14:$B$47&lt;$B15+ROUND($O15,0)))))+_xlfn.XLOOKUP($B15,'2027 Avoided Costs'!$B$13:$B$47,'2027 Avoided Costs'!$C$13:$C$47),IF($O15=1,0,NPV('2027 Avoided Costs'!$D$6,_xlfn._xlws.FILTER('2027 Avoided Costs'!$E$14:$E$47,('2027 Avoided Costs'!$B$14:$B$47&gt;=$B15+1)*('2027 Avoided Costs'!$B$14:$B$47&lt;$B15+ROUND($O15,0)))))+_xlfn.XLOOKUP($B15,'2027 Avoided Costs'!$B$13:$B$47,'2027 Avoided Costs'!$E$13:$E$47))*IF($AE15&lt;0,$AE15*(-1),0),0)</f>
        <v>0</v>
      </c>
      <c r="BA15" s="291" cm="1">
        <f t="array" ref="BA15">IFERROR((IF($O15=1,0,NPV('2027 Avoided Costs'!$D$6,_xlfn._xlws.FILTER('2027 Avoided Costs'!$M$14:$M$47,('2027 Avoided Costs'!$B$14:$B$47&gt;=$B15+1)*('2027 Avoided Costs'!$B$14:$B$47&lt;$B15+ROUND($O15,0)))))+_xlfn.XLOOKUP($B15,'2027 Avoided Costs'!$B$13:$B$47,'2027 Avoided Costs'!$M$13:$M$47))*IF($AK15&lt;0,$AK15*(-1),0),0)</f>
        <v>0</v>
      </c>
      <c r="BB15" s="291" cm="1">
        <f t="array" ref="BB15">IFERROR((IF($O15=1,0,NPV('2027 Avoided Costs'!$D$6,_xlfn._xlws.FILTER('2027 Avoided Costs'!$S$14:$S$47,('2027 Avoided Costs'!$B$14:$B$47&gt;=$B15+1)*('2027 Avoided Costs'!$B$14:$B$47&lt;$B15+ROUND($O15,0)))))+_xlfn.XLOOKUP($B15,'2027 Avoided Costs'!$B$13:$B$47,'2027 Avoided Costs'!$S$13:$S$47))*IF($AI15&lt;0,$AI15*(-1),0),0)</f>
        <v>0</v>
      </c>
      <c r="BC15" s="291" cm="1">
        <f t="array" ref="BC15">IFERROR((IF($O15=1,0,NPV('2027 Avoided Costs'!$D$6,_xlfn._xlws.FILTER('2027 Avoided Costs'!$Y$14:$Y$47,('2027 Avoided Costs'!$B$14:$B$47&gt;=$B15+1)*('2027 Avoided Costs'!$B$14:$B$47&lt;$B15+ROUND($O15,0)))))+_xlfn.XLOOKUP($B15,'2027 Avoided Costs'!$B$13:$B$47,'2027 Avoided Costs'!$Y$13:$Y$47))*IF($AM15&lt;0,$AM15*(-1),0),0)</f>
        <v>0</v>
      </c>
      <c r="BD15" s="291" cm="1">
        <f t="array" ref="BD15">IFERROR((IF($O15=1,0,NPV('2027 Avoided Costs'!$D$6,_xlfn._xlws.FILTER('2027 Avoided Costs'!$AE$14:$AE$47,('2027 Avoided Costs'!$B$14:$B$47&gt;=$B15+1)*('2027 Avoided Costs'!$B$14:$B$47&lt;$B15+ROUND($O15,0)))))+_xlfn.XLOOKUP($B15,'2027 Avoided Costs'!$B$13:$B$47,'2027 Avoided Costs'!$AE$13:$AE$47))*IF($AO15&lt;0,$AO15*(-1),0),0)</f>
        <v>0</v>
      </c>
      <c r="BE15" s="291" cm="1">
        <f t="array" ref="BE15">IFERROR((IF($O15=1,0,NPV('2027 Avoided Costs'!$D$4,_xlfn._xlws.FILTER('2027 Avoided Costs'!$I$14:$I$47,('2027 Avoided Costs'!$B$14:$B$47&gt;=$B15+1)*('2027 Avoided Costs'!$B$14:$B$47&lt;$B15+ROUND($O15,0)))))+_xlfn.XLOOKUP($B15,'2027 Avoided Costs'!$B$13:$B$47,'2027 Avoided Costs'!$I$13:$I$47))*IF($X15="Residential",'2027 Avoided Costs'!$J$5,IF($X15="Large Volume",'2027 Avoided Costs'!$J$7,'2027 Avoided Costs'!$J$6))*IF($AE15&lt;0,$AE15*(-1),0),0)</f>
        <v>0</v>
      </c>
      <c r="BF15" s="291">
        <f t="shared" si="23"/>
        <v>15866227.804230256</v>
      </c>
      <c r="BG15" s="291">
        <f t="shared" si="24"/>
        <v>7704184.7979451502</v>
      </c>
      <c r="BH15" s="291">
        <f t="shared" si="25"/>
        <v>8162043.0062851058</v>
      </c>
      <c r="BI15" s="292">
        <f t="shared" si="29"/>
        <v>2.0594298060532084</v>
      </c>
      <c r="BJ15" s="196" cm="1">
        <f t="array" ref="BJ15">IFERROR(IF($J15="Baseload",IF($O15=1,0,NPV('2027 Avoided Costs'!$D$6,_xlfn._xlws.FILTER('2027 Avoided Costs'!$C$14:$C$47,('2027 Avoided Costs'!$B$14:$B$47&gt;=$B15+1)*('2027 Avoided Costs'!$B$14:$B$47&lt;$B15+ROUND($O15,0)))))+_xlfn.XLOOKUP($B15,'2027 Avoided Costs'!$B$13:$B$47,'2027 Avoided Costs'!$C$13:$C$47),IF($O15=1,0,NPV('2027 Avoided Costs'!$D$6,_xlfn._xlws.FILTER('2027 Avoided Costs'!$E$14:$E$47,('2027 Avoided Costs'!$B$14:$B$47&gt;=$B15+1)*('2027 Avoided Costs'!$B$14:$B$47&lt;$B15+ROUND($O15,0)))))+_xlfn.XLOOKUP($B15,'2027 Avoided Costs'!$B$13:$B$47,'2027 Avoided Costs'!$E$13:$E$47))*IF($AE15&gt;0,$AE15*(1+0),0),0)</f>
        <v>11257125.415115679</v>
      </c>
      <c r="BK15" s="293">
        <f t="shared" si="26"/>
        <v>3.7871462677428869</v>
      </c>
    </row>
    <row r="16" spans="1:63" s="1" customFormat="1" x14ac:dyDescent="0.25">
      <c r="A16" s="270" t="s">
        <v>133</v>
      </c>
      <c r="B16" s="271">
        <v>2027</v>
      </c>
      <c r="C16" s="272" t="s">
        <v>13</v>
      </c>
      <c r="D16" s="272" t="s">
        <v>9</v>
      </c>
      <c r="E16" s="272" t="s">
        <v>352</v>
      </c>
      <c r="F16" s="273">
        <v>94</v>
      </c>
      <c r="G16" s="274">
        <v>12617.774627364592</v>
      </c>
      <c r="H16" s="275">
        <f t="shared" si="3"/>
        <v>0.65</v>
      </c>
      <c r="I16" s="274">
        <v>250</v>
      </c>
      <c r="J16" s="276" t="s">
        <v>263</v>
      </c>
      <c r="K16" s="277">
        <f t="shared" si="27"/>
        <v>0.75</v>
      </c>
      <c r="L16" s="278">
        <v>0.28000000000000003</v>
      </c>
      <c r="M16" s="278">
        <v>0.03</v>
      </c>
      <c r="N16" s="278">
        <v>0.97609999999999997</v>
      </c>
      <c r="O16" s="279">
        <v>15</v>
      </c>
      <c r="P16" s="280">
        <v>19411.960965176295</v>
      </c>
      <c r="Q16" s="281">
        <v>5251.5509252669026</v>
      </c>
      <c r="R16" s="282">
        <v>0.59949211475649022</v>
      </c>
      <c r="S16" s="282">
        <v>0.59949211475649766</v>
      </c>
      <c r="T16" s="281">
        <v>0</v>
      </c>
      <c r="U16" s="283">
        <v>1</v>
      </c>
      <c r="V16" s="284">
        <v>44468.599122338528</v>
      </c>
      <c r="W16" s="285">
        <v>0.15</v>
      </c>
      <c r="X16" s="286" t="s">
        <v>255</v>
      </c>
      <c r="Y16" s="287">
        <f t="shared" si="4"/>
        <v>94</v>
      </c>
      <c r="Z16" s="288">
        <f t="shared" si="5"/>
        <v>1186070.8149722717</v>
      </c>
      <c r="AA16" s="288">
        <f t="shared" si="6"/>
        <v>23500</v>
      </c>
      <c r="AB16" s="288">
        <f t="shared" si="7"/>
        <v>1186070.8149722717</v>
      </c>
      <c r="AC16" s="288">
        <f t="shared" si="28"/>
        <v>23500</v>
      </c>
      <c r="AD16" s="287">
        <f t="shared" si="8"/>
        <v>1781113.4192222066</v>
      </c>
      <c r="AE16" s="287">
        <f t="shared" si="9"/>
        <v>1335835.0644166549</v>
      </c>
      <c r="AF16" s="287">
        <f t="shared" si="10"/>
        <v>26716701.288333099</v>
      </c>
      <c r="AG16" s="287">
        <f t="shared" si="11"/>
        <v>20037525.966249824</v>
      </c>
      <c r="AH16" s="287">
        <f t="shared" si="12"/>
        <v>516540.68365836388</v>
      </c>
      <c r="AI16" s="287">
        <f t="shared" si="13"/>
        <v>387405.51274377294</v>
      </c>
      <c r="AJ16" s="287">
        <f t="shared" si="14"/>
        <v>0</v>
      </c>
      <c r="AK16" s="287">
        <f t="shared" si="15"/>
        <v>0</v>
      </c>
      <c r="AL16" s="287">
        <f t="shared" si="16"/>
        <v>58.965831467849213</v>
      </c>
      <c r="AM16" s="287">
        <f t="shared" si="17"/>
        <v>44.224373600886921</v>
      </c>
      <c r="AN16" s="287">
        <f t="shared" si="18"/>
        <v>58.965831467849952</v>
      </c>
      <c r="AO16" s="287">
        <f t="shared" si="19"/>
        <v>44.224373600887468</v>
      </c>
      <c r="AP16" s="287">
        <f t="shared" si="20"/>
        <v>4180048.3174998215</v>
      </c>
      <c r="AQ16" s="287">
        <f t="shared" si="21"/>
        <v>3135036.238124866</v>
      </c>
      <c r="AR16" s="287">
        <f t="shared" si="22"/>
        <v>1335835.0644166549</v>
      </c>
      <c r="AS16" s="289" t="e">
        <f>IF(J16='2027 Avoided Costs'!#REF!,3,5)</f>
        <v>#REF!</v>
      </c>
      <c r="AT16" s="290" cm="1">
        <f t="array" ref="AT16">IFERROR(IF($J16="Baseload",IF($O16=1,0,NPV('2027 Avoided Costs'!$D$6,_xlfn._xlws.FILTER('2027 Avoided Costs'!$C$14:$C$47,('2027 Avoided Costs'!$B$14:$B$47&gt;=$B16+1)*('2027 Avoided Costs'!$B$14:$B$47&lt;$B16+ROUND($O16,0)))))+_xlfn.XLOOKUP($B16,'2027 Avoided Costs'!$B$13:$B$47,'2027 Avoided Costs'!$C$13:$C$47),IF($O16=1,0,NPV('2027 Avoided Costs'!$D$6,_xlfn._xlws.FILTER('2027 Avoided Costs'!$E$14:$E$47,('2027 Avoided Costs'!$B$14:$B$47&gt;=$B16+1)*('2027 Avoided Costs'!$B$14:$B$47&lt;$B16+ROUND($O16,0)))))+_xlfn.XLOOKUP($B16,'2027 Avoided Costs'!$B$13:$B$47,'2027 Avoided Costs'!$E$13:$E$47))*IF($AE16&gt;0,$AE16*(1+$W16),0),0)</f>
        <v>4669627.4944384992</v>
      </c>
      <c r="AU16" s="290" cm="1">
        <f t="array" ref="AU16">IFERROR((IF($O16=1,0,NPV('2027 Avoided Costs'!$D$6,_xlfn._xlws.FILTER('2027 Avoided Costs'!$M$14:$M$47,('2027 Avoided Costs'!$B$14:$B$47&gt;=$B16+1)*('2027 Avoided Costs'!$B$14:$B$47&lt;$B16+ROUND($O16,0)))))+_xlfn.XLOOKUP($B16,'2027 Avoided Costs'!$B$13:$B$47,'2027 Avoided Costs'!$M$13:$M$47))*IF($AK16&gt;0,$AK16*(1+$W16),0),0)</f>
        <v>0</v>
      </c>
      <c r="AV16" s="291" cm="1">
        <f t="array" ref="AV16">IFERROR((IF($O16=1,0,NPV('2027 Avoided Costs'!$D$6,_xlfn._xlws.FILTER('2027 Avoided Costs'!$Q$14:$Q$47,('2027 Avoided Costs'!$B$14:$B$47&gt;=$B16+1)*('2027 Avoided Costs'!$B$14:$B$47&lt;$B16+ROUND($O16,0)))))+_xlfn.XLOOKUP($B16,'2027 Avoided Costs'!$B$13:$B$47,'2027 Avoided Costs'!$Q$13:$Q$47))*IF($AI16&gt;0,$AI16*(1+$W16),0),0)</f>
        <v>256481.26966198802</v>
      </c>
      <c r="AW16" s="291" cm="1">
        <f t="array" ref="AW16">IFERROR((IF($O16=1,0,NPV('2027 Avoided Costs'!$D$6,_xlfn._xlws.FILTER('2027 Avoided Costs'!$W$14:$W$47,('2027 Avoided Costs'!$B$14:$B$47&gt;=$B16+1)*('2027 Avoided Costs'!$B$14:$B$47&lt;$B16+ROUND($O16,0)))))+_xlfn.XLOOKUP($B16,'2027 Avoided Costs'!$B$13:$B$47,'2027 Avoided Costs'!$W$13:$W$47))*IF($AM16&gt;0,$AM16*(1+$W16),0),0)</f>
        <v>171392.39422784542</v>
      </c>
      <c r="AX16" s="291" cm="1">
        <f t="array" ref="AX16">IFERROR((IF($O16=1,0,NPV('2027 Avoided Costs'!$D$6,_xlfn._xlws.FILTER('2027 Avoided Costs'!$AC$14:$AC$47,('2027 Avoided Costs'!$B$14:$B$47&gt;=$B16+1)*('2027 Avoided Costs'!$B$14:$B$47&lt;$B16+ROUND($O16,0)))))+_xlfn.XLOOKUP($B16,'2027 Avoided Costs'!$B$13:$B$47,'2027 Avoided Costs'!$AC$13:$AC$47))*IF($AO16&gt;0,$AO16*(1+$W16),0),0)</f>
        <v>10798.361419183224</v>
      </c>
      <c r="AY16" s="291" cm="1">
        <f t="array" ref="AY16">IFERROR((IF($O16=1,0,NPV('2027 Avoided Costs'!$D$4,_xlfn._xlws.FILTER('2027 Avoided Costs'!$I$14:$I$47,('2027 Avoided Costs'!$B$14:$B$47&gt;=$B16+1)*('2027 Avoided Costs'!$B$14:$B$47&lt;$B16+ROUND($O16,0)))))+_xlfn.XLOOKUP($B16,'2027 Avoided Costs'!$B$13:$B$47,'2027 Avoided Costs'!$I$13:$I$47))*IF($X16="Residential",'2027 Avoided Costs'!$J$5,IF($X16="Large Volume",'2027 Avoided Costs'!$J$7,'2027 Avoided Costs'!$J$6))*IF($AE16&gt;0,$AE16,0),0)</f>
        <v>0</v>
      </c>
      <c r="AZ16" s="291" cm="1">
        <f t="array" ref="AZ16">IFERROR(IF($J16="Baseload",IF($O16=1,0,NPV('2027 Avoided Costs'!$D$6,_xlfn._xlws.FILTER('2027 Avoided Costs'!$C$14:$C$47,('2027 Avoided Costs'!$B$14:$B$47&gt;=$B16+1)*('2027 Avoided Costs'!$B$14:$B$47&lt;$B16+ROUND($O16,0)))))+_xlfn.XLOOKUP($B16,'2027 Avoided Costs'!$B$13:$B$47,'2027 Avoided Costs'!$C$13:$C$47),IF($O16=1,0,NPV('2027 Avoided Costs'!$D$6,_xlfn._xlws.FILTER('2027 Avoided Costs'!$E$14:$E$47,('2027 Avoided Costs'!$B$14:$B$47&gt;=$B16+1)*('2027 Avoided Costs'!$B$14:$B$47&lt;$B16+ROUND($O16,0)))))+_xlfn.XLOOKUP($B16,'2027 Avoided Costs'!$B$13:$B$47,'2027 Avoided Costs'!$E$13:$E$47))*IF($AE16&lt;0,$AE16*(-1),0),0)</f>
        <v>0</v>
      </c>
      <c r="BA16" s="291" cm="1">
        <f t="array" ref="BA16">IFERROR((IF($O16=1,0,NPV('2027 Avoided Costs'!$D$6,_xlfn._xlws.FILTER('2027 Avoided Costs'!$M$14:$M$47,('2027 Avoided Costs'!$B$14:$B$47&gt;=$B16+1)*('2027 Avoided Costs'!$B$14:$B$47&lt;$B16+ROUND($O16,0)))))+_xlfn.XLOOKUP($B16,'2027 Avoided Costs'!$B$13:$B$47,'2027 Avoided Costs'!$M$13:$M$47))*IF($AK16&lt;0,$AK16*(-1),0),0)</f>
        <v>0</v>
      </c>
      <c r="BB16" s="291" cm="1">
        <f t="array" ref="BB16">IFERROR((IF($O16=1,0,NPV('2027 Avoided Costs'!$D$6,_xlfn._xlws.FILTER('2027 Avoided Costs'!$S$14:$S$47,('2027 Avoided Costs'!$B$14:$B$47&gt;=$B16+1)*('2027 Avoided Costs'!$B$14:$B$47&lt;$B16+ROUND($O16,0)))))+_xlfn.XLOOKUP($B16,'2027 Avoided Costs'!$B$13:$B$47,'2027 Avoided Costs'!$S$13:$S$47))*IF($AI16&lt;0,$AI16*(-1),0),0)</f>
        <v>0</v>
      </c>
      <c r="BC16" s="291" cm="1">
        <f t="array" ref="BC16">IFERROR((IF($O16=1,0,NPV('2027 Avoided Costs'!$D$6,_xlfn._xlws.FILTER('2027 Avoided Costs'!$Y$14:$Y$47,('2027 Avoided Costs'!$B$14:$B$47&gt;=$B16+1)*('2027 Avoided Costs'!$B$14:$B$47&lt;$B16+ROUND($O16,0)))))+_xlfn.XLOOKUP($B16,'2027 Avoided Costs'!$B$13:$B$47,'2027 Avoided Costs'!$Y$13:$Y$47))*IF($AM16&lt;0,$AM16*(-1),0),0)</f>
        <v>0</v>
      </c>
      <c r="BD16" s="291" cm="1">
        <f t="array" ref="BD16">IFERROR((IF($O16=1,0,NPV('2027 Avoided Costs'!$D$6,_xlfn._xlws.FILTER('2027 Avoided Costs'!$AE$14:$AE$47,('2027 Avoided Costs'!$B$14:$B$47&gt;=$B16+1)*('2027 Avoided Costs'!$B$14:$B$47&lt;$B16+ROUND($O16,0)))))+_xlfn.XLOOKUP($B16,'2027 Avoided Costs'!$B$13:$B$47,'2027 Avoided Costs'!$AE$13:$AE$47))*IF($AO16&lt;0,$AO16*(-1),0),0)</f>
        <v>0</v>
      </c>
      <c r="BE16" s="291" cm="1">
        <f t="array" ref="BE16">IFERROR((IF($O16=1,0,NPV('2027 Avoided Costs'!$D$4,_xlfn._xlws.FILTER('2027 Avoided Costs'!$I$14:$I$47,('2027 Avoided Costs'!$B$14:$B$47&gt;=$B16+1)*('2027 Avoided Costs'!$B$14:$B$47&lt;$B16+ROUND($O16,0)))))+_xlfn.XLOOKUP($B16,'2027 Avoided Costs'!$B$13:$B$47,'2027 Avoided Costs'!$I$13:$I$47))*IF($X16="Residential",'2027 Avoided Costs'!$J$5,IF($X16="Large Volume",'2027 Avoided Costs'!$J$7,'2027 Avoided Costs'!$J$6))*IF($AE16&lt;0,$AE16*(-1),0),0)</f>
        <v>0</v>
      </c>
      <c r="BF16" s="291">
        <f t="shared" si="23"/>
        <v>5108299.5197475161</v>
      </c>
      <c r="BG16" s="291">
        <f t="shared" si="24"/>
        <v>3135036.238124866</v>
      </c>
      <c r="BH16" s="291">
        <f t="shared" si="25"/>
        <v>1973263.2816226501</v>
      </c>
      <c r="BI16" s="292">
        <f t="shared" si="29"/>
        <v>1.6294227982522149</v>
      </c>
      <c r="BJ16" s="196" cm="1">
        <f t="array" ref="BJ16">IFERROR(IF($J16="Baseload",IF($O16=1,0,NPV('2027 Avoided Costs'!$D$6,_xlfn._xlws.FILTER('2027 Avoided Costs'!$C$14:$C$47,('2027 Avoided Costs'!$B$14:$B$47&gt;=$B16+1)*('2027 Avoided Costs'!$B$14:$B$47&lt;$B16+ROUND($O16,0)))))+_xlfn.XLOOKUP($B16,'2027 Avoided Costs'!$B$13:$B$47,'2027 Avoided Costs'!$C$13:$C$47),IF($O16=1,0,NPV('2027 Avoided Costs'!$D$6,_xlfn._xlws.FILTER('2027 Avoided Costs'!$E$14:$E$47,('2027 Avoided Costs'!$B$14:$B$47&gt;=$B16+1)*('2027 Avoided Costs'!$B$14:$B$47&lt;$B16+ROUND($O16,0)))))+_xlfn.XLOOKUP($B16,'2027 Avoided Costs'!$B$13:$B$47,'2027 Avoided Costs'!$E$13:$E$47))*IF($AE16&gt;0,$AE16*(1+0),0),0)</f>
        <v>4060545.6473378255</v>
      </c>
      <c r="BK16" s="293">
        <f t="shared" si="26"/>
        <v>3.3570135762831792</v>
      </c>
    </row>
    <row r="17" spans="1:63" s="1" customFormat="1" x14ac:dyDescent="0.25">
      <c r="A17" s="270" t="s">
        <v>133</v>
      </c>
      <c r="B17" s="271">
        <v>2027</v>
      </c>
      <c r="C17" s="272" t="s">
        <v>13</v>
      </c>
      <c r="D17" s="272" t="s">
        <v>9</v>
      </c>
      <c r="E17" s="272" t="s">
        <v>292</v>
      </c>
      <c r="F17" s="273">
        <v>9</v>
      </c>
      <c r="G17" s="274">
        <v>72782.941950855427</v>
      </c>
      <c r="H17" s="275">
        <f t="shared" si="3"/>
        <v>0.65</v>
      </c>
      <c r="I17" s="274">
        <v>250</v>
      </c>
      <c r="J17" s="276" t="s">
        <v>264</v>
      </c>
      <c r="K17" s="277">
        <f t="shared" si="27"/>
        <v>0.75</v>
      </c>
      <c r="L17" s="278">
        <v>0.28000000000000003</v>
      </c>
      <c r="M17" s="278">
        <v>0.03</v>
      </c>
      <c r="N17" s="278">
        <v>0.97609999999999997</v>
      </c>
      <c r="O17" s="279">
        <v>15</v>
      </c>
      <c r="P17" s="280">
        <v>111973.75684746989</v>
      </c>
      <c r="Q17" s="281">
        <v>-70757.72</v>
      </c>
      <c r="R17" s="282">
        <v>-42.5</v>
      </c>
      <c r="S17" s="282">
        <v>-75</v>
      </c>
      <c r="T17" s="281">
        <v>0</v>
      </c>
      <c r="U17" s="283">
        <v>1</v>
      </c>
      <c r="V17" s="284">
        <v>537297.5</v>
      </c>
      <c r="W17" s="285">
        <v>0.15</v>
      </c>
      <c r="X17" s="286" t="s">
        <v>255</v>
      </c>
      <c r="Y17" s="287">
        <f t="shared" si="4"/>
        <v>9</v>
      </c>
      <c r="Z17" s="288">
        <f t="shared" si="5"/>
        <v>655046.47755769885</v>
      </c>
      <c r="AA17" s="288">
        <f t="shared" si="6"/>
        <v>2250</v>
      </c>
      <c r="AB17" s="288">
        <f t="shared" si="7"/>
        <v>655046.47755769885</v>
      </c>
      <c r="AC17" s="288">
        <f t="shared" si="28"/>
        <v>2250</v>
      </c>
      <c r="AD17" s="287">
        <f t="shared" si="8"/>
        <v>983678.25652933819</v>
      </c>
      <c r="AE17" s="287">
        <f t="shared" si="9"/>
        <v>737758.69239700364</v>
      </c>
      <c r="AF17" s="287">
        <f t="shared" si="10"/>
        <v>14755173.847940072</v>
      </c>
      <c r="AG17" s="287">
        <f t="shared" si="11"/>
        <v>11066380.385955054</v>
      </c>
      <c r="AH17" s="287">
        <f t="shared" si="12"/>
        <v>-666354.65802681597</v>
      </c>
      <c r="AI17" s="287">
        <f t="shared" si="13"/>
        <v>-499765.99352011201</v>
      </c>
      <c r="AJ17" s="287">
        <f t="shared" si="14"/>
        <v>0</v>
      </c>
      <c r="AK17" s="287">
        <f t="shared" si="15"/>
        <v>0</v>
      </c>
      <c r="AL17" s="287">
        <f t="shared" si="16"/>
        <v>-400.24004399999995</v>
      </c>
      <c r="AM17" s="287">
        <f t="shared" si="17"/>
        <v>-300.18003300000004</v>
      </c>
      <c r="AN17" s="287">
        <f t="shared" si="18"/>
        <v>-706.30596000000003</v>
      </c>
      <c r="AO17" s="287">
        <f t="shared" si="19"/>
        <v>-529.72946999999999</v>
      </c>
      <c r="AP17" s="287">
        <f t="shared" si="20"/>
        <v>4835677.5</v>
      </c>
      <c r="AQ17" s="287">
        <f t="shared" si="21"/>
        <v>3626758.125</v>
      </c>
      <c r="AR17" s="287">
        <f t="shared" si="22"/>
        <v>737758.69239700364</v>
      </c>
      <c r="AS17" s="289" t="e">
        <f>IF(J17='2027 Avoided Costs'!#REF!,3,5)</f>
        <v>#REF!</v>
      </c>
      <c r="AT17" s="290" cm="1">
        <f t="array" ref="AT17">IFERROR(IF($J17="Baseload",IF($O17=1,0,NPV('2027 Avoided Costs'!$D$6,_xlfn._xlws.FILTER('2027 Avoided Costs'!$C$14:$C$47,('2027 Avoided Costs'!$B$14:$B$47&gt;=$B17+1)*('2027 Avoided Costs'!$B$14:$B$47&lt;$B17+ROUND($O17,0)))))+_xlfn.XLOOKUP($B17,'2027 Avoided Costs'!$B$13:$B$47,'2027 Avoided Costs'!$C$13:$C$47),IF($O17=1,0,NPV('2027 Avoided Costs'!$D$6,_xlfn._xlws.FILTER('2027 Avoided Costs'!$E$14:$E$47,('2027 Avoided Costs'!$B$14:$B$47&gt;=$B17+1)*('2027 Avoided Costs'!$B$14:$B$47&lt;$B17+ROUND($O17,0)))))+_xlfn.XLOOKUP($B17,'2027 Avoided Costs'!$B$13:$B$47,'2027 Avoided Costs'!$E$13:$E$47))*IF($AE17&gt;0,$AE17*(1+$W17),0),0)</f>
        <v>2909395.1777258483</v>
      </c>
      <c r="AU17" s="290" cm="1">
        <f t="array" ref="AU17">IFERROR((IF($O17=1,0,NPV('2027 Avoided Costs'!$D$6,_xlfn._xlws.FILTER('2027 Avoided Costs'!$M$14:$M$47,('2027 Avoided Costs'!$B$14:$B$47&gt;=$B17+1)*('2027 Avoided Costs'!$B$14:$B$47&lt;$B17+ROUND($O17,0)))))+_xlfn.XLOOKUP($B17,'2027 Avoided Costs'!$B$13:$B$47,'2027 Avoided Costs'!$M$13:$M$47))*IF($AK17&gt;0,$AK17*(1+$W17),0),0)</f>
        <v>0</v>
      </c>
      <c r="AV17" s="291" cm="1">
        <f t="array" ref="AV17">IFERROR((IF($O17=1,0,NPV('2027 Avoided Costs'!$D$6,_xlfn._xlws.FILTER('2027 Avoided Costs'!$Q$14:$Q$47,('2027 Avoided Costs'!$B$14:$B$47&gt;=$B17+1)*('2027 Avoided Costs'!$B$14:$B$47&lt;$B17+ROUND($O17,0)))))+_xlfn.XLOOKUP($B17,'2027 Avoided Costs'!$B$13:$B$47,'2027 Avoided Costs'!$Q$13:$Q$47))*IF($AI17&gt;0,$AI17*(1+$W17),0),0)</f>
        <v>0</v>
      </c>
      <c r="AW17" s="291" cm="1">
        <f t="array" ref="AW17">IFERROR((IF($O17=1,0,NPV('2027 Avoided Costs'!$D$6,_xlfn._xlws.FILTER('2027 Avoided Costs'!$W$14:$W$47,('2027 Avoided Costs'!$B$14:$B$47&gt;=$B17+1)*('2027 Avoided Costs'!$B$14:$B$47&lt;$B17+ROUND($O17,0)))))+_xlfn.XLOOKUP($B17,'2027 Avoided Costs'!$B$13:$B$47,'2027 Avoided Costs'!$W$13:$W$47))*IF($AM17&gt;0,$AM17*(1+$W17),0),0)</f>
        <v>0</v>
      </c>
      <c r="AX17" s="291" cm="1">
        <f t="array" ref="AX17">IFERROR((IF($O17=1,0,NPV('2027 Avoided Costs'!$D$6,_xlfn._xlws.FILTER('2027 Avoided Costs'!$AC$14:$AC$47,('2027 Avoided Costs'!$B$14:$B$47&gt;=$B17+1)*('2027 Avoided Costs'!$B$14:$B$47&lt;$B17+ROUND($O17,0)))))+_xlfn.XLOOKUP($B17,'2027 Avoided Costs'!$B$13:$B$47,'2027 Avoided Costs'!$AC$13:$AC$47))*IF($AO17&gt;0,$AO17*(1+$W17),0),0)</f>
        <v>0</v>
      </c>
      <c r="AY17" s="291" cm="1">
        <f t="array" ref="AY17">IFERROR((IF($O17=1,0,NPV('2027 Avoided Costs'!$D$4,_xlfn._xlws.FILTER('2027 Avoided Costs'!$I$14:$I$47,('2027 Avoided Costs'!$B$14:$B$47&gt;=$B17+1)*('2027 Avoided Costs'!$B$14:$B$47&lt;$B17+ROUND($O17,0)))))+_xlfn.XLOOKUP($B17,'2027 Avoided Costs'!$B$13:$B$47,'2027 Avoided Costs'!$I$13:$I$47))*IF($X17="Residential",'2027 Avoided Costs'!$J$5,IF($X17="Large Volume",'2027 Avoided Costs'!$J$7,'2027 Avoided Costs'!$J$6))*IF($AE17&gt;0,$AE17,0),0)</f>
        <v>0</v>
      </c>
      <c r="AZ17" s="291" cm="1">
        <f t="array" ref="AZ17">IFERROR(IF($J17="Baseload",IF($O17=1,0,NPV('2027 Avoided Costs'!$D$6,_xlfn._xlws.FILTER('2027 Avoided Costs'!$C$14:$C$47,('2027 Avoided Costs'!$B$14:$B$47&gt;=$B17+1)*('2027 Avoided Costs'!$B$14:$B$47&lt;$B17+ROUND($O17,0)))))+_xlfn.XLOOKUP($B17,'2027 Avoided Costs'!$B$13:$B$47,'2027 Avoided Costs'!$C$13:$C$47),IF($O17=1,0,NPV('2027 Avoided Costs'!$D$6,_xlfn._xlws.FILTER('2027 Avoided Costs'!$E$14:$E$47,('2027 Avoided Costs'!$B$14:$B$47&gt;=$B17+1)*('2027 Avoided Costs'!$B$14:$B$47&lt;$B17+ROUND($O17,0)))))+_xlfn.XLOOKUP($B17,'2027 Avoided Costs'!$B$13:$B$47,'2027 Avoided Costs'!$E$13:$E$47))*IF($AE17&lt;0,$AE17*(-1),0),0)</f>
        <v>0</v>
      </c>
      <c r="BA17" s="291" cm="1">
        <f t="array" ref="BA17">IFERROR((IF($O17=1,0,NPV('2027 Avoided Costs'!$D$6,_xlfn._xlws.FILTER('2027 Avoided Costs'!$M$14:$M$47,('2027 Avoided Costs'!$B$14:$B$47&gt;=$B17+1)*('2027 Avoided Costs'!$B$14:$B$47&lt;$B17+ROUND($O17,0)))))+_xlfn.XLOOKUP($B17,'2027 Avoided Costs'!$B$13:$B$47,'2027 Avoided Costs'!$M$13:$M$47))*IF($AK17&lt;0,$AK17*(-1),0),0)</f>
        <v>0</v>
      </c>
      <c r="BB17" s="291" cm="1">
        <f t="array" ref="BB17">IFERROR((IF($O17=1,0,NPV('2027 Avoided Costs'!$D$6,_xlfn._xlws.FILTER('2027 Avoided Costs'!$S$14:$S$47,('2027 Avoided Costs'!$B$14:$B$47&gt;=$B17+1)*('2027 Avoided Costs'!$B$14:$B$47&lt;$B17+ROUND($O17,0)))))+_xlfn.XLOOKUP($B17,'2027 Avoided Costs'!$B$13:$B$47,'2027 Avoided Costs'!$S$13:$S$47))*IF($AI17&lt;0,$AI17*(-1),0),0)</f>
        <v>287712.49254536099</v>
      </c>
      <c r="BC17" s="291" cm="1">
        <f t="array" ref="BC17">IFERROR((IF($O17=1,0,NPV('2027 Avoided Costs'!$D$6,_xlfn._xlws.FILTER('2027 Avoided Costs'!$Y$14:$Y$47,('2027 Avoided Costs'!$B$14:$B$47&gt;=$B17+1)*('2027 Avoided Costs'!$B$14:$B$47&lt;$B17+ROUND($O17,0)))))+_xlfn.XLOOKUP($B17,'2027 Avoided Costs'!$B$13:$B$47,'2027 Avoided Costs'!$Y$13:$Y$47))*IF($AM17&lt;0,$AM17*(-1),0),0)</f>
        <v>1011611.6357320967</v>
      </c>
      <c r="BD17" s="291" cm="1">
        <f t="array" ref="BD17">IFERROR((IF($O17=1,0,NPV('2027 Avoided Costs'!$D$6,_xlfn._xlws.FILTER('2027 Avoided Costs'!$AE$14:$AE$47,('2027 Avoided Costs'!$B$14:$B$47&gt;=$B17+1)*('2027 Avoided Costs'!$B$14:$B$47&lt;$B17+ROUND($O17,0)))))+_xlfn.XLOOKUP($B17,'2027 Avoided Costs'!$B$13:$B$47,'2027 Avoided Costs'!$AE$13:$AE$47))*IF($AO17&lt;0,$AO17*(-1),0),0)</f>
        <v>112474.08347960503</v>
      </c>
      <c r="BE17" s="291" cm="1">
        <f t="array" ref="BE17">IFERROR((IF($O17=1,0,NPV('2027 Avoided Costs'!$D$4,_xlfn._xlws.FILTER('2027 Avoided Costs'!$I$14:$I$47,('2027 Avoided Costs'!$B$14:$B$47&gt;=$B17+1)*('2027 Avoided Costs'!$B$14:$B$47&lt;$B17+ROUND($O17,0)))))+_xlfn.XLOOKUP($B17,'2027 Avoided Costs'!$B$13:$B$47,'2027 Avoided Costs'!$I$13:$I$47))*IF($X17="Residential",'2027 Avoided Costs'!$J$5,IF($X17="Large Volume",'2027 Avoided Costs'!$J$7,'2027 Avoided Costs'!$J$6))*IF($AE17&lt;0,$AE17*(-1),0),0)</f>
        <v>0</v>
      </c>
      <c r="BF17" s="291">
        <f t="shared" si="23"/>
        <v>2909395.1777258483</v>
      </c>
      <c r="BG17" s="291">
        <f t="shared" si="24"/>
        <v>5038556.3367570629</v>
      </c>
      <c r="BH17" s="291">
        <f t="shared" si="25"/>
        <v>-2129161.1590312147</v>
      </c>
      <c r="BI17" s="292">
        <f t="shared" si="29"/>
        <v>0.57742634661070513</v>
      </c>
      <c r="BJ17" s="196" cm="1">
        <f t="array" ref="BJ17">IFERROR(IF($J17="Baseload",IF($O17=1,0,NPV('2027 Avoided Costs'!$D$6,_xlfn._xlws.FILTER('2027 Avoided Costs'!$C$14:$C$47,('2027 Avoided Costs'!$B$14:$B$47&gt;=$B17+1)*('2027 Avoided Costs'!$B$14:$B$47&lt;$B17+ROUND($O17,0)))))+_xlfn.XLOOKUP($B17,'2027 Avoided Costs'!$B$13:$B$47,'2027 Avoided Costs'!$C$13:$C$47),IF($O17=1,0,NPV('2027 Avoided Costs'!$D$6,_xlfn._xlws.FILTER('2027 Avoided Costs'!$E$14:$E$47,('2027 Avoided Costs'!$B$14:$B$47&gt;=$B17+1)*('2027 Avoided Costs'!$B$14:$B$47&lt;$B17+ROUND($O17,0)))))+_xlfn.XLOOKUP($B17,'2027 Avoided Costs'!$B$13:$B$47,'2027 Avoided Costs'!$E$13:$E$47))*IF($AE17&gt;0,$AE17*(1+0),0),0)</f>
        <v>2529908.8501963899</v>
      </c>
      <c r="BK17" s="293">
        <f t="shared" si="26"/>
        <v>3.84896152128597</v>
      </c>
    </row>
    <row r="18" spans="1:63" s="1" customFormat="1" x14ac:dyDescent="0.25">
      <c r="A18" s="270" t="s">
        <v>133</v>
      </c>
      <c r="B18" s="271">
        <v>2027</v>
      </c>
      <c r="C18" s="272" t="s">
        <v>13</v>
      </c>
      <c r="D18" s="272" t="s">
        <v>9</v>
      </c>
      <c r="E18" s="272" t="s">
        <v>293</v>
      </c>
      <c r="F18" s="273">
        <v>126</v>
      </c>
      <c r="G18" s="274">
        <v>3273.8506266994641</v>
      </c>
      <c r="H18" s="275">
        <f t="shared" si="3"/>
        <v>0.96502300196168744</v>
      </c>
      <c r="I18" s="274">
        <v>250</v>
      </c>
      <c r="J18" s="276" t="s">
        <v>264</v>
      </c>
      <c r="K18" s="277">
        <f t="shared" si="27"/>
        <v>0.75</v>
      </c>
      <c r="L18" s="278">
        <v>0.28000000000000003</v>
      </c>
      <c r="M18" s="278">
        <v>0.03</v>
      </c>
      <c r="N18" s="278">
        <v>0.97609999999999997</v>
      </c>
      <c r="O18" s="279">
        <v>15</v>
      </c>
      <c r="P18" s="280">
        <v>3392.5104583459865</v>
      </c>
      <c r="Q18" s="281">
        <v>2062.1588461538463</v>
      </c>
      <c r="R18" s="282">
        <v>1.256656454699173</v>
      </c>
      <c r="S18" s="282">
        <v>0.37117554370972283</v>
      </c>
      <c r="T18" s="281">
        <v>0</v>
      </c>
      <c r="U18" s="283">
        <v>0</v>
      </c>
      <c r="V18" s="284">
        <v>9444.9610298547086</v>
      </c>
      <c r="W18" s="285">
        <v>0.15</v>
      </c>
      <c r="X18" s="286" t="s">
        <v>255</v>
      </c>
      <c r="Y18" s="287">
        <f t="shared" si="4"/>
        <v>126</v>
      </c>
      <c r="Z18" s="288">
        <f t="shared" si="5"/>
        <v>412505.1789641325</v>
      </c>
      <c r="AA18" s="288">
        <f t="shared" si="6"/>
        <v>31500</v>
      </c>
      <c r="AB18" s="288">
        <f t="shared" si="7"/>
        <v>412505.1789641325</v>
      </c>
      <c r="AC18" s="288">
        <f t="shared" si="28"/>
        <v>31500</v>
      </c>
      <c r="AD18" s="287">
        <f t="shared" si="8"/>
        <v>417240.11175733118</v>
      </c>
      <c r="AE18" s="287">
        <f t="shared" si="9"/>
        <v>312930.08381799841</v>
      </c>
      <c r="AF18" s="287">
        <f t="shared" si="10"/>
        <v>6258601.6763599673</v>
      </c>
      <c r="AG18" s="287">
        <f t="shared" si="11"/>
        <v>4693951.2572699767</v>
      </c>
      <c r="AH18" s="287">
        <f t="shared" si="12"/>
        <v>271882.81558763451</v>
      </c>
      <c r="AI18" s="287">
        <f t="shared" si="13"/>
        <v>203912.11169072584</v>
      </c>
      <c r="AJ18" s="287">
        <f t="shared" si="14"/>
        <v>0</v>
      </c>
      <c r="AK18" s="287">
        <f t="shared" si="15"/>
        <v>0</v>
      </c>
      <c r="AL18" s="287">
        <f t="shared" si="16"/>
        <v>165.68233614361256</v>
      </c>
      <c r="AM18" s="287">
        <f t="shared" si="17"/>
        <v>124.26175210770943</v>
      </c>
      <c r="AN18" s="287">
        <f t="shared" si="18"/>
        <v>48.937186429304653</v>
      </c>
      <c r="AO18" s="287">
        <f t="shared" si="19"/>
        <v>36.702889821978481</v>
      </c>
      <c r="AP18" s="287">
        <f t="shared" si="20"/>
        <v>1190065.0897616933</v>
      </c>
      <c r="AQ18" s="287">
        <f t="shared" si="21"/>
        <v>892548.81732127001</v>
      </c>
      <c r="AR18" s="287">
        <f t="shared" si="22"/>
        <v>0</v>
      </c>
      <c r="AS18" s="289" t="e">
        <f>IF(J18='2027 Avoided Costs'!#REF!,3,5)</f>
        <v>#REF!</v>
      </c>
      <c r="AT18" s="290" cm="1">
        <f t="array" ref="AT18">IFERROR(IF($J18="Baseload",IF($O18=1,0,NPV('2027 Avoided Costs'!$D$6,_xlfn._xlws.FILTER('2027 Avoided Costs'!$C$14:$C$47,('2027 Avoided Costs'!$B$14:$B$47&gt;=$B18+1)*('2027 Avoided Costs'!$B$14:$B$47&lt;$B18+ROUND($O18,0)))))+_xlfn.XLOOKUP($B18,'2027 Avoided Costs'!$B$13:$B$47,'2027 Avoided Costs'!$C$13:$C$47),IF($O18=1,0,NPV('2027 Avoided Costs'!$D$6,_xlfn._xlws.FILTER('2027 Avoided Costs'!$E$14:$E$47,('2027 Avoided Costs'!$B$14:$B$47&gt;=$B18+1)*('2027 Avoided Costs'!$B$14:$B$47&lt;$B18+ROUND($O18,0)))))+_xlfn.XLOOKUP($B18,'2027 Avoided Costs'!$B$13:$B$47,'2027 Avoided Costs'!$E$13:$E$47))*IF($AE18&gt;0,$AE18*(1+$W18),0),0)</f>
        <v>1234058.3529655039</v>
      </c>
      <c r="AU18" s="290" cm="1">
        <f t="array" ref="AU18">IFERROR((IF($O18=1,0,NPV('2027 Avoided Costs'!$D$6,_xlfn._xlws.FILTER('2027 Avoided Costs'!$M$14:$M$47,('2027 Avoided Costs'!$B$14:$B$47&gt;=$B18+1)*('2027 Avoided Costs'!$B$14:$B$47&lt;$B18+ROUND($O18,0)))))+_xlfn.XLOOKUP($B18,'2027 Avoided Costs'!$B$13:$B$47,'2027 Avoided Costs'!$M$13:$M$47))*IF($AK18&gt;0,$AK18*(1+$W18),0),0)</f>
        <v>0</v>
      </c>
      <c r="AV18" s="291" cm="1">
        <f t="array" ref="AV18">IFERROR((IF($O18=1,0,NPV('2027 Avoided Costs'!$D$6,_xlfn._xlws.FILTER('2027 Avoided Costs'!$Q$14:$Q$47,('2027 Avoided Costs'!$B$14:$B$47&gt;=$B18+1)*('2027 Avoided Costs'!$B$14:$B$47&lt;$B18+ROUND($O18,0)))))+_xlfn.XLOOKUP($B18,'2027 Avoided Costs'!$B$13:$B$47,'2027 Avoided Costs'!$Q$13:$Q$47))*IF($AI18&gt;0,$AI18*(1+$W18),0),0)</f>
        <v>134999.72402428111</v>
      </c>
      <c r="AW18" s="291" cm="1">
        <f t="array" ref="AW18">IFERROR((IF($O18=1,0,NPV('2027 Avoided Costs'!$D$6,_xlfn._xlws.FILTER('2027 Avoided Costs'!$W$14:$W$47,('2027 Avoided Costs'!$B$14:$B$47&gt;=$B18+1)*('2027 Avoided Costs'!$B$14:$B$47&lt;$B18+ROUND($O18,0)))))+_xlfn.XLOOKUP($B18,'2027 Avoided Costs'!$B$13:$B$47,'2027 Avoided Costs'!$W$13:$W$47))*IF($AM18&gt;0,$AM18*(1+$W18),0),0)</f>
        <v>481578.76461726107</v>
      </c>
      <c r="AX18" s="291" cm="1">
        <f t="array" ref="AX18">IFERROR((IF($O18=1,0,NPV('2027 Avoided Costs'!$D$6,_xlfn._xlws.FILTER('2027 Avoided Costs'!$AC$14:$AC$47,('2027 Avoided Costs'!$B$14:$B$47&gt;=$B18+1)*('2027 Avoided Costs'!$B$14:$B$47&lt;$B18+ROUND($O18,0)))))+_xlfn.XLOOKUP($B18,'2027 Avoided Costs'!$B$13:$B$47,'2027 Avoided Costs'!$AC$13:$AC$47))*IF($AO18&gt;0,$AO18*(1+$W18),0),0)</f>
        <v>8961.8243777280259</v>
      </c>
      <c r="AY18" s="291" cm="1">
        <f t="array" ref="AY18">IFERROR((IF($O18=1,0,NPV('2027 Avoided Costs'!$D$4,_xlfn._xlws.FILTER('2027 Avoided Costs'!$I$14:$I$47,('2027 Avoided Costs'!$B$14:$B$47&gt;=$B18+1)*('2027 Avoided Costs'!$B$14:$B$47&lt;$B18+ROUND($O18,0)))))+_xlfn.XLOOKUP($B18,'2027 Avoided Costs'!$B$13:$B$47,'2027 Avoided Costs'!$I$13:$I$47))*IF($X18="Residential",'2027 Avoided Costs'!$J$5,IF($X18="Large Volume",'2027 Avoided Costs'!$J$7,'2027 Avoided Costs'!$J$6))*IF($AE18&gt;0,$AE18,0),0)</f>
        <v>0</v>
      </c>
      <c r="AZ18" s="291" cm="1">
        <f t="array" ref="AZ18">IFERROR(IF($J18="Baseload",IF($O18=1,0,NPV('2027 Avoided Costs'!$D$6,_xlfn._xlws.FILTER('2027 Avoided Costs'!$C$14:$C$47,('2027 Avoided Costs'!$B$14:$B$47&gt;=$B18+1)*('2027 Avoided Costs'!$B$14:$B$47&lt;$B18+ROUND($O18,0)))))+_xlfn.XLOOKUP($B18,'2027 Avoided Costs'!$B$13:$B$47,'2027 Avoided Costs'!$C$13:$C$47),IF($O18=1,0,NPV('2027 Avoided Costs'!$D$6,_xlfn._xlws.FILTER('2027 Avoided Costs'!$E$14:$E$47,('2027 Avoided Costs'!$B$14:$B$47&gt;=$B18+1)*('2027 Avoided Costs'!$B$14:$B$47&lt;$B18+ROUND($O18,0)))))+_xlfn.XLOOKUP($B18,'2027 Avoided Costs'!$B$13:$B$47,'2027 Avoided Costs'!$E$13:$E$47))*IF($AE18&lt;0,$AE18*(-1),0),0)</f>
        <v>0</v>
      </c>
      <c r="BA18" s="291" cm="1">
        <f t="array" ref="BA18">IFERROR((IF($O18=1,0,NPV('2027 Avoided Costs'!$D$6,_xlfn._xlws.FILTER('2027 Avoided Costs'!$M$14:$M$47,('2027 Avoided Costs'!$B$14:$B$47&gt;=$B18+1)*('2027 Avoided Costs'!$B$14:$B$47&lt;$B18+ROUND($O18,0)))))+_xlfn.XLOOKUP($B18,'2027 Avoided Costs'!$B$13:$B$47,'2027 Avoided Costs'!$M$13:$M$47))*IF($AK18&lt;0,$AK18*(-1),0),0)</f>
        <v>0</v>
      </c>
      <c r="BB18" s="291" cm="1">
        <f t="array" ref="BB18">IFERROR((IF($O18=1,0,NPV('2027 Avoided Costs'!$D$6,_xlfn._xlws.FILTER('2027 Avoided Costs'!$S$14:$S$47,('2027 Avoided Costs'!$B$14:$B$47&gt;=$B18+1)*('2027 Avoided Costs'!$B$14:$B$47&lt;$B18+ROUND($O18,0)))))+_xlfn.XLOOKUP($B18,'2027 Avoided Costs'!$B$13:$B$47,'2027 Avoided Costs'!$S$13:$S$47))*IF($AI18&lt;0,$AI18*(-1),0),0)</f>
        <v>0</v>
      </c>
      <c r="BC18" s="291" cm="1">
        <f t="array" ref="BC18">IFERROR((IF($O18=1,0,NPV('2027 Avoided Costs'!$D$6,_xlfn._xlws.FILTER('2027 Avoided Costs'!$Y$14:$Y$47,('2027 Avoided Costs'!$B$14:$B$47&gt;=$B18+1)*('2027 Avoided Costs'!$B$14:$B$47&lt;$B18+ROUND($O18,0)))))+_xlfn.XLOOKUP($B18,'2027 Avoided Costs'!$B$13:$B$47,'2027 Avoided Costs'!$Y$13:$Y$47))*IF($AM18&lt;0,$AM18*(-1),0),0)</f>
        <v>0</v>
      </c>
      <c r="BD18" s="291" cm="1">
        <f t="array" ref="BD18">IFERROR((IF($O18=1,0,NPV('2027 Avoided Costs'!$D$6,_xlfn._xlws.FILTER('2027 Avoided Costs'!$AE$14:$AE$47,('2027 Avoided Costs'!$B$14:$B$47&gt;=$B18+1)*('2027 Avoided Costs'!$B$14:$B$47&lt;$B18+ROUND($O18,0)))))+_xlfn.XLOOKUP($B18,'2027 Avoided Costs'!$B$13:$B$47,'2027 Avoided Costs'!$AE$13:$AE$47))*IF($AO18&lt;0,$AO18*(-1),0),0)</f>
        <v>0</v>
      </c>
      <c r="BE18" s="291" cm="1">
        <f t="array" ref="BE18">IFERROR((IF($O18=1,0,NPV('2027 Avoided Costs'!$D$4,_xlfn._xlws.FILTER('2027 Avoided Costs'!$I$14:$I$47,('2027 Avoided Costs'!$B$14:$B$47&gt;=$B18+1)*('2027 Avoided Costs'!$B$14:$B$47&lt;$B18+ROUND($O18,0)))))+_xlfn.XLOOKUP($B18,'2027 Avoided Costs'!$B$13:$B$47,'2027 Avoided Costs'!$I$13:$I$47))*IF($X18="Residential",'2027 Avoided Costs'!$J$5,IF($X18="Large Volume",'2027 Avoided Costs'!$J$7,'2027 Avoided Costs'!$J$6))*IF($AE18&lt;0,$AE18*(-1),0),0)</f>
        <v>0</v>
      </c>
      <c r="BF18" s="291">
        <f t="shared" si="23"/>
        <v>1859598.665984774</v>
      </c>
      <c r="BG18" s="291">
        <f t="shared" si="24"/>
        <v>892548.81732127001</v>
      </c>
      <c r="BH18" s="291">
        <f t="shared" si="25"/>
        <v>967049.848663504</v>
      </c>
      <c r="BI18" s="292">
        <f t="shared" si="29"/>
        <v>2.0834699793405447</v>
      </c>
      <c r="BJ18" s="196" cm="1">
        <f t="array" ref="BJ18">IFERROR(IF($J18="Baseload",IF($O18=1,0,NPV('2027 Avoided Costs'!$D$6,_xlfn._xlws.FILTER('2027 Avoided Costs'!$C$14:$C$47,('2027 Avoided Costs'!$B$14:$B$47&gt;=$B18+1)*('2027 Avoided Costs'!$B$14:$B$47&lt;$B18+ROUND($O18,0)))))+_xlfn.XLOOKUP($B18,'2027 Avoided Costs'!$B$13:$B$47,'2027 Avoided Costs'!$C$13:$C$47),IF($O18=1,0,NPV('2027 Avoided Costs'!$D$6,_xlfn._xlws.FILTER('2027 Avoided Costs'!$E$14:$E$47,('2027 Avoided Costs'!$B$14:$B$47&gt;=$B18+1)*('2027 Avoided Costs'!$B$14:$B$47&lt;$B18+ROUND($O18,0)))))+_xlfn.XLOOKUP($B18,'2027 Avoided Costs'!$B$13:$B$47,'2027 Avoided Costs'!$E$13:$E$47))*IF($AE18&gt;0,$AE18*(1+0),0),0)</f>
        <v>1073094.2199700035</v>
      </c>
      <c r="BK18" s="293">
        <f t="shared" si="26"/>
        <v>2.4168506828536112</v>
      </c>
    </row>
    <row r="19" spans="1:63" s="1" customFormat="1" x14ac:dyDescent="0.25">
      <c r="A19" s="270" t="s">
        <v>133</v>
      </c>
      <c r="B19" s="271">
        <v>2027</v>
      </c>
      <c r="C19" s="272" t="s">
        <v>13</v>
      </c>
      <c r="D19" s="272" t="s">
        <v>9</v>
      </c>
      <c r="E19" s="272" t="s">
        <v>353</v>
      </c>
      <c r="F19" s="273">
        <v>52</v>
      </c>
      <c r="G19" s="274">
        <v>3273.8506266994641</v>
      </c>
      <c r="H19" s="275">
        <f t="shared" si="3"/>
        <v>0.96502300196168744</v>
      </c>
      <c r="I19" s="274">
        <v>250</v>
      </c>
      <c r="J19" s="276" t="s">
        <v>263</v>
      </c>
      <c r="K19" s="277">
        <f t="shared" si="27"/>
        <v>0.75</v>
      </c>
      <c r="L19" s="278">
        <v>0.28000000000000003</v>
      </c>
      <c r="M19" s="278">
        <v>0.03</v>
      </c>
      <c r="N19" s="278">
        <v>0.97609999999999997</v>
      </c>
      <c r="O19" s="279">
        <v>15</v>
      </c>
      <c r="P19" s="280">
        <v>3392.5104583459865</v>
      </c>
      <c r="Q19" s="281">
        <v>2062.1588461538463</v>
      </c>
      <c r="R19" s="282">
        <v>0.2354062609764643</v>
      </c>
      <c r="S19" s="282">
        <v>0.23540626097646722</v>
      </c>
      <c r="T19" s="281">
        <v>0</v>
      </c>
      <c r="U19" s="283">
        <v>0</v>
      </c>
      <c r="V19" s="284">
        <v>9444.9610298547086</v>
      </c>
      <c r="W19" s="285">
        <v>0.15</v>
      </c>
      <c r="X19" s="286" t="s">
        <v>255</v>
      </c>
      <c r="Y19" s="287">
        <f t="shared" si="4"/>
        <v>52</v>
      </c>
      <c r="Z19" s="288">
        <f t="shared" si="5"/>
        <v>170240.23258837214</v>
      </c>
      <c r="AA19" s="288">
        <f t="shared" si="6"/>
        <v>13000</v>
      </c>
      <c r="AB19" s="288">
        <f t="shared" si="7"/>
        <v>170240.23258837214</v>
      </c>
      <c r="AC19" s="288">
        <f t="shared" si="28"/>
        <v>13000</v>
      </c>
      <c r="AD19" s="287">
        <f t="shared" si="8"/>
        <v>172194.33183635891</v>
      </c>
      <c r="AE19" s="287">
        <f t="shared" si="9"/>
        <v>129145.74887726919</v>
      </c>
      <c r="AF19" s="287">
        <f t="shared" si="10"/>
        <v>2582914.9775453834</v>
      </c>
      <c r="AG19" s="287">
        <f t="shared" si="11"/>
        <v>1937186.2331590378</v>
      </c>
      <c r="AH19" s="287">
        <f t="shared" si="12"/>
        <v>112205.606432992</v>
      </c>
      <c r="AI19" s="287">
        <f t="shared" si="13"/>
        <v>84154.204824743996</v>
      </c>
      <c r="AJ19" s="287">
        <f t="shared" si="14"/>
        <v>0</v>
      </c>
      <c r="AK19" s="287">
        <f t="shared" si="15"/>
        <v>0</v>
      </c>
      <c r="AL19" s="287">
        <f t="shared" si="16"/>
        <v>12.808859181848286</v>
      </c>
      <c r="AM19" s="287">
        <f t="shared" si="17"/>
        <v>9.606644386386213</v>
      </c>
      <c r="AN19" s="287">
        <f t="shared" si="18"/>
        <v>12.808859181848444</v>
      </c>
      <c r="AO19" s="287">
        <f t="shared" si="19"/>
        <v>9.6066443863863338</v>
      </c>
      <c r="AP19" s="287">
        <f t="shared" si="20"/>
        <v>491137.97355244483</v>
      </c>
      <c r="AQ19" s="287">
        <f t="shared" si="21"/>
        <v>368353.4801643336</v>
      </c>
      <c r="AR19" s="287">
        <f t="shared" si="22"/>
        <v>0</v>
      </c>
      <c r="AS19" s="289" t="e">
        <f>IF(J19='2027 Avoided Costs'!#REF!,3,5)</f>
        <v>#REF!</v>
      </c>
      <c r="AT19" s="290" cm="1">
        <f t="array" ref="AT19">IFERROR(IF($J19="Baseload",IF($O19=1,0,NPV('2027 Avoided Costs'!$D$6,_xlfn._xlws.FILTER('2027 Avoided Costs'!$C$14:$C$47,('2027 Avoided Costs'!$B$14:$B$47&gt;=$B19+1)*('2027 Avoided Costs'!$B$14:$B$47&lt;$B19+ROUND($O19,0)))))+_xlfn.XLOOKUP($B19,'2027 Avoided Costs'!$B$13:$B$47,'2027 Avoided Costs'!$C$13:$C$47),IF($O19=1,0,NPV('2027 Avoided Costs'!$D$6,_xlfn._xlws.FILTER('2027 Avoided Costs'!$E$14:$E$47,('2027 Avoided Costs'!$B$14:$B$47&gt;=$B19+1)*('2027 Avoided Costs'!$B$14:$B$47&lt;$B19+ROUND($O19,0)))))+_xlfn.XLOOKUP($B19,'2027 Avoided Costs'!$B$13:$B$47,'2027 Avoided Costs'!$E$13:$E$47))*IF($AE19&gt;0,$AE19*(1+$W19),0),0)</f>
        <v>451449.85021822073</v>
      </c>
      <c r="AU19" s="290" cm="1">
        <f t="array" ref="AU19">IFERROR((IF($O19=1,0,NPV('2027 Avoided Costs'!$D$6,_xlfn._xlws.FILTER('2027 Avoided Costs'!$M$14:$M$47,('2027 Avoided Costs'!$B$14:$B$47&gt;=$B19+1)*('2027 Avoided Costs'!$B$14:$B$47&lt;$B19+ROUND($O19,0)))))+_xlfn.XLOOKUP($B19,'2027 Avoided Costs'!$B$13:$B$47,'2027 Avoided Costs'!$M$13:$M$47))*IF($AK19&gt;0,$AK19*(1+$W19),0),0)</f>
        <v>0</v>
      </c>
      <c r="AV19" s="291" cm="1">
        <f t="array" ref="AV19">IFERROR((IF($O19=1,0,NPV('2027 Avoided Costs'!$D$6,_xlfn._xlws.FILTER('2027 Avoided Costs'!$Q$14:$Q$47,('2027 Avoided Costs'!$B$14:$B$47&gt;=$B19+1)*('2027 Avoided Costs'!$B$14:$B$47&lt;$B19+ROUND($O19,0)))))+_xlfn.XLOOKUP($B19,'2027 Avoided Costs'!$B$13:$B$47,'2027 Avoided Costs'!$Q$13:$Q$47))*IF($AI19&gt;0,$AI19*(1+$W19),0),0)</f>
        <v>55714.171819544594</v>
      </c>
      <c r="AW19" s="291" cm="1">
        <f t="array" ref="AW19">IFERROR((IF($O19=1,0,NPV('2027 Avoided Costs'!$D$6,_xlfn._xlws.FILTER('2027 Avoided Costs'!$W$14:$W$47,('2027 Avoided Costs'!$B$14:$B$47&gt;=$B19+1)*('2027 Avoided Costs'!$B$14:$B$47&lt;$B19+ROUND($O19,0)))))+_xlfn.XLOOKUP($B19,'2027 Avoided Costs'!$B$13:$B$47,'2027 Avoided Costs'!$W$13:$W$47))*IF($AM19&gt;0,$AM19*(1+$W19),0),0)</f>
        <v>37230.731558517844</v>
      </c>
      <c r="AX19" s="291" cm="1">
        <f t="array" ref="AX19">IFERROR((IF($O19=1,0,NPV('2027 Avoided Costs'!$D$6,_xlfn._xlws.FILTER('2027 Avoided Costs'!$AC$14:$AC$47,('2027 Avoided Costs'!$B$14:$B$47&gt;=$B19+1)*('2027 Avoided Costs'!$B$14:$B$47&lt;$B19+ROUND($O19,0)))))+_xlfn.XLOOKUP($B19,'2027 Avoided Costs'!$B$13:$B$47,'2027 Avoided Costs'!$AC$13:$AC$47))*IF($AO19&gt;0,$AO19*(1+$W19),0),0)</f>
        <v>2345.675238861621</v>
      </c>
      <c r="AY19" s="291" cm="1">
        <f t="array" ref="AY19">IFERROR((IF($O19=1,0,NPV('2027 Avoided Costs'!$D$4,_xlfn._xlws.FILTER('2027 Avoided Costs'!$I$14:$I$47,('2027 Avoided Costs'!$B$14:$B$47&gt;=$B19+1)*('2027 Avoided Costs'!$B$14:$B$47&lt;$B19+ROUND($O19,0)))))+_xlfn.XLOOKUP($B19,'2027 Avoided Costs'!$B$13:$B$47,'2027 Avoided Costs'!$I$13:$I$47))*IF($X19="Residential",'2027 Avoided Costs'!$J$5,IF($X19="Large Volume",'2027 Avoided Costs'!$J$7,'2027 Avoided Costs'!$J$6))*IF($AE19&gt;0,$AE19,0),0)</f>
        <v>0</v>
      </c>
      <c r="AZ19" s="291" cm="1">
        <f t="array" ref="AZ19">IFERROR(IF($J19="Baseload",IF($O19=1,0,NPV('2027 Avoided Costs'!$D$6,_xlfn._xlws.FILTER('2027 Avoided Costs'!$C$14:$C$47,('2027 Avoided Costs'!$B$14:$B$47&gt;=$B19+1)*('2027 Avoided Costs'!$B$14:$B$47&lt;$B19+ROUND($O19,0)))))+_xlfn.XLOOKUP($B19,'2027 Avoided Costs'!$B$13:$B$47,'2027 Avoided Costs'!$C$13:$C$47),IF($O19=1,0,NPV('2027 Avoided Costs'!$D$6,_xlfn._xlws.FILTER('2027 Avoided Costs'!$E$14:$E$47,('2027 Avoided Costs'!$B$14:$B$47&gt;=$B19+1)*('2027 Avoided Costs'!$B$14:$B$47&lt;$B19+ROUND($O19,0)))))+_xlfn.XLOOKUP($B19,'2027 Avoided Costs'!$B$13:$B$47,'2027 Avoided Costs'!$E$13:$E$47))*IF($AE19&lt;0,$AE19*(-1),0),0)</f>
        <v>0</v>
      </c>
      <c r="BA19" s="291" cm="1">
        <f t="array" ref="BA19">IFERROR((IF($O19=1,0,NPV('2027 Avoided Costs'!$D$6,_xlfn._xlws.FILTER('2027 Avoided Costs'!$M$14:$M$47,('2027 Avoided Costs'!$B$14:$B$47&gt;=$B19+1)*('2027 Avoided Costs'!$B$14:$B$47&lt;$B19+ROUND($O19,0)))))+_xlfn.XLOOKUP($B19,'2027 Avoided Costs'!$B$13:$B$47,'2027 Avoided Costs'!$M$13:$M$47))*IF($AK19&lt;0,$AK19*(-1),0),0)</f>
        <v>0</v>
      </c>
      <c r="BB19" s="291" cm="1">
        <f t="array" ref="BB19">IFERROR((IF($O19=1,0,NPV('2027 Avoided Costs'!$D$6,_xlfn._xlws.FILTER('2027 Avoided Costs'!$S$14:$S$47,('2027 Avoided Costs'!$B$14:$B$47&gt;=$B19+1)*('2027 Avoided Costs'!$B$14:$B$47&lt;$B19+ROUND($O19,0)))))+_xlfn.XLOOKUP($B19,'2027 Avoided Costs'!$B$13:$B$47,'2027 Avoided Costs'!$S$13:$S$47))*IF($AI19&lt;0,$AI19*(-1),0),0)</f>
        <v>0</v>
      </c>
      <c r="BC19" s="291" cm="1">
        <f t="array" ref="BC19">IFERROR((IF($O19=1,0,NPV('2027 Avoided Costs'!$D$6,_xlfn._xlws.FILTER('2027 Avoided Costs'!$Y$14:$Y$47,('2027 Avoided Costs'!$B$14:$B$47&gt;=$B19+1)*('2027 Avoided Costs'!$B$14:$B$47&lt;$B19+ROUND($O19,0)))))+_xlfn.XLOOKUP($B19,'2027 Avoided Costs'!$B$13:$B$47,'2027 Avoided Costs'!$Y$13:$Y$47))*IF($AM19&lt;0,$AM19*(-1),0),0)</f>
        <v>0</v>
      </c>
      <c r="BD19" s="291" cm="1">
        <f t="array" ref="BD19">IFERROR((IF($O19=1,0,NPV('2027 Avoided Costs'!$D$6,_xlfn._xlws.FILTER('2027 Avoided Costs'!$AE$14:$AE$47,('2027 Avoided Costs'!$B$14:$B$47&gt;=$B19+1)*('2027 Avoided Costs'!$B$14:$B$47&lt;$B19+ROUND($O19,0)))))+_xlfn.XLOOKUP($B19,'2027 Avoided Costs'!$B$13:$B$47,'2027 Avoided Costs'!$AE$13:$AE$47))*IF($AO19&lt;0,$AO19*(-1),0),0)</f>
        <v>0</v>
      </c>
      <c r="BE19" s="291" cm="1">
        <f t="array" ref="BE19">IFERROR((IF($O19=1,0,NPV('2027 Avoided Costs'!$D$4,_xlfn._xlws.FILTER('2027 Avoided Costs'!$I$14:$I$47,('2027 Avoided Costs'!$B$14:$B$47&gt;=$B19+1)*('2027 Avoided Costs'!$B$14:$B$47&lt;$B19+ROUND($O19,0)))))+_xlfn.XLOOKUP($B19,'2027 Avoided Costs'!$B$13:$B$47,'2027 Avoided Costs'!$I$13:$I$47))*IF($X19="Residential",'2027 Avoided Costs'!$J$5,IF($X19="Large Volume",'2027 Avoided Costs'!$J$7,'2027 Avoided Costs'!$J$6))*IF($AE19&lt;0,$AE19*(-1),0),0)</f>
        <v>0</v>
      </c>
      <c r="BF19" s="291">
        <f t="shared" si="23"/>
        <v>546740.42883514473</v>
      </c>
      <c r="BG19" s="291">
        <f t="shared" si="24"/>
        <v>368353.4801643336</v>
      </c>
      <c r="BH19" s="291">
        <f t="shared" si="25"/>
        <v>178386.94867081114</v>
      </c>
      <c r="BI19" s="292">
        <f t="shared" si="29"/>
        <v>1.4842819690239586</v>
      </c>
      <c r="BJ19" s="196" cm="1">
        <f t="array" ref="BJ19">IFERROR(IF($J19="Baseload",IF($O19=1,0,NPV('2027 Avoided Costs'!$D$6,_xlfn._xlws.FILTER('2027 Avoided Costs'!$C$14:$C$47,('2027 Avoided Costs'!$B$14:$B$47&gt;=$B19+1)*('2027 Avoided Costs'!$B$14:$B$47&lt;$B19+ROUND($O19,0)))))+_xlfn.XLOOKUP($B19,'2027 Avoided Costs'!$B$13:$B$47,'2027 Avoided Costs'!$C$13:$C$47),IF($O19=1,0,NPV('2027 Avoided Costs'!$D$6,_xlfn._xlws.FILTER('2027 Avoided Costs'!$E$14:$E$47,('2027 Avoided Costs'!$B$14:$B$47&gt;=$B19+1)*('2027 Avoided Costs'!$B$14:$B$47&lt;$B19+ROUND($O19,0)))))+_xlfn.XLOOKUP($B19,'2027 Avoided Costs'!$B$13:$B$47,'2027 Avoided Costs'!$E$13:$E$47))*IF($AE19&gt;0,$AE19*(1+0),0),0)</f>
        <v>392565.08714627894</v>
      </c>
      <c r="BK19" s="293">
        <f t="shared" si="26"/>
        <v>2.1423520457329408</v>
      </c>
    </row>
    <row r="20" spans="1:63" s="1" customFormat="1" x14ac:dyDescent="0.25">
      <c r="A20" s="270" t="s">
        <v>133</v>
      </c>
      <c r="B20" s="271">
        <v>2027</v>
      </c>
      <c r="C20" s="272" t="s">
        <v>13</v>
      </c>
      <c r="D20" s="272" t="s">
        <v>9</v>
      </c>
      <c r="E20" s="272" t="s">
        <v>294</v>
      </c>
      <c r="F20" s="273">
        <v>5</v>
      </c>
      <c r="G20" s="274">
        <v>10143.708116009462</v>
      </c>
      <c r="H20" s="275">
        <f t="shared" si="3"/>
        <v>0.96502300196168744</v>
      </c>
      <c r="I20" s="274">
        <v>250</v>
      </c>
      <c r="J20" s="276" t="s">
        <v>264</v>
      </c>
      <c r="K20" s="277">
        <f t="shared" si="27"/>
        <v>0.75</v>
      </c>
      <c r="L20" s="278">
        <v>0.28000000000000003</v>
      </c>
      <c r="M20" s="278">
        <v>0.03</v>
      </c>
      <c r="N20" s="278">
        <v>0.97609999999999997</v>
      </c>
      <c r="O20" s="279">
        <v>15</v>
      </c>
      <c r="P20" s="280">
        <v>10511.364076700194</v>
      </c>
      <c r="Q20" s="281">
        <v>-14987.676666666666</v>
      </c>
      <c r="R20" s="282">
        <v>-3.6</v>
      </c>
      <c r="S20" s="282">
        <v>-6</v>
      </c>
      <c r="T20" s="281">
        <v>0</v>
      </c>
      <c r="U20" s="283">
        <v>0</v>
      </c>
      <c r="V20" s="284">
        <v>129925.30666666666</v>
      </c>
      <c r="W20" s="285">
        <v>0.15</v>
      </c>
      <c r="X20" s="286" t="s">
        <v>255</v>
      </c>
      <c r="Y20" s="287">
        <f t="shared" si="4"/>
        <v>5</v>
      </c>
      <c r="Z20" s="288">
        <f t="shared" si="5"/>
        <v>50718.540580047309</v>
      </c>
      <c r="AA20" s="288">
        <f t="shared" si="6"/>
        <v>1250</v>
      </c>
      <c r="AB20" s="288">
        <f t="shared" si="7"/>
        <v>50718.540580047309</v>
      </c>
      <c r="AC20" s="288">
        <f t="shared" si="28"/>
        <v>1250</v>
      </c>
      <c r="AD20" s="287">
        <f t="shared" si="8"/>
        <v>51300.712376335294</v>
      </c>
      <c r="AE20" s="287">
        <f t="shared" si="9"/>
        <v>38475.534282251472</v>
      </c>
      <c r="AF20" s="287">
        <f t="shared" si="10"/>
        <v>769510.68564502941</v>
      </c>
      <c r="AG20" s="287">
        <f t="shared" si="11"/>
        <v>577133.01423377206</v>
      </c>
      <c r="AH20" s="287">
        <f t="shared" si="12"/>
        <v>-78413.965601626667</v>
      </c>
      <c r="AI20" s="287">
        <f t="shared" si="13"/>
        <v>-58810.474201219993</v>
      </c>
      <c r="AJ20" s="287">
        <f t="shared" si="14"/>
        <v>0</v>
      </c>
      <c r="AK20" s="287">
        <f t="shared" si="15"/>
        <v>0</v>
      </c>
      <c r="AL20" s="287">
        <f t="shared" si="16"/>
        <v>-18.834825600000002</v>
      </c>
      <c r="AM20" s="287">
        <f t="shared" si="17"/>
        <v>-14.126119200000002</v>
      </c>
      <c r="AN20" s="287">
        <f t="shared" si="18"/>
        <v>-31.391376000000005</v>
      </c>
      <c r="AO20" s="287">
        <f t="shared" si="19"/>
        <v>-23.543532000000003</v>
      </c>
      <c r="AP20" s="287">
        <f t="shared" si="20"/>
        <v>649626.53333333333</v>
      </c>
      <c r="AQ20" s="287">
        <f t="shared" si="21"/>
        <v>487219.9</v>
      </c>
      <c r="AR20" s="287">
        <f t="shared" si="22"/>
        <v>0</v>
      </c>
      <c r="AS20" s="289" t="e">
        <f>IF(J20='2027 Avoided Costs'!#REF!,3,5)</f>
        <v>#REF!</v>
      </c>
      <c r="AT20" s="290" cm="1">
        <f t="array" ref="AT20">IFERROR(IF($J20="Baseload",IF($O20=1,0,NPV('2027 Avoided Costs'!$D$6,_xlfn._xlws.FILTER('2027 Avoided Costs'!$C$14:$C$47,('2027 Avoided Costs'!$B$14:$B$47&gt;=$B20+1)*('2027 Avoided Costs'!$B$14:$B$47&lt;$B20+ROUND($O20,0)))))+_xlfn.XLOOKUP($B20,'2027 Avoided Costs'!$B$13:$B$47,'2027 Avoided Costs'!$C$13:$C$47),IF($O20=1,0,NPV('2027 Avoided Costs'!$D$6,_xlfn._xlws.FILTER('2027 Avoided Costs'!$E$14:$E$47,('2027 Avoided Costs'!$B$14:$B$47&gt;=$B20+1)*('2027 Avoided Costs'!$B$14:$B$47&lt;$B20+ROUND($O20,0)))))+_xlfn.XLOOKUP($B20,'2027 Avoided Costs'!$B$13:$B$47,'2027 Avoided Costs'!$E$13:$E$47))*IF($AE20&gt;0,$AE20*(1+$W20),0),0)</f>
        <v>151730.55235379105</v>
      </c>
      <c r="AU20" s="290" cm="1">
        <f t="array" ref="AU20">IFERROR((IF($O20=1,0,NPV('2027 Avoided Costs'!$D$6,_xlfn._xlws.FILTER('2027 Avoided Costs'!$M$14:$M$47,('2027 Avoided Costs'!$B$14:$B$47&gt;=$B20+1)*('2027 Avoided Costs'!$B$14:$B$47&lt;$B20+ROUND($O20,0)))))+_xlfn.XLOOKUP($B20,'2027 Avoided Costs'!$B$13:$B$47,'2027 Avoided Costs'!$M$13:$M$47))*IF($AK20&gt;0,$AK20*(1+$W20),0),0)</f>
        <v>0</v>
      </c>
      <c r="AV20" s="291" cm="1">
        <f t="array" ref="AV20">IFERROR((IF($O20=1,0,NPV('2027 Avoided Costs'!$D$6,_xlfn._xlws.FILTER('2027 Avoided Costs'!$Q$14:$Q$47,('2027 Avoided Costs'!$B$14:$B$47&gt;=$B20+1)*('2027 Avoided Costs'!$B$14:$B$47&lt;$B20+ROUND($O20,0)))))+_xlfn.XLOOKUP($B20,'2027 Avoided Costs'!$B$13:$B$47,'2027 Avoided Costs'!$Q$13:$Q$47))*IF($AI20&gt;0,$AI20*(1+$W20),0),0)</f>
        <v>0</v>
      </c>
      <c r="AW20" s="291" cm="1">
        <f t="array" ref="AW20">IFERROR((IF($O20=1,0,NPV('2027 Avoided Costs'!$D$6,_xlfn._xlws.FILTER('2027 Avoided Costs'!$W$14:$W$47,('2027 Avoided Costs'!$B$14:$B$47&gt;=$B20+1)*('2027 Avoided Costs'!$B$14:$B$47&lt;$B20+ROUND($O20,0)))))+_xlfn.XLOOKUP($B20,'2027 Avoided Costs'!$B$13:$B$47,'2027 Avoided Costs'!$W$13:$W$47))*IF($AM20&gt;0,$AM20*(1+$W20),0),0)</f>
        <v>0</v>
      </c>
      <c r="AX20" s="291" cm="1">
        <f t="array" ref="AX20">IFERROR((IF($O20=1,0,NPV('2027 Avoided Costs'!$D$6,_xlfn._xlws.FILTER('2027 Avoided Costs'!$AC$14:$AC$47,('2027 Avoided Costs'!$B$14:$B$47&gt;=$B20+1)*('2027 Avoided Costs'!$B$14:$B$47&lt;$B20+ROUND($O20,0)))))+_xlfn.XLOOKUP($B20,'2027 Avoided Costs'!$B$13:$B$47,'2027 Avoided Costs'!$AC$13:$AC$47))*IF($AO20&gt;0,$AO20*(1+$W20),0),0)</f>
        <v>0</v>
      </c>
      <c r="AY20" s="291" cm="1">
        <f t="array" ref="AY20">IFERROR((IF($O20=1,0,NPV('2027 Avoided Costs'!$D$4,_xlfn._xlws.FILTER('2027 Avoided Costs'!$I$14:$I$47,('2027 Avoided Costs'!$B$14:$B$47&gt;=$B20+1)*('2027 Avoided Costs'!$B$14:$B$47&lt;$B20+ROUND($O20,0)))))+_xlfn.XLOOKUP($B20,'2027 Avoided Costs'!$B$13:$B$47,'2027 Avoided Costs'!$I$13:$I$47))*IF($X20="Residential",'2027 Avoided Costs'!$J$5,IF($X20="Large Volume",'2027 Avoided Costs'!$J$7,'2027 Avoided Costs'!$J$6))*IF($AE20&gt;0,$AE20,0),0)</f>
        <v>0</v>
      </c>
      <c r="AZ20" s="291" cm="1">
        <f t="array" ref="AZ20">IFERROR(IF($J20="Baseload",IF($O20=1,0,NPV('2027 Avoided Costs'!$D$6,_xlfn._xlws.FILTER('2027 Avoided Costs'!$C$14:$C$47,('2027 Avoided Costs'!$B$14:$B$47&gt;=$B20+1)*('2027 Avoided Costs'!$B$14:$B$47&lt;$B20+ROUND($O20,0)))))+_xlfn.XLOOKUP($B20,'2027 Avoided Costs'!$B$13:$B$47,'2027 Avoided Costs'!$C$13:$C$47),IF($O20=1,0,NPV('2027 Avoided Costs'!$D$6,_xlfn._xlws.FILTER('2027 Avoided Costs'!$E$14:$E$47,('2027 Avoided Costs'!$B$14:$B$47&gt;=$B20+1)*('2027 Avoided Costs'!$B$14:$B$47&lt;$B20+ROUND($O20,0)))))+_xlfn.XLOOKUP($B20,'2027 Avoided Costs'!$B$13:$B$47,'2027 Avoided Costs'!$E$13:$E$47))*IF($AE20&lt;0,$AE20*(-1),0),0)</f>
        <v>0</v>
      </c>
      <c r="BA20" s="291" cm="1">
        <f t="array" ref="BA20">IFERROR((IF($O20=1,0,NPV('2027 Avoided Costs'!$D$6,_xlfn._xlws.FILTER('2027 Avoided Costs'!$M$14:$M$47,('2027 Avoided Costs'!$B$14:$B$47&gt;=$B20+1)*('2027 Avoided Costs'!$B$14:$B$47&lt;$B20+ROUND($O20,0)))))+_xlfn.XLOOKUP($B20,'2027 Avoided Costs'!$B$13:$B$47,'2027 Avoided Costs'!$M$13:$M$47))*IF($AK20&lt;0,$AK20*(-1),0),0)</f>
        <v>0</v>
      </c>
      <c r="BB20" s="291" cm="1">
        <f t="array" ref="BB20">IFERROR((IF($O20=1,0,NPV('2027 Avoided Costs'!$D$6,_xlfn._xlws.FILTER('2027 Avoided Costs'!$S$14:$S$47,('2027 Avoided Costs'!$B$14:$B$47&gt;=$B20+1)*('2027 Avoided Costs'!$B$14:$B$47&lt;$B20+ROUND($O20,0)))))+_xlfn.XLOOKUP($B20,'2027 Avoided Costs'!$B$13:$B$47,'2027 Avoided Costs'!$S$13:$S$47))*IF($AI20&lt;0,$AI20*(-1),0),0)</f>
        <v>33856.861690463789</v>
      </c>
      <c r="BC20" s="291" cm="1">
        <f t="array" ref="BC20">IFERROR((IF($O20=1,0,NPV('2027 Avoided Costs'!$D$6,_xlfn._xlws.FILTER('2027 Avoided Costs'!$Y$14:$Y$47,('2027 Avoided Costs'!$B$14:$B$47&gt;=$B20+1)*('2027 Avoided Costs'!$B$14:$B$47&lt;$B20+ROUND($O20,0)))))+_xlfn.XLOOKUP($B20,'2027 Avoided Costs'!$B$13:$B$47,'2027 Avoided Costs'!$Y$13:$Y$47))*IF($AM20&lt;0,$AM20*(-1),0),0)</f>
        <v>47605.253446216317</v>
      </c>
      <c r="BD20" s="291" cm="1">
        <f t="array" ref="BD20">IFERROR((IF($O20=1,0,NPV('2027 Avoided Costs'!$D$6,_xlfn._xlws.FILTER('2027 Avoided Costs'!$AE$14:$AE$47,('2027 Avoided Costs'!$B$14:$B$47&gt;=$B20+1)*('2027 Avoided Costs'!$B$14:$B$47&lt;$B20+ROUND($O20,0)))))+_xlfn.XLOOKUP($B20,'2027 Avoided Costs'!$B$13:$B$47,'2027 Avoided Costs'!$AE$13:$AE$47))*IF($AO20&lt;0,$AO20*(-1),0),0)</f>
        <v>4998.8481546491139</v>
      </c>
      <c r="BE20" s="291" cm="1">
        <f t="array" ref="BE20">IFERROR((IF($O20=1,0,NPV('2027 Avoided Costs'!$D$4,_xlfn._xlws.FILTER('2027 Avoided Costs'!$I$14:$I$47,('2027 Avoided Costs'!$B$14:$B$47&gt;=$B20+1)*('2027 Avoided Costs'!$B$14:$B$47&lt;$B20+ROUND($O20,0)))))+_xlfn.XLOOKUP($B20,'2027 Avoided Costs'!$B$13:$B$47,'2027 Avoided Costs'!$I$13:$I$47))*IF($X20="Residential",'2027 Avoided Costs'!$J$5,IF($X20="Large Volume",'2027 Avoided Costs'!$J$7,'2027 Avoided Costs'!$J$6))*IF($AE20&lt;0,$AE20*(-1),0),0)</f>
        <v>0</v>
      </c>
      <c r="BF20" s="291">
        <f t="shared" si="23"/>
        <v>151730.55235379105</v>
      </c>
      <c r="BG20" s="291">
        <f t="shared" si="24"/>
        <v>573680.86329132924</v>
      </c>
      <c r="BH20" s="291">
        <f t="shared" si="25"/>
        <v>-421950.31093753816</v>
      </c>
      <c r="BI20" s="292">
        <f t="shared" si="29"/>
        <v>0.26448599223491709</v>
      </c>
      <c r="BJ20" s="196" cm="1">
        <f t="array" ref="BJ20">IFERROR(IF($J20="Baseload",IF($O20=1,0,NPV('2027 Avoided Costs'!$D$6,_xlfn._xlws.FILTER('2027 Avoided Costs'!$C$14:$C$47,('2027 Avoided Costs'!$B$14:$B$47&gt;=$B20+1)*('2027 Avoided Costs'!$B$14:$B$47&lt;$B20+ROUND($O20,0)))))+_xlfn.XLOOKUP($B20,'2027 Avoided Costs'!$B$13:$B$47,'2027 Avoided Costs'!$C$13:$C$47),IF($O20=1,0,NPV('2027 Avoided Costs'!$D$6,_xlfn._xlws.FILTER('2027 Avoided Costs'!$E$14:$E$47,('2027 Avoided Costs'!$B$14:$B$47&gt;=$B20+1)*('2027 Avoided Costs'!$B$14:$B$47&lt;$B20+ROUND($O20,0)))))+_xlfn.XLOOKUP($B20,'2027 Avoided Costs'!$B$13:$B$47,'2027 Avoided Costs'!$E$13:$E$47))*IF($AE20&gt;0,$AE20*(1+0),0),0)</f>
        <v>131939.610742427</v>
      </c>
      <c r="BK20" s="293">
        <f t="shared" si="26"/>
        <v>2.5388361741503975</v>
      </c>
    </row>
    <row r="21" spans="1:63" s="1" customFormat="1" x14ac:dyDescent="0.25">
      <c r="A21" s="270" t="s">
        <v>133</v>
      </c>
      <c r="B21" s="271">
        <v>2027</v>
      </c>
      <c r="C21" s="272" t="s">
        <v>13</v>
      </c>
      <c r="D21" s="272" t="s">
        <v>9</v>
      </c>
      <c r="E21" s="272" t="s">
        <v>295</v>
      </c>
      <c r="F21" s="273">
        <v>85</v>
      </c>
      <c r="G21" s="274">
        <v>13875.10269394567</v>
      </c>
      <c r="H21" s="275">
        <f t="shared" si="3"/>
        <v>0.65</v>
      </c>
      <c r="I21" s="274">
        <v>250</v>
      </c>
      <c r="J21" s="276" t="s">
        <v>264</v>
      </c>
      <c r="K21" s="277">
        <f t="shared" si="27"/>
        <v>0.75</v>
      </c>
      <c r="L21" s="278">
        <v>0.28000000000000003</v>
      </c>
      <c r="M21" s="278">
        <v>0.03</v>
      </c>
      <c r="N21" s="278">
        <v>0.91</v>
      </c>
      <c r="O21" s="279">
        <v>15</v>
      </c>
      <c r="P21" s="280">
        <v>21346.31183683949</v>
      </c>
      <c r="Q21" s="281">
        <v>2586.7229069767441</v>
      </c>
      <c r="R21" s="282">
        <v>1.5763199055365218</v>
      </c>
      <c r="S21" s="282">
        <v>0.46559375540552222</v>
      </c>
      <c r="T21" s="281">
        <v>222.68578431372549</v>
      </c>
      <c r="U21" s="283">
        <v>1</v>
      </c>
      <c r="V21" s="284">
        <v>23881.812378564122</v>
      </c>
      <c r="W21" s="285">
        <v>0.15</v>
      </c>
      <c r="X21" s="286" t="s">
        <v>255</v>
      </c>
      <c r="Y21" s="287">
        <f t="shared" si="4"/>
        <v>85</v>
      </c>
      <c r="Z21" s="288">
        <f t="shared" si="5"/>
        <v>1179383.728985382</v>
      </c>
      <c r="AA21" s="288">
        <f t="shared" si="6"/>
        <v>21250</v>
      </c>
      <c r="AB21" s="288">
        <f t="shared" si="7"/>
        <v>1179383.728985382</v>
      </c>
      <c r="AC21" s="288">
        <f t="shared" si="28"/>
        <v>21250</v>
      </c>
      <c r="AD21" s="287">
        <f t="shared" si="8"/>
        <v>1651137.2205795345</v>
      </c>
      <c r="AE21" s="287">
        <f t="shared" si="9"/>
        <v>1238352.9154346508</v>
      </c>
      <c r="AF21" s="287">
        <f t="shared" si="10"/>
        <v>24767058.308693018</v>
      </c>
      <c r="AG21" s="287">
        <f t="shared" si="11"/>
        <v>18575293.731519762</v>
      </c>
      <c r="AH21" s="287">
        <f t="shared" si="12"/>
        <v>214488.99406818606</v>
      </c>
      <c r="AI21" s="287">
        <f t="shared" si="13"/>
        <v>160866.74555113955</v>
      </c>
      <c r="AJ21" s="287">
        <f t="shared" si="14"/>
        <v>17224.745416666668</v>
      </c>
      <c r="AK21" s="287">
        <f t="shared" si="15"/>
        <v>12918.5590625</v>
      </c>
      <c r="AL21" s="287">
        <f t="shared" si="16"/>
        <v>130.70718551116397</v>
      </c>
      <c r="AM21" s="287">
        <f t="shared" si="17"/>
        <v>98.030389133372964</v>
      </c>
      <c r="AN21" s="287">
        <f t="shared" si="18"/>
        <v>38.606661723221585</v>
      </c>
      <c r="AO21" s="287">
        <f t="shared" si="19"/>
        <v>28.954996292416183</v>
      </c>
      <c r="AP21" s="287">
        <f t="shared" si="20"/>
        <v>2029954.0521779503</v>
      </c>
      <c r="AQ21" s="287">
        <f t="shared" si="21"/>
        <v>1522465.5391334626</v>
      </c>
      <c r="AR21" s="287">
        <f t="shared" si="22"/>
        <v>1238352.9154346508</v>
      </c>
      <c r="AS21" s="289" t="e">
        <f>IF(J21='2027 Avoided Costs'!#REF!,3,5)</f>
        <v>#REF!</v>
      </c>
      <c r="AT21" s="290" cm="1">
        <f t="array" ref="AT21">IFERROR(IF($J21="Baseload",IF($O21=1,0,NPV('2027 Avoided Costs'!$D$6,_xlfn._xlws.FILTER('2027 Avoided Costs'!$C$14:$C$47,('2027 Avoided Costs'!$B$14:$B$47&gt;=$B21+1)*('2027 Avoided Costs'!$B$14:$B$47&lt;$B21+ROUND($O21,0)))))+_xlfn.XLOOKUP($B21,'2027 Avoided Costs'!$B$13:$B$47,'2027 Avoided Costs'!$C$13:$C$47),IF($O21=1,0,NPV('2027 Avoided Costs'!$D$6,_xlfn._xlws.FILTER('2027 Avoided Costs'!$E$14:$E$47,('2027 Avoided Costs'!$B$14:$B$47&gt;=$B21+1)*('2027 Avoided Costs'!$B$14:$B$47&lt;$B21+ROUND($O21,0)))))+_xlfn.XLOOKUP($B21,'2027 Avoided Costs'!$B$13:$B$47,'2027 Avoided Costs'!$E$13:$E$47))*IF($AE21&gt;0,$AE21*(1+$W21),0),0)</f>
        <v>4883518.1985894432</v>
      </c>
      <c r="AU21" s="290" cm="1">
        <f t="array" ref="AU21">IFERROR((IF($O21=1,0,NPV('2027 Avoided Costs'!$D$6,_xlfn._xlws.FILTER('2027 Avoided Costs'!$M$14:$M$47,('2027 Avoided Costs'!$B$14:$B$47&gt;=$B21+1)*('2027 Avoided Costs'!$B$14:$B$47&lt;$B21+ROUND($O21,0)))))+_xlfn.XLOOKUP($B21,'2027 Avoided Costs'!$B$13:$B$47,'2027 Avoided Costs'!$M$13:$M$47))*IF($AK21&gt;0,$AK21*(1+$W21),0),0)</f>
        <v>185206.62407530195</v>
      </c>
      <c r="AV21" s="291" cm="1">
        <f t="array" ref="AV21">IFERROR((IF($O21=1,0,NPV('2027 Avoided Costs'!$D$6,_xlfn._xlws.FILTER('2027 Avoided Costs'!$Q$14:$Q$47,('2027 Avoided Costs'!$B$14:$B$47&gt;=$B21+1)*('2027 Avoided Costs'!$B$14:$B$47&lt;$B21+ROUND($O21,0)))))+_xlfn.XLOOKUP($B21,'2027 Avoided Costs'!$B$13:$B$47,'2027 Avoided Costs'!$Q$13:$Q$47))*IF($AI21&gt;0,$AI21*(1+$W21),0),0)</f>
        <v>106501.60048867665</v>
      </c>
      <c r="AW21" s="291" cm="1">
        <f t="array" ref="AW21">IFERROR((IF($O21=1,0,NPV('2027 Avoided Costs'!$D$6,_xlfn._xlws.FILTER('2027 Avoided Costs'!$W$14:$W$47,('2027 Avoided Costs'!$B$14:$B$47&gt;=$B21+1)*('2027 Avoided Costs'!$B$14:$B$47&lt;$B21+ROUND($O21,0)))))+_xlfn.XLOOKUP($B21,'2027 Avoided Costs'!$B$13:$B$47,'2027 Avoided Costs'!$W$13:$W$47))*IF($AM21&gt;0,$AM21*(1+$W21),0),0)</f>
        <v>379918.62252898474</v>
      </c>
      <c r="AX21" s="291" cm="1">
        <f t="array" ref="AX21">IFERROR((IF($O21=1,0,NPV('2027 Avoided Costs'!$D$6,_xlfn._xlws.FILTER('2027 Avoided Costs'!$AC$14:$AC$47,('2027 Avoided Costs'!$B$14:$B$47&gt;=$B21+1)*('2027 Avoided Costs'!$B$14:$B$47&lt;$B21+ROUND($O21,0)))))+_xlfn.XLOOKUP($B21,'2027 Avoided Costs'!$B$13:$B$47,'2027 Avoided Costs'!$AC$13:$AC$47))*IF($AO21&gt;0,$AO21*(1+$W21),0),0)</f>
        <v>7070.0043753778755</v>
      </c>
      <c r="AY21" s="291" cm="1">
        <f t="array" ref="AY21">IFERROR((IF($O21=1,0,NPV('2027 Avoided Costs'!$D$4,_xlfn._xlws.FILTER('2027 Avoided Costs'!$I$14:$I$47,('2027 Avoided Costs'!$B$14:$B$47&gt;=$B21+1)*('2027 Avoided Costs'!$B$14:$B$47&lt;$B21+ROUND($O21,0)))))+_xlfn.XLOOKUP($B21,'2027 Avoided Costs'!$B$13:$B$47,'2027 Avoided Costs'!$I$13:$I$47))*IF($X21="Residential",'2027 Avoided Costs'!$J$5,IF($X21="Large Volume",'2027 Avoided Costs'!$J$7,'2027 Avoided Costs'!$J$6))*IF($AE21&gt;0,$AE21,0),0)</f>
        <v>0</v>
      </c>
      <c r="AZ21" s="291" cm="1">
        <f t="array" ref="AZ21">IFERROR(IF($J21="Baseload",IF($O21=1,0,NPV('2027 Avoided Costs'!$D$6,_xlfn._xlws.FILTER('2027 Avoided Costs'!$C$14:$C$47,('2027 Avoided Costs'!$B$14:$B$47&gt;=$B21+1)*('2027 Avoided Costs'!$B$14:$B$47&lt;$B21+ROUND($O21,0)))))+_xlfn.XLOOKUP($B21,'2027 Avoided Costs'!$B$13:$B$47,'2027 Avoided Costs'!$C$13:$C$47),IF($O21=1,0,NPV('2027 Avoided Costs'!$D$6,_xlfn._xlws.FILTER('2027 Avoided Costs'!$E$14:$E$47,('2027 Avoided Costs'!$B$14:$B$47&gt;=$B21+1)*('2027 Avoided Costs'!$B$14:$B$47&lt;$B21+ROUND($O21,0)))))+_xlfn.XLOOKUP($B21,'2027 Avoided Costs'!$B$13:$B$47,'2027 Avoided Costs'!$E$13:$E$47))*IF($AE21&lt;0,$AE21*(-1),0),0)</f>
        <v>0</v>
      </c>
      <c r="BA21" s="291" cm="1">
        <f t="array" ref="BA21">IFERROR((IF($O21=1,0,NPV('2027 Avoided Costs'!$D$6,_xlfn._xlws.FILTER('2027 Avoided Costs'!$M$14:$M$47,('2027 Avoided Costs'!$B$14:$B$47&gt;=$B21+1)*('2027 Avoided Costs'!$B$14:$B$47&lt;$B21+ROUND($O21,0)))))+_xlfn.XLOOKUP($B21,'2027 Avoided Costs'!$B$13:$B$47,'2027 Avoided Costs'!$M$13:$M$47))*IF($AK21&lt;0,$AK21*(-1),0),0)</f>
        <v>0</v>
      </c>
      <c r="BB21" s="291" cm="1">
        <f t="array" ref="BB21">IFERROR((IF($O21=1,0,NPV('2027 Avoided Costs'!$D$6,_xlfn._xlws.FILTER('2027 Avoided Costs'!$S$14:$S$47,('2027 Avoided Costs'!$B$14:$B$47&gt;=$B21+1)*('2027 Avoided Costs'!$B$14:$B$47&lt;$B21+ROUND($O21,0)))))+_xlfn.XLOOKUP($B21,'2027 Avoided Costs'!$B$13:$B$47,'2027 Avoided Costs'!$S$13:$S$47))*IF($AI21&lt;0,$AI21*(-1),0),0)</f>
        <v>0</v>
      </c>
      <c r="BC21" s="291" cm="1">
        <f t="array" ref="BC21">IFERROR((IF($O21=1,0,NPV('2027 Avoided Costs'!$D$6,_xlfn._xlws.FILTER('2027 Avoided Costs'!$Y$14:$Y$47,('2027 Avoided Costs'!$B$14:$B$47&gt;=$B21+1)*('2027 Avoided Costs'!$B$14:$B$47&lt;$B21+ROUND($O21,0)))))+_xlfn.XLOOKUP($B21,'2027 Avoided Costs'!$B$13:$B$47,'2027 Avoided Costs'!$Y$13:$Y$47))*IF($AM21&lt;0,$AM21*(-1),0),0)</f>
        <v>0</v>
      </c>
      <c r="BD21" s="291" cm="1">
        <f t="array" ref="BD21">IFERROR((IF($O21=1,0,NPV('2027 Avoided Costs'!$D$6,_xlfn._xlws.FILTER('2027 Avoided Costs'!$AE$14:$AE$47,('2027 Avoided Costs'!$B$14:$B$47&gt;=$B21+1)*('2027 Avoided Costs'!$B$14:$B$47&lt;$B21+ROUND($O21,0)))))+_xlfn.XLOOKUP($B21,'2027 Avoided Costs'!$B$13:$B$47,'2027 Avoided Costs'!$AE$13:$AE$47))*IF($AO21&lt;0,$AO21*(-1),0),0)</f>
        <v>0</v>
      </c>
      <c r="BE21" s="291" cm="1">
        <f t="array" ref="BE21">IFERROR((IF($O21=1,0,NPV('2027 Avoided Costs'!$D$4,_xlfn._xlws.FILTER('2027 Avoided Costs'!$I$14:$I$47,('2027 Avoided Costs'!$B$14:$B$47&gt;=$B21+1)*('2027 Avoided Costs'!$B$14:$B$47&lt;$B21+ROUND($O21,0)))))+_xlfn.XLOOKUP($B21,'2027 Avoided Costs'!$B$13:$B$47,'2027 Avoided Costs'!$I$13:$I$47))*IF($X21="Residential",'2027 Avoided Costs'!$J$5,IF($X21="Large Volume",'2027 Avoided Costs'!$J$7,'2027 Avoided Costs'!$J$6))*IF($AE21&lt;0,$AE21*(-1),0),0)</f>
        <v>0</v>
      </c>
      <c r="BF21" s="291">
        <f t="shared" si="23"/>
        <v>5562215.0500577847</v>
      </c>
      <c r="BG21" s="291">
        <f t="shared" si="24"/>
        <v>1522465.5391334626</v>
      </c>
      <c r="BH21" s="291">
        <f t="shared" si="25"/>
        <v>4039749.5109243221</v>
      </c>
      <c r="BI21" s="292">
        <f t="shared" si="29"/>
        <v>3.6534259115143026</v>
      </c>
      <c r="BJ21" s="196" cm="1">
        <f t="array" ref="BJ21">IFERROR(IF($J21="Baseload",IF($O21=1,0,NPV('2027 Avoided Costs'!$D$6,_xlfn._xlws.FILTER('2027 Avoided Costs'!$C$14:$C$47,('2027 Avoided Costs'!$B$14:$B$47&gt;=$B21+1)*('2027 Avoided Costs'!$B$14:$B$47&lt;$B21+ROUND($O21,0)))))+_xlfn.XLOOKUP($B21,'2027 Avoided Costs'!$B$13:$B$47,'2027 Avoided Costs'!$C$13:$C$47),IF($O21=1,0,NPV('2027 Avoided Costs'!$D$6,_xlfn._xlws.FILTER('2027 Avoided Costs'!$E$14:$E$47,('2027 Avoided Costs'!$B$14:$B$47&gt;=$B21+1)*('2027 Avoided Costs'!$B$14:$B$47&lt;$B21+ROUND($O21,0)))))+_xlfn.XLOOKUP($B21,'2027 Avoided Costs'!$B$13:$B$47,'2027 Avoided Costs'!$E$13:$E$47))*IF($AE21&gt;0,$AE21*(1+0),0),0)</f>
        <v>4246537.5639908202</v>
      </c>
      <c r="BK21" s="293">
        <f t="shared" si="26"/>
        <v>3.5369134328580261</v>
      </c>
    </row>
    <row r="22" spans="1:63" s="1" customFormat="1" x14ac:dyDescent="0.25">
      <c r="A22" s="270" t="s">
        <v>133</v>
      </c>
      <c r="B22" s="271">
        <v>2027</v>
      </c>
      <c r="C22" s="272" t="s">
        <v>13</v>
      </c>
      <c r="D22" s="272" t="s">
        <v>9</v>
      </c>
      <c r="E22" s="272" t="s">
        <v>354</v>
      </c>
      <c r="F22" s="273">
        <v>15</v>
      </c>
      <c r="G22" s="274">
        <v>13875.10269394567</v>
      </c>
      <c r="H22" s="275">
        <f t="shared" si="3"/>
        <v>0.65</v>
      </c>
      <c r="I22" s="274">
        <v>250</v>
      </c>
      <c r="J22" s="276" t="s">
        <v>263</v>
      </c>
      <c r="K22" s="277">
        <f t="shared" si="27"/>
        <v>0.75</v>
      </c>
      <c r="L22" s="278">
        <v>0.28000000000000003</v>
      </c>
      <c r="M22" s="278">
        <v>0.03</v>
      </c>
      <c r="N22" s="278">
        <v>0.91</v>
      </c>
      <c r="O22" s="279">
        <v>15</v>
      </c>
      <c r="P22" s="280">
        <v>21346.31183683949</v>
      </c>
      <c r="Q22" s="281">
        <v>2586.7229069767441</v>
      </c>
      <c r="R22" s="282">
        <v>0.29528800307953429</v>
      </c>
      <c r="S22" s="282">
        <v>0.29528800307953795</v>
      </c>
      <c r="T22" s="281">
        <v>222.68578431372549</v>
      </c>
      <c r="U22" s="283">
        <v>1</v>
      </c>
      <c r="V22" s="284">
        <v>23881.812378564122</v>
      </c>
      <c r="W22" s="285">
        <v>0.15</v>
      </c>
      <c r="X22" s="286" t="s">
        <v>255</v>
      </c>
      <c r="Y22" s="287">
        <f t="shared" si="4"/>
        <v>15</v>
      </c>
      <c r="Z22" s="288">
        <f t="shared" si="5"/>
        <v>208126.54040918505</v>
      </c>
      <c r="AA22" s="288">
        <f t="shared" si="6"/>
        <v>3750</v>
      </c>
      <c r="AB22" s="288">
        <f t="shared" si="7"/>
        <v>208126.54040918505</v>
      </c>
      <c r="AC22" s="288">
        <f t="shared" si="28"/>
        <v>3750</v>
      </c>
      <c r="AD22" s="287">
        <f t="shared" si="8"/>
        <v>291377.15657285904</v>
      </c>
      <c r="AE22" s="287">
        <f t="shared" si="9"/>
        <v>218532.86742964428</v>
      </c>
      <c r="AF22" s="287">
        <f t="shared" si="10"/>
        <v>4370657.3485928858</v>
      </c>
      <c r="AG22" s="287">
        <f t="shared" si="11"/>
        <v>3277993.0114446641</v>
      </c>
      <c r="AH22" s="287">
        <f t="shared" si="12"/>
        <v>37850.998953209302</v>
      </c>
      <c r="AI22" s="287">
        <f t="shared" si="13"/>
        <v>28388.24921490698</v>
      </c>
      <c r="AJ22" s="287">
        <f t="shared" si="14"/>
        <v>3039.6609558823534</v>
      </c>
      <c r="AK22" s="287">
        <f t="shared" si="15"/>
        <v>2279.7457169117647</v>
      </c>
      <c r="AL22" s="287">
        <f t="shared" si="16"/>
        <v>4.3208902914622103</v>
      </c>
      <c r="AM22" s="287">
        <f t="shared" si="17"/>
        <v>3.2406677185966575</v>
      </c>
      <c r="AN22" s="287">
        <f t="shared" si="18"/>
        <v>4.3208902914622636</v>
      </c>
      <c r="AO22" s="287">
        <f t="shared" si="19"/>
        <v>3.2406677185966974</v>
      </c>
      <c r="AP22" s="287">
        <f t="shared" si="20"/>
        <v>358227.1856784618</v>
      </c>
      <c r="AQ22" s="287">
        <f t="shared" si="21"/>
        <v>268670.38925884635</v>
      </c>
      <c r="AR22" s="287">
        <f t="shared" si="22"/>
        <v>218532.86742964428</v>
      </c>
      <c r="AS22" s="289" t="e">
        <f>IF(J22='2027 Avoided Costs'!#REF!,3,5)</f>
        <v>#REF!</v>
      </c>
      <c r="AT22" s="290" cm="1">
        <f t="array" ref="AT22">IFERROR(IF($J22="Baseload",IF($O22=1,0,NPV('2027 Avoided Costs'!$D$6,_xlfn._xlws.FILTER('2027 Avoided Costs'!$C$14:$C$47,('2027 Avoided Costs'!$B$14:$B$47&gt;=$B22+1)*('2027 Avoided Costs'!$B$14:$B$47&lt;$B22+ROUND($O22,0)))))+_xlfn.XLOOKUP($B22,'2027 Avoided Costs'!$B$13:$B$47,'2027 Avoided Costs'!$C$13:$C$47),IF($O22=1,0,NPV('2027 Avoided Costs'!$D$6,_xlfn._xlws.FILTER('2027 Avoided Costs'!$E$14:$E$47,('2027 Avoided Costs'!$B$14:$B$47&gt;=$B22+1)*('2027 Avoided Costs'!$B$14:$B$47&lt;$B22+ROUND($O22,0)))))+_xlfn.XLOOKUP($B22,'2027 Avoided Costs'!$B$13:$B$47,'2027 Avoided Costs'!$E$13:$E$47))*IF($AE22&gt;0,$AE22*(1+$W22),0),0)</f>
        <v>763916.97850331373</v>
      </c>
      <c r="AU22" s="290" cm="1">
        <f t="array" ref="AU22">IFERROR((IF($O22=1,0,NPV('2027 Avoided Costs'!$D$6,_xlfn._xlws.FILTER('2027 Avoided Costs'!$M$14:$M$47,('2027 Avoided Costs'!$B$14:$B$47&gt;=$B22+1)*('2027 Avoided Costs'!$B$14:$B$47&lt;$B22+ROUND($O22,0)))))+_xlfn.XLOOKUP($B22,'2027 Avoided Costs'!$B$13:$B$47,'2027 Avoided Costs'!$M$13:$M$47))*IF($AK22&gt;0,$AK22*(1+$W22),0),0)</f>
        <v>32683.521895641523</v>
      </c>
      <c r="AV22" s="291" cm="1">
        <f t="array" ref="AV22">IFERROR((IF($O22=1,0,NPV('2027 Avoided Costs'!$D$6,_xlfn._xlws.FILTER('2027 Avoided Costs'!$Q$14:$Q$47,('2027 Avoided Costs'!$B$14:$B$47&gt;=$B22+1)*('2027 Avoided Costs'!$B$14:$B$47&lt;$B22+ROUND($O22,0)))))+_xlfn.XLOOKUP($B22,'2027 Avoided Costs'!$B$13:$B$47,'2027 Avoided Costs'!$Q$13:$Q$47))*IF($AI22&gt;0,$AI22*(1+$W22),0),0)</f>
        <v>18794.400086237056</v>
      </c>
      <c r="AW22" s="291" cm="1">
        <f t="array" ref="AW22">IFERROR((IF($O22=1,0,NPV('2027 Avoided Costs'!$D$6,_xlfn._xlws.FILTER('2027 Avoided Costs'!$W$14:$W$47,('2027 Avoided Costs'!$B$14:$B$47&gt;=$B22+1)*('2027 Avoided Costs'!$B$14:$B$47&lt;$B22+ROUND($O22,0)))))+_xlfn.XLOOKUP($B22,'2027 Avoided Costs'!$B$13:$B$47,'2027 Avoided Costs'!$W$13:$W$47))*IF($AM22&gt;0,$AM22*(1+$W22),0),0)</f>
        <v>12559.26888190072</v>
      </c>
      <c r="AX22" s="291" cm="1">
        <f t="array" ref="AX22">IFERROR((IF($O22=1,0,NPV('2027 Avoided Costs'!$D$6,_xlfn._xlws.FILTER('2027 Avoided Costs'!$AC$14:$AC$47,('2027 Avoided Costs'!$B$14:$B$47&gt;=$B22+1)*('2027 Avoided Costs'!$B$14:$B$47&lt;$B22+ROUND($O22,0)))))+_xlfn.XLOOKUP($B22,'2027 Avoided Costs'!$B$13:$B$47,'2027 Avoided Costs'!$AC$13:$AC$47))*IF($AO22&gt;0,$AO22*(1+$W22),0),0)</f>
        <v>791.28088010238901</v>
      </c>
      <c r="AY22" s="291" cm="1">
        <f t="array" ref="AY22">IFERROR((IF($O22=1,0,NPV('2027 Avoided Costs'!$D$4,_xlfn._xlws.FILTER('2027 Avoided Costs'!$I$14:$I$47,('2027 Avoided Costs'!$B$14:$B$47&gt;=$B22+1)*('2027 Avoided Costs'!$B$14:$B$47&lt;$B22+ROUND($O22,0)))))+_xlfn.XLOOKUP($B22,'2027 Avoided Costs'!$B$13:$B$47,'2027 Avoided Costs'!$I$13:$I$47))*IF($X22="Residential",'2027 Avoided Costs'!$J$5,IF($X22="Large Volume",'2027 Avoided Costs'!$J$7,'2027 Avoided Costs'!$J$6))*IF($AE22&gt;0,$AE22,0),0)</f>
        <v>0</v>
      </c>
      <c r="AZ22" s="291" cm="1">
        <f t="array" ref="AZ22">IFERROR(IF($J22="Baseload",IF($O22=1,0,NPV('2027 Avoided Costs'!$D$6,_xlfn._xlws.FILTER('2027 Avoided Costs'!$C$14:$C$47,('2027 Avoided Costs'!$B$14:$B$47&gt;=$B22+1)*('2027 Avoided Costs'!$B$14:$B$47&lt;$B22+ROUND($O22,0)))))+_xlfn.XLOOKUP($B22,'2027 Avoided Costs'!$B$13:$B$47,'2027 Avoided Costs'!$C$13:$C$47),IF($O22=1,0,NPV('2027 Avoided Costs'!$D$6,_xlfn._xlws.FILTER('2027 Avoided Costs'!$E$14:$E$47,('2027 Avoided Costs'!$B$14:$B$47&gt;=$B22+1)*('2027 Avoided Costs'!$B$14:$B$47&lt;$B22+ROUND($O22,0)))))+_xlfn.XLOOKUP($B22,'2027 Avoided Costs'!$B$13:$B$47,'2027 Avoided Costs'!$E$13:$E$47))*IF($AE22&lt;0,$AE22*(-1),0),0)</f>
        <v>0</v>
      </c>
      <c r="BA22" s="291" cm="1">
        <f t="array" ref="BA22">IFERROR((IF($O22=1,0,NPV('2027 Avoided Costs'!$D$6,_xlfn._xlws.FILTER('2027 Avoided Costs'!$M$14:$M$47,('2027 Avoided Costs'!$B$14:$B$47&gt;=$B22+1)*('2027 Avoided Costs'!$B$14:$B$47&lt;$B22+ROUND($O22,0)))))+_xlfn.XLOOKUP($B22,'2027 Avoided Costs'!$B$13:$B$47,'2027 Avoided Costs'!$M$13:$M$47))*IF($AK22&lt;0,$AK22*(-1),0),0)</f>
        <v>0</v>
      </c>
      <c r="BB22" s="291" cm="1">
        <f t="array" ref="BB22">IFERROR((IF($O22=1,0,NPV('2027 Avoided Costs'!$D$6,_xlfn._xlws.FILTER('2027 Avoided Costs'!$S$14:$S$47,('2027 Avoided Costs'!$B$14:$B$47&gt;=$B22+1)*('2027 Avoided Costs'!$B$14:$B$47&lt;$B22+ROUND($O22,0)))))+_xlfn.XLOOKUP($B22,'2027 Avoided Costs'!$B$13:$B$47,'2027 Avoided Costs'!$S$13:$S$47))*IF($AI22&lt;0,$AI22*(-1),0),0)</f>
        <v>0</v>
      </c>
      <c r="BC22" s="291" cm="1">
        <f t="array" ref="BC22">IFERROR((IF($O22=1,0,NPV('2027 Avoided Costs'!$D$6,_xlfn._xlws.FILTER('2027 Avoided Costs'!$Y$14:$Y$47,('2027 Avoided Costs'!$B$14:$B$47&gt;=$B22+1)*('2027 Avoided Costs'!$B$14:$B$47&lt;$B22+ROUND($O22,0)))))+_xlfn.XLOOKUP($B22,'2027 Avoided Costs'!$B$13:$B$47,'2027 Avoided Costs'!$Y$13:$Y$47))*IF($AM22&lt;0,$AM22*(-1),0),0)</f>
        <v>0</v>
      </c>
      <c r="BD22" s="291" cm="1">
        <f t="array" ref="BD22">IFERROR((IF($O22=1,0,NPV('2027 Avoided Costs'!$D$6,_xlfn._xlws.FILTER('2027 Avoided Costs'!$AE$14:$AE$47,('2027 Avoided Costs'!$B$14:$B$47&gt;=$B22+1)*('2027 Avoided Costs'!$B$14:$B$47&lt;$B22+ROUND($O22,0)))))+_xlfn.XLOOKUP($B22,'2027 Avoided Costs'!$B$13:$B$47,'2027 Avoided Costs'!$AE$13:$AE$47))*IF($AO22&lt;0,$AO22*(-1),0),0)</f>
        <v>0</v>
      </c>
      <c r="BE22" s="291" cm="1">
        <f t="array" ref="BE22">IFERROR((IF($O22=1,0,NPV('2027 Avoided Costs'!$D$4,_xlfn._xlws.FILTER('2027 Avoided Costs'!$I$14:$I$47,('2027 Avoided Costs'!$B$14:$B$47&gt;=$B22+1)*('2027 Avoided Costs'!$B$14:$B$47&lt;$B22+ROUND($O22,0)))))+_xlfn.XLOOKUP($B22,'2027 Avoided Costs'!$B$13:$B$47,'2027 Avoided Costs'!$I$13:$I$47))*IF($X22="Residential",'2027 Avoided Costs'!$J$5,IF($X22="Large Volume",'2027 Avoided Costs'!$J$7,'2027 Avoided Costs'!$J$6))*IF($AE22&lt;0,$AE22*(-1),0),0)</f>
        <v>0</v>
      </c>
      <c r="BF22" s="291">
        <f t="shared" si="23"/>
        <v>828745.45024719543</v>
      </c>
      <c r="BG22" s="291">
        <f t="shared" si="24"/>
        <v>268670.38925884635</v>
      </c>
      <c r="BH22" s="291">
        <f t="shared" si="25"/>
        <v>560075.06098834914</v>
      </c>
      <c r="BI22" s="292">
        <f t="shared" si="29"/>
        <v>3.084617744937844</v>
      </c>
      <c r="BJ22" s="196" cm="1">
        <f t="array" ref="BJ22">IFERROR(IF($J22="Baseload",IF($O22=1,0,NPV('2027 Avoided Costs'!$D$6,_xlfn._xlws.FILTER('2027 Avoided Costs'!$C$14:$C$47,('2027 Avoided Costs'!$B$14:$B$47&gt;=$B22+1)*('2027 Avoided Costs'!$B$14:$B$47&lt;$B22+ROUND($O22,0)))))+_xlfn.XLOOKUP($B22,'2027 Avoided Costs'!$B$13:$B$47,'2027 Avoided Costs'!$C$13:$C$47),IF($O22=1,0,NPV('2027 Avoided Costs'!$D$6,_xlfn._xlws.FILTER('2027 Avoided Costs'!$E$14:$E$47,('2027 Avoided Costs'!$B$14:$B$47&gt;=$B22+1)*('2027 Avoided Costs'!$B$14:$B$47&lt;$B22+ROUND($O22,0)))))+_xlfn.XLOOKUP($B22,'2027 Avoided Costs'!$B$13:$B$47,'2027 Avoided Costs'!$E$13:$E$47))*IF($AE22&gt;0,$AE22*(1+0),0),0)</f>
        <v>664275.63348114246</v>
      </c>
      <c r="BK22" s="293">
        <f t="shared" si="26"/>
        <v>3.1352014347518837</v>
      </c>
    </row>
    <row r="23" spans="1:63" s="1" customFormat="1" x14ac:dyDescent="0.25">
      <c r="A23" s="270" t="s">
        <v>133</v>
      </c>
      <c r="B23" s="271">
        <v>2027</v>
      </c>
      <c r="C23" s="272" t="s">
        <v>13</v>
      </c>
      <c r="D23" s="272" t="s">
        <v>9</v>
      </c>
      <c r="E23" s="272" t="s">
        <v>296</v>
      </c>
      <c r="F23" s="273">
        <v>2</v>
      </c>
      <c r="G23" s="274">
        <v>63118.074825742835</v>
      </c>
      <c r="H23" s="275">
        <f t="shared" si="3"/>
        <v>0.65</v>
      </c>
      <c r="I23" s="274">
        <v>250</v>
      </c>
      <c r="J23" s="276" t="s">
        <v>264</v>
      </c>
      <c r="K23" s="277">
        <f t="shared" si="27"/>
        <v>0.75</v>
      </c>
      <c r="L23" s="278">
        <v>0.28000000000000003</v>
      </c>
      <c r="M23" s="278">
        <v>0.03</v>
      </c>
      <c r="N23" s="278">
        <v>0.91</v>
      </c>
      <c r="O23" s="279">
        <v>15</v>
      </c>
      <c r="P23" s="280">
        <v>97104.730501142825</v>
      </c>
      <c r="Q23" s="281">
        <v>-127745.62000000001</v>
      </c>
      <c r="R23" s="282">
        <v>-42.5</v>
      </c>
      <c r="S23" s="282">
        <v>-75</v>
      </c>
      <c r="T23" s="281">
        <v>0</v>
      </c>
      <c r="U23" s="283">
        <v>1</v>
      </c>
      <c r="V23" s="284">
        <v>148461</v>
      </c>
      <c r="W23" s="285">
        <v>0.15</v>
      </c>
      <c r="X23" s="286" t="s">
        <v>255</v>
      </c>
      <c r="Y23" s="287">
        <f t="shared" si="4"/>
        <v>2</v>
      </c>
      <c r="Z23" s="288">
        <f t="shared" si="5"/>
        <v>126236.14965148567</v>
      </c>
      <c r="AA23" s="288">
        <f t="shared" si="6"/>
        <v>500</v>
      </c>
      <c r="AB23" s="288">
        <f t="shared" si="7"/>
        <v>126236.14965148567</v>
      </c>
      <c r="AC23" s="288">
        <f t="shared" si="28"/>
        <v>500</v>
      </c>
      <c r="AD23" s="287">
        <f t="shared" si="8"/>
        <v>176730.60951207994</v>
      </c>
      <c r="AE23" s="287">
        <f t="shared" si="9"/>
        <v>132547.95713405995</v>
      </c>
      <c r="AF23" s="287">
        <f t="shared" si="10"/>
        <v>2650959.1426811991</v>
      </c>
      <c r="AG23" s="287">
        <f t="shared" si="11"/>
        <v>1988219.3570108993</v>
      </c>
      <c r="AH23" s="287">
        <f t="shared" si="12"/>
        <v>-249236.81444480005</v>
      </c>
      <c r="AI23" s="287">
        <f t="shared" si="13"/>
        <v>-186927.61083360005</v>
      </c>
      <c r="AJ23" s="287">
        <f t="shared" si="14"/>
        <v>0</v>
      </c>
      <c r="AK23" s="287">
        <f t="shared" si="15"/>
        <v>0</v>
      </c>
      <c r="AL23" s="287">
        <f t="shared" si="16"/>
        <v>-82.919200000000018</v>
      </c>
      <c r="AM23" s="287">
        <f t="shared" si="17"/>
        <v>-62.189400000000006</v>
      </c>
      <c r="AN23" s="287">
        <f t="shared" si="18"/>
        <v>-146.328</v>
      </c>
      <c r="AO23" s="287">
        <f t="shared" si="19"/>
        <v>-109.74600000000001</v>
      </c>
      <c r="AP23" s="287">
        <f t="shared" si="20"/>
        <v>296922</v>
      </c>
      <c r="AQ23" s="287">
        <f t="shared" si="21"/>
        <v>222691.5</v>
      </c>
      <c r="AR23" s="287">
        <f t="shared" si="22"/>
        <v>132547.95713405995</v>
      </c>
      <c r="AS23" s="289" t="e">
        <f>IF(J23='2027 Avoided Costs'!#REF!,3,5)</f>
        <v>#REF!</v>
      </c>
      <c r="AT23" s="290" cm="1">
        <f t="array" ref="AT23">IFERROR(IF($J23="Baseload",IF($O23=1,0,NPV('2027 Avoided Costs'!$D$6,_xlfn._xlws.FILTER('2027 Avoided Costs'!$C$14:$C$47,('2027 Avoided Costs'!$B$14:$B$47&gt;=$B23+1)*('2027 Avoided Costs'!$B$14:$B$47&lt;$B23+ROUND($O23,0)))))+_xlfn.XLOOKUP($B23,'2027 Avoided Costs'!$B$13:$B$47,'2027 Avoided Costs'!$C$13:$C$47),IF($O23=1,0,NPV('2027 Avoided Costs'!$D$6,_xlfn._xlws.FILTER('2027 Avoided Costs'!$E$14:$E$47,('2027 Avoided Costs'!$B$14:$B$47&gt;=$B23+1)*('2027 Avoided Costs'!$B$14:$B$47&lt;$B23+ROUND($O23,0)))))+_xlfn.XLOOKUP($B23,'2027 Avoided Costs'!$B$13:$B$47,'2027 Avoided Costs'!$E$13:$E$47))*IF($AE23&gt;0,$AE23*(1+$W23),0),0)</f>
        <v>522710.73357374739</v>
      </c>
      <c r="AU23" s="290" cm="1">
        <f t="array" ref="AU23">IFERROR((IF($O23=1,0,NPV('2027 Avoided Costs'!$D$6,_xlfn._xlws.FILTER('2027 Avoided Costs'!$M$14:$M$47,('2027 Avoided Costs'!$B$14:$B$47&gt;=$B23+1)*('2027 Avoided Costs'!$B$14:$B$47&lt;$B23+ROUND($O23,0)))))+_xlfn.XLOOKUP($B23,'2027 Avoided Costs'!$B$13:$B$47,'2027 Avoided Costs'!$M$13:$M$47))*IF($AK23&gt;0,$AK23*(1+$W23),0),0)</f>
        <v>0</v>
      </c>
      <c r="AV23" s="291" cm="1">
        <f t="array" ref="AV23">IFERROR((IF($O23=1,0,NPV('2027 Avoided Costs'!$D$6,_xlfn._xlws.FILTER('2027 Avoided Costs'!$Q$14:$Q$47,('2027 Avoided Costs'!$B$14:$B$47&gt;=$B23+1)*('2027 Avoided Costs'!$B$14:$B$47&lt;$B23+ROUND($O23,0)))))+_xlfn.XLOOKUP($B23,'2027 Avoided Costs'!$B$13:$B$47,'2027 Avoided Costs'!$Q$13:$Q$47))*IF($AI23&gt;0,$AI23*(1+$W23),0),0)</f>
        <v>0</v>
      </c>
      <c r="AW23" s="291" cm="1">
        <f t="array" ref="AW23">IFERROR((IF($O23=1,0,NPV('2027 Avoided Costs'!$D$6,_xlfn._xlws.FILTER('2027 Avoided Costs'!$W$14:$W$47,('2027 Avoided Costs'!$B$14:$B$47&gt;=$B23+1)*('2027 Avoided Costs'!$B$14:$B$47&lt;$B23+ROUND($O23,0)))))+_xlfn.XLOOKUP($B23,'2027 Avoided Costs'!$B$13:$B$47,'2027 Avoided Costs'!$W$13:$W$47))*IF($AM23&gt;0,$AM23*(1+$W23),0),0)</f>
        <v>0</v>
      </c>
      <c r="AX23" s="291" cm="1">
        <f t="array" ref="AX23">IFERROR((IF($O23=1,0,NPV('2027 Avoided Costs'!$D$6,_xlfn._xlws.FILTER('2027 Avoided Costs'!$AC$14:$AC$47,('2027 Avoided Costs'!$B$14:$B$47&gt;=$B23+1)*('2027 Avoided Costs'!$B$14:$B$47&lt;$B23+ROUND($O23,0)))))+_xlfn.XLOOKUP($B23,'2027 Avoided Costs'!$B$13:$B$47,'2027 Avoided Costs'!$AC$13:$AC$47))*IF($AO23&gt;0,$AO23*(1+$W23),0),0)</f>
        <v>0</v>
      </c>
      <c r="AY23" s="291" cm="1">
        <f t="array" ref="AY23">IFERROR((IF($O23=1,0,NPV('2027 Avoided Costs'!$D$4,_xlfn._xlws.FILTER('2027 Avoided Costs'!$I$14:$I$47,('2027 Avoided Costs'!$B$14:$B$47&gt;=$B23+1)*('2027 Avoided Costs'!$B$14:$B$47&lt;$B23+ROUND($O23,0)))))+_xlfn.XLOOKUP($B23,'2027 Avoided Costs'!$B$13:$B$47,'2027 Avoided Costs'!$I$13:$I$47))*IF($X23="Residential",'2027 Avoided Costs'!$J$5,IF($X23="Large Volume",'2027 Avoided Costs'!$J$7,'2027 Avoided Costs'!$J$6))*IF($AE23&gt;0,$AE23,0),0)</f>
        <v>0</v>
      </c>
      <c r="AZ23" s="291" cm="1">
        <f t="array" ref="AZ23">IFERROR(IF($J23="Baseload",IF($O23=1,0,NPV('2027 Avoided Costs'!$D$6,_xlfn._xlws.FILTER('2027 Avoided Costs'!$C$14:$C$47,('2027 Avoided Costs'!$B$14:$B$47&gt;=$B23+1)*('2027 Avoided Costs'!$B$14:$B$47&lt;$B23+ROUND($O23,0)))))+_xlfn.XLOOKUP($B23,'2027 Avoided Costs'!$B$13:$B$47,'2027 Avoided Costs'!$C$13:$C$47),IF($O23=1,0,NPV('2027 Avoided Costs'!$D$6,_xlfn._xlws.FILTER('2027 Avoided Costs'!$E$14:$E$47,('2027 Avoided Costs'!$B$14:$B$47&gt;=$B23+1)*('2027 Avoided Costs'!$B$14:$B$47&lt;$B23+ROUND($O23,0)))))+_xlfn.XLOOKUP($B23,'2027 Avoided Costs'!$B$13:$B$47,'2027 Avoided Costs'!$E$13:$E$47))*IF($AE23&lt;0,$AE23*(-1),0),0)</f>
        <v>0</v>
      </c>
      <c r="BA23" s="291" cm="1">
        <f t="array" ref="BA23">IFERROR((IF($O23=1,0,NPV('2027 Avoided Costs'!$D$6,_xlfn._xlws.FILTER('2027 Avoided Costs'!$M$14:$M$47,('2027 Avoided Costs'!$B$14:$B$47&gt;=$B23+1)*('2027 Avoided Costs'!$B$14:$B$47&lt;$B23+ROUND($O23,0)))))+_xlfn.XLOOKUP($B23,'2027 Avoided Costs'!$B$13:$B$47,'2027 Avoided Costs'!$M$13:$M$47))*IF($AK23&lt;0,$AK23*(-1),0),0)</f>
        <v>0</v>
      </c>
      <c r="BB23" s="291" cm="1">
        <f t="array" ref="BB23">IFERROR((IF($O23=1,0,NPV('2027 Avoided Costs'!$D$6,_xlfn._xlws.FILTER('2027 Avoided Costs'!$S$14:$S$47,('2027 Avoided Costs'!$B$14:$B$47&gt;=$B23+1)*('2027 Avoided Costs'!$B$14:$B$47&lt;$B23+ROUND($O23,0)))))+_xlfn.XLOOKUP($B23,'2027 Avoided Costs'!$B$13:$B$47,'2027 Avoided Costs'!$S$13:$S$47))*IF($AI23&lt;0,$AI23*(-1),0),0)</f>
        <v>107613.18204080642</v>
      </c>
      <c r="BC23" s="291" cm="1">
        <f t="array" ref="BC23">IFERROR((IF($O23=1,0,NPV('2027 Avoided Costs'!$D$6,_xlfn._xlws.FILTER('2027 Avoided Costs'!$Y$14:$Y$47,('2027 Avoided Costs'!$B$14:$B$47&gt;=$B23+1)*('2027 Avoided Costs'!$B$14:$B$47&lt;$B23+ROUND($O23,0)))))+_xlfn.XLOOKUP($B23,'2027 Avoided Costs'!$B$13:$B$47,'2027 Avoided Costs'!$Y$13:$Y$47))*IF($AM23&lt;0,$AM23*(-1),0),0)</f>
        <v>209579.29823133058</v>
      </c>
      <c r="BD23" s="291" cm="1">
        <f t="array" ref="BD23">IFERROR((IF($O23=1,0,NPV('2027 Avoided Costs'!$D$6,_xlfn._xlws.FILTER('2027 Avoided Costs'!$AE$14:$AE$47,('2027 Avoided Costs'!$B$14:$B$47&gt;=$B23+1)*('2027 Avoided Costs'!$B$14:$B$47&lt;$B23+ROUND($O23,0)))))+_xlfn.XLOOKUP($B23,'2027 Avoided Costs'!$B$13:$B$47,'2027 Avoided Costs'!$AE$13:$AE$47))*IF($AO23&lt;0,$AO23*(-1),0),0)</f>
        <v>23301.668992576033</v>
      </c>
      <c r="BE23" s="291" cm="1">
        <f t="array" ref="BE23">IFERROR((IF($O23=1,0,NPV('2027 Avoided Costs'!$D$4,_xlfn._xlws.FILTER('2027 Avoided Costs'!$I$14:$I$47,('2027 Avoided Costs'!$B$14:$B$47&gt;=$B23+1)*('2027 Avoided Costs'!$B$14:$B$47&lt;$B23+ROUND($O23,0)))))+_xlfn.XLOOKUP($B23,'2027 Avoided Costs'!$B$13:$B$47,'2027 Avoided Costs'!$I$13:$I$47))*IF($X23="Residential",'2027 Avoided Costs'!$J$5,IF($X23="Large Volume",'2027 Avoided Costs'!$J$7,'2027 Avoided Costs'!$J$6))*IF($AE23&lt;0,$AE23*(-1),0),0)</f>
        <v>0</v>
      </c>
      <c r="BF23" s="291">
        <f t="shared" si="23"/>
        <v>522710.73357374739</v>
      </c>
      <c r="BG23" s="291">
        <f t="shared" si="24"/>
        <v>563185.64926471305</v>
      </c>
      <c r="BH23" s="291">
        <f t="shared" si="25"/>
        <v>-40474.915690965659</v>
      </c>
      <c r="BI23" s="292">
        <f t="shared" si="29"/>
        <v>0.92813219629475796</v>
      </c>
      <c r="BJ23" s="196" cm="1">
        <f t="array" ref="BJ23">IFERROR(IF($J23="Baseload",IF($O23=1,0,NPV('2027 Avoided Costs'!$D$6,_xlfn._xlws.FILTER('2027 Avoided Costs'!$C$14:$C$47,('2027 Avoided Costs'!$B$14:$B$47&gt;=$B23+1)*('2027 Avoided Costs'!$B$14:$B$47&lt;$B23+ROUND($O23,0)))))+_xlfn.XLOOKUP($B23,'2027 Avoided Costs'!$B$13:$B$47,'2027 Avoided Costs'!$C$13:$C$47),IF($O23=1,0,NPV('2027 Avoided Costs'!$D$6,_xlfn._xlws.FILTER('2027 Avoided Costs'!$E$14:$E$47,('2027 Avoided Costs'!$B$14:$B$47&gt;=$B23+1)*('2027 Avoided Costs'!$B$14:$B$47&lt;$B23+ROUND($O23,0)))))+_xlfn.XLOOKUP($B23,'2027 Avoided Costs'!$B$13:$B$47,'2027 Avoided Costs'!$E$13:$E$47))*IF($AE23&gt;0,$AE23*(1+0),0),0)</f>
        <v>454531.07267282391</v>
      </c>
      <c r="BK23" s="293">
        <f t="shared" si="26"/>
        <v>3.5864358663471174</v>
      </c>
    </row>
    <row r="24" spans="1:63" s="1" customFormat="1" x14ac:dyDescent="0.25">
      <c r="A24" s="270" t="s">
        <v>133</v>
      </c>
      <c r="B24" s="271">
        <v>2027</v>
      </c>
      <c r="C24" s="272" t="s">
        <v>13</v>
      </c>
      <c r="D24" s="272" t="s">
        <v>9</v>
      </c>
      <c r="E24" s="272" t="s">
        <v>297</v>
      </c>
      <c r="F24" s="273">
        <v>112</v>
      </c>
      <c r="G24" s="274">
        <v>4450.2616422850706</v>
      </c>
      <c r="H24" s="275">
        <f t="shared" si="3"/>
        <v>0.96502300196168733</v>
      </c>
      <c r="I24" s="274">
        <v>250</v>
      </c>
      <c r="J24" s="276" t="s">
        <v>264</v>
      </c>
      <c r="K24" s="277">
        <f t="shared" si="27"/>
        <v>0.75</v>
      </c>
      <c r="L24" s="278">
        <v>0.28000000000000003</v>
      </c>
      <c r="M24" s="278">
        <v>0.03</v>
      </c>
      <c r="N24" s="278">
        <v>0.91</v>
      </c>
      <c r="O24" s="279">
        <v>15</v>
      </c>
      <c r="P24" s="280">
        <v>4611.5601734245001</v>
      </c>
      <c r="Q24" s="281">
        <v>1028.9365333333335</v>
      </c>
      <c r="R24" s="282">
        <v>0.62702237439213215</v>
      </c>
      <c r="S24" s="282">
        <v>0.18520206526044927</v>
      </c>
      <c r="T24" s="281">
        <v>0</v>
      </c>
      <c r="U24" s="283">
        <v>0</v>
      </c>
      <c r="V24" s="284">
        <v>14687.528949575606</v>
      </c>
      <c r="W24" s="285">
        <v>0.15</v>
      </c>
      <c r="X24" s="286" t="s">
        <v>255</v>
      </c>
      <c r="Y24" s="287">
        <f t="shared" si="4"/>
        <v>112</v>
      </c>
      <c r="Z24" s="288">
        <f t="shared" si="5"/>
        <v>498429.30393592792</v>
      </c>
      <c r="AA24" s="288">
        <f t="shared" si="6"/>
        <v>28000</v>
      </c>
      <c r="AB24" s="288">
        <f t="shared" si="7"/>
        <v>498429.30393592792</v>
      </c>
      <c r="AC24" s="288">
        <f t="shared" si="28"/>
        <v>28000</v>
      </c>
      <c r="AD24" s="287">
        <f t="shared" si="8"/>
        <v>470010.21287542506</v>
      </c>
      <c r="AE24" s="287">
        <f t="shared" si="9"/>
        <v>352507.65965656878</v>
      </c>
      <c r="AF24" s="287">
        <f t="shared" si="10"/>
        <v>7050153.1931313761</v>
      </c>
      <c r="AG24" s="287">
        <f t="shared" si="11"/>
        <v>5287614.894848532</v>
      </c>
      <c r="AH24" s="287">
        <f t="shared" si="12"/>
        <v>112419.79470370137</v>
      </c>
      <c r="AI24" s="287">
        <f t="shared" si="13"/>
        <v>84314.846027776017</v>
      </c>
      <c r="AJ24" s="287">
        <f t="shared" si="14"/>
        <v>0</v>
      </c>
      <c r="AK24" s="287">
        <f t="shared" si="15"/>
        <v>0</v>
      </c>
      <c r="AL24" s="287">
        <f t="shared" si="16"/>
        <v>68.507361066705442</v>
      </c>
      <c r="AM24" s="287">
        <f t="shared" si="17"/>
        <v>51.380520800029068</v>
      </c>
      <c r="AN24" s="287">
        <f t="shared" si="18"/>
        <v>20.234851694721829</v>
      </c>
      <c r="AO24" s="287">
        <f t="shared" si="19"/>
        <v>15.176138771041373</v>
      </c>
      <c r="AP24" s="287">
        <f t="shared" si="20"/>
        <v>1645003.242352468</v>
      </c>
      <c r="AQ24" s="287">
        <f t="shared" si="21"/>
        <v>1233752.431764351</v>
      </c>
      <c r="AR24" s="287">
        <f t="shared" si="22"/>
        <v>0</v>
      </c>
      <c r="AS24" s="289" t="e">
        <f>IF(J24='2027 Avoided Costs'!#REF!,3,5)</f>
        <v>#REF!</v>
      </c>
      <c r="AT24" s="290" cm="1">
        <f t="array" ref="AT24">IFERROR(IF($J24="Baseload",IF($O24=1,0,NPV('2027 Avoided Costs'!$D$6,_xlfn._xlws.FILTER('2027 Avoided Costs'!$C$14:$C$47,('2027 Avoided Costs'!$B$14:$B$47&gt;=$B24+1)*('2027 Avoided Costs'!$B$14:$B$47&lt;$B24+ROUND($O24,0)))))+_xlfn.XLOOKUP($B24,'2027 Avoided Costs'!$B$13:$B$47,'2027 Avoided Costs'!$C$13:$C$47),IF($O24=1,0,NPV('2027 Avoided Costs'!$D$6,_xlfn._xlws.FILTER('2027 Avoided Costs'!$E$14:$E$47,('2027 Avoided Costs'!$B$14:$B$47&gt;=$B24+1)*('2027 Avoided Costs'!$B$14:$B$47&lt;$B24+ROUND($O24,0)))))+_xlfn.XLOOKUP($B24,'2027 Avoided Costs'!$B$13:$B$47,'2027 Avoided Costs'!$E$13:$E$47))*IF($AE24&gt;0,$AE24*(1+$W24),0),0)</f>
        <v>1390134.8715852976</v>
      </c>
      <c r="AU24" s="290" cm="1">
        <f t="array" ref="AU24">IFERROR((IF($O24=1,0,NPV('2027 Avoided Costs'!$D$6,_xlfn._xlws.FILTER('2027 Avoided Costs'!$M$14:$M$47,('2027 Avoided Costs'!$B$14:$B$47&gt;=$B24+1)*('2027 Avoided Costs'!$B$14:$B$47&lt;$B24+ROUND($O24,0)))))+_xlfn.XLOOKUP($B24,'2027 Avoided Costs'!$B$13:$B$47,'2027 Avoided Costs'!$M$13:$M$47))*IF($AK24&gt;0,$AK24*(1+$W24),0),0)</f>
        <v>0</v>
      </c>
      <c r="AV24" s="291" cm="1">
        <f t="array" ref="AV24">IFERROR((IF($O24=1,0,NPV('2027 Avoided Costs'!$D$6,_xlfn._xlws.FILTER('2027 Avoided Costs'!$Q$14:$Q$47,('2027 Avoided Costs'!$B$14:$B$47&gt;=$B24+1)*('2027 Avoided Costs'!$B$14:$B$47&lt;$B24+ROUND($O24,0)))))+_xlfn.XLOOKUP($B24,'2027 Avoided Costs'!$B$13:$B$47,'2027 Avoided Costs'!$Q$13:$Q$47))*IF($AI24&gt;0,$AI24*(1+$W24),0),0)</f>
        <v>55820.52409992872</v>
      </c>
      <c r="AW24" s="291" cm="1">
        <f t="array" ref="AW24">IFERROR((IF($O24=1,0,NPV('2027 Avoided Costs'!$D$6,_xlfn._xlws.FILTER('2027 Avoided Costs'!$W$14:$W$47,('2027 Avoided Costs'!$B$14:$B$47&gt;=$B24+1)*('2027 Avoided Costs'!$B$14:$B$47&lt;$B24+ROUND($O24,0)))))+_xlfn.XLOOKUP($B24,'2027 Avoided Costs'!$B$13:$B$47,'2027 Avoided Costs'!$W$13:$W$47))*IF($AM24&gt;0,$AM24*(1+$W24),0),0)</f>
        <v>199126.17770608707</v>
      </c>
      <c r="AX24" s="291" cm="1">
        <f t="array" ref="AX24">IFERROR((IF($O24=1,0,NPV('2027 Avoided Costs'!$D$6,_xlfn._xlws.FILTER('2027 Avoided Costs'!$AC$14:$AC$47,('2027 Avoided Costs'!$B$14:$B$47&gt;=$B24+1)*('2027 Avoided Costs'!$B$14:$B$47&lt;$B24+ROUND($O24,0)))))+_xlfn.XLOOKUP($B24,'2027 Avoided Costs'!$B$13:$B$47,'2027 Avoided Costs'!$AC$13:$AC$47))*IF($AO24&gt;0,$AO24*(1+$W24),0),0)</f>
        <v>3705.5907874768695</v>
      </c>
      <c r="AY24" s="291" cm="1">
        <f t="array" ref="AY24">IFERROR((IF($O24=1,0,NPV('2027 Avoided Costs'!$D$4,_xlfn._xlws.FILTER('2027 Avoided Costs'!$I$14:$I$47,('2027 Avoided Costs'!$B$14:$B$47&gt;=$B24+1)*('2027 Avoided Costs'!$B$14:$B$47&lt;$B24+ROUND($O24,0)))))+_xlfn.XLOOKUP($B24,'2027 Avoided Costs'!$B$13:$B$47,'2027 Avoided Costs'!$I$13:$I$47))*IF($X24="Residential",'2027 Avoided Costs'!$J$5,IF($X24="Large Volume",'2027 Avoided Costs'!$J$7,'2027 Avoided Costs'!$J$6))*IF($AE24&gt;0,$AE24,0),0)</f>
        <v>0</v>
      </c>
      <c r="AZ24" s="291" cm="1">
        <f t="array" ref="AZ24">IFERROR(IF($J24="Baseload",IF($O24=1,0,NPV('2027 Avoided Costs'!$D$6,_xlfn._xlws.FILTER('2027 Avoided Costs'!$C$14:$C$47,('2027 Avoided Costs'!$B$14:$B$47&gt;=$B24+1)*('2027 Avoided Costs'!$B$14:$B$47&lt;$B24+ROUND($O24,0)))))+_xlfn.XLOOKUP($B24,'2027 Avoided Costs'!$B$13:$B$47,'2027 Avoided Costs'!$C$13:$C$47),IF($O24=1,0,NPV('2027 Avoided Costs'!$D$6,_xlfn._xlws.FILTER('2027 Avoided Costs'!$E$14:$E$47,('2027 Avoided Costs'!$B$14:$B$47&gt;=$B24+1)*('2027 Avoided Costs'!$B$14:$B$47&lt;$B24+ROUND($O24,0)))))+_xlfn.XLOOKUP($B24,'2027 Avoided Costs'!$B$13:$B$47,'2027 Avoided Costs'!$E$13:$E$47))*IF($AE24&lt;0,$AE24*(-1),0),0)</f>
        <v>0</v>
      </c>
      <c r="BA24" s="291" cm="1">
        <f t="array" ref="BA24">IFERROR((IF($O24=1,0,NPV('2027 Avoided Costs'!$D$6,_xlfn._xlws.FILTER('2027 Avoided Costs'!$M$14:$M$47,('2027 Avoided Costs'!$B$14:$B$47&gt;=$B24+1)*('2027 Avoided Costs'!$B$14:$B$47&lt;$B24+ROUND($O24,0)))))+_xlfn.XLOOKUP($B24,'2027 Avoided Costs'!$B$13:$B$47,'2027 Avoided Costs'!$M$13:$M$47))*IF($AK24&lt;0,$AK24*(-1),0),0)</f>
        <v>0</v>
      </c>
      <c r="BB24" s="291" cm="1">
        <f t="array" ref="BB24">IFERROR((IF($O24=1,0,NPV('2027 Avoided Costs'!$D$6,_xlfn._xlws.FILTER('2027 Avoided Costs'!$S$14:$S$47,('2027 Avoided Costs'!$B$14:$B$47&gt;=$B24+1)*('2027 Avoided Costs'!$B$14:$B$47&lt;$B24+ROUND($O24,0)))))+_xlfn.XLOOKUP($B24,'2027 Avoided Costs'!$B$13:$B$47,'2027 Avoided Costs'!$S$13:$S$47))*IF($AI24&lt;0,$AI24*(-1),0),0)</f>
        <v>0</v>
      </c>
      <c r="BC24" s="291" cm="1">
        <f t="array" ref="BC24">IFERROR((IF($O24=1,0,NPV('2027 Avoided Costs'!$D$6,_xlfn._xlws.FILTER('2027 Avoided Costs'!$Y$14:$Y$47,('2027 Avoided Costs'!$B$14:$B$47&gt;=$B24+1)*('2027 Avoided Costs'!$B$14:$B$47&lt;$B24+ROUND($O24,0)))))+_xlfn.XLOOKUP($B24,'2027 Avoided Costs'!$B$13:$B$47,'2027 Avoided Costs'!$Y$13:$Y$47))*IF($AM24&lt;0,$AM24*(-1),0),0)</f>
        <v>0</v>
      </c>
      <c r="BD24" s="291" cm="1">
        <f t="array" ref="BD24">IFERROR((IF($O24=1,0,NPV('2027 Avoided Costs'!$D$6,_xlfn._xlws.FILTER('2027 Avoided Costs'!$AE$14:$AE$47,('2027 Avoided Costs'!$B$14:$B$47&gt;=$B24+1)*('2027 Avoided Costs'!$B$14:$B$47&lt;$B24+ROUND($O24,0)))))+_xlfn.XLOOKUP($B24,'2027 Avoided Costs'!$B$13:$B$47,'2027 Avoided Costs'!$AE$13:$AE$47))*IF($AO24&lt;0,$AO24*(-1),0),0)</f>
        <v>0</v>
      </c>
      <c r="BE24" s="291" cm="1">
        <f t="array" ref="BE24">IFERROR((IF($O24=1,0,NPV('2027 Avoided Costs'!$D$4,_xlfn._xlws.FILTER('2027 Avoided Costs'!$I$14:$I$47,('2027 Avoided Costs'!$B$14:$B$47&gt;=$B24+1)*('2027 Avoided Costs'!$B$14:$B$47&lt;$B24+ROUND($O24,0)))))+_xlfn.XLOOKUP($B24,'2027 Avoided Costs'!$B$13:$B$47,'2027 Avoided Costs'!$I$13:$I$47))*IF($X24="Residential",'2027 Avoided Costs'!$J$5,IF($X24="Large Volume",'2027 Avoided Costs'!$J$7,'2027 Avoided Costs'!$J$6))*IF($AE24&lt;0,$AE24*(-1),0),0)</f>
        <v>0</v>
      </c>
      <c r="BF24" s="291">
        <f t="shared" si="23"/>
        <v>1648787.1641787903</v>
      </c>
      <c r="BG24" s="291">
        <f t="shared" si="24"/>
        <v>1233752.431764351</v>
      </c>
      <c r="BH24" s="291">
        <f t="shared" si="25"/>
        <v>415034.73241443932</v>
      </c>
      <c r="BI24" s="292">
        <f t="shared" si="29"/>
        <v>1.3364003358606646</v>
      </c>
      <c r="BJ24" s="196" cm="1">
        <f t="array" ref="BJ24">IFERROR(IF($J24="Baseload",IF($O24=1,0,NPV('2027 Avoided Costs'!$D$6,_xlfn._xlws.FILTER('2027 Avoided Costs'!$C$14:$C$47,('2027 Avoided Costs'!$B$14:$B$47&gt;=$B24+1)*('2027 Avoided Costs'!$B$14:$B$47&lt;$B24+ROUND($O24,0)))))+_xlfn.XLOOKUP($B24,'2027 Avoided Costs'!$B$13:$B$47,'2027 Avoided Costs'!$C$13:$C$47),IF($O24=1,0,NPV('2027 Avoided Costs'!$D$6,_xlfn._xlws.FILTER('2027 Avoided Costs'!$E$14:$E$47,('2027 Avoided Costs'!$B$14:$B$47&gt;=$B24+1)*('2027 Avoided Costs'!$B$14:$B$47&lt;$B24+ROUND($O24,0)))))+_xlfn.XLOOKUP($B24,'2027 Avoided Costs'!$B$13:$B$47,'2027 Avoided Costs'!$E$13:$E$47))*IF($AE24&gt;0,$AE24*(1+0),0),0)</f>
        <v>1208812.9318133024</v>
      </c>
      <c r="BK24" s="293">
        <f t="shared" si="26"/>
        <v>2.296249321182219</v>
      </c>
    </row>
    <row r="25" spans="1:63" s="1" customFormat="1" x14ac:dyDescent="0.25">
      <c r="A25" s="270" t="s">
        <v>133</v>
      </c>
      <c r="B25" s="271">
        <v>2027</v>
      </c>
      <c r="C25" s="272" t="s">
        <v>13</v>
      </c>
      <c r="D25" s="272" t="s">
        <v>9</v>
      </c>
      <c r="E25" s="272" t="s">
        <v>355</v>
      </c>
      <c r="F25" s="273">
        <v>20</v>
      </c>
      <c r="G25" s="274">
        <v>4450.2616422850706</v>
      </c>
      <c r="H25" s="275">
        <f t="shared" si="3"/>
        <v>0.96502300196168733</v>
      </c>
      <c r="I25" s="274">
        <v>250</v>
      </c>
      <c r="J25" s="276" t="s">
        <v>263</v>
      </c>
      <c r="K25" s="277">
        <f t="shared" si="27"/>
        <v>0.75</v>
      </c>
      <c r="L25" s="278">
        <v>0.28000000000000003</v>
      </c>
      <c r="M25" s="278">
        <v>0.03</v>
      </c>
      <c r="N25" s="278">
        <v>0.91</v>
      </c>
      <c r="O25" s="279">
        <v>15</v>
      </c>
      <c r="P25" s="280">
        <v>4611.5601734245001</v>
      </c>
      <c r="Q25" s="281">
        <v>1028.9365333333335</v>
      </c>
      <c r="R25" s="282">
        <v>0.11745850837138402</v>
      </c>
      <c r="S25" s="282">
        <v>0.11745850837138548</v>
      </c>
      <c r="T25" s="281">
        <v>0</v>
      </c>
      <c r="U25" s="283">
        <v>0</v>
      </c>
      <c r="V25" s="284">
        <v>14687.528949575606</v>
      </c>
      <c r="W25" s="285">
        <v>0.15</v>
      </c>
      <c r="X25" s="286" t="s">
        <v>255</v>
      </c>
      <c r="Y25" s="287">
        <f t="shared" si="4"/>
        <v>20</v>
      </c>
      <c r="Z25" s="288">
        <f t="shared" si="5"/>
        <v>89005.232845701408</v>
      </c>
      <c r="AA25" s="288">
        <f t="shared" si="6"/>
        <v>5000</v>
      </c>
      <c r="AB25" s="288">
        <f t="shared" si="7"/>
        <v>89005.232845701408</v>
      </c>
      <c r="AC25" s="288">
        <f t="shared" si="28"/>
        <v>5000</v>
      </c>
      <c r="AD25" s="287">
        <f t="shared" si="8"/>
        <v>83930.395156325903</v>
      </c>
      <c r="AE25" s="287">
        <f t="shared" si="9"/>
        <v>62947.796367244431</v>
      </c>
      <c r="AF25" s="287">
        <f t="shared" si="10"/>
        <v>1258955.9273448884</v>
      </c>
      <c r="AG25" s="287">
        <f t="shared" si="11"/>
        <v>944216.94550866645</v>
      </c>
      <c r="AH25" s="287">
        <f t="shared" si="12"/>
        <v>20074.963339946669</v>
      </c>
      <c r="AI25" s="287">
        <f t="shared" si="13"/>
        <v>15056.222504960004</v>
      </c>
      <c r="AJ25" s="287">
        <f t="shared" si="14"/>
        <v>0</v>
      </c>
      <c r="AK25" s="287">
        <f t="shared" si="15"/>
        <v>0</v>
      </c>
      <c r="AL25" s="287">
        <f t="shared" si="16"/>
        <v>2.2916624817290514</v>
      </c>
      <c r="AM25" s="287">
        <f t="shared" si="17"/>
        <v>1.7187468612967882</v>
      </c>
      <c r="AN25" s="287">
        <f t="shared" si="18"/>
        <v>2.2916624817290794</v>
      </c>
      <c r="AO25" s="287">
        <f t="shared" si="19"/>
        <v>1.7187468612968095</v>
      </c>
      <c r="AP25" s="287">
        <f t="shared" si="20"/>
        <v>293750.57899151213</v>
      </c>
      <c r="AQ25" s="287">
        <f t="shared" si="21"/>
        <v>220312.93424363411</v>
      </c>
      <c r="AR25" s="287">
        <f t="shared" si="22"/>
        <v>0</v>
      </c>
      <c r="AS25" s="289" t="e">
        <f>IF(J25='2027 Avoided Costs'!#REF!,3,5)</f>
        <v>#REF!</v>
      </c>
      <c r="AT25" s="290" cm="1">
        <f t="array" ref="AT25">IFERROR(IF($J25="Baseload",IF($O25=1,0,NPV('2027 Avoided Costs'!$D$6,_xlfn._xlws.FILTER('2027 Avoided Costs'!$C$14:$C$47,('2027 Avoided Costs'!$B$14:$B$47&gt;=$B25+1)*('2027 Avoided Costs'!$B$14:$B$47&lt;$B25+ROUND($O25,0)))))+_xlfn.XLOOKUP($B25,'2027 Avoided Costs'!$B$13:$B$47,'2027 Avoided Costs'!$C$13:$C$47),IF($O25=1,0,NPV('2027 Avoided Costs'!$D$6,_xlfn._xlws.FILTER('2027 Avoided Costs'!$E$14:$E$47,('2027 Avoided Costs'!$B$14:$B$47&gt;=$B25+1)*('2027 Avoided Costs'!$B$14:$B$47&lt;$B25+ROUND($O25,0)))))+_xlfn.XLOOKUP($B25,'2027 Avoided Costs'!$B$13:$B$47,'2027 Avoided Costs'!$E$13:$E$47))*IF($AE25&gt;0,$AE25*(1+$W25),0),0)</f>
        <v>220044.20190838617</v>
      </c>
      <c r="AU25" s="290" cm="1">
        <f t="array" ref="AU25">IFERROR((IF($O25=1,0,NPV('2027 Avoided Costs'!$D$6,_xlfn._xlws.FILTER('2027 Avoided Costs'!$M$14:$M$47,('2027 Avoided Costs'!$B$14:$B$47&gt;=$B25+1)*('2027 Avoided Costs'!$B$14:$B$47&lt;$B25+ROUND($O25,0)))))+_xlfn.XLOOKUP($B25,'2027 Avoided Costs'!$B$13:$B$47,'2027 Avoided Costs'!$M$13:$M$47))*IF($AK25&gt;0,$AK25*(1+$W25),0),0)</f>
        <v>0</v>
      </c>
      <c r="AV25" s="291" cm="1">
        <f t="array" ref="AV25">IFERROR((IF($O25=1,0,NPV('2027 Avoided Costs'!$D$6,_xlfn._xlws.FILTER('2027 Avoided Costs'!$Q$14:$Q$47,('2027 Avoided Costs'!$B$14:$B$47&gt;=$B25+1)*('2027 Avoided Costs'!$B$14:$B$47&lt;$B25+ROUND($O25,0)))))+_xlfn.XLOOKUP($B25,'2027 Avoided Costs'!$B$13:$B$47,'2027 Avoided Costs'!$Q$13:$Q$47))*IF($AI25&gt;0,$AI25*(1+$W25),0),0)</f>
        <v>9967.950732130128</v>
      </c>
      <c r="AW25" s="291" cm="1">
        <f t="array" ref="AW25">IFERROR((IF($O25=1,0,NPV('2027 Avoided Costs'!$D$6,_xlfn._xlws.FILTER('2027 Avoided Costs'!$W$14:$W$47,('2027 Avoided Costs'!$B$14:$B$47&gt;=$B25+1)*('2027 Avoided Costs'!$B$14:$B$47&lt;$B25+ROUND($O25,0)))))+_xlfn.XLOOKUP($B25,'2027 Avoided Costs'!$B$13:$B$47,'2027 Avoided Costs'!$W$13:$W$47))*IF($AM25&gt;0,$AM25*(1+$W25),0),0)</f>
        <v>6661.0358868563671</v>
      </c>
      <c r="AX25" s="291" cm="1">
        <f t="array" ref="AX25">IFERROR((IF($O25=1,0,NPV('2027 Avoided Costs'!$D$6,_xlfn._xlws.FILTER('2027 Avoided Costs'!$AC$14:$AC$47,('2027 Avoided Costs'!$B$14:$B$47&gt;=$B25+1)*('2027 Avoided Costs'!$B$14:$B$47&lt;$B25+ROUND($O25,0)))))+_xlfn.XLOOKUP($B25,'2027 Avoided Costs'!$B$13:$B$47,'2027 Avoided Costs'!$AC$13:$AC$47))*IF($AO25&gt;0,$AO25*(1+$W25),0),0)</f>
        <v>419.67015663953424</v>
      </c>
      <c r="AY25" s="291" cm="1">
        <f t="array" ref="AY25">IFERROR((IF($O25=1,0,NPV('2027 Avoided Costs'!$D$4,_xlfn._xlws.FILTER('2027 Avoided Costs'!$I$14:$I$47,('2027 Avoided Costs'!$B$14:$B$47&gt;=$B25+1)*('2027 Avoided Costs'!$B$14:$B$47&lt;$B25+ROUND($O25,0)))))+_xlfn.XLOOKUP($B25,'2027 Avoided Costs'!$B$13:$B$47,'2027 Avoided Costs'!$I$13:$I$47))*IF($X25="Residential",'2027 Avoided Costs'!$J$5,IF($X25="Large Volume",'2027 Avoided Costs'!$J$7,'2027 Avoided Costs'!$J$6))*IF($AE25&gt;0,$AE25,0),0)</f>
        <v>0</v>
      </c>
      <c r="AZ25" s="291" cm="1">
        <f t="array" ref="AZ25">IFERROR(IF($J25="Baseload",IF($O25=1,0,NPV('2027 Avoided Costs'!$D$6,_xlfn._xlws.FILTER('2027 Avoided Costs'!$C$14:$C$47,('2027 Avoided Costs'!$B$14:$B$47&gt;=$B25+1)*('2027 Avoided Costs'!$B$14:$B$47&lt;$B25+ROUND($O25,0)))))+_xlfn.XLOOKUP($B25,'2027 Avoided Costs'!$B$13:$B$47,'2027 Avoided Costs'!$C$13:$C$47),IF($O25=1,0,NPV('2027 Avoided Costs'!$D$6,_xlfn._xlws.FILTER('2027 Avoided Costs'!$E$14:$E$47,('2027 Avoided Costs'!$B$14:$B$47&gt;=$B25+1)*('2027 Avoided Costs'!$B$14:$B$47&lt;$B25+ROUND($O25,0)))))+_xlfn.XLOOKUP($B25,'2027 Avoided Costs'!$B$13:$B$47,'2027 Avoided Costs'!$E$13:$E$47))*IF($AE25&lt;0,$AE25*(-1),0),0)</f>
        <v>0</v>
      </c>
      <c r="BA25" s="291" cm="1">
        <f t="array" ref="BA25">IFERROR((IF($O25=1,0,NPV('2027 Avoided Costs'!$D$6,_xlfn._xlws.FILTER('2027 Avoided Costs'!$M$14:$M$47,('2027 Avoided Costs'!$B$14:$B$47&gt;=$B25+1)*('2027 Avoided Costs'!$B$14:$B$47&lt;$B25+ROUND($O25,0)))))+_xlfn.XLOOKUP($B25,'2027 Avoided Costs'!$B$13:$B$47,'2027 Avoided Costs'!$M$13:$M$47))*IF($AK25&lt;0,$AK25*(-1),0),0)</f>
        <v>0</v>
      </c>
      <c r="BB25" s="291" cm="1">
        <f t="array" ref="BB25">IFERROR((IF($O25=1,0,NPV('2027 Avoided Costs'!$D$6,_xlfn._xlws.FILTER('2027 Avoided Costs'!$S$14:$S$47,('2027 Avoided Costs'!$B$14:$B$47&gt;=$B25+1)*('2027 Avoided Costs'!$B$14:$B$47&lt;$B25+ROUND($O25,0)))))+_xlfn.XLOOKUP($B25,'2027 Avoided Costs'!$B$13:$B$47,'2027 Avoided Costs'!$S$13:$S$47))*IF($AI25&lt;0,$AI25*(-1),0),0)</f>
        <v>0</v>
      </c>
      <c r="BC25" s="291" cm="1">
        <f t="array" ref="BC25">IFERROR((IF($O25=1,0,NPV('2027 Avoided Costs'!$D$6,_xlfn._xlws.FILTER('2027 Avoided Costs'!$Y$14:$Y$47,('2027 Avoided Costs'!$B$14:$B$47&gt;=$B25+1)*('2027 Avoided Costs'!$B$14:$B$47&lt;$B25+ROUND($O25,0)))))+_xlfn.XLOOKUP($B25,'2027 Avoided Costs'!$B$13:$B$47,'2027 Avoided Costs'!$Y$13:$Y$47))*IF($AM25&lt;0,$AM25*(-1),0),0)</f>
        <v>0</v>
      </c>
      <c r="BD25" s="291" cm="1">
        <f t="array" ref="BD25">IFERROR((IF($O25=1,0,NPV('2027 Avoided Costs'!$D$6,_xlfn._xlws.FILTER('2027 Avoided Costs'!$AE$14:$AE$47,('2027 Avoided Costs'!$B$14:$B$47&gt;=$B25+1)*('2027 Avoided Costs'!$B$14:$B$47&lt;$B25+ROUND($O25,0)))))+_xlfn.XLOOKUP($B25,'2027 Avoided Costs'!$B$13:$B$47,'2027 Avoided Costs'!$AE$13:$AE$47))*IF($AO25&lt;0,$AO25*(-1),0),0)</f>
        <v>0</v>
      </c>
      <c r="BE25" s="291" cm="1">
        <f t="array" ref="BE25">IFERROR((IF($O25=1,0,NPV('2027 Avoided Costs'!$D$4,_xlfn._xlws.FILTER('2027 Avoided Costs'!$I$14:$I$47,('2027 Avoided Costs'!$B$14:$B$47&gt;=$B25+1)*('2027 Avoided Costs'!$B$14:$B$47&lt;$B25+ROUND($O25,0)))))+_xlfn.XLOOKUP($B25,'2027 Avoided Costs'!$B$13:$B$47,'2027 Avoided Costs'!$I$13:$I$47))*IF($X25="Residential",'2027 Avoided Costs'!$J$5,IF($X25="Large Volume",'2027 Avoided Costs'!$J$7,'2027 Avoided Costs'!$J$6))*IF($AE25&lt;0,$AE25*(-1),0),0)</f>
        <v>0</v>
      </c>
      <c r="BF25" s="291">
        <f t="shared" si="23"/>
        <v>237092.8586840122</v>
      </c>
      <c r="BG25" s="291">
        <f t="shared" si="24"/>
        <v>220312.93424363411</v>
      </c>
      <c r="BH25" s="291">
        <f t="shared" si="25"/>
        <v>16779.92444037809</v>
      </c>
      <c r="BI25" s="292">
        <f t="shared" si="29"/>
        <v>1.0761640459194373</v>
      </c>
      <c r="BJ25" s="196" cm="1">
        <f t="array" ref="BJ25">IFERROR(IF($J25="Baseload",IF($O25=1,0,NPV('2027 Avoided Costs'!$D$6,_xlfn._xlws.FILTER('2027 Avoided Costs'!$C$14:$C$47,('2027 Avoided Costs'!$B$14:$B$47&gt;=$B25+1)*('2027 Avoided Costs'!$B$14:$B$47&lt;$B25+ROUND($O25,0)))))+_xlfn.XLOOKUP($B25,'2027 Avoided Costs'!$B$13:$B$47,'2027 Avoided Costs'!$C$13:$C$47),IF($O25=1,0,NPV('2027 Avoided Costs'!$D$6,_xlfn._xlws.FILTER('2027 Avoided Costs'!$E$14:$E$47,('2027 Avoided Costs'!$B$14:$B$47&gt;=$B25+1)*('2027 Avoided Costs'!$B$14:$B$47&lt;$B25+ROUND($O25,0)))))+_xlfn.XLOOKUP($B25,'2027 Avoided Costs'!$B$13:$B$47,'2027 Avoided Costs'!$E$13:$E$47))*IF($AE25&gt;0,$AE25*(1+0),0),0)</f>
        <v>191342.78426816192</v>
      </c>
      <c r="BK25" s="293">
        <f t="shared" si="26"/>
        <v>2.0354482242730967</v>
      </c>
    </row>
    <row r="26" spans="1:63" s="1" customFormat="1" x14ac:dyDescent="0.25">
      <c r="A26" s="270" t="s">
        <v>133</v>
      </c>
      <c r="B26" s="271">
        <v>2027</v>
      </c>
      <c r="C26" s="272" t="s">
        <v>13</v>
      </c>
      <c r="D26" s="272" t="s">
        <v>9</v>
      </c>
      <c r="E26" s="272" t="s">
        <v>298</v>
      </c>
      <c r="F26" s="273">
        <v>21</v>
      </c>
      <c r="G26" s="274">
        <v>5924.3866102380553</v>
      </c>
      <c r="H26" s="275">
        <f t="shared" si="3"/>
        <v>0.96502300196168722</v>
      </c>
      <c r="I26" s="274">
        <v>250</v>
      </c>
      <c r="J26" s="276" t="s">
        <v>264</v>
      </c>
      <c r="K26" s="277">
        <f t="shared" si="27"/>
        <v>0.75</v>
      </c>
      <c r="L26" s="278">
        <v>0.28000000000000003</v>
      </c>
      <c r="M26" s="278">
        <v>0.03</v>
      </c>
      <c r="N26" s="278">
        <v>0.91</v>
      </c>
      <c r="O26" s="279">
        <v>15</v>
      </c>
      <c r="P26" s="280">
        <v>6139.1144026567581</v>
      </c>
      <c r="Q26" s="281">
        <v>-14282.496956521738</v>
      </c>
      <c r="R26" s="282">
        <v>-3.6</v>
      </c>
      <c r="S26" s="282">
        <v>-6</v>
      </c>
      <c r="T26" s="281">
        <v>0</v>
      </c>
      <c r="U26" s="283">
        <v>0</v>
      </c>
      <c r="V26" s="284">
        <v>14985.931739130434</v>
      </c>
      <c r="W26" s="285">
        <v>0.15</v>
      </c>
      <c r="X26" s="286" t="s">
        <v>255</v>
      </c>
      <c r="Y26" s="287">
        <f t="shared" si="4"/>
        <v>21</v>
      </c>
      <c r="Z26" s="288">
        <f t="shared" si="5"/>
        <v>124412.11881499916</v>
      </c>
      <c r="AA26" s="288">
        <f t="shared" si="6"/>
        <v>5250</v>
      </c>
      <c r="AB26" s="288">
        <f t="shared" si="7"/>
        <v>124412.11881499916</v>
      </c>
      <c r="AC26" s="288">
        <f t="shared" si="28"/>
        <v>5250</v>
      </c>
      <c r="AD26" s="287">
        <f t="shared" si="8"/>
        <v>117318.47623477066</v>
      </c>
      <c r="AE26" s="287">
        <f t="shared" si="9"/>
        <v>87988.857176077989</v>
      </c>
      <c r="AF26" s="287">
        <f t="shared" si="10"/>
        <v>1759777.1435215599</v>
      </c>
      <c r="AG26" s="287">
        <f t="shared" si="11"/>
        <v>1319832.8576411698</v>
      </c>
      <c r="AH26" s="287">
        <f t="shared" si="12"/>
        <v>-292590.09005154786</v>
      </c>
      <c r="AI26" s="287">
        <f t="shared" si="13"/>
        <v>-219442.56753866089</v>
      </c>
      <c r="AJ26" s="287">
        <f t="shared" si="14"/>
        <v>0</v>
      </c>
      <c r="AK26" s="287">
        <f t="shared" si="15"/>
        <v>0</v>
      </c>
      <c r="AL26" s="287">
        <f t="shared" si="16"/>
        <v>-73.749312000000018</v>
      </c>
      <c r="AM26" s="287">
        <f t="shared" si="17"/>
        <v>-55.31198400000001</v>
      </c>
      <c r="AN26" s="287">
        <f t="shared" si="18"/>
        <v>-122.91552</v>
      </c>
      <c r="AO26" s="287">
        <f t="shared" si="19"/>
        <v>-92.186639999999997</v>
      </c>
      <c r="AP26" s="287">
        <f t="shared" si="20"/>
        <v>314704.56652173912</v>
      </c>
      <c r="AQ26" s="287">
        <f t="shared" si="21"/>
        <v>236028.42489130434</v>
      </c>
      <c r="AR26" s="287">
        <f t="shared" si="22"/>
        <v>0</v>
      </c>
      <c r="AS26" s="289" t="e">
        <f>IF(J26='2027 Avoided Costs'!#REF!,3,5)</f>
        <v>#REF!</v>
      </c>
      <c r="AT26" s="290" cm="1">
        <f t="array" ref="AT26">IFERROR(IF($J26="Baseload",IF($O26=1,0,NPV('2027 Avoided Costs'!$D$6,_xlfn._xlws.FILTER('2027 Avoided Costs'!$C$14:$C$47,('2027 Avoided Costs'!$B$14:$B$47&gt;=$B26+1)*('2027 Avoided Costs'!$B$14:$B$47&lt;$B26+ROUND($O26,0)))))+_xlfn.XLOOKUP($B26,'2027 Avoided Costs'!$B$13:$B$47,'2027 Avoided Costs'!$C$13:$C$47),IF($O26=1,0,NPV('2027 Avoided Costs'!$D$6,_xlfn._xlws.FILTER('2027 Avoided Costs'!$E$14:$E$47,('2027 Avoided Costs'!$B$14:$B$47&gt;=$B26+1)*('2027 Avoided Costs'!$B$14:$B$47&lt;$B26+ROUND($O26,0)))))+_xlfn.XLOOKUP($B26,'2027 Avoided Costs'!$B$13:$B$47,'2027 Avoided Costs'!$E$13:$E$47))*IF($AE26&gt;0,$AE26*(1+$W26),0),0)</f>
        <v>346989.27901473467</v>
      </c>
      <c r="AU26" s="290" cm="1">
        <f t="array" ref="AU26">IFERROR((IF($O26=1,0,NPV('2027 Avoided Costs'!$D$6,_xlfn._xlws.FILTER('2027 Avoided Costs'!$M$14:$M$47,('2027 Avoided Costs'!$B$14:$B$47&gt;=$B26+1)*('2027 Avoided Costs'!$B$14:$B$47&lt;$B26+ROUND($O26,0)))))+_xlfn.XLOOKUP($B26,'2027 Avoided Costs'!$B$13:$B$47,'2027 Avoided Costs'!$M$13:$M$47))*IF($AK26&gt;0,$AK26*(1+$W26),0),0)</f>
        <v>0</v>
      </c>
      <c r="AV26" s="291" cm="1">
        <f t="array" ref="AV26">IFERROR((IF($O26=1,0,NPV('2027 Avoided Costs'!$D$6,_xlfn._xlws.FILTER('2027 Avoided Costs'!$Q$14:$Q$47,('2027 Avoided Costs'!$B$14:$B$47&gt;=$B26+1)*('2027 Avoided Costs'!$B$14:$B$47&lt;$B26+ROUND($O26,0)))))+_xlfn.XLOOKUP($B26,'2027 Avoided Costs'!$B$13:$B$47,'2027 Avoided Costs'!$Q$13:$Q$47))*IF($AI26&gt;0,$AI26*(1+$W26),0),0)</f>
        <v>0</v>
      </c>
      <c r="AW26" s="291" cm="1">
        <f t="array" ref="AW26">IFERROR((IF($O26=1,0,NPV('2027 Avoided Costs'!$D$6,_xlfn._xlws.FILTER('2027 Avoided Costs'!$W$14:$W$47,('2027 Avoided Costs'!$B$14:$B$47&gt;=$B26+1)*('2027 Avoided Costs'!$B$14:$B$47&lt;$B26+ROUND($O26,0)))))+_xlfn.XLOOKUP($B26,'2027 Avoided Costs'!$B$13:$B$47,'2027 Avoided Costs'!$W$13:$W$47))*IF($AM26&gt;0,$AM26*(1+$W26),0),0)</f>
        <v>0</v>
      </c>
      <c r="AX26" s="291" cm="1">
        <f t="array" ref="AX26">IFERROR((IF($O26=1,0,NPV('2027 Avoided Costs'!$D$6,_xlfn._xlws.FILTER('2027 Avoided Costs'!$AC$14:$AC$47,('2027 Avoided Costs'!$B$14:$B$47&gt;=$B26+1)*('2027 Avoided Costs'!$B$14:$B$47&lt;$B26+ROUND($O26,0)))))+_xlfn.XLOOKUP($B26,'2027 Avoided Costs'!$B$13:$B$47,'2027 Avoided Costs'!$AC$13:$AC$47))*IF($AO26&gt;0,$AO26*(1+$W26),0),0)</f>
        <v>0</v>
      </c>
      <c r="AY26" s="291" cm="1">
        <f t="array" ref="AY26">IFERROR((IF($O26=1,0,NPV('2027 Avoided Costs'!$D$4,_xlfn._xlws.FILTER('2027 Avoided Costs'!$I$14:$I$47,('2027 Avoided Costs'!$B$14:$B$47&gt;=$B26+1)*('2027 Avoided Costs'!$B$14:$B$47&lt;$B26+ROUND($O26,0)))))+_xlfn.XLOOKUP($B26,'2027 Avoided Costs'!$B$13:$B$47,'2027 Avoided Costs'!$I$13:$I$47))*IF($X26="Residential",'2027 Avoided Costs'!$J$5,IF($X26="Large Volume",'2027 Avoided Costs'!$J$7,'2027 Avoided Costs'!$J$6))*IF($AE26&gt;0,$AE26,0),0)</f>
        <v>0</v>
      </c>
      <c r="AZ26" s="291" cm="1">
        <f t="array" ref="AZ26">IFERROR(IF($J26="Baseload",IF($O26=1,0,NPV('2027 Avoided Costs'!$D$6,_xlfn._xlws.FILTER('2027 Avoided Costs'!$C$14:$C$47,('2027 Avoided Costs'!$B$14:$B$47&gt;=$B26+1)*('2027 Avoided Costs'!$B$14:$B$47&lt;$B26+ROUND($O26,0)))))+_xlfn.XLOOKUP($B26,'2027 Avoided Costs'!$B$13:$B$47,'2027 Avoided Costs'!$C$13:$C$47),IF($O26=1,0,NPV('2027 Avoided Costs'!$D$6,_xlfn._xlws.FILTER('2027 Avoided Costs'!$E$14:$E$47,('2027 Avoided Costs'!$B$14:$B$47&gt;=$B26+1)*('2027 Avoided Costs'!$B$14:$B$47&lt;$B26+ROUND($O26,0)))))+_xlfn.XLOOKUP($B26,'2027 Avoided Costs'!$B$13:$B$47,'2027 Avoided Costs'!$E$13:$E$47))*IF($AE26&lt;0,$AE26*(-1),0),0)</f>
        <v>0</v>
      </c>
      <c r="BA26" s="291" cm="1">
        <f t="array" ref="BA26">IFERROR((IF($O26=1,0,NPV('2027 Avoided Costs'!$D$6,_xlfn._xlws.FILTER('2027 Avoided Costs'!$M$14:$M$47,('2027 Avoided Costs'!$B$14:$B$47&gt;=$B26+1)*('2027 Avoided Costs'!$B$14:$B$47&lt;$B26+ROUND($O26,0)))))+_xlfn.XLOOKUP($B26,'2027 Avoided Costs'!$B$13:$B$47,'2027 Avoided Costs'!$M$13:$M$47))*IF($AK26&lt;0,$AK26*(-1),0),0)</f>
        <v>0</v>
      </c>
      <c r="BB26" s="291" cm="1">
        <f t="array" ref="BB26">IFERROR((IF($O26=1,0,NPV('2027 Avoided Costs'!$D$6,_xlfn._xlws.FILTER('2027 Avoided Costs'!$S$14:$S$47,('2027 Avoided Costs'!$B$14:$B$47&gt;=$B26+1)*('2027 Avoided Costs'!$B$14:$B$47&lt;$B26+ROUND($O26,0)))))+_xlfn.XLOOKUP($B26,'2027 Avoided Costs'!$B$13:$B$47,'2027 Avoided Costs'!$S$13:$S$47))*IF($AI26&lt;0,$AI26*(-1),0),0)</f>
        <v>126331.86110243226</v>
      </c>
      <c r="BC26" s="291" cm="1">
        <f t="array" ref="BC26">IFERROR((IF($O26=1,0,NPV('2027 Avoided Costs'!$D$6,_xlfn._xlws.FILTER('2027 Avoided Costs'!$Y$14:$Y$47,('2027 Avoided Costs'!$B$14:$B$47&gt;=$B26+1)*('2027 Avoided Costs'!$B$14:$B$47&lt;$B26+ROUND($O26,0)))))+_xlfn.XLOOKUP($B26,'2027 Avoided Costs'!$B$13:$B$47,'2027 Avoided Costs'!$Y$13:$Y$47))*IF($AM26&lt;0,$AM26*(-1),0),0)</f>
        <v>186402.29348574815</v>
      </c>
      <c r="BD26" s="291" cm="1">
        <f t="array" ref="BD26">IFERROR((IF($O26=1,0,NPV('2027 Avoided Costs'!$D$6,_xlfn._xlws.FILTER('2027 Avoided Costs'!$AE$14:$AE$47,('2027 Avoided Costs'!$B$14:$B$47&gt;=$B26+1)*('2027 Avoided Costs'!$B$14:$B$47&lt;$B26+ROUND($O26,0)))))+_xlfn.XLOOKUP($B26,'2027 Avoided Costs'!$B$13:$B$47,'2027 Avoided Costs'!$AE$13:$AE$47))*IF($AO26&lt;0,$AO26*(-1),0),0)</f>
        <v>19573.401953763867</v>
      </c>
      <c r="BE26" s="291" cm="1">
        <f t="array" ref="BE26">IFERROR((IF($O26=1,0,NPV('2027 Avoided Costs'!$D$4,_xlfn._xlws.FILTER('2027 Avoided Costs'!$I$14:$I$47,('2027 Avoided Costs'!$B$14:$B$47&gt;=$B26+1)*('2027 Avoided Costs'!$B$14:$B$47&lt;$B26+ROUND($O26,0)))))+_xlfn.XLOOKUP($B26,'2027 Avoided Costs'!$B$13:$B$47,'2027 Avoided Costs'!$I$13:$I$47))*IF($X26="Residential",'2027 Avoided Costs'!$J$5,IF($X26="Large Volume",'2027 Avoided Costs'!$J$7,'2027 Avoided Costs'!$J$6))*IF($AE26&lt;0,$AE26*(-1),0),0)</f>
        <v>0</v>
      </c>
      <c r="BF26" s="291">
        <f t="shared" si="23"/>
        <v>346989.27901473467</v>
      </c>
      <c r="BG26" s="291">
        <f t="shared" si="24"/>
        <v>568335.98143324861</v>
      </c>
      <c r="BH26" s="291">
        <f t="shared" si="25"/>
        <v>-221346.70241851395</v>
      </c>
      <c r="BI26" s="292">
        <f t="shared" si="29"/>
        <v>0.61053547610989811</v>
      </c>
      <c r="BJ26" s="196" cm="1">
        <f t="array" ref="BJ26">IFERROR(IF($J26="Baseload",IF($O26=1,0,NPV('2027 Avoided Costs'!$D$6,_xlfn._xlws.FILTER('2027 Avoided Costs'!$C$14:$C$47,('2027 Avoided Costs'!$B$14:$B$47&gt;=$B26+1)*('2027 Avoided Costs'!$B$14:$B$47&lt;$B26+ROUND($O26,0)))))+_xlfn.XLOOKUP($B26,'2027 Avoided Costs'!$B$13:$B$47,'2027 Avoided Costs'!$C$13:$C$47),IF($O26=1,0,NPV('2027 Avoided Costs'!$D$6,_xlfn._xlws.FILTER('2027 Avoided Costs'!$E$14:$E$47,('2027 Avoided Costs'!$B$14:$B$47&gt;=$B26+1)*('2027 Avoided Costs'!$B$14:$B$47&lt;$B26+ROUND($O26,0)))))+_xlfn.XLOOKUP($B26,'2027 Avoided Costs'!$B$13:$B$47,'2027 Avoided Costs'!$E$13:$E$47))*IF($AE26&gt;0,$AE26*(1+0),0),0)</f>
        <v>301729.80783889972</v>
      </c>
      <c r="BK26" s="293">
        <f t="shared" si="26"/>
        <v>2.3270467164693285</v>
      </c>
    </row>
    <row r="27" spans="1:63" s="1" customFormat="1" x14ac:dyDescent="0.25">
      <c r="A27" s="270" t="s">
        <v>133</v>
      </c>
      <c r="B27" s="271">
        <v>2027</v>
      </c>
      <c r="C27" s="272" t="s">
        <v>13</v>
      </c>
      <c r="D27" s="272" t="s">
        <v>9</v>
      </c>
      <c r="E27" s="272" t="s">
        <v>345</v>
      </c>
      <c r="F27" s="273">
        <v>1</v>
      </c>
      <c r="G27" s="274">
        <v>0</v>
      </c>
      <c r="H27" s="275">
        <f t="shared" si="3"/>
        <v>0</v>
      </c>
      <c r="I27" s="274">
        <v>0</v>
      </c>
      <c r="J27" s="276" t="s">
        <v>264</v>
      </c>
      <c r="K27" s="277">
        <f t="shared" si="27"/>
        <v>1</v>
      </c>
      <c r="L27" s="278">
        <v>0</v>
      </c>
      <c r="M27" s="278">
        <v>0</v>
      </c>
      <c r="N27" s="278">
        <v>1</v>
      </c>
      <c r="O27" s="279">
        <v>10</v>
      </c>
      <c r="P27" s="280">
        <v>462400</v>
      </c>
      <c r="Q27" s="281">
        <v>0</v>
      </c>
      <c r="R27" s="282">
        <v>0</v>
      </c>
      <c r="S27" s="282">
        <v>0</v>
      </c>
      <c r="T27" s="281">
        <v>0</v>
      </c>
      <c r="U27" s="283">
        <v>0</v>
      </c>
      <c r="V27" s="284">
        <v>0</v>
      </c>
      <c r="W27" s="285">
        <v>0.15</v>
      </c>
      <c r="X27" s="286" t="s">
        <v>255</v>
      </c>
      <c r="Y27" s="287">
        <f t="shared" si="4"/>
        <v>1</v>
      </c>
      <c r="Z27" s="288">
        <f t="shared" si="5"/>
        <v>0</v>
      </c>
      <c r="AA27" s="288">
        <f t="shared" si="6"/>
        <v>0</v>
      </c>
      <c r="AB27" s="288">
        <f t="shared" si="7"/>
        <v>0</v>
      </c>
      <c r="AC27" s="288">
        <f t="shared" si="28"/>
        <v>0</v>
      </c>
      <c r="AD27" s="287">
        <f t="shared" si="8"/>
        <v>462400</v>
      </c>
      <c r="AE27" s="287">
        <f t="shared" si="9"/>
        <v>462400</v>
      </c>
      <c r="AF27" s="287">
        <f t="shared" si="10"/>
        <v>4624000</v>
      </c>
      <c r="AG27" s="287">
        <f t="shared" si="11"/>
        <v>4624000</v>
      </c>
      <c r="AH27" s="287">
        <f t="shared" si="12"/>
        <v>0</v>
      </c>
      <c r="AI27" s="287">
        <f t="shared" si="13"/>
        <v>0</v>
      </c>
      <c r="AJ27" s="287">
        <f t="shared" si="14"/>
        <v>0</v>
      </c>
      <c r="AK27" s="287">
        <f t="shared" si="15"/>
        <v>0</v>
      </c>
      <c r="AL27" s="287">
        <f t="shared" si="16"/>
        <v>0</v>
      </c>
      <c r="AM27" s="287">
        <f t="shared" si="17"/>
        <v>0</v>
      </c>
      <c r="AN27" s="287">
        <f t="shared" si="18"/>
        <v>0</v>
      </c>
      <c r="AO27" s="287">
        <f t="shared" si="19"/>
        <v>0</v>
      </c>
      <c r="AP27" s="287">
        <f t="shared" si="20"/>
        <v>0</v>
      </c>
      <c r="AQ27" s="287">
        <f t="shared" si="21"/>
        <v>0</v>
      </c>
      <c r="AR27" s="287">
        <f t="shared" si="22"/>
        <v>0</v>
      </c>
      <c r="AS27" s="289" t="e">
        <f>IF(J27='2027 Avoided Costs'!#REF!,3,5)</f>
        <v>#REF!</v>
      </c>
      <c r="AT27" s="290" cm="1">
        <f t="array" ref="AT27">IFERROR(IF($J27="Baseload",IF($O27=1,0,NPV('2027 Avoided Costs'!$D$6,_xlfn._xlws.FILTER('2027 Avoided Costs'!$C$14:$C$47,('2027 Avoided Costs'!$B$14:$B$47&gt;=$B27+1)*('2027 Avoided Costs'!$B$14:$B$47&lt;$B27+ROUND($O27,0)))))+_xlfn.XLOOKUP($B27,'2027 Avoided Costs'!$B$13:$B$47,'2027 Avoided Costs'!$C$13:$C$47),IF($O27=1,0,NPV('2027 Avoided Costs'!$D$6,_xlfn._xlws.FILTER('2027 Avoided Costs'!$E$14:$E$47,('2027 Avoided Costs'!$B$14:$B$47&gt;=$B27+1)*('2027 Avoided Costs'!$B$14:$B$47&lt;$B27+ROUND($O27,0)))))+_xlfn.XLOOKUP($B27,'2027 Avoided Costs'!$B$13:$B$47,'2027 Avoided Costs'!$E$13:$E$47))*IF($AE27&gt;0,$AE27*(1+$W27),0),0)</f>
        <v>1304879.0454235082</v>
      </c>
      <c r="AU27" s="290" cm="1">
        <f t="array" ref="AU27">IFERROR((IF($O27=1,0,NPV('2027 Avoided Costs'!$D$6,_xlfn._xlws.FILTER('2027 Avoided Costs'!$M$14:$M$47,('2027 Avoided Costs'!$B$14:$B$47&gt;=$B27+1)*('2027 Avoided Costs'!$B$14:$B$47&lt;$B27+ROUND($O27,0)))))+_xlfn.XLOOKUP($B27,'2027 Avoided Costs'!$B$13:$B$47,'2027 Avoided Costs'!$M$13:$M$47))*IF($AK27&gt;0,$AK27*(1+$W27),0),0)</f>
        <v>0</v>
      </c>
      <c r="AV27" s="291" cm="1">
        <f t="array" ref="AV27">IFERROR((IF($O27=1,0,NPV('2027 Avoided Costs'!$D$6,_xlfn._xlws.FILTER('2027 Avoided Costs'!$Q$14:$Q$47,('2027 Avoided Costs'!$B$14:$B$47&gt;=$B27+1)*('2027 Avoided Costs'!$B$14:$B$47&lt;$B27+ROUND($O27,0)))))+_xlfn.XLOOKUP($B27,'2027 Avoided Costs'!$B$13:$B$47,'2027 Avoided Costs'!$Q$13:$Q$47))*IF($AI27&gt;0,$AI27*(1+$W27),0),0)</f>
        <v>0</v>
      </c>
      <c r="AW27" s="291" cm="1">
        <f t="array" ref="AW27">IFERROR((IF($O27=1,0,NPV('2027 Avoided Costs'!$D$6,_xlfn._xlws.FILTER('2027 Avoided Costs'!$W$14:$W$47,('2027 Avoided Costs'!$B$14:$B$47&gt;=$B27+1)*('2027 Avoided Costs'!$B$14:$B$47&lt;$B27+ROUND($O27,0)))))+_xlfn.XLOOKUP($B27,'2027 Avoided Costs'!$B$13:$B$47,'2027 Avoided Costs'!$W$13:$W$47))*IF($AM27&gt;0,$AM27*(1+$W27),0),0)</f>
        <v>0</v>
      </c>
      <c r="AX27" s="291" cm="1">
        <f t="array" ref="AX27">IFERROR((IF($O27=1,0,NPV('2027 Avoided Costs'!$D$6,_xlfn._xlws.FILTER('2027 Avoided Costs'!$AC$14:$AC$47,('2027 Avoided Costs'!$B$14:$B$47&gt;=$B27+1)*('2027 Avoided Costs'!$B$14:$B$47&lt;$B27+ROUND($O27,0)))))+_xlfn.XLOOKUP($B27,'2027 Avoided Costs'!$B$13:$B$47,'2027 Avoided Costs'!$AC$13:$AC$47))*IF($AO27&gt;0,$AO27*(1+$W27),0),0)</f>
        <v>0</v>
      </c>
      <c r="AY27" s="291" cm="1">
        <f t="array" ref="AY27">IFERROR((IF($O27=1,0,NPV('2027 Avoided Costs'!$D$4,_xlfn._xlws.FILTER('2027 Avoided Costs'!$I$14:$I$47,('2027 Avoided Costs'!$B$14:$B$47&gt;=$B27+1)*('2027 Avoided Costs'!$B$14:$B$47&lt;$B27+ROUND($O27,0)))))+_xlfn.XLOOKUP($B27,'2027 Avoided Costs'!$B$13:$B$47,'2027 Avoided Costs'!$I$13:$I$47))*IF($X27="Residential",'2027 Avoided Costs'!$J$5,IF($X27="Large Volume",'2027 Avoided Costs'!$J$7,'2027 Avoided Costs'!$J$6))*IF($AE27&gt;0,$AE27,0),0)</f>
        <v>0</v>
      </c>
      <c r="AZ27" s="291" cm="1">
        <f t="array" ref="AZ27">IFERROR(IF($J27="Baseload",IF($O27=1,0,NPV('2027 Avoided Costs'!$D$6,_xlfn._xlws.FILTER('2027 Avoided Costs'!$C$14:$C$47,('2027 Avoided Costs'!$B$14:$B$47&gt;=$B27+1)*('2027 Avoided Costs'!$B$14:$B$47&lt;$B27+ROUND($O27,0)))))+_xlfn.XLOOKUP($B27,'2027 Avoided Costs'!$B$13:$B$47,'2027 Avoided Costs'!$C$13:$C$47),IF($O27=1,0,NPV('2027 Avoided Costs'!$D$6,_xlfn._xlws.FILTER('2027 Avoided Costs'!$E$14:$E$47,('2027 Avoided Costs'!$B$14:$B$47&gt;=$B27+1)*('2027 Avoided Costs'!$B$14:$B$47&lt;$B27+ROUND($O27,0)))))+_xlfn.XLOOKUP($B27,'2027 Avoided Costs'!$B$13:$B$47,'2027 Avoided Costs'!$E$13:$E$47))*IF($AE27&lt;0,$AE27*(-1),0),0)</f>
        <v>0</v>
      </c>
      <c r="BA27" s="291" cm="1">
        <f t="array" ref="BA27">IFERROR((IF($O27=1,0,NPV('2027 Avoided Costs'!$D$6,_xlfn._xlws.FILTER('2027 Avoided Costs'!$M$14:$M$47,('2027 Avoided Costs'!$B$14:$B$47&gt;=$B27+1)*('2027 Avoided Costs'!$B$14:$B$47&lt;$B27+ROUND($O27,0)))))+_xlfn.XLOOKUP($B27,'2027 Avoided Costs'!$B$13:$B$47,'2027 Avoided Costs'!$M$13:$M$47))*IF($AK27&lt;0,$AK27*(-1),0),0)</f>
        <v>0</v>
      </c>
      <c r="BB27" s="291" cm="1">
        <f t="array" ref="BB27">IFERROR((IF($O27=1,0,NPV('2027 Avoided Costs'!$D$6,_xlfn._xlws.FILTER('2027 Avoided Costs'!$S$14:$S$47,('2027 Avoided Costs'!$B$14:$B$47&gt;=$B27+1)*('2027 Avoided Costs'!$B$14:$B$47&lt;$B27+ROUND($O27,0)))))+_xlfn.XLOOKUP($B27,'2027 Avoided Costs'!$B$13:$B$47,'2027 Avoided Costs'!$S$13:$S$47))*IF($AI27&lt;0,$AI27*(-1),0),0)</f>
        <v>0</v>
      </c>
      <c r="BC27" s="291" cm="1">
        <f t="array" ref="BC27">IFERROR((IF($O27=1,0,NPV('2027 Avoided Costs'!$D$6,_xlfn._xlws.FILTER('2027 Avoided Costs'!$Y$14:$Y$47,('2027 Avoided Costs'!$B$14:$B$47&gt;=$B27+1)*('2027 Avoided Costs'!$B$14:$B$47&lt;$B27+ROUND($O27,0)))))+_xlfn.XLOOKUP($B27,'2027 Avoided Costs'!$B$13:$B$47,'2027 Avoided Costs'!$Y$13:$Y$47))*IF($AM27&lt;0,$AM27*(-1),0),0)</f>
        <v>0</v>
      </c>
      <c r="BD27" s="291" cm="1">
        <f t="array" ref="BD27">IFERROR((IF($O27=1,0,NPV('2027 Avoided Costs'!$D$6,_xlfn._xlws.FILTER('2027 Avoided Costs'!$AE$14:$AE$47,('2027 Avoided Costs'!$B$14:$B$47&gt;=$B27+1)*('2027 Avoided Costs'!$B$14:$B$47&lt;$B27+ROUND($O27,0)))))+_xlfn.XLOOKUP($B27,'2027 Avoided Costs'!$B$13:$B$47,'2027 Avoided Costs'!$AE$13:$AE$47))*IF($AO27&lt;0,$AO27*(-1),0),0)</f>
        <v>0</v>
      </c>
      <c r="BE27" s="291" cm="1">
        <f t="array" ref="BE27">IFERROR((IF($O27=1,0,NPV('2027 Avoided Costs'!$D$4,_xlfn._xlws.FILTER('2027 Avoided Costs'!$I$14:$I$47,('2027 Avoided Costs'!$B$14:$B$47&gt;=$B27+1)*('2027 Avoided Costs'!$B$14:$B$47&lt;$B27+ROUND($O27,0)))))+_xlfn.XLOOKUP($B27,'2027 Avoided Costs'!$B$13:$B$47,'2027 Avoided Costs'!$I$13:$I$47))*IF($X27="Residential",'2027 Avoided Costs'!$J$5,IF($X27="Large Volume",'2027 Avoided Costs'!$J$7,'2027 Avoided Costs'!$J$6))*IF($AE27&lt;0,$AE27*(-1),0),0)</f>
        <v>0</v>
      </c>
      <c r="BF27" s="291">
        <f t="shared" si="23"/>
        <v>1304879.0454235082</v>
      </c>
      <c r="BG27" s="291">
        <f t="shared" si="24"/>
        <v>0</v>
      </c>
      <c r="BH27" s="291">
        <f t="shared" si="25"/>
        <v>1304879.0454235082</v>
      </c>
      <c r="BI27" s="292">
        <f t="shared" si="29"/>
        <v>0</v>
      </c>
      <c r="BJ27" s="196" cm="1">
        <f t="array" ref="BJ27">IFERROR(IF($J27="Baseload",IF($O27=1,0,NPV('2027 Avoided Costs'!$D$6,_xlfn._xlws.FILTER('2027 Avoided Costs'!$C$14:$C$47,('2027 Avoided Costs'!$B$14:$B$47&gt;=$B27+1)*('2027 Avoided Costs'!$B$14:$B$47&lt;$B27+ROUND($O27,0)))))+_xlfn.XLOOKUP($B27,'2027 Avoided Costs'!$B$13:$B$47,'2027 Avoided Costs'!$C$13:$C$47),IF($O27=1,0,NPV('2027 Avoided Costs'!$D$6,_xlfn._xlws.FILTER('2027 Avoided Costs'!$E$14:$E$47,('2027 Avoided Costs'!$B$14:$B$47&gt;=$B27+1)*('2027 Avoided Costs'!$B$14:$B$47&lt;$B27+ROUND($O27,0)))))+_xlfn.XLOOKUP($B27,'2027 Avoided Costs'!$B$13:$B$47,'2027 Avoided Costs'!$E$13:$E$47))*IF($AE27&gt;0,$AE27*(1+0),0),0)</f>
        <v>1134677.4308030505</v>
      </c>
      <c r="BK27" s="293">
        <f t="shared" si="26"/>
        <v>0</v>
      </c>
    </row>
    <row r="28" spans="1:63" s="1" customFormat="1" x14ac:dyDescent="0.25">
      <c r="A28" s="270" t="s">
        <v>133</v>
      </c>
      <c r="B28" s="271">
        <v>2028</v>
      </c>
      <c r="C28" s="272" t="s">
        <v>13</v>
      </c>
      <c r="D28" s="272" t="s">
        <v>9</v>
      </c>
      <c r="E28" s="272" t="s">
        <v>287</v>
      </c>
      <c r="F28" s="273">
        <v>156</v>
      </c>
      <c r="G28" s="274">
        <v>10165.1302058399</v>
      </c>
      <c r="H28" s="275">
        <f t="shared" si="3"/>
        <v>0.35</v>
      </c>
      <c r="I28" s="274">
        <v>250</v>
      </c>
      <c r="J28" s="276" t="s">
        <v>264</v>
      </c>
      <c r="K28" s="277">
        <f t="shared" si="27"/>
        <v>0.75</v>
      </c>
      <c r="L28" s="278">
        <v>0.28000000000000003</v>
      </c>
      <c r="M28" s="278">
        <v>0.03</v>
      </c>
      <c r="N28" s="278">
        <v>0.9113</v>
      </c>
      <c r="O28" s="279">
        <v>17</v>
      </c>
      <c r="P28" s="280">
        <v>29043.229159542574</v>
      </c>
      <c r="Q28" s="281">
        <v>-611.54259459459558</v>
      </c>
      <c r="R28" s="282">
        <v>-0.37266719305067764</v>
      </c>
      <c r="S28" s="282">
        <v>-0.11007379740589061</v>
      </c>
      <c r="T28" s="281">
        <v>0</v>
      </c>
      <c r="U28" s="283">
        <v>1</v>
      </c>
      <c r="V28" s="284">
        <v>38932.645584367448</v>
      </c>
      <c r="W28" s="285">
        <v>0.15</v>
      </c>
      <c r="X28" s="286" t="s">
        <v>255</v>
      </c>
      <c r="Y28" s="287">
        <f t="shared" si="4"/>
        <v>156</v>
      </c>
      <c r="Z28" s="288">
        <f t="shared" si="5"/>
        <v>1585760.3121110243</v>
      </c>
      <c r="AA28" s="288">
        <f t="shared" si="6"/>
        <v>39000</v>
      </c>
      <c r="AB28" s="288">
        <f t="shared" si="7"/>
        <v>1617475.5183532448</v>
      </c>
      <c r="AC28" s="288">
        <f t="shared" si="28"/>
        <v>39670.800000000003</v>
      </c>
      <c r="AD28" s="287">
        <f t="shared" si="8"/>
        <v>4128866.7783622192</v>
      </c>
      <c r="AE28" s="287">
        <f t="shared" si="9"/>
        <v>3096650.0837716646</v>
      </c>
      <c r="AF28" s="287">
        <f t="shared" si="10"/>
        <v>70190735.232157722</v>
      </c>
      <c r="AG28" s="287">
        <f t="shared" si="11"/>
        <v>52643051.424118295</v>
      </c>
      <c r="AH28" s="287">
        <f t="shared" si="12"/>
        <v>-93198.187311644535</v>
      </c>
      <c r="AI28" s="287">
        <f t="shared" si="13"/>
        <v>-69898.640483733398</v>
      </c>
      <c r="AJ28" s="287">
        <f t="shared" si="14"/>
        <v>0</v>
      </c>
      <c r="AK28" s="287">
        <f t="shared" si="15"/>
        <v>0</v>
      </c>
      <c r="AL28" s="287">
        <f t="shared" si="16"/>
        <v>-56.793929269745071</v>
      </c>
      <c r="AM28" s="287">
        <f t="shared" si="17"/>
        <v>-42.595446952308805</v>
      </c>
      <c r="AN28" s="287">
        <f t="shared" si="18"/>
        <v>-16.775083991555647</v>
      </c>
      <c r="AO28" s="287">
        <f t="shared" si="19"/>
        <v>-12.581312993666732</v>
      </c>
      <c r="AP28" s="287">
        <f t="shared" si="20"/>
        <v>6073492.711161322</v>
      </c>
      <c r="AQ28" s="287">
        <f t="shared" si="21"/>
        <v>4555119.5333709912</v>
      </c>
      <c r="AR28" s="287">
        <f t="shared" si="22"/>
        <v>3096650.0837716646</v>
      </c>
      <c r="AS28" s="289" t="e">
        <f>IF(J28='2027 Avoided Costs'!#REF!,3,5)</f>
        <v>#REF!</v>
      </c>
      <c r="AT28" s="290" cm="1">
        <f t="array" ref="AT28">IFERROR(IF($J28="Baseload",IF($O28=1,0,NPV('2027 Avoided Costs'!$D$6,_xlfn._xlws.FILTER('2027 Avoided Costs'!$C$14:$C$47,('2027 Avoided Costs'!$B$14:$B$47&gt;=$B28+1)*('2027 Avoided Costs'!$B$14:$B$47&lt;$B28+ROUND($O28,0)))))+_xlfn.XLOOKUP($B28,'2027 Avoided Costs'!$B$13:$B$47,'2027 Avoided Costs'!$C$13:$C$47),IF($O28=1,0,NPV('2027 Avoided Costs'!$D$6,_xlfn._xlws.FILTER('2027 Avoided Costs'!$E$14:$E$47,('2027 Avoided Costs'!$B$14:$B$47&gt;=$B28+1)*('2027 Avoided Costs'!$B$14:$B$47&lt;$B28+ROUND($O28,0)))))+_xlfn.XLOOKUP($B28,'2027 Avoided Costs'!$B$13:$B$47,'2027 Avoided Costs'!$E$13:$E$47))*IF($AE28&gt;0,$AE28*(1+$W28),0),0)</f>
        <v>14022658.704870518</v>
      </c>
      <c r="AU28" s="290" cm="1">
        <f t="array" ref="AU28">IFERROR((IF($O28=1,0,NPV('2027 Avoided Costs'!$D$6,_xlfn._xlws.FILTER('2027 Avoided Costs'!$M$14:$M$47,('2027 Avoided Costs'!$B$14:$B$47&gt;=$B28+1)*('2027 Avoided Costs'!$B$14:$B$47&lt;$B28+ROUND($O28,0)))))+_xlfn.XLOOKUP($B28,'2027 Avoided Costs'!$B$13:$B$47,'2027 Avoided Costs'!$M$13:$M$47))*IF($AK28&gt;0,$AK28*(1+$W28),0),0)</f>
        <v>0</v>
      </c>
      <c r="AV28" s="291" cm="1">
        <f t="array" ref="AV28">IFERROR((IF($O28=1,0,NPV('2027 Avoided Costs'!$D$6,_xlfn._xlws.FILTER('2027 Avoided Costs'!$Q$14:$Q$47,('2027 Avoided Costs'!$B$14:$B$47&gt;=$B28+1)*('2027 Avoided Costs'!$B$14:$B$47&lt;$B28+ROUND($O28,0)))))+_xlfn.XLOOKUP($B28,'2027 Avoided Costs'!$B$13:$B$47,'2027 Avoided Costs'!$Q$13:$Q$47))*IF($AI28&gt;0,$AI28*(1+$W28),0),0)</f>
        <v>0</v>
      </c>
      <c r="AW28" s="291" cm="1">
        <f t="array" ref="AW28">IFERROR((IF($O28=1,0,NPV('2027 Avoided Costs'!$D$6,_xlfn._xlws.FILTER('2027 Avoided Costs'!$W$14:$W$47,('2027 Avoided Costs'!$B$14:$B$47&gt;=$B28+1)*('2027 Avoided Costs'!$B$14:$B$47&lt;$B28+ROUND($O28,0)))))+_xlfn.XLOOKUP($B28,'2027 Avoided Costs'!$B$13:$B$47,'2027 Avoided Costs'!$W$13:$W$47))*IF($AM28&gt;0,$AM28*(1+$W28),0),0)</f>
        <v>0</v>
      </c>
      <c r="AX28" s="291" cm="1">
        <f t="array" ref="AX28">IFERROR((IF($O28=1,0,NPV('2027 Avoided Costs'!$D$6,_xlfn._xlws.FILTER('2027 Avoided Costs'!$AC$14:$AC$47,('2027 Avoided Costs'!$B$14:$B$47&gt;=$B28+1)*('2027 Avoided Costs'!$B$14:$B$47&lt;$B28+ROUND($O28,0)))))+_xlfn.XLOOKUP($B28,'2027 Avoided Costs'!$B$13:$B$47,'2027 Avoided Costs'!$AC$13:$AC$47))*IF($AO28&gt;0,$AO28*(1+$W28),0),0)</f>
        <v>0</v>
      </c>
      <c r="AY28" s="291" cm="1">
        <f t="array" ref="AY28">IFERROR((IF($O28=1,0,NPV('2027 Avoided Costs'!$D$4,_xlfn._xlws.FILTER('2027 Avoided Costs'!$I$14:$I$47,('2027 Avoided Costs'!$B$14:$B$47&gt;=$B28+1)*('2027 Avoided Costs'!$B$14:$B$47&lt;$B28+ROUND($O28,0)))))+_xlfn.XLOOKUP($B28,'2027 Avoided Costs'!$B$13:$B$47,'2027 Avoided Costs'!$I$13:$I$47))*IF($X28="Residential",'2027 Avoided Costs'!$J$5,IF($X28="Large Volume",'2027 Avoided Costs'!$J$7,'2027 Avoided Costs'!$J$6))*IF($AE28&gt;0,$AE28,0),0)</f>
        <v>0</v>
      </c>
      <c r="AZ28" s="291" cm="1">
        <f t="array" ref="AZ28">IFERROR(IF($J28="Baseload",IF($O28=1,0,NPV('2027 Avoided Costs'!$D$6,_xlfn._xlws.FILTER('2027 Avoided Costs'!$C$14:$C$47,('2027 Avoided Costs'!$B$14:$B$47&gt;=$B28+1)*('2027 Avoided Costs'!$B$14:$B$47&lt;$B28+ROUND($O28,0)))))+_xlfn.XLOOKUP($B28,'2027 Avoided Costs'!$B$13:$B$47,'2027 Avoided Costs'!$C$13:$C$47),IF($O28=1,0,NPV('2027 Avoided Costs'!$D$6,_xlfn._xlws.FILTER('2027 Avoided Costs'!$E$14:$E$47,('2027 Avoided Costs'!$B$14:$B$47&gt;=$B28+1)*('2027 Avoided Costs'!$B$14:$B$47&lt;$B28+ROUND($O28,0)))))+_xlfn.XLOOKUP($B28,'2027 Avoided Costs'!$B$13:$B$47,'2027 Avoided Costs'!$E$13:$E$47))*IF($AE28&lt;0,$AE28*(-1),0),0)</f>
        <v>0</v>
      </c>
      <c r="BA28" s="291" cm="1">
        <f t="array" ref="BA28">IFERROR((IF($O28=1,0,NPV('2027 Avoided Costs'!$D$6,_xlfn._xlws.FILTER('2027 Avoided Costs'!$M$14:$M$47,('2027 Avoided Costs'!$B$14:$B$47&gt;=$B28+1)*('2027 Avoided Costs'!$B$14:$B$47&lt;$B28+ROUND($O28,0)))))+_xlfn.XLOOKUP($B28,'2027 Avoided Costs'!$B$13:$B$47,'2027 Avoided Costs'!$M$13:$M$47))*IF($AK28&lt;0,$AK28*(-1),0),0)</f>
        <v>0</v>
      </c>
      <c r="BB28" s="291" cm="1">
        <f t="array" ref="BB28">IFERROR((IF($O28=1,0,NPV('2027 Avoided Costs'!$D$6,_xlfn._xlws.FILTER('2027 Avoided Costs'!$S$14:$S$47,('2027 Avoided Costs'!$B$14:$B$47&gt;=$B28+1)*('2027 Avoided Costs'!$B$14:$B$47&lt;$B28+ROUND($O28,0)))))+_xlfn.XLOOKUP($B28,'2027 Avoided Costs'!$B$13:$B$47,'2027 Avoided Costs'!$S$13:$S$47))*IF($AI28&lt;0,$AI28*(-1),0),0)</f>
        <v>43923.510336835403</v>
      </c>
      <c r="BC28" s="291" cm="1">
        <f t="array" ref="BC28">IFERROR((IF($O28=1,0,NPV('2027 Avoided Costs'!$D$6,_xlfn._xlws.FILTER('2027 Avoided Costs'!$Y$14:$Y$47,('2027 Avoided Costs'!$B$14:$B$47&gt;=$B28+1)*('2027 Avoided Costs'!$B$14:$B$47&lt;$B28+ROUND($O28,0)))))+_xlfn.XLOOKUP($B28,'2027 Avoided Costs'!$B$13:$B$47,'2027 Avoided Costs'!$Y$13:$Y$47))*IF($AM28&lt;0,$AM28*(-1),0),0)</f>
        <v>151709.97378800411</v>
      </c>
      <c r="BD28" s="291" cm="1">
        <f t="array" ref="BD28">IFERROR((IF($O28=1,0,NPV('2027 Avoided Costs'!$D$6,_xlfn._xlws.FILTER('2027 Avoided Costs'!$AE$14:$AE$47,('2027 Avoided Costs'!$B$14:$B$47&gt;=$B28+1)*('2027 Avoided Costs'!$B$14:$B$47&lt;$B28+ROUND($O28,0)))))+_xlfn.XLOOKUP($B28,'2027 Avoided Costs'!$B$13:$B$47,'2027 Avoided Costs'!$AE$13:$AE$47))*IF($AO28&lt;0,$AO28*(-1),0),0)</f>
        <v>8170.269130048996</v>
      </c>
      <c r="BE28" s="291" cm="1">
        <f t="array" ref="BE28">IFERROR((IF($O28=1,0,NPV('2027 Avoided Costs'!$D$4,_xlfn._xlws.FILTER('2027 Avoided Costs'!$I$14:$I$47,('2027 Avoided Costs'!$B$14:$B$47&gt;=$B28+1)*('2027 Avoided Costs'!$B$14:$B$47&lt;$B28+ROUND($O28,0)))))+_xlfn.XLOOKUP($B28,'2027 Avoided Costs'!$B$13:$B$47,'2027 Avoided Costs'!$I$13:$I$47))*IF($X28="Residential",'2027 Avoided Costs'!$J$5,IF($X28="Large Volume",'2027 Avoided Costs'!$J$7,'2027 Avoided Costs'!$J$6))*IF($AE28&lt;0,$AE28*(-1),0),0)</f>
        <v>0</v>
      </c>
      <c r="BF28" s="291">
        <f t="shared" si="23"/>
        <v>14022658.704870518</v>
      </c>
      <c r="BG28" s="291">
        <f t="shared" si="24"/>
        <v>4758923.2866258798</v>
      </c>
      <c r="BH28" s="291">
        <f t="shared" si="25"/>
        <v>9263735.4182446375</v>
      </c>
      <c r="BI28" s="292">
        <f t="shared" si="29"/>
        <v>2.946603225204059</v>
      </c>
      <c r="BJ28" s="196" cm="1">
        <f t="array" ref="BJ28">IFERROR(IF($J28="Baseload",IF($O28=1,0,NPV('2027 Avoided Costs'!$D$6,_xlfn._xlws.FILTER('2027 Avoided Costs'!$C$14:$C$47,('2027 Avoided Costs'!$B$14:$B$47&gt;=$B28+1)*('2027 Avoided Costs'!$B$14:$B$47&lt;$B28+ROUND($O28,0)))))+_xlfn.XLOOKUP($B28,'2027 Avoided Costs'!$B$13:$B$47,'2027 Avoided Costs'!$C$13:$C$47),IF($O28=1,0,NPV('2027 Avoided Costs'!$D$6,_xlfn._xlws.FILTER('2027 Avoided Costs'!$E$14:$E$47,('2027 Avoided Costs'!$B$14:$B$47&gt;=$B28+1)*('2027 Avoided Costs'!$B$14:$B$47&lt;$B28+ROUND($O28,0)))))+_xlfn.XLOOKUP($B28,'2027 Avoided Costs'!$B$13:$B$47,'2027 Avoided Costs'!$E$13:$E$47))*IF($AE28&gt;0,$AE28*(1+0),0),0)</f>
        <v>12193616.2651048</v>
      </c>
      <c r="BK28" s="293">
        <f t="shared" si="26"/>
        <v>7.3582013429097541</v>
      </c>
    </row>
    <row r="29" spans="1:63" s="1" customFormat="1" x14ac:dyDescent="0.25">
      <c r="A29" s="270" t="s">
        <v>133</v>
      </c>
      <c r="B29" s="271">
        <v>2028</v>
      </c>
      <c r="C29" s="272" t="s">
        <v>13</v>
      </c>
      <c r="D29" s="272" t="s">
        <v>9</v>
      </c>
      <c r="E29" s="272" t="s">
        <v>350</v>
      </c>
      <c r="F29" s="273">
        <v>21</v>
      </c>
      <c r="G29" s="274">
        <v>10165.1302058399</v>
      </c>
      <c r="H29" s="275">
        <f t="shared" si="3"/>
        <v>0.35</v>
      </c>
      <c r="I29" s="274">
        <v>250</v>
      </c>
      <c r="J29" s="276" t="s">
        <v>263</v>
      </c>
      <c r="K29" s="277">
        <f t="shared" si="27"/>
        <v>0.75</v>
      </c>
      <c r="L29" s="278">
        <v>0.28000000000000003</v>
      </c>
      <c r="M29" s="278">
        <v>0.03</v>
      </c>
      <c r="N29" s="278">
        <v>0.9113</v>
      </c>
      <c r="O29" s="279">
        <v>17</v>
      </c>
      <c r="P29" s="280">
        <v>29043.229159542574</v>
      </c>
      <c r="Q29" s="281">
        <v>-611.54259459459558</v>
      </c>
      <c r="R29" s="282">
        <v>-6.9810798469702048E-2</v>
      </c>
      <c r="S29" s="282">
        <v>-6.9810798469702909E-2</v>
      </c>
      <c r="T29" s="281">
        <v>0</v>
      </c>
      <c r="U29" s="283">
        <v>1</v>
      </c>
      <c r="V29" s="284">
        <v>38932.645584367448</v>
      </c>
      <c r="W29" s="285">
        <v>0.15</v>
      </c>
      <c r="X29" s="286" t="s">
        <v>255</v>
      </c>
      <c r="Y29" s="287">
        <f t="shared" si="4"/>
        <v>21</v>
      </c>
      <c r="Z29" s="288">
        <f t="shared" si="5"/>
        <v>213467.7343226379</v>
      </c>
      <c r="AA29" s="288">
        <f t="shared" si="6"/>
        <v>5250</v>
      </c>
      <c r="AB29" s="288">
        <f t="shared" si="7"/>
        <v>217737.08900909068</v>
      </c>
      <c r="AC29" s="288">
        <f t="shared" si="28"/>
        <v>5340.3</v>
      </c>
      <c r="AD29" s="287">
        <f t="shared" si="8"/>
        <v>555808.98939491413</v>
      </c>
      <c r="AE29" s="287">
        <f t="shared" si="9"/>
        <v>416856.74204618559</v>
      </c>
      <c r="AF29" s="287">
        <f t="shared" si="10"/>
        <v>9448752.8197135404</v>
      </c>
      <c r="AG29" s="287">
        <f t="shared" si="11"/>
        <v>7086564.6147851553</v>
      </c>
      <c r="AH29" s="287">
        <f t="shared" si="12"/>
        <v>-12545.909830413686</v>
      </c>
      <c r="AI29" s="287">
        <f t="shared" si="13"/>
        <v>-9409.4323728102645</v>
      </c>
      <c r="AJ29" s="287">
        <f t="shared" si="14"/>
        <v>0</v>
      </c>
      <c r="AK29" s="287">
        <f t="shared" si="15"/>
        <v>0</v>
      </c>
      <c r="AL29" s="287">
        <f t="shared" si="16"/>
        <v>-1.4321814874901335</v>
      </c>
      <c r="AM29" s="287">
        <f t="shared" si="17"/>
        <v>-1.0741361156175999</v>
      </c>
      <c r="AN29" s="287">
        <f t="shared" si="18"/>
        <v>-1.4321814874901513</v>
      </c>
      <c r="AO29" s="287">
        <f t="shared" si="19"/>
        <v>-1.0741361156176135</v>
      </c>
      <c r="AP29" s="287">
        <f t="shared" si="20"/>
        <v>817585.55727171642</v>
      </c>
      <c r="AQ29" s="287">
        <f t="shared" si="21"/>
        <v>613189.16795378737</v>
      </c>
      <c r="AR29" s="287">
        <f t="shared" si="22"/>
        <v>416856.74204618559</v>
      </c>
      <c r="AS29" s="289" t="e">
        <f>IF(J29='2027 Avoided Costs'!#REF!,3,5)</f>
        <v>#REF!</v>
      </c>
      <c r="AT29" s="290" cm="1">
        <f t="array" ref="AT29">IFERROR(IF($J29="Baseload",IF($O29=1,0,NPV('2027 Avoided Costs'!$D$6,_xlfn._xlws.FILTER('2027 Avoided Costs'!$C$14:$C$47,('2027 Avoided Costs'!$B$14:$B$47&gt;=$B29+1)*('2027 Avoided Costs'!$B$14:$B$47&lt;$B29+ROUND($O29,0)))))+_xlfn.XLOOKUP($B29,'2027 Avoided Costs'!$B$13:$B$47,'2027 Avoided Costs'!$C$13:$C$47),IF($O29=1,0,NPV('2027 Avoided Costs'!$D$6,_xlfn._xlws.FILTER('2027 Avoided Costs'!$E$14:$E$47,('2027 Avoided Costs'!$B$14:$B$47&gt;=$B29+1)*('2027 Avoided Costs'!$B$14:$B$47&lt;$B29+ROUND($O29,0)))))+_xlfn.XLOOKUP($B29,'2027 Avoided Costs'!$B$13:$B$47,'2027 Avoided Costs'!$E$13:$E$47))*IF($AE29&gt;0,$AE29*(1+$W29),0),0)</f>
        <v>1684694.5302564662</v>
      </c>
      <c r="AU29" s="290" cm="1">
        <f t="array" ref="AU29">IFERROR((IF($O29=1,0,NPV('2027 Avoided Costs'!$D$6,_xlfn._xlws.FILTER('2027 Avoided Costs'!$M$14:$M$47,('2027 Avoided Costs'!$B$14:$B$47&gt;=$B29+1)*('2027 Avoided Costs'!$B$14:$B$47&lt;$B29+ROUND($O29,0)))))+_xlfn.XLOOKUP($B29,'2027 Avoided Costs'!$B$13:$B$47,'2027 Avoided Costs'!$M$13:$M$47))*IF($AK29&gt;0,$AK29*(1+$W29),0),0)</f>
        <v>0</v>
      </c>
      <c r="AV29" s="291" cm="1">
        <f t="array" ref="AV29">IFERROR((IF($O29=1,0,NPV('2027 Avoided Costs'!$D$6,_xlfn._xlws.FILTER('2027 Avoided Costs'!$Q$14:$Q$47,('2027 Avoided Costs'!$B$14:$B$47&gt;=$B29+1)*('2027 Avoided Costs'!$B$14:$B$47&lt;$B29+ROUND($O29,0)))))+_xlfn.XLOOKUP($B29,'2027 Avoided Costs'!$B$13:$B$47,'2027 Avoided Costs'!$Q$13:$Q$47))*IF($AI29&gt;0,$AI29*(1+$W29),0),0)</f>
        <v>0</v>
      </c>
      <c r="AW29" s="291" cm="1">
        <f t="array" ref="AW29">IFERROR((IF($O29=1,0,NPV('2027 Avoided Costs'!$D$6,_xlfn._xlws.FILTER('2027 Avoided Costs'!$W$14:$W$47,('2027 Avoided Costs'!$B$14:$B$47&gt;=$B29+1)*('2027 Avoided Costs'!$B$14:$B$47&lt;$B29+ROUND($O29,0)))))+_xlfn.XLOOKUP($B29,'2027 Avoided Costs'!$B$13:$B$47,'2027 Avoided Costs'!$W$13:$W$47))*IF($AM29&gt;0,$AM29*(1+$W29),0),0)</f>
        <v>0</v>
      </c>
      <c r="AX29" s="291" cm="1">
        <f t="array" ref="AX29">IFERROR((IF($O29=1,0,NPV('2027 Avoided Costs'!$D$6,_xlfn._xlws.FILTER('2027 Avoided Costs'!$AC$14:$AC$47,('2027 Avoided Costs'!$B$14:$B$47&gt;=$B29+1)*('2027 Avoided Costs'!$B$14:$B$47&lt;$B29+ROUND($O29,0)))))+_xlfn.XLOOKUP($B29,'2027 Avoided Costs'!$B$13:$B$47,'2027 Avoided Costs'!$AC$13:$AC$47))*IF($AO29&gt;0,$AO29*(1+$W29),0),0)</f>
        <v>0</v>
      </c>
      <c r="AY29" s="291" cm="1">
        <f t="array" ref="AY29">IFERROR((IF($O29=1,0,NPV('2027 Avoided Costs'!$D$4,_xlfn._xlws.FILTER('2027 Avoided Costs'!$I$14:$I$47,('2027 Avoided Costs'!$B$14:$B$47&gt;=$B29+1)*('2027 Avoided Costs'!$B$14:$B$47&lt;$B29+ROUND($O29,0)))))+_xlfn.XLOOKUP($B29,'2027 Avoided Costs'!$B$13:$B$47,'2027 Avoided Costs'!$I$13:$I$47))*IF($X29="Residential",'2027 Avoided Costs'!$J$5,IF($X29="Large Volume",'2027 Avoided Costs'!$J$7,'2027 Avoided Costs'!$J$6))*IF($AE29&gt;0,$AE29,0),0)</f>
        <v>0</v>
      </c>
      <c r="AZ29" s="291" cm="1">
        <f t="array" ref="AZ29">IFERROR(IF($J29="Baseload",IF($O29=1,0,NPV('2027 Avoided Costs'!$D$6,_xlfn._xlws.FILTER('2027 Avoided Costs'!$C$14:$C$47,('2027 Avoided Costs'!$B$14:$B$47&gt;=$B29+1)*('2027 Avoided Costs'!$B$14:$B$47&lt;$B29+ROUND($O29,0)))))+_xlfn.XLOOKUP($B29,'2027 Avoided Costs'!$B$13:$B$47,'2027 Avoided Costs'!$C$13:$C$47),IF($O29=1,0,NPV('2027 Avoided Costs'!$D$6,_xlfn._xlws.FILTER('2027 Avoided Costs'!$E$14:$E$47,('2027 Avoided Costs'!$B$14:$B$47&gt;=$B29+1)*('2027 Avoided Costs'!$B$14:$B$47&lt;$B29+ROUND($O29,0)))))+_xlfn.XLOOKUP($B29,'2027 Avoided Costs'!$B$13:$B$47,'2027 Avoided Costs'!$E$13:$E$47))*IF($AE29&lt;0,$AE29*(-1),0),0)</f>
        <v>0</v>
      </c>
      <c r="BA29" s="291" cm="1">
        <f t="array" ref="BA29">IFERROR((IF($O29=1,0,NPV('2027 Avoided Costs'!$D$6,_xlfn._xlws.FILTER('2027 Avoided Costs'!$M$14:$M$47,('2027 Avoided Costs'!$B$14:$B$47&gt;=$B29+1)*('2027 Avoided Costs'!$B$14:$B$47&lt;$B29+ROUND($O29,0)))))+_xlfn.XLOOKUP($B29,'2027 Avoided Costs'!$B$13:$B$47,'2027 Avoided Costs'!$M$13:$M$47))*IF($AK29&lt;0,$AK29*(-1),0),0)</f>
        <v>0</v>
      </c>
      <c r="BB29" s="291" cm="1">
        <f t="array" ref="BB29">IFERROR((IF($O29=1,0,NPV('2027 Avoided Costs'!$D$6,_xlfn._xlws.FILTER('2027 Avoided Costs'!$S$14:$S$47,('2027 Avoided Costs'!$B$14:$B$47&gt;=$B29+1)*('2027 Avoided Costs'!$B$14:$B$47&lt;$B29+ROUND($O29,0)))))+_xlfn.XLOOKUP($B29,'2027 Avoided Costs'!$B$13:$B$47,'2027 Avoided Costs'!$S$13:$S$47))*IF($AI29&lt;0,$AI29*(-1),0),0)</f>
        <v>5912.7802376509189</v>
      </c>
      <c r="BC29" s="291" cm="1">
        <f t="array" ref="BC29">IFERROR((IF($O29=1,0,NPV('2027 Avoided Costs'!$D$6,_xlfn._xlws.FILTER('2027 Avoided Costs'!$Y$14:$Y$47,('2027 Avoided Costs'!$B$14:$B$47&gt;=$B29+1)*('2027 Avoided Costs'!$B$14:$B$47&lt;$B29+ROUND($O29,0)))))+_xlfn.XLOOKUP($B29,'2027 Avoided Costs'!$B$13:$B$47,'2027 Avoided Costs'!$Y$13:$Y$47))*IF($AM29&lt;0,$AM29*(-1),0),0)</f>
        <v>3825.6943782641038</v>
      </c>
      <c r="BD29" s="291" cm="1">
        <f t="array" ref="BD29">IFERROR((IF($O29=1,0,NPV('2027 Avoided Costs'!$D$6,_xlfn._xlws.FILTER('2027 Avoided Costs'!$AE$14:$AE$47,('2027 Avoided Costs'!$B$14:$B$47&gt;=$B29+1)*('2027 Avoided Costs'!$B$14:$B$47&lt;$B29+ROUND($O29,0)))))+_xlfn.XLOOKUP($B29,'2027 Avoided Costs'!$B$13:$B$47,'2027 Avoided Costs'!$AE$13:$AE$47))*IF($AO29&lt;0,$AO29*(-1),0),0)</f>
        <v>697.54096025741046</v>
      </c>
      <c r="BE29" s="291" cm="1">
        <f t="array" ref="BE29">IFERROR((IF($O29=1,0,NPV('2027 Avoided Costs'!$D$4,_xlfn._xlws.FILTER('2027 Avoided Costs'!$I$14:$I$47,('2027 Avoided Costs'!$B$14:$B$47&gt;=$B29+1)*('2027 Avoided Costs'!$B$14:$B$47&lt;$B29+ROUND($O29,0)))))+_xlfn.XLOOKUP($B29,'2027 Avoided Costs'!$B$13:$B$47,'2027 Avoided Costs'!$I$13:$I$47))*IF($X29="Residential",'2027 Avoided Costs'!$J$5,IF($X29="Large Volume",'2027 Avoided Costs'!$J$7,'2027 Avoided Costs'!$J$6))*IF($AE29&lt;0,$AE29*(-1),0),0)</f>
        <v>0</v>
      </c>
      <c r="BF29" s="291">
        <f t="shared" si="23"/>
        <v>1684694.5302564662</v>
      </c>
      <c r="BG29" s="291">
        <f t="shared" si="24"/>
        <v>623625.18352995976</v>
      </c>
      <c r="BH29" s="291">
        <f t="shared" si="25"/>
        <v>1061069.3467265065</v>
      </c>
      <c r="BI29" s="292">
        <f t="shared" si="29"/>
        <v>2.701453653171034</v>
      </c>
      <c r="BJ29" s="196" cm="1">
        <f t="array" ref="BJ29">IFERROR(IF($J29="Baseload",IF($O29=1,0,NPV('2027 Avoided Costs'!$D$6,_xlfn._xlws.FILTER('2027 Avoided Costs'!$C$14:$C$47,('2027 Avoided Costs'!$B$14:$B$47&gt;=$B29+1)*('2027 Avoided Costs'!$B$14:$B$47&lt;$B29+ROUND($O29,0)))))+_xlfn.XLOOKUP($B29,'2027 Avoided Costs'!$B$13:$B$47,'2027 Avoided Costs'!$C$13:$C$47),IF($O29=1,0,NPV('2027 Avoided Costs'!$D$6,_xlfn._xlws.FILTER('2027 Avoided Costs'!$E$14:$E$47,('2027 Avoided Costs'!$B$14:$B$47&gt;=$B29+1)*('2027 Avoided Costs'!$B$14:$B$47&lt;$B29+ROUND($O29,0)))))+_xlfn.XLOOKUP($B29,'2027 Avoided Costs'!$B$13:$B$47,'2027 Avoided Costs'!$E$13:$E$47))*IF($AE29&gt;0,$AE29*(1+0),0),0)</f>
        <v>1464951.7654404056</v>
      </c>
      <c r="BK29" s="293">
        <f t="shared" si="26"/>
        <v>6.5670114391589332</v>
      </c>
    </row>
    <row r="30" spans="1:63" s="1" customFormat="1" x14ac:dyDescent="0.25">
      <c r="A30" s="270" t="s">
        <v>133</v>
      </c>
      <c r="B30" s="271">
        <v>2028</v>
      </c>
      <c r="C30" s="272" t="s">
        <v>13</v>
      </c>
      <c r="D30" s="272" t="s">
        <v>9</v>
      </c>
      <c r="E30" s="272" t="s">
        <v>288</v>
      </c>
      <c r="F30" s="273">
        <v>9</v>
      </c>
      <c r="G30" s="274">
        <v>342034.15083073254</v>
      </c>
      <c r="H30" s="275">
        <f t="shared" si="3"/>
        <v>0.35</v>
      </c>
      <c r="I30" s="274">
        <v>250</v>
      </c>
      <c r="J30" s="276" t="s">
        <v>264</v>
      </c>
      <c r="K30" s="277">
        <f t="shared" si="27"/>
        <v>0.75</v>
      </c>
      <c r="L30" s="278">
        <v>0.28000000000000003</v>
      </c>
      <c r="M30" s="278">
        <v>0.03</v>
      </c>
      <c r="N30" s="278">
        <v>0.9113</v>
      </c>
      <c r="O30" s="279">
        <v>15</v>
      </c>
      <c r="P30" s="280">
        <v>977240.4309449502</v>
      </c>
      <c r="Q30" s="281">
        <v>-1028725.3874999998</v>
      </c>
      <c r="R30" s="282">
        <v>0</v>
      </c>
      <c r="S30" s="282">
        <v>-431</v>
      </c>
      <c r="T30" s="281">
        <v>0</v>
      </c>
      <c r="U30" s="283">
        <v>1</v>
      </c>
      <c r="V30" s="284">
        <v>2154112.8755555553</v>
      </c>
      <c r="W30" s="285">
        <v>0.15</v>
      </c>
      <c r="X30" s="286" t="s">
        <v>255</v>
      </c>
      <c r="Y30" s="287">
        <f t="shared" si="4"/>
        <v>9</v>
      </c>
      <c r="Z30" s="288">
        <f t="shared" si="5"/>
        <v>3078307.357476593</v>
      </c>
      <c r="AA30" s="288">
        <f t="shared" si="6"/>
        <v>2250</v>
      </c>
      <c r="AB30" s="288">
        <f t="shared" si="7"/>
        <v>3139873.5046261251</v>
      </c>
      <c r="AC30" s="288">
        <f t="shared" si="28"/>
        <v>2288.7000000000003</v>
      </c>
      <c r="AD30" s="287">
        <f t="shared" si="8"/>
        <v>8015032.8424811978</v>
      </c>
      <c r="AE30" s="287">
        <f t="shared" si="9"/>
        <v>6011274.6318608988</v>
      </c>
      <c r="AF30" s="287">
        <f t="shared" si="10"/>
        <v>120225492.63721797</v>
      </c>
      <c r="AG30" s="287">
        <f t="shared" si="11"/>
        <v>90169119.477913484</v>
      </c>
      <c r="AH30" s="287">
        <f t="shared" si="12"/>
        <v>-9044782.3954261784</v>
      </c>
      <c r="AI30" s="287">
        <f t="shared" si="13"/>
        <v>-6783586.7965696342</v>
      </c>
      <c r="AJ30" s="287">
        <f t="shared" si="14"/>
        <v>0</v>
      </c>
      <c r="AK30" s="287">
        <f t="shared" si="15"/>
        <v>0</v>
      </c>
      <c r="AL30" s="287">
        <f t="shared" si="16"/>
        <v>0</v>
      </c>
      <c r="AM30" s="287">
        <f t="shared" si="17"/>
        <v>0</v>
      </c>
      <c r="AN30" s="287">
        <f t="shared" si="18"/>
        <v>-3789.4478544000003</v>
      </c>
      <c r="AO30" s="287">
        <f t="shared" si="19"/>
        <v>-2842.0858908</v>
      </c>
      <c r="AP30" s="287">
        <f t="shared" si="20"/>
        <v>19387015.879999999</v>
      </c>
      <c r="AQ30" s="287">
        <f t="shared" si="21"/>
        <v>14540261.91</v>
      </c>
      <c r="AR30" s="287">
        <f t="shared" si="22"/>
        <v>6011274.6318608988</v>
      </c>
      <c r="AS30" s="289" t="e">
        <f>IF(J30='2027 Avoided Costs'!#REF!,3,5)</f>
        <v>#REF!</v>
      </c>
      <c r="AT30" s="290" cm="1">
        <f t="array" ref="AT30">IFERROR(IF($J30="Baseload",IF($O30=1,0,NPV('2027 Avoided Costs'!$D$6,_xlfn._xlws.FILTER('2027 Avoided Costs'!$C$14:$C$47,('2027 Avoided Costs'!$B$14:$B$47&gt;=$B30+1)*('2027 Avoided Costs'!$B$14:$B$47&lt;$B30+ROUND($O30,0)))))+_xlfn.XLOOKUP($B30,'2027 Avoided Costs'!$B$13:$B$47,'2027 Avoided Costs'!$C$13:$C$47),IF($O30=1,0,NPV('2027 Avoided Costs'!$D$6,_xlfn._xlws.FILTER('2027 Avoided Costs'!$E$14:$E$47,('2027 Avoided Costs'!$B$14:$B$47&gt;=$B30+1)*('2027 Avoided Costs'!$B$14:$B$47&lt;$B30+ROUND($O30,0)))))+_xlfn.XLOOKUP($B30,'2027 Avoided Costs'!$B$13:$B$47,'2027 Avoided Costs'!$E$13:$E$47))*IF($AE30&gt;0,$AE30*(1+$W30),0),0)</f>
        <v>24655587.788304761</v>
      </c>
      <c r="AU30" s="290" cm="1">
        <f t="array" ref="AU30">IFERROR((IF($O30=1,0,NPV('2027 Avoided Costs'!$D$6,_xlfn._xlws.FILTER('2027 Avoided Costs'!$M$14:$M$47,('2027 Avoided Costs'!$B$14:$B$47&gt;=$B30+1)*('2027 Avoided Costs'!$B$14:$B$47&lt;$B30+ROUND($O30,0)))))+_xlfn.XLOOKUP($B30,'2027 Avoided Costs'!$B$13:$B$47,'2027 Avoided Costs'!$M$13:$M$47))*IF($AK30&gt;0,$AK30*(1+$W30),0),0)</f>
        <v>0</v>
      </c>
      <c r="AV30" s="291" cm="1">
        <f t="array" ref="AV30">IFERROR((IF($O30=1,0,NPV('2027 Avoided Costs'!$D$6,_xlfn._xlws.FILTER('2027 Avoided Costs'!$Q$14:$Q$47,('2027 Avoided Costs'!$B$14:$B$47&gt;=$B30+1)*('2027 Avoided Costs'!$B$14:$B$47&lt;$B30+ROUND($O30,0)))))+_xlfn.XLOOKUP($B30,'2027 Avoided Costs'!$B$13:$B$47,'2027 Avoided Costs'!$Q$13:$Q$47))*IF($AI30&gt;0,$AI30*(1+$W30),0),0)</f>
        <v>0</v>
      </c>
      <c r="AW30" s="291" cm="1">
        <f t="array" ref="AW30">IFERROR((IF($O30=1,0,NPV('2027 Avoided Costs'!$D$6,_xlfn._xlws.FILTER('2027 Avoided Costs'!$W$14:$W$47,('2027 Avoided Costs'!$B$14:$B$47&gt;=$B30+1)*('2027 Avoided Costs'!$B$14:$B$47&lt;$B30+ROUND($O30,0)))))+_xlfn.XLOOKUP($B30,'2027 Avoided Costs'!$B$13:$B$47,'2027 Avoided Costs'!$W$13:$W$47))*IF($AM30&gt;0,$AM30*(1+$W30),0),0)</f>
        <v>0</v>
      </c>
      <c r="AX30" s="291" cm="1">
        <f t="array" ref="AX30">IFERROR((IF($O30=1,0,NPV('2027 Avoided Costs'!$D$6,_xlfn._xlws.FILTER('2027 Avoided Costs'!$AC$14:$AC$47,('2027 Avoided Costs'!$B$14:$B$47&gt;=$B30+1)*('2027 Avoided Costs'!$B$14:$B$47&lt;$B30+ROUND($O30,0)))))+_xlfn.XLOOKUP($B30,'2027 Avoided Costs'!$B$13:$B$47,'2027 Avoided Costs'!$AC$13:$AC$47))*IF($AO30&gt;0,$AO30*(1+$W30),0),0)</f>
        <v>0</v>
      </c>
      <c r="AY30" s="291" cm="1">
        <f t="array" ref="AY30">IFERROR((IF($O30=1,0,NPV('2027 Avoided Costs'!$D$4,_xlfn._xlws.FILTER('2027 Avoided Costs'!$I$14:$I$47,('2027 Avoided Costs'!$B$14:$B$47&gt;=$B30+1)*('2027 Avoided Costs'!$B$14:$B$47&lt;$B30+ROUND($O30,0)))))+_xlfn.XLOOKUP($B30,'2027 Avoided Costs'!$B$13:$B$47,'2027 Avoided Costs'!$I$13:$I$47))*IF($X30="Residential",'2027 Avoided Costs'!$J$5,IF($X30="Large Volume",'2027 Avoided Costs'!$J$7,'2027 Avoided Costs'!$J$6))*IF($AE30&gt;0,$AE30,0),0)</f>
        <v>0</v>
      </c>
      <c r="AZ30" s="291" cm="1">
        <f t="array" ref="AZ30">IFERROR(IF($J30="Baseload",IF($O30=1,0,NPV('2027 Avoided Costs'!$D$6,_xlfn._xlws.FILTER('2027 Avoided Costs'!$C$14:$C$47,('2027 Avoided Costs'!$B$14:$B$47&gt;=$B30+1)*('2027 Avoided Costs'!$B$14:$B$47&lt;$B30+ROUND($O30,0)))))+_xlfn.XLOOKUP($B30,'2027 Avoided Costs'!$B$13:$B$47,'2027 Avoided Costs'!$C$13:$C$47),IF($O30=1,0,NPV('2027 Avoided Costs'!$D$6,_xlfn._xlws.FILTER('2027 Avoided Costs'!$E$14:$E$47,('2027 Avoided Costs'!$B$14:$B$47&gt;=$B30+1)*('2027 Avoided Costs'!$B$14:$B$47&lt;$B30+ROUND($O30,0)))))+_xlfn.XLOOKUP($B30,'2027 Avoided Costs'!$B$13:$B$47,'2027 Avoided Costs'!$E$13:$E$47))*IF($AE30&lt;0,$AE30*(-1),0),0)</f>
        <v>0</v>
      </c>
      <c r="BA30" s="291" cm="1">
        <f t="array" ref="BA30">IFERROR((IF($O30=1,0,NPV('2027 Avoided Costs'!$D$6,_xlfn._xlws.FILTER('2027 Avoided Costs'!$M$14:$M$47,('2027 Avoided Costs'!$B$14:$B$47&gt;=$B30+1)*('2027 Avoided Costs'!$B$14:$B$47&lt;$B30+ROUND($O30,0)))))+_xlfn.XLOOKUP($B30,'2027 Avoided Costs'!$B$13:$B$47,'2027 Avoided Costs'!$M$13:$M$47))*IF($AK30&lt;0,$AK30*(-1),0),0)</f>
        <v>0</v>
      </c>
      <c r="BB30" s="291" cm="1">
        <f t="array" ref="BB30">IFERROR((IF($O30=1,0,NPV('2027 Avoided Costs'!$D$6,_xlfn._xlws.FILTER('2027 Avoided Costs'!$S$14:$S$47,('2027 Avoided Costs'!$B$14:$B$47&gt;=$B30+1)*('2027 Avoided Costs'!$B$14:$B$47&lt;$B30+ROUND($O30,0)))))+_xlfn.XLOOKUP($B30,'2027 Avoided Costs'!$B$13:$B$47,'2027 Avoided Costs'!$S$13:$S$47))*IF($AI30&lt;0,$AI30*(-1),0),0)</f>
        <v>3853661.3535419507</v>
      </c>
      <c r="BC30" s="291" cm="1">
        <f t="array" ref="BC30">IFERROR((IF($O30=1,0,NPV('2027 Avoided Costs'!$D$6,_xlfn._xlws.FILTER('2027 Avoided Costs'!$Y$14:$Y$47,('2027 Avoided Costs'!$B$14:$B$47&gt;=$B30+1)*('2027 Avoided Costs'!$B$14:$B$47&lt;$B30+ROUND($O30,0)))))+_xlfn.XLOOKUP($B30,'2027 Avoided Costs'!$B$13:$B$47,'2027 Avoided Costs'!$Y$13:$Y$47))*IF($AM30&lt;0,$AM30*(-1),0),0)</f>
        <v>0</v>
      </c>
      <c r="BD30" s="291" cm="1">
        <f t="array" ref="BD30">IFERROR((IF($O30=1,0,NPV('2027 Avoided Costs'!$D$6,_xlfn._xlws.FILTER('2027 Avoided Costs'!$AE$14:$AE$47,('2027 Avoided Costs'!$B$14:$B$47&gt;=$B30+1)*('2027 Avoided Costs'!$B$14:$B$47&lt;$B30+ROUND($O30,0)))))+_xlfn.XLOOKUP($B30,'2027 Avoided Costs'!$B$13:$B$47,'2027 Avoided Costs'!$AE$13:$AE$47))*IF($AO30&lt;0,$AO30*(-1),0),0)</f>
        <v>640131.26339170837</v>
      </c>
      <c r="BE30" s="291" cm="1">
        <f t="array" ref="BE30">IFERROR((IF($O30=1,0,NPV('2027 Avoided Costs'!$D$4,_xlfn._xlws.FILTER('2027 Avoided Costs'!$I$14:$I$47,('2027 Avoided Costs'!$B$14:$B$47&gt;=$B30+1)*('2027 Avoided Costs'!$B$14:$B$47&lt;$B30+ROUND($O30,0)))))+_xlfn.XLOOKUP($B30,'2027 Avoided Costs'!$B$13:$B$47,'2027 Avoided Costs'!$I$13:$I$47))*IF($X30="Residential",'2027 Avoided Costs'!$J$5,IF($X30="Large Volume",'2027 Avoided Costs'!$J$7,'2027 Avoided Costs'!$J$6))*IF($AE30&lt;0,$AE30*(-1),0),0)</f>
        <v>0</v>
      </c>
      <c r="BF30" s="291">
        <f t="shared" si="23"/>
        <v>24655587.788304761</v>
      </c>
      <c r="BG30" s="291">
        <f t="shared" si="24"/>
        <v>19034054.526933659</v>
      </c>
      <c r="BH30" s="291">
        <f t="shared" si="25"/>
        <v>5621533.2613711022</v>
      </c>
      <c r="BI30" s="292">
        <f t="shared" si="29"/>
        <v>1.2953408194463505</v>
      </c>
      <c r="BJ30" s="196" cm="1">
        <f t="array" ref="BJ30">IFERROR(IF($J30="Baseload",IF($O30=1,0,NPV('2027 Avoided Costs'!$D$6,_xlfn._xlws.FILTER('2027 Avoided Costs'!$C$14:$C$47,('2027 Avoided Costs'!$B$14:$B$47&gt;=$B30+1)*('2027 Avoided Costs'!$B$14:$B$47&lt;$B30+ROUND($O30,0)))))+_xlfn.XLOOKUP($B30,'2027 Avoided Costs'!$B$13:$B$47,'2027 Avoided Costs'!$C$13:$C$47),IF($O30=1,0,NPV('2027 Avoided Costs'!$D$6,_xlfn._xlws.FILTER('2027 Avoided Costs'!$E$14:$E$47,('2027 Avoided Costs'!$B$14:$B$47&gt;=$B30+1)*('2027 Avoided Costs'!$B$14:$B$47&lt;$B30+ROUND($O30,0)))))+_xlfn.XLOOKUP($B30,'2027 Avoided Costs'!$B$13:$B$47,'2027 Avoided Costs'!$E$13:$E$47))*IF($AE30&gt;0,$AE30*(1+0),0),0)</f>
        <v>21439641.55504762</v>
      </c>
      <c r="BK30" s="293">
        <f t="shared" si="26"/>
        <v>6.8232128575293096</v>
      </c>
    </row>
    <row r="31" spans="1:63" s="1" customFormat="1" x14ac:dyDescent="0.25">
      <c r="A31" s="270" t="s">
        <v>133</v>
      </c>
      <c r="B31" s="271">
        <v>2028</v>
      </c>
      <c r="C31" s="272" t="s">
        <v>13</v>
      </c>
      <c r="D31" s="272" t="s">
        <v>9</v>
      </c>
      <c r="E31" s="272" t="s">
        <v>289</v>
      </c>
      <c r="F31" s="273">
        <v>166</v>
      </c>
      <c r="G31" s="274">
        <v>4698.0249578615203</v>
      </c>
      <c r="H31" s="275">
        <f t="shared" si="3"/>
        <v>0.96502300196168755</v>
      </c>
      <c r="I31" s="274">
        <v>250</v>
      </c>
      <c r="J31" s="276" t="s">
        <v>264</v>
      </c>
      <c r="K31" s="277">
        <f t="shared" si="27"/>
        <v>0.75</v>
      </c>
      <c r="L31" s="278">
        <v>0.28000000000000003</v>
      </c>
      <c r="M31" s="278">
        <v>0.03</v>
      </c>
      <c r="N31" s="278">
        <v>0.9113</v>
      </c>
      <c r="O31" s="279">
        <v>17</v>
      </c>
      <c r="P31" s="280">
        <v>4868.3036034492752</v>
      </c>
      <c r="Q31" s="281">
        <v>367.32758064516116</v>
      </c>
      <c r="R31" s="282">
        <v>0.22384530467559094</v>
      </c>
      <c r="S31" s="282">
        <v>6.6116640199584784E-2</v>
      </c>
      <c r="T31" s="281">
        <v>0</v>
      </c>
      <c r="U31" s="283">
        <v>0</v>
      </c>
      <c r="V31" s="284">
        <v>15522.169808517197</v>
      </c>
      <c r="W31" s="285">
        <v>0.15</v>
      </c>
      <c r="X31" s="286" t="s">
        <v>255</v>
      </c>
      <c r="Y31" s="287">
        <f t="shared" si="4"/>
        <v>166</v>
      </c>
      <c r="Z31" s="288">
        <f t="shared" si="5"/>
        <v>779872.14300501242</v>
      </c>
      <c r="AA31" s="288">
        <f t="shared" si="6"/>
        <v>41500</v>
      </c>
      <c r="AB31" s="288">
        <f t="shared" si="7"/>
        <v>795469.58586511272</v>
      </c>
      <c r="AC31" s="288">
        <f t="shared" si="28"/>
        <v>42213.8</v>
      </c>
      <c r="AD31" s="287">
        <f t="shared" si="8"/>
        <v>736456.5222546719</v>
      </c>
      <c r="AE31" s="287">
        <f t="shared" si="9"/>
        <v>552342.39169100393</v>
      </c>
      <c r="AF31" s="287">
        <f t="shared" si="10"/>
        <v>12519760.878329422</v>
      </c>
      <c r="AG31" s="287">
        <f t="shared" si="11"/>
        <v>9389820.6587470658</v>
      </c>
      <c r="AH31" s="287">
        <f t="shared" si="12"/>
        <v>59568.653325100888</v>
      </c>
      <c r="AI31" s="287">
        <f t="shared" si="13"/>
        <v>44676.489993825671</v>
      </c>
      <c r="AJ31" s="287">
        <f t="shared" si="14"/>
        <v>0</v>
      </c>
      <c r="AK31" s="287">
        <f t="shared" si="15"/>
        <v>0</v>
      </c>
      <c r="AL31" s="287">
        <f t="shared" si="16"/>
        <v>36.300468723998911</v>
      </c>
      <c r="AM31" s="287">
        <f t="shared" si="17"/>
        <v>27.225351542999185</v>
      </c>
      <c r="AN31" s="287">
        <f t="shared" si="18"/>
        <v>10.721980669548662</v>
      </c>
      <c r="AO31" s="287">
        <f t="shared" si="19"/>
        <v>8.0414855021614962</v>
      </c>
      <c r="AP31" s="287">
        <f t="shared" si="20"/>
        <v>2576680.1882138546</v>
      </c>
      <c r="AQ31" s="287">
        <f t="shared" si="21"/>
        <v>1932510.1411603908</v>
      </c>
      <c r="AR31" s="287">
        <f t="shared" si="22"/>
        <v>0</v>
      </c>
      <c r="AS31" s="289" t="e">
        <f>IF(J31='2027 Avoided Costs'!#REF!,3,5)</f>
        <v>#REF!</v>
      </c>
      <c r="AT31" s="290" cm="1">
        <f t="array" ref="AT31">IFERROR(IF($J31="Baseload",IF($O31=1,0,NPV('2027 Avoided Costs'!$D$6,_xlfn._xlws.FILTER('2027 Avoided Costs'!$C$14:$C$47,('2027 Avoided Costs'!$B$14:$B$47&gt;=$B31+1)*('2027 Avoided Costs'!$B$14:$B$47&lt;$B31+ROUND($O31,0)))))+_xlfn.XLOOKUP($B31,'2027 Avoided Costs'!$B$13:$B$47,'2027 Avoided Costs'!$C$13:$C$47),IF($O31=1,0,NPV('2027 Avoided Costs'!$D$6,_xlfn._xlws.FILTER('2027 Avoided Costs'!$E$14:$E$47,('2027 Avoided Costs'!$B$14:$B$47&gt;=$B31+1)*('2027 Avoided Costs'!$B$14:$B$47&lt;$B31+ROUND($O31,0)))))+_xlfn.XLOOKUP($B31,'2027 Avoided Costs'!$B$13:$B$47,'2027 Avoided Costs'!$E$13:$E$47))*IF($AE31&gt;0,$AE31*(1+$W31),0),0)</f>
        <v>2501189.5556120472</v>
      </c>
      <c r="AU31" s="290" cm="1">
        <f t="array" ref="AU31">IFERROR((IF($O31=1,0,NPV('2027 Avoided Costs'!$D$6,_xlfn._xlws.FILTER('2027 Avoided Costs'!$M$14:$M$47,('2027 Avoided Costs'!$B$14:$B$47&gt;=$B31+1)*('2027 Avoided Costs'!$B$14:$B$47&lt;$B31+ROUND($O31,0)))))+_xlfn.XLOOKUP($B31,'2027 Avoided Costs'!$B$13:$B$47,'2027 Avoided Costs'!$M$13:$M$47))*IF($AK31&gt;0,$AK31*(1+$W31),0),0)</f>
        <v>0</v>
      </c>
      <c r="AV31" s="291" cm="1">
        <f t="array" ref="AV31">IFERROR((IF($O31=1,0,NPV('2027 Avoided Costs'!$D$6,_xlfn._xlws.FILTER('2027 Avoided Costs'!$Q$14:$Q$47,('2027 Avoided Costs'!$B$14:$B$47&gt;=$B31+1)*('2027 Avoided Costs'!$B$14:$B$47&lt;$B31+ROUND($O31,0)))))+_xlfn.XLOOKUP($B31,'2027 Avoided Costs'!$B$13:$B$47,'2027 Avoided Costs'!$Q$13:$Q$47))*IF($AI31&gt;0,$AI31*(1+$W31),0),0)</f>
        <v>32285.327653705888</v>
      </c>
      <c r="AW31" s="291" cm="1">
        <f t="array" ref="AW31">IFERROR((IF($O31=1,0,NPV('2027 Avoided Costs'!$D$6,_xlfn._xlws.FILTER('2027 Avoided Costs'!$W$14:$W$47,('2027 Avoided Costs'!$B$14:$B$47&gt;=$B31+1)*('2027 Avoided Costs'!$B$14:$B$47&lt;$B31+ROUND($O31,0)))))+_xlfn.XLOOKUP($B31,'2027 Avoided Costs'!$B$13:$B$47,'2027 Avoided Costs'!$W$13:$W$47))*IF($AM31&gt;0,$AM31*(1+$W31),0),0)</f>
        <v>111512.17592855389</v>
      </c>
      <c r="AX31" s="291" cm="1">
        <f t="array" ref="AX31">IFERROR((IF($O31=1,0,NPV('2027 Avoided Costs'!$D$6,_xlfn._xlws.FILTER('2027 Avoided Costs'!$AC$14:$AC$47,('2027 Avoided Costs'!$B$14:$B$47&gt;=$B31+1)*('2027 Avoided Costs'!$B$14:$B$47&lt;$B31+ROUND($O31,0)))))+_xlfn.XLOOKUP($B31,'2027 Avoided Costs'!$B$13:$B$47,'2027 Avoided Costs'!$AC$13:$AC$47))*IF($AO31&gt;0,$AO31*(1+$W31),0),0)</f>
        <v>6005.4356735094061</v>
      </c>
      <c r="AY31" s="291" cm="1">
        <f t="array" ref="AY31">IFERROR((IF($O31=1,0,NPV('2027 Avoided Costs'!$D$4,_xlfn._xlws.FILTER('2027 Avoided Costs'!$I$14:$I$47,('2027 Avoided Costs'!$B$14:$B$47&gt;=$B31+1)*('2027 Avoided Costs'!$B$14:$B$47&lt;$B31+ROUND($O31,0)))))+_xlfn.XLOOKUP($B31,'2027 Avoided Costs'!$B$13:$B$47,'2027 Avoided Costs'!$I$13:$I$47))*IF($X31="Residential",'2027 Avoided Costs'!$J$5,IF($X31="Large Volume",'2027 Avoided Costs'!$J$7,'2027 Avoided Costs'!$J$6))*IF($AE31&gt;0,$AE31,0),0)</f>
        <v>0</v>
      </c>
      <c r="AZ31" s="291" cm="1">
        <f t="array" ref="AZ31">IFERROR(IF($J31="Baseload",IF($O31=1,0,NPV('2027 Avoided Costs'!$D$6,_xlfn._xlws.FILTER('2027 Avoided Costs'!$C$14:$C$47,('2027 Avoided Costs'!$B$14:$B$47&gt;=$B31+1)*('2027 Avoided Costs'!$B$14:$B$47&lt;$B31+ROUND($O31,0)))))+_xlfn.XLOOKUP($B31,'2027 Avoided Costs'!$B$13:$B$47,'2027 Avoided Costs'!$C$13:$C$47),IF($O31=1,0,NPV('2027 Avoided Costs'!$D$6,_xlfn._xlws.FILTER('2027 Avoided Costs'!$E$14:$E$47,('2027 Avoided Costs'!$B$14:$B$47&gt;=$B31+1)*('2027 Avoided Costs'!$B$14:$B$47&lt;$B31+ROUND($O31,0)))))+_xlfn.XLOOKUP($B31,'2027 Avoided Costs'!$B$13:$B$47,'2027 Avoided Costs'!$E$13:$E$47))*IF($AE31&lt;0,$AE31*(-1),0),0)</f>
        <v>0</v>
      </c>
      <c r="BA31" s="291" cm="1">
        <f t="array" ref="BA31">IFERROR((IF($O31=1,0,NPV('2027 Avoided Costs'!$D$6,_xlfn._xlws.FILTER('2027 Avoided Costs'!$M$14:$M$47,('2027 Avoided Costs'!$B$14:$B$47&gt;=$B31+1)*('2027 Avoided Costs'!$B$14:$B$47&lt;$B31+ROUND($O31,0)))))+_xlfn.XLOOKUP($B31,'2027 Avoided Costs'!$B$13:$B$47,'2027 Avoided Costs'!$M$13:$M$47))*IF($AK31&lt;0,$AK31*(-1),0),0)</f>
        <v>0</v>
      </c>
      <c r="BB31" s="291" cm="1">
        <f t="array" ref="BB31">IFERROR((IF($O31=1,0,NPV('2027 Avoided Costs'!$D$6,_xlfn._xlws.FILTER('2027 Avoided Costs'!$S$14:$S$47,('2027 Avoided Costs'!$B$14:$B$47&gt;=$B31+1)*('2027 Avoided Costs'!$B$14:$B$47&lt;$B31+ROUND($O31,0)))))+_xlfn.XLOOKUP($B31,'2027 Avoided Costs'!$B$13:$B$47,'2027 Avoided Costs'!$S$13:$S$47))*IF($AI31&lt;0,$AI31*(-1),0),0)</f>
        <v>0</v>
      </c>
      <c r="BC31" s="291" cm="1">
        <f t="array" ref="BC31">IFERROR((IF($O31=1,0,NPV('2027 Avoided Costs'!$D$6,_xlfn._xlws.FILTER('2027 Avoided Costs'!$Y$14:$Y$47,('2027 Avoided Costs'!$B$14:$B$47&gt;=$B31+1)*('2027 Avoided Costs'!$B$14:$B$47&lt;$B31+ROUND($O31,0)))))+_xlfn.XLOOKUP($B31,'2027 Avoided Costs'!$B$13:$B$47,'2027 Avoided Costs'!$Y$13:$Y$47))*IF($AM31&lt;0,$AM31*(-1),0),0)</f>
        <v>0</v>
      </c>
      <c r="BD31" s="291" cm="1">
        <f t="array" ref="BD31">IFERROR((IF($O31=1,0,NPV('2027 Avoided Costs'!$D$6,_xlfn._xlws.FILTER('2027 Avoided Costs'!$AE$14:$AE$47,('2027 Avoided Costs'!$B$14:$B$47&gt;=$B31+1)*('2027 Avoided Costs'!$B$14:$B$47&lt;$B31+ROUND($O31,0)))))+_xlfn.XLOOKUP($B31,'2027 Avoided Costs'!$B$13:$B$47,'2027 Avoided Costs'!$AE$13:$AE$47))*IF($AO31&lt;0,$AO31*(-1),0),0)</f>
        <v>0</v>
      </c>
      <c r="BE31" s="291" cm="1">
        <f t="array" ref="BE31">IFERROR((IF($O31=1,0,NPV('2027 Avoided Costs'!$D$4,_xlfn._xlws.FILTER('2027 Avoided Costs'!$I$14:$I$47,('2027 Avoided Costs'!$B$14:$B$47&gt;=$B31+1)*('2027 Avoided Costs'!$B$14:$B$47&lt;$B31+ROUND($O31,0)))))+_xlfn.XLOOKUP($B31,'2027 Avoided Costs'!$B$13:$B$47,'2027 Avoided Costs'!$I$13:$I$47))*IF($X31="Residential",'2027 Avoided Costs'!$J$5,IF($X31="Large Volume",'2027 Avoided Costs'!$J$7,'2027 Avoided Costs'!$J$6))*IF($AE31&lt;0,$AE31*(-1),0),0)</f>
        <v>0</v>
      </c>
      <c r="BF31" s="291">
        <f t="shared" si="23"/>
        <v>2650992.4948678166</v>
      </c>
      <c r="BG31" s="291">
        <f t="shared" si="24"/>
        <v>1932510.1411603908</v>
      </c>
      <c r="BH31" s="291">
        <f t="shared" si="25"/>
        <v>718482.35370742576</v>
      </c>
      <c r="BI31" s="292">
        <f t="shared" si="29"/>
        <v>1.3717871065225082</v>
      </c>
      <c r="BJ31" s="196" cm="1">
        <f t="array" ref="BJ31">IFERROR(IF($J31="Baseload",IF($O31=1,0,NPV('2027 Avoided Costs'!$D$6,_xlfn._xlws.FILTER('2027 Avoided Costs'!$C$14:$C$47,('2027 Avoided Costs'!$B$14:$B$47&gt;=$B31+1)*('2027 Avoided Costs'!$B$14:$B$47&lt;$B31+ROUND($O31,0)))))+_xlfn.XLOOKUP($B31,'2027 Avoided Costs'!$B$13:$B$47,'2027 Avoided Costs'!$C$13:$C$47),IF($O31=1,0,NPV('2027 Avoided Costs'!$D$6,_xlfn._xlws.FILTER('2027 Avoided Costs'!$E$14:$E$47,('2027 Avoided Costs'!$B$14:$B$47&gt;=$B31+1)*('2027 Avoided Costs'!$B$14:$B$47&lt;$B31+ROUND($O31,0)))))+_xlfn.XLOOKUP($B31,'2027 Avoided Costs'!$B$13:$B$47,'2027 Avoided Costs'!$E$13:$E$47))*IF($AE31&gt;0,$AE31*(1+0),0),0)</f>
        <v>2174947.4396626498</v>
      </c>
      <c r="BK31" s="293">
        <f t="shared" si="26"/>
        <v>2.5963836413163253</v>
      </c>
    </row>
    <row r="32" spans="1:63" s="1" customFormat="1" x14ac:dyDescent="0.25">
      <c r="A32" s="270" t="s">
        <v>133</v>
      </c>
      <c r="B32" s="271">
        <v>2028</v>
      </c>
      <c r="C32" s="272" t="s">
        <v>13</v>
      </c>
      <c r="D32" s="272" t="s">
        <v>9</v>
      </c>
      <c r="E32" s="272" t="s">
        <v>351</v>
      </c>
      <c r="F32" s="273">
        <v>23</v>
      </c>
      <c r="G32" s="274">
        <v>4698.0249578615203</v>
      </c>
      <c r="H32" s="275">
        <f t="shared" si="3"/>
        <v>0.96502300196168755</v>
      </c>
      <c r="I32" s="274">
        <v>250</v>
      </c>
      <c r="J32" s="276" t="s">
        <v>263</v>
      </c>
      <c r="K32" s="277">
        <f t="shared" si="27"/>
        <v>0.75</v>
      </c>
      <c r="L32" s="278">
        <v>0.28000000000000003</v>
      </c>
      <c r="M32" s="278">
        <v>0.03</v>
      </c>
      <c r="N32" s="278">
        <v>0.9113</v>
      </c>
      <c r="O32" s="279">
        <v>17</v>
      </c>
      <c r="P32" s="280">
        <v>4868.3036034492752</v>
      </c>
      <c r="Q32" s="281">
        <v>367.32758064516116</v>
      </c>
      <c r="R32" s="282">
        <v>4.1932372219766874E-2</v>
      </c>
      <c r="S32" s="282">
        <v>4.1932372219767387E-2</v>
      </c>
      <c r="T32" s="281">
        <v>0</v>
      </c>
      <c r="U32" s="283">
        <v>0</v>
      </c>
      <c r="V32" s="284">
        <v>15522.169808517197</v>
      </c>
      <c r="W32" s="285">
        <v>0.15</v>
      </c>
      <c r="X32" s="286" t="s">
        <v>255</v>
      </c>
      <c r="Y32" s="287">
        <f t="shared" si="4"/>
        <v>23</v>
      </c>
      <c r="Z32" s="288">
        <f t="shared" si="5"/>
        <v>108054.57403081497</v>
      </c>
      <c r="AA32" s="288">
        <f t="shared" si="6"/>
        <v>5750</v>
      </c>
      <c r="AB32" s="288">
        <f t="shared" si="7"/>
        <v>110215.66551143127</v>
      </c>
      <c r="AC32" s="288">
        <f t="shared" si="28"/>
        <v>5848.9000000000005</v>
      </c>
      <c r="AD32" s="287">
        <f t="shared" si="8"/>
        <v>102039.15669793646</v>
      </c>
      <c r="AE32" s="287">
        <f t="shared" si="9"/>
        <v>76529.36752345234</v>
      </c>
      <c r="AF32" s="287">
        <f t="shared" si="10"/>
        <v>1734665.6638649197</v>
      </c>
      <c r="AG32" s="287">
        <f t="shared" si="11"/>
        <v>1300999.2478986897</v>
      </c>
      <c r="AH32" s="287">
        <f t="shared" si="12"/>
        <v>8253.4881113091596</v>
      </c>
      <c r="AI32" s="287">
        <f t="shared" si="13"/>
        <v>6190.1160834818702</v>
      </c>
      <c r="AJ32" s="287">
        <f t="shared" si="14"/>
        <v>0</v>
      </c>
      <c r="AK32" s="287">
        <f t="shared" si="15"/>
        <v>0</v>
      </c>
      <c r="AL32" s="287">
        <f t="shared" si="16"/>
        <v>0.94217900814030631</v>
      </c>
      <c r="AM32" s="287">
        <f t="shared" si="17"/>
        <v>0.70663425610522979</v>
      </c>
      <c r="AN32" s="287">
        <f t="shared" si="18"/>
        <v>0.94217900814031796</v>
      </c>
      <c r="AO32" s="287">
        <f t="shared" si="19"/>
        <v>0.70663425610523833</v>
      </c>
      <c r="AP32" s="287">
        <f t="shared" si="20"/>
        <v>357009.90559589554</v>
      </c>
      <c r="AQ32" s="287">
        <f t="shared" si="21"/>
        <v>267757.42919692164</v>
      </c>
      <c r="AR32" s="287">
        <f t="shared" si="22"/>
        <v>0</v>
      </c>
      <c r="AS32" s="289" t="e">
        <f>IF(J32='2027 Avoided Costs'!#REF!,3,5)</f>
        <v>#REF!</v>
      </c>
      <c r="AT32" s="290" cm="1">
        <f t="array" ref="AT32">IFERROR(IF($J32="Baseload",IF($O32=1,0,NPV('2027 Avoided Costs'!$D$6,_xlfn._xlws.FILTER('2027 Avoided Costs'!$C$14:$C$47,('2027 Avoided Costs'!$B$14:$B$47&gt;=$B32+1)*('2027 Avoided Costs'!$B$14:$B$47&lt;$B32+ROUND($O32,0)))))+_xlfn.XLOOKUP($B32,'2027 Avoided Costs'!$B$13:$B$47,'2027 Avoided Costs'!$C$13:$C$47),IF($O32=1,0,NPV('2027 Avoided Costs'!$D$6,_xlfn._xlws.FILTER('2027 Avoided Costs'!$E$14:$E$47,('2027 Avoided Costs'!$B$14:$B$47&gt;=$B32+1)*('2027 Avoided Costs'!$B$14:$B$47&lt;$B32+ROUND($O32,0)))))+_xlfn.XLOOKUP($B32,'2027 Avoided Costs'!$B$13:$B$47,'2027 Avoided Costs'!$E$13:$E$47))*IF($AE32&gt;0,$AE32*(1+$W32),0),0)</f>
        <v>309287.5654064925</v>
      </c>
      <c r="AU32" s="290" cm="1">
        <f t="array" ref="AU32">IFERROR((IF($O32=1,0,NPV('2027 Avoided Costs'!$D$6,_xlfn._xlws.FILTER('2027 Avoided Costs'!$M$14:$M$47,('2027 Avoided Costs'!$B$14:$B$47&gt;=$B32+1)*('2027 Avoided Costs'!$B$14:$B$47&lt;$B32+ROUND($O32,0)))))+_xlfn.XLOOKUP($B32,'2027 Avoided Costs'!$B$13:$B$47,'2027 Avoided Costs'!$M$13:$M$47))*IF($AK32&gt;0,$AK32*(1+$W32),0),0)</f>
        <v>0</v>
      </c>
      <c r="AV32" s="291" cm="1">
        <f t="array" ref="AV32">IFERROR((IF($O32=1,0,NPV('2027 Avoided Costs'!$D$6,_xlfn._xlws.FILTER('2027 Avoided Costs'!$Q$14:$Q$47,('2027 Avoided Costs'!$B$14:$B$47&gt;=$B32+1)*('2027 Avoided Costs'!$B$14:$B$47&lt;$B32+ROUND($O32,0)))))+_xlfn.XLOOKUP($B32,'2027 Avoided Costs'!$B$13:$B$47,'2027 Avoided Costs'!$Q$13:$Q$47))*IF($AI32&gt;0,$AI32*(1+$W32),0),0)</f>
        <v>4473.2682893688889</v>
      </c>
      <c r="AW32" s="291" cm="1">
        <f t="array" ref="AW32">IFERROR((IF($O32=1,0,NPV('2027 Avoided Costs'!$D$6,_xlfn._xlws.FILTER('2027 Avoided Costs'!$W$14:$W$47,('2027 Avoided Costs'!$B$14:$B$47&gt;=$B32+1)*('2027 Avoided Costs'!$B$14:$B$47&lt;$B32+ROUND($O32,0)))))+_xlfn.XLOOKUP($B32,'2027 Avoided Costs'!$B$13:$B$47,'2027 Avoided Costs'!$W$13:$W$47))*IF($AM32&gt;0,$AM32*(1+$W32),0),0)</f>
        <v>2894.2995780787869</v>
      </c>
      <c r="AX32" s="291" cm="1">
        <f t="array" ref="AX32">IFERROR((IF($O32=1,0,NPV('2027 Avoided Costs'!$D$6,_xlfn._xlws.FILTER('2027 Avoided Costs'!$AC$14:$AC$47,('2027 Avoided Costs'!$B$14:$B$47&gt;=$B32+1)*('2027 Avoided Costs'!$B$14:$B$47&lt;$B32+ROUND($O32,0)))))+_xlfn.XLOOKUP($B32,'2027 Avoided Costs'!$B$13:$B$47,'2027 Avoided Costs'!$AC$13:$AC$47))*IF($AO32&gt;0,$AO32*(1+$W32),0),0)</f>
        <v>527.7192340392229</v>
      </c>
      <c r="AY32" s="291" cm="1">
        <f t="array" ref="AY32">IFERROR((IF($O32=1,0,NPV('2027 Avoided Costs'!$D$4,_xlfn._xlws.FILTER('2027 Avoided Costs'!$I$14:$I$47,('2027 Avoided Costs'!$B$14:$B$47&gt;=$B32+1)*('2027 Avoided Costs'!$B$14:$B$47&lt;$B32+ROUND($O32,0)))))+_xlfn.XLOOKUP($B32,'2027 Avoided Costs'!$B$13:$B$47,'2027 Avoided Costs'!$I$13:$I$47))*IF($X32="Residential",'2027 Avoided Costs'!$J$5,IF($X32="Large Volume",'2027 Avoided Costs'!$J$7,'2027 Avoided Costs'!$J$6))*IF($AE32&gt;0,$AE32,0),0)</f>
        <v>0</v>
      </c>
      <c r="AZ32" s="291" cm="1">
        <f t="array" ref="AZ32">IFERROR(IF($J32="Baseload",IF($O32=1,0,NPV('2027 Avoided Costs'!$D$6,_xlfn._xlws.FILTER('2027 Avoided Costs'!$C$14:$C$47,('2027 Avoided Costs'!$B$14:$B$47&gt;=$B32+1)*('2027 Avoided Costs'!$B$14:$B$47&lt;$B32+ROUND($O32,0)))))+_xlfn.XLOOKUP($B32,'2027 Avoided Costs'!$B$13:$B$47,'2027 Avoided Costs'!$C$13:$C$47),IF($O32=1,0,NPV('2027 Avoided Costs'!$D$6,_xlfn._xlws.FILTER('2027 Avoided Costs'!$E$14:$E$47,('2027 Avoided Costs'!$B$14:$B$47&gt;=$B32+1)*('2027 Avoided Costs'!$B$14:$B$47&lt;$B32+ROUND($O32,0)))))+_xlfn.XLOOKUP($B32,'2027 Avoided Costs'!$B$13:$B$47,'2027 Avoided Costs'!$E$13:$E$47))*IF($AE32&lt;0,$AE32*(-1),0),0)</f>
        <v>0</v>
      </c>
      <c r="BA32" s="291" cm="1">
        <f t="array" ref="BA32">IFERROR((IF($O32=1,0,NPV('2027 Avoided Costs'!$D$6,_xlfn._xlws.FILTER('2027 Avoided Costs'!$M$14:$M$47,('2027 Avoided Costs'!$B$14:$B$47&gt;=$B32+1)*('2027 Avoided Costs'!$B$14:$B$47&lt;$B32+ROUND($O32,0)))))+_xlfn.XLOOKUP($B32,'2027 Avoided Costs'!$B$13:$B$47,'2027 Avoided Costs'!$M$13:$M$47))*IF($AK32&lt;0,$AK32*(-1),0),0)</f>
        <v>0</v>
      </c>
      <c r="BB32" s="291" cm="1">
        <f t="array" ref="BB32">IFERROR((IF($O32=1,0,NPV('2027 Avoided Costs'!$D$6,_xlfn._xlws.FILTER('2027 Avoided Costs'!$S$14:$S$47,('2027 Avoided Costs'!$B$14:$B$47&gt;=$B32+1)*('2027 Avoided Costs'!$B$14:$B$47&lt;$B32+ROUND($O32,0)))))+_xlfn.XLOOKUP($B32,'2027 Avoided Costs'!$B$13:$B$47,'2027 Avoided Costs'!$S$13:$S$47))*IF($AI32&lt;0,$AI32*(-1),0),0)</f>
        <v>0</v>
      </c>
      <c r="BC32" s="291" cm="1">
        <f t="array" ref="BC32">IFERROR((IF($O32=1,0,NPV('2027 Avoided Costs'!$D$6,_xlfn._xlws.FILTER('2027 Avoided Costs'!$Y$14:$Y$47,('2027 Avoided Costs'!$B$14:$B$47&gt;=$B32+1)*('2027 Avoided Costs'!$B$14:$B$47&lt;$B32+ROUND($O32,0)))))+_xlfn.XLOOKUP($B32,'2027 Avoided Costs'!$B$13:$B$47,'2027 Avoided Costs'!$Y$13:$Y$47))*IF($AM32&lt;0,$AM32*(-1),0),0)</f>
        <v>0</v>
      </c>
      <c r="BD32" s="291" cm="1">
        <f t="array" ref="BD32">IFERROR((IF($O32=1,0,NPV('2027 Avoided Costs'!$D$6,_xlfn._xlws.FILTER('2027 Avoided Costs'!$AE$14:$AE$47,('2027 Avoided Costs'!$B$14:$B$47&gt;=$B32+1)*('2027 Avoided Costs'!$B$14:$B$47&lt;$B32+ROUND($O32,0)))))+_xlfn.XLOOKUP($B32,'2027 Avoided Costs'!$B$13:$B$47,'2027 Avoided Costs'!$AE$13:$AE$47))*IF($AO32&lt;0,$AO32*(-1),0),0)</f>
        <v>0</v>
      </c>
      <c r="BE32" s="291" cm="1">
        <f t="array" ref="BE32">IFERROR((IF($O32=1,0,NPV('2027 Avoided Costs'!$D$4,_xlfn._xlws.FILTER('2027 Avoided Costs'!$I$14:$I$47,('2027 Avoided Costs'!$B$14:$B$47&gt;=$B32+1)*('2027 Avoided Costs'!$B$14:$B$47&lt;$B32+ROUND($O32,0)))))+_xlfn.XLOOKUP($B32,'2027 Avoided Costs'!$B$13:$B$47,'2027 Avoided Costs'!$I$13:$I$47))*IF($X32="Residential",'2027 Avoided Costs'!$J$5,IF($X32="Large Volume",'2027 Avoided Costs'!$J$7,'2027 Avoided Costs'!$J$6))*IF($AE32&lt;0,$AE32*(-1),0),0)</f>
        <v>0</v>
      </c>
      <c r="BF32" s="291">
        <f t="shared" si="23"/>
        <v>317182.85250797943</v>
      </c>
      <c r="BG32" s="291">
        <f t="shared" si="24"/>
        <v>267757.42919692164</v>
      </c>
      <c r="BH32" s="291">
        <f t="shared" si="25"/>
        <v>49425.423311057792</v>
      </c>
      <c r="BI32" s="292">
        <f t="shared" si="29"/>
        <v>1.1845902967447002</v>
      </c>
      <c r="BJ32" s="196" cm="1">
        <f t="array" ref="BJ32">IFERROR(IF($J32="Baseload",IF($O32=1,0,NPV('2027 Avoided Costs'!$D$6,_xlfn._xlws.FILTER('2027 Avoided Costs'!$C$14:$C$47,('2027 Avoided Costs'!$B$14:$B$47&gt;=$B32+1)*('2027 Avoided Costs'!$B$14:$B$47&lt;$B32+ROUND($O32,0)))))+_xlfn.XLOOKUP($B32,'2027 Avoided Costs'!$B$13:$B$47,'2027 Avoided Costs'!$C$13:$C$47),IF($O32=1,0,NPV('2027 Avoided Costs'!$D$6,_xlfn._xlws.FILTER('2027 Avoided Costs'!$E$14:$E$47,('2027 Avoided Costs'!$B$14:$B$47&gt;=$B32+1)*('2027 Avoided Costs'!$B$14:$B$47&lt;$B32+ROUND($O32,0)))))+_xlfn.XLOOKUP($B32,'2027 Avoided Costs'!$B$13:$B$47,'2027 Avoided Costs'!$E$13:$E$47))*IF($AE32&gt;0,$AE32*(1+0),0),0)</f>
        <v>268945.70904912392</v>
      </c>
      <c r="BK32" s="293">
        <f t="shared" si="26"/>
        <v>2.3172077357463188</v>
      </c>
    </row>
    <row r="33" spans="1:63" s="1" customFormat="1" x14ac:dyDescent="0.25">
      <c r="A33" s="270" t="s">
        <v>133</v>
      </c>
      <c r="B33" s="271">
        <v>2028</v>
      </c>
      <c r="C33" s="272" t="s">
        <v>13</v>
      </c>
      <c r="D33" s="272" t="s">
        <v>9</v>
      </c>
      <c r="E33" s="272" t="s">
        <v>290</v>
      </c>
      <c r="F33" s="273">
        <v>13</v>
      </c>
      <c r="G33" s="274">
        <v>11099.726005563998</v>
      </c>
      <c r="H33" s="275">
        <f t="shared" si="3"/>
        <v>0.96502300196168755</v>
      </c>
      <c r="I33" s="274">
        <v>250</v>
      </c>
      <c r="J33" s="276" t="s">
        <v>264</v>
      </c>
      <c r="K33" s="277">
        <f t="shared" si="27"/>
        <v>0.75</v>
      </c>
      <c r="L33" s="278">
        <v>0.28000000000000003</v>
      </c>
      <c r="M33" s="278">
        <v>0.03</v>
      </c>
      <c r="N33" s="278">
        <v>0.9113</v>
      </c>
      <c r="O33" s="279">
        <v>15</v>
      </c>
      <c r="P33" s="280">
        <v>11502.032576426265</v>
      </c>
      <c r="Q33" s="281">
        <v>-11481.635000000002</v>
      </c>
      <c r="R33" s="282">
        <v>-4.84</v>
      </c>
      <c r="S33" s="282">
        <v>-9</v>
      </c>
      <c r="T33" s="281">
        <v>0</v>
      </c>
      <c r="U33" s="283">
        <v>0</v>
      </c>
      <c r="V33" s="284">
        <v>63637.429000000004</v>
      </c>
      <c r="W33" s="285">
        <v>0.15</v>
      </c>
      <c r="X33" s="286" t="s">
        <v>255</v>
      </c>
      <c r="Y33" s="287">
        <f t="shared" si="4"/>
        <v>13</v>
      </c>
      <c r="Z33" s="288">
        <f t="shared" si="5"/>
        <v>144296.43807233198</v>
      </c>
      <c r="AA33" s="288">
        <f t="shared" si="6"/>
        <v>3250</v>
      </c>
      <c r="AB33" s="288">
        <f t="shared" si="7"/>
        <v>147182.36683377862</v>
      </c>
      <c r="AC33" s="288">
        <f t="shared" si="28"/>
        <v>3305.9000000000005</v>
      </c>
      <c r="AD33" s="287">
        <f t="shared" si="8"/>
        <v>136263.42972966432</v>
      </c>
      <c r="AE33" s="287">
        <f t="shared" si="9"/>
        <v>102197.57229724823</v>
      </c>
      <c r="AF33" s="287">
        <f t="shared" si="10"/>
        <v>2043951.4459449649</v>
      </c>
      <c r="AG33" s="287">
        <f t="shared" si="11"/>
        <v>1532963.5844587234</v>
      </c>
      <c r="AH33" s="287">
        <f t="shared" si="12"/>
        <v>-145815.34996256803</v>
      </c>
      <c r="AI33" s="287">
        <f t="shared" si="13"/>
        <v>-109361.51247192602</v>
      </c>
      <c r="AJ33" s="287">
        <f t="shared" si="14"/>
        <v>0</v>
      </c>
      <c r="AK33" s="287">
        <f t="shared" si="15"/>
        <v>0</v>
      </c>
      <c r="AL33" s="287">
        <f t="shared" si="16"/>
        <v>-61.467403712000007</v>
      </c>
      <c r="AM33" s="287">
        <f t="shared" si="17"/>
        <v>-46.100552784000001</v>
      </c>
      <c r="AN33" s="287">
        <f t="shared" si="18"/>
        <v>-114.29889120000001</v>
      </c>
      <c r="AO33" s="287">
        <f t="shared" si="19"/>
        <v>-85.724168400000011</v>
      </c>
      <c r="AP33" s="287">
        <f t="shared" si="20"/>
        <v>827286.57700000005</v>
      </c>
      <c r="AQ33" s="287">
        <f t="shared" si="21"/>
        <v>620464.93275000004</v>
      </c>
      <c r="AR33" s="287">
        <f t="shared" si="22"/>
        <v>0</v>
      </c>
      <c r="AS33" s="289" t="e">
        <f>IF(J33='2027 Avoided Costs'!#REF!,3,5)</f>
        <v>#REF!</v>
      </c>
      <c r="AT33" s="290" cm="1">
        <f t="array" ref="AT33">IFERROR(IF($J33="Baseload",IF($O33=1,0,NPV('2027 Avoided Costs'!$D$6,_xlfn._xlws.FILTER('2027 Avoided Costs'!$C$14:$C$47,('2027 Avoided Costs'!$B$14:$B$47&gt;=$B33+1)*('2027 Avoided Costs'!$B$14:$B$47&lt;$B33+ROUND($O33,0)))))+_xlfn.XLOOKUP($B33,'2027 Avoided Costs'!$B$13:$B$47,'2027 Avoided Costs'!$C$13:$C$47),IF($O33=1,0,NPV('2027 Avoided Costs'!$D$6,_xlfn._xlws.FILTER('2027 Avoided Costs'!$E$14:$E$47,('2027 Avoided Costs'!$B$14:$B$47&gt;=$B33+1)*('2027 Avoided Costs'!$B$14:$B$47&lt;$B33+ROUND($O33,0)))))+_xlfn.XLOOKUP($B33,'2027 Avoided Costs'!$B$13:$B$47,'2027 Avoided Costs'!$E$13:$E$47))*IF($AE33&gt;0,$AE33*(1+$W33),0),0)</f>
        <v>419169.20617323305</v>
      </c>
      <c r="AU33" s="290" cm="1">
        <f t="array" ref="AU33">IFERROR((IF($O33=1,0,NPV('2027 Avoided Costs'!$D$6,_xlfn._xlws.FILTER('2027 Avoided Costs'!$M$14:$M$47,('2027 Avoided Costs'!$B$14:$B$47&gt;=$B33+1)*('2027 Avoided Costs'!$B$14:$B$47&lt;$B33+ROUND($O33,0)))))+_xlfn.XLOOKUP($B33,'2027 Avoided Costs'!$B$13:$B$47,'2027 Avoided Costs'!$M$13:$M$47))*IF($AK33&gt;0,$AK33*(1+$W33),0),0)</f>
        <v>0</v>
      </c>
      <c r="AV33" s="291" cm="1">
        <f t="array" ref="AV33">IFERROR((IF($O33=1,0,NPV('2027 Avoided Costs'!$D$6,_xlfn._xlws.FILTER('2027 Avoided Costs'!$Q$14:$Q$47,('2027 Avoided Costs'!$B$14:$B$47&gt;=$B33+1)*('2027 Avoided Costs'!$B$14:$B$47&lt;$B33+ROUND($O33,0)))))+_xlfn.XLOOKUP($B33,'2027 Avoided Costs'!$B$13:$B$47,'2027 Avoided Costs'!$Q$13:$Q$47))*IF($AI33&gt;0,$AI33*(1+$W33),0),0)</f>
        <v>0</v>
      </c>
      <c r="AW33" s="291" cm="1">
        <f t="array" ref="AW33">IFERROR((IF($O33=1,0,NPV('2027 Avoided Costs'!$D$6,_xlfn._xlws.FILTER('2027 Avoided Costs'!$W$14:$W$47,('2027 Avoided Costs'!$B$14:$B$47&gt;=$B33+1)*('2027 Avoided Costs'!$B$14:$B$47&lt;$B33+ROUND($O33,0)))))+_xlfn.XLOOKUP($B33,'2027 Avoided Costs'!$B$13:$B$47,'2027 Avoided Costs'!$W$13:$W$47))*IF($AM33&gt;0,$AM33*(1+$W33),0),0)</f>
        <v>0</v>
      </c>
      <c r="AX33" s="291" cm="1">
        <f t="array" ref="AX33">IFERROR((IF($O33=1,0,NPV('2027 Avoided Costs'!$D$6,_xlfn._xlws.FILTER('2027 Avoided Costs'!$AC$14:$AC$47,('2027 Avoided Costs'!$B$14:$B$47&gt;=$B33+1)*('2027 Avoided Costs'!$B$14:$B$47&lt;$B33+ROUND($O33,0)))))+_xlfn.XLOOKUP($B33,'2027 Avoided Costs'!$B$13:$B$47,'2027 Avoided Costs'!$AC$13:$AC$47))*IF($AO33&gt;0,$AO33*(1+$W33),0),0)</f>
        <v>0</v>
      </c>
      <c r="AY33" s="291" cm="1">
        <f t="array" ref="AY33">IFERROR((IF($O33=1,0,NPV('2027 Avoided Costs'!$D$4,_xlfn._xlws.FILTER('2027 Avoided Costs'!$I$14:$I$47,('2027 Avoided Costs'!$B$14:$B$47&gt;=$B33+1)*('2027 Avoided Costs'!$B$14:$B$47&lt;$B33+ROUND($O33,0)))))+_xlfn.XLOOKUP($B33,'2027 Avoided Costs'!$B$13:$B$47,'2027 Avoided Costs'!$I$13:$I$47))*IF($X33="Residential",'2027 Avoided Costs'!$J$5,IF($X33="Large Volume",'2027 Avoided Costs'!$J$7,'2027 Avoided Costs'!$J$6))*IF($AE33&gt;0,$AE33,0),0)</f>
        <v>0</v>
      </c>
      <c r="AZ33" s="291" cm="1">
        <f t="array" ref="AZ33">IFERROR(IF($J33="Baseload",IF($O33=1,0,NPV('2027 Avoided Costs'!$D$6,_xlfn._xlws.FILTER('2027 Avoided Costs'!$C$14:$C$47,('2027 Avoided Costs'!$B$14:$B$47&gt;=$B33+1)*('2027 Avoided Costs'!$B$14:$B$47&lt;$B33+ROUND($O33,0)))))+_xlfn.XLOOKUP($B33,'2027 Avoided Costs'!$B$13:$B$47,'2027 Avoided Costs'!$C$13:$C$47),IF($O33=1,0,NPV('2027 Avoided Costs'!$D$6,_xlfn._xlws.FILTER('2027 Avoided Costs'!$E$14:$E$47,('2027 Avoided Costs'!$B$14:$B$47&gt;=$B33+1)*('2027 Avoided Costs'!$B$14:$B$47&lt;$B33+ROUND($O33,0)))))+_xlfn.XLOOKUP($B33,'2027 Avoided Costs'!$B$13:$B$47,'2027 Avoided Costs'!$E$13:$E$47))*IF($AE33&lt;0,$AE33*(-1),0),0)</f>
        <v>0</v>
      </c>
      <c r="BA33" s="291" cm="1">
        <f t="array" ref="BA33">IFERROR((IF($O33=1,0,NPV('2027 Avoided Costs'!$D$6,_xlfn._xlws.FILTER('2027 Avoided Costs'!$M$14:$M$47,('2027 Avoided Costs'!$B$14:$B$47&gt;=$B33+1)*('2027 Avoided Costs'!$B$14:$B$47&lt;$B33+ROUND($O33,0)))))+_xlfn.XLOOKUP($B33,'2027 Avoided Costs'!$B$13:$B$47,'2027 Avoided Costs'!$M$13:$M$47))*IF($AK33&lt;0,$AK33*(-1),0),0)</f>
        <v>0</v>
      </c>
      <c r="BB33" s="291" cm="1">
        <f t="array" ref="BB33">IFERROR((IF($O33=1,0,NPV('2027 Avoided Costs'!$D$6,_xlfn._xlws.FILTER('2027 Avoided Costs'!$S$14:$S$47,('2027 Avoided Costs'!$B$14:$B$47&gt;=$B33+1)*('2027 Avoided Costs'!$B$14:$B$47&lt;$B33+ROUND($O33,0)))))+_xlfn.XLOOKUP($B33,'2027 Avoided Costs'!$B$13:$B$47,'2027 Avoided Costs'!$S$13:$S$47))*IF($AI33&lt;0,$AI33*(-1),0),0)</f>
        <v>62126.754888884869</v>
      </c>
      <c r="BC33" s="291" cm="1">
        <f t="array" ref="BC33">IFERROR((IF($O33=1,0,NPV('2027 Avoided Costs'!$D$6,_xlfn._xlws.FILTER('2027 Avoided Costs'!$Y$14:$Y$47,('2027 Avoided Costs'!$B$14:$B$47&gt;=$B33+1)*('2027 Avoided Costs'!$B$14:$B$47&lt;$B33+ROUND($O33,0)))))+_xlfn.XLOOKUP($B33,'2027 Avoided Costs'!$B$13:$B$47,'2027 Avoided Costs'!$Y$13:$Y$47))*IF($AM33&lt;0,$AM33*(-1),0),0)</f>
        <v>164193.92575698867</v>
      </c>
      <c r="BD33" s="291" cm="1">
        <f t="array" ref="BD33">IFERROR((IF($O33=1,0,NPV('2027 Avoided Costs'!$D$6,_xlfn._xlws.FILTER('2027 Avoided Costs'!$AE$14:$AE$47,('2027 Avoided Costs'!$B$14:$B$47&gt;=$B33+1)*('2027 Avoided Costs'!$B$14:$B$47&lt;$B33+ROUND($O33,0)))))+_xlfn.XLOOKUP($B33,'2027 Avoided Costs'!$B$13:$B$47,'2027 Avoided Costs'!$AE$13:$AE$47))*IF($AO33&lt;0,$AO33*(-1),0),0)</f>
        <v>19307.903536176822</v>
      </c>
      <c r="BE33" s="291" cm="1">
        <f t="array" ref="BE33">IFERROR((IF($O33=1,0,NPV('2027 Avoided Costs'!$D$4,_xlfn._xlws.FILTER('2027 Avoided Costs'!$I$14:$I$47,('2027 Avoided Costs'!$B$14:$B$47&gt;=$B33+1)*('2027 Avoided Costs'!$B$14:$B$47&lt;$B33+ROUND($O33,0)))))+_xlfn.XLOOKUP($B33,'2027 Avoided Costs'!$B$13:$B$47,'2027 Avoided Costs'!$I$13:$I$47))*IF($X33="Residential",'2027 Avoided Costs'!$J$5,IF($X33="Large Volume",'2027 Avoided Costs'!$J$7,'2027 Avoided Costs'!$J$6))*IF($AE33&lt;0,$AE33*(-1),0),0)</f>
        <v>0</v>
      </c>
      <c r="BF33" s="291">
        <f t="shared" si="23"/>
        <v>419169.20617323305</v>
      </c>
      <c r="BG33" s="291">
        <f t="shared" si="24"/>
        <v>866093.51693205046</v>
      </c>
      <c r="BH33" s="291">
        <f t="shared" si="25"/>
        <v>-446924.31075881742</v>
      </c>
      <c r="BI33" s="292">
        <f t="shared" si="29"/>
        <v>0.48397684312203326</v>
      </c>
      <c r="BJ33" s="196" cm="1">
        <f t="array" ref="BJ33">IFERROR(IF($J33="Baseload",IF($O33=1,0,NPV('2027 Avoided Costs'!$D$6,_xlfn._xlws.FILTER('2027 Avoided Costs'!$C$14:$C$47,('2027 Avoided Costs'!$B$14:$B$47&gt;=$B33+1)*('2027 Avoided Costs'!$B$14:$B$47&lt;$B33+ROUND($O33,0)))))+_xlfn.XLOOKUP($B33,'2027 Avoided Costs'!$B$13:$B$47,'2027 Avoided Costs'!$C$13:$C$47),IF($O33=1,0,NPV('2027 Avoided Costs'!$D$6,_xlfn._xlws.FILTER('2027 Avoided Costs'!$E$14:$E$47,('2027 Avoided Costs'!$B$14:$B$47&gt;=$B33+1)*('2027 Avoided Costs'!$B$14:$B$47&lt;$B33+ROUND($O33,0)))))+_xlfn.XLOOKUP($B33,'2027 Avoided Costs'!$B$13:$B$47,'2027 Avoided Costs'!$E$13:$E$47))*IF($AE33&gt;0,$AE33*(1+0),0),0)</f>
        <v>364494.96188976784</v>
      </c>
      <c r="BK33" s="293">
        <f t="shared" si="26"/>
        <v>2.4220822630136989</v>
      </c>
    </row>
    <row r="34" spans="1:63" s="1" customFormat="1" x14ac:dyDescent="0.25">
      <c r="A34" s="270" t="s">
        <v>133</v>
      </c>
      <c r="B34" s="271">
        <v>2028</v>
      </c>
      <c r="C34" s="272" t="s">
        <v>13</v>
      </c>
      <c r="D34" s="272" t="s">
        <v>9</v>
      </c>
      <c r="E34" s="272" t="s">
        <v>291</v>
      </c>
      <c r="F34" s="273">
        <v>277</v>
      </c>
      <c r="G34" s="274">
        <v>12622.051684180458</v>
      </c>
      <c r="H34" s="275">
        <f t="shared" si="3"/>
        <v>0.65</v>
      </c>
      <c r="I34" s="274">
        <v>250</v>
      </c>
      <c r="J34" s="276" t="s">
        <v>264</v>
      </c>
      <c r="K34" s="277">
        <f t="shared" si="27"/>
        <v>0.75</v>
      </c>
      <c r="L34" s="278">
        <v>0.28000000000000003</v>
      </c>
      <c r="M34" s="278">
        <v>0.03</v>
      </c>
      <c r="N34" s="278">
        <v>0.97609999999999997</v>
      </c>
      <c r="O34" s="279">
        <v>15</v>
      </c>
      <c r="P34" s="280">
        <v>19418.541052585319</v>
      </c>
      <c r="Q34" s="281">
        <v>5251.5509252669026</v>
      </c>
      <c r="R34" s="282">
        <v>3.200236189237637</v>
      </c>
      <c r="S34" s="282">
        <v>0.94524593662646406</v>
      </c>
      <c r="T34" s="281">
        <v>0</v>
      </c>
      <c r="U34" s="283">
        <v>1</v>
      </c>
      <c r="V34" s="284">
        <v>44468.599122338528</v>
      </c>
      <c r="W34" s="285">
        <v>0.15</v>
      </c>
      <c r="X34" s="286" t="s">
        <v>255</v>
      </c>
      <c r="Y34" s="287">
        <f t="shared" si="4"/>
        <v>277</v>
      </c>
      <c r="Z34" s="288">
        <f t="shared" si="5"/>
        <v>3496308.3165179868</v>
      </c>
      <c r="AA34" s="288">
        <f t="shared" si="6"/>
        <v>69250</v>
      </c>
      <c r="AB34" s="288">
        <f t="shared" si="7"/>
        <v>3566234.4828483467</v>
      </c>
      <c r="AC34" s="288">
        <f t="shared" si="28"/>
        <v>70441.100000000006</v>
      </c>
      <c r="AD34" s="287">
        <f t="shared" si="8"/>
        <v>5250379.3042357024</v>
      </c>
      <c r="AE34" s="287">
        <f t="shared" si="9"/>
        <v>3937784.4781767768</v>
      </c>
      <c r="AF34" s="287">
        <f t="shared" si="10"/>
        <v>78755689.563535541</v>
      </c>
      <c r="AG34" s="287">
        <f t="shared" si="11"/>
        <v>59066767.172651649</v>
      </c>
      <c r="AH34" s="287">
        <f t="shared" si="12"/>
        <v>1522146.4826953914</v>
      </c>
      <c r="AI34" s="287">
        <f t="shared" si="13"/>
        <v>1141609.8620215436</v>
      </c>
      <c r="AJ34" s="287">
        <f t="shared" si="14"/>
        <v>0</v>
      </c>
      <c r="AK34" s="287">
        <f t="shared" si="15"/>
        <v>0</v>
      </c>
      <c r="AL34" s="287">
        <f t="shared" si="16"/>
        <v>927.57898163103118</v>
      </c>
      <c r="AM34" s="287">
        <f t="shared" si="17"/>
        <v>695.68423622327327</v>
      </c>
      <c r="AN34" s="287">
        <f t="shared" si="18"/>
        <v>273.9767352908147</v>
      </c>
      <c r="AO34" s="287">
        <f t="shared" si="19"/>
        <v>205.48255146811101</v>
      </c>
      <c r="AP34" s="287">
        <f t="shared" si="20"/>
        <v>12317801.956887772</v>
      </c>
      <c r="AQ34" s="287">
        <f t="shared" si="21"/>
        <v>9238351.4676658288</v>
      </c>
      <c r="AR34" s="287">
        <f t="shared" si="22"/>
        <v>3937784.4781767768</v>
      </c>
      <c r="AS34" s="289" t="e">
        <f>IF(J34='2027 Avoided Costs'!#REF!,3,5)</f>
        <v>#REF!</v>
      </c>
      <c r="AT34" s="290" cm="1">
        <f t="array" ref="AT34">IFERROR(IF($J34="Baseload",IF($O34=1,0,NPV('2027 Avoided Costs'!$D$6,_xlfn._xlws.FILTER('2027 Avoided Costs'!$C$14:$C$47,('2027 Avoided Costs'!$B$14:$B$47&gt;=$B34+1)*('2027 Avoided Costs'!$B$14:$B$47&lt;$B34+ROUND($O34,0)))))+_xlfn.XLOOKUP($B34,'2027 Avoided Costs'!$B$13:$B$47,'2027 Avoided Costs'!$C$13:$C$47),IF($O34=1,0,NPV('2027 Avoided Costs'!$D$6,_xlfn._xlws.FILTER('2027 Avoided Costs'!$E$14:$E$47,('2027 Avoided Costs'!$B$14:$B$47&gt;=$B34+1)*('2027 Avoided Costs'!$B$14:$B$47&lt;$B34+ROUND($O34,0)))))+_xlfn.XLOOKUP($B34,'2027 Avoided Costs'!$B$13:$B$47,'2027 Avoided Costs'!$E$13:$E$47))*IF($AE34&gt;0,$AE34*(1+$W34),0),0)</f>
        <v>16151048.960319402</v>
      </c>
      <c r="AU34" s="290" cm="1">
        <f t="array" ref="AU34">IFERROR((IF($O34=1,0,NPV('2027 Avoided Costs'!$D$6,_xlfn._xlws.FILTER('2027 Avoided Costs'!$M$14:$M$47,('2027 Avoided Costs'!$B$14:$B$47&gt;=$B34+1)*('2027 Avoided Costs'!$B$14:$B$47&lt;$B34+ROUND($O34,0)))))+_xlfn.XLOOKUP($B34,'2027 Avoided Costs'!$B$13:$B$47,'2027 Avoided Costs'!$M$13:$M$47))*IF($AK34&gt;0,$AK34*(1+$W34),0),0)</f>
        <v>0</v>
      </c>
      <c r="AV34" s="291" cm="1">
        <f t="array" ref="AV34">IFERROR((IF($O34=1,0,NPV('2027 Avoided Costs'!$D$6,_xlfn._xlws.FILTER('2027 Avoided Costs'!$Q$14:$Q$47,('2027 Avoided Costs'!$B$14:$B$47&gt;=$B34+1)*('2027 Avoided Costs'!$B$14:$B$47&lt;$B34+ROUND($O34,0)))))+_xlfn.XLOOKUP($B34,'2027 Avoided Costs'!$B$13:$B$47,'2027 Avoided Costs'!$Q$13:$Q$47))*IF($AI34&gt;0,$AI34*(1+$W34),0),0)</f>
        <v>745812.595715206</v>
      </c>
      <c r="AW34" s="291" cm="1">
        <f t="array" ref="AW34">IFERROR((IF($O34=1,0,NPV('2027 Avoided Costs'!$D$6,_xlfn._xlws.FILTER('2027 Avoided Costs'!$W$14:$W$47,('2027 Avoided Costs'!$B$14:$B$47&gt;=$B34+1)*('2027 Avoided Costs'!$B$14:$B$47&lt;$B34+ROUND($O34,0)))))+_xlfn.XLOOKUP($B34,'2027 Avoided Costs'!$B$13:$B$47,'2027 Avoided Costs'!$W$13:$W$47))*IF($AM34&gt;0,$AM34*(1+$W34),0),0)</f>
        <v>2849449.4485379662</v>
      </c>
      <c r="AX34" s="291" cm="1">
        <f t="array" ref="AX34">IFERROR((IF($O34=1,0,NPV('2027 Avoided Costs'!$D$6,_xlfn._xlws.FILTER('2027 Avoided Costs'!$AC$14:$AC$47,('2027 Avoided Costs'!$B$14:$B$47&gt;=$B34+1)*('2027 Avoided Costs'!$B$14:$B$47&lt;$B34+ROUND($O34,0)))))+_xlfn.XLOOKUP($B34,'2027 Avoided Costs'!$B$13:$B$47,'2027 Avoided Costs'!$AC$13:$AC$47))*IF($AO34&gt;0,$AO34*(1+$W34),0),0)</f>
        <v>53223.646954979871</v>
      </c>
      <c r="AY34" s="291" cm="1">
        <f t="array" ref="AY34">IFERROR((IF($O34=1,0,NPV('2027 Avoided Costs'!$D$4,_xlfn._xlws.FILTER('2027 Avoided Costs'!$I$14:$I$47,('2027 Avoided Costs'!$B$14:$B$47&gt;=$B34+1)*('2027 Avoided Costs'!$B$14:$B$47&lt;$B34+ROUND($O34,0)))))+_xlfn.XLOOKUP($B34,'2027 Avoided Costs'!$B$13:$B$47,'2027 Avoided Costs'!$I$13:$I$47))*IF($X34="Residential",'2027 Avoided Costs'!$J$5,IF($X34="Large Volume",'2027 Avoided Costs'!$J$7,'2027 Avoided Costs'!$J$6))*IF($AE34&gt;0,$AE34,0),0)</f>
        <v>0</v>
      </c>
      <c r="AZ34" s="291" cm="1">
        <f t="array" ref="AZ34">IFERROR(IF($J34="Baseload",IF($O34=1,0,NPV('2027 Avoided Costs'!$D$6,_xlfn._xlws.FILTER('2027 Avoided Costs'!$C$14:$C$47,('2027 Avoided Costs'!$B$14:$B$47&gt;=$B34+1)*('2027 Avoided Costs'!$B$14:$B$47&lt;$B34+ROUND($O34,0)))))+_xlfn.XLOOKUP($B34,'2027 Avoided Costs'!$B$13:$B$47,'2027 Avoided Costs'!$C$13:$C$47),IF($O34=1,0,NPV('2027 Avoided Costs'!$D$6,_xlfn._xlws.FILTER('2027 Avoided Costs'!$E$14:$E$47,('2027 Avoided Costs'!$B$14:$B$47&gt;=$B34+1)*('2027 Avoided Costs'!$B$14:$B$47&lt;$B34+ROUND($O34,0)))))+_xlfn.XLOOKUP($B34,'2027 Avoided Costs'!$B$13:$B$47,'2027 Avoided Costs'!$E$13:$E$47))*IF($AE34&lt;0,$AE34*(-1),0),0)</f>
        <v>0</v>
      </c>
      <c r="BA34" s="291" cm="1">
        <f t="array" ref="BA34">IFERROR((IF($O34=1,0,NPV('2027 Avoided Costs'!$D$6,_xlfn._xlws.FILTER('2027 Avoided Costs'!$M$14:$M$47,('2027 Avoided Costs'!$B$14:$B$47&gt;=$B34+1)*('2027 Avoided Costs'!$B$14:$B$47&lt;$B34+ROUND($O34,0)))))+_xlfn.XLOOKUP($B34,'2027 Avoided Costs'!$B$13:$B$47,'2027 Avoided Costs'!$M$13:$M$47))*IF($AK34&lt;0,$AK34*(-1),0),0)</f>
        <v>0</v>
      </c>
      <c r="BB34" s="291" cm="1">
        <f t="array" ref="BB34">IFERROR((IF($O34=1,0,NPV('2027 Avoided Costs'!$D$6,_xlfn._xlws.FILTER('2027 Avoided Costs'!$S$14:$S$47,('2027 Avoided Costs'!$B$14:$B$47&gt;=$B34+1)*('2027 Avoided Costs'!$B$14:$B$47&lt;$B34+ROUND($O34,0)))))+_xlfn.XLOOKUP($B34,'2027 Avoided Costs'!$B$13:$B$47,'2027 Avoided Costs'!$S$13:$S$47))*IF($AI34&lt;0,$AI34*(-1),0),0)</f>
        <v>0</v>
      </c>
      <c r="BC34" s="291" cm="1">
        <f t="array" ref="BC34">IFERROR((IF($O34=1,0,NPV('2027 Avoided Costs'!$D$6,_xlfn._xlws.FILTER('2027 Avoided Costs'!$Y$14:$Y$47,('2027 Avoided Costs'!$B$14:$B$47&gt;=$B34+1)*('2027 Avoided Costs'!$B$14:$B$47&lt;$B34+ROUND($O34,0)))))+_xlfn.XLOOKUP($B34,'2027 Avoided Costs'!$B$13:$B$47,'2027 Avoided Costs'!$Y$13:$Y$47))*IF($AM34&lt;0,$AM34*(-1),0),0)</f>
        <v>0</v>
      </c>
      <c r="BD34" s="291" cm="1">
        <f t="array" ref="BD34">IFERROR((IF($O34=1,0,NPV('2027 Avoided Costs'!$D$6,_xlfn._xlws.FILTER('2027 Avoided Costs'!$AE$14:$AE$47,('2027 Avoided Costs'!$B$14:$B$47&gt;=$B34+1)*('2027 Avoided Costs'!$B$14:$B$47&lt;$B34+ROUND($O34,0)))))+_xlfn.XLOOKUP($B34,'2027 Avoided Costs'!$B$13:$B$47,'2027 Avoided Costs'!$AE$13:$AE$47))*IF($AO34&lt;0,$AO34*(-1),0),0)</f>
        <v>0</v>
      </c>
      <c r="BE34" s="291" cm="1">
        <f t="array" ref="BE34">IFERROR((IF($O34=1,0,NPV('2027 Avoided Costs'!$D$4,_xlfn._xlws.FILTER('2027 Avoided Costs'!$I$14:$I$47,('2027 Avoided Costs'!$B$14:$B$47&gt;=$B34+1)*('2027 Avoided Costs'!$B$14:$B$47&lt;$B34+ROUND($O34,0)))))+_xlfn.XLOOKUP($B34,'2027 Avoided Costs'!$B$13:$B$47,'2027 Avoided Costs'!$I$13:$I$47))*IF($X34="Residential",'2027 Avoided Costs'!$J$5,IF($X34="Large Volume",'2027 Avoided Costs'!$J$7,'2027 Avoided Costs'!$J$6))*IF($AE34&lt;0,$AE34*(-1),0),0)</f>
        <v>0</v>
      </c>
      <c r="BF34" s="291">
        <f t="shared" si="23"/>
        <v>19799534.65152755</v>
      </c>
      <c r="BG34" s="291">
        <f t="shared" si="24"/>
        <v>9238351.4676658288</v>
      </c>
      <c r="BH34" s="291">
        <f t="shared" si="25"/>
        <v>10561183.183861721</v>
      </c>
      <c r="BI34" s="292">
        <f t="shared" si="29"/>
        <v>2.1431891523964848</v>
      </c>
      <c r="BJ34" s="196" cm="1">
        <f t="array" ref="BJ34">IFERROR(IF($J34="Baseload",IF($O34=1,0,NPV('2027 Avoided Costs'!$D$6,_xlfn._xlws.FILTER('2027 Avoided Costs'!$C$14:$C$47,('2027 Avoided Costs'!$B$14:$B$47&gt;=$B34+1)*('2027 Avoided Costs'!$B$14:$B$47&lt;$B34+ROUND($O34,0)))))+_xlfn.XLOOKUP($B34,'2027 Avoided Costs'!$B$13:$B$47,'2027 Avoided Costs'!$C$13:$C$47),IF($O34=1,0,NPV('2027 Avoided Costs'!$D$6,_xlfn._xlws.FILTER('2027 Avoided Costs'!$E$14:$E$47,('2027 Avoided Costs'!$B$14:$B$47&gt;=$B34+1)*('2027 Avoided Costs'!$B$14:$B$47&lt;$B34+ROUND($O34,0)))))+_xlfn.XLOOKUP($B34,'2027 Avoided Costs'!$B$13:$B$47,'2027 Avoided Costs'!$E$13:$E$47))*IF($AE34&gt;0,$AE34*(1+0),0),0)</f>
        <v>14044390.400277743</v>
      </c>
      <c r="BK34" s="293">
        <f t="shared" si="26"/>
        <v>3.8618760679438391</v>
      </c>
    </row>
    <row r="35" spans="1:63" s="1" customFormat="1" x14ac:dyDescent="0.25">
      <c r="A35" s="270" t="s">
        <v>133</v>
      </c>
      <c r="B35" s="271">
        <v>2028</v>
      </c>
      <c r="C35" s="272" t="s">
        <v>13</v>
      </c>
      <c r="D35" s="272" t="s">
        <v>9</v>
      </c>
      <c r="E35" s="272" t="s">
        <v>352</v>
      </c>
      <c r="F35" s="273">
        <v>113</v>
      </c>
      <c r="G35" s="274">
        <v>12622.051684180458</v>
      </c>
      <c r="H35" s="275">
        <f t="shared" si="3"/>
        <v>0.65</v>
      </c>
      <c r="I35" s="274">
        <v>250</v>
      </c>
      <c r="J35" s="276" t="s">
        <v>263</v>
      </c>
      <c r="K35" s="277">
        <f t="shared" si="27"/>
        <v>0.75</v>
      </c>
      <c r="L35" s="278">
        <v>0.28000000000000003</v>
      </c>
      <c r="M35" s="278">
        <v>0.03</v>
      </c>
      <c r="N35" s="278">
        <v>0.97609999999999997</v>
      </c>
      <c r="O35" s="279">
        <v>15</v>
      </c>
      <c r="P35" s="280">
        <v>19418.541052585319</v>
      </c>
      <c r="Q35" s="281">
        <v>5251.5509252669026</v>
      </c>
      <c r="R35" s="282">
        <v>0.59949211475649022</v>
      </c>
      <c r="S35" s="282">
        <v>0.59949211475649766</v>
      </c>
      <c r="T35" s="281">
        <v>0</v>
      </c>
      <c r="U35" s="283">
        <v>1</v>
      </c>
      <c r="V35" s="284">
        <v>44468.599122338528</v>
      </c>
      <c r="W35" s="285">
        <v>0.15</v>
      </c>
      <c r="X35" s="286" t="s">
        <v>255</v>
      </c>
      <c r="Y35" s="287">
        <f t="shared" si="4"/>
        <v>113</v>
      </c>
      <c r="Z35" s="288">
        <f t="shared" si="5"/>
        <v>1426291.8403123918</v>
      </c>
      <c r="AA35" s="288">
        <f t="shared" si="6"/>
        <v>28250</v>
      </c>
      <c r="AB35" s="288">
        <f t="shared" si="7"/>
        <v>1454817.6771186397</v>
      </c>
      <c r="AC35" s="288">
        <f t="shared" si="28"/>
        <v>28735.9</v>
      </c>
      <c r="AD35" s="287">
        <f t="shared" si="8"/>
        <v>2141851.4851214238</v>
      </c>
      <c r="AE35" s="287">
        <f t="shared" si="9"/>
        <v>1606388.613841068</v>
      </c>
      <c r="AF35" s="287">
        <f t="shared" si="10"/>
        <v>32127772.276821356</v>
      </c>
      <c r="AG35" s="287">
        <f t="shared" si="11"/>
        <v>24095829.20761602</v>
      </c>
      <c r="AH35" s="287">
        <f t="shared" si="12"/>
        <v>620947.84312122467</v>
      </c>
      <c r="AI35" s="287">
        <f t="shared" si="13"/>
        <v>465710.88234091847</v>
      </c>
      <c r="AJ35" s="287">
        <f t="shared" si="14"/>
        <v>0</v>
      </c>
      <c r="AK35" s="287">
        <f t="shared" si="15"/>
        <v>0</v>
      </c>
      <c r="AL35" s="287">
        <f t="shared" si="16"/>
        <v>70.884456977308105</v>
      </c>
      <c r="AM35" s="287">
        <f t="shared" si="17"/>
        <v>53.163342732981079</v>
      </c>
      <c r="AN35" s="287">
        <f t="shared" si="18"/>
        <v>70.884456977308986</v>
      </c>
      <c r="AO35" s="287">
        <f t="shared" si="19"/>
        <v>53.163342732981732</v>
      </c>
      <c r="AP35" s="287">
        <f t="shared" si="20"/>
        <v>5024951.7008242533</v>
      </c>
      <c r="AQ35" s="287">
        <f t="shared" si="21"/>
        <v>3768713.7756181899</v>
      </c>
      <c r="AR35" s="287">
        <f t="shared" si="22"/>
        <v>1606388.613841068</v>
      </c>
      <c r="AS35" s="289" t="e">
        <f>IF(J35='2027 Avoided Costs'!#REF!,3,5)</f>
        <v>#REF!</v>
      </c>
      <c r="AT35" s="290" cm="1">
        <f t="array" ref="AT35">IFERROR(IF($J35="Baseload",IF($O35=1,0,NPV('2027 Avoided Costs'!$D$6,_xlfn._xlws.FILTER('2027 Avoided Costs'!$C$14:$C$47,('2027 Avoided Costs'!$B$14:$B$47&gt;=$B35+1)*('2027 Avoided Costs'!$B$14:$B$47&lt;$B35+ROUND($O35,0)))))+_xlfn.XLOOKUP($B35,'2027 Avoided Costs'!$B$13:$B$47,'2027 Avoided Costs'!$C$13:$C$47),IF($O35=1,0,NPV('2027 Avoided Costs'!$D$6,_xlfn._xlws.FILTER('2027 Avoided Costs'!$E$14:$E$47,('2027 Avoided Costs'!$B$14:$B$47&gt;=$B35+1)*('2027 Avoided Costs'!$B$14:$B$47&lt;$B35+ROUND($O35,0)))))+_xlfn.XLOOKUP($B35,'2027 Avoided Costs'!$B$13:$B$47,'2027 Avoided Costs'!$E$13:$E$47))*IF($AE35&gt;0,$AE35*(1+$W35),0),0)</f>
        <v>5873863.4852011157</v>
      </c>
      <c r="AU35" s="290" cm="1">
        <f t="array" ref="AU35">IFERROR((IF($O35=1,0,NPV('2027 Avoided Costs'!$D$6,_xlfn._xlws.FILTER('2027 Avoided Costs'!$M$14:$M$47,('2027 Avoided Costs'!$B$14:$B$47&gt;=$B35+1)*('2027 Avoided Costs'!$B$14:$B$47&lt;$B35+ROUND($O35,0)))))+_xlfn.XLOOKUP($B35,'2027 Avoided Costs'!$B$13:$B$47,'2027 Avoided Costs'!$M$13:$M$47))*IF($AK35&gt;0,$AK35*(1+$W35),0),0)</f>
        <v>0</v>
      </c>
      <c r="AV35" s="291" cm="1">
        <f t="array" ref="AV35">IFERROR((IF($O35=1,0,NPV('2027 Avoided Costs'!$D$6,_xlfn._xlws.FILTER('2027 Avoided Costs'!$Q$14:$Q$47,('2027 Avoided Costs'!$B$14:$B$47&gt;=$B35+1)*('2027 Avoided Costs'!$B$14:$B$47&lt;$B35+ROUND($O35,0)))))+_xlfn.XLOOKUP($B35,'2027 Avoided Costs'!$B$13:$B$47,'2027 Avoided Costs'!$Q$13:$Q$47))*IF($AI35&gt;0,$AI35*(1+$W35),0),0)</f>
        <v>304248.45962389268</v>
      </c>
      <c r="AW35" s="291" cm="1">
        <f t="array" ref="AW35">IFERROR((IF($O35=1,0,NPV('2027 Avoided Costs'!$D$6,_xlfn._xlws.FILTER('2027 Avoided Costs'!$W$14:$W$47,('2027 Avoided Costs'!$B$14:$B$47&gt;=$B35+1)*('2027 Avoided Costs'!$B$14:$B$47&lt;$B35+ROUND($O35,0)))))+_xlfn.XLOOKUP($B35,'2027 Avoided Costs'!$B$13:$B$47,'2027 Avoided Costs'!$W$13:$W$47))*IF($AM35&gt;0,$AM35*(1+$W35),0),0)</f>
        <v>217751.45927600082</v>
      </c>
      <c r="AX35" s="291" cm="1">
        <f t="array" ref="AX35">IFERROR((IF($O35=1,0,NPV('2027 Avoided Costs'!$D$6,_xlfn._xlws.FILTER('2027 Avoided Costs'!$AC$14:$AC$47,('2027 Avoided Costs'!$B$14:$B$47&gt;=$B35+1)*('2027 Avoided Costs'!$B$14:$B$47&lt;$B35+ROUND($O35,0)))))+_xlfn.XLOOKUP($B35,'2027 Avoided Costs'!$B$13:$B$47,'2027 Avoided Costs'!$AC$13:$AC$47))*IF($AO35&gt;0,$AO35*(1+$W35),0),0)</f>
        <v>13770.25428363894</v>
      </c>
      <c r="AY35" s="291" cm="1">
        <f t="array" ref="AY35">IFERROR((IF($O35=1,0,NPV('2027 Avoided Costs'!$D$4,_xlfn._xlws.FILTER('2027 Avoided Costs'!$I$14:$I$47,('2027 Avoided Costs'!$B$14:$B$47&gt;=$B35+1)*('2027 Avoided Costs'!$B$14:$B$47&lt;$B35+ROUND($O35,0)))))+_xlfn.XLOOKUP($B35,'2027 Avoided Costs'!$B$13:$B$47,'2027 Avoided Costs'!$I$13:$I$47))*IF($X35="Residential",'2027 Avoided Costs'!$J$5,IF($X35="Large Volume",'2027 Avoided Costs'!$J$7,'2027 Avoided Costs'!$J$6))*IF($AE35&gt;0,$AE35,0),0)</f>
        <v>0</v>
      </c>
      <c r="AZ35" s="291" cm="1">
        <f t="array" ref="AZ35">IFERROR(IF($J35="Baseload",IF($O35=1,0,NPV('2027 Avoided Costs'!$D$6,_xlfn._xlws.FILTER('2027 Avoided Costs'!$C$14:$C$47,('2027 Avoided Costs'!$B$14:$B$47&gt;=$B35+1)*('2027 Avoided Costs'!$B$14:$B$47&lt;$B35+ROUND($O35,0)))))+_xlfn.XLOOKUP($B35,'2027 Avoided Costs'!$B$13:$B$47,'2027 Avoided Costs'!$C$13:$C$47),IF($O35=1,0,NPV('2027 Avoided Costs'!$D$6,_xlfn._xlws.FILTER('2027 Avoided Costs'!$E$14:$E$47,('2027 Avoided Costs'!$B$14:$B$47&gt;=$B35+1)*('2027 Avoided Costs'!$B$14:$B$47&lt;$B35+ROUND($O35,0)))))+_xlfn.XLOOKUP($B35,'2027 Avoided Costs'!$B$13:$B$47,'2027 Avoided Costs'!$E$13:$E$47))*IF($AE35&lt;0,$AE35*(-1),0),0)</f>
        <v>0</v>
      </c>
      <c r="BA35" s="291" cm="1">
        <f t="array" ref="BA35">IFERROR((IF($O35=1,0,NPV('2027 Avoided Costs'!$D$6,_xlfn._xlws.FILTER('2027 Avoided Costs'!$M$14:$M$47,('2027 Avoided Costs'!$B$14:$B$47&gt;=$B35+1)*('2027 Avoided Costs'!$B$14:$B$47&lt;$B35+ROUND($O35,0)))))+_xlfn.XLOOKUP($B35,'2027 Avoided Costs'!$B$13:$B$47,'2027 Avoided Costs'!$M$13:$M$47))*IF($AK35&lt;0,$AK35*(-1),0),0)</f>
        <v>0</v>
      </c>
      <c r="BB35" s="291" cm="1">
        <f t="array" ref="BB35">IFERROR((IF($O35=1,0,NPV('2027 Avoided Costs'!$D$6,_xlfn._xlws.FILTER('2027 Avoided Costs'!$S$14:$S$47,('2027 Avoided Costs'!$B$14:$B$47&gt;=$B35+1)*('2027 Avoided Costs'!$B$14:$B$47&lt;$B35+ROUND($O35,0)))))+_xlfn.XLOOKUP($B35,'2027 Avoided Costs'!$B$13:$B$47,'2027 Avoided Costs'!$S$13:$S$47))*IF($AI35&lt;0,$AI35*(-1),0),0)</f>
        <v>0</v>
      </c>
      <c r="BC35" s="291" cm="1">
        <f t="array" ref="BC35">IFERROR((IF($O35=1,0,NPV('2027 Avoided Costs'!$D$6,_xlfn._xlws.FILTER('2027 Avoided Costs'!$Y$14:$Y$47,('2027 Avoided Costs'!$B$14:$B$47&gt;=$B35+1)*('2027 Avoided Costs'!$B$14:$B$47&lt;$B35+ROUND($O35,0)))))+_xlfn.XLOOKUP($B35,'2027 Avoided Costs'!$B$13:$B$47,'2027 Avoided Costs'!$Y$13:$Y$47))*IF($AM35&lt;0,$AM35*(-1),0),0)</f>
        <v>0</v>
      </c>
      <c r="BD35" s="291" cm="1">
        <f t="array" ref="BD35">IFERROR((IF($O35=1,0,NPV('2027 Avoided Costs'!$D$6,_xlfn._xlws.FILTER('2027 Avoided Costs'!$AE$14:$AE$47,('2027 Avoided Costs'!$B$14:$B$47&gt;=$B35+1)*('2027 Avoided Costs'!$B$14:$B$47&lt;$B35+ROUND($O35,0)))))+_xlfn.XLOOKUP($B35,'2027 Avoided Costs'!$B$13:$B$47,'2027 Avoided Costs'!$AE$13:$AE$47))*IF($AO35&lt;0,$AO35*(-1),0),0)</f>
        <v>0</v>
      </c>
      <c r="BE35" s="291" cm="1">
        <f t="array" ref="BE35">IFERROR((IF($O35=1,0,NPV('2027 Avoided Costs'!$D$4,_xlfn._xlws.FILTER('2027 Avoided Costs'!$I$14:$I$47,('2027 Avoided Costs'!$B$14:$B$47&gt;=$B35+1)*('2027 Avoided Costs'!$B$14:$B$47&lt;$B35+ROUND($O35,0)))))+_xlfn.XLOOKUP($B35,'2027 Avoided Costs'!$B$13:$B$47,'2027 Avoided Costs'!$I$13:$I$47))*IF($X35="Residential",'2027 Avoided Costs'!$J$5,IF($X35="Large Volume",'2027 Avoided Costs'!$J$7,'2027 Avoided Costs'!$J$6))*IF($AE35&lt;0,$AE35*(-1),0),0)</f>
        <v>0</v>
      </c>
      <c r="BF35" s="291">
        <f t="shared" si="23"/>
        <v>6409633.6583846482</v>
      </c>
      <c r="BG35" s="291">
        <f t="shared" si="24"/>
        <v>3768713.7756181899</v>
      </c>
      <c r="BH35" s="291">
        <f t="shared" si="25"/>
        <v>2640919.8827664582</v>
      </c>
      <c r="BI35" s="292">
        <f t="shared" si="29"/>
        <v>1.7007483295367165</v>
      </c>
      <c r="BJ35" s="196" cm="1">
        <f t="array" ref="BJ35">IFERROR(IF($J35="Baseload",IF($O35=1,0,NPV('2027 Avoided Costs'!$D$6,_xlfn._xlws.FILTER('2027 Avoided Costs'!$C$14:$C$47,('2027 Avoided Costs'!$B$14:$B$47&gt;=$B35+1)*('2027 Avoided Costs'!$B$14:$B$47&lt;$B35+ROUND($O35,0)))))+_xlfn.XLOOKUP($B35,'2027 Avoided Costs'!$B$13:$B$47,'2027 Avoided Costs'!$C$13:$C$47),IF($O35=1,0,NPV('2027 Avoided Costs'!$D$6,_xlfn._xlws.FILTER('2027 Avoided Costs'!$E$14:$E$47,('2027 Avoided Costs'!$B$14:$B$47&gt;=$B35+1)*('2027 Avoided Costs'!$B$14:$B$47&lt;$B35+ROUND($O35,0)))))+_xlfn.XLOOKUP($B35,'2027 Avoided Costs'!$B$13:$B$47,'2027 Avoided Costs'!$E$13:$E$47))*IF($AE35&gt;0,$AE35*(1+0),0),0)</f>
        <v>5107707.3784357533</v>
      </c>
      <c r="BK35" s="293">
        <f t="shared" si="26"/>
        <v>3.4428870363791995</v>
      </c>
    </row>
    <row r="36" spans="1:63" s="1" customFormat="1" x14ac:dyDescent="0.25">
      <c r="A36" s="270" t="s">
        <v>133</v>
      </c>
      <c r="B36" s="271">
        <v>2028</v>
      </c>
      <c r="C36" s="272" t="s">
        <v>13</v>
      </c>
      <c r="D36" s="272" t="s">
        <v>9</v>
      </c>
      <c r="E36" s="272" t="s">
        <v>292</v>
      </c>
      <c r="F36" s="273">
        <v>11</v>
      </c>
      <c r="G36" s="274">
        <v>71483.838454733021</v>
      </c>
      <c r="H36" s="275">
        <f t="shared" si="3"/>
        <v>0.65</v>
      </c>
      <c r="I36" s="274">
        <v>250</v>
      </c>
      <c r="J36" s="276" t="s">
        <v>264</v>
      </c>
      <c r="K36" s="277">
        <f t="shared" si="27"/>
        <v>0.75</v>
      </c>
      <c r="L36" s="278">
        <v>0.28000000000000003</v>
      </c>
      <c r="M36" s="278">
        <v>0.03</v>
      </c>
      <c r="N36" s="278">
        <v>0.97609999999999997</v>
      </c>
      <c r="O36" s="279">
        <v>15</v>
      </c>
      <c r="P36" s="280">
        <v>109975.13608420464</v>
      </c>
      <c r="Q36" s="281">
        <v>-70757.72</v>
      </c>
      <c r="R36" s="282">
        <v>-42.5</v>
      </c>
      <c r="S36" s="282">
        <v>-75</v>
      </c>
      <c r="T36" s="281">
        <v>0</v>
      </c>
      <c r="U36" s="283">
        <v>1</v>
      </c>
      <c r="V36" s="284">
        <v>537297.5</v>
      </c>
      <c r="W36" s="285">
        <v>0.15</v>
      </c>
      <c r="X36" s="286" t="s">
        <v>255</v>
      </c>
      <c r="Y36" s="287">
        <f t="shared" si="4"/>
        <v>11</v>
      </c>
      <c r="Z36" s="288">
        <f t="shared" si="5"/>
        <v>786322.22300206323</v>
      </c>
      <c r="AA36" s="288">
        <f t="shared" si="6"/>
        <v>2750</v>
      </c>
      <c r="AB36" s="288">
        <f t="shared" si="7"/>
        <v>802048.66746210447</v>
      </c>
      <c r="AC36" s="288">
        <f t="shared" si="28"/>
        <v>2797.3</v>
      </c>
      <c r="AD36" s="287">
        <f t="shared" si="8"/>
        <v>1180814.0336497137</v>
      </c>
      <c r="AE36" s="287">
        <f t="shared" si="9"/>
        <v>885610.5252372853</v>
      </c>
      <c r="AF36" s="287">
        <f t="shared" si="10"/>
        <v>17712210.504745707</v>
      </c>
      <c r="AG36" s="287">
        <f t="shared" si="11"/>
        <v>13284157.87855928</v>
      </c>
      <c r="AH36" s="287">
        <f t="shared" si="12"/>
        <v>-814433.47092166403</v>
      </c>
      <c r="AI36" s="287">
        <f t="shared" si="13"/>
        <v>-610825.10319124802</v>
      </c>
      <c r="AJ36" s="287">
        <f t="shared" si="14"/>
        <v>0</v>
      </c>
      <c r="AK36" s="287">
        <f t="shared" si="15"/>
        <v>0</v>
      </c>
      <c r="AL36" s="287">
        <f t="shared" si="16"/>
        <v>-489.18227599999994</v>
      </c>
      <c r="AM36" s="287">
        <f t="shared" si="17"/>
        <v>-366.886707</v>
      </c>
      <c r="AN36" s="287">
        <f t="shared" si="18"/>
        <v>-863.26283999999998</v>
      </c>
      <c r="AO36" s="287">
        <f t="shared" si="19"/>
        <v>-647.44713000000002</v>
      </c>
      <c r="AP36" s="287">
        <f t="shared" si="20"/>
        <v>5910272.5</v>
      </c>
      <c r="AQ36" s="287">
        <f t="shared" si="21"/>
        <v>4432704.375</v>
      </c>
      <c r="AR36" s="287">
        <f t="shared" si="22"/>
        <v>885610.5252372853</v>
      </c>
      <c r="AS36" s="289" t="e">
        <f>IF(J36='2027 Avoided Costs'!#REF!,3,5)</f>
        <v>#REF!</v>
      </c>
      <c r="AT36" s="290" cm="1">
        <f t="array" ref="AT36">IFERROR(IF($J36="Baseload",IF($O36=1,0,NPV('2027 Avoided Costs'!$D$6,_xlfn._xlws.FILTER('2027 Avoided Costs'!$C$14:$C$47,('2027 Avoided Costs'!$B$14:$B$47&gt;=$B36+1)*('2027 Avoided Costs'!$B$14:$B$47&lt;$B36+ROUND($O36,0)))))+_xlfn.XLOOKUP($B36,'2027 Avoided Costs'!$B$13:$B$47,'2027 Avoided Costs'!$C$13:$C$47),IF($O36=1,0,NPV('2027 Avoided Costs'!$D$6,_xlfn._xlws.FILTER('2027 Avoided Costs'!$E$14:$E$47,('2027 Avoided Costs'!$B$14:$B$47&gt;=$B36+1)*('2027 Avoided Costs'!$B$14:$B$47&lt;$B36+ROUND($O36,0)))))+_xlfn.XLOOKUP($B36,'2027 Avoided Costs'!$B$13:$B$47,'2027 Avoided Costs'!$E$13:$E$47))*IF($AE36&gt;0,$AE36*(1+$W36),0),0)</f>
        <v>3632382.3795212428</v>
      </c>
      <c r="AU36" s="290" cm="1">
        <f t="array" ref="AU36">IFERROR((IF($O36=1,0,NPV('2027 Avoided Costs'!$D$6,_xlfn._xlws.FILTER('2027 Avoided Costs'!$M$14:$M$47,('2027 Avoided Costs'!$B$14:$B$47&gt;=$B36+1)*('2027 Avoided Costs'!$B$14:$B$47&lt;$B36+ROUND($O36,0)))))+_xlfn.XLOOKUP($B36,'2027 Avoided Costs'!$B$13:$B$47,'2027 Avoided Costs'!$M$13:$M$47))*IF($AK36&gt;0,$AK36*(1+$W36),0),0)</f>
        <v>0</v>
      </c>
      <c r="AV36" s="291" cm="1">
        <f t="array" ref="AV36">IFERROR((IF($O36=1,0,NPV('2027 Avoided Costs'!$D$6,_xlfn._xlws.FILTER('2027 Avoided Costs'!$Q$14:$Q$47,('2027 Avoided Costs'!$B$14:$B$47&gt;=$B36+1)*('2027 Avoided Costs'!$B$14:$B$47&lt;$B36+ROUND($O36,0)))))+_xlfn.XLOOKUP($B36,'2027 Avoided Costs'!$B$13:$B$47,'2027 Avoided Costs'!$Q$13:$Q$47))*IF($AI36&gt;0,$AI36*(1+$W36),0),0)</f>
        <v>0</v>
      </c>
      <c r="AW36" s="291" cm="1">
        <f t="array" ref="AW36">IFERROR((IF($O36=1,0,NPV('2027 Avoided Costs'!$D$6,_xlfn._xlws.FILTER('2027 Avoided Costs'!$W$14:$W$47,('2027 Avoided Costs'!$B$14:$B$47&gt;=$B36+1)*('2027 Avoided Costs'!$B$14:$B$47&lt;$B36+ROUND($O36,0)))))+_xlfn.XLOOKUP($B36,'2027 Avoided Costs'!$B$13:$B$47,'2027 Avoided Costs'!$W$13:$W$47))*IF($AM36&gt;0,$AM36*(1+$W36),0),0)</f>
        <v>0</v>
      </c>
      <c r="AX36" s="291" cm="1">
        <f t="array" ref="AX36">IFERROR((IF($O36=1,0,NPV('2027 Avoided Costs'!$D$6,_xlfn._xlws.FILTER('2027 Avoided Costs'!$AC$14:$AC$47,('2027 Avoided Costs'!$B$14:$B$47&gt;=$B36+1)*('2027 Avoided Costs'!$B$14:$B$47&lt;$B36+ROUND($O36,0)))))+_xlfn.XLOOKUP($B36,'2027 Avoided Costs'!$B$13:$B$47,'2027 Avoided Costs'!$AC$13:$AC$47))*IF($AO36&gt;0,$AO36*(1+$W36),0),0)</f>
        <v>0</v>
      </c>
      <c r="AY36" s="291" cm="1">
        <f t="array" ref="AY36">IFERROR((IF($O36=1,0,NPV('2027 Avoided Costs'!$D$4,_xlfn._xlws.FILTER('2027 Avoided Costs'!$I$14:$I$47,('2027 Avoided Costs'!$B$14:$B$47&gt;=$B36+1)*('2027 Avoided Costs'!$B$14:$B$47&lt;$B36+ROUND($O36,0)))))+_xlfn.XLOOKUP($B36,'2027 Avoided Costs'!$B$13:$B$47,'2027 Avoided Costs'!$I$13:$I$47))*IF($X36="Residential",'2027 Avoided Costs'!$J$5,IF($X36="Large Volume",'2027 Avoided Costs'!$J$7,'2027 Avoided Costs'!$J$6))*IF($AE36&gt;0,$AE36,0),0)</f>
        <v>0</v>
      </c>
      <c r="AZ36" s="291" cm="1">
        <f t="array" ref="AZ36">IFERROR(IF($J36="Baseload",IF($O36=1,0,NPV('2027 Avoided Costs'!$D$6,_xlfn._xlws.FILTER('2027 Avoided Costs'!$C$14:$C$47,('2027 Avoided Costs'!$B$14:$B$47&gt;=$B36+1)*('2027 Avoided Costs'!$B$14:$B$47&lt;$B36+ROUND($O36,0)))))+_xlfn.XLOOKUP($B36,'2027 Avoided Costs'!$B$13:$B$47,'2027 Avoided Costs'!$C$13:$C$47),IF($O36=1,0,NPV('2027 Avoided Costs'!$D$6,_xlfn._xlws.FILTER('2027 Avoided Costs'!$E$14:$E$47,('2027 Avoided Costs'!$B$14:$B$47&gt;=$B36+1)*('2027 Avoided Costs'!$B$14:$B$47&lt;$B36+ROUND($O36,0)))))+_xlfn.XLOOKUP($B36,'2027 Avoided Costs'!$B$13:$B$47,'2027 Avoided Costs'!$E$13:$E$47))*IF($AE36&lt;0,$AE36*(-1),0),0)</f>
        <v>0</v>
      </c>
      <c r="BA36" s="291" cm="1">
        <f t="array" ref="BA36">IFERROR((IF($O36=1,0,NPV('2027 Avoided Costs'!$D$6,_xlfn._xlws.FILTER('2027 Avoided Costs'!$M$14:$M$47,('2027 Avoided Costs'!$B$14:$B$47&gt;=$B36+1)*('2027 Avoided Costs'!$B$14:$B$47&lt;$B36+ROUND($O36,0)))))+_xlfn.XLOOKUP($B36,'2027 Avoided Costs'!$B$13:$B$47,'2027 Avoided Costs'!$M$13:$M$47))*IF($AK36&lt;0,$AK36*(-1),0),0)</f>
        <v>0</v>
      </c>
      <c r="BB36" s="291" cm="1">
        <f t="array" ref="BB36">IFERROR((IF($O36=1,0,NPV('2027 Avoided Costs'!$D$6,_xlfn._xlws.FILTER('2027 Avoided Costs'!$S$14:$S$47,('2027 Avoided Costs'!$B$14:$B$47&gt;=$B36+1)*('2027 Avoided Costs'!$B$14:$B$47&lt;$B36+ROUND($O36,0)))))+_xlfn.XLOOKUP($B36,'2027 Avoided Costs'!$B$13:$B$47,'2027 Avoided Costs'!$S$13:$S$47))*IF($AI36&lt;0,$AI36*(-1),0),0)</f>
        <v>347001.24941745092</v>
      </c>
      <c r="BC36" s="291" cm="1">
        <f t="array" ref="BC36">IFERROR((IF($O36=1,0,NPV('2027 Avoided Costs'!$D$6,_xlfn._xlws.FILTER('2027 Avoided Costs'!$Y$14:$Y$47,('2027 Avoided Costs'!$B$14:$B$47&gt;=$B36+1)*('2027 Avoided Costs'!$B$14:$B$47&lt;$B36+ROUND($O36,0)))))+_xlfn.XLOOKUP($B36,'2027 Avoided Costs'!$B$13:$B$47,'2027 Avoided Costs'!$Y$13:$Y$47))*IF($AM36&lt;0,$AM36*(-1),0),0)</f>
        <v>1306721.1799527833</v>
      </c>
      <c r="BD36" s="291" cm="1">
        <f t="array" ref="BD36">IFERROR((IF($O36=1,0,NPV('2027 Avoided Costs'!$D$6,_xlfn._xlws.FILTER('2027 Avoided Costs'!$AE$14:$AE$47,('2027 Avoided Costs'!$B$14:$B$47&gt;=$B36+1)*('2027 Avoided Costs'!$B$14:$B$47&lt;$B36+ROUND($O36,0)))))+_xlfn.XLOOKUP($B36,'2027 Avoided Costs'!$B$13:$B$47,'2027 Avoided Costs'!$AE$13:$AE$47))*IF($AO36&lt;0,$AO36*(-1),0),0)</f>
        <v>145826.39836742391</v>
      </c>
      <c r="BE36" s="291" cm="1">
        <f t="array" ref="BE36">IFERROR((IF($O36=1,0,NPV('2027 Avoided Costs'!$D$4,_xlfn._xlws.FILTER('2027 Avoided Costs'!$I$14:$I$47,('2027 Avoided Costs'!$B$14:$B$47&gt;=$B36+1)*('2027 Avoided Costs'!$B$14:$B$47&lt;$B36+ROUND($O36,0)))))+_xlfn.XLOOKUP($B36,'2027 Avoided Costs'!$B$13:$B$47,'2027 Avoided Costs'!$I$13:$I$47))*IF($X36="Residential",'2027 Avoided Costs'!$J$5,IF($X36="Large Volume",'2027 Avoided Costs'!$J$7,'2027 Avoided Costs'!$J$6))*IF($AE36&lt;0,$AE36*(-1),0),0)</f>
        <v>0</v>
      </c>
      <c r="BF36" s="291">
        <f t="shared" si="23"/>
        <v>3632382.3795212428</v>
      </c>
      <c r="BG36" s="291">
        <f t="shared" si="24"/>
        <v>6232253.2027376583</v>
      </c>
      <c r="BH36" s="291">
        <f t="shared" si="25"/>
        <v>-2599870.8232164155</v>
      </c>
      <c r="BI36" s="292">
        <f t="shared" si="29"/>
        <v>0.58283613668418299</v>
      </c>
      <c r="BJ36" s="196" cm="1">
        <f t="array" ref="BJ36">IFERROR(IF($J36="Baseload",IF($O36=1,0,NPV('2027 Avoided Costs'!$D$6,_xlfn._xlws.FILTER('2027 Avoided Costs'!$C$14:$C$47,('2027 Avoided Costs'!$B$14:$B$47&gt;=$B36+1)*('2027 Avoided Costs'!$B$14:$B$47&lt;$B36+ROUND($O36,0)))))+_xlfn.XLOOKUP($B36,'2027 Avoided Costs'!$B$13:$B$47,'2027 Avoided Costs'!$C$13:$C$47),IF($O36=1,0,NPV('2027 Avoided Costs'!$D$6,_xlfn._xlws.FILTER('2027 Avoided Costs'!$E$14:$E$47,('2027 Avoided Costs'!$B$14:$B$47&gt;=$B36+1)*('2027 Avoided Costs'!$B$14:$B$47&lt;$B36+ROUND($O36,0)))))+_xlfn.XLOOKUP($B36,'2027 Avoided Costs'!$B$13:$B$47,'2027 Avoided Costs'!$E$13:$E$47))*IF($AE36&gt;0,$AE36*(1+0),0),0)</f>
        <v>3158593.3734967336</v>
      </c>
      <c r="BK36" s="293">
        <f t="shared" si="26"/>
        <v>3.9244694030792338</v>
      </c>
    </row>
    <row r="37" spans="1:63" s="1" customFormat="1" x14ac:dyDescent="0.25">
      <c r="A37" s="270" t="s">
        <v>133</v>
      </c>
      <c r="B37" s="271">
        <v>2028</v>
      </c>
      <c r="C37" s="272" t="s">
        <v>13</v>
      </c>
      <c r="D37" s="272" t="s">
        <v>9</v>
      </c>
      <c r="E37" s="272" t="s">
        <v>293</v>
      </c>
      <c r="F37" s="273">
        <v>151</v>
      </c>
      <c r="G37" s="274">
        <v>3289.4889722822154</v>
      </c>
      <c r="H37" s="275">
        <f t="shared" si="3"/>
        <v>0.96502300196168744</v>
      </c>
      <c r="I37" s="274">
        <v>250</v>
      </c>
      <c r="J37" s="276" t="s">
        <v>264</v>
      </c>
      <c r="K37" s="277">
        <f t="shared" si="27"/>
        <v>0.75</v>
      </c>
      <c r="L37" s="278">
        <v>0.28000000000000003</v>
      </c>
      <c r="M37" s="278">
        <v>0.03</v>
      </c>
      <c r="N37" s="278">
        <v>0.97609999999999997</v>
      </c>
      <c r="O37" s="279">
        <v>15</v>
      </c>
      <c r="P37" s="280">
        <v>3408.7156115402231</v>
      </c>
      <c r="Q37" s="281">
        <v>2062.1588461538463</v>
      </c>
      <c r="R37" s="282">
        <v>1.256656454699173</v>
      </c>
      <c r="S37" s="282">
        <v>0.37117554370972283</v>
      </c>
      <c r="T37" s="281">
        <v>0</v>
      </c>
      <c r="U37" s="283">
        <v>0</v>
      </c>
      <c r="V37" s="284">
        <v>9444.9610298547086</v>
      </c>
      <c r="W37" s="285">
        <v>0.15</v>
      </c>
      <c r="X37" s="286" t="s">
        <v>255</v>
      </c>
      <c r="Y37" s="287">
        <f t="shared" si="4"/>
        <v>151</v>
      </c>
      <c r="Z37" s="288">
        <f t="shared" si="5"/>
        <v>496712.8348146145</v>
      </c>
      <c r="AA37" s="288">
        <f t="shared" si="6"/>
        <v>37750</v>
      </c>
      <c r="AB37" s="288">
        <f t="shared" si="7"/>
        <v>506647.09151090682</v>
      </c>
      <c r="AC37" s="288">
        <f t="shared" si="28"/>
        <v>38399.300000000003</v>
      </c>
      <c r="AD37" s="287">
        <f t="shared" si="8"/>
        <v>502414.34357208619</v>
      </c>
      <c r="AE37" s="287">
        <f t="shared" si="9"/>
        <v>376810.75767906464</v>
      </c>
      <c r="AF37" s="287">
        <f t="shared" si="10"/>
        <v>7536215.1535812933</v>
      </c>
      <c r="AG37" s="287">
        <f t="shared" si="11"/>
        <v>5652161.3651859695</v>
      </c>
      <c r="AH37" s="287">
        <f t="shared" si="12"/>
        <v>325827.81868041906</v>
      </c>
      <c r="AI37" s="287">
        <f t="shared" si="13"/>
        <v>244370.86401031431</v>
      </c>
      <c r="AJ37" s="287">
        <f t="shared" si="14"/>
        <v>0</v>
      </c>
      <c r="AK37" s="287">
        <f t="shared" si="15"/>
        <v>0</v>
      </c>
      <c r="AL37" s="287">
        <f t="shared" si="16"/>
        <v>198.55581553718648</v>
      </c>
      <c r="AM37" s="287">
        <f t="shared" si="17"/>
        <v>148.91686165288988</v>
      </c>
      <c r="AN37" s="287">
        <f t="shared" si="18"/>
        <v>58.646945641468271</v>
      </c>
      <c r="AO37" s="287">
        <f t="shared" si="19"/>
        <v>43.985209231101202</v>
      </c>
      <c r="AP37" s="287">
        <f t="shared" si="20"/>
        <v>1426189.1155080609</v>
      </c>
      <c r="AQ37" s="287">
        <f t="shared" si="21"/>
        <v>1069641.8366310457</v>
      </c>
      <c r="AR37" s="287">
        <f t="shared" si="22"/>
        <v>0</v>
      </c>
      <c r="AS37" s="289" t="e">
        <f>IF(J37='2027 Avoided Costs'!#REF!,3,5)</f>
        <v>#REF!</v>
      </c>
      <c r="AT37" s="290" cm="1">
        <f t="array" ref="AT37">IFERROR(IF($J37="Baseload",IF($O37=1,0,NPV('2027 Avoided Costs'!$D$6,_xlfn._xlws.FILTER('2027 Avoided Costs'!$C$14:$C$47,('2027 Avoided Costs'!$B$14:$B$47&gt;=$B37+1)*('2027 Avoided Costs'!$B$14:$B$47&lt;$B37+ROUND($O37,0)))))+_xlfn.XLOOKUP($B37,'2027 Avoided Costs'!$B$13:$B$47,'2027 Avoided Costs'!$C$13:$C$47),IF($O37=1,0,NPV('2027 Avoided Costs'!$D$6,_xlfn._xlws.FILTER('2027 Avoided Costs'!$E$14:$E$47,('2027 Avoided Costs'!$B$14:$B$47&gt;=$B37+1)*('2027 Avoided Costs'!$B$14:$B$47&lt;$B37+ROUND($O37,0)))))+_xlfn.XLOOKUP($B37,'2027 Avoided Costs'!$B$13:$B$47,'2027 Avoided Costs'!$E$13:$E$47))*IF($AE37&gt;0,$AE37*(1+$W37),0),0)</f>
        <v>1545510.9414386831</v>
      </c>
      <c r="AU37" s="290" cm="1">
        <f t="array" ref="AU37">IFERROR((IF($O37=1,0,NPV('2027 Avoided Costs'!$D$6,_xlfn._xlws.FILTER('2027 Avoided Costs'!$M$14:$M$47,('2027 Avoided Costs'!$B$14:$B$47&gt;=$B37+1)*('2027 Avoided Costs'!$B$14:$B$47&lt;$B37+ROUND($O37,0)))))+_xlfn.XLOOKUP($B37,'2027 Avoided Costs'!$B$13:$B$47,'2027 Avoided Costs'!$M$13:$M$47))*IF($AK37&gt;0,$AK37*(1+$W37),0),0)</f>
        <v>0</v>
      </c>
      <c r="AV37" s="291" cm="1">
        <f t="array" ref="AV37">IFERROR((IF($O37=1,0,NPV('2027 Avoided Costs'!$D$6,_xlfn._xlws.FILTER('2027 Avoided Costs'!$Q$14:$Q$47,('2027 Avoided Costs'!$B$14:$B$47&gt;=$B37+1)*('2027 Avoided Costs'!$B$14:$B$47&lt;$B37+ROUND($O37,0)))))+_xlfn.XLOOKUP($B37,'2027 Avoided Costs'!$B$13:$B$47,'2027 Avoided Costs'!$Q$13:$Q$47))*IF($AI37&gt;0,$AI37*(1+$W37),0),0)</f>
        <v>159647.24418372338</v>
      </c>
      <c r="AW37" s="291" cm="1">
        <f t="array" ref="AW37">IFERROR((IF($O37=1,0,NPV('2027 Avoided Costs'!$D$6,_xlfn._xlws.FILTER('2027 Avoided Costs'!$W$14:$W$47,('2027 Avoided Costs'!$B$14:$B$47&gt;=$B37+1)*('2027 Avoided Costs'!$B$14:$B$47&lt;$B37+ROUND($O37,0)))))+_xlfn.XLOOKUP($B37,'2027 Avoided Costs'!$B$13:$B$47,'2027 Avoided Costs'!$W$13:$W$47))*IF($AM37&gt;0,$AM37*(1+$W37),0),0)</f>
        <v>609947.79990766768</v>
      </c>
      <c r="AX37" s="291" cm="1">
        <f t="array" ref="AX37">IFERROR((IF($O37=1,0,NPV('2027 Avoided Costs'!$D$6,_xlfn._xlws.FILTER('2027 Avoided Costs'!$AC$14:$AC$47,('2027 Avoided Costs'!$B$14:$B$47&gt;=$B37+1)*('2027 Avoided Costs'!$B$14:$B$47&lt;$B37+ROUND($O37,0)))))+_xlfn.XLOOKUP($B37,'2027 Avoided Costs'!$B$13:$B$47,'2027 Avoided Costs'!$AC$13:$AC$47))*IF($AO37&gt;0,$AO37*(1+$W37),0),0)</f>
        <v>11392.953954634741</v>
      </c>
      <c r="AY37" s="291" cm="1">
        <f t="array" ref="AY37">IFERROR((IF($O37=1,0,NPV('2027 Avoided Costs'!$D$4,_xlfn._xlws.FILTER('2027 Avoided Costs'!$I$14:$I$47,('2027 Avoided Costs'!$B$14:$B$47&gt;=$B37+1)*('2027 Avoided Costs'!$B$14:$B$47&lt;$B37+ROUND($O37,0)))))+_xlfn.XLOOKUP($B37,'2027 Avoided Costs'!$B$13:$B$47,'2027 Avoided Costs'!$I$13:$I$47))*IF($X37="Residential",'2027 Avoided Costs'!$J$5,IF($X37="Large Volume",'2027 Avoided Costs'!$J$7,'2027 Avoided Costs'!$J$6))*IF($AE37&gt;0,$AE37,0),0)</f>
        <v>0</v>
      </c>
      <c r="AZ37" s="291" cm="1">
        <f t="array" ref="AZ37">IFERROR(IF($J37="Baseload",IF($O37=1,0,NPV('2027 Avoided Costs'!$D$6,_xlfn._xlws.FILTER('2027 Avoided Costs'!$C$14:$C$47,('2027 Avoided Costs'!$B$14:$B$47&gt;=$B37+1)*('2027 Avoided Costs'!$B$14:$B$47&lt;$B37+ROUND($O37,0)))))+_xlfn.XLOOKUP($B37,'2027 Avoided Costs'!$B$13:$B$47,'2027 Avoided Costs'!$C$13:$C$47),IF($O37=1,0,NPV('2027 Avoided Costs'!$D$6,_xlfn._xlws.FILTER('2027 Avoided Costs'!$E$14:$E$47,('2027 Avoided Costs'!$B$14:$B$47&gt;=$B37+1)*('2027 Avoided Costs'!$B$14:$B$47&lt;$B37+ROUND($O37,0)))))+_xlfn.XLOOKUP($B37,'2027 Avoided Costs'!$B$13:$B$47,'2027 Avoided Costs'!$E$13:$E$47))*IF($AE37&lt;0,$AE37*(-1),0),0)</f>
        <v>0</v>
      </c>
      <c r="BA37" s="291" cm="1">
        <f t="array" ref="BA37">IFERROR((IF($O37=1,0,NPV('2027 Avoided Costs'!$D$6,_xlfn._xlws.FILTER('2027 Avoided Costs'!$M$14:$M$47,('2027 Avoided Costs'!$B$14:$B$47&gt;=$B37+1)*('2027 Avoided Costs'!$B$14:$B$47&lt;$B37+ROUND($O37,0)))))+_xlfn.XLOOKUP($B37,'2027 Avoided Costs'!$B$13:$B$47,'2027 Avoided Costs'!$M$13:$M$47))*IF($AK37&lt;0,$AK37*(-1),0),0)</f>
        <v>0</v>
      </c>
      <c r="BB37" s="291" cm="1">
        <f t="array" ref="BB37">IFERROR((IF($O37=1,0,NPV('2027 Avoided Costs'!$D$6,_xlfn._xlws.FILTER('2027 Avoided Costs'!$S$14:$S$47,('2027 Avoided Costs'!$B$14:$B$47&gt;=$B37+1)*('2027 Avoided Costs'!$B$14:$B$47&lt;$B37+ROUND($O37,0)))))+_xlfn.XLOOKUP($B37,'2027 Avoided Costs'!$B$13:$B$47,'2027 Avoided Costs'!$S$13:$S$47))*IF($AI37&lt;0,$AI37*(-1),0),0)</f>
        <v>0</v>
      </c>
      <c r="BC37" s="291" cm="1">
        <f t="array" ref="BC37">IFERROR((IF($O37=1,0,NPV('2027 Avoided Costs'!$D$6,_xlfn._xlws.FILTER('2027 Avoided Costs'!$Y$14:$Y$47,('2027 Avoided Costs'!$B$14:$B$47&gt;=$B37+1)*('2027 Avoided Costs'!$B$14:$B$47&lt;$B37+ROUND($O37,0)))))+_xlfn.XLOOKUP($B37,'2027 Avoided Costs'!$B$13:$B$47,'2027 Avoided Costs'!$Y$13:$Y$47))*IF($AM37&lt;0,$AM37*(-1),0),0)</f>
        <v>0</v>
      </c>
      <c r="BD37" s="291" cm="1">
        <f t="array" ref="BD37">IFERROR((IF($O37=1,0,NPV('2027 Avoided Costs'!$D$6,_xlfn._xlws.FILTER('2027 Avoided Costs'!$AE$14:$AE$47,('2027 Avoided Costs'!$B$14:$B$47&gt;=$B37+1)*('2027 Avoided Costs'!$B$14:$B$47&lt;$B37+ROUND($O37,0)))))+_xlfn.XLOOKUP($B37,'2027 Avoided Costs'!$B$13:$B$47,'2027 Avoided Costs'!$AE$13:$AE$47))*IF($AO37&lt;0,$AO37*(-1),0),0)</f>
        <v>0</v>
      </c>
      <c r="BE37" s="291" cm="1">
        <f t="array" ref="BE37">IFERROR((IF($O37=1,0,NPV('2027 Avoided Costs'!$D$4,_xlfn._xlws.FILTER('2027 Avoided Costs'!$I$14:$I$47,('2027 Avoided Costs'!$B$14:$B$47&gt;=$B37+1)*('2027 Avoided Costs'!$B$14:$B$47&lt;$B37+ROUND($O37,0)))))+_xlfn.XLOOKUP($B37,'2027 Avoided Costs'!$B$13:$B$47,'2027 Avoided Costs'!$I$13:$I$47))*IF($X37="Residential",'2027 Avoided Costs'!$J$5,IF($X37="Large Volume",'2027 Avoided Costs'!$J$7,'2027 Avoided Costs'!$J$6))*IF($AE37&lt;0,$AE37*(-1),0),0)</f>
        <v>0</v>
      </c>
      <c r="BF37" s="291">
        <f t="shared" si="23"/>
        <v>2326498.9394847089</v>
      </c>
      <c r="BG37" s="291">
        <f t="shared" si="24"/>
        <v>1069641.8366310457</v>
      </c>
      <c r="BH37" s="291">
        <f t="shared" si="25"/>
        <v>1256857.1028536633</v>
      </c>
      <c r="BI37" s="292">
        <f t="shared" si="29"/>
        <v>2.1750261253919092</v>
      </c>
      <c r="BJ37" s="196" cm="1">
        <f t="array" ref="BJ37">IFERROR(IF($J37="Baseload",IF($O37=1,0,NPV('2027 Avoided Costs'!$D$6,_xlfn._xlws.FILTER('2027 Avoided Costs'!$C$14:$C$47,('2027 Avoided Costs'!$B$14:$B$47&gt;=$B37+1)*('2027 Avoided Costs'!$B$14:$B$47&lt;$B37+ROUND($O37,0)))))+_xlfn.XLOOKUP($B37,'2027 Avoided Costs'!$B$13:$B$47,'2027 Avoided Costs'!$C$13:$C$47),IF($O37=1,0,NPV('2027 Avoided Costs'!$D$6,_xlfn._xlws.FILTER('2027 Avoided Costs'!$E$14:$E$47,('2027 Avoided Costs'!$B$14:$B$47&gt;=$B37+1)*('2027 Avoided Costs'!$B$14:$B$47&lt;$B37+ROUND($O37,0)))))+_xlfn.XLOOKUP($B37,'2027 Avoided Costs'!$B$13:$B$47,'2027 Avoided Costs'!$E$13:$E$47))*IF($AE37&gt;0,$AE37*(1+0),0),0)</f>
        <v>1343922.557772768</v>
      </c>
      <c r="BK37" s="293">
        <f t="shared" si="26"/>
        <v>2.4657030643709432</v>
      </c>
    </row>
    <row r="38" spans="1:63" s="1" customFormat="1" x14ac:dyDescent="0.25">
      <c r="A38" s="270" t="s">
        <v>133</v>
      </c>
      <c r="B38" s="271">
        <v>2028</v>
      </c>
      <c r="C38" s="272" t="s">
        <v>13</v>
      </c>
      <c r="D38" s="272" t="s">
        <v>9</v>
      </c>
      <c r="E38" s="272" t="s">
        <v>353</v>
      </c>
      <c r="F38" s="273">
        <v>62</v>
      </c>
      <c r="G38" s="274">
        <v>3289.4889722822154</v>
      </c>
      <c r="H38" s="275">
        <f t="shared" si="3"/>
        <v>0.96502300196168744</v>
      </c>
      <c r="I38" s="274">
        <v>250</v>
      </c>
      <c r="J38" s="276" t="s">
        <v>263</v>
      </c>
      <c r="K38" s="277">
        <f t="shared" si="27"/>
        <v>0.75</v>
      </c>
      <c r="L38" s="278">
        <v>0.28000000000000003</v>
      </c>
      <c r="M38" s="278">
        <v>0.03</v>
      </c>
      <c r="N38" s="278">
        <v>0.97609999999999997</v>
      </c>
      <c r="O38" s="279">
        <v>15</v>
      </c>
      <c r="P38" s="280">
        <v>3408.7156115402231</v>
      </c>
      <c r="Q38" s="281">
        <v>2062.1588461538463</v>
      </c>
      <c r="R38" s="282">
        <v>0.2354062609764643</v>
      </c>
      <c r="S38" s="282">
        <v>0.23540626097646722</v>
      </c>
      <c r="T38" s="281">
        <v>0</v>
      </c>
      <c r="U38" s="283">
        <v>0</v>
      </c>
      <c r="V38" s="284">
        <v>9444.9610298547086</v>
      </c>
      <c r="W38" s="285">
        <v>0.15</v>
      </c>
      <c r="X38" s="286" t="s">
        <v>255</v>
      </c>
      <c r="Y38" s="287">
        <f t="shared" si="4"/>
        <v>62</v>
      </c>
      <c r="Z38" s="288">
        <f t="shared" si="5"/>
        <v>203948.31628149736</v>
      </c>
      <c r="AA38" s="288">
        <f t="shared" si="6"/>
        <v>15500</v>
      </c>
      <c r="AB38" s="288">
        <f t="shared" si="7"/>
        <v>208027.2826071273</v>
      </c>
      <c r="AC38" s="288">
        <f t="shared" si="28"/>
        <v>15766.600000000002</v>
      </c>
      <c r="AD38" s="287">
        <f t="shared" si="8"/>
        <v>206289.33312231355</v>
      </c>
      <c r="AE38" s="287">
        <f t="shared" si="9"/>
        <v>154716.99984173517</v>
      </c>
      <c r="AF38" s="287">
        <f t="shared" si="10"/>
        <v>3094339.9968347033</v>
      </c>
      <c r="AG38" s="287">
        <f t="shared" si="11"/>
        <v>2320754.9976260276</v>
      </c>
      <c r="AH38" s="287">
        <f t="shared" si="12"/>
        <v>133783.60767010585</v>
      </c>
      <c r="AI38" s="287">
        <f t="shared" si="13"/>
        <v>100337.70575257939</v>
      </c>
      <c r="AJ38" s="287">
        <f t="shared" si="14"/>
        <v>0</v>
      </c>
      <c r="AK38" s="287">
        <f t="shared" si="15"/>
        <v>0</v>
      </c>
      <c r="AL38" s="287">
        <f t="shared" si="16"/>
        <v>15.272101332203725</v>
      </c>
      <c r="AM38" s="287">
        <f t="shared" si="17"/>
        <v>11.454075999152794</v>
      </c>
      <c r="AN38" s="287">
        <f t="shared" si="18"/>
        <v>15.272101332203915</v>
      </c>
      <c r="AO38" s="287">
        <f t="shared" si="19"/>
        <v>11.454075999152934</v>
      </c>
      <c r="AP38" s="287">
        <f t="shared" si="20"/>
        <v>585587.58385099191</v>
      </c>
      <c r="AQ38" s="287">
        <f t="shared" si="21"/>
        <v>439190.68788824393</v>
      </c>
      <c r="AR38" s="287">
        <f t="shared" si="22"/>
        <v>0</v>
      </c>
      <c r="AS38" s="289" t="e">
        <f>IF(J38='2027 Avoided Costs'!#REF!,3,5)</f>
        <v>#REF!</v>
      </c>
      <c r="AT38" s="290" cm="1">
        <f t="array" ref="AT38">IFERROR(IF($J38="Baseload",IF($O38=1,0,NPV('2027 Avoided Costs'!$D$6,_xlfn._xlws.FILTER('2027 Avoided Costs'!$C$14:$C$47,('2027 Avoided Costs'!$B$14:$B$47&gt;=$B38+1)*('2027 Avoided Costs'!$B$14:$B$47&lt;$B38+ROUND($O38,0)))))+_xlfn.XLOOKUP($B38,'2027 Avoided Costs'!$B$13:$B$47,'2027 Avoided Costs'!$C$13:$C$47),IF($O38=1,0,NPV('2027 Avoided Costs'!$D$6,_xlfn._xlws.FILTER('2027 Avoided Costs'!$E$14:$E$47,('2027 Avoided Costs'!$B$14:$B$47&gt;=$B38+1)*('2027 Avoided Costs'!$B$14:$B$47&lt;$B38+ROUND($O38,0)))))+_xlfn.XLOOKUP($B38,'2027 Avoided Costs'!$B$13:$B$47,'2027 Avoided Costs'!$E$13:$E$47))*IF($AE38&gt;0,$AE38*(1+$W38),0),0)</f>
        <v>565732.68017457949</v>
      </c>
      <c r="AU38" s="290" cm="1">
        <f t="array" ref="AU38">IFERROR((IF($O38=1,0,NPV('2027 Avoided Costs'!$D$6,_xlfn._xlws.FILTER('2027 Avoided Costs'!$M$14:$M$47,('2027 Avoided Costs'!$B$14:$B$47&gt;=$B38+1)*('2027 Avoided Costs'!$B$14:$B$47&lt;$B38+ROUND($O38,0)))))+_xlfn.XLOOKUP($B38,'2027 Avoided Costs'!$B$13:$B$47,'2027 Avoided Costs'!$M$13:$M$47))*IF($AK38&gt;0,$AK38*(1+$W38),0),0)</f>
        <v>0</v>
      </c>
      <c r="AV38" s="291" cm="1">
        <f t="array" ref="AV38">IFERROR((IF($O38=1,0,NPV('2027 Avoided Costs'!$D$6,_xlfn._xlws.FILTER('2027 Avoided Costs'!$Q$14:$Q$47,('2027 Avoided Costs'!$B$14:$B$47&gt;=$B38+1)*('2027 Avoided Costs'!$B$14:$B$47&lt;$B38+ROUND($O38,0)))))+_xlfn.XLOOKUP($B38,'2027 Avoided Costs'!$B$13:$B$47,'2027 Avoided Costs'!$Q$13:$Q$47))*IF($AI38&gt;0,$AI38*(1+$W38),0),0)</f>
        <v>65550.524101926159</v>
      </c>
      <c r="AW38" s="291" cm="1">
        <f t="array" ref="AW38">IFERROR((IF($O38=1,0,NPV('2027 Avoided Costs'!$D$6,_xlfn._xlws.FILTER('2027 Avoided Costs'!$W$14:$W$47,('2027 Avoided Costs'!$B$14:$B$47&gt;=$B38+1)*('2027 Avoided Costs'!$B$14:$B$47&lt;$B38+ROUND($O38,0)))))+_xlfn.XLOOKUP($B38,'2027 Avoided Costs'!$B$13:$B$47,'2027 Avoided Costs'!$W$13:$W$47))*IF($AM38&gt;0,$AM38*(1+$W38),0),0)</f>
        <v>46914.690372289944</v>
      </c>
      <c r="AX38" s="291" cm="1">
        <f t="array" ref="AX38">IFERROR((IF($O38=1,0,NPV('2027 Avoided Costs'!$D$6,_xlfn._xlws.FILTER('2027 Avoided Costs'!$AC$14:$AC$47,('2027 Avoided Costs'!$B$14:$B$47&gt;=$B38+1)*('2027 Avoided Costs'!$B$14:$B$47&lt;$B38+ROUND($O38,0)))))+_xlfn.XLOOKUP($B38,'2027 Avoided Costs'!$B$13:$B$47,'2027 Avoided Costs'!$AC$13:$AC$47))*IF($AO38&gt;0,$AO38*(1+$W38),0),0)</f>
        <v>2966.8100421121776</v>
      </c>
      <c r="AY38" s="291" cm="1">
        <f t="array" ref="AY38">IFERROR((IF($O38=1,0,NPV('2027 Avoided Costs'!$D$4,_xlfn._xlws.FILTER('2027 Avoided Costs'!$I$14:$I$47,('2027 Avoided Costs'!$B$14:$B$47&gt;=$B38+1)*('2027 Avoided Costs'!$B$14:$B$47&lt;$B38+ROUND($O38,0)))))+_xlfn.XLOOKUP($B38,'2027 Avoided Costs'!$B$13:$B$47,'2027 Avoided Costs'!$I$13:$I$47))*IF($X38="Residential",'2027 Avoided Costs'!$J$5,IF($X38="Large Volume",'2027 Avoided Costs'!$J$7,'2027 Avoided Costs'!$J$6))*IF($AE38&gt;0,$AE38,0),0)</f>
        <v>0</v>
      </c>
      <c r="AZ38" s="291" cm="1">
        <f t="array" ref="AZ38">IFERROR(IF($J38="Baseload",IF($O38=1,0,NPV('2027 Avoided Costs'!$D$6,_xlfn._xlws.FILTER('2027 Avoided Costs'!$C$14:$C$47,('2027 Avoided Costs'!$B$14:$B$47&gt;=$B38+1)*('2027 Avoided Costs'!$B$14:$B$47&lt;$B38+ROUND($O38,0)))))+_xlfn.XLOOKUP($B38,'2027 Avoided Costs'!$B$13:$B$47,'2027 Avoided Costs'!$C$13:$C$47),IF($O38=1,0,NPV('2027 Avoided Costs'!$D$6,_xlfn._xlws.FILTER('2027 Avoided Costs'!$E$14:$E$47,('2027 Avoided Costs'!$B$14:$B$47&gt;=$B38+1)*('2027 Avoided Costs'!$B$14:$B$47&lt;$B38+ROUND($O38,0)))))+_xlfn.XLOOKUP($B38,'2027 Avoided Costs'!$B$13:$B$47,'2027 Avoided Costs'!$E$13:$E$47))*IF($AE38&lt;0,$AE38*(-1),0),0)</f>
        <v>0</v>
      </c>
      <c r="BA38" s="291" cm="1">
        <f t="array" ref="BA38">IFERROR((IF($O38=1,0,NPV('2027 Avoided Costs'!$D$6,_xlfn._xlws.FILTER('2027 Avoided Costs'!$M$14:$M$47,('2027 Avoided Costs'!$B$14:$B$47&gt;=$B38+1)*('2027 Avoided Costs'!$B$14:$B$47&lt;$B38+ROUND($O38,0)))))+_xlfn.XLOOKUP($B38,'2027 Avoided Costs'!$B$13:$B$47,'2027 Avoided Costs'!$M$13:$M$47))*IF($AK38&lt;0,$AK38*(-1),0),0)</f>
        <v>0</v>
      </c>
      <c r="BB38" s="291" cm="1">
        <f t="array" ref="BB38">IFERROR((IF($O38=1,0,NPV('2027 Avoided Costs'!$D$6,_xlfn._xlws.FILTER('2027 Avoided Costs'!$S$14:$S$47,('2027 Avoided Costs'!$B$14:$B$47&gt;=$B38+1)*('2027 Avoided Costs'!$B$14:$B$47&lt;$B38+ROUND($O38,0)))))+_xlfn.XLOOKUP($B38,'2027 Avoided Costs'!$B$13:$B$47,'2027 Avoided Costs'!$S$13:$S$47))*IF($AI38&lt;0,$AI38*(-1),0),0)</f>
        <v>0</v>
      </c>
      <c r="BC38" s="291" cm="1">
        <f t="array" ref="BC38">IFERROR((IF($O38=1,0,NPV('2027 Avoided Costs'!$D$6,_xlfn._xlws.FILTER('2027 Avoided Costs'!$Y$14:$Y$47,('2027 Avoided Costs'!$B$14:$B$47&gt;=$B38+1)*('2027 Avoided Costs'!$B$14:$B$47&lt;$B38+ROUND($O38,0)))))+_xlfn.XLOOKUP($B38,'2027 Avoided Costs'!$B$13:$B$47,'2027 Avoided Costs'!$Y$13:$Y$47))*IF($AM38&lt;0,$AM38*(-1),0),0)</f>
        <v>0</v>
      </c>
      <c r="BD38" s="291" cm="1">
        <f t="array" ref="BD38">IFERROR((IF($O38=1,0,NPV('2027 Avoided Costs'!$D$6,_xlfn._xlws.FILTER('2027 Avoided Costs'!$AE$14:$AE$47,('2027 Avoided Costs'!$B$14:$B$47&gt;=$B38+1)*('2027 Avoided Costs'!$B$14:$B$47&lt;$B38+ROUND($O38,0)))))+_xlfn.XLOOKUP($B38,'2027 Avoided Costs'!$B$13:$B$47,'2027 Avoided Costs'!$AE$13:$AE$47))*IF($AO38&lt;0,$AO38*(-1),0),0)</f>
        <v>0</v>
      </c>
      <c r="BE38" s="291" cm="1">
        <f t="array" ref="BE38">IFERROR((IF($O38=1,0,NPV('2027 Avoided Costs'!$D$4,_xlfn._xlws.FILTER('2027 Avoided Costs'!$I$14:$I$47,('2027 Avoided Costs'!$B$14:$B$47&gt;=$B38+1)*('2027 Avoided Costs'!$B$14:$B$47&lt;$B38+ROUND($O38,0)))))+_xlfn.XLOOKUP($B38,'2027 Avoided Costs'!$B$13:$B$47,'2027 Avoided Costs'!$I$13:$I$47))*IF($X38="Residential",'2027 Avoided Costs'!$J$5,IF($X38="Large Volume",'2027 Avoided Costs'!$J$7,'2027 Avoided Costs'!$J$6))*IF($AE38&lt;0,$AE38*(-1),0),0)</f>
        <v>0</v>
      </c>
      <c r="BF38" s="291">
        <f t="shared" si="23"/>
        <v>681164.70469090773</v>
      </c>
      <c r="BG38" s="291">
        <f t="shared" si="24"/>
        <v>439190.68788824393</v>
      </c>
      <c r="BH38" s="291">
        <f t="shared" si="25"/>
        <v>241974.0168026638</v>
      </c>
      <c r="BI38" s="292">
        <f t="shared" si="29"/>
        <v>1.5509543427847821</v>
      </c>
      <c r="BJ38" s="196" cm="1">
        <f t="array" ref="BJ38">IFERROR(IF($J38="Baseload",IF($O38=1,0,NPV('2027 Avoided Costs'!$D$6,_xlfn._xlws.FILTER('2027 Avoided Costs'!$C$14:$C$47,('2027 Avoided Costs'!$B$14:$B$47&gt;=$B38+1)*('2027 Avoided Costs'!$B$14:$B$47&lt;$B38+ROUND($O38,0)))))+_xlfn.XLOOKUP($B38,'2027 Avoided Costs'!$B$13:$B$47,'2027 Avoided Costs'!$C$13:$C$47),IF($O38=1,0,NPV('2027 Avoided Costs'!$D$6,_xlfn._xlws.FILTER('2027 Avoided Costs'!$E$14:$E$47,('2027 Avoided Costs'!$B$14:$B$47&gt;=$B38+1)*('2027 Avoided Costs'!$B$14:$B$47&lt;$B38+ROUND($O38,0)))))+_xlfn.XLOOKUP($B38,'2027 Avoided Costs'!$B$13:$B$47,'2027 Avoided Costs'!$E$13:$E$47))*IF($AE38&gt;0,$AE38*(1+0),0),0)</f>
        <v>491941.46102137351</v>
      </c>
      <c r="BK38" s="293">
        <f t="shared" si="26"/>
        <v>2.1981899383951542</v>
      </c>
    </row>
    <row r="39" spans="1:63" s="1" customFormat="1" x14ac:dyDescent="0.25">
      <c r="A39" s="270" t="s">
        <v>133</v>
      </c>
      <c r="B39" s="271">
        <v>2028</v>
      </c>
      <c r="C39" s="272" t="s">
        <v>13</v>
      </c>
      <c r="D39" s="272" t="s">
        <v>9</v>
      </c>
      <c r="E39" s="272" t="s">
        <v>294</v>
      </c>
      <c r="F39" s="273">
        <v>7</v>
      </c>
      <c r="G39" s="274">
        <v>8711.5991502697616</v>
      </c>
      <c r="H39" s="275">
        <f t="shared" si="3"/>
        <v>0.96502300196168755</v>
      </c>
      <c r="I39" s="274">
        <v>250</v>
      </c>
      <c r="J39" s="276" t="s">
        <v>264</v>
      </c>
      <c r="K39" s="277">
        <f t="shared" si="27"/>
        <v>0.75</v>
      </c>
      <c r="L39" s="278">
        <v>0.28000000000000003</v>
      </c>
      <c r="M39" s="278">
        <v>0.03</v>
      </c>
      <c r="N39" s="278">
        <v>0.97609999999999997</v>
      </c>
      <c r="O39" s="279">
        <v>15</v>
      </c>
      <c r="P39" s="280">
        <v>9027.3487083322616</v>
      </c>
      <c r="Q39" s="281">
        <v>-14987.676666666666</v>
      </c>
      <c r="R39" s="282">
        <v>-3.6</v>
      </c>
      <c r="S39" s="282">
        <v>-6</v>
      </c>
      <c r="T39" s="281">
        <v>0</v>
      </c>
      <c r="U39" s="283">
        <v>0</v>
      </c>
      <c r="V39" s="284">
        <v>129925.30666666666</v>
      </c>
      <c r="W39" s="285">
        <v>0.15</v>
      </c>
      <c r="X39" s="286" t="s">
        <v>255</v>
      </c>
      <c r="Y39" s="287">
        <f t="shared" si="4"/>
        <v>7</v>
      </c>
      <c r="Z39" s="288">
        <f t="shared" si="5"/>
        <v>60981.194051888335</v>
      </c>
      <c r="AA39" s="288">
        <f t="shared" si="6"/>
        <v>1750</v>
      </c>
      <c r="AB39" s="288">
        <f t="shared" si="7"/>
        <v>62200.817932926104</v>
      </c>
      <c r="AC39" s="288">
        <f t="shared" si="28"/>
        <v>1780.1000000000001</v>
      </c>
      <c r="AD39" s="287">
        <f t="shared" si="8"/>
        <v>61681.16551942184</v>
      </c>
      <c r="AE39" s="287">
        <f t="shared" si="9"/>
        <v>46260.874139566382</v>
      </c>
      <c r="AF39" s="287">
        <f t="shared" si="10"/>
        <v>925217.48279132764</v>
      </c>
      <c r="AG39" s="287">
        <f t="shared" si="11"/>
        <v>693913.11209349567</v>
      </c>
      <c r="AH39" s="287">
        <f t="shared" si="12"/>
        <v>-109779.55184227733</v>
      </c>
      <c r="AI39" s="287">
        <f t="shared" si="13"/>
        <v>-82334.663881707995</v>
      </c>
      <c r="AJ39" s="287">
        <f t="shared" si="14"/>
        <v>0</v>
      </c>
      <c r="AK39" s="287">
        <f t="shared" si="15"/>
        <v>0</v>
      </c>
      <c r="AL39" s="287">
        <f t="shared" si="16"/>
        <v>-26.368755840000002</v>
      </c>
      <c r="AM39" s="287">
        <f t="shared" si="17"/>
        <v>-19.776566880000001</v>
      </c>
      <c r="AN39" s="287">
        <f t="shared" si="18"/>
        <v>-43.947926400000007</v>
      </c>
      <c r="AO39" s="287">
        <f t="shared" si="19"/>
        <v>-32.9609448</v>
      </c>
      <c r="AP39" s="287">
        <f t="shared" si="20"/>
        <v>909477.14666666661</v>
      </c>
      <c r="AQ39" s="287">
        <f t="shared" si="21"/>
        <v>682107.86</v>
      </c>
      <c r="AR39" s="287">
        <f t="shared" si="22"/>
        <v>0</v>
      </c>
      <c r="AS39" s="289" t="e">
        <f>IF(J39='2027 Avoided Costs'!#REF!,3,5)</f>
        <v>#REF!</v>
      </c>
      <c r="AT39" s="290" cm="1">
        <f t="array" ref="AT39">IFERROR(IF($J39="Baseload",IF($O39=1,0,NPV('2027 Avoided Costs'!$D$6,_xlfn._xlws.FILTER('2027 Avoided Costs'!$C$14:$C$47,('2027 Avoided Costs'!$B$14:$B$47&gt;=$B39+1)*('2027 Avoided Costs'!$B$14:$B$47&lt;$B39+ROUND($O39,0)))))+_xlfn.XLOOKUP($B39,'2027 Avoided Costs'!$B$13:$B$47,'2027 Avoided Costs'!$C$13:$C$47),IF($O39=1,0,NPV('2027 Avoided Costs'!$D$6,_xlfn._xlws.FILTER('2027 Avoided Costs'!$E$14:$E$47,('2027 Avoided Costs'!$B$14:$B$47&gt;=$B39+1)*('2027 Avoided Costs'!$B$14:$B$47&lt;$B39+ROUND($O39,0)))))+_xlfn.XLOOKUP($B39,'2027 Avoided Costs'!$B$13:$B$47,'2027 Avoided Costs'!$E$13:$E$47))*IF($AE39&gt;0,$AE39*(1+$W39),0),0)</f>
        <v>189741.62941524206</v>
      </c>
      <c r="AU39" s="290" cm="1">
        <f t="array" ref="AU39">IFERROR((IF($O39=1,0,NPV('2027 Avoided Costs'!$D$6,_xlfn._xlws.FILTER('2027 Avoided Costs'!$M$14:$M$47,('2027 Avoided Costs'!$B$14:$B$47&gt;=$B39+1)*('2027 Avoided Costs'!$B$14:$B$47&lt;$B39+ROUND($O39,0)))))+_xlfn.XLOOKUP($B39,'2027 Avoided Costs'!$B$13:$B$47,'2027 Avoided Costs'!$M$13:$M$47))*IF($AK39&gt;0,$AK39*(1+$W39),0),0)</f>
        <v>0</v>
      </c>
      <c r="AV39" s="291" cm="1">
        <f t="array" ref="AV39">IFERROR((IF($O39=1,0,NPV('2027 Avoided Costs'!$D$6,_xlfn._xlws.FILTER('2027 Avoided Costs'!$Q$14:$Q$47,('2027 Avoided Costs'!$B$14:$B$47&gt;=$B39+1)*('2027 Avoided Costs'!$B$14:$B$47&lt;$B39+ROUND($O39,0)))))+_xlfn.XLOOKUP($B39,'2027 Avoided Costs'!$B$13:$B$47,'2027 Avoided Costs'!$Q$13:$Q$47))*IF($AI39&gt;0,$AI39*(1+$W39),0),0)</f>
        <v>0</v>
      </c>
      <c r="AW39" s="291" cm="1">
        <f t="array" ref="AW39">IFERROR((IF($O39=1,0,NPV('2027 Avoided Costs'!$D$6,_xlfn._xlws.FILTER('2027 Avoided Costs'!$W$14:$W$47,('2027 Avoided Costs'!$B$14:$B$47&gt;=$B39+1)*('2027 Avoided Costs'!$B$14:$B$47&lt;$B39+ROUND($O39,0)))))+_xlfn.XLOOKUP($B39,'2027 Avoided Costs'!$B$13:$B$47,'2027 Avoided Costs'!$W$13:$W$47))*IF($AM39&gt;0,$AM39*(1+$W39),0),0)</f>
        <v>0</v>
      </c>
      <c r="AX39" s="291" cm="1">
        <f t="array" ref="AX39">IFERROR((IF($O39=1,0,NPV('2027 Avoided Costs'!$D$6,_xlfn._xlws.FILTER('2027 Avoided Costs'!$AC$14:$AC$47,('2027 Avoided Costs'!$B$14:$B$47&gt;=$B39+1)*('2027 Avoided Costs'!$B$14:$B$47&lt;$B39+ROUND($O39,0)))))+_xlfn.XLOOKUP($B39,'2027 Avoided Costs'!$B$13:$B$47,'2027 Avoided Costs'!$AC$13:$AC$47))*IF($AO39&gt;0,$AO39*(1+$W39),0),0)</f>
        <v>0</v>
      </c>
      <c r="AY39" s="291" cm="1">
        <f t="array" ref="AY39">IFERROR((IF($O39=1,0,NPV('2027 Avoided Costs'!$D$4,_xlfn._xlws.FILTER('2027 Avoided Costs'!$I$14:$I$47,('2027 Avoided Costs'!$B$14:$B$47&gt;=$B39+1)*('2027 Avoided Costs'!$B$14:$B$47&lt;$B39+ROUND($O39,0)))))+_xlfn.XLOOKUP($B39,'2027 Avoided Costs'!$B$13:$B$47,'2027 Avoided Costs'!$I$13:$I$47))*IF($X39="Residential",'2027 Avoided Costs'!$J$5,IF($X39="Large Volume",'2027 Avoided Costs'!$J$7,'2027 Avoided Costs'!$J$6))*IF($AE39&gt;0,$AE39,0),0)</f>
        <v>0</v>
      </c>
      <c r="AZ39" s="291" cm="1">
        <f t="array" ref="AZ39">IFERROR(IF($J39="Baseload",IF($O39=1,0,NPV('2027 Avoided Costs'!$D$6,_xlfn._xlws.FILTER('2027 Avoided Costs'!$C$14:$C$47,('2027 Avoided Costs'!$B$14:$B$47&gt;=$B39+1)*('2027 Avoided Costs'!$B$14:$B$47&lt;$B39+ROUND($O39,0)))))+_xlfn.XLOOKUP($B39,'2027 Avoided Costs'!$B$13:$B$47,'2027 Avoided Costs'!$C$13:$C$47),IF($O39=1,0,NPV('2027 Avoided Costs'!$D$6,_xlfn._xlws.FILTER('2027 Avoided Costs'!$E$14:$E$47,('2027 Avoided Costs'!$B$14:$B$47&gt;=$B39+1)*('2027 Avoided Costs'!$B$14:$B$47&lt;$B39+ROUND($O39,0)))))+_xlfn.XLOOKUP($B39,'2027 Avoided Costs'!$B$13:$B$47,'2027 Avoided Costs'!$E$13:$E$47))*IF($AE39&lt;0,$AE39*(-1),0),0)</f>
        <v>0</v>
      </c>
      <c r="BA39" s="291" cm="1">
        <f t="array" ref="BA39">IFERROR((IF($O39=1,0,NPV('2027 Avoided Costs'!$D$6,_xlfn._xlws.FILTER('2027 Avoided Costs'!$M$14:$M$47,('2027 Avoided Costs'!$B$14:$B$47&gt;=$B39+1)*('2027 Avoided Costs'!$B$14:$B$47&lt;$B39+ROUND($O39,0)))))+_xlfn.XLOOKUP($B39,'2027 Avoided Costs'!$B$13:$B$47,'2027 Avoided Costs'!$M$13:$M$47))*IF($AK39&lt;0,$AK39*(-1),0),0)</f>
        <v>0</v>
      </c>
      <c r="BB39" s="291" cm="1">
        <f t="array" ref="BB39">IFERROR((IF($O39=1,0,NPV('2027 Avoided Costs'!$D$6,_xlfn._xlws.FILTER('2027 Avoided Costs'!$S$14:$S$47,('2027 Avoided Costs'!$B$14:$B$47&gt;=$B39+1)*('2027 Avoided Costs'!$B$14:$B$47&lt;$B39+ROUND($O39,0)))))+_xlfn.XLOOKUP($B39,'2027 Avoided Costs'!$B$13:$B$47,'2027 Avoided Costs'!$S$13:$S$47))*IF($AI39&lt;0,$AI39*(-1),0),0)</f>
        <v>46773.177932690931</v>
      </c>
      <c r="BC39" s="291" cm="1">
        <f t="array" ref="BC39">IFERROR((IF($O39=1,0,NPV('2027 Avoided Costs'!$D$6,_xlfn._xlws.FILTER('2027 Avoided Costs'!$Y$14:$Y$47,('2027 Avoided Costs'!$B$14:$B$47&gt;=$B39+1)*('2027 Avoided Costs'!$B$14:$B$47&lt;$B39+ROUND($O39,0)))))+_xlfn.XLOOKUP($B39,'2027 Avoided Costs'!$B$13:$B$47,'2027 Avoided Costs'!$Y$13:$Y$47))*IF($AM39&lt;0,$AM39*(-1),0),0)</f>
        <v>70437.163069112605</v>
      </c>
      <c r="BD39" s="291" cm="1">
        <f t="array" ref="BD39">IFERROR((IF($O39=1,0,NPV('2027 Avoided Costs'!$D$6,_xlfn._xlws.FILTER('2027 Avoided Costs'!$AE$14:$AE$47,('2027 Avoided Costs'!$B$14:$B$47&gt;=$B39+1)*('2027 Avoided Costs'!$B$14:$B$47&lt;$B39+ROUND($O39,0)))))+_xlfn.XLOOKUP($B39,'2027 Avoided Costs'!$B$13:$B$47,'2027 Avoided Costs'!$AE$13:$AE$47))*IF($AO39&lt;0,$AO39*(-1),0),0)</f>
        <v>7423.8893714324904</v>
      </c>
      <c r="BE39" s="291" cm="1">
        <f t="array" ref="BE39">IFERROR((IF($O39=1,0,NPV('2027 Avoided Costs'!$D$4,_xlfn._xlws.FILTER('2027 Avoided Costs'!$I$14:$I$47,('2027 Avoided Costs'!$B$14:$B$47&gt;=$B39+1)*('2027 Avoided Costs'!$B$14:$B$47&lt;$B39+ROUND($O39,0)))))+_xlfn.XLOOKUP($B39,'2027 Avoided Costs'!$B$13:$B$47,'2027 Avoided Costs'!$I$13:$I$47))*IF($X39="Residential",'2027 Avoided Costs'!$J$5,IF($X39="Large Volume",'2027 Avoided Costs'!$J$7,'2027 Avoided Costs'!$J$6))*IF($AE39&lt;0,$AE39*(-1),0),0)</f>
        <v>0</v>
      </c>
      <c r="BF39" s="291">
        <f t="shared" si="23"/>
        <v>189741.62941524206</v>
      </c>
      <c r="BG39" s="291">
        <f t="shared" si="24"/>
        <v>806742.09037323599</v>
      </c>
      <c r="BH39" s="291">
        <f t="shared" si="25"/>
        <v>-617000.46095799399</v>
      </c>
      <c r="BI39" s="292">
        <f t="shared" si="29"/>
        <v>0.2351949051368559</v>
      </c>
      <c r="BJ39" s="196" cm="1">
        <f t="array" ref="BJ39">IFERROR(IF($J39="Baseload",IF($O39=1,0,NPV('2027 Avoided Costs'!$D$6,_xlfn._xlws.FILTER('2027 Avoided Costs'!$C$14:$C$47,('2027 Avoided Costs'!$B$14:$B$47&gt;=$B39+1)*('2027 Avoided Costs'!$B$14:$B$47&lt;$B39+ROUND($O39,0)))))+_xlfn.XLOOKUP($B39,'2027 Avoided Costs'!$B$13:$B$47,'2027 Avoided Costs'!$C$13:$C$47),IF($O39=1,0,NPV('2027 Avoided Costs'!$D$6,_xlfn._xlws.FILTER('2027 Avoided Costs'!$E$14:$E$47,('2027 Avoided Costs'!$B$14:$B$47&gt;=$B39+1)*('2027 Avoided Costs'!$B$14:$B$47&lt;$B39+ROUND($O39,0)))))+_xlfn.XLOOKUP($B39,'2027 Avoided Costs'!$B$13:$B$47,'2027 Avoided Costs'!$E$13:$E$47))*IF($AE39&gt;0,$AE39*(1+0),0),0)</f>
        <v>164992.72123064529</v>
      </c>
      <c r="BK39" s="293">
        <f t="shared" si="26"/>
        <v>2.5787801513509718</v>
      </c>
    </row>
    <row r="40" spans="1:63" s="1" customFormat="1" x14ac:dyDescent="0.25">
      <c r="A40" s="270" t="s">
        <v>133</v>
      </c>
      <c r="B40" s="271">
        <v>2028</v>
      </c>
      <c r="C40" s="272" t="s">
        <v>13</v>
      </c>
      <c r="D40" s="272" t="s">
        <v>9</v>
      </c>
      <c r="E40" s="272" t="s">
        <v>295</v>
      </c>
      <c r="F40" s="273">
        <v>102</v>
      </c>
      <c r="G40" s="274">
        <v>13824.912727279003</v>
      </c>
      <c r="H40" s="275">
        <f t="shared" si="3"/>
        <v>0.65</v>
      </c>
      <c r="I40" s="274">
        <v>250</v>
      </c>
      <c r="J40" s="276" t="s">
        <v>264</v>
      </c>
      <c r="K40" s="277">
        <f t="shared" si="27"/>
        <v>0.75</v>
      </c>
      <c r="L40" s="278">
        <v>0.28000000000000003</v>
      </c>
      <c r="M40" s="278">
        <v>0.03</v>
      </c>
      <c r="N40" s="278">
        <v>0.91</v>
      </c>
      <c r="O40" s="279">
        <v>15</v>
      </c>
      <c r="P40" s="280">
        <v>21269.096503506156</v>
      </c>
      <c r="Q40" s="281">
        <v>2586.7229069767441</v>
      </c>
      <c r="R40" s="282">
        <v>1.5763199055365218</v>
      </c>
      <c r="S40" s="282">
        <v>0.46559375540552222</v>
      </c>
      <c r="T40" s="281">
        <v>222.68578431372549</v>
      </c>
      <c r="U40" s="283">
        <v>1</v>
      </c>
      <c r="V40" s="284">
        <v>23881.812378564122</v>
      </c>
      <c r="W40" s="285">
        <v>0.15</v>
      </c>
      <c r="X40" s="286" t="s">
        <v>255</v>
      </c>
      <c r="Y40" s="287">
        <f t="shared" si="4"/>
        <v>102</v>
      </c>
      <c r="Z40" s="288">
        <f t="shared" si="5"/>
        <v>1410141.0981824582</v>
      </c>
      <c r="AA40" s="288">
        <f t="shared" si="6"/>
        <v>25500</v>
      </c>
      <c r="AB40" s="288">
        <f t="shared" si="7"/>
        <v>1438343.9201461074</v>
      </c>
      <c r="AC40" s="288">
        <f t="shared" si="28"/>
        <v>25938.600000000002</v>
      </c>
      <c r="AD40" s="287">
        <f t="shared" si="8"/>
        <v>1974197.5374554414</v>
      </c>
      <c r="AE40" s="287">
        <f t="shared" si="9"/>
        <v>1480648.1530915811</v>
      </c>
      <c r="AF40" s="287">
        <f t="shared" si="10"/>
        <v>29612963.061831623</v>
      </c>
      <c r="AG40" s="287">
        <f t="shared" si="11"/>
        <v>22209722.296373717</v>
      </c>
      <c r="AH40" s="287">
        <f t="shared" si="12"/>
        <v>257386.79288182323</v>
      </c>
      <c r="AI40" s="287">
        <f t="shared" si="13"/>
        <v>193040.09466136748</v>
      </c>
      <c r="AJ40" s="287">
        <f t="shared" si="14"/>
        <v>20669.694500000001</v>
      </c>
      <c r="AK40" s="287">
        <f t="shared" si="15"/>
        <v>15502.270875</v>
      </c>
      <c r="AL40" s="287">
        <f t="shared" si="16"/>
        <v>156.84862261339674</v>
      </c>
      <c r="AM40" s="287">
        <f t="shared" si="17"/>
        <v>117.63646696004757</v>
      </c>
      <c r="AN40" s="287">
        <f t="shared" si="18"/>
        <v>46.327994067865895</v>
      </c>
      <c r="AO40" s="287">
        <f t="shared" si="19"/>
        <v>34.745995550899423</v>
      </c>
      <c r="AP40" s="287">
        <f t="shared" si="20"/>
        <v>2435944.8626135406</v>
      </c>
      <c r="AQ40" s="287">
        <f t="shared" si="21"/>
        <v>1826958.6469601556</v>
      </c>
      <c r="AR40" s="287">
        <f t="shared" si="22"/>
        <v>1480648.1530915811</v>
      </c>
      <c r="AS40" s="289" t="e">
        <f>IF(J40='2027 Avoided Costs'!#REF!,3,5)</f>
        <v>#REF!</v>
      </c>
      <c r="AT40" s="290" cm="1">
        <f t="array" ref="AT40">IFERROR(IF($J40="Baseload",IF($O40=1,0,NPV('2027 Avoided Costs'!$D$6,_xlfn._xlws.FILTER('2027 Avoided Costs'!$C$14:$C$47,('2027 Avoided Costs'!$B$14:$B$47&gt;=$B40+1)*('2027 Avoided Costs'!$B$14:$B$47&lt;$B40+ROUND($O40,0)))))+_xlfn.XLOOKUP($B40,'2027 Avoided Costs'!$B$13:$B$47,'2027 Avoided Costs'!$C$13:$C$47),IF($O40=1,0,NPV('2027 Avoided Costs'!$D$6,_xlfn._xlws.FILTER('2027 Avoided Costs'!$E$14:$E$47,('2027 Avoided Costs'!$B$14:$B$47&gt;=$B40+1)*('2027 Avoided Costs'!$B$14:$B$47&lt;$B40+ROUND($O40,0)))))+_xlfn.XLOOKUP($B40,'2027 Avoided Costs'!$B$13:$B$47,'2027 Avoided Costs'!$E$13:$E$47))*IF($AE40&gt;0,$AE40*(1+$W40),0),0)</f>
        <v>6072963.3493453646</v>
      </c>
      <c r="AU40" s="290" cm="1">
        <f t="array" ref="AU40">IFERROR((IF($O40=1,0,NPV('2027 Avoided Costs'!$D$6,_xlfn._xlws.FILTER('2027 Avoided Costs'!$M$14:$M$47,('2027 Avoided Costs'!$B$14:$B$47&gt;=$B40+1)*('2027 Avoided Costs'!$B$14:$B$47&lt;$B40+ROUND($O40,0)))))+_xlfn.XLOOKUP($B40,'2027 Avoided Costs'!$B$13:$B$47,'2027 Avoided Costs'!$M$13:$M$47))*IF($AK40&gt;0,$AK40*(1+$W40),0),0)</f>
        <v>226692.90786816957</v>
      </c>
      <c r="AV40" s="291" cm="1">
        <f t="array" ref="AV40">IFERROR((IF($O40=1,0,NPV('2027 Avoided Costs'!$D$6,_xlfn._xlws.FILTER('2027 Avoided Costs'!$Q$14:$Q$47,('2027 Avoided Costs'!$B$14:$B$47&gt;=$B40+1)*('2027 Avoided Costs'!$B$14:$B$47&lt;$B40+ROUND($O40,0)))))+_xlfn.XLOOKUP($B40,'2027 Avoided Costs'!$B$13:$B$47,'2027 Avoided Costs'!$Q$13:$Q$47))*IF($AI40&gt;0,$AI40*(1+$W40),0),0)</f>
        <v>126112.90324836614</v>
      </c>
      <c r="AW40" s="291" cm="1">
        <f t="array" ref="AW40">IFERROR((IF($O40=1,0,NPV('2027 Avoided Costs'!$D$6,_xlfn._xlws.FILTER('2027 Avoided Costs'!$W$14:$W$47,('2027 Avoided Costs'!$B$14:$B$47&gt;=$B40+1)*('2027 Avoided Costs'!$B$14:$B$47&lt;$B40+ROUND($O40,0)))))+_xlfn.XLOOKUP($B40,'2027 Avoided Costs'!$B$13:$B$47,'2027 Avoided Costs'!$W$13:$W$47))*IF($AM40&gt;0,$AM40*(1+$W40),0),0)</f>
        <v>481826.59381070582</v>
      </c>
      <c r="AX40" s="291" cm="1">
        <f t="array" ref="AX40">IFERROR((IF($O40=1,0,NPV('2027 Avoided Costs'!$D$6,_xlfn._xlws.FILTER('2027 Avoided Costs'!$AC$14:$AC$47,('2027 Avoided Costs'!$B$14:$B$47&gt;=$B40+1)*('2027 Avoided Costs'!$B$14:$B$47&lt;$B40+ROUND($O40,0)))))+_xlfn.XLOOKUP($B40,'2027 Avoided Costs'!$B$13:$B$47,'2027 Avoided Costs'!$AC$13:$AC$47))*IF($AO40&gt;0,$AO40*(1+$W40),0),0)</f>
        <v>8999.8327696810193</v>
      </c>
      <c r="AY40" s="291" cm="1">
        <f t="array" ref="AY40">IFERROR((IF($O40=1,0,NPV('2027 Avoided Costs'!$D$4,_xlfn._xlws.FILTER('2027 Avoided Costs'!$I$14:$I$47,('2027 Avoided Costs'!$B$14:$B$47&gt;=$B40+1)*('2027 Avoided Costs'!$B$14:$B$47&lt;$B40+ROUND($O40,0)))))+_xlfn.XLOOKUP($B40,'2027 Avoided Costs'!$B$13:$B$47,'2027 Avoided Costs'!$I$13:$I$47))*IF($X40="Residential",'2027 Avoided Costs'!$J$5,IF($X40="Large Volume",'2027 Avoided Costs'!$J$7,'2027 Avoided Costs'!$J$6))*IF($AE40&gt;0,$AE40,0),0)</f>
        <v>0</v>
      </c>
      <c r="AZ40" s="291" cm="1">
        <f t="array" ref="AZ40">IFERROR(IF($J40="Baseload",IF($O40=1,0,NPV('2027 Avoided Costs'!$D$6,_xlfn._xlws.FILTER('2027 Avoided Costs'!$C$14:$C$47,('2027 Avoided Costs'!$B$14:$B$47&gt;=$B40+1)*('2027 Avoided Costs'!$B$14:$B$47&lt;$B40+ROUND($O40,0)))))+_xlfn.XLOOKUP($B40,'2027 Avoided Costs'!$B$13:$B$47,'2027 Avoided Costs'!$C$13:$C$47),IF($O40=1,0,NPV('2027 Avoided Costs'!$D$6,_xlfn._xlws.FILTER('2027 Avoided Costs'!$E$14:$E$47,('2027 Avoided Costs'!$B$14:$B$47&gt;=$B40+1)*('2027 Avoided Costs'!$B$14:$B$47&lt;$B40+ROUND($O40,0)))))+_xlfn.XLOOKUP($B40,'2027 Avoided Costs'!$B$13:$B$47,'2027 Avoided Costs'!$E$13:$E$47))*IF($AE40&lt;0,$AE40*(-1),0),0)</f>
        <v>0</v>
      </c>
      <c r="BA40" s="291" cm="1">
        <f t="array" ref="BA40">IFERROR((IF($O40=1,0,NPV('2027 Avoided Costs'!$D$6,_xlfn._xlws.FILTER('2027 Avoided Costs'!$M$14:$M$47,('2027 Avoided Costs'!$B$14:$B$47&gt;=$B40+1)*('2027 Avoided Costs'!$B$14:$B$47&lt;$B40+ROUND($O40,0)))))+_xlfn.XLOOKUP($B40,'2027 Avoided Costs'!$B$13:$B$47,'2027 Avoided Costs'!$M$13:$M$47))*IF($AK40&lt;0,$AK40*(-1),0),0)</f>
        <v>0</v>
      </c>
      <c r="BB40" s="291" cm="1">
        <f t="array" ref="BB40">IFERROR((IF($O40=1,0,NPV('2027 Avoided Costs'!$D$6,_xlfn._xlws.FILTER('2027 Avoided Costs'!$S$14:$S$47,('2027 Avoided Costs'!$B$14:$B$47&gt;=$B40+1)*('2027 Avoided Costs'!$B$14:$B$47&lt;$B40+ROUND($O40,0)))))+_xlfn.XLOOKUP($B40,'2027 Avoided Costs'!$B$13:$B$47,'2027 Avoided Costs'!$S$13:$S$47))*IF($AI40&lt;0,$AI40*(-1),0),0)</f>
        <v>0</v>
      </c>
      <c r="BC40" s="291" cm="1">
        <f t="array" ref="BC40">IFERROR((IF($O40=1,0,NPV('2027 Avoided Costs'!$D$6,_xlfn._xlws.FILTER('2027 Avoided Costs'!$Y$14:$Y$47,('2027 Avoided Costs'!$B$14:$B$47&gt;=$B40+1)*('2027 Avoided Costs'!$B$14:$B$47&lt;$B40+ROUND($O40,0)))))+_xlfn.XLOOKUP($B40,'2027 Avoided Costs'!$B$13:$B$47,'2027 Avoided Costs'!$Y$13:$Y$47))*IF($AM40&lt;0,$AM40*(-1),0),0)</f>
        <v>0</v>
      </c>
      <c r="BD40" s="291" cm="1">
        <f t="array" ref="BD40">IFERROR((IF($O40=1,0,NPV('2027 Avoided Costs'!$D$6,_xlfn._xlws.FILTER('2027 Avoided Costs'!$AE$14:$AE$47,('2027 Avoided Costs'!$B$14:$B$47&gt;=$B40+1)*('2027 Avoided Costs'!$B$14:$B$47&lt;$B40+ROUND($O40,0)))))+_xlfn.XLOOKUP($B40,'2027 Avoided Costs'!$B$13:$B$47,'2027 Avoided Costs'!$AE$13:$AE$47))*IF($AO40&lt;0,$AO40*(-1),0),0)</f>
        <v>0</v>
      </c>
      <c r="BE40" s="291" cm="1">
        <f t="array" ref="BE40">IFERROR((IF($O40=1,0,NPV('2027 Avoided Costs'!$D$4,_xlfn._xlws.FILTER('2027 Avoided Costs'!$I$14:$I$47,('2027 Avoided Costs'!$B$14:$B$47&gt;=$B40+1)*('2027 Avoided Costs'!$B$14:$B$47&lt;$B40+ROUND($O40,0)))))+_xlfn.XLOOKUP($B40,'2027 Avoided Costs'!$B$13:$B$47,'2027 Avoided Costs'!$I$13:$I$47))*IF($X40="Residential",'2027 Avoided Costs'!$J$5,IF($X40="Large Volume",'2027 Avoided Costs'!$J$7,'2027 Avoided Costs'!$J$6))*IF($AE40&lt;0,$AE40*(-1),0),0)</f>
        <v>0</v>
      </c>
      <c r="BF40" s="291">
        <f t="shared" si="23"/>
        <v>6916595.5870422861</v>
      </c>
      <c r="BG40" s="291">
        <f t="shared" si="24"/>
        <v>1826958.6469601556</v>
      </c>
      <c r="BH40" s="291">
        <f t="shared" si="25"/>
        <v>5089636.940082131</v>
      </c>
      <c r="BI40" s="292">
        <f t="shared" si="29"/>
        <v>3.78585229531642</v>
      </c>
      <c r="BJ40" s="196" cm="1">
        <f t="array" ref="BJ40">IFERROR(IF($J40="Baseload",IF($O40=1,0,NPV('2027 Avoided Costs'!$D$6,_xlfn._xlws.FILTER('2027 Avoided Costs'!$C$14:$C$47,('2027 Avoided Costs'!$B$14:$B$47&gt;=$B40+1)*('2027 Avoided Costs'!$B$14:$B$47&lt;$B40+ROUND($O40,0)))))+_xlfn.XLOOKUP($B40,'2027 Avoided Costs'!$B$13:$B$47,'2027 Avoided Costs'!$C$13:$C$47),IF($O40=1,0,NPV('2027 Avoided Costs'!$D$6,_xlfn._xlws.FILTER('2027 Avoided Costs'!$E$14:$E$47,('2027 Avoided Costs'!$B$14:$B$47&gt;=$B40+1)*('2027 Avoided Costs'!$B$14:$B$47&lt;$B40+ROUND($O40,0)))))+_xlfn.XLOOKUP($B40,'2027 Avoided Costs'!$B$13:$B$47,'2027 Avoided Costs'!$E$13:$E$47))*IF($AE40&gt;0,$AE40*(1+0),0),0)</f>
        <v>5280837.6950829253</v>
      </c>
      <c r="BK40" s="293">
        <f t="shared" si="26"/>
        <v>3.6064336099265857</v>
      </c>
    </row>
    <row r="41" spans="1:63" s="1" customFormat="1" x14ac:dyDescent="0.25">
      <c r="A41" s="270" t="s">
        <v>133</v>
      </c>
      <c r="B41" s="271">
        <v>2028</v>
      </c>
      <c r="C41" s="272" t="s">
        <v>13</v>
      </c>
      <c r="D41" s="272" t="s">
        <v>9</v>
      </c>
      <c r="E41" s="272" t="s">
        <v>354</v>
      </c>
      <c r="F41" s="273">
        <v>18</v>
      </c>
      <c r="G41" s="274">
        <v>13824.912727279003</v>
      </c>
      <c r="H41" s="275">
        <f t="shared" si="3"/>
        <v>0.65</v>
      </c>
      <c r="I41" s="274">
        <v>250</v>
      </c>
      <c r="J41" s="276" t="s">
        <v>263</v>
      </c>
      <c r="K41" s="277">
        <f t="shared" si="27"/>
        <v>0.75</v>
      </c>
      <c r="L41" s="278">
        <v>0.28000000000000003</v>
      </c>
      <c r="M41" s="278">
        <v>0.03</v>
      </c>
      <c r="N41" s="278">
        <v>0.91</v>
      </c>
      <c r="O41" s="279">
        <v>15</v>
      </c>
      <c r="P41" s="280">
        <v>21269.096503506156</v>
      </c>
      <c r="Q41" s="281">
        <v>2586.7229069767441</v>
      </c>
      <c r="R41" s="282">
        <v>0.29528800307953429</v>
      </c>
      <c r="S41" s="282">
        <v>0.29528800307953795</v>
      </c>
      <c r="T41" s="281">
        <v>222.68578431372549</v>
      </c>
      <c r="U41" s="283">
        <v>1</v>
      </c>
      <c r="V41" s="284">
        <v>23881.812378564122</v>
      </c>
      <c r="W41" s="285">
        <v>0.15</v>
      </c>
      <c r="X41" s="286" t="s">
        <v>255</v>
      </c>
      <c r="Y41" s="287">
        <f t="shared" si="4"/>
        <v>18</v>
      </c>
      <c r="Z41" s="288">
        <f t="shared" si="5"/>
        <v>248848.42909102206</v>
      </c>
      <c r="AA41" s="288">
        <f t="shared" si="6"/>
        <v>4500</v>
      </c>
      <c r="AB41" s="288">
        <f t="shared" si="7"/>
        <v>253825.39767284252</v>
      </c>
      <c r="AC41" s="288">
        <f t="shared" si="28"/>
        <v>4577.4000000000005</v>
      </c>
      <c r="AD41" s="287">
        <f t="shared" si="8"/>
        <v>348387.80072743085</v>
      </c>
      <c r="AE41" s="287">
        <f t="shared" si="9"/>
        <v>261290.85054557314</v>
      </c>
      <c r="AF41" s="287">
        <f t="shared" si="10"/>
        <v>5225817.0109114628</v>
      </c>
      <c r="AG41" s="287">
        <f t="shared" si="11"/>
        <v>3919362.7581835971</v>
      </c>
      <c r="AH41" s="287">
        <f t="shared" si="12"/>
        <v>45421.198743851164</v>
      </c>
      <c r="AI41" s="287">
        <f t="shared" si="13"/>
        <v>34065.899057888375</v>
      </c>
      <c r="AJ41" s="287">
        <f t="shared" si="14"/>
        <v>3647.5931470588239</v>
      </c>
      <c r="AK41" s="287">
        <f t="shared" si="15"/>
        <v>2735.6948602941179</v>
      </c>
      <c r="AL41" s="287">
        <f t="shared" si="16"/>
        <v>5.1850683497546521</v>
      </c>
      <c r="AM41" s="287">
        <f t="shared" si="17"/>
        <v>3.8888012623159884</v>
      </c>
      <c r="AN41" s="287">
        <f t="shared" si="18"/>
        <v>5.1850683497547161</v>
      </c>
      <c r="AO41" s="287">
        <f t="shared" si="19"/>
        <v>3.8888012623160368</v>
      </c>
      <c r="AP41" s="287">
        <f t="shared" si="20"/>
        <v>429872.62281415419</v>
      </c>
      <c r="AQ41" s="287">
        <f t="shared" si="21"/>
        <v>322404.46711061563</v>
      </c>
      <c r="AR41" s="287">
        <f t="shared" si="22"/>
        <v>261290.85054557314</v>
      </c>
      <c r="AS41" s="289" t="e">
        <f>IF(J41='2027 Avoided Costs'!#REF!,3,5)</f>
        <v>#REF!</v>
      </c>
      <c r="AT41" s="290" cm="1">
        <f t="array" ref="AT41">IFERROR(IF($J41="Baseload",IF($O41=1,0,NPV('2027 Avoided Costs'!$D$6,_xlfn._xlws.FILTER('2027 Avoided Costs'!$C$14:$C$47,('2027 Avoided Costs'!$B$14:$B$47&gt;=$B41+1)*('2027 Avoided Costs'!$B$14:$B$47&lt;$B41+ROUND($O41,0)))))+_xlfn.XLOOKUP($B41,'2027 Avoided Costs'!$B$13:$B$47,'2027 Avoided Costs'!$C$13:$C$47),IF($O41=1,0,NPV('2027 Avoided Costs'!$D$6,_xlfn._xlws.FILTER('2027 Avoided Costs'!$E$14:$E$47,('2027 Avoided Costs'!$B$14:$B$47&gt;=$B41+1)*('2027 Avoided Costs'!$B$14:$B$47&lt;$B41+ROUND($O41,0)))))+_xlfn.XLOOKUP($B41,'2027 Avoided Costs'!$B$13:$B$47,'2027 Avoided Costs'!$E$13:$E$47))*IF($AE41&gt;0,$AE41*(1+$W41),0),0)</f>
        <v>955426.83309172897</v>
      </c>
      <c r="AU41" s="290" cm="1">
        <f t="array" ref="AU41">IFERROR((IF($O41=1,0,NPV('2027 Avoided Costs'!$D$6,_xlfn._xlws.FILTER('2027 Avoided Costs'!$M$14:$M$47,('2027 Avoided Costs'!$B$14:$B$47&gt;=$B41+1)*('2027 Avoided Costs'!$B$14:$B$47&lt;$B41+ROUND($O41,0)))))+_xlfn.XLOOKUP($B41,'2027 Avoided Costs'!$B$13:$B$47,'2027 Avoided Costs'!$M$13:$M$47))*IF($AK41&gt;0,$AK41*(1+$W41),0),0)</f>
        <v>40004.630800265215</v>
      </c>
      <c r="AV41" s="291" cm="1">
        <f t="array" ref="AV41">IFERROR((IF($O41=1,0,NPV('2027 Avoided Costs'!$D$6,_xlfn._xlws.FILTER('2027 Avoided Costs'!$Q$14:$Q$47,('2027 Avoided Costs'!$B$14:$B$47&gt;=$B41+1)*('2027 Avoided Costs'!$B$14:$B$47&lt;$B41+ROUND($O41,0)))))+_xlfn.XLOOKUP($B41,'2027 Avoided Costs'!$B$13:$B$47,'2027 Avoided Costs'!$Q$13:$Q$47))*IF($AI41&gt;0,$AI41*(1+$W41),0),0)</f>
        <v>22255.218220299907</v>
      </c>
      <c r="AW41" s="291" cm="1">
        <f t="array" ref="AW41">IFERROR((IF($O41=1,0,NPV('2027 Avoided Costs'!$D$6,_xlfn._xlws.FILTER('2027 Avoided Costs'!$W$14:$W$47,('2027 Avoided Costs'!$B$14:$B$47&gt;=$B41+1)*('2027 Avoided Costs'!$B$14:$B$47&lt;$B41+ROUND($O41,0)))))+_xlfn.XLOOKUP($B41,'2027 Avoided Costs'!$B$13:$B$47,'2027 Avoided Costs'!$W$13:$W$47))*IF($AM41&gt;0,$AM41*(1+$W41),0),0)</f>
        <v>15928.12088503859</v>
      </c>
      <c r="AX41" s="291" cm="1">
        <f t="array" ref="AX41">IFERROR((IF($O41=1,0,NPV('2027 Avoided Costs'!$D$6,_xlfn._xlws.FILTER('2027 Avoided Costs'!$AC$14:$AC$47,('2027 Avoided Costs'!$B$14:$B$47&gt;=$B41+1)*('2027 Avoided Costs'!$B$14:$B$47&lt;$B41+ROUND($O41,0)))))+_xlfn.XLOOKUP($B41,'2027 Avoided Costs'!$B$13:$B$47,'2027 Avoided Costs'!$AC$13:$AC$47))*IF($AO41&gt;0,$AO41*(1+$W41),0),0)</f>
        <v>1007.2689091351371</v>
      </c>
      <c r="AY41" s="291" cm="1">
        <f t="array" ref="AY41">IFERROR((IF($O41=1,0,NPV('2027 Avoided Costs'!$D$4,_xlfn._xlws.FILTER('2027 Avoided Costs'!$I$14:$I$47,('2027 Avoided Costs'!$B$14:$B$47&gt;=$B41+1)*('2027 Avoided Costs'!$B$14:$B$47&lt;$B41+ROUND($O41,0)))))+_xlfn.XLOOKUP($B41,'2027 Avoided Costs'!$B$13:$B$47,'2027 Avoided Costs'!$I$13:$I$47))*IF($X41="Residential",'2027 Avoided Costs'!$J$5,IF($X41="Large Volume",'2027 Avoided Costs'!$J$7,'2027 Avoided Costs'!$J$6))*IF($AE41&gt;0,$AE41,0),0)</f>
        <v>0</v>
      </c>
      <c r="AZ41" s="291" cm="1">
        <f t="array" ref="AZ41">IFERROR(IF($J41="Baseload",IF($O41=1,0,NPV('2027 Avoided Costs'!$D$6,_xlfn._xlws.FILTER('2027 Avoided Costs'!$C$14:$C$47,('2027 Avoided Costs'!$B$14:$B$47&gt;=$B41+1)*('2027 Avoided Costs'!$B$14:$B$47&lt;$B41+ROUND($O41,0)))))+_xlfn.XLOOKUP($B41,'2027 Avoided Costs'!$B$13:$B$47,'2027 Avoided Costs'!$C$13:$C$47),IF($O41=1,0,NPV('2027 Avoided Costs'!$D$6,_xlfn._xlws.FILTER('2027 Avoided Costs'!$E$14:$E$47,('2027 Avoided Costs'!$B$14:$B$47&gt;=$B41+1)*('2027 Avoided Costs'!$B$14:$B$47&lt;$B41+ROUND($O41,0)))))+_xlfn.XLOOKUP($B41,'2027 Avoided Costs'!$B$13:$B$47,'2027 Avoided Costs'!$E$13:$E$47))*IF($AE41&lt;0,$AE41*(-1),0),0)</f>
        <v>0</v>
      </c>
      <c r="BA41" s="291" cm="1">
        <f t="array" ref="BA41">IFERROR((IF($O41=1,0,NPV('2027 Avoided Costs'!$D$6,_xlfn._xlws.FILTER('2027 Avoided Costs'!$M$14:$M$47,('2027 Avoided Costs'!$B$14:$B$47&gt;=$B41+1)*('2027 Avoided Costs'!$B$14:$B$47&lt;$B41+ROUND($O41,0)))))+_xlfn.XLOOKUP($B41,'2027 Avoided Costs'!$B$13:$B$47,'2027 Avoided Costs'!$M$13:$M$47))*IF($AK41&lt;0,$AK41*(-1),0),0)</f>
        <v>0</v>
      </c>
      <c r="BB41" s="291" cm="1">
        <f t="array" ref="BB41">IFERROR((IF($O41=1,0,NPV('2027 Avoided Costs'!$D$6,_xlfn._xlws.FILTER('2027 Avoided Costs'!$S$14:$S$47,('2027 Avoided Costs'!$B$14:$B$47&gt;=$B41+1)*('2027 Avoided Costs'!$B$14:$B$47&lt;$B41+ROUND($O41,0)))))+_xlfn.XLOOKUP($B41,'2027 Avoided Costs'!$B$13:$B$47,'2027 Avoided Costs'!$S$13:$S$47))*IF($AI41&lt;0,$AI41*(-1),0),0)</f>
        <v>0</v>
      </c>
      <c r="BC41" s="291" cm="1">
        <f t="array" ref="BC41">IFERROR((IF($O41=1,0,NPV('2027 Avoided Costs'!$D$6,_xlfn._xlws.FILTER('2027 Avoided Costs'!$Y$14:$Y$47,('2027 Avoided Costs'!$B$14:$B$47&gt;=$B41+1)*('2027 Avoided Costs'!$B$14:$B$47&lt;$B41+ROUND($O41,0)))))+_xlfn.XLOOKUP($B41,'2027 Avoided Costs'!$B$13:$B$47,'2027 Avoided Costs'!$Y$13:$Y$47))*IF($AM41&lt;0,$AM41*(-1),0),0)</f>
        <v>0</v>
      </c>
      <c r="BD41" s="291" cm="1">
        <f t="array" ref="BD41">IFERROR((IF($O41=1,0,NPV('2027 Avoided Costs'!$D$6,_xlfn._xlws.FILTER('2027 Avoided Costs'!$AE$14:$AE$47,('2027 Avoided Costs'!$B$14:$B$47&gt;=$B41+1)*('2027 Avoided Costs'!$B$14:$B$47&lt;$B41+ROUND($O41,0)))))+_xlfn.XLOOKUP($B41,'2027 Avoided Costs'!$B$13:$B$47,'2027 Avoided Costs'!$AE$13:$AE$47))*IF($AO41&lt;0,$AO41*(-1),0),0)</f>
        <v>0</v>
      </c>
      <c r="BE41" s="291" cm="1">
        <f t="array" ref="BE41">IFERROR((IF($O41=1,0,NPV('2027 Avoided Costs'!$D$4,_xlfn._xlws.FILTER('2027 Avoided Costs'!$I$14:$I$47,('2027 Avoided Costs'!$B$14:$B$47&gt;=$B41+1)*('2027 Avoided Costs'!$B$14:$B$47&lt;$B41+ROUND($O41,0)))))+_xlfn.XLOOKUP($B41,'2027 Avoided Costs'!$B$13:$B$47,'2027 Avoided Costs'!$I$13:$I$47))*IF($X41="Residential",'2027 Avoided Costs'!$J$5,IF($X41="Large Volume",'2027 Avoided Costs'!$J$7,'2027 Avoided Costs'!$J$6))*IF($AE41&lt;0,$AE41*(-1),0),0)</f>
        <v>0</v>
      </c>
      <c r="BF41" s="291">
        <f t="shared" si="23"/>
        <v>1034622.0719064679</v>
      </c>
      <c r="BG41" s="291">
        <f t="shared" si="24"/>
        <v>322404.46711061563</v>
      </c>
      <c r="BH41" s="291">
        <f t="shared" si="25"/>
        <v>712217.60479585221</v>
      </c>
      <c r="BI41" s="292">
        <f t="shared" si="29"/>
        <v>3.2090810688162499</v>
      </c>
      <c r="BJ41" s="196" cm="1">
        <f t="array" ref="BJ41">IFERROR(IF($J41="Baseload",IF($O41=1,0,NPV('2027 Avoided Costs'!$D$6,_xlfn._xlws.FILTER('2027 Avoided Costs'!$C$14:$C$47,('2027 Avoided Costs'!$B$14:$B$47&gt;=$B41+1)*('2027 Avoided Costs'!$B$14:$B$47&lt;$B41+ROUND($O41,0)))))+_xlfn.XLOOKUP($B41,'2027 Avoided Costs'!$B$13:$B$47,'2027 Avoided Costs'!$C$13:$C$47),IF($O41=1,0,NPV('2027 Avoided Costs'!$D$6,_xlfn._xlws.FILTER('2027 Avoided Costs'!$E$14:$E$47,('2027 Avoided Costs'!$B$14:$B$47&gt;=$B41+1)*('2027 Avoided Costs'!$B$14:$B$47&lt;$B41+ROUND($O41,0)))))+_xlfn.XLOOKUP($B41,'2027 Avoided Costs'!$B$13:$B$47,'2027 Avoided Costs'!$E$13:$E$47))*IF($AE41&gt;0,$AE41*(1+0),0),0)</f>
        <v>830805.94181889493</v>
      </c>
      <c r="BK41" s="293">
        <f t="shared" si="26"/>
        <v>3.2151584630703498</v>
      </c>
    </row>
    <row r="42" spans="1:63" s="1" customFormat="1" x14ac:dyDescent="0.25">
      <c r="A42" s="270" t="s">
        <v>133</v>
      </c>
      <c r="B42" s="271">
        <v>2028</v>
      </c>
      <c r="C42" s="272" t="s">
        <v>13</v>
      </c>
      <c r="D42" s="272" t="s">
        <v>9</v>
      </c>
      <c r="E42" s="272" t="s">
        <v>296</v>
      </c>
      <c r="F42" s="273">
        <v>2</v>
      </c>
      <c r="G42" s="274">
        <v>75467.711790891408</v>
      </c>
      <c r="H42" s="275">
        <f t="shared" si="3"/>
        <v>0.65</v>
      </c>
      <c r="I42" s="274">
        <v>250</v>
      </c>
      <c r="J42" s="276" t="s">
        <v>264</v>
      </c>
      <c r="K42" s="277">
        <f t="shared" si="27"/>
        <v>0.75</v>
      </c>
      <c r="L42" s="278">
        <v>0.28000000000000003</v>
      </c>
      <c r="M42" s="278">
        <v>0.03</v>
      </c>
      <c r="N42" s="278">
        <v>0.91</v>
      </c>
      <c r="O42" s="279">
        <v>15</v>
      </c>
      <c r="P42" s="280">
        <v>116104.17198598677</v>
      </c>
      <c r="Q42" s="281">
        <v>-127745.62000000001</v>
      </c>
      <c r="R42" s="282">
        <v>-42.5</v>
      </c>
      <c r="S42" s="282">
        <v>-75</v>
      </c>
      <c r="T42" s="281">
        <v>0</v>
      </c>
      <c r="U42" s="283">
        <v>1</v>
      </c>
      <c r="V42" s="284">
        <v>148461</v>
      </c>
      <c r="W42" s="285">
        <v>0.15</v>
      </c>
      <c r="X42" s="286" t="s">
        <v>255</v>
      </c>
      <c r="Y42" s="287">
        <f t="shared" si="4"/>
        <v>2</v>
      </c>
      <c r="Z42" s="288">
        <f t="shared" si="5"/>
        <v>150935.42358178282</v>
      </c>
      <c r="AA42" s="288">
        <f t="shared" si="6"/>
        <v>500</v>
      </c>
      <c r="AB42" s="288">
        <f t="shared" si="7"/>
        <v>153954.13205341846</v>
      </c>
      <c r="AC42" s="288">
        <f t="shared" si="28"/>
        <v>508.60000000000008</v>
      </c>
      <c r="AD42" s="287">
        <f t="shared" si="8"/>
        <v>211309.59301449594</v>
      </c>
      <c r="AE42" s="287">
        <f t="shared" si="9"/>
        <v>158482.19476087196</v>
      </c>
      <c r="AF42" s="287">
        <f t="shared" si="10"/>
        <v>3169643.8952174392</v>
      </c>
      <c r="AG42" s="287">
        <f t="shared" si="11"/>
        <v>2377232.9214130794</v>
      </c>
      <c r="AH42" s="287">
        <f t="shared" si="12"/>
        <v>-249236.81444480005</v>
      </c>
      <c r="AI42" s="287">
        <f t="shared" si="13"/>
        <v>-186927.61083360005</v>
      </c>
      <c r="AJ42" s="287">
        <f t="shared" si="14"/>
        <v>0</v>
      </c>
      <c r="AK42" s="287">
        <f t="shared" si="15"/>
        <v>0</v>
      </c>
      <c r="AL42" s="287">
        <f t="shared" si="16"/>
        <v>-82.919200000000018</v>
      </c>
      <c r="AM42" s="287">
        <f t="shared" si="17"/>
        <v>-62.189400000000006</v>
      </c>
      <c r="AN42" s="287">
        <f t="shared" si="18"/>
        <v>-146.328</v>
      </c>
      <c r="AO42" s="287">
        <f t="shared" si="19"/>
        <v>-109.74600000000001</v>
      </c>
      <c r="AP42" s="287">
        <f t="shared" si="20"/>
        <v>296922</v>
      </c>
      <c r="AQ42" s="287">
        <f t="shared" si="21"/>
        <v>222691.5</v>
      </c>
      <c r="AR42" s="287">
        <f t="shared" si="22"/>
        <v>158482.19476087196</v>
      </c>
      <c r="AS42" s="289" t="e">
        <f>IF(J42='2027 Avoided Costs'!#REF!,3,5)</f>
        <v>#REF!</v>
      </c>
      <c r="AT42" s="290" cm="1">
        <f t="array" ref="AT42">IFERROR(IF($J42="Baseload",IF($O42=1,0,NPV('2027 Avoided Costs'!$D$6,_xlfn._xlws.FILTER('2027 Avoided Costs'!$C$14:$C$47,('2027 Avoided Costs'!$B$14:$B$47&gt;=$B42+1)*('2027 Avoided Costs'!$B$14:$B$47&lt;$B42+ROUND($O42,0)))))+_xlfn.XLOOKUP($B42,'2027 Avoided Costs'!$B$13:$B$47,'2027 Avoided Costs'!$C$13:$C$47),IF($O42=1,0,NPV('2027 Avoided Costs'!$D$6,_xlfn._xlws.FILTER('2027 Avoided Costs'!$E$14:$E$47,('2027 Avoided Costs'!$B$14:$B$47&gt;=$B42+1)*('2027 Avoided Costs'!$B$14:$B$47&lt;$B42+ROUND($O42,0)))))+_xlfn.XLOOKUP($B42,'2027 Avoided Costs'!$B$13:$B$47,'2027 Avoided Costs'!$E$13:$E$47))*IF($AE42&gt;0,$AE42*(1+$W42),0),0)</f>
        <v>650023.81443355605</v>
      </c>
      <c r="AU42" s="290" cm="1">
        <f t="array" ref="AU42">IFERROR((IF($O42=1,0,NPV('2027 Avoided Costs'!$D$6,_xlfn._xlws.FILTER('2027 Avoided Costs'!$M$14:$M$47,('2027 Avoided Costs'!$B$14:$B$47&gt;=$B42+1)*('2027 Avoided Costs'!$B$14:$B$47&lt;$B42+ROUND($O42,0)))))+_xlfn.XLOOKUP($B42,'2027 Avoided Costs'!$B$13:$B$47,'2027 Avoided Costs'!$M$13:$M$47))*IF($AK42&gt;0,$AK42*(1+$W42),0),0)</f>
        <v>0</v>
      </c>
      <c r="AV42" s="291" cm="1">
        <f t="array" ref="AV42">IFERROR((IF($O42=1,0,NPV('2027 Avoided Costs'!$D$6,_xlfn._xlws.FILTER('2027 Avoided Costs'!$Q$14:$Q$47,('2027 Avoided Costs'!$B$14:$B$47&gt;=$B42+1)*('2027 Avoided Costs'!$B$14:$B$47&lt;$B42+ROUND($O42,0)))))+_xlfn.XLOOKUP($B42,'2027 Avoided Costs'!$B$13:$B$47,'2027 Avoided Costs'!$Q$13:$Q$47))*IF($AI42&gt;0,$AI42*(1+$W42),0),0)</f>
        <v>0</v>
      </c>
      <c r="AW42" s="291" cm="1">
        <f t="array" ref="AW42">IFERROR((IF($O42=1,0,NPV('2027 Avoided Costs'!$D$6,_xlfn._xlws.FILTER('2027 Avoided Costs'!$W$14:$W$47,('2027 Avoided Costs'!$B$14:$B$47&gt;=$B42+1)*('2027 Avoided Costs'!$B$14:$B$47&lt;$B42+ROUND($O42,0)))))+_xlfn.XLOOKUP($B42,'2027 Avoided Costs'!$B$13:$B$47,'2027 Avoided Costs'!$W$13:$W$47))*IF($AM42&gt;0,$AM42*(1+$W42),0),0)</f>
        <v>0</v>
      </c>
      <c r="AX42" s="291" cm="1">
        <f t="array" ref="AX42">IFERROR((IF($O42=1,0,NPV('2027 Avoided Costs'!$D$6,_xlfn._xlws.FILTER('2027 Avoided Costs'!$AC$14:$AC$47,('2027 Avoided Costs'!$B$14:$B$47&gt;=$B42+1)*('2027 Avoided Costs'!$B$14:$B$47&lt;$B42+ROUND($O42,0)))))+_xlfn.XLOOKUP($B42,'2027 Avoided Costs'!$B$13:$B$47,'2027 Avoided Costs'!$AC$13:$AC$47))*IF($AO42&gt;0,$AO42*(1+$W42),0),0)</f>
        <v>0</v>
      </c>
      <c r="AY42" s="291" cm="1">
        <f t="array" ref="AY42">IFERROR((IF($O42=1,0,NPV('2027 Avoided Costs'!$D$4,_xlfn._xlws.FILTER('2027 Avoided Costs'!$I$14:$I$47,('2027 Avoided Costs'!$B$14:$B$47&gt;=$B42+1)*('2027 Avoided Costs'!$B$14:$B$47&lt;$B42+ROUND($O42,0)))))+_xlfn.XLOOKUP($B42,'2027 Avoided Costs'!$B$13:$B$47,'2027 Avoided Costs'!$I$13:$I$47))*IF($X42="Residential",'2027 Avoided Costs'!$J$5,IF($X42="Large Volume",'2027 Avoided Costs'!$J$7,'2027 Avoided Costs'!$J$6))*IF($AE42&gt;0,$AE42,0),0)</f>
        <v>0</v>
      </c>
      <c r="AZ42" s="291" cm="1">
        <f t="array" ref="AZ42">IFERROR(IF($J42="Baseload",IF($O42=1,0,NPV('2027 Avoided Costs'!$D$6,_xlfn._xlws.FILTER('2027 Avoided Costs'!$C$14:$C$47,('2027 Avoided Costs'!$B$14:$B$47&gt;=$B42+1)*('2027 Avoided Costs'!$B$14:$B$47&lt;$B42+ROUND($O42,0)))))+_xlfn.XLOOKUP($B42,'2027 Avoided Costs'!$B$13:$B$47,'2027 Avoided Costs'!$C$13:$C$47),IF($O42=1,0,NPV('2027 Avoided Costs'!$D$6,_xlfn._xlws.FILTER('2027 Avoided Costs'!$E$14:$E$47,('2027 Avoided Costs'!$B$14:$B$47&gt;=$B42+1)*('2027 Avoided Costs'!$B$14:$B$47&lt;$B42+ROUND($O42,0)))))+_xlfn.XLOOKUP($B42,'2027 Avoided Costs'!$B$13:$B$47,'2027 Avoided Costs'!$E$13:$E$47))*IF($AE42&lt;0,$AE42*(-1),0),0)</f>
        <v>0</v>
      </c>
      <c r="BA42" s="291" cm="1">
        <f t="array" ref="BA42">IFERROR((IF($O42=1,0,NPV('2027 Avoided Costs'!$D$6,_xlfn._xlws.FILTER('2027 Avoided Costs'!$M$14:$M$47,('2027 Avoided Costs'!$B$14:$B$47&gt;=$B42+1)*('2027 Avoided Costs'!$B$14:$B$47&lt;$B42+ROUND($O42,0)))))+_xlfn.XLOOKUP($B42,'2027 Avoided Costs'!$B$13:$B$47,'2027 Avoided Costs'!$M$13:$M$47))*IF($AK42&lt;0,$AK42*(-1),0),0)</f>
        <v>0</v>
      </c>
      <c r="BB42" s="291" cm="1">
        <f t="array" ref="BB42">IFERROR((IF($O42=1,0,NPV('2027 Avoided Costs'!$D$6,_xlfn._xlws.FILTER('2027 Avoided Costs'!$S$14:$S$47,('2027 Avoided Costs'!$B$14:$B$47&gt;=$B42+1)*('2027 Avoided Costs'!$B$14:$B$47&lt;$B42+ROUND($O42,0)))))+_xlfn.XLOOKUP($B42,'2027 Avoided Costs'!$B$13:$B$47,'2027 Avoided Costs'!$S$13:$S$47))*IF($AI42&lt;0,$AI42*(-1),0),0)</f>
        <v>106190.97704235878</v>
      </c>
      <c r="BC42" s="291" cm="1">
        <f t="array" ref="BC42">IFERROR((IF($O42=1,0,NPV('2027 Avoided Costs'!$D$6,_xlfn._xlws.FILTER('2027 Avoided Costs'!$Y$14:$Y$47,('2027 Avoided Costs'!$B$14:$B$47&gt;=$B42+1)*('2027 Avoided Costs'!$B$14:$B$47&lt;$B42+ROUND($O42,0)))))+_xlfn.XLOOKUP($B42,'2027 Avoided Costs'!$B$13:$B$47,'2027 Avoided Costs'!$Y$13:$Y$47))*IF($AM42&lt;0,$AM42*(-1),0),0)</f>
        <v>221496.73072934645</v>
      </c>
      <c r="BD42" s="291" cm="1">
        <f t="array" ref="BD42">IFERROR((IF($O42=1,0,NPV('2027 Avoided Costs'!$D$6,_xlfn._xlws.FILTER('2027 Avoided Costs'!$AE$14:$AE$47,('2027 Avoided Costs'!$B$14:$B$47&gt;=$B42+1)*('2027 Avoided Costs'!$B$14:$B$47&lt;$B42+ROUND($O42,0)))))+_xlfn.XLOOKUP($B42,'2027 Avoided Costs'!$B$13:$B$47,'2027 Avoided Costs'!$AE$13:$AE$47))*IF($AO42&lt;0,$AO42*(-1),0),0)</f>
        <v>24718.410467324655</v>
      </c>
      <c r="BE42" s="291" cm="1">
        <f t="array" ref="BE42">IFERROR((IF($O42=1,0,NPV('2027 Avoided Costs'!$D$4,_xlfn._xlws.FILTER('2027 Avoided Costs'!$I$14:$I$47,('2027 Avoided Costs'!$B$14:$B$47&gt;=$B42+1)*('2027 Avoided Costs'!$B$14:$B$47&lt;$B42+ROUND($O42,0)))))+_xlfn.XLOOKUP($B42,'2027 Avoided Costs'!$B$13:$B$47,'2027 Avoided Costs'!$I$13:$I$47))*IF($X42="Residential",'2027 Avoided Costs'!$J$5,IF($X42="Large Volume",'2027 Avoided Costs'!$J$7,'2027 Avoided Costs'!$J$6))*IF($AE42&lt;0,$AE42*(-1),0),0)</f>
        <v>0</v>
      </c>
      <c r="BF42" s="291">
        <f t="shared" si="23"/>
        <v>650023.81443355605</v>
      </c>
      <c r="BG42" s="291">
        <f t="shared" si="24"/>
        <v>575097.61823902989</v>
      </c>
      <c r="BH42" s="291">
        <f t="shared" si="25"/>
        <v>74926.196194526157</v>
      </c>
      <c r="BI42" s="292">
        <f t="shared" si="29"/>
        <v>1.1302843096863329</v>
      </c>
      <c r="BJ42" s="196" cm="1">
        <f t="array" ref="BJ42">IFERROR(IF($J42="Baseload",IF($O42=1,0,NPV('2027 Avoided Costs'!$D$6,_xlfn._xlws.FILTER('2027 Avoided Costs'!$C$14:$C$47,('2027 Avoided Costs'!$B$14:$B$47&gt;=$B42+1)*('2027 Avoided Costs'!$B$14:$B$47&lt;$B42+ROUND($O42,0)))))+_xlfn.XLOOKUP($B42,'2027 Avoided Costs'!$B$13:$B$47,'2027 Avoided Costs'!$C$13:$C$47),IF($O42=1,0,NPV('2027 Avoided Costs'!$D$6,_xlfn._xlws.FILTER('2027 Avoided Costs'!$E$14:$E$47,('2027 Avoided Costs'!$B$14:$B$47&gt;=$B42+1)*('2027 Avoided Costs'!$B$14:$B$47&lt;$B42+ROUND($O42,0)))))+_xlfn.XLOOKUP($B42,'2027 Avoided Costs'!$B$13:$B$47,'2027 Avoided Costs'!$E$13:$E$47))*IF($AE42&gt;0,$AE42*(1+0),0),0)</f>
        <v>565238.09950744</v>
      </c>
      <c r="BK42" s="293">
        <f t="shared" si="26"/>
        <v>3.6593817291277837</v>
      </c>
    </row>
    <row r="43" spans="1:63" s="1" customFormat="1" x14ac:dyDescent="0.25">
      <c r="A43" s="270" t="s">
        <v>133</v>
      </c>
      <c r="B43" s="271">
        <v>2028</v>
      </c>
      <c r="C43" s="272" t="s">
        <v>13</v>
      </c>
      <c r="D43" s="272" t="s">
        <v>9</v>
      </c>
      <c r="E43" s="272" t="s">
        <v>297</v>
      </c>
      <c r="F43" s="273">
        <v>134</v>
      </c>
      <c r="G43" s="274">
        <v>4471.5895340787029</v>
      </c>
      <c r="H43" s="275">
        <f t="shared" si="3"/>
        <v>0.96502300196168744</v>
      </c>
      <c r="I43" s="274">
        <v>250</v>
      </c>
      <c r="J43" s="276" t="s">
        <v>264</v>
      </c>
      <c r="K43" s="277">
        <f t="shared" si="27"/>
        <v>0.75</v>
      </c>
      <c r="L43" s="278">
        <v>0.28000000000000003</v>
      </c>
      <c r="M43" s="278">
        <v>0.03</v>
      </c>
      <c r="N43" s="278">
        <v>0.91</v>
      </c>
      <c r="O43" s="279">
        <v>15</v>
      </c>
      <c r="P43" s="280">
        <v>4633.6610888951955</v>
      </c>
      <c r="Q43" s="281">
        <v>1028.9365333333335</v>
      </c>
      <c r="R43" s="282">
        <v>0.62702237439213215</v>
      </c>
      <c r="S43" s="282">
        <v>0.18520206526044927</v>
      </c>
      <c r="T43" s="281">
        <v>0</v>
      </c>
      <c r="U43" s="283">
        <v>0</v>
      </c>
      <c r="V43" s="284">
        <v>14687.528949575606</v>
      </c>
      <c r="W43" s="285">
        <v>0.15</v>
      </c>
      <c r="X43" s="286" t="s">
        <v>255</v>
      </c>
      <c r="Y43" s="287">
        <f t="shared" si="4"/>
        <v>134</v>
      </c>
      <c r="Z43" s="288">
        <f t="shared" si="5"/>
        <v>599192.9975665462</v>
      </c>
      <c r="AA43" s="288">
        <f t="shared" si="6"/>
        <v>33500</v>
      </c>
      <c r="AB43" s="288">
        <f t="shared" si="7"/>
        <v>611176.85751787713</v>
      </c>
      <c r="AC43" s="288">
        <f t="shared" si="28"/>
        <v>34076.200000000004</v>
      </c>
      <c r="AD43" s="287">
        <f t="shared" si="8"/>
        <v>565028.6331798801</v>
      </c>
      <c r="AE43" s="287">
        <f t="shared" si="9"/>
        <v>423771.47488491004</v>
      </c>
      <c r="AF43" s="287">
        <f t="shared" si="10"/>
        <v>8475429.4976982009</v>
      </c>
      <c r="AG43" s="287">
        <f t="shared" si="11"/>
        <v>6356572.1232736502</v>
      </c>
      <c r="AH43" s="287">
        <f t="shared" si="12"/>
        <v>134502.2543776427</v>
      </c>
      <c r="AI43" s="287">
        <f t="shared" si="13"/>
        <v>100876.69078323203</v>
      </c>
      <c r="AJ43" s="287">
        <f t="shared" si="14"/>
        <v>0</v>
      </c>
      <c r="AK43" s="287">
        <f t="shared" si="15"/>
        <v>0</v>
      </c>
      <c r="AL43" s="287">
        <f t="shared" si="16"/>
        <v>81.964164133379725</v>
      </c>
      <c r="AM43" s="287">
        <f t="shared" si="17"/>
        <v>61.473123100034783</v>
      </c>
      <c r="AN43" s="287">
        <f t="shared" si="18"/>
        <v>24.209554706185049</v>
      </c>
      <c r="AO43" s="287">
        <f t="shared" si="19"/>
        <v>18.157166029638788</v>
      </c>
      <c r="AP43" s="287">
        <f t="shared" si="20"/>
        <v>1968128.8792431313</v>
      </c>
      <c r="AQ43" s="287">
        <f t="shared" si="21"/>
        <v>1476096.6594323483</v>
      </c>
      <c r="AR43" s="287">
        <f t="shared" si="22"/>
        <v>0</v>
      </c>
      <c r="AS43" s="289" t="e">
        <f>IF(J43='2027 Avoided Costs'!#REF!,3,5)</f>
        <v>#REF!</v>
      </c>
      <c r="AT43" s="290" cm="1">
        <f t="array" ref="AT43">IFERROR(IF($J43="Baseload",IF($O43=1,0,NPV('2027 Avoided Costs'!$D$6,_xlfn._xlws.FILTER('2027 Avoided Costs'!$C$14:$C$47,('2027 Avoided Costs'!$B$14:$B$47&gt;=$B43+1)*('2027 Avoided Costs'!$B$14:$B$47&lt;$B43+ROUND($O43,0)))))+_xlfn.XLOOKUP($B43,'2027 Avoided Costs'!$B$13:$B$47,'2027 Avoided Costs'!$C$13:$C$47),IF($O43=1,0,NPV('2027 Avoided Costs'!$D$6,_xlfn._xlws.FILTER('2027 Avoided Costs'!$E$14:$E$47,('2027 Avoided Costs'!$B$14:$B$47&gt;=$B43+1)*('2027 Avoided Costs'!$B$14:$B$47&lt;$B43+ROUND($O43,0)))))+_xlfn.XLOOKUP($B43,'2027 Avoided Costs'!$B$13:$B$47,'2027 Avoided Costs'!$E$13:$E$47))*IF($AE43&gt;0,$AE43*(1+$W43),0),0)</f>
        <v>1738123.0173424659</v>
      </c>
      <c r="AU43" s="290" cm="1">
        <f t="array" ref="AU43">IFERROR((IF($O43=1,0,NPV('2027 Avoided Costs'!$D$6,_xlfn._xlws.FILTER('2027 Avoided Costs'!$M$14:$M$47,('2027 Avoided Costs'!$B$14:$B$47&gt;=$B43+1)*('2027 Avoided Costs'!$B$14:$B$47&lt;$B43+ROUND($O43,0)))))+_xlfn.XLOOKUP($B43,'2027 Avoided Costs'!$B$13:$B$47,'2027 Avoided Costs'!$M$13:$M$47))*IF($AK43&gt;0,$AK43*(1+$W43),0),0)</f>
        <v>0</v>
      </c>
      <c r="AV43" s="291" cm="1">
        <f t="array" ref="AV43">IFERROR((IF($O43=1,0,NPV('2027 Avoided Costs'!$D$6,_xlfn._xlws.FILTER('2027 Avoided Costs'!$Q$14:$Q$47,('2027 Avoided Costs'!$B$14:$B$47&gt;=$B43+1)*('2027 Avoided Costs'!$B$14:$B$47&lt;$B43+ROUND($O43,0)))))+_xlfn.XLOOKUP($B43,'2027 Avoided Costs'!$B$13:$B$47,'2027 Avoided Costs'!$Q$13:$Q$47))*IF($AI43&gt;0,$AI43*(1+$W43),0),0)</f>
        <v>65902.642490296479</v>
      </c>
      <c r="AW43" s="291" cm="1">
        <f t="array" ref="AW43">IFERROR((IF($O43=1,0,NPV('2027 Avoided Costs'!$D$6,_xlfn._xlws.FILTER('2027 Avoided Costs'!$W$14:$W$47,('2027 Avoided Costs'!$B$14:$B$47&gt;=$B43+1)*('2027 Avoided Costs'!$B$14:$B$47&lt;$B43+ROUND($O43,0)))))+_xlfn.XLOOKUP($B43,'2027 Avoided Costs'!$B$13:$B$47,'2027 Avoided Costs'!$W$13:$W$47))*IF($AM43&gt;0,$AM43*(1+$W43),0),0)</f>
        <v>251787.44550578436</v>
      </c>
      <c r="AX43" s="291" cm="1">
        <f t="array" ref="AX43">IFERROR((IF($O43=1,0,NPV('2027 Avoided Costs'!$D$6,_xlfn._xlws.FILTER('2027 Avoided Costs'!$AC$14:$AC$47,('2027 Avoided Costs'!$B$14:$B$47&gt;=$B43+1)*('2027 Avoided Costs'!$B$14:$B$47&lt;$B43+ROUND($O43,0)))))+_xlfn.XLOOKUP($B43,'2027 Avoided Costs'!$B$13:$B$47,'2027 Avoided Costs'!$AC$13:$AC$47))*IF($AO43&gt;0,$AO43*(1+$W43),0),0)</f>
        <v>4703.0299534431433</v>
      </c>
      <c r="AY43" s="291" cm="1">
        <f t="array" ref="AY43">IFERROR((IF($O43=1,0,NPV('2027 Avoided Costs'!$D$4,_xlfn._xlws.FILTER('2027 Avoided Costs'!$I$14:$I$47,('2027 Avoided Costs'!$B$14:$B$47&gt;=$B43+1)*('2027 Avoided Costs'!$B$14:$B$47&lt;$B43+ROUND($O43,0)))))+_xlfn.XLOOKUP($B43,'2027 Avoided Costs'!$B$13:$B$47,'2027 Avoided Costs'!$I$13:$I$47))*IF($X43="Residential",'2027 Avoided Costs'!$J$5,IF($X43="Large Volume",'2027 Avoided Costs'!$J$7,'2027 Avoided Costs'!$J$6))*IF($AE43&gt;0,$AE43,0),0)</f>
        <v>0</v>
      </c>
      <c r="AZ43" s="291" cm="1">
        <f t="array" ref="AZ43">IFERROR(IF($J43="Baseload",IF($O43=1,0,NPV('2027 Avoided Costs'!$D$6,_xlfn._xlws.FILTER('2027 Avoided Costs'!$C$14:$C$47,('2027 Avoided Costs'!$B$14:$B$47&gt;=$B43+1)*('2027 Avoided Costs'!$B$14:$B$47&lt;$B43+ROUND($O43,0)))))+_xlfn.XLOOKUP($B43,'2027 Avoided Costs'!$B$13:$B$47,'2027 Avoided Costs'!$C$13:$C$47),IF($O43=1,0,NPV('2027 Avoided Costs'!$D$6,_xlfn._xlws.FILTER('2027 Avoided Costs'!$E$14:$E$47,('2027 Avoided Costs'!$B$14:$B$47&gt;=$B43+1)*('2027 Avoided Costs'!$B$14:$B$47&lt;$B43+ROUND($O43,0)))))+_xlfn.XLOOKUP($B43,'2027 Avoided Costs'!$B$13:$B$47,'2027 Avoided Costs'!$E$13:$E$47))*IF($AE43&lt;0,$AE43*(-1),0),0)</f>
        <v>0</v>
      </c>
      <c r="BA43" s="291" cm="1">
        <f t="array" ref="BA43">IFERROR((IF($O43=1,0,NPV('2027 Avoided Costs'!$D$6,_xlfn._xlws.FILTER('2027 Avoided Costs'!$M$14:$M$47,('2027 Avoided Costs'!$B$14:$B$47&gt;=$B43+1)*('2027 Avoided Costs'!$B$14:$B$47&lt;$B43+ROUND($O43,0)))))+_xlfn.XLOOKUP($B43,'2027 Avoided Costs'!$B$13:$B$47,'2027 Avoided Costs'!$M$13:$M$47))*IF($AK43&lt;0,$AK43*(-1),0),0)</f>
        <v>0</v>
      </c>
      <c r="BB43" s="291" cm="1">
        <f t="array" ref="BB43">IFERROR((IF($O43=1,0,NPV('2027 Avoided Costs'!$D$6,_xlfn._xlws.FILTER('2027 Avoided Costs'!$S$14:$S$47,('2027 Avoided Costs'!$B$14:$B$47&gt;=$B43+1)*('2027 Avoided Costs'!$B$14:$B$47&lt;$B43+ROUND($O43,0)))))+_xlfn.XLOOKUP($B43,'2027 Avoided Costs'!$B$13:$B$47,'2027 Avoided Costs'!$S$13:$S$47))*IF($AI43&lt;0,$AI43*(-1),0),0)</f>
        <v>0</v>
      </c>
      <c r="BC43" s="291" cm="1">
        <f t="array" ref="BC43">IFERROR((IF($O43=1,0,NPV('2027 Avoided Costs'!$D$6,_xlfn._xlws.FILTER('2027 Avoided Costs'!$Y$14:$Y$47,('2027 Avoided Costs'!$B$14:$B$47&gt;=$B43+1)*('2027 Avoided Costs'!$B$14:$B$47&lt;$B43+ROUND($O43,0)))))+_xlfn.XLOOKUP($B43,'2027 Avoided Costs'!$B$13:$B$47,'2027 Avoided Costs'!$Y$13:$Y$47))*IF($AM43&lt;0,$AM43*(-1),0),0)</f>
        <v>0</v>
      </c>
      <c r="BD43" s="291" cm="1">
        <f t="array" ref="BD43">IFERROR((IF($O43=1,0,NPV('2027 Avoided Costs'!$D$6,_xlfn._xlws.FILTER('2027 Avoided Costs'!$AE$14:$AE$47,('2027 Avoided Costs'!$B$14:$B$47&gt;=$B43+1)*('2027 Avoided Costs'!$B$14:$B$47&lt;$B43+ROUND($O43,0)))))+_xlfn.XLOOKUP($B43,'2027 Avoided Costs'!$B$13:$B$47,'2027 Avoided Costs'!$AE$13:$AE$47))*IF($AO43&lt;0,$AO43*(-1),0),0)</f>
        <v>0</v>
      </c>
      <c r="BE43" s="291" cm="1">
        <f t="array" ref="BE43">IFERROR((IF($O43=1,0,NPV('2027 Avoided Costs'!$D$4,_xlfn._xlws.FILTER('2027 Avoided Costs'!$I$14:$I$47,('2027 Avoided Costs'!$B$14:$B$47&gt;=$B43+1)*('2027 Avoided Costs'!$B$14:$B$47&lt;$B43+ROUND($O43,0)))))+_xlfn.XLOOKUP($B43,'2027 Avoided Costs'!$B$13:$B$47,'2027 Avoided Costs'!$I$13:$I$47))*IF($X43="Residential",'2027 Avoided Costs'!$J$5,IF($X43="Large Volume",'2027 Avoided Costs'!$J$7,'2027 Avoided Costs'!$J$6))*IF($AE43&lt;0,$AE43*(-1),0),0)</f>
        <v>0</v>
      </c>
      <c r="BF43" s="291">
        <f t="shared" si="23"/>
        <v>2060516.1352919899</v>
      </c>
      <c r="BG43" s="291">
        <f t="shared" si="24"/>
        <v>1476096.6594323483</v>
      </c>
      <c r="BH43" s="291">
        <f t="shared" si="25"/>
        <v>584419.47585964156</v>
      </c>
      <c r="BI43" s="292">
        <f t="shared" si="29"/>
        <v>1.395922226451205</v>
      </c>
      <c r="BJ43" s="196" cm="1">
        <f t="array" ref="BJ43">IFERROR(IF($J43="Baseload",IF($O43=1,0,NPV('2027 Avoided Costs'!$D$6,_xlfn._xlws.FILTER('2027 Avoided Costs'!$C$14:$C$47,('2027 Avoided Costs'!$B$14:$B$47&gt;=$B43+1)*('2027 Avoided Costs'!$B$14:$B$47&lt;$B43+ROUND($O43,0)))))+_xlfn.XLOOKUP($B43,'2027 Avoided Costs'!$B$13:$B$47,'2027 Avoided Costs'!$C$13:$C$47),IF($O43=1,0,NPV('2027 Avoided Costs'!$D$6,_xlfn._xlws.FILTER('2027 Avoided Costs'!$E$14:$E$47,('2027 Avoided Costs'!$B$14:$B$47&gt;=$B43+1)*('2027 Avoided Costs'!$B$14:$B$47&lt;$B43+ROUND($O43,0)))))+_xlfn.XLOOKUP($B43,'2027 Avoided Costs'!$B$13:$B$47,'2027 Avoided Costs'!$E$13:$E$47))*IF($AE43&gt;0,$AE43*(1+0),0),0)</f>
        <v>1511411.3194282313</v>
      </c>
      <c r="BK43" s="293">
        <f t="shared" si="26"/>
        <v>2.3423543706127372</v>
      </c>
    </row>
    <row r="44" spans="1:63" s="1" customFormat="1" x14ac:dyDescent="0.25">
      <c r="A44" s="270" t="s">
        <v>133</v>
      </c>
      <c r="B44" s="271">
        <v>2028</v>
      </c>
      <c r="C44" s="272" t="s">
        <v>13</v>
      </c>
      <c r="D44" s="272" t="s">
        <v>9</v>
      </c>
      <c r="E44" s="272" t="s">
        <v>355</v>
      </c>
      <c r="F44" s="273">
        <v>24</v>
      </c>
      <c r="G44" s="274">
        <v>4471.5895340787029</v>
      </c>
      <c r="H44" s="275">
        <f t="shared" si="3"/>
        <v>0.96502300196168744</v>
      </c>
      <c r="I44" s="274">
        <v>250</v>
      </c>
      <c r="J44" s="276" t="s">
        <v>263</v>
      </c>
      <c r="K44" s="277">
        <f t="shared" si="27"/>
        <v>0.75</v>
      </c>
      <c r="L44" s="278">
        <v>0.28000000000000003</v>
      </c>
      <c r="M44" s="278">
        <v>0.03</v>
      </c>
      <c r="N44" s="278">
        <v>0.91</v>
      </c>
      <c r="O44" s="279">
        <v>15</v>
      </c>
      <c r="P44" s="280">
        <v>4633.6610888951955</v>
      </c>
      <c r="Q44" s="281">
        <v>1028.9365333333335</v>
      </c>
      <c r="R44" s="282">
        <v>0.11745850837138402</v>
      </c>
      <c r="S44" s="282">
        <v>0.11745850837138548</v>
      </c>
      <c r="T44" s="281">
        <v>0</v>
      </c>
      <c r="U44" s="283">
        <v>0</v>
      </c>
      <c r="V44" s="284">
        <v>14687.528949575606</v>
      </c>
      <c r="W44" s="285">
        <v>0.15</v>
      </c>
      <c r="X44" s="286" t="s">
        <v>255</v>
      </c>
      <c r="Y44" s="287">
        <f t="shared" si="4"/>
        <v>24</v>
      </c>
      <c r="Z44" s="288">
        <f t="shared" si="5"/>
        <v>107318.14881788887</v>
      </c>
      <c r="AA44" s="288">
        <f t="shared" si="6"/>
        <v>6000</v>
      </c>
      <c r="AB44" s="288">
        <f t="shared" si="7"/>
        <v>109464.51179424665</v>
      </c>
      <c r="AC44" s="288">
        <f t="shared" si="28"/>
        <v>6103.2000000000007</v>
      </c>
      <c r="AD44" s="287">
        <f t="shared" si="8"/>
        <v>101199.15818147108</v>
      </c>
      <c r="AE44" s="287">
        <f t="shared" si="9"/>
        <v>75899.368636103318</v>
      </c>
      <c r="AF44" s="287">
        <f t="shared" si="10"/>
        <v>1517987.3727220662</v>
      </c>
      <c r="AG44" s="287">
        <f t="shared" si="11"/>
        <v>1138490.5295415497</v>
      </c>
      <c r="AH44" s="287">
        <f t="shared" si="12"/>
        <v>24089.956007936005</v>
      </c>
      <c r="AI44" s="287">
        <f t="shared" si="13"/>
        <v>18067.467005952003</v>
      </c>
      <c r="AJ44" s="287">
        <f t="shared" si="14"/>
        <v>0</v>
      </c>
      <c r="AK44" s="287">
        <f t="shared" si="15"/>
        <v>0</v>
      </c>
      <c r="AL44" s="287">
        <f t="shared" si="16"/>
        <v>2.7499949780748616</v>
      </c>
      <c r="AM44" s="287">
        <f t="shared" si="17"/>
        <v>2.0624962335561459</v>
      </c>
      <c r="AN44" s="287">
        <f t="shared" si="18"/>
        <v>2.7499949780748953</v>
      </c>
      <c r="AO44" s="287">
        <f t="shared" si="19"/>
        <v>2.0624962335561716</v>
      </c>
      <c r="AP44" s="287">
        <f t="shared" si="20"/>
        <v>352500.69478981453</v>
      </c>
      <c r="AQ44" s="287">
        <f t="shared" si="21"/>
        <v>264375.5210923609</v>
      </c>
      <c r="AR44" s="287">
        <f t="shared" si="22"/>
        <v>0</v>
      </c>
      <c r="AS44" s="289" t="e">
        <f>IF(J44='2027 Avoided Costs'!#REF!,3,5)</f>
        <v>#REF!</v>
      </c>
      <c r="AT44" s="290" cm="1">
        <f t="array" ref="AT44">IFERROR(IF($J44="Baseload",IF($O44=1,0,NPV('2027 Avoided Costs'!$D$6,_xlfn._xlws.FILTER('2027 Avoided Costs'!$C$14:$C$47,('2027 Avoided Costs'!$B$14:$B$47&gt;=$B44+1)*('2027 Avoided Costs'!$B$14:$B$47&lt;$B44+ROUND($O44,0)))))+_xlfn.XLOOKUP($B44,'2027 Avoided Costs'!$B$13:$B$47,'2027 Avoided Costs'!$C$13:$C$47),IF($O44=1,0,NPV('2027 Avoided Costs'!$D$6,_xlfn._xlws.FILTER('2027 Avoided Costs'!$E$14:$E$47,('2027 Avoided Costs'!$B$14:$B$47&gt;=$B44+1)*('2027 Avoided Costs'!$B$14:$B$47&lt;$B44+ROUND($O44,0)))))+_xlfn.XLOOKUP($B44,'2027 Avoided Costs'!$B$13:$B$47,'2027 Avoided Costs'!$E$13:$E$47))*IF($AE44&gt;0,$AE44*(1+$W44),0),0)</f>
        <v>277530.9325153961</v>
      </c>
      <c r="AU44" s="290" cm="1">
        <f t="array" ref="AU44">IFERROR((IF($O44=1,0,NPV('2027 Avoided Costs'!$D$6,_xlfn._xlws.FILTER('2027 Avoided Costs'!$M$14:$M$47,('2027 Avoided Costs'!$B$14:$B$47&gt;=$B44+1)*('2027 Avoided Costs'!$B$14:$B$47&lt;$B44+ROUND($O44,0)))))+_xlfn.XLOOKUP($B44,'2027 Avoided Costs'!$B$13:$B$47,'2027 Avoided Costs'!$M$13:$M$47))*IF($AK44&gt;0,$AK44*(1+$W44),0),0)</f>
        <v>0</v>
      </c>
      <c r="AV44" s="291" cm="1">
        <f t="array" ref="AV44">IFERROR((IF($O44=1,0,NPV('2027 Avoided Costs'!$D$6,_xlfn._xlws.FILTER('2027 Avoided Costs'!$Q$14:$Q$47,('2027 Avoided Costs'!$B$14:$B$47&gt;=$B44+1)*('2027 Avoided Costs'!$B$14:$B$47&lt;$B44+ROUND($O44,0)))))+_xlfn.XLOOKUP($B44,'2027 Avoided Costs'!$B$13:$B$47,'2027 Avoided Costs'!$Q$13:$Q$47))*IF($AI44&gt;0,$AI44*(1+$W44),0),0)</f>
        <v>11803.458356471008</v>
      </c>
      <c r="AW44" s="291" cm="1">
        <f t="array" ref="AW44">IFERROR((IF($O44=1,0,NPV('2027 Avoided Costs'!$D$6,_xlfn._xlws.FILTER('2027 Avoided Costs'!$W$14:$W$47,('2027 Avoided Costs'!$B$14:$B$47&gt;=$B44+1)*('2027 Avoided Costs'!$B$14:$B$47&lt;$B44+ROUND($O44,0)))))+_xlfn.XLOOKUP($B44,'2027 Avoided Costs'!$B$13:$B$47,'2027 Avoided Costs'!$W$13:$W$47))*IF($AM44&gt;0,$AM44*(1+$W44),0),0)</f>
        <v>8447.7676067853736</v>
      </c>
      <c r="AX44" s="291" cm="1">
        <f t="array" ref="AX44">IFERROR((IF($O44=1,0,NPV('2027 Avoided Costs'!$D$6,_xlfn._xlws.FILTER('2027 Avoided Costs'!$AC$14:$AC$47,('2027 Avoided Costs'!$B$14:$B$47&gt;=$B44+1)*('2027 Avoided Costs'!$B$14:$B$47&lt;$B44+ROUND($O44,0)))))+_xlfn.XLOOKUP($B44,'2027 Avoided Costs'!$B$13:$B$47,'2027 Avoided Costs'!$AC$13:$AC$47))*IF($AO44&gt;0,$AO44*(1+$W44),0),0)</f>
        <v>534.22332259586153</v>
      </c>
      <c r="AY44" s="291" cm="1">
        <f t="array" ref="AY44">IFERROR((IF($O44=1,0,NPV('2027 Avoided Costs'!$D$4,_xlfn._xlws.FILTER('2027 Avoided Costs'!$I$14:$I$47,('2027 Avoided Costs'!$B$14:$B$47&gt;=$B44+1)*('2027 Avoided Costs'!$B$14:$B$47&lt;$B44+ROUND($O44,0)))))+_xlfn.XLOOKUP($B44,'2027 Avoided Costs'!$B$13:$B$47,'2027 Avoided Costs'!$I$13:$I$47))*IF($X44="Residential",'2027 Avoided Costs'!$J$5,IF($X44="Large Volume",'2027 Avoided Costs'!$J$7,'2027 Avoided Costs'!$J$6))*IF($AE44&gt;0,$AE44,0),0)</f>
        <v>0</v>
      </c>
      <c r="AZ44" s="291" cm="1">
        <f t="array" ref="AZ44">IFERROR(IF($J44="Baseload",IF($O44=1,0,NPV('2027 Avoided Costs'!$D$6,_xlfn._xlws.FILTER('2027 Avoided Costs'!$C$14:$C$47,('2027 Avoided Costs'!$B$14:$B$47&gt;=$B44+1)*('2027 Avoided Costs'!$B$14:$B$47&lt;$B44+ROUND($O44,0)))))+_xlfn.XLOOKUP($B44,'2027 Avoided Costs'!$B$13:$B$47,'2027 Avoided Costs'!$C$13:$C$47),IF($O44=1,0,NPV('2027 Avoided Costs'!$D$6,_xlfn._xlws.FILTER('2027 Avoided Costs'!$E$14:$E$47,('2027 Avoided Costs'!$B$14:$B$47&gt;=$B44+1)*('2027 Avoided Costs'!$B$14:$B$47&lt;$B44+ROUND($O44,0)))))+_xlfn.XLOOKUP($B44,'2027 Avoided Costs'!$B$13:$B$47,'2027 Avoided Costs'!$E$13:$E$47))*IF($AE44&lt;0,$AE44*(-1),0),0)</f>
        <v>0</v>
      </c>
      <c r="BA44" s="291" cm="1">
        <f t="array" ref="BA44">IFERROR((IF($O44=1,0,NPV('2027 Avoided Costs'!$D$6,_xlfn._xlws.FILTER('2027 Avoided Costs'!$M$14:$M$47,('2027 Avoided Costs'!$B$14:$B$47&gt;=$B44+1)*('2027 Avoided Costs'!$B$14:$B$47&lt;$B44+ROUND($O44,0)))))+_xlfn.XLOOKUP($B44,'2027 Avoided Costs'!$B$13:$B$47,'2027 Avoided Costs'!$M$13:$M$47))*IF($AK44&lt;0,$AK44*(-1),0),0)</f>
        <v>0</v>
      </c>
      <c r="BB44" s="291" cm="1">
        <f t="array" ref="BB44">IFERROR((IF($O44=1,0,NPV('2027 Avoided Costs'!$D$6,_xlfn._xlws.FILTER('2027 Avoided Costs'!$S$14:$S$47,('2027 Avoided Costs'!$B$14:$B$47&gt;=$B44+1)*('2027 Avoided Costs'!$B$14:$B$47&lt;$B44+ROUND($O44,0)))))+_xlfn.XLOOKUP($B44,'2027 Avoided Costs'!$B$13:$B$47,'2027 Avoided Costs'!$S$13:$S$47))*IF($AI44&lt;0,$AI44*(-1),0),0)</f>
        <v>0</v>
      </c>
      <c r="BC44" s="291" cm="1">
        <f t="array" ref="BC44">IFERROR((IF($O44=1,0,NPV('2027 Avoided Costs'!$D$6,_xlfn._xlws.FILTER('2027 Avoided Costs'!$Y$14:$Y$47,('2027 Avoided Costs'!$B$14:$B$47&gt;=$B44+1)*('2027 Avoided Costs'!$B$14:$B$47&lt;$B44+ROUND($O44,0)))))+_xlfn.XLOOKUP($B44,'2027 Avoided Costs'!$B$13:$B$47,'2027 Avoided Costs'!$Y$13:$Y$47))*IF($AM44&lt;0,$AM44*(-1),0),0)</f>
        <v>0</v>
      </c>
      <c r="BD44" s="291" cm="1">
        <f t="array" ref="BD44">IFERROR((IF($O44=1,0,NPV('2027 Avoided Costs'!$D$6,_xlfn._xlws.FILTER('2027 Avoided Costs'!$AE$14:$AE$47,('2027 Avoided Costs'!$B$14:$B$47&gt;=$B44+1)*('2027 Avoided Costs'!$B$14:$B$47&lt;$B44+ROUND($O44,0)))))+_xlfn.XLOOKUP($B44,'2027 Avoided Costs'!$B$13:$B$47,'2027 Avoided Costs'!$AE$13:$AE$47))*IF($AO44&lt;0,$AO44*(-1),0),0)</f>
        <v>0</v>
      </c>
      <c r="BE44" s="291" cm="1">
        <f t="array" ref="BE44">IFERROR((IF($O44=1,0,NPV('2027 Avoided Costs'!$D$4,_xlfn._xlws.FILTER('2027 Avoided Costs'!$I$14:$I$47,('2027 Avoided Costs'!$B$14:$B$47&gt;=$B44+1)*('2027 Avoided Costs'!$B$14:$B$47&lt;$B44+ROUND($O44,0)))))+_xlfn.XLOOKUP($B44,'2027 Avoided Costs'!$B$13:$B$47,'2027 Avoided Costs'!$I$13:$I$47))*IF($X44="Residential",'2027 Avoided Costs'!$J$5,IF($X44="Large Volume",'2027 Avoided Costs'!$J$7,'2027 Avoided Costs'!$J$6))*IF($AE44&lt;0,$AE44*(-1),0),0)</f>
        <v>0</v>
      </c>
      <c r="BF44" s="291">
        <f t="shared" si="23"/>
        <v>298316.38180124835</v>
      </c>
      <c r="BG44" s="291">
        <f t="shared" si="24"/>
        <v>264375.5210923609</v>
      </c>
      <c r="BH44" s="291">
        <f t="shared" si="25"/>
        <v>33940.860708887456</v>
      </c>
      <c r="BI44" s="292">
        <f t="shared" si="29"/>
        <v>1.1283812531835353</v>
      </c>
      <c r="BJ44" s="196" cm="1">
        <f t="array" ref="BJ44">IFERROR(IF($J44="Baseload",IF($O44=1,0,NPV('2027 Avoided Costs'!$D$6,_xlfn._xlws.FILTER('2027 Avoided Costs'!$C$14:$C$47,('2027 Avoided Costs'!$B$14:$B$47&gt;=$B44+1)*('2027 Avoided Costs'!$B$14:$B$47&lt;$B44+ROUND($O44,0)))))+_xlfn.XLOOKUP($B44,'2027 Avoided Costs'!$B$13:$B$47,'2027 Avoided Costs'!$C$13:$C$47),IF($O44=1,0,NPV('2027 Avoided Costs'!$D$6,_xlfn._xlws.FILTER('2027 Avoided Costs'!$E$14:$E$47,('2027 Avoided Costs'!$B$14:$B$47&gt;=$B44+1)*('2027 Avoided Costs'!$B$14:$B$47&lt;$B44+ROUND($O44,0)))))+_xlfn.XLOOKUP($B44,'2027 Avoided Costs'!$B$13:$B$47,'2027 Avoided Costs'!$E$13:$E$47))*IF($AE44&gt;0,$AE44*(1+0),0),0)</f>
        <v>241331.24566556182</v>
      </c>
      <c r="BK44" s="293">
        <f t="shared" si="26"/>
        <v>2.0882237946808262</v>
      </c>
    </row>
    <row r="45" spans="1:63" s="1" customFormat="1" x14ac:dyDescent="0.25">
      <c r="A45" s="270" t="s">
        <v>133</v>
      </c>
      <c r="B45" s="271">
        <v>2028</v>
      </c>
      <c r="C45" s="272" t="s">
        <v>13</v>
      </c>
      <c r="D45" s="272" t="s">
        <v>9</v>
      </c>
      <c r="E45" s="272" t="s">
        <v>298</v>
      </c>
      <c r="F45" s="273">
        <v>26</v>
      </c>
      <c r="G45" s="274">
        <v>5755.0470723132912</v>
      </c>
      <c r="H45" s="275">
        <f t="shared" si="3"/>
        <v>0.96502300196168722</v>
      </c>
      <c r="I45" s="274">
        <v>250</v>
      </c>
      <c r="J45" s="276" t="s">
        <v>264</v>
      </c>
      <c r="K45" s="277">
        <f t="shared" si="27"/>
        <v>0.75</v>
      </c>
      <c r="L45" s="278">
        <v>0.28000000000000003</v>
      </c>
      <c r="M45" s="278">
        <v>0.03</v>
      </c>
      <c r="N45" s="278">
        <v>0.91</v>
      </c>
      <c r="O45" s="279">
        <v>15</v>
      </c>
      <c r="P45" s="280">
        <v>5963.6371989211657</v>
      </c>
      <c r="Q45" s="281">
        <v>-14282.496956521738</v>
      </c>
      <c r="R45" s="282">
        <v>-3.6</v>
      </c>
      <c r="S45" s="282">
        <v>-6</v>
      </c>
      <c r="T45" s="281">
        <v>0</v>
      </c>
      <c r="U45" s="283">
        <v>0</v>
      </c>
      <c r="V45" s="284">
        <v>14985.931739130434</v>
      </c>
      <c r="W45" s="285">
        <v>0.15</v>
      </c>
      <c r="X45" s="286" t="s">
        <v>255</v>
      </c>
      <c r="Y45" s="287">
        <f t="shared" si="4"/>
        <v>26</v>
      </c>
      <c r="Z45" s="288">
        <f t="shared" si="5"/>
        <v>149631.22388014558</v>
      </c>
      <c r="AA45" s="288">
        <f t="shared" si="6"/>
        <v>6500</v>
      </c>
      <c r="AB45" s="288">
        <f t="shared" si="7"/>
        <v>152623.8483577485</v>
      </c>
      <c r="AC45" s="288">
        <f t="shared" si="28"/>
        <v>6611.8000000000011</v>
      </c>
      <c r="AD45" s="287">
        <f t="shared" si="8"/>
        <v>141099.65612647479</v>
      </c>
      <c r="AE45" s="287">
        <f t="shared" si="9"/>
        <v>105824.74209485609</v>
      </c>
      <c r="AF45" s="287">
        <f t="shared" si="10"/>
        <v>2116494.8418971216</v>
      </c>
      <c r="AG45" s="287">
        <f t="shared" si="11"/>
        <v>1587371.1314228415</v>
      </c>
      <c r="AH45" s="287">
        <f t="shared" si="12"/>
        <v>-362254.39720667823</v>
      </c>
      <c r="AI45" s="287">
        <f t="shared" si="13"/>
        <v>-271690.79790500872</v>
      </c>
      <c r="AJ45" s="287">
        <f t="shared" si="14"/>
        <v>0</v>
      </c>
      <c r="AK45" s="287">
        <f t="shared" si="15"/>
        <v>0</v>
      </c>
      <c r="AL45" s="287">
        <f t="shared" si="16"/>
        <v>-91.308672000000001</v>
      </c>
      <c r="AM45" s="287">
        <f t="shared" si="17"/>
        <v>-68.481504000000015</v>
      </c>
      <c r="AN45" s="287">
        <f t="shared" si="18"/>
        <v>-152.18112000000002</v>
      </c>
      <c r="AO45" s="287">
        <f t="shared" si="19"/>
        <v>-114.13584</v>
      </c>
      <c r="AP45" s="287">
        <f t="shared" si="20"/>
        <v>389634.22521739127</v>
      </c>
      <c r="AQ45" s="287">
        <f t="shared" si="21"/>
        <v>292225.66891304345</v>
      </c>
      <c r="AR45" s="287">
        <f t="shared" si="22"/>
        <v>0</v>
      </c>
      <c r="AS45" s="289" t="e">
        <f>IF(J45='2027 Avoided Costs'!#REF!,3,5)</f>
        <v>#REF!</v>
      </c>
      <c r="AT45" s="290" cm="1">
        <f t="array" ref="AT45">IFERROR(IF($J45="Baseload",IF($O45=1,0,NPV('2027 Avoided Costs'!$D$6,_xlfn._xlws.FILTER('2027 Avoided Costs'!$C$14:$C$47,('2027 Avoided Costs'!$B$14:$B$47&gt;=$B45+1)*('2027 Avoided Costs'!$B$14:$B$47&lt;$B45+ROUND($O45,0)))))+_xlfn.XLOOKUP($B45,'2027 Avoided Costs'!$B$13:$B$47,'2027 Avoided Costs'!$C$13:$C$47),IF($O45=1,0,NPV('2027 Avoided Costs'!$D$6,_xlfn._xlws.FILTER('2027 Avoided Costs'!$E$14:$E$47,('2027 Avoided Costs'!$B$14:$B$47&gt;=$B45+1)*('2027 Avoided Costs'!$B$14:$B$47&lt;$B45+ROUND($O45,0)))))+_xlfn.XLOOKUP($B45,'2027 Avoided Costs'!$B$13:$B$47,'2027 Avoided Costs'!$E$13:$E$47))*IF($AE45&gt;0,$AE45*(1+$W45),0),0)</f>
        <v>434046.25120025809</v>
      </c>
      <c r="AU45" s="290" cm="1">
        <f t="array" ref="AU45">IFERROR((IF($O45=1,0,NPV('2027 Avoided Costs'!$D$6,_xlfn._xlws.FILTER('2027 Avoided Costs'!$M$14:$M$47,('2027 Avoided Costs'!$B$14:$B$47&gt;=$B45+1)*('2027 Avoided Costs'!$B$14:$B$47&lt;$B45+ROUND($O45,0)))))+_xlfn.XLOOKUP($B45,'2027 Avoided Costs'!$B$13:$B$47,'2027 Avoided Costs'!$M$13:$M$47))*IF($AK45&gt;0,$AK45*(1+$W45),0),0)</f>
        <v>0</v>
      </c>
      <c r="AV45" s="291" cm="1">
        <f t="array" ref="AV45">IFERROR((IF($O45=1,0,NPV('2027 Avoided Costs'!$D$6,_xlfn._xlws.FILTER('2027 Avoided Costs'!$Q$14:$Q$47,('2027 Avoided Costs'!$B$14:$B$47&gt;=$B45+1)*('2027 Avoided Costs'!$B$14:$B$47&lt;$B45+ROUND($O45,0)))))+_xlfn.XLOOKUP($B45,'2027 Avoided Costs'!$B$13:$B$47,'2027 Avoided Costs'!$Q$13:$Q$47))*IF($AI45&gt;0,$AI45*(1+$W45),0),0)</f>
        <v>0</v>
      </c>
      <c r="AW45" s="291" cm="1">
        <f t="array" ref="AW45">IFERROR((IF($O45=1,0,NPV('2027 Avoided Costs'!$D$6,_xlfn._xlws.FILTER('2027 Avoided Costs'!$W$14:$W$47,('2027 Avoided Costs'!$B$14:$B$47&gt;=$B45+1)*('2027 Avoided Costs'!$B$14:$B$47&lt;$B45+ROUND($O45,0)))))+_xlfn.XLOOKUP($B45,'2027 Avoided Costs'!$B$13:$B$47,'2027 Avoided Costs'!$W$13:$W$47))*IF($AM45&gt;0,$AM45*(1+$W45),0),0)</f>
        <v>0</v>
      </c>
      <c r="AX45" s="291" cm="1">
        <f t="array" ref="AX45">IFERROR((IF($O45=1,0,NPV('2027 Avoided Costs'!$D$6,_xlfn._xlws.FILTER('2027 Avoided Costs'!$AC$14:$AC$47,('2027 Avoided Costs'!$B$14:$B$47&gt;=$B45+1)*('2027 Avoided Costs'!$B$14:$B$47&lt;$B45+ROUND($O45,0)))))+_xlfn.XLOOKUP($B45,'2027 Avoided Costs'!$B$13:$B$47,'2027 Avoided Costs'!$AC$13:$AC$47))*IF($AO45&gt;0,$AO45*(1+$W45),0),0)</f>
        <v>0</v>
      </c>
      <c r="AY45" s="291" cm="1">
        <f t="array" ref="AY45">IFERROR((IF($O45=1,0,NPV('2027 Avoided Costs'!$D$4,_xlfn._xlws.FILTER('2027 Avoided Costs'!$I$14:$I$47,('2027 Avoided Costs'!$B$14:$B$47&gt;=$B45+1)*('2027 Avoided Costs'!$B$14:$B$47&lt;$B45+ROUND($O45,0)))))+_xlfn.XLOOKUP($B45,'2027 Avoided Costs'!$B$13:$B$47,'2027 Avoided Costs'!$I$13:$I$47))*IF($X45="Residential",'2027 Avoided Costs'!$J$5,IF($X45="Large Volume",'2027 Avoided Costs'!$J$7,'2027 Avoided Costs'!$J$6))*IF($AE45&gt;0,$AE45,0),0)</f>
        <v>0</v>
      </c>
      <c r="AZ45" s="291" cm="1">
        <f t="array" ref="AZ45">IFERROR(IF($J45="Baseload",IF($O45=1,0,NPV('2027 Avoided Costs'!$D$6,_xlfn._xlws.FILTER('2027 Avoided Costs'!$C$14:$C$47,('2027 Avoided Costs'!$B$14:$B$47&gt;=$B45+1)*('2027 Avoided Costs'!$B$14:$B$47&lt;$B45+ROUND($O45,0)))))+_xlfn.XLOOKUP($B45,'2027 Avoided Costs'!$B$13:$B$47,'2027 Avoided Costs'!$C$13:$C$47),IF($O45=1,0,NPV('2027 Avoided Costs'!$D$6,_xlfn._xlws.FILTER('2027 Avoided Costs'!$E$14:$E$47,('2027 Avoided Costs'!$B$14:$B$47&gt;=$B45+1)*('2027 Avoided Costs'!$B$14:$B$47&lt;$B45+ROUND($O45,0)))))+_xlfn.XLOOKUP($B45,'2027 Avoided Costs'!$B$13:$B$47,'2027 Avoided Costs'!$E$13:$E$47))*IF($AE45&lt;0,$AE45*(-1),0),0)</f>
        <v>0</v>
      </c>
      <c r="BA45" s="291" cm="1">
        <f t="array" ref="BA45">IFERROR((IF($O45=1,0,NPV('2027 Avoided Costs'!$D$6,_xlfn._xlws.FILTER('2027 Avoided Costs'!$M$14:$M$47,('2027 Avoided Costs'!$B$14:$B$47&gt;=$B45+1)*('2027 Avoided Costs'!$B$14:$B$47&lt;$B45+ROUND($O45,0)))))+_xlfn.XLOOKUP($B45,'2027 Avoided Costs'!$B$13:$B$47,'2027 Avoided Costs'!$M$13:$M$47))*IF($AK45&lt;0,$AK45*(-1),0),0)</f>
        <v>0</v>
      </c>
      <c r="BB45" s="291" cm="1">
        <f t="array" ref="BB45">IFERROR((IF($O45=1,0,NPV('2027 Avoided Costs'!$D$6,_xlfn._xlws.FILTER('2027 Avoided Costs'!$S$14:$S$47,('2027 Avoided Costs'!$B$14:$B$47&gt;=$B45+1)*('2027 Avoided Costs'!$B$14:$B$47&lt;$B45+ROUND($O45,0)))))+_xlfn.XLOOKUP($B45,'2027 Avoided Costs'!$B$13:$B$47,'2027 Avoided Costs'!$S$13:$S$47))*IF($AI45&lt;0,$AI45*(-1),0),0)</f>
        <v>154343.76523773</v>
      </c>
      <c r="BC45" s="291" cm="1">
        <f t="array" ref="BC45">IFERROR((IF($O45=1,0,NPV('2027 Avoided Costs'!$D$6,_xlfn._xlws.FILTER('2027 Avoided Costs'!$Y$14:$Y$47,('2027 Avoided Costs'!$B$14:$B$47&gt;=$B45+1)*('2027 Avoided Costs'!$B$14:$B$47&lt;$B45+ROUND($O45,0)))))+_xlfn.XLOOKUP($B45,'2027 Avoided Costs'!$B$13:$B$47,'2027 Avoided Costs'!$Y$13:$Y$47))*IF($AM45&lt;0,$AM45*(-1),0),0)</f>
        <v>243906.98819137449</v>
      </c>
      <c r="BD45" s="291" cm="1">
        <f t="array" ref="BD45">IFERROR((IF($O45=1,0,NPV('2027 Avoided Costs'!$D$6,_xlfn._xlws.FILTER('2027 Avoided Costs'!$AE$14:$AE$47,('2027 Avoided Costs'!$B$14:$B$47&gt;=$B45+1)*('2027 Avoided Costs'!$B$14:$B$47&lt;$B45+ROUND($O45,0)))))+_xlfn.XLOOKUP($B45,'2027 Avoided Costs'!$B$13:$B$47,'2027 Avoided Costs'!$AE$13:$AE$47))*IF($AO45&lt;0,$AO45*(-1),0),0)</f>
        <v>25707.146886017639</v>
      </c>
      <c r="BE45" s="291" cm="1">
        <f t="array" ref="BE45">IFERROR((IF($O45=1,0,NPV('2027 Avoided Costs'!$D$4,_xlfn._xlws.FILTER('2027 Avoided Costs'!$I$14:$I$47,('2027 Avoided Costs'!$B$14:$B$47&gt;=$B45+1)*('2027 Avoided Costs'!$B$14:$B$47&lt;$B45+ROUND($O45,0)))))+_xlfn.XLOOKUP($B45,'2027 Avoided Costs'!$B$13:$B$47,'2027 Avoided Costs'!$I$13:$I$47))*IF($X45="Residential",'2027 Avoided Costs'!$J$5,IF($X45="Large Volume",'2027 Avoided Costs'!$J$7,'2027 Avoided Costs'!$J$6))*IF($AE45&lt;0,$AE45*(-1),0),0)</f>
        <v>0</v>
      </c>
      <c r="BF45" s="291">
        <f t="shared" si="23"/>
        <v>434046.25120025809</v>
      </c>
      <c r="BG45" s="291">
        <f t="shared" si="24"/>
        <v>716183.56922816555</v>
      </c>
      <c r="BH45" s="291">
        <f t="shared" si="25"/>
        <v>-282137.31802790746</v>
      </c>
      <c r="BI45" s="292">
        <f t="shared" si="29"/>
        <v>0.60605446682898889</v>
      </c>
      <c r="BJ45" s="196" cm="1">
        <f t="array" ref="BJ45">IFERROR(IF($J45="Baseload",IF($O45=1,0,NPV('2027 Avoided Costs'!$D$6,_xlfn._xlws.FILTER('2027 Avoided Costs'!$C$14:$C$47,('2027 Avoided Costs'!$B$14:$B$47&gt;=$B45+1)*('2027 Avoided Costs'!$B$14:$B$47&lt;$B45+ROUND($O45,0)))))+_xlfn.XLOOKUP($B45,'2027 Avoided Costs'!$B$13:$B$47,'2027 Avoided Costs'!$C$13:$C$47),IF($O45=1,0,NPV('2027 Avoided Costs'!$D$6,_xlfn._xlws.FILTER('2027 Avoided Costs'!$E$14:$E$47,('2027 Avoided Costs'!$B$14:$B$47&gt;=$B45+1)*('2027 Avoided Costs'!$B$14:$B$47&lt;$B45+ROUND($O45,0)))))+_xlfn.XLOOKUP($B45,'2027 Avoided Costs'!$B$13:$B$47,'2027 Avoided Costs'!$E$13:$E$47))*IF($AE45&gt;0,$AE45*(1+0),0),0)</f>
        <v>377431.52278283314</v>
      </c>
      <c r="BK45" s="293">
        <f t="shared" si="26"/>
        <v>2.3702702672134857</v>
      </c>
    </row>
    <row r="46" spans="1:63" s="1" customFormat="1" x14ac:dyDescent="0.25">
      <c r="A46" s="270" t="s">
        <v>133</v>
      </c>
      <c r="B46" s="271">
        <v>2028</v>
      </c>
      <c r="C46" s="272" t="s">
        <v>13</v>
      </c>
      <c r="D46" s="272" t="s">
        <v>9</v>
      </c>
      <c r="E46" s="272" t="s">
        <v>345</v>
      </c>
      <c r="F46" s="273">
        <v>1</v>
      </c>
      <c r="G46" s="274">
        <v>0</v>
      </c>
      <c r="H46" s="275">
        <f t="shared" si="3"/>
        <v>0</v>
      </c>
      <c r="I46" s="274">
        <v>0</v>
      </c>
      <c r="J46" s="276" t="s">
        <v>264</v>
      </c>
      <c r="K46" s="277">
        <f t="shared" si="27"/>
        <v>1</v>
      </c>
      <c r="L46" s="278">
        <v>0</v>
      </c>
      <c r="M46" s="278">
        <v>0</v>
      </c>
      <c r="N46" s="278">
        <v>1</v>
      </c>
      <c r="O46" s="279">
        <v>10</v>
      </c>
      <c r="P46" s="280">
        <v>179460</v>
      </c>
      <c r="Q46" s="281">
        <v>0</v>
      </c>
      <c r="R46" s="282">
        <v>0</v>
      </c>
      <c r="S46" s="282">
        <v>0</v>
      </c>
      <c r="T46" s="281">
        <v>0</v>
      </c>
      <c r="U46" s="283">
        <v>0</v>
      </c>
      <c r="V46" s="284">
        <v>0</v>
      </c>
      <c r="W46" s="285">
        <v>0.15</v>
      </c>
      <c r="X46" s="286" t="s">
        <v>255</v>
      </c>
      <c r="Y46" s="287">
        <f t="shared" si="4"/>
        <v>1</v>
      </c>
      <c r="Z46" s="288">
        <f t="shared" si="5"/>
        <v>0</v>
      </c>
      <c r="AA46" s="288">
        <f t="shared" si="6"/>
        <v>0</v>
      </c>
      <c r="AB46" s="288">
        <f t="shared" si="7"/>
        <v>0</v>
      </c>
      <c r="AC46" s="288">
        <f t="shared" si="28"/>
        <v>0</v>
      </c>
      <c r="AD46" s="287">
        <f t="shared" si="8"/>
        <v>179460</v>
      </c>
      <c r="AE46" s="287">
        <f t="shared" si="9"/>
        <v>179460</v>
      </c>
      <c r="AF46" s="287">
        <f t="shared" si="10"/>
        <v>1794600</v>
      </c>
      <c r="AG46" s="287">
        <f t="shared" si="11"/>
        <v>1794600</v>
      </c>
      <c r="AH46" s="287">
        <f t="shared" si="12"/>
        <v>0</v>
      </c>
      <c r="AI46" s="287">
        <f t="shared" si="13"/>
        <v>0</v>
      </c>
      <c r="AJ46" s="287">
        <f t="shared" si="14"/>
        <v>0</v>
      </c>
      <c r="AK46" s="287">
        <f t="shared" si="15"/>
        <v>0</v>
      </c>
      <c r="AL46" s="287">
        <f t="shared" si="16"/>
        <v>0</v>
      </c>
      <c r="AM46" s="287">
        <f t="shared" si="17"/>
        <v>0</v>
      </c>
      <c r="AN46" s="287">
        <f t="shared" si="18"/>
        <v>0</v>
      </c>
      <c r="AO46" s="287">
        <f t="shared" si="19"/>
        <v>0</v>
      </c>
      <c r="AP46" s="287">
        <f t="shared" si="20"/>
        <v>0</v>
      </c>
      <c r="AQ46" s="287">
        <f t="shared" si="21"/>
        <v>0</v>
      </c>
      <c r="AR46" s="287">
        <f t="shared" si="22"/>
        <v>0</v>
      </c>
      <c r="AS46" s="289" t="e">
        <f>IF(J46='2027 Avoided Costs'!#REF!,3,5)</f>
        <v>#REF!</v>
      </c>
      <c r="AT46" s="290" cm="1">
        <f t="array" ref="AT46">IFERROR(IF($J46="Baseload",IF($O46=1,0,NPV('2027 Avoided Costs'!$D$6,_xlfn._xlws.FILTER('2027 Avoided Costs'!$C$14:$C$47,('2027 Avoided Costs'!$B$14:$B$47&gt;=$B46+1)*('2027 Avoided Costs'!$B$14:$B$47&lt;$B46+ROUND($O46,0)))))+_xlfn.XLOOKUP($B46,'2027 Avoided Costs'!$B$13:$B$47,'2027 Avoided Costs'!$C$13:$C$47),IF($O46=1,0,NPV('2027 Avoided Costs'!$D$6,_xlfn._xlws.FILTER('2027 Avoided Costs'!$E$14:$E$47,('2027 Avoided Costs'!$B$14:$B$47&gt;=$B46+1)*('2027 Avoided Costs'!$B$14:$B$47&lt;$B46+ROUND($O46,0)))))+_xlfn.XLOOKUP($B46,'2027 Avoided Costs'!$B$13:$B$47,'2027 Avoided Costs'!$E$13:$E$47))*IF($AE46&gt;0,$AE46*(1+$W46),0),0)</f>
        <v>528112.97819930979</v>
      </c>
      <c r="AU46" s="290" cm="1">
        <f t="array" ref="AU46">IFERROR((IF($O46=1,0,NPV('2027 Avoided Costs'!$D$6,_xlfn._xlws.FILTER('2027 Avoided Costs'!$M$14:$M$47,('2027 Avoided Costs'!$B$14:$B$47&gt;=$B46+1)*('2027 Avoided Costs'!$B$14:$B$47&lt;$B46+ROUND($O46,0)))))+_xlfn.XLOOKUP($B46,'2027 Avoided Costs'!$B$13:$B$47,'2027 Avoided Costs'!$M$13:$M$47))*IF($AK46&gt;0,$AK46*(1+$W46),0),0)</f>
        <v>0</v>
      </c>
      <c r="AV46" s="291" cm="1">
        <f t="array" ref="AV46">IFERROR((IF($O46=1,0,NPV('2027 Avoided Costs'!$D$6,_xlfn._xlws.FILTER('2027 Avoided Costs'!$Q$14:$Q$47,('2027 Avoided Costs'!$B$14:$B$47&gt;=$B46+1)*('2027 Avoided Costs'!$B$14:$B$47&lt;$B46+ROUND($O46,0)))))+_xlfn.XLOOKUP($B46,'2027 Avoided Costs'!$B$13:$B$47,'2027 Avoided Costs'!$Q$13:$Q$47))*IF($AI46&gt;0,$AI46*(1+$W46),0),0)</f>
        <v>0</v>
      </c>
      <c r="AW46" s="291" cm="1">
        <f t="array" ref="AW46">IFERROR((IF($O46=1,0,NPV('2027 Avoided Costs'!$D$6,_xlfn._xlws.FILTER('2027 Avoided Costs'!$W$14:$W$47,('2027 Avoided Costs'!$B$14:$B$47&gt;=$B46+1)*('2027 Avoided Costs'!$B$14:$B$47&lt;$B46+ROUND($O46,0)))))+_xlfn.XLOOKUP($B46,'2027 Avoided Costs'!$B$13:$B$47,'2027 Avoided Costs'!$W$13:$W$47))*IF($AM46&gt;0,$AM46*(1+$W46),0),0)</f>
        <v>0</v>
      </c>
      <c r="AX46" s="291" cm="1">
        <f t="array" ref="AX46">IFERROR((IF($O46=1,0,NPV('2027 Avoided Costs'!$D$6,_xlfn._xlws.FILTER('2027 Avoided Costs'!$AC$14:$AC$47,('2027 Avoided Costs'!$B$14:$B$47&gt;=$B46+1)*('2027 Avoided Costs'!$B$14:$B$47&lt;$B46+ROUND($O46,0)))))+_xlfn.XLOOKUP($B46,'2027 Avoided Costs'!$B$13:$B$47,'2027 Avoided Costs'!$AC$13:$AC$47))*IF($AO46&gt;0,$AO46*(1+$W46),0),0)</f>
        <v>0</v>
      </c>
      <c r="AY46" s="291" cm="1">
        <f t="array" ref="AY46">IFERROR((IF($O46=1,0,NPV('2027 Avoided Costs'!$D$4,_xlfn._xlws.FILTER('2027 Avoided Costs'!$I$14:$I$47,('2027 Avoided Costs'!$B$14:$B$47&gt;=$B46+1)*('2027 Avoided Costs'!$B$14:$B$47&lt;$B46+ROUND($O46,0)))))+_xlfn.XLOOKUP($B46,'2027 Avoided Costs'!$B$13:$B$47,'2027 Avoided Costs'!$I$13:$I$47))*IF($X46="Residential",'2027 Avoided Costs'!$J$5,IF($X46="Large Volume",'2027 Avoided Costs'!$J$7,'2027 Avoided Costs'!$J$6))*IF($AE46&gt;0,$AE46,0),0)</f>
        <v>0</v>
      </c>
      <c r="AZ46" s="291" cm="1">
        <f t="array" ref="AZ46">IFERROR(IF($J46="Baseload",IF($O46=1,0,NPV('2027 Avoided Costs'!$D$6,_xlfn._xlws.FILTER('2027 Avoided Costs'!$C$14:$C$47,('2027 Avoided Costs'!$B$14:$B$47&gt;=$B46+1)*('2027 Avoided Costs'!$B$14:$B$47&lt;$B46+ROUND($O46,0)))))+_xlfn.XLOOKUP($B46,'2027 Avoided Costs'!$B$13:$B$47,'2027 Avoided Costs'!$C$13:$C$47),IF($O46=1,0,NPV('2027 Avoided Costs'!$D$6,_xlfn._xlws.FILTER('2027 Avoided Costs'!$E$14:$E$47,('2027 Avoided Costs'!$B$14:$B$47&gt;=$B46+1)*('2027 Avoided Costs'!$B$14:$B$47&lt;$B46+ROUND($O46,0)))))+_xlfn.XLOOKUP($B46,'2027 Avoided Costs'!$B$13:$B$47,'2027 Avoided Costs'!$E$13:$E$47))*IF($AE46&lt;0,$AE46*(-1),0),0)</f>
        <v>0</v>
      </c>
      <c r="BA46" s="291" cm="1">
        <f t="array" ref="BA46">IFERROR((IF($O46=1,0,NPV('2027 Avoided Costs'!$D$6,_xlfn._xlws.FILTER('2027 Avoided Costs'!$M$14:$M$47,('2027 Avoided Costs'!$B$14:$B$47&gt;=$B46+1)*('2027 Avoided Costs'!$B$14:$B$47&lt;$B46+ROUND($O46,0)))))+_xlfn.XLOOKUP($B46,'2027 Avoided Costs'!$B$13:$B$47,'2027 Avoided Costs'!$M$13:$M$47))*IF($AK46&lt;0,$AK46*(-1),0),0)</f>
        <v>0</v>
      </c>
      <c r="BB46" s="291" cm="1">
        <f t="array" ref="BB46">IFERROR((IF($O46=1,0,NPV('2027 Avoided Costs'!$D$6,_xlfn._xlws.FILTER('2027 Avoided Costs'!$S$14:$S$47,('2027 Avoided Costs'!$B$14:$B$47&gt;=$B46+1)*('2027 Avoided Costs'!$B$14:$B$47&lt;$B46+ROUND($O46,0)))))+_xlfn.XLOOKUP($B46,'2027 Avoided Costs'!$B$13:$B$47,'2027 Avoided Costs'!$S$13:$S$47))*IF($AI46&lt;0,$AI46*(-1),0),0)</f>
        <v>0</v>
      </c>
      <c r="BC46" s="291" cm="1">
        <f t="array" ref="BC46">IFERROR((IF($O46=1,0,NPV('2027 Avoided Costs'!$D$6,_xlfn._xlws.FILTER('2027 Avoided Costs'!$Y$14:$Y$47,('2027 Avoided Costs'!$B$14:$B$47&gt;=$B46+1)*('2027 Avoided Costs'!$B$14:$B$47&lt;$B46+ROUND($O46,0)))))+_xlfn.XLOOKUP($B46,'2027 Avoided Costs'!$B$13:$B$47,'2027 Avoided Costs'!$Y$13:$Y$47))*IF($AM46&lt;0,$AM46*(-1),0),0)</f>
        <v>0</v>
      </c>
      <c r="BD46" s="291" cm="1">
        <f t="array" ref="BD46">IFERROR((IF($O46=1,0,NPV('2027 Avoided Costs'!$D$6,_xlfn._xlws.FILTER('2027 Avoided Costs'!$AE$14:$AE$47,('2027 Avoided Costs'!$B$14:$B$47&gt;=$B46+1)*('2027 Avoided Costs'!$B$14:$B$47&lt;$B46+ROUND($O46,0)))))+_xlfn.XLOOKUP($B46,'2027 Avoided Costs'!$B$13:$B$47,'2027 Avoided Costs'!$AE$13:$AE$47))*IF($AO46&lt;0,$AO46*(-1),0),0)</f>
        <v>0</v>
      </c>
      <c r="BE46" s="291" cm="1">
        <f t="array" ref="BE46">IFERROR((IF($O46=1,0,NPV('2027 Avoided Costs'!$D$4,_xlfn._xlws.FILTER('2027 Avoided Costs'!$I$14:$I$47,('2027 Avoided Costs'!$B$14:$B$47&gt;=$B46+1)*('2027 Avoided Costs'!$B$14:$B$47&lt;$B46+ROUND($O46,0)))))+_xlfn.XLOOKUP($B46,'2027 Avoided Costs'!$B$13:$B$47,'2027 Avoided Costs'!$I$13:$I$47))*IF($X46="Residential",'2027 Avoided Costs'!$J$5,IF($X46="Large Volume",'2027 Avoided Costs'!$J$7,'2027 Avoided Costs'!$J$6))*IF($AE46&lt;0,$AE46*(-1),0),0)</f>
        <v>0</v>
      </c>
      <c r="BF46" s="291">
        <f t="shared" si="23"/>
        <v>528112.97819930979</v>
      </c>
      <c r="BG46" s="291">
        <f t="shared" si="24"/>
        <v>0</v>
      </c>
      <c r="BH46" s="291">
        <f t="shared" si="25"/>
        <v>528112.97819930979</v>
      </c>
      <c r="BI46" s="292">
        <f t="shared" si="29"/>
        <v>0</v>
      </c>
      <c r="BJ46" s="196" cm="1">
        <f t="array" ref="BJ46">IFERROR(IF($J46="Baseload",IF($O46=1,0,NPV('2027 Avoided Costs'!$D$6,_xlfn._xlws.FILTER('2027 Avoided Costs'!$C$14:$C$47,('2027 Avoided Costs'!$B$14:$B$47&gt;=$B46+1)*('2027 Avoided Costs'!$B$14:$B$47&lt;$B46+ROUND($O46,0)))))+_xlfn.XLOOKUP($B46,'2027 Avoided Costs'!$B$13:$B$47,'2027 Avoided Costs'!$C$13:$C$47),IF($O46=1,0,NPV('2027 Avoided Costs'!$D$6,_xlfn._xlws.FILTER('2027 Avoided Costs'!$E$14:$E$47,('2027 Avoided Costs'!$B$14:$B$47&gt;=$B46+1)*('2027 Avoided Costs'!$B$14:$B$47&lt;$B46+ROUND($O46,0)))))+_xlfn.XLOOKUP($B46,'2027 Avoided Costs'!$B$13:$B$47,'2027 Avoided Costs'!$E$13:$E$47))*IF($AE46&gt;0,$AE46*(1+0),0),0)</f>
        <v>459228.67669505201</v>
      </c>
      <c r="BK46" s="293">
        <f t="shared" si="26"/>
        <v>0</v>
      </c>
    </row>
    <row r="47" spans="1:63" s="1" customFormat="1" x14ac:dyDescent="0.25">
      <c r="A47" s="270" t="s">
        <v>133</v>
      </c>
      <c r="B47" s="271">
        <v>2029</v>
      </c>
      <c r="C47" s="272" t="s">
        <v>13</v>
      </c>
      <c r="D47" s="272" t="s">
        <v>9</v>
      </c>
      <c r="E47" s="272" t="s">
        <v>287</v>
      </c>
      <c r="F47" s="273">
        <v>165</v>
      </c>
      <c r="G47" s="274">
        <v>9988.6939496237683</v>
      </c>
      <c r="H47" s="275">
        <f t="shared" si="3"/>
        <v>0.35</v>
      </c>
      <c r="I47" s="274">
        <v>250</v>
      </c>
      <c r="J47" s="276" t="s">
        <v>264</v>
      </c>
      <c r="K47" s="277">
        <f t="shared" si="27"/>
        <v>0.75</v>
      </c>
      <c r="L47" s="278">
        <v>0.28000000000000003</v>
      </c>
      <c r="M47" s="278">
        <v>0.03</v>
      </c>
      <c r="N47" s="278">
        <v>0.9113</v>
      </c>
      <c r="O47" s="279">
        <v>17</v>
      </c>
      <c r="P47" s="280">
        <v>28539.125570353626</v>
      </c>
      <c r="Q47" s="281">
        <v>-611.54259459459558</v>
      </c>
      <c r="R47" s="282">
        <v>-0.37266719305067764</v>
      </c>
      <c r="S47" s="282">
        <v>-0.11007379740589061</v>
      </c>
      <c r="T47" s="281">
        <v>0</v>
      </c>
      <c r="U47" s="283">
        <v>1</v>
      </c>
      <c r="V47" s="284">
        <v>38932.645584367448</v>
      </c>
      <c r="W47" s="285">
        <v>0.15</v>
      </c>
      <c r="X47" s="286" t="s">
        <v>255</v>
      </c>
      <c r="Y47" s="287">
        <f t="shared" si="4"/>
        <v>165</v>
      </c>
      <c r="Z47" s="288">
        <f t="shared" si="5"/>
        <v>1648134.5016879218</v>
      </c>
      <c r="AA47" s="288">
        <f t="shared" si="6"/>
        <v>41250</v>
      </c>
      <c r="AB47" s="288">
        <f t="shared" si="7"/>
        <v>1714719.1355561139</v>
      </c>
      <c r="AC47" s="288">
        <f t="shared" si="28"/>
        <v>42681.203400000006</v>
      </c>
      <c r="AD47" s="287">
        <f t="shared" si="8"/>
        <v>4291271.3468234381</v>
      </c>
      <c r="AE47" s="287">
        <f t="shared" si="9"/>
        <v>3218453.5101175783</v>
      </c>
      <c r="AF47" s="287">
        <f t="shared" si="10"/>
        <v>72951612.895998448</v>
      </c>
      <c r="AG47" s="287">
        <f t="shared" si="11"/>
        <v>54713709.671998829</v>
      </c>
      <c r="AH47" s="287">
        <f t="shared" si="12"/>
        <v>-98575.005810393253</v>
      </c>
      <c r="AI47" s="287">
        <f t="shared" si="13"/>
        <v>-73931.25435779494</v>
      </c>
      <c r="AJ47" s="287">
        <f t="shared" si="14"/>
        <v>0</v>
      </c>
      <c r="AK47" s="287">
        <f t="shared" si="15"/>
        <v>0</v>
      </c>
      <c r="AL47" s="287">
        <f t="shared" si="16"/>
        <v>-60.070502112230365</v>
      </c>
      <c r="AM47" s="287">
        <f t="shared" si="17"/>
        <v>-45.052876584172772</v>
      </c>
      <c r="AN47" s="287">
        <f t="shared" si="18"/>
        <v>-17.742877298760781</v>
      </c>
      <c r="AO47" s="287">
        <f t="shared" si="19"/>
        <v>-13.307157974070583</v>
      </c>
      <c r="AP47" s="287">
        <f t="shared" si="20"/>
        <v>6423886.5214206288</v>
      </c>
      <c r="AQ47" s="287">
        <f t="shared" si="21"/>
        <v>4817914.8910654718</v>
      </c>
      <c r="AR47" s="287">
        <f t="shared" si="22"/>
        <v>3218453.5101175783</v>
      </c>
      <c r="AS47" s="289" t="e">
        <f>IF(J47='2027 Avoided Costs'!#REF!,3,5)</f>
        <v>#REF!</v>
      </c>
      <c r="AT47" s="290" cm="1">
        <f t="array" ref="AT47">IFERROR(IF($J47="Baseload",IF($O47=1,0,NPV('2027 Avoided Costs'!$D$6,_xlfn._xlws.FILTER('2027 Avoided Costs'!$C$14:$C$47,('2027 Avoided Costs'!$B$14:$B$47&gt;=$B47+1)*('2027 Avoided Costs'!$B$14:$B$47&lt;$B47+ROUND($O47,0)))))+_xlfn.XLOOKUP($B47,'2027 Avoided Costs'!$B$13:$B$47,'2027 Avoided Costs'!$C$13:$C$47),IF($O47=1,0,NPV('2027 Avoided Costs'!$D$6,_xlfn._xlws.FILTER('2027 Avoided Costs'!$E$14:$E$47,('2027 Avoided Costs'!$B$14:$B$47&gt;=$B47+1)*('2027 Avoided Costs'!$B$14:$B$47&lt;$B47+ROUND($O47,0)))))+_xlfn.XLOOKUP($B47,'2027 Avoided Costs'!$B$13:$B$47,'2027 Avoided Costs'!$E$13:$E$47))*IF($AE47&gt;0,$AE47*(1+$W47),0),0)</f>
        <v>15115847.565613078</v>
      </c>
      <c r="AU47" s="290" cm="1">
        <f t="array" ref="AU47">IFERROR((IF($O47=1,0,NPV('2027 Avoided Costs'!$D$6,_xlfn._xlws.FILTER('2027 Avoided Costs'!$M$14:$M$47,('2027 Avoided Costs'!$B$14:$B$47&gt;=$B47+1)*('2027 Avoided Costs'!$B$14:$B$47&lt;$B47+ROUND($O47,0)))))+_xlfn.XLOOKUP($B47,'2027 Avoided Costs'!$B$13:$B$47,'2027 Avoided Costs'!$M$13:$M$47))*IF($AK47&gt;0,$AK47*(1+$W47),0),0)</f>
        <v>0</v>
      </c>
      <c r="AV47" s="291" cm="1">
        <f t="array" ref="AV47">IFERROR((IF($O47=1,0,NPV('2027 Avoided Costs'!$D$6,_xlfn._xlws.FILTER('2027 Avoided Costs'!$Q$14:$Q$47,('2027 Avoided Costs'!$B$14:$B$47&gt;=$B47+1)*('2027 Avoided Costs'!$B$14:$B$47&lt;$B47+ROUND($O47,0)))))+_xlfn.XLOOKUP($B47,'2027 Avoided Costs'!$B$13:$B$47,'2027 Avoided Costs'!$Q$13:$Q$47))*IF($AI47&gt;0,$AI47*(1+$W47),0),0)</f>
        <v>0</v>
      </c>
      <c r="AW47" s="291" cm="1">
        <f t="array" ref="AW47">IFERROR((IF($O47=1,0,NPV('2027 Avoided Costs'!$D$6,_xlfn._xlws.FILTER('2027 Avoided Costs'!$W$14:$W$47,('2027 Avoided Costs'!$B$14:$B$47&gt;=$B47+1)*('2027 Avoided Costs'!$B$14:$B$47&lt;$B47+ROUND($O47,0)))))+_xlfn.XLOOKUP($B47,'2027 Avoided Costs'!$B$13:$B$47,'2027 Avoided Costs'!$W$13:$W$47))*IF($AM47&gt;0,$AM47*(1+$W47),0),0)</f>
        <v>0</v>
      </c>
      <c r="AX47" s="291" cm="1">
        <f t="array" ref="AX47">IFERROR((IF($O47=1,0,NPV('2027 Avoided Costs'!$D$6,_xlfn._xlws.FILTER('2027 Avoided Costs'!$AC$14:$AC$47,('2027 Avoided Costs'!$B$14:$B$47&gt;=$B47+1)*('2027 Avoided Costs'!$B$14:$B$47&lt;$B47+ROUND($O47,0)))))+_xlfn.XLOOKUP($B47,'2027 Avoided Costs'!$B$13:$B$47,'2027 Avoided Costs'!$AC$13:$AC$47))*IF($AO47&gt;0,$AO47*(1+$W47),0),0)</f>
        <v>0</v>
      </c>
      <c r="AY47" s="291" cm="1">
        <f t="array" ref="AY47">IFERROR((IF($O47=1,0,NPV('2027 Avoided Costs'!$D$4,_xlfn._xlws.FILTER('2027 Avoided Costs'!$I$14:$I$47,('2027 Avoided Costs'!$B$14:$B$47&gt;=$B47+1)*('2027 Avoided Costs'!$B$14:$B$47&lt;$B47+ROUND($O47,0)))))+_xlfn.XLOOKUP($B47,'2027 Avoided Costs'!$B$13:$B$47,'2027 Avoided Costs'!$I$13:$I$47))*IF($X47="Residential",'2027 Avoided Costs'!$J$5,IF($X47="Large Volume",'2027 Avoided Costs'!$J$7,'2027 Avoided Costs'!$J$6))*IF($AE47&gt;0,$AE47,0),0)</f>
        <v>0</v>
      </c>
      <c r="AZ47" s="291" cm="1">
        <f t="array" ref="AZ47">IFERROR(IF($J47="Baseload",IF($O47=1,0,NPV('2027 Avoided Costs'!$D$6,_xlfn._xlws.FILTER('2027 Avoided Costs'!$C$14:$C$47,('2027 Avoided Costs'!$B$14:$B$47&gt;=$B47+1)*('2027 Avoided Costs'!$B$14:$B$47&lt;$B47+ROUND($O47,0)))))+_xlfn.XLOOKUP($B47,'2027 Avoided Costs'!$B$13:$B$47,'2027 Avoided Costs'!$C$13:$C$47),IF($O47=1,0,NPV('2027 Avoided Costs'!$D$6,_xlfn._xlws.FILTER('2027 Avoided Costs'!$E$14:$E$47,('2027 Avoided Costs'!$B$14:$B$47&gt;=$B47+1)*('2027 Avoided Costs'!$B$14:$B$47&lt;$B47+ROUND($O47,0)))))+_xlfn.XLOOKUP($B47,'2027 Avoided Costs'!$B$13:$B$47,'2027 Avoided Costs'!$E$13:$E$47))*IF($AE47&lt;0,$AE47*(-1),0),0)</f>
        <v>0</v>
      </c>
      <c r="BA47" s="291" cm="1">
        <f t="array" ref="BA47">IFERROR((IF($O47=1,0,NPV('2027 Avoided Costs'!$D$6,_xlfn._xlws.FILTER('2027 Avoided Costs'!$M$14:$M$47,('2027 Avoided Costs'!$B$14:$B$47&gt;=$B47+1)*('2027 Avoided Costs'!$B$14:$B$47&lt;$B47+ROUND($O47,0)))))+_xlfn.XLOOKUP($B47,'2027 Avoided Costs'!$B$13:$B$47,'2027 Avoided Costs'!$M$13:$M$47))*IF($AK47&lt;0,$AK47*(-1),0),0)</f>
        <v>0</v>
      </c>
      <c r="BB47" s="291" cm="1">
        <f t="array" ref="BB47">IFERROR((IF($O47=1,0,NPV('2027 Avoided Costs'!$D$6,_xlfn._xlws.FILTER('2027 Avoided Costs'!$S$14:$S$47,('2027 Avoided Costs'!$B$14:$B$47&gt;=$B47+1)*('2027 Avoided Costs'!$B$14:$B$47&lt;$B47+ROUND($O47,0)))))+_xlfn.XLOOKUP($B47,'2027 Avoided Costs'!$B$13:$B$47,'2027 Avoided Costs'!$S$13:$S$47))*IF($AI47&lt;0,$AI47*(-1),0),0)</f>
        <v>46074.516651262376</v>
      </c>
      <c r="BC47" s="291" cm="1">
        <f t="array" ref="BC47">IFERROR((IF($O47=1,0,NPV('2027 Avoided Costs'!$D$6,_xlfn._xlws.FILTER('2027 Avoided Costs'!$Y$14:$Y$47,('2027 Avoided Costs'!$B$14:$B$47&gt;=$B47+1)*('2027 Avoided Costs'!$B$14:$B$47&lt;$B47+ROUND($O47,0)))))+_xlfn.XLOOKUP($B47,'2027 Avoided Costs'!$B$13:$B$47,'2027 Avoided Costs'!$Y$13:$Y$47))*IF($AM47&lt;0,$AM47*(-1),0),0)</f>
        <v>168754.17504401659</v>
      </c>
      <c r="BD47" s="291" cm="1">
        <f t="array" ref="BD47">IFERROR((IF($O47=1,0,NPV('2027 Avoided Costs'!$D$6,_xlfn._xlws.FILTER('2027 Avoided Costs'!$AE$14:$AE$47,('2027 Avoided Costs'!$B$14:$B$47&gt;=$B47+1)*('2027 Avoided Costs'!$B$14:$B$47&lt;$B47+ROUND($O47,0)))))+_xlfn.XLOOKUP($B47,'2027 Avoided Costs'!$B$13:$B$47,'2027 Avoided Costs'!$AE$13:$AE$47))*IF($AO47&lt;0,$AO47*(-1),0),0)</f>
        <v>9167.041963914975</v>
      </c>
      <c r="BE47" s="291" cm="1">
        <f t="array" ref="BE47">IFERROR((IF($O47=1,0,NPV('2027 Avoided Costs'!$D$4,_xlfn._xlws.FILTER('2027 Avoided Costs'!$I$14:$I$47,('2027 Avoided Costs'!$B$14:$B$47&gt;=$B47+1)*('2027 Avoided Costs'!$B$14:$B$47&lt;$B47+ROUND($O47,0)))))+_xlfn.XLOOKUP($B47,'2027 Avoided Costs'!$B$13:$B$47,'2027 Avoided Costs'!$I$13:$I$47))*IF($X47="Residential",'2027 Avoided Costs'!$J$5,IF($X47="Large Volume",'2027 Avoided Costs'!$J$7,'2027 Avoided Costs'!$J$6))*IF($AE47&lt;0,$AE47*(-1),0),0)</f>
        <v>0</v>
      </c>
      <c r="BF47" s="291">
        <f t="shared" si="23"/>
        <v>15115847.565613078</v>
      </c>
      <c r="BG47" s="291">
        <f t="shared" si="24"/>
        <v>5041910.6247246657</v>
      </c>
      <c r="BH47" s="291">
        <f t="shared" si="25"/>
        <v>10073936.940888412</v>
      </c>
      <c r="BI47" s="292">
        <f t="shared" si="29"/>
        <v>2.9980395708498979</v>
      </c>
      <c r="BJ47" s="196" cm="1">
        <f t="array" ref="BJ47">IFERROR(IF($J47="Baseload",IF($O47=1,0,NPV('2027 Avoided Costs'!$D$6,_xlfn._xlws.FILTER('2027 Avoided Costs'!$C$14:$C$47,('2027 Avoided Costs'!$B$14:$B$47&gt;=$B47+1)*('2027 Avoided Costs'!$B$14:$B$47&lt;$B47+ROUND($O47,0)))))+_xlfn.XLOOKUP($B47,'2027 Avoided Costs'!$B$13:$B$47,'2027 Avoided Costs'!$C$13:$C$47),IF($O47=1,0,NPV('2027 Avoided Costs'!$D$6,_xlfn._xlws.FILTER('2027 Avoided Costs'!$E$14:$E$47,('2027 Avoided Costs'!$B$14:$B$47&gt;=$B47+1)*('2027 Avoided Costs'!$B$14:$B$47&lt;$B47+ROUND($O47,0)))))+_xlfn.XLOOKUP($B47,'2027 Avoided Costs'!$B$13:$B$47,'2027 Avoided Costs'!$E$13:$E$47))*IF($AE47&gt;0,$AE47*(1+0),0),0)</f>
        <v>13144215.274446154</v>
      </c>
      <c r="BK47" s="293">
        <f t="shared" si="26"/>
        <v>7.4793517351053573</v>
      </c>
    </row>
    <row r="48" spans="1:63" s="1" customFormat="1" x14ac:dyDescent="0.25">
      <c r="A48" s="270" t="s">
        <v>133</v>
      </c>
      <c r="B48" s="271">
        <v>2029</v>
      </c>
      <c r="C48" s="272" t="s">
        <v>13</v>
      </c>
      <c r="D48" s="272" t="s">
        <v>9</v>
      </c>
      <c r="E48" s="272" t="s">
        <v>350</v>
      </c>
      <c r="F48" s="273">
        <v>23</v>
      </c>
      <c r="G48" s="274">
        <v>9988.6939496237683</v>
      </c>
      <c r="H48" s="275">
        <f t="shared" si="3"/>
        <v>0.35</v>
      </c>
      <c r="I48" s="274">
        <v>250</v>
      </c>
      <c r="J48" s="276" t="s">
        <v>263</v>
      </c>
      <c r="K48" s="277">
        <f t="shared" si="27"/>
        <v>0.75</v>
      </c>
      <c r="L48" s="278">
        <v>0.28000000000000003</v>
      </c>
      <c r="M48" s="278">
        <v>0.03</v>
      </c>
      <c r="N48" s="278">
        <v>0.9113</v>
      </c>
      <c r="O48" s="279">
        <v>17</v>
      </c>
      <c r="P48" s="280">
        <v>28539.125570353626</v>
      </c>
      <c r="Q48" s="281">
        <v>-611.54259459459558</v>
      </c>
      <c r="R48" s="282">
        <v>-6.9810798469702048E-2</v>
      </c>
      <c r="S48" s="282">
        <v>-6.9810798469702909E-2</v>
      </c>
      <c r="T48" s="281">
        <v>0</v>
      </c>
      <c r="U48" s="283">
        <v>1</v>
      </c>
      <c r="V48" s="284">
        <v>38932.645584367448</v>
      </c>
      <c r="W48" s="285">
        <v>0.15</v>
      </c>
      <c r="X48" s="286" t="s">
        <v>255</v>
      </c>
      <c r="Y48" s="287">
        <f t="shared" si="4"/>
        <v>23</v>
      </c>
      <c r="Z48" s="288">
        <f t="shared" si="5"/>
        <v>229739.96084134668</v>
      </c>
      <c r="AA48" s="288">
        <f t="shared" si="6"/>
        <v>5750</v>
      </c>
      <c r="AB48" s="288">
        <f t="shared" si="7"/>
        <v>239021.45525933709</v>
      </c>
      <c r="AC48" s="288">
        <f t="shared" si="28"/>
        <v>5949.5010800000009</v>
      </c>
      <c r="AD48" s="287">
        <f t="shared" si="8"/>
        <v>598177.21804205503</v>
      </c>
      <c r="AE48" s="287">
        <f t="shared" si="9"/>
        <v>448632.91353154124</v>
      </c>
      <c r="AF48" s="287">
        <f t="shared" si="10"/>
        <v>10169012.706714936</v>
      </c>
      <c r="AG48" s="287">
        <f t="shared" si="11"/>
        <v>7626759.5300362008</v>
      </c>
      <c r="AH48" s="287">
        <f t="shared" si="12"/>
        <v>-13740.758385691181</v>
      </c>
      <c r="AI48" s="287">
        <f t="shared" si="13"/>
        <v>-10305.568789268385</v>
      </c>
      <c r="AJ48" s="287">
        <f t="shared" si="14"/>
        <v>0</v>
      </c>
      <c r="AK48" s="287">
        <f t="shared" si="15"/>
        <v>0</v>
      </c>
      <c r="AL48" s="287">
        <f t="shared" si="16"/>
        <v>-1.5685797243939557</v>
      </c>
      <c r="AM48" s="287">
        <f t="shared" si="17"/>
        <v>-1.1764347932954666</v>
      </c>
      <c r="AN48" s="287">
        <f t="shared" si="18"/>
        <v>-1.5685797243939752</v>
      </c>
      <c r="AO48" s="287">
        <f t="shared" si="19"/>
        <v>-1.1764347932954815</v>
      </c>
      <c r="AP48" s="287">
        <f t="shared" si="20"/>
        <v>895450.84844045131</v>
      </c>
      <c r="AQ48" s="287">
        <f t="shared" si="21"/>
        <v>671588.13633033843</v>
      </c>
      <c r="AR48" s="287">
        <f t="shared" si="22"/>
        <v>448632.91353154124</v>
      </c>
      <c r="AS48" s="289" t="e">
        <f>IF(J48='2027 Avoided Costs'!#REF!,3,5)</f>
        <v>#REF!</v>
      </c>
      <c r="AT48" s="290" cm="1">
        <f t="array" ref="AT48">IFERROR(IF($J48="Baseload",IF($O48=1,0,NPV('2027 Avoided Costs'!$D$6,_xlfn._xlws.FILTER('2027 Avoided Costs'!$C$14:$C$47,('2027 Avoided Costs'!$B$14:$B$47&gt;=$B48+1)*('2027 Avoided Costs'!$B$14:$B$47&lt;$B48+ROUND($O48,0)))))+_xlfn.XLOOKUP($B48,'2027 Avoided Costs'!$B$13:$B$47,'2027 Avoided Costs'!$C$13:$C$47),IF($O48=1,0,NPV('2027 Avoided Costs'!$D$6,_xlfn._xlws.FILTER('2027 Avoided Costs'!$E$14:$E$47,('2027 Avoided Costs'!$B$14:$B$47&gt;=$B48+1)*('2027 Avoided Costs'!$B$14:$B$47&lt;$B48+ROUND($O48,0)))))+_xlfn.XLOOKUP($B48,'2027 Avoided Costs'!$B$13:$B$47,'2027 Avoided Costs'!$E$13:$E$47))*IF($AE48&gt;0,$AE48*(1+$W48),0),0)</f>
        <v>1884245.5258221384</v>
      </c>
      <c r="AU48" s="290" cm="1">
        <f t="array" ref="AU48">IFERROR((IF($O48=1,0,NPV('2027 Avoided Costs'!$D$6,_xlfn._xlws.FILTER('2027 Avoided Costs'!$M$14:$M$47,('2027 Avoided Costs'!$B$14:$B$47&gt;=$B48+1)*('2027 Avoided Costs'!$B$14:$B$47&lt;$B48+ROUND($O48,0)))))+_xlfn.XLOOKUP($B48,'2027 Avoided Costs'!$B$13:$B$47,'2027 Avoided Costs'!$M$13:$M$47))*IF($AK48&gt;0,$AK48*(1+$W48),0),0)</f>
        <v>0</v>
      </c>
      <c r="AV48" s="291" cm="1">
        <f t="array" ref="AV48">IFERROR((IF($O48=1,0,NPV('2027 Avoided Costs'!$D$6,_xlfn._xlws.FILTER('2027 Avoided Costs'!$Q$14:$Q$47,('2027 Avoided Costs'!$B$14:$B$47&gt;=$B48+1)*('2027 Avoided Costs'!$B$14:$B$47&lt;$B48+ROUND($O48,0)))))+_xlfn.XLOOKUP($B48,'2027 Avoided Costs'!$B$13:$B$47,'2027 Avoided Costs'!$Q$13:$Q$47))*IF($AI48&gt;0,$AI48*(1+$W48),0),0)</f>
        <v>0</v>
      </c>
      <c r="AW48" s="291" cm="1">
        <f t="array" ref="AW48">IFERROR((IF($O48=1,0,NPV('2027 Avoided Costs'!$D$6,_xlfn._xlws.FILTER('2027 Avoided Costs'!$W$14:$W$47,('2027 Avoided Costs'!$B$14:$B$47&gt;=$B48+1)*('2027 Avoided Costs'!$B$14:$B$47&lt;$B48+ROUND($O48,0)))))+_xlfn.XLOOKUP($B48,'2027 Avoided Costs'!$B$13:$B$47,'2027 Avoided Costs'!$W$13:$W$47))*IF($AM48&gt;0,$AM48*(1+$W48),0),0)</f>
        <v>0</v>
      </c>
      <c r="AX48" s="291" cm="1">
        <f t="array" ref="AX48">IFERROR((IF($O48=1,0,NPV('2027 Avoided Costs'!$D$6,_xlfn._xlws.FILTER('2027 Avoided Costs'!$AC$14:$AC$47,('2027 Avoided Costs'!$B$14:$B$47&gt;=$B48+1)*('2027 Avoided Costs'!$B$14:$B$47&lt;$B48+ROUND($O48,0)))))+_xlfn.XLOOKUP($B48,'2027 Avoided Costs'!$B$13:$B$47,'2027 Avoided Costs'!$AC$13:$AC$47))*IF($AO48&gt;0,$AO48*(1+$W48),0),0)</f>
        <v>0</v>
      </c>
      <c r="AY48" s="291" cm="1">
        <f t="array" ref="AY48">IFERROR((IF($O48=1,0,NPV('2027 Avoided Costs'!$D$4,_xlfn._xlws.FILTER('2027 Avoided Costs'!$I$14:$I$47,('2027 Avoided Costs'!$B$14:$B$47&gt;=$B48+1)*('2027 Avoided Costs'!$B$14:$B$47&lt;$B48+ROUND($O48,0)))))+_xlfn.XLOOKUP($B48,'2027 Avoided Costs'!$B$13:$B$47,'2027 Avoided Costs'!$I$13:$I$47))*IF($X48="Residential",'2027 Avoided Costs'!$J$5,IF($X48="Large Volume",'2027 Avoided Costs'!$J$7,'2027 Avoided Costs'!$J$6))*IF($AE48&gt;0,$AE48,0),0)</f>
        <v>0</v>
      </c>
      <c r="AZ48" s="291" cm="1">
        <f t="array" ref="AZ48">IFERROR(IF($J48="Baseload",IF($O48=1,0,NPV('2027 Avoided Costs'!$D$6,_xlfn._xlws.FILTER('2027 Avoided Costs'!$C$14:$C$47,('2027 Avoided Costs'!$B$14:$B$47&gt;=$B48+1)*('2027 Avoided Costs'!$B$14:$B$47&lt;$B48+ROUND($O48,0)))))+_xlfn.XLOOKUP($B48,'2027 Avoided Costs'!$B$13:$B$47,'2027 Avoided Costs'!$C$13:$C$47),IF($O48=1,0,NPV('2027 Avoided Costs'!$D$6,_xlfn._xlws.FILTER('2027 Avoided Costs'!$E$14:$E$47,('2027 Avoided Costs'!$B$14:$B$47&gt;=$B48+1)*('2027 Avoided Costs'!$B$14:$B$47&lt;$B48+ROUND($O48,0)))))+_xlfn.XLOOKUP($B48,'2027 Avoided Costs'!$B$13:$B$47,'2027 Avoided Costs'!$E$13:$E$47))*IF($AE48&lt;0,$AE48*(-1),0),0)</f>
        <v>0</v>
      </c>
      <c r="BA48" s="291" cm="1">
        <f t="array" ref="BA48">IFERROR((IF($O48=1,0,NPV('2027 Avoided Costs'!$D$6,_xlfn._xlws.FILTER('2027 Avoided Costs'!$M$14:$M$47,('2027 Avoided Costs'!$B$14:$B$47&gt;=$B48+1)*('2027 Avoided Costs'!$B$14:$B$47&lt;$B48+ROUND($O48,0)))))+_xlfn.XLOOKUP($B48,'2027 Avoided Costs'!$B$13:$B$47,'2027 Avoided Costs'!$M$13:$M$47))*IF($AK48&lt;0,$AK48*(-1),0),0)</f>
        <v>0</v>
      </c>
      <c r="BB48" s="291" cm="1">
        <f t="array" ref="BB48">IFERROR((IF($O48=1,0,NPV('2027 Avoided Costs'!$D$6,_xlfn._xlws.FILTER('2027 Avoided Costs'!$S$14:$S$47,('2027 Avoided Costs'!$B$14:$B$47&gt;=$B48+1)*('2027 Avoided Costs'!$B$14:$B$47&lt;$B48+ROUND($O48,0)))))+_xlfn.XLOOKUP($B48,'2027 Avoided Costs'!$B$13:$B$47,'2027 Avoided Costs'!$S$13:$S$47))*IF($AI48&lt;0,$AI48*(-1),0),0)</f>
        <v>6422.5083816911192</v>
      </c>
      <c r="BC48" s="291" cm="1">
        <f t="array" ref="BC48">IFERROR((IF($O48=1,0,NPV('2027 Avoided Costs'!$D$6,_xlfn._xlws.FILTER('2027 Avoided Costs'!$Y$14:$Y$47,('2027 Avoided Costs'!$B$14:$B$47&gt;=$B48+1)*('2027 Avoided Costs'!$B$14:$B$47&lt;$B48+ROUND($O48,0)))))+_xlfn.XLOOKUP($B48,'2027 Avoided Costs'!$B$13:$B$47,'2027 Avoided Costs'!$Y$13:$Y$47))*IF($AM48&lt;0,$AM48*(-1),0),0)</f>
        <v>4406.561757821215</v>
      </c>
      <c r="BD48" s="291" cm="1">
        <f t="array" ref="BD48">IFERROR((IF($O48=1,0,NPV('2027 Avoided Costs'!$D$6,_xlfn._xlws.FILTER('2027 Avoided Costs'!$AE$14:$AE$47,('2027 Avoided Costs'!$B$14:$B$47&gt;=$B48+1)*('2027 Avoided Costs'!$B$14:$B$47&lt;$B48+ROUND($O48,0)))))+_xlfn.XLOOKUP($B48,'2027 Avoided Costs'!$B$13:$B$47,'2027 Avoided Costs'!$AE$13:$AE$47))*IF($AO48&lt;0,$AO48*(-1),0),0)</f>
        <v>810.42301736878107</v>
      </c>
      <c r="BE48" s="291" cm="1">
        <f t="array" ref="BE48">IFERROR((IF($O48=1,0,NPV('2027 Avoided Costs'!$D$4,_xlfn._xlws.FILTER('2027 Avoided Costs'!$I$14:$I$47,('2027 Avoided Costs'!$B$14:$B$47&gt;=$B48+1)*('2027 Avoided Costs'!$B$14:$B$47&lt;$B48+ROUND($O48,0)))))+_xlfn.XLOOKUP($B48,'2027 Avoided Costs'!$B$13:$B$47,'2027 Avoided Costs'!$I$13:$I$47))*IF($X48="Residential",'2027 Avoided Costs'!$J$5,IF($X48="Large Volume",'2027 Avoided Costs'!$J$7,'2027 Avoided Costs'!$J$6))*IF($AE48&lt;0,$AE48*(-1),0),0)</f>
        <v>0</v>
      </c>
      <c r="BF48" s="291">
        <f t="shared" si="23"/>
        <v>1884245.5258221384</v>
      </c>
      <c r="BG48" s="291">
        <f t="shared" si="24"/>
        <v>683227.6294872195</v>
      </c>
      <c r="BH48" s="291">
        <f t="shared" si="25"/>
        <v>1201017.8963349189</v>
      </c>
      <c r="BI48" s="292">
        <f t="shared" si="29"/>
        <v>2.7578590860505958</v>
      </c>
      <c r="BJ48" s="196" cm="1">
        <f t="array" ref="BJ48">IFERROR(IF($J48="Baseload",IF($O48=1,0,NPV('2027 Avoided Costs'!$D$6,_xlfn._xlws.FILTER('2027 Avoided Costs'!$C$14:$C$47,('2027 Avoided Costs'!$B$14:$B$47&gt;=$B48+1)*('2027 Avoided Costs'!$B$14:$B$47&lt;$B48+ROUND($O48,0)))))+_xlfn.XLOOKUP($B48,'2027 Avoided Costs'!$B$13:$B$47,'2027 Avoided Costs'!$C$13:$C$47),IF($O48=1,0,NPV('2027 Avoided Costs'!$D$6,_xlfn._xlws.FILTER('2027 Avoided Costs'!$E$14:$E$47,('2027 Avoided Costs'!$B$14:$B$47&gt;=$B48+1)*('2027 Avoided Costs'!$B$14:$B$47&lt;$B48+ROUND($O48,0)))))+_xlfn.XLOOKUP($B48,'2027 Avoided Costs'!$B$13:$B$47,'2027 Avoided Costs'!$E$13:$E$47))*IF($AE48&gt;0,$AE48*(1+0),0),0)</f>
        <v>1638474.3702801203</v>
      </c>
      <c r="BK48" s="293">
        <f t="shared" si="26"/>
        <v>6.6884433761628603</v>
      </c>
    </row>
    <row r="49" spans="1:63" s="1" customFormat="1" x14ac:dyDescent="0.25">
      <c r="A49" s="270" t="s">
        <v>133</v>
      </c>
      <c r="B49" s="271">
        <v>2029</v>
      </c>
      <c r="C49" s="272" t="s">
        <v>13</v>
      </c>
      <c r="D49" s="272" t="s">
        <v>9</v>
      </c>
      <c r="E49" s="272" t="s">
        <v>288</v>
      </c>
      <c r="F49" s="273">
        <v>9</v>
      </c>
      <c r="G49" s="274">
        <v>356984.87383577926</v>
      </c>
      <c r="H49" s="275">
        <f t="shared" si="3"/>
        <v>0.35</v>
      </c>
      <c r="I49" s="274">
        <v>250</v>
      </c>
      <c r="J49" s="276" t="s">
        <v>264</v>
      </c>
      <c r="K49" s="277">
        <f t="shared" si="27"/>
        <v>0.75</v>
      </c>
      <c r="L49" s="278">
        <v>0.28000000000000003</v>
      </c>
      <c r="M49" s="278">
        <v>0.03</v>
      </c>
      <c r="N49" s="278">
        <v>0.9113</v>
      </c>
      <c r="O49" s="279">
        <v>15</v>
      </c>
      <c r="P49" s="280">
        <v>1019956.7823879408</v>
      </c>
      <c r="Q49" s="281">
        <v>-1028725.3874999998</v>
      </c>
      <c r="R49" s="282">
        <v>0</v>
      </c>
      <c r="S49" s="282">
        <v>-431</v>
      </c>
      <c r="T49" s="281">
        <v>0</v>
      </c>
      <c r="U49" s="283">
        <v>1</v>
      </c>
      <c r="V49" s="284">
        <v>2154112.8755555553</v>
      </c>
      <c r="W49" s="285">
        <v>0.15</v>
      </c>
      <c r="X49" s="286" t="s">
        <v>255</v>
      </c>
      <c r="Y49" s="287">
        <f t="shared" si="4"/>
        <v>9</v>
      </c>
      <c r="Z49" s="288">
        <f t="shared" si="5"/>
        <v>3212863.8645220133</v>
      </c>
      <c r="AA49" s="288">
        <f t="shared" si="6"/>
        <v>2250</v>
      </c>
      <c r="AB49" s="288">
        <f t="shared" si="7"/>
        <v>3342663.5646487027</v>
      </c>
      <c r="AC49" s="288">
        <f t="shared" si="28"/>
        <v>2328.0656400000003</v>
      </c>
      <c r="AD49" s="287">
        <f t="shared" si="8"/>
        <v>8365379.5421111742</v>
      </c>
      <c r="AE49" s="287">
        <f t="shared" si="9"/>
        <v>6274034.6565833809</v>
      </c>
      <c r="AF49" s="287">
        <f t="shared" si="10"/>
        <v>125480693.13166761</v>
      </c>
      <c r="AG49" s="287">
        <f t="shared" si="11"/>
        <v>94110519.84875071</v>
      </c>
      <c r="AH49" s="287">
        <f t="shared" si="12"/>
        <v>-9044782.3954261784</v>
      </c>
      <c r="AI49" s="287">
        <f t="shared" si="13"/>
        <v>-6783586.7965696342</v>
      </c>
      <c r="AJ49" s="287">
        <f t="shared" si="14"/>
        <v>0</v>
      </c>
      <c r="AK49" s="287">
        <f t="shared" si="15"/>
        <v>0</v>
      </c>
      <c r="AL49" s="287">
        <f t="shared" si="16"/>
        <v>0</v>
      </c>
      <c r="AM49" s="287">
        <f t="shared" si="17"/>
        <v>0</v>
      </c>
      <c r="AN49" s="287">
        <f t="shared" si="18"/>
        <v>-3789.4478544000003</v>
      </c>
      <c r="AO49" s="287">
        <f t="shared" si="19"/>
        <v>-2842.0858908</v>
      </c>
      <c r="AP49" s="287">
        <f t="shared" si="20"/>
        <v>19387015.879999999</v>
      </c>
      <c r="AQ49" s="287">
        <f t="shared" si="21"/>
        <v>14540261.91</v>
      </c>
      <c r="AR49" s="287">
        <f t="shared" si="22"/>
        <v>6274034.6565833809</v>
      </c>
      <c r="AS49" s="289" t="e">
        <f>IF(J49='2027 Avoided Costs'!#REF!,3,5)</f>
        <v>#REF!</v>
      </c>
      <c r="AT49" s="290" cm="1">
        <f t="array" ref="AT49">IFERROR(IF($J49="Baseload",IF($O49=1,0,NPV('2027 Avoided Costs'!$D$6,_xlfn._xlws.FILTER('2027 Avoided Costs'!$C$14:$C$47,('2027 Avoided Costs'!$B$14:$B$47&gt;=$B49+1)*('2027 Avoided Costs'!$B$14:$B$47&lt;$B49+ROUND($O49,0)))))+_xlfn.XLOOKUP($B49,'2027 Avoided Costs'!$B$13:$B$47,'2027 Avoided Costs'!$C$13:$C$47),IF($O49=1,0,NPV('2027 Avoided Costs'!$D$6,_xlfn._xlws.FILTER('2027 Avoided Costs'!$E$14:$E$47,('2027 Avoided Costs'!$B$14:$B$47&gt;=$B49+1)*('2027 Avoided Costs'!$B$14:$B$47&lt;$B49+ROUND($O49,0)))))+_xlfn.XLOOKUP($B49,'2027 Avoided Costs'!$B$13:$B$47,'2027 Avoided Costs'!$E$13:$E$47))*IF($AE49&gt;0,$AE49*(1+$W49),0),0)</f>
        <v>26671249.733675748</v>
      </c>
      <c r="AU49" s="290" cm="1">
        <f t="array" ref="AU49">IFERROR((IF($O49=1,0,NPV('2027 Avoided Costs'!$D$6,_xlfn._xlws.FILTER('2027 Avoided Costs'!$M$14:$M$47,('2027 Avoided Costs'!$B$14:$B$47&gt;=$B49+1)*('2027 Avoided Costs'!$B$14:$B$47&lt;$B49+ROUND($O49,0)))))+_xlfn.XLOOKUP($B49,'2027 Avoided Costs'!$B$13:$B$47,'2027 Avoided Costs'!$M$13:$M$47))*IF($AK49&gt;0,$AK49*(1+$W49),0),0)</f>
        <v>0</v>
      </c>
      <c r="AV49" s="291" cm="1">
        <f t="array" ref="AV49">IFERROR((IF($O49=1,0,NPV('2027 Avoided Costs'!$D$6,_xlfn._xlws.FILTER('2027 Avoided Costs'!$Q$14:$Q$47,('2027 Avoided Costs'!$B$14:$B$47&gt;=$B49+1)*('2027 Avoided Costs'!$B$14:$B$47&lt;$B49+ROUND($O49,0)))))+_xlfn.XLOOKUP($B49,'2027 Avoided Costs'!$B$13:$B$47,'2027 Avoided Costs'!$Q$13:$Q$47))*IF($AI49&gt;0,$AI49*(1+$W49),0),0)</f>
        <v>0</v>
      </c>
      <c r="AW49" s="291" cm="1">
        <f t="array" ref="AW49">IFERROR((IF($O49=1,0,NPV('2027 Avoided Costs'!$D$6,_xlfn._xlws.FILTER('2027 Avoided Costs'!$W$14:$W$47,('2027 Avoided Costs'!$B$14:$B$47&gt;=$B49+1)*('2027 Avoided Costs'!$B$14:$B$47&lt;$B49+ROUND($O49,0)))))+_xlfn.XLOOKUP($B49,'2027 Avoided Costs'!$B$13:$B$47,'2027 Avoided Costs'!$W$13:$W$47))*IF($AM49&gt;0,$AM49*(1+$W49),0),0)</f>
        <v>0</v>
      </c>
      <c r="AX49" s="291" cm="1">
        <f t="array" ref="AX49">IFERROR((IF($O49=1,0,NPV('2027 Avoided Costs'!$D$6,_xlfn._xlws.FILTER('2027 Avoided Costs'!$AC$14:$AC$47,('2027 Avoided Costs'!$B$14:$B$47&gt;=$B49+1)*('2027 Avoided Costs'!$B$14:$B$47&lt;$B49+ROUND($O49,0)))))+_xlfn.XLOOKUP($B49,'2027 Avoided Costs'!$B$13:$B$47,'2027 Avoided Costs'!$AC$13:$AC$47))*IF($AO49&gt;0,$AO49*(1+$W49),0),0)</f>
        <v>0</v>
      </c>
      <c r="AY49" s="291" cm="1">
        <f t="array" ref="AY49">IFERROR((IF($O49=1,0,NPV('2027 Avoided Costs'!$D$4,_xlfn._xlws.FILTER('2027 Avoided Costs'!$I$14:$I$47,('2027 Avoided Costs'!$B$14:$B$47&gt;=$B49+1)*('2027 Avoided Costs'!$B$14:$B$47&lt;$B49+ROUND($O49,0)))))+_xlfn.XLOOKUP($B49,'2027 Avoided Costs'!$B$13:$B$47,'2027 Avoided Costs'!$I$13:$I$47))*IF($X49="Residential",'2027 Avoided Costs'!$J$5,IF($X49="Large Volume",'2027 Avoided Costs'!$J$7,'2027 Avoided Costs'!$J$6))*IF($AE49&gt;0,$AE49,0),0)</f>
        <v>0</v>
      </c>
      <c r="AZ49" s="291" cm="1">
        <f t="array" ref="AZ49">IFERROR(IF($J49="Baseload",IF($O49=1,0,NPV('2027 Avoided Costs'!$D$6,_xlfn._xlws.FILTER('2027 Avoided Costs'!$C$14:$C$47,('2027 Avoided Costs'!$B$14:$B$47&gt;=$B49+1)*('2027 Avoided Costs'!$B$14:$B$47&lt;$B49+ROUND($O49,0)))))+_xlfn.XLOOKUP($B49,'2027 Avoided Costs'!$B$13:$B$47,'2027 Avoided Costs'!$C$13:$C$47),IF($O49=1,0,NPV('2027 Avoided Costs'!$D$6,_xlfn._xlws.FILTER('2027 Avoided Costs'!$E$14:$E$47,('2027 Avoided Costs'!$B$14:$B$47&gt;=$B49+1)*('2027 Avoided Costs'!$B$14:$B$47&lt;$B49+ROUND($O49,0)))))+_xlfn.XLOOKUP($B49,'2027 Avoided Costs'!$B$13:$B$47,'2027 Avoided Costs'!$E$13:$E$47))*IF($AE49&lt;0,$AE49*(-1),0),0)</f>
        <v>0</v>
      </c>
      <c r="BA49" s="291" cm="1">
        <f t="array" ref="BA49">IFERROR((IF($O49=1,0,NPV('2027 Avoided Costs'!$D$6,_xlfn._xlws.FILTER('2027 Avoided Costs'!$M$14:$M$47,('2027 Avoided Costs'!$B$14:$B$47&gt;=$B49+1)*('2027 Avoided Costs'!$B$14:$B$47&lt;$B49+ROUND($O49,0)))))+_xlfn.XLOOKUP($B49,'2027 Avoided Costs'!$B$13:$B$47,'2027 Avoided Costs'!$M$13:$M$47))*IF($AK49&lt;0,$AK49*(-1),0),0)</f>
        <v>0</v>
      </c>
      <c r="BB49" s="291" cm="1">
        <f t="array" ref="BB49">IFERROR((IF($O49=1,0,NPV('2027 Avoided Costs'!$D$6,_xlfn._xlws.FILTER('2027 Avoided Costs'!$S$14:$S$47,('2027 Avoided Costs'!$B$14:$B$47&gt;=$B49+1)*('2027 Avoided Costs'!$B$14:$B$47&lt;$B49+ROUND($O49,0)))))+_xlfn.XLOOKUP($B49,'2027 Avoided Costs'!$B$13:$B$47,'2027 Avoided Costs'!$S$13:$S$47))*IF($AI49&lt;0,$AI49*(-1),0),0)</f>
        <v>3851618.6080362191</v>
      </c>
      <c r="BC49" s="291" cm="1">
        <f t="array" ref="BC49">IFERROR((IF($O49=1,0,NPV('2027 Avoided Costs'!$D$6,_xlfn._xlws.FILTER('2027 Avoided Costs'!$Y$14:$Y$47,('2027 Avoided Costs'!$B$14:$B$47&gt;=$B49+1)*('2027 Avoided Costs'!$B$14:$B$47&lt;$B49+ROUND($O49,0)))))+_xlfn.XLOOKUP($B49,'2027 Avoided Costs'!$B$13:$B$47,'2027 Avoided Costs'!$Y$13:$Y$47))*IF($AM49&lt;0,$AM49*(-1),0),0)</f>
        <v>0</v>
      </c>
      <c r="BD49" s="291" cm="1">
        <f t="array" ref="BD49">IFERROR((IF($O49=1,0,NPV('2027 Avoided Costs'!$D$6,_xlfn._xlws.FILTER('2027 Avoided Costs'!$AE$14:$AE$47,('2027 Avoided Costs'!$B$14:$B$47&gt;=$B49+1)*('2027 Avoided Costs'!$B$14:$B$47&lt;$B49+ROUND($O49,0)))))+_xlfn.XLOOKUP($B49,'2027 Avoided Costs'!$B$13:$B$47,'2027 Avoided Costs'!$AE$13:$AE$47))*IF($AO49&lt;0,$AO49*(-1),0),0)</f>
        <v>1318141.6271696589</v>
      </c>
      <c r="BE49" s="291" cm="1">
        <f t="array" ref="BE49">IFERROR((IF($O49=1,0,NPV('2027 Avoided Costs'!$D$4,_xlfn._xlws.FILTER('2027 Avoided Costs'!$I$14:$I$47,('2027 Avoided Costs'!$B$14:$B$47&gt;=$B49+1)*('2027 Avoided Costs'!$B$14:$B$47&lt;$B49+ROUND($O49,0)))))+_xlfn.XLOOKUP($B49,'2027 Avoided Costs'!$B$13:$B$47,'2027 Avoided Costs'!$I$13:$I$47))*IF($X49="Residential",'2027 Avoided Costs'!$J$5,IF($X49="Large Volume",'2027 Avoided Costs'!$J$7,'2027 Avoided Costs'!$J$6))*IF($AE49&lt;0,$AE49*(-1),0),0)</f>
        <v>0</v>
      </c>
      <c r="BF49" s="291">
        <f t="shared" si="23"/>
        <v>26671249.733675748</v>
      </c>
      <c r="BG49" s="291">
        <f t="shared" si="24"/>
        <v>19710022.145205878</v>
      </c>
      <c r="BH49" s="291">
        <f t="shared" si="25"/>
        <v>6961227.5884698704</v>
      </c>
      <c r="BI49" s="292">
        <f t="shared" si="29"/>
        <v>1.3531821292328212</v>
      </c>
      <c r="BJ49" s="196" cm="1">
        <f t="array" ref="BJ49">IFERROR(IF($J49="Baseload",IF($O49=1,0,NPV('2027 Avoided Costs'!$D$6,_xlfn._xlws.FILTER('2027 Avoided Costs'!$C$14:$C$47,('2027 Avoided Costs'!$B$14:$B$47&gt;=$B49+1)*('2027 Avoided Costs'!$B$14:$B$47&lt;$B49+ROUND($O49,0)))))+_xlfn.XLOOKUP($B49,'2027 Avoided Costs'!$B$13:$B$47,'2027 Avoided Costs'!$C$13:$C$47),IF($O49=1,0,NPV('2027 Avoided Costs'!$D$6,_xlfn._xlws.FILTER('2027 Avoided Costs'!$E$14:$E$47,('2027 Avoided Costs'!$B$14:$B$47&gt;=$B49+1)*('2027 Avoided Costs'!$B$14:$B$47&lt;$B49+ROUND($O49,0)))))+_xlfn.XLOOKUP($B49,'2027 Avoided Costs'!$B$13:$B$47,'2027 Avoided Costs'!$E$13:$E$47))*IF($AE49&gt;0,$AE49*(1+0),0),0)</f>
        <v>23192391.072761524</v>
      </c>
      <c r="BK49" s="293">
        <f t="shared" si="26"/>
        <v>6.9334675945840294</v>
      </c>
    </row>
    <row r="50" spans="1:63" s="1" customFormat="1" x14ac:dyDescent="0.25">
      <c r="A50" s="270" t="s">
        <v>133</v>
      </c>
      <c r="B50" s="271">
        <v>2029</v>
      </c>
      <c r="C50" s="272" t="s">
        <v>13</v>
      </c>
      <c r="D50" s="272" t="s">
        <v>9</v>
      </c>
      <c r="E50" s="272" t="s">
        <v>289</v>
      </c>
      <c r="F50" s="273">
        <v>187</v>
      </c>
      <c r="G50" s="274">
        <v>4706.0603159279899</v>
      </c>
      <c r="H50" s="275">
        <f t="shared" si="3"/>
        <v>0.96502300196168744</v>
      </c>
      <c r="I50" s="274">
        <v>250</v>
      </c>
      <c r="J50" s="276" t="s">
        <v>264</v>
      </c>
      <c r="K50" s="277">
        <f t="shared" si="27"/>
        <v>0.75</v>
      </c>
      <c r="L50" s="278">
        <v>0.28000000000000003</v>
      </c>
      <c r="M50" s="278">
        <v>0.03</v>
      </c>
      <c r="N50" s="278">
        <v>0.9113</v>
      </c>
      <c r="O50" s="279">
        <v>17</v>
      </c>
      <c r="P50" s="280">
        <v>4876.6302008983885</v>
      </c>
      <c r="Q50" s="281">
        <v>367.32758064516116</v>
      </c>
      <c r="R50" s="282">
        <v>0.22384530467559094</v>
      </c>
      <c r="S50" s="282">
        <v>6.6116640199584784E-2</v>
      </c>
      <c r="T50" s="281">
        <v>0</v>
      </c>
      <c r="U50" s="283">
        <v>0</v>
      </c>
      <c r="V50" s="284">
        <v>15522.169808517197</v>
      </c>
      <c r="W50" s="285">
        <v>0.15</v>
      </c>
      <c r="X50" s="286" t="s">
        <v>255</v>
      </c>
      <c r="Y50" s="287">
        <f t="shared" si="4"/>
        <v>187</v>
      </c>
      <c r="Z50" s="288">
        <f t="shared" si="5"/>
        <v>880033.27907853411</v>
      </c>
      <c r="AA50" s="288">
        <f t="shared" si="6"/>
        <v>46750</v>
      </c>
      <c r="AB50" s="288">
        <f t="shared" si="7"/>
        <v>915586.62355330691</v>
      </c>
      <c r="AC50" s="288">
        <f t="shared" si="28"/>
        <v>48372.030520000008</v>
      </c>
      <c r="AD50" s="287">
        <f t="shared" si="8"/>
        <v>831041.67008871725</v>
      </c>
      <c r="AE50" s="287">
        <f t="shared" si="9"/>
        <v>623281.25256653794</v>
      </c>
      <c r="AF50" s="287">
        <f t="shared" si="10"/>
        <v>14127708.391508194</v>
      </c>
      <c r="AG50" s="287">
        <f t="shared" si="11"/>
        <v>10595781.293631146</v>
      </c>
      <c r="AH50" s="287">
        <f t="shared" si="12"/>
        <v>67104.446818035343</v>
      </c>
      <c r="AI50" s="287">
        <f t="shared" si="13"/>
        <v>50328.335113526504</v>
      </c>
      <c r="AJ50" s="287">
        <f t="shared" si="14"/>
        <v>0</v>
      </c>
      <c r="AK50" s="287">
        <f t="shared" si="15"/>
        <v>0</v>
      </c>
      <c r="AL50" s="287">
        <f t="shared" si="16"/>
        <v>40.892696695107205</v>
      </c>
      <c r="AM50" s="287">
        <f t="shared" si="17"/>
        <v>30.669522521330411</v>
      </c>
      <c r="AN50" s="287">
        <f t="shared" si="18"/>
        <v>12.078375814491563</v>
      </c>
      <c r="AO50" s="287">
        <f t="shared" si="19"/>
        <v>9.0587818608686721</v>
      </c>
      <c r="AP50" s="287">
        <f t="shared" si="20"/>
        <v>2902645.754192716</v>
      </c>
      <c r="AQ50" s="287">
        <f t="shared" si="21"/>
        <v>2176984.3156445371</v>
      </c>
      <c r="AR50" s="287">
        <f t="shared" si="22"/>
        <v>0</v>
      </c>
      <c r="AS50" s="289" t="e">
        <f>IF(J50='2027 Avoided Costs'!#REF!,3,5)</f>
        <v>#REF!</v>
      </c>
      <c r="AT50" s="290" cm="1">
        <f t="array" ref="AT50">IFERROR(IF($J50="Baseload",IF($O50=1,0,NPV('2027 Avoided Costs'!$D$6,_xlfn._xlws.FILTER('2027 Avoided Costs'!$C$14:$C$47,('2027 Avoided Costs'!$B$14:$B$47&gt;=$B50+1)*('2027 Avoided Costs'!$B$14:$B$47&lt;$B50+ROUND($O50,0)))))+_xlfn.XLOOKUP($B50,'2027 Avoided Costs'!$B$13:$B$47,'2027 Avoided Costs'!$C$13:$C$47),IF($O50=1,0,NPV('2027 Avoided Costs'!$D$6,_xlfn._xlws.FILTER('2027 Avoided Costs'!$E$14:$E$47,('2027 Avoided Costs'!$B$14:$B$47&gt;=$B50+1)*('2027 Avoided Costs'!$B$14:$B$47&lt;$B50+ROUND($O50,0)))))+_xlfn.XLOOKUP($B50,'2027 Avoided Costs'!$B$13:$B$47,'2027 Avoided Costs'!$E$13:$E$47))*IF($AE50&gt;0,$AE50*(1+$W50),0),0)</f>
        <v>2927314.1198662156</v>
      </c>
      <c r="AU50" s="290" cm="1">
        <f t="array" ref="AU50">IFERROR((IF($O50=1,0,NPV('2027 Avoided Costs'!$D$6,_xlfn._xlws.FILTER('2027 Avoided Costs'!$M$14:$M$47,('2027 Avoided Costs'!$B$14:$B$47&gt;=$B50+1)*('2027 Avoided Costs'!$B$14:$B$47&lt;$B50+ROUND($O50,0)))))+_xlfn.XLOOKUP($B50,'2027 Avoided Costs'!$B$13:$B$47,'2027 Avoided Costs'!$M$13:$M$47))*IF($AK50&gt;0,$AK50*(1+$W50),0),0)</f>
        <v>0</v>
      </c>
      <c r="AV50" s="291" cm="1">
        <f t="array" ref="AV50">IFERROR((IF($O50=1,0,NPV('2027 Avoided Costs'!$D$6,_xlfn._xlws.FILTER('2027 Avoided Costs'!$Q$14:$Q$47,('2027 Avoided Costs'!$B$14:$B$47&gt;=$B50+1)*('2027 Avoided Costs'!$B$14:$B$47&lt;$B50+ROUND($O50,0)))))+_xlfn.XLOOKUP($B50,'2027 Avoided Costs'!$B$13:$B$47,'2027 Avoided Costs'!$Q$13:$Q$47))*IF($AI50&gt;0,$AI50*(1+$W50),0),0)</f>
        <v>36069.748775608343</v>
      </c>
      <c r="AW50" s="291" cm="1">
        <f t="array" ref="AW50">IFERROR((IF($O50=1,0,NPV('2027 Avoided Costs'!$D$6,_xlfn._xlws.FILTER('2027 Avoided Costs'!$W$14:$W$47,('2027 Avoided Costs'!$B$14:$B$47&gt;=$B50+1)*('2027 Avoided Costs'!$B$14:$B$47&lt;$B50+ROUND($O50,0)))))+_xlfn.XLOOKUP($B50,'2027 Avoided Costs'!$B$13:$B$47,'2027 Avoided Costs'!$W$13:$W$47))*IF($AM50&gt;0,$AM50*(1+$W50),0),0)</f>
        <v>132110.35385882753</v>
      </c>
      <c r="AX50" s="291" cm="1">
        <f t="array" ref="AX50">IFERROR((IF($O50=1,0,NPV('2027 Avoided Costs'!$D$6,_xlfn._xlws.FILTER('2027 Avoided Costs'!$AC$14:$AC$47,('2027 Avoided Costs'!$B$14:$B$47&gt;=$B50+1)*('2027 Avoided Costs'!$B$14:$B$47&lt;$B50+ROUND($O50,0)))))+_xlfn.XLOOKUP($B50,'2027 Avoided Costs'!$B$13:$B$47,'2027 Avoided Costs'!$AC$13:$AC$47))*IF($AO50&gt;0,$AO50*(1+$W50),0),0)</f>
        <v>7176.4811589144056</v>
      </c>
      <c r="AY50" s="291" cm="1">
        <f t="array" ref="AY50">IFERROR((IF($O50=1,0,NPV('2027 Avoided Costs'!$D$4,_xlfn._xlws.FILTER('2027 Avoided Costs'!$I$14:$I$47,('2027 Avoided Costs'!$B$14:$B$47&gt;=$B50+1)*('2027 Avoided Costs'!$B$14:$B$47&lt;$B50+ROUND($O50,0)))))+_xlfn.XLOOKUP($B50,'2027 Avoided Costs'!$B$13:$B$47,'2027 Avoided Costs'!$I$13:$I$47))*IF($X50="Residential",'2027 Avoided Costs'!$J$5,IF($X50="Large Volume",'2027 Avoided Costs'!$J$7,'2027 Avoided Costs'!$J$6))*IF($AE50&gt;0,$AE50,0),0)</f>
        <v>0</v>
      </c>
      <c r="AZ50" s="291" cm="1">
        <f t="array" ref="AZ50">IFERROR(IF($J50="Baseload",IF($O50=1,0,NPV('2027 Avoided Costs'!$D$6,_xlfn._xlws.FILTER('2027 Avoided Costs'!$C$14:$C$47,('2027 Avoided Costs'!$B$14:$B$47&gt;=$B50+1)*('2027 Avoided Costs'!$B$14:$B$47&lt;$B50+ROUND($O50,0)))))+_xlfn.XLOOKUP($B50,'2027 Avoided Costs'!$B$13:$B$47,'2027 Avoided Costs'!$C$13:$C$47),IF($O50=1,0,NPV('2027 Avoided Costs'!$D$6,_xlfn._xlws.FILTER('2027 Avoided Costs'!$E$14:$E$47,('2027 Avoided Costs'!$B$14:$B$47&gt;=$B50+1)*('2027 Avoided Costs'!$B$14:$B$47&lt;$B50+ROUND($O50,0)))))+_xlfn.XLOOKUP($B50,'2027 Avoided Costs'!$B$13:$B$47,'2027 Avoided Costs'!$E$13:$E$47))*IF($AE50&lt;0,$AE50*(-1),0),0)</f>
        <v>0</v>
      </c>
      <c r="BA50" s="291" cm="1">
        <f t="array" ref="BA50">IFERROR((IF($O50=1,0,NPV('2027 Avoided Costs'!$D$6,_xlfn._xlws.FILTER('2027 Avoided Costs'!$M$14:$M$47,('2027 Avoided Costs'!$B$14:$B$47&gt;=$B50+1)*('2027 Avoided Costs'!$B$14:$B$47&lt;$B50+ROUND($O50,0)))))+_xlfn.XLOOKUP($B50,'2027 Avoided Costs'!$B$13:$B$47,'2027 Avoided Costs'!$M$13:$M$47))*IF($AK50&lt;0,$AK50*(-1),0),0)</f>
        <v>0</v>
      </c>
      <c r="BB50" s="291" cm="1">
        <f t="array" ref="BB50">IFERROR((IF($O50=1,0,NPV('2027 Avoided Costs'!$D$6,_xlfn._xlws.FILTER('2027 Avoided Costs'!$S$14:$S$47,('2027 Avoided Costs'!$B$14:$B$47&gt;=$B50+1)*('2027 Avoided Costs'!$B$14:$B$47&lt;$B50+ROUND($O50,0)))))+_xlfn.XLOOKUP($B50,'2027 Avoided Costs'!$B$13:$B$47,'2027 Avoided Costs'!$S$13:$S$47))*IF($AI50&lt;0,$AI50*(-1),0),0)</f>
        <v>0</v>
      </c>
      <c r="BC50" s="291" cm="1">
        <f t="array" ref="BC50">IFERROR((IF($O50=1,0,NPV('2027 Avoided Costs'!$D$6,_xlfn._xlws.FILTER('2027 Avoided Costs'!$Y$14:$Y$47,('2027 Avoided Costs'!$B$14:$B$47&gt;=$B50+1)*('2027 Avoided Costs'!$B$14:$B$47&lt;$B50+ROUND($O50,0)))))+_xlfn.XLOOKUP($B50,'2027 Avoided Costs'!$B$13:$B$47,'2027 Avoided Costs'!$Y$13:$Y$47))*IF($AM50&lt;0,$AM50*(-1),0),0)</f>
        <v>0</v>
      </c>
      <c r="BD50" s="291" cm="1">
        <f t="array" ref="BD50">IFERROR((IF($O50=1,0,NPV('2027 Avoided Costs'!$D$6,_xlfn._xlws.FILTER('2027 Avoided Costs'!$AE$14:$AE$47,('2027 Avoided Costs'!$B$14:$B$47&gt;=$B50+1)*('2027 Avoided Costs'!$B$14:$B$47&lt;$B50+ROUND($O50,0)))))+_xlfn.XLOOKUP($B50,'2027 Avoided Costs'!$B$13:$B$47,'2027 Avoided Costs'!$AE$13:$AE$47))*IF($AO50&lt;0,$AO50*(-1),0),0)</f>
        <v>0</v>
      </c>
      <c r="BE50" s="291" cm="1">
        <f t="array" ref="BE50">IFERROR((IF($O50=1,0,NPV('2027 Avoided Costs'!$D$4,_xlfn._xlws.FILTER('2027 Avoided Costs'!$I$14:$I$47,('2027 Avoided Costs'!$B$14:$B$47&gt;=$B50+1)*('2027 Avoided Costs'!$B$14:$B$47&lt;$B50+ROUND($O50,0)))))+_xlfn.XLOOKUP($B50,'2027 Avoided Costs'!$B$13:$B$47,'2027 Avoided Costs'!$I$13:$I$47))*IF($X50="Residential",'2027 Avoided Costs'!$J$5,IF($X50="Large Volume",'2027 Avoided Costs'!$J$7,'2027 Avoided Costs'!$J$6))*IF($AE50&lt;0,$AE50*(-1),0),0)</f>
        <v>0</v>
      </c>
      <c r="BF50" s="291">
        <f t="shared" si="23"/>
        <v>3102670.7036595661</v>
      </c>
      <c r="BG50" s="291">
        <f t="shared" si="24"/>
        <v>2176984.3156445371</v>
      </c>
      <c r="BH50" s="291">
        <f t="shared" si="25"/>
        <v>925686.38801502902</v>
      </c>
      <c r="BI50" s="292">
        <f t="shared" si="29"/>
        <v>1.4252150010281366</v>
      </c>
      <c r="BJ50" s="196" cm="1">
        <f t="array" ref="BJ50">IFERROR(IF($J50="Baseload",IF($O50=1,0,NPV('2027 Avoided Costs'!$D$6,_xlfn._xlws.FILTER('2027 Avoided Costs'!$C$14:$C$47,('2027 Avoided Costs'!$B$14:$B$47&gt;=$B50+1)*('2027 Avoided Costs'!$B$14:$B$47&lt;$B50+ROUND($O50,0)))))+_xlfn.XLOOKUP($B50,'2027 Avoided Costs'!$B$13:$B$47,'2027 Avoided Costs'!$C$13:$C$47),IF($O50=1,0,NPV('2027 Avoided Costs'!$D$6,_xlfn._xlws.FILTER('2027 Avoided Costs'!$E$14:$E$47,('2027 Avoided Costs'!$B$14:$B$47&gt;=$B50+1)*('2027 Avoided Costs'!$B$14:$B$47&lt;$B50+ROUND($O50,0)))))+_xlfn.XLOOKUP($B50,'2027 Avoided Costs'!$B$13:$B$47,'2027 Avoided Costs'!$E$13:$E$47))*IF($AE50&gt;0,$AE50*(1+0),0),0)</f>
        <v>2545490.539014101</v>
      </c>
      <c r="BK50" s="293">
        <f t="shared" si="26"/>
        <v>2.6406636096453595</v>
      </c>
    </row>
    <row r="51" spans="1:63" s="1" customFormat="1" x14ac:dyDescent="0.25">
      <c r="A51" s="270" t="s">
        <v>133</v>
      </c>
      <c r="B51" s="271">
        <v>2029</v>
      </c>
      <c r="C51" s="272" t="s">
        <v>13</v>
      </c>
      <c r="D51" s="272" t="s">
        <v>9</v>
      </c>
      <c r="E51" s="272" t="s">
        <v>351</v>
      </c>
      <c r="F51" s="273">
        <v>26</v>
      </c>
      <c r="G51" s="274">
        <v>4706.0603159279899</v>
      </c>
      <c r="H51" s="275">
        <f t="shared" si="3"/>
        <v>0.96502300196168744</v>
      </c>
      <c r="I51" s="274">
        <v>250</v>
      </c>
      <c r="J51" s="276" t="s">
        <v>263</v>
      </c>
      <c r="K51" s="277">
        <f t="shared" si="27"/>
        <v>0.75</v>
      </c>
      <c r="L51" s="278">
        <v>0.28000000000000003</v>
      </c>
      <c r="M51" s="278">
        <v>0.03</v>
      </c>
      <c r="N51" s="278">
        <v>0.9113</v>
      </c>
      <c r="O51" s="279">
        <v>17</v>
      </c>
      <c r="P51" s="280">
        <v>4876.6302008983885</v>
      </c>
      <c r="Q51" s="281">
        <v>367.32758064516116</v>
      </c>
      <c r="R51" s="282">
        <v>4.1932372219766874E-2</v>
      </c>
      <c r="S51" s="282">
        <v>4.1932372219767387E-2</v>
      </c>
      <c r="T51" s="281">
        <v>0</v>
      </c>
      <c r="U51" s="283">
        <v>0</v>
      </c>
      <c r="V51" s="284">
        <v>15522.169808517197</v>
      </c>
      <c r="W51" s="285">
        <v>0.15</v>
      </c>
      <c r="X51" s="286" t="s">
        <v>255</v>
      </c>
      <c r="Y51" s="287">
        <f t="shared" si="4"/>
        <v>26</v>
      </c>
      <c r="Z51" s="288">
        <f t="shared" si="5"/>
        <v>122357.56821412774</v>
      </c>
      <c r="AA51" s="288">
        <f t="shared" si="6"/>
        <v>6500</v>
      </c>
      <c r="AB51" s="288">
        <f t="shared" si="7"/>
        <v>127300.8139699785</v>
      </c>
      <c r="AC51" s="288">
        <f t="shared" si="28"/>
        <v>6725.5229600000011</v>
      </c>
      <c r="AD51" s="287">
        <f t="shared" si="8"/>
        <v>115545.90065404623</v>
      </c>
      <c r="AE51" s="287">
        <f t="shared" si="9"/>
        <v>86659.425490534675</v>
      </c>
      <c r="AF51" s="287">
        <f t="shared" si="10"/>
        <v>1964280.311118786</v>
      </c>
      <c r="AG51" s="287">
        <f t="shared" si="11"/>
        <v>1473210.2333390894</v>
      </c>
      <c r="AH51" s="287">
        <f t="shared" si="12"/>
        <v>9330.030038871224</v>
      </c>
      <c r="AI51" s="287">
        <f t="shared" si="13"/>
        <v>6997.522529153418</v>
      </c>
      <c r="AJ51" s="287">
        <f t="shared" si="14"/>
        <v>0</v>
      </c>
      <c r="AK51" s="287">
        <f t="shared" si="15"/>
        <v>0</v>
      </c>
      <c r="AL51" s="287">
        <f t="shared" si="16"/>
        <v>1.0650719222455636</v>
      </c>
      <c r="AM51" s="287">
        <f t="shared" si="17"/>
        <v>0.7988039416841729</v>
      </c>
      <c r="AN51" s="287">
        <f t="shared" si="18"/>
        <v>1.0650719222455769</v>
      </c>
      <c r="AO51" s="287">
        <f t="shared" si="19"/>
        <v>0.79880394168418245</v>
      </c>
      <c r="AP51" s="287">
        <f t="shared" si="20"/>
        <v>403576.41502144712</v>
      </c>
      <c r="AQ51" s="287">
        <f t="shared" si="21"/>
        <v>302682.31126608537</v>
      </c>
      <c r="AR51" s="287">
        <f t="shared" si="22"/>
        <v>0</v>
      </c>
      <c r="AS51" s="289" t="e">
        <f>IF(J51='2027 Avoided Costs'!#REF!,3,5)</f>
        <v>#REF!</v>
      </c>
      <c r="AT51" s="290" cm="1">
        <f t="array" ref="AT51">IFERROR(IF($J51="Baseload",IF($O51=1,0,NPV('2027 Avoided Costs'!$D$6,_xlfn._xlws.FILTER('2027 Avoided Costs'!$C$14:$C$47,('2027 Avoided Costs'!$B$14:$B$47&gt;=$B51+1)*('2027 Avoided Costs'!$B$14:$B$47&lt;$B51+ROUND($O51,0)))))+_xlfn.XLOOKUP($B51,'2027 Avoided Costs'!$B$13:$B$47,'2027 Avoided Costs'!$C$13:$C$47),IF($O51=1,0,NPV('2027 Avoided Costs'!$D$6,_xlfn._xlws.FILTER('2027 Avoided Costs'!$E$14:$E$47,('2027 Avoided Costs'!$B$14:$B$47&gt;=$B51+1)*('2027 Avoided Costs'!$B$14:$B$47&lt;$B51+ROUND($O51,0)))))+_xlfn.XLOOKUP($B51,'2027 Avoided Costs'!$B$13:$B$47,'2027 Avoided Costs'!$E$13:$E$47))*IF($AE51&gt;0,$AE51*(1+$W51),0),0)</f>
        <v>363967.13175921934</v>
      </c>
      <c r="AU51" s="290" cm="1">
        <f t="array" ref="AU51">IFERROR((IF($O51=1,0,NPV('2027 Avoided Costs'!$D$6,_xlfn._xlws.FILTER('2027 Avoided Costs'!$M$14:$M$47,('2027 Avoided Costs'!$B$14:$B$47&gt;=$B51+1)*('2027 Avoided Costs'!$B$14:$B$47&lt;$B51+ROUND($O51,0)))))+_xlfn.XLOOKUP($B51,'2027 Avoided Costs'!$B$13:$B$47,'2027 Avoided Costs'!$M$13:$M$47))*IF($AK51&gt;0,$AK51*(1+$W51),0),0)</f>
        <v>0</v>
      </c>
      <c r="AV51" s="291" cm="1">
        <f t="array" ref="AV51">IFERROR((IF($O51=1,0,NPV('2027 Avoided Costs'!$D$6,_xlfn._xlws.FILTER('2027 Avoided Costs'!$Q$14:$Q$47,('2027 Avoided Costs'!$B$14:$B$47&gt;=$B51+1)*('2027 Avoided Costs'!$B$14:$B$47&lt;$B51+ROUND($O51,0)))))+_xlfn.XLOOKUP($B51,'2027 Avoided Costs'!$B$13:$B$47,'2027 Avoided Costs'!$Q$13:$Q$47))*IF($AI51&gt;0,$AI51*(1+$W51),0),0)</f>
        <v>5015.0452843091816</v>
      </c>
      <c r="AW51" s="291" cm="1">
        <f t="array" ref="AW51">IFERROR((IF($O51=1,0,NPV('2027 Avoided Costs'!$D$6,_xlfn._xlws.FILTER('2027 Avoided Costs'!$W$14:$W$47,('2027 Avoided Costs'!$B$14:$B$47&gt;=$B51+1)*('2027 Avoided Costs'!$B$14:$B$47&lt;$B51+ROUND($O51,0)))))+_xlfn.XLOOKUP($B51,'2027 Avoided Costs'!$B$13:$B$47,'2027 Avoided Costs'!$W$13:$W$47))*IF($AM51&gt;0,$AM51*(1+$W51),0),0)</f>
        <v>3440.8840674427474</v>
      </c>
      <c r="AX51" s="291" cm="1">
        <f t="array" ref="AX51">IFERROR((IF($O51=1,0,NPV('2027 Avoided Costs'!$D$6,_xlfn._xlws.FILTER('2027 Avoided Costs'!$AC$14:$AC$47,('2027 Avoided Costs'!$B$14:$B$47&gt;=$B51+1)*('2027 Avoided Costs'!$B$14:$B$47&lt;$B51+ROUND($O51,0)))))+_xlfn.XLOOKUP($B51,'2027 Avoided Costs'!$B$13:$B$47,'2027 Avoided Costs'!$AC$13:$AC$47))*IF($AO51&gt;0,$AO51*(1+$W51),0),0)</f>
        <v>632.82255000821726</v>
      </c>
      <c r="AY51" s="291" cm="1">
        <f t="array" ref="AY51">IFERROR((IF($O51=1,0,NPV('2027 Avoided Costs'!$D$4,_xlfn._xlws.FILTER('2027 Avoided Costs'!$I$14:$I$47,('2027 Avoided Costs'!$B$14:$B$47&gt;=$B51+1)*('2027 Avoided Costs'!$B$14:$B$47&lt;$B51+ROUND($O51,0)))))+_xlfn.XLOOKUP($B51,'2027 Avoided Costs'!$B$13:$B$47,'2027 Avoided Costs'!$I$13:$I$47))*IF($X51="Residential",'2027 Avoided Costs'!$J$5,IF($X51="Large Volume",'2027 Avoided Costs'!$J$7,'2027 Avoided Costs'!$J$6))*IF($AE51&gt;0,$AE51,0),0)</f>
        <v>0</v>
      </c>
      <c r="AZ51" s="291" cm="1">
        <f t="array" ref="AZ51">IFERROR(IF($J51="Baseload",IF($O51=1,0,NPV('2027 Avoided Costs'!$D$6,_xlfn._xlws.FILTER('2027 Avoided Costs'!$C$14:$C$47,('2027 Avoided Costs'!$B$14:$B$47&gt;=$B51+1)*('2027 Avoided Costs'!$B$14:$B$47&lt;$B51+ROUND($O51,0)))))+_xlfn.XLOOKUP($B51,'2027 Avoided Costs'!$B$13:$B$47,'2027 Avoided Costs'!$C$13:$C$47),IF($O51=1,0,NPV('2027 Avoided Costs'!$D$6,_xlfn._xlws.FILTER('2027 Avoided Costs'!$E$14:$E$47,('2027 Avoided Costs'!$B$14:$B$47&gt;=$B51+1)*('2027 Avoided Costs'!$B$14:$B$47&lt;$B51+ROUND($O51,0)))))+_xlfn.XLOOKUP($B51,'2027 Avoided Costs'!$B$13:$B$47,'2027 Avoided Costs'!$E$13:$E$47))*IF($AE51&lt;0,$AE51*(-1),0),0)</f>
        <v>0</v>
      </c>
      <c r="BA51" s="291" cm="1">
        <f t="array" ref="BA51">IFERROR((IF($O51=1,0,NPV('2027 Avoided Costs'!$D$6,_xlfn._xlws.FILTER('2027 Avoided Costs'!$M$14:$M$47,('2027 Avoided Costs'!$B$14:$B$47&gt;=$B51+1)*('2027 Avoided Costs'!$B$14:$B$47&lt;$B51+ROUND($O51,0)))))+_xlfn.XLOOKUP($B51,'2027 Avoided Costs'!$B$13:$B$47,'2027 Avoided Costs'!$M$13:$M$47))*IF($AK51&lt;0,$AK51*(-1),0),0)</f>
        <v>0</v>
      </c>
      <c r="BB51" s="291" cm="1">
        <f t="array" ref="BB51">IFERROR((IF($O51=1,0,NPV('2027 Avoided Costs'!$D$6,_xlfn._xlws.FILTER('2027 Avoided Costs'!$S$14:$S$47,('2027 Avoided Costs'!$B$14:$B$47&gt;=$B51+1)*('2027 Avoided Costs'!$B$14:$B$47&lt;$B51+ROUND($O51,0)))))+_xlfn.XLOOKUP($B51,'2027 Avoided Costs'!$B$13:$B$47,'2027 Avoided Costs'!$S$13:$S$47))*IF($AI51&lt;0,$AI51*(-1),0),0)</f>
        <v>0</v>
      </c>
      <c r="BC51" s="291" cm="1">
        <f t="array" ref="BC51">IFERROR((IF($O51=1,0,NPV('2027 Avoided Costs'!$D$6,_xlfn._xlws.FILTER('2027 Avoided Costs'!$Y$14:$Y$47,('2027 Avoided Costs'!$B$14:$B$47&gt;=$B51+1)*('2027 Avoided Costs'!$B$14:$B$47&lt;$B51+ROUND($O51,0)))))+_xlfn.XLOOKUP($B51,'2027 Avoided Costs'!$B$13:$B$47,'2027 Avoided Costs'!$Y$13:$Y$47))*IF($AM51&lt;0,$AM51*(-1),0),0)</f>
        <v>0</v>
      </c>
      <c r="BD51" s="291" cm="1">
        <f t="array" ref="BD51">IFERROR((IF($O51=1,0,NPV('2027 Avoided Costs'!$D$6,_xlfn._xlws.FILTER('2027 Avoided Costs'!$AE$14:$AE$47,('2027 Avoided Costs'!$B$14:$B$47&gt;=$B51+1)*('2027 Avoided Costs'!$B$14:$B$47&lt;$B51+ROUND($O51,0)))))+_xlfn.XLOOKUP($B51,'2027 Avoided Costs'!$B$13:$B$47,'2027 Avoided Costs'!$AE$13:$AE$47))*IF($AO51&lt;0,$AO51*(-1),0),0)</f>
        <v>0</v>
      </c>
      <c r="BE51" s="291" cm="1">
        <f t="array" ref="BE51">IFERROR((IF($O51=1,0,NPV('2027 Avoided Costs'!$D$4,_xlfn._xlws.FILTER('2027 Avoided Costs'!$I$14:$I$47,('2027 Avoided Costs'!$B$14:$B$47&gt;=$B51+1)*('2027 Avoided Costs'!$B$14:$B$47&lt;$B51+ROUND($O51,0)))))+_xlfn.XLOOKUP($B51,'2027 Avoided Costs'!$B$13:$B$47,'2027 Avoided Costs'!$I$13:$I$47))*IF($X51="Residential",'2027 Avoided Costs'!$J$5,IF($X51="Large Volume",'2027 Avoided Costs'!$J$7,'2027 Avoided Costs'!$J$6))*IF($AE51&lt;0,$AE51*(-1),0),0)</f>
        <v>0</v>
      </c>
      <c r="BF51" s="291">
        <f t="shared" si="23"/>
        <v>373055.88366097945</v>
      </c>
      <c r="BG51" s="291">
        <f t="shared" si="24"/>
        <v>302682.31126608537</v>
      </c>
      <c r="BH51" s="291">
        <f t="shared" si="25"/>
        <v>70373.572394894087</v>
      </c>
      <c r="BI51" s="292">
        <f t="shared" si="29"/>
        <v>1.2324997853377342</v>
      </c>
      <c r="BJ51" s="196" cm="1">
        <f t="array" ref="BJ51">IFERROR(IF($J51="Baseload",IF($O51=1,0,NPV('2027 Avoided Costs'!$D$6,_xlfn._xlws.FILTER('2027 Avoided Costs'!$C$14:$C$47,('2027 Avoided Costs'!$B$14:$B$47&gt;=$B51+1)*('2027 Avoided Costs'!$B$14:$B$47&lt;$B51+ROUND($O51,0)))))+_xlfn.XLOOKUP($B51,'2027 Avoided Costs'!$B$13:$B$47,'2027 Avoided Costs'!$C$13:$C$47),IF($O51=1,0,NPV('2027 Avoided Costs'!$D$6,_xlfn._xlws.FILTER('2027 Avoided Costs'!$E$14:$E$47,('2027 Avoided Costs'!$B$14:$B$47&gt;=$B51+1)*('2027 Avoided Costs'!$B$14:$B$47&lt;$B51+ROUND($O51,0)))))+_xlfn.XLOOKUP($B51,'2027 Avoided Costs'!$B$13:$B$47,'2027 Avoided Costs'!$E$13:$E$47))*IF($AE51&gt;0,$AE51*(1+0),0),0)</f>
        <v>316493.15805149509</v>
      </c>
      <c r="BK51" s="293">
        <f t="shared" si="26"/>
        <v>2.3614251146537391</v>
      </c>
    </row>
    <row r="52" spans="1:63" s="56" customFormat="1" x14ac:dyDescent="0.25">
      <c r="A52" s="270" t="s">
        <v>133</v>
      </c>
      <c r="B52" s="271">
        <v>2029</v>
      </c>
      <c r="C52" s="272" t="s">
        <v>13</v>
      </c>
      <c r="D52" s="272" t="s">
        <v>9</v>
      </c>
      <c r="E52" s="272" t="s">
        <v>290</v>
      </c>
      <c r="F52" s="273">
        <v>15</v>
      </c>
      <c r="G52" s="274">
        <v>10859.86234716123</v>
      </c>
      <c r="H52" s="275">
        <f t="shared" si="3"/>
        <v>0.96502300196168744</v>
      </c>
      <c r="I52" s="274">
        <v>250</v>
      </c>
      <c r="J52" s="276" t="s">
        <v>264</v>
      </c>
      <c r="K52" s="277">
        <f t="shared" si="27"/>
        <v>0.75</v>
      </c>
      <c r="L52" s="278">
        <v>0.28000000000000003</v>
      </c>
      <c r="M52" s="278">
        <v>0.03</v>
      </c>
      <c r="N52" s="278">
        <v>0.9113</v>
      </c>
      <c r="O52" s="279">
        <v>15</v>
      </c>
      <c r="P52" s="280">
        <v>11253.475124515611</v>
      </c>
      <c r="Q52" s="281">
        <v>-11481.635000000002</v>
      </c>
      <c r="R52" s="282">
        <v>-4.84</v>
      </c>
      <c r="S52" s="282">
        <v>-9</v>
      </c>
      <c r="T52" s="281">
        <v>0</v>
      </c>
      <c r="U52" s="283">
        <v>0</v>
      </c>
      <c r="V52" s="284">
        <v>63637.429000000004</v>
      </c>
      <c r="W52" s="285">
        <v>0.15</v>
      </c>
      <c r="X52" s="286" t="s">
        <v>255</v>
      </c>
      <c r="Y52" s="287">
        <f t="shared" si="4"/>
        <v>15</v>
      </c>
      <c r="Z52" s="288">
        <f t="shared" si="5"/>
        <v>162897.93520741846</v>
      </c>
      <c r="AA52" s="288">
        <f t="shared" si="6"/>
        <v>3750</v>
      </c>
      <c r="AB52" s="288">
        <f t="shared" si="7"/>
        <v>169479.01178979815</v>
      </c>
      <c r="AC52" s="288">
        <f t="shared" si="28"/>
        <v>3880.1094000000007</v>
      </c>
      <c r="AD52" s="287">
        <f t="shared" si="8"/>
        <v>153829.37821456612</v>
      </c>
      <c r="AE52" s="287">
        <f t="shared" si="9"/>
        <v>115372.03366092459</v>
      </c>
      <c r="AF52" s="287">
        <f t="shared" si="10"/>
        <v>2307440.673218492</v>
      </c>
      <c r="AG52" s="287">
        <f t="shared" si="11"/>
        <v>1730580.5049138688</v>
      </c>
      <c r="AH52" s="287">
        <f t="shared" si="12"/>
        <v>-168248.48072604006</v>
      </c>
      <c r="AI52" s="287">
        <f t="shared" si="13"/>
        <v>-126186.36054453002</v>
      </c>
      <c r="AJ52" s="287">
        <f t="shared" si="14"/>
        <v>0</v>
      </c>
      <c r="AK52" s="287">
        <f t="shared" si="15"/>
        <v>0</v>
      </c>
      <c r="AL52" s="287">
        <f t="shared" si="16"/>
        <v>-70.923927360000008</v>
      </c>
      <c r="AM52" s="287">
        <f t="shared" si="17"/>
        <v>-53.192945519999995</v>
      </c>
      <c r="AN52" s="287">
        <f t="shared" si="18"/>
        <v>-131.88333600000001</v>
      </c>
      <c r="AO52" s="287">
        <f t="shared" si="19"/>
        <v>-98.912502000000003</v>
      </c>
      <c r="AP52" s="287">
        <f t="shared" si="20"/>
        <v>954561.43500000006</v>
      </c>
      <c r="AQ52" s="287">
        <f t="shared" si="21"/>
        <v>715921.07625000004</v>
      </c>
      <c r="AR52" s="287">
        <f t="shared" si="22"/>
        <v>0</v>
      </c>
      <c r="AS52" s="289" t="e">
        <f>IF(J52='2027 Avoided Costs'!#REF!,3,5)</f>
        <v>#REF!</v>
      </c>
      <c r="AT52" s="290" cm="1">
        <f t="array" ref="AT52">IFERROR(IF($J52="Baseload",IF($O52=1,0,NPV('2027 Avoided Costs'!$D$6,_xlfn._xlws.FILTER('2027 Avoided Costs'!$C$14:$C$47,('2027 Avoided Costs'!$B$14:$B$47&gt;=$B52+1)*('2027 Avoided Costs'!$B$14:$B$47&lt;$B52+ROUND($O52,0)))))+_xlfn.XLOOKUP($B52,'2027 Avoided Costs'!$B$13:$B$47,'2027 Avoided Costs'!$C$13:$C$47),IF($O52=1,0,NPV('2027 Avoided Costs'!$D$6,_xlfn._xlws.FILTER('2027 Avoided Costs'!$E$14:$E$47,('2027 Avoided Costs'!$B$14:$B$47&gt;=$B52+1)*('2027 Avoided Costs'!$B$14:$B$47&lt;$B52+ROUND($O52,0)))))+_xlfn.XLOOKUP($B52,'2027 Avoided Costs'!$B$13:$B$47,'2027 Avoided Costs'!$E$13:$E$47))*IF($AE52&gt;0,$AE52*(1+$W52),0),0)</f>
        <v>490452.55413495813</v>
      </c>
      <c r="AU52" s="290" cm="1">
        <f t="array" ref="AU52">IFERROR((IF($O52=1,0,NPV('2027 Avoided Costs'!$D$6,_xlfn._xlws.FILTER('2027 Avoided Costs'!$M$14:$M$47,('2027 Avoided Costs'!$B$14:$B$47&gt;=$B52+1)*('2027 Avoided Costs'!$B$14:$B$47&lt;$B52+ROUND($O52,0)))))+_xlfn.XLOOKUP($B52,'2027 Avoided Costs'!$B$13:$B$47,'2027 Avoided Costs'!$M$13:$M$47))*IF($AK52&gt;0,$AK52*(1+$W52),0),0)</f>
        <v>0</v>
      </c>
      <c r="AV52" s="291" cm="1">
        <f t="array" ref="AV52">IFERROR((IF($O52=1,0,NPV('2027 Avoided Costs'!$D$6,_xlfn._xlws.FILTER('2027 Avoided Costs'!$Q$14:$Q$47,('2027 Avoided Costs'!$B$14:$B$47&gt;=$B52+1)*('2027 Avoided Costs'!$B$14:$B$47&lt;$B52+ROUND($O52,0)))))+_xlfn.XLOOKUP($B52,'2027 Avoided Costs'!$B$13:$B$47,'2027 Avoided Costs'!$Q$13:$Q$47))*IF($AI52&gt;0,$AI52*(1+$W52),0),0)</f>
        <v>0</v>
      </c>
      <c r="AW52" s="291" cm="1">
        <f t="array" ref="AW52">IFERROR((IF($O52=1,0,NPV('2027 Avoided Costs'!$D$6,_xlfn._xlws.FILTER('2027 Avoided Costs'!$W$14:$W$47,('2027 Avoided Costs'!$B$14:$B$47&gt;=$B52+1)*('2027 Avoided Costs'!$B$14:$B$47&lt;$B52+ROUND($O52,0)))))+_xlfn.XLOOKUP($B52,'2027 Avoided Costs'!$B$13:$B$47,'2027 Avoided Costs'!$W$13:$W$47))*IF($AM52&gt;0,$AM52*(1+$W52),0),0)</f>
        <v>0</v>
      </c>
      <c r="AX52" s="291" cm="1">
        <f t="array" ref="AX52">IFERROR((IF($O52=1,0,NPV('2027 Avoided Costs'!$D$6,_xlfn._xlws.FILTER('2027 Avoided Costs'!$AC$14:$AC$47,('2027 Avoided Costs'!$B$14:$B$47&gt;=$B52+1)*('2027 Avoided Costs'!$B$14:$B$47&lt;$B52+ROUND($O52,0)))))+_xlfn.XLOOKUP($B52,'2027 Avoided Costs'!$B$13:$B$47,'2027 Avoided Costs'!$AC$13:$AC$47))*IF($AO52&gt;0,$AO52*(1+$W52),0),0)</f>
        <v>0</v>
      </c>
      <c r="AY52" s="291" cm="1">
        <f t="array" ref="AY52">IFERROR((IF($O52=1,0,NPV('2027 Avoided Costs'!$D$4,_xlfn._xlws.FILTER('2027 Avoided Costs'!$I$14:$I$47,('2027 Avoided Costs'!$B$14:$B$47&gt;=$B52+1)*('2027 Avoided Costs'!$B$14:$B$47&lt;$B52+ROUND($O52,0)))))+_xlfn.XLOOKUP($B52,'2027 Avoided Costs'!$B$13:$B$47,'2027 Avoided Costs'!$I$13:$I$47))*IF($X52="Residential",'2027 Avoided Costs'!$J$5,IF($X52="Large Volume",'2027 Avoided Costs'!$J$7,'2027 Avoided Costs'!$J$6))*IF($AE52&gt;0,$AE52,0),0)</f>
        <v>0</v>
      </c>
      <c r="AZ52" s="291" cm="1">
        <f t="array" ref="AZ52">IFERROR(IF($J52="Baseload",IF($O52=1,0,NPV('2027 Avoided Costs'!$D$6,_xlfn._xlws.FILTER('2027 Avoided Costs'!$C$14:$C$47,('2027 Avoided Costs'!$B$14:$B$47&gt;=$B52+1)*('2027 Avoided Costs'!$B$14:$B$47&lt;$B52+ROUND($O52,0)))))+_xlfn.XLOOKUP($B52,'2027 Avoided Costs'!$B$13:$B$47,'2027 Avoided Costs'!$C$13:$C$47),IF($O52=1,0,NPV('2027 Avoided Costs'!$D$6,_xlfn._xlws.FILTER('2027 Avoided Costs'!$E$14:$E$47,('2027 Avoided Costs'!$B$14:$B$47&gt;=$B52+1)*('2027 Avoided Costs'!$B$14:$B$47&lt;$B52+ROUND($O52,0)))))+_xlfn.XLOOKUP($B52,'2027 Avoided Costs'!$B$13:$B$47,'2027 Avoided Costs'!$E$13:$E$47))*IF($AE52&lt;0,$AE52*(-1),0),0)</f>
        <v>0</v>
      </c>
      <c r="BA52" s="291" cm="1">
        <f t="array" ref="BA52">IFERROR((IF($O52=1,0,NPV('2027 Avoided Costs'!$D$6,_xlfn._xlws.FILTER('2027 Avoided Costs'!$M$14:$M$47,('2027 Avoided Costs'!$B$14:$B$47&gt;=$B52+1)*('2027 Avoided Costs'!$B$14:$B$47&lt;$B52+ROUND($O52,0)))))+_xlfn.XLOOKUP($B52,'2027 Avoided Costs'!$B$13:$B$47,'2027 Avoided Costs'!$M$13:$M$47))*IF($AK52&lt;0,$AK52*(-1),0),0)</f>
        <v>0</v>
      </c>
      <c r="BB52" s="291" cm="1">
        <f t="array" ref="BB52">IFERROR((IF($O52=1,0,NPV('2027 Avoided Costs'!$D$6,_xlfn._xlws.FILTER('2027 Avoided Costs'!$S$14:$S$47,('2027 Avoided Costs'!$B$14:$B$47&gt;=$B52+1)*('2027 Avoided Costs'!$B$14:$B$47&lt;$B52+ROUND($O52,0)))))+_xlfn.XLOOKUP($B52,'2027 Avoided Costs'!$B$13:$B$47,'2027 Avoided Costs'!$S$13:$S$47))*IF($AI52&lt;0,$AI52*(-1),0),0)</f>
        <v>71646.718606070412</v>
      </c>
      <c r="BC52" s="291" cm="1">
        <f t="array" ref="BC52">IFERROR((IF($O52=1,0,NPV('2027 Avoided Costs'!$D$6,_xlfn._xlws.FILTER('2027 Avoided Costs'!$Y$14:$Y$47,('2027 Avoided Costs'!$B$14:$B$47&gt;=$B52+1)*('2027 Avoided Costs'!$B$14:$B$47&lt;$B52+ROUND($O52,0)))))+_xlfn.XLOOKUP($B52,'2027 Avoided Costs'!$B$13:$B$47,'2027 Avoided Costs'!$Y$13:$Y$47))*IF($AM52&lt;0,$AM52*(-1),0),0)</f>
        <v>187272.82471945582</v>
      </c>
      <c r="BD52" s="291" cm="1">
        <f t="array" ref="BD52">IFERROR((IF($O52=1,0,NPV('2027 Avoided Costs'!$D$6,_xlfn._xlws.FILTER('2027 Avoided Costs'!$AE$14:$AE$47,('2027 Avoided Costs'!$B$14:$B$47&gt;=$B52+1)*('2027 Avoided Costs'!$B$14:$B$47&lt;$B52+ROUND($O52,0)))))+_xlfn.XLOOKUP($B52,'2027 Avoided Costs'!$B$13:$B$47,'2027 Avoided Costs'!$AE$13:$AE$47))*IF($AO52&lt;0,$AO52*(-1),0),0)</f>
        <v>45874.998625394161</v>
      </c>
      <c r="BE52" s="291" cm="1">
        <f t="array" ref="BE52">IFERROR((IF($O52=1,0,NPV('2027 Avoided Costs'!$D$4,_xlfn._xlws.FILTER('2027 Avoided Costs'!$I$14:$I$47,('2027 Avoided Costs'!$B$14:$B$47&gt;=$B52+1)*('2027 Avoided Costs'!$B$14:$B$47&lt;$B52+ROUND($O52,0)))))+_xlfn.XLOOKUP($B52,'2027 Avoided Costs'!$B$13:$B$47,'2027 Avoided Costs'!$I$13:$I$47))*IF($X52="Residential",'2027 Avoided Costs'!$J$5,IF($X52="Large Volume",'2027 Avoided Costs'!$J$7,'2027 Avoided Costs'!$J$6))*IF($AE52&lt;0,$AE52*(-1),0),0)</f>
        <v>0</v>
      </c>
      <c r="BF52" s="291">
        <f t="shared" si="23"/>
        <v>490452.55413495813</v>
      </c>
      <c r="BG52" s="291">
        <f t="shared" si="24"/>
        <v>1020715.6182009204</v>
      </c>
      <c r="BH52" s="291">
        <f t="shared" si="25"/>
        <v>-530263.06406596233</v>
      </c>
      <c r="BI52" s="292">
        <f t="shared" si="29"/>
        <v>0.48049872598149679</v>
      </c>
      <c r="BJ52" s="196" cm="1">
        <f t="array" ref="BJ52">IFERROR(IF($J52="Baseload",IF($O52=1,0,NPV('2027 Avoided Costs'!$D$6,_xlfn._xlws.FILTER('2027 Avoided Costs'!$C$14:$C$47,('2027 Avoided Costs'!$B$14:$B$47&gt;=$B52+1)*('2027 Avoided Costs'!$B$14:$B$47&lt;$B52+ROUND($O52,0)))))+_xlfn.XLOOKUP($B52,'2027 Avoided Costs'!$B$13:$B$47,'2027 Avoided Costs'!$C$13:$C$47),IF($O52=1,0,NPV('2027 Avoided Costs'!$D$6,_xlfn._xlws.FILTER('2027 Avoided Costs'!$E$14:$E$47,('2027 Avoided Costs'!$B$14:$B$47&gt;=$B52+1)*('2027 Avoided Costs'!$B$14:$B$47&lt;$B52+ROUND($O52,0)))))+_xlfn.XLOOKUP($B52,'2027 Avoided Costs'!$B$13:$B$47,'2027 Avoided Costs'!$E$13:$E$47))*IF($AE52&gt;0,$AE52*(1+0),0),0)</f>
        <v>426480.48185648542</v>
      </c>
      <c r="BK52" s="293">
        <f t="shared" si="26"/>
        <v>2.4600983145822672</v>
      </c>
    </row>
    <row r="53" spans="1:63" s="56" customFormat="1" x14ac:dyDescent="0.25">
      <c r="A53" s="270" t="s">
        <v>133</v>
      </c>
      <c r="B53" s="271">
        <v>2029</v>
      </c>
      <c r="C53" s="272" t="s">
        <v>13</v>
      </c>
      <c r="D53" s="272" t="s">
        <v>9</v>
      </c>
      <c r="E53" s="272" t="s">
        <v>291</v>
      </c>
      <c r="F53" s="273">
        <v>312</v>
      </c>
      <c r="G53" s="274">
        <v>12642.132220950742</v>
      </c>
      <c r="H53" s="275">
        <f t="shared" si="3"/>
        <v>0.65</v>
      </c>
      <c r="I53" s="274">
        <v>250</v>
      </c>
      <c r="J53" s="276" t="s">
        <v>264</v>
      </c>
      <c r="K53" s="277">
        <f t="shared" si="27"/>
        <v>0.75</v>
      </c>
      <c r="L53" s="278">
        <v>0.28000000000000003</v>
      </c>
      <c r="M53" s="278">
        <v>0.03</v>
      </c>
      <c r="N53" s="278">
        <v>0.97609999999999997</v>
      </c>
      <c r="O53" s="279">
        <v>15</v>
      </c>
      <c r="P53" s="280">
        <v>19449.434186078062</v>
      </c>
      <c r="Q53" s="281">
        <v>5251.5509252669026</v>
      </c>
      <c r="R53" s="282">
        <v>3.200236189237637</v>
      </c>
      <c r="S53" s="282">
        <v>0.94524593662646406</v>
      </c>
      <c r="T53" s="281">
        <v>0</v>
      </c>
      <c r="U53" s="283">
        <v>1</v>
      </c>
      <c r="V53" s="284">
        <v>44468.599122338528</v>
      </c>
      <c r="W53" s="285">
        <v>0.15</v>
      </c>
      <c r="X53" s="286" t="s">
        <v>255</v>
      </c>
      <c r="Y53" s="287">
        <f t="shared" si="4"/>
        <v>312</v>
      </c>
      <c r="Z53" s="288">
        <f t="shared" si="5"/>
        <v>3944345.2529366314</v>
      </c>
      <c r="AA53" s="288">
        <f t="shared" si="6"/>
        <v>78000</v>
      </c>
      <c r="AB53" s="288">
        <f t="shared" si="7"/>
        <v>4103696.8011552715</v>
      </c>
      <c r="AC53" s="288">
        <f t="shared" si="28"/>
        <v>80706.27552000001</v>
      </c>
      <c r="AD53" s="287">
        <f t="shared" si="8"/>
        <v>5923192.925217608</v>
      </c>
      <c r="AE53" s="287">
        <f t="shared" si="9"/>
        <v>4442394.6939132065</v>
      </c>
      <c r="AF53" s="287">
        <f t="shared" si="10"/>
        <v>88847893.878264114</v>
      </c>
      <c r="AG53" s="287">
        <f t="shared" si="11"/>
        <v>66635920.408698097</v>
      </c>
      <c r="AH53" s="287">
        <f t="shared" si="12"/>
        <v>1714475.4606532927</v>
      </c>
      <c r="AI53" s="287">
        <f t="shared" si="13"/>
        <v>1285856.5954899697</v>
      </c>
      <c r="AJ53" s="287">
        <f t="shared" si="14"/>
        <v>0</v>
      </c>
      <c r="AK53" s="287">
        <f t="shared" si="15"/>
        <v>0</v>
      </c>
      <c r="AL53" s="287">
        <f t="shared" si="16"/>
        <v>1044.7821020537244</v>
      </c>
      <c r="AM53" s="287">
        <f t="shared" si="17"/>
        <v>783.58657654029344</v>
      </c>
      <c r="AN53" s="287">
        <f t="shared" si="18"/>
        <v>308.59473433478047</v>
      </c>
      <c r="AO53" s="287">
        <f t="shared" si="19"/>
        <v>231.44605075108532</v>
      </c>
      <c r="AP53" s="287">
        <f t="shared" si="20"/>
        <v>13874202.926169621</v>
      </c>
      <c r="AQ53" s="287">
        <f t="shared" si="21"/>
        <v>10405652.194627216</v>
      </c>
      <c r="AR53" s="287">
        <f t="shared" si="22"/>
        <v>4442394.6939132065</v>
      </c>
      <c r="AS53" s="289" t="e">
        <f>IF(J53='2027 Avoided Costs'!#REF!,3,5)</f>
        <v>#REF!</v>
      </c>
      <c r="AT53" s="290" cm="1">
        <f t="array" ref="AT53">IFERROR(IF($J53="Baseload",IF($O53=1,0,NPV('2027 Avoided Costs'!$D$6,_xlfn._xlws.FILTER('2027 Avoided Costs'!$C$14:$C$47,('2027 Avoided Costs'!$B$14:$B$47&gt;=$B53+1)*('2027 Avoided Costs'!$B$14:$B$47&lt;$B53+ROUND($O53,0)))))+_xlfn.XLOOKUP($B53,'2027 Avoided Costs'!$B$13:$B$47,'2027 Avoided Costs'!$C$13:$C$47),IF($O53=1,0,NPV('2027 Avoided Costs'!$D$6,_xlfn._xlws.FILTER('2027 Avoided Costs'!$E$14:$E$47,('2027 Avoided Costs'!$B$14:$B$47&gt;=$B53+1)*('2027 Avoided Costs'!$B$14:$B$47&lt;$B53+ROUND($O53,0)))))+_xlfn.XLOOKUP($B53,'2027 Avoided Costs'!$B$13:$B$47,'2027 Avoided Costs'!$E$13:$E$47))*IF($AE53&gt;0,$AE53*(1+$W53),0),0)</f>
        <v>18884852.376865499</v>
      </c>
      <c r="AU53" s="290" cm="1">
        <f t="array" ref="AU53">IFERROR((IF($O53=1,0,NPV('2027 Avoided Costs'!$D$6,_xlfn._xlws.FILTER('2027 Avoided Costs'!$M$14:$M$47,('2027 Avoided Costs'!$B$14:$B$47&gt;=$B53+1)*('2027 Avoided Costs'!$B$14:$B$47&lt;$B53+ROUND($O53,0)))))+_xlfn.XLOOKUP($B53,'2027 Avoided Costs'!$B$13:$B$47,'2027 Avoided Costs'!$M$13:$M$47))*IF($AK53&gt;0,$AK53*(1+$W53),0),0)</f>
        <v>0</v>
      </c>
      <c r="AV53" s="291" cm="1">
        <f t="array" ref="AV53">IFERROR((IF($O53=1,0,NPV('2027 Avoided Costs'!$D$6,_xlfn._xlws.FILTER('2027 Avoided Costs'!$Q$14:$Q$47,('2027 Avoided Costs'!$B$14:$B$47&gt;=$B53+1)*('2027 Avoided Costs'!$B$14:$B$47&lt;$B53+ROUND($O53,0)))))+_xlfn.XLOOKUP($B53,'2027 Avoided Costs'!$B$13:$B$47,'2027 Avoided Costs'!$Q$13:$Q$47))*IF($AI53&gt;0,$AI53*(1+$W53),0),0)</f>
        <v>839603.55190025829</v>
      </c>
      <c r="AW53" s="291" cm="1">
        <f t="array" ref="AW53">IFERROR((IF($O53=1,0,NPV('2027 Avoided Costs'!$D$6,_xlfn._xlws.FILTER('2027 Avoided Costs'!$W$14:$W$47,('2027 Avoided Costs'!$B$14:$B$47&gt;=$B53+1)*('2027 Avoided Costs'!$B$14:$B$47&lt;$B53+ROUND($O53,0)))))+_xlfn.XLOOKUP($B53,'2027 Avoided Costs'!$B$13:$B$47,'2027 Avoided Costs'!$W$13:$W$47))*IF($AM53&gt;0,$AM53*(1+$W53),0),0)</f>
        <v>3172528.6255795062</v>
      </c>
      <c r="AX53" s="291" cm="1">
        <f t="array" ref="AX53">IFERROR((IF($O53=1,0,NPV('2027 Avoided Costs'!$D$6,_xlfn._xlws.FILTER('2027 Avoided Costs'!$AC$14:$AC$47,('2027 Avoided Costs'!$B$14:$B$47&gt;=$B53+1)*('2027 Avoided Costs'!$B$14:$B$47&lt;$B53+ROUND($O53,0)))))+_xlfn.XLOOKUP($B53,'2027 Avoided Costs'!$B$13:$B$47,'2027 Avoided Costs'!$AC$13:$AC$47))*IF($AO53&gt;0,$AO53*(1+$W53),0),0)</f>
        <v>123444.71226769479</v>
      </c>
      <c r="AY53" s="291" cm="1">
        <f t="array" ref="AY53">IFERROR((IF($O53=1,0,NPV('2027 Avoided Costs'!$D$4,_xlfn._xlws.FILTER('2027 Avoided Costs'!$I$14:$I$47,('2027 Avoided Costs'!$B$14:$B$47&gt;=$B53+1)*('2027 Avoided Costs'!$B$14:$B$47&lt;$B53+ROUND($O53,0)))))+_xlfn.XLOOKUP($B53,'2027 Avoided Costs'!$B$13:$B$47,'2027 Avoided Costs'!$I$13:$I$47))*IF($X53="Residential",'2027 Avoided Costs'!$J$5,IF($X53="Large Volume",'2027 Avoided Costs'!$J$7,'2027 Avoided Costs'!$J$6))*IF($AE53&gt;0,$AE53,0),0)</f>
        <v>0</v>
      </c>
      <c r="AZ53" s="291" cm="1">
        <f t="array" ref="AZ53">IFERROR(IF($J53="Baseload",IF($O53=1,0,NPV('2027 Avoided Costs'!$D$6,_xlfn._xlws.FILTER('2027 Avoided Costs'!$C$14:$C$47,('2027 Avoided Costs'!$B$14:$B$47&gt;=$B53+1)*('2027 Avoided Costs'!$B$14:$B$47&lt;$B53+ROUND($O53,0)))))+_xlfn.XLOOKUP($B53,'2027 Avoided Costs'!$B$13:$B$47,'2027 Avoided Costs'!$C$13:$C$47),IF($O53=1,0,NPV('2027 Avoided Costs'!$D$6,_xlfn._xlws.FILTER('2027 Avoided Costs'!$E$14:$E$47,('2027 Avoided Costs'!$B$14:$B$47&gt;=$B53+1)*('2027 Avoided Costs'!$B$14:$B$47&lt;$B53+ROUND($O53,0)))))+_xlfn.XLOOKUP($B53,'2027 Avoided Costs'!$B$13:$B$47,'2027 Avoided Costs'!$E$13:$E$47))*IF($AE53&lt;0,$AE53*(-1),0),0)</f>
        <v>0</v>
      </c>
      <c r="BA53" s="291" cm="1">
        <f t="array" ref="BA53">IFERROR((IF($O53=1,0,NPV('2027 Avoided Costs'!$D$6,_xlfn._xlws.FILTER('2027 Avoided Costs'!$M$14:$M$47,('2027 Avoided Costs'!$B$14:$B$47&gt;=$B53+1)*('2027 Avoided Costs'!$B$14:$B$47&lt;$B53+ROUND($O53,0)))))+_xlfn.XLOOKUP($B53,'2027 Avoided Costs'!$B$13:$B$47,'2027 Avoided Costs'!$M$13:$M$47))*IF($AK53&lt;0,$AK53*(-1),0),0)</f>
        <v>0</v>
      </c>
      <c r="BB53" s="291" cm="1">
        <f t="array" ref="BB53">IFERROR((IF($O53=1,0,NPV('2027 Avoided Costs'!$D$6,_xlfn._xlws.FILTER('2027 Avoided Costs'!$S$14:$S$47,('2027 Avoided Costs'!$B$14:$B$47&gt;=$B53+1)*('2027 Avoided Costs'!$B$14:$B$47&lt;$B53+ROUND($O53,0)))))+_xlfn.XLOOKUP($B53,'2027 Avoided Costs'!$B$13:$B$47,'2027 Avoided Costs'!$S$13:$S$47))*IF($AI53&lt;0,$AI53*(-1),0),0)</f>
        <v>0</v>
      </c>
      <c r="BC53" s="291" cm="1">
        <f t="array" ref="BC53">IFERROR((IF($O53=1,0,NPV('2027 Avoided Costs'!$D$6,_xlfn._xlws.FILTER('2027 Avoided Costs'!$Y$14:$Y$47,('2027 Avoided Costs'!$B$14:$B$47&gt;=$B53+1)*('2027 Avoided Costs'!$B$14:$B$47&lt;$B53+ROUND($O53,0)))))+_xlfn.XLOOKUP($B53,'2027 Avoided Costs'!$B$13:$B$47,'2027 Avoided Costs'!$Y$13:$Y$47))*IF($AM53&lt;0,$AM53*(-1),0),0)</f>
        <v>0</v>
      </c>
      <c r="BD53" s="291" cm="1">
        <f t="array" ref="BD53">IFERROR((IF($O53=1,0,NPV('2027 Avoided Costs'!$D$6,_xlfn._xlws.FILTER('2027 Avoided Costs'!$AE$14:$AE$47,('2027 Avoided Costs'!$B$14:$B$47&gt;=$B53+1)*('2027 Avoided Costs'!$B$14:$B$47&lt;$B53+ROUND($O53,0)))))+_xlfn.XLOOKUP($B53,'2027 Avoided Costs'!$B$13:$B$47,'2027 Avoided Costs'!$AE$13:$AE$47))*IF($AO53&lt;0,$AO53*(-1),0),0)</f>
        <v>0</v>
      </c>
      <c r="BE53" s="291" cm="1">
        <f t="array" ref="BE53">IFERROR((IF($O53=1,0,NPV('2027 Avoided Costs'!$D$4,_xlfn._xlws.FILTER('2027 Avoided Costs'!$I$14:$I$47,('2027 Avoided Costs'!$B$14:$B$47&gt;=$B53+1)*('2027 Avoided Costs'!$B$14:$B$47&lt;$B53+ROUND($O53,0)))))+_xlfn.XLOOKUP($B53,'2027 Avoided Costs'!$B$13:$B$47,'2027 Avoided Costs'!$I$13:$I$47))*IF($X53="Residential",'2027 Avoided Costs'!$J$5,IF($X53="Large Volume",'2027 Avoided Costs'!$J$7,'2027 Avoided Costs'!$J$6))*IF($AE53&lt;0,$AE53*(-1),0),0)</f>
        <v>0</v>
      </c>
      <c r="BF53" s="291">
        <f t="shared" si="23"/>
        <v>23020429.266612958</v>
      </c>
      <c r="BG53" s="291">
        <f t="shared" si="24"/>
        <v>10405652.194627216</v>
      </c>
      <c r="BH53" s="291">
        <f t="shared" si="25"/>
        <v>12614777.071985742</v>
      </c>
      <c r="BI53" s="292">
        <f t="shared" si="29"/>
        <v>2.2123004724777529</v>
      </c>
      <c r="BJ53" s="196" cm="1">
        <f t="array" ref="BJ53">IFERROR(IF($J53="Baseload",IF($O53=1,0,NPV('2027 Avoided Costs'!$D$6,_xlfn._xlws.FILTER('2027 Avoided Costs'!$C$14:$C$47,('2027 Avoided Costs'!$B$14:$B$47&gt;=$B53+1)*('2027 Avoided Costs'!$B$14:$B$47&lt;$B53+ROUND($O53,0)))))+_xlfn.XLOOKUP($B53,'2027 Avoided Costs'!$B$13:$B$47,'2027 Avoided Costs'!$C$13:$C$47),IF($O53=1,0,NPV('2027 Avoided Costs'!$D$6,_xlfn._xlws.FILTER('2027 Avoided Costs'!$E$14:$E$47,('2027 Avoided Costs'!$B$14:$B$47&gt;=$B53+1)*('2027 Avoided Costs'!$B$14:$B$47&lt;$B53+ROUND($O53,0)))))+_xlfn.XLOOKUP($B53,'2027 Avoided Costs'!$B$13:$B$47,'2027 Avoided Costs'!$E$13:$E$47))*IF($AE53&gt;0,$AE53*(1+0),0),0)</f>
        <v>16421610.762491738</v>
      </c>
      <c r="BK53" s="293">
        <f t="shared" si="26"/>
        <v>3.9244810936186321</v>
      </c>
    </row>
    <row r="54" spans="1:63" s="56" customFormat="1" x14ac:dyDescent="0.25">
      <c r="A54" s="270" t="s">
        <v>133</v>
      </c>
      <c r="B54" s="271">
        <v>2029</v>
      </c>
      <c r="C54" s="272" t="s">
        <v>13</v>
      </c>
      <c r="D54" s="272" t="s">
        <v>9</v>
      </c>
      <c r="E54" s="272" t="s">
        <v>352</v>
      </c>
      <c r="F54" s="273">
        <v>128</v>
      </c>
      <c r="G54" s="274">
        <v>12642.132220950742</v>
      </c>
      <c r="H54" s="275">
        <f t="shared" si="3"/>
        <v>0.65</v>
      </c>
      <c r="I54" s="274">
        <v>250</v>
      </c>
      <c r="J54" s="276" t="s">
        <v>263</v>
      </c>
      <c r="K54" s="277">
        <f t="shared" si="27"/>
        <v>0.75</v>
      </c>
      <c r="L54" s="278">
        <v>0.28000000000000003</v>
      </c>
      <c r="M54" s="278">
        <v>0.03</v>
      </c>
      <c r="N54" s="278">
        <v>0.97609999999999997</v>
      </c>
      <c r="O54" s="279">
        <v>15</v>
      </c>
      <c r="P54" s="280">
        <v>19449.434186078062</v>
      </c>
      <c r="Q54" s="281">
        <v>5251.5509252669026</v>
      </c>
      <c r="R54" s="282">
        <v>0.59949211475649022</v>
      </c>
      <c r="S54" s="282">
        <v>0.59949211475649766</v>
      </c>
      <c r="T54" s="281">
        <v>0</v>
      </c>
      <c r="U54" s="283">
        <v>1</v>
      </c>
      <c r="V54" s="284">
        <v>44468.599122338528</v>
      </c>
      <c r="W54" s="285">
        <v>0.15</v>
      </c>
      <c r="X54" s="286" t="s">
        <v>255</v>
      </c>
      <c r="Y54" s="287">
        <f t="shared" si="4"/>
        <v>128</v>
      </c>
      <c r="Z54" s="288">
        <f t="shared" si="5"/>
        <v>1618192.9242816949</v>
      </c>
      <c r="AA54" s="288">
        <f t="shared" si="6"/>
        <v>32000</v>
      </c>
      <c r="AB54" s="288">
        <f t="shared" si="7"/>
        <v>1683567.9184226755</v>
      </c>
      <c r="AC54" s="288">
        <f t="shared" si="28"/>
        <v>33110.266880000003</v>
      </c>
      <c r="AD54" s="287">
        <f t="shared" si="8"/>
        <v>2430027.8667559419</v>
      </c>
      <c r="AE54" s="287">
        <f t="shared" si="9"/>
        <v>1822520.9000669564</v>
      </c>
      <c r="AF54" s="287">
        <f t="shared" si="10"/>
        <v>36450418.00133913</v>
      </c>
      <c r="AG54" s="287">
        <f t="shared" si="11"/>
        <v>27337813.501004346</v>
      </c>
      <c r="AH54" s="287">
        <f t="shared" si="12"/>
        <v>703374.54796032526</v>
      </c>
      <c r="AI54" s="287">
        <f t="shared" si="13"/>
        <v>527530.91097024397</v>
      </c>
      <c r="AJ54" s="287">
        <f t="shared" si="14"/>
        <v>0</v>
      </c>
      <c r="AK54" s="287">
        <f t="shared" si="15"/>
        <v>0</v>
      </c>
      <c r="AL54" s="287">
        <f t="shared" si="16"/>
        <v>80.293898168986161</v>
      </c>
      <c r="AM54" s="287">
        <f t="shared" si="17"/>
        <v>60.220423626739624</v>
      </c>
      <c r="AN54" s="287">
        <f t="shared" si="18"/>
        <v>80.29389816898717</v>
      </c>
      <c r="AO54" s="287">
        <f t="shared" si="19"/>
        <v>60.22042362674037</v>
      </c>
      <c r="AP54" s="287">
        <f t="shared" si="20"/>
        <v>5691980.6876593316</v>
      </c>
      <c r="AQ54" s="287">
        <f t="shared" si="21"/>
        <v>4268985.5157444989</v>
      </c>
      <c r="AR54" s="287">
        <f t="shared" si="22"/>
        <v>1822520.9000669564</v>
      </c>
      <c r="AS54" s="289" t="e">
        <f>IF(J54='2027 Avoided Costs'!#REF!,3,5)</f>
        <v>#REF!</v>
      </c>
      <c r="AT54" s="290" cm="1">
        <f t="array" ref="AT54">IFERROR(IF($J54="Baseload",IF($O54=1,0,NPV('2027 Avoided Costs'!$D$6,_xlfn._xlws.FILTER('2027 Avoided Costs'!$C$14:$C$47,('2027 Avoided Costs'!$B$14:$B$47&gt;=$B54+1)*('2027 Avoided Costs'!$B$14:$B$47&lt;$B54+ROUND($O54,0)))))+_xlfn.XLOOKUP($B54,'2027 Avoided Costs'!$B$13:$B$47,'2027 Avoided Costs'!$C$13:$C$47),IF($O54=1,0,NPV('2027 Avoided Costs'!$D$6,_xlfn._xlws.FILTER('2027 Avoided Costs'!$E$14:$E$47,('2027 Avoided Costs'!$B$14:$B$47&gt;=$B54+1)*('2027 Avoided Costs'!$B$14:$B$47&lt;$B54+ROUND($O54,0)))))+_xlfn.XLOOKUP($B54,'2027 Avoided Costs'!$B$13:$B$47,'2027 Avoided Costs'!$E$13:$E$47))*IF($AE54&gt;0,$AE54*(1+$W54),0),0)</f>
        <v>6920402.6483787084</v>
      </c>
      <c r="AU54" s="290" cm="1">
        <f t="array" ref="AU54">IFERROR((IF($O54=1,0,NPV('2027 Avoided Costs'!$D$6,_xlfn._xlws.FILTER('2027 Avoided Costs'!$M$14:$M$47,('2027 Avoided Costs'!$B$14:$B$47&gt;=$B54+1)*('2027 Avoided Costs'!$B$14:$B$47&lt;$B54+ROUND($O54,0)))))+_xlfn.XLOOKUP($B54,'2027 Avoided Costs'!$B$13:$B$47,'2027 Avoided Costs'!$M$13:$M$47))*IF($AK54&gt;0,$AK54*(1+$W54),0),0)</f>
        <v>0</v>
      </c>
      <c r="AV54" s="291" cm="1">
        <f t="array" ref="AV54">IFERROR((IF($O54=1,0,NPV('2027 Avoided Costs'!$D$6,_xlfn._xlws.FILTER('2027 Avoided Costs'!$Q$14:$Q$47,('2027 Avoided Costs'!$B$14:$B$47&gt;=$B54+1)*('2027 Avoided Costs'!$B$14:$B$47&lt;$B54+ROUND($O54,0)))))+_xlfn.XLOOKUP($B54,'2027 Avoided Costs'!$B$13:$B$47,'2027 Avoided Costs'!$Q$13:$Q$47))*IF($AI54&gt;0,$AI54*(1+$W54),0),0)</f>
        <v>344452.73924113152</v>
      </c>
      <c r="AW54" s="291" cm="1">
        <f t="array" ref="AW54">IFERROR((IF($O54=1,0,NPV('2027 Avoided Costs'!$D$6,_xlfn._xlws.FILTER('2027 Avoided Costs'!$W$14:$W$47,('2027 Avoided Costs'!$B$14:$B$47&gt;=$B54+1)*('2027 Avoided Costs'!$B$14:$B$47&lt;$B54+ROUND($O54,0)))))+_xlfn.XLOOKUP($B54,'2027 Avoided Costs'!$B$13:$B$47,'2027 Avoided Costs'!$W$13:$W$47))*IF($AM54&gt;0,$AM54*(1+$W54),0),0)</f>
        <v>243816.09323106069</v>
      </c>
      <c r="AX54" s="291" cm="1">
        <f t="array" ref="AX54">IFERROR((IF($O54=1,0,NPV('2027 Avoided Costs'!$D$6,_xlfn._xlws.FILTER('2027 Avoided Costs'!$AC$14:$AC$47,('2027 Avoided Costs'!$B$14:$B$47&gt;=$B54+1)*('2027 Avoided Costs'!$B$14:$B$47&lt;$B54+ROUND($O54,0)))))+_xlfn.XLOOKUP($B54,'2027 Avoided Costs'!$B$13:$B$47,'2027 Avoided Costs'!$AC$13:$AC$47))*IF($AO54&gt;0,$AO54*(1+$W54),0),0)</f>
        <v>32119.333395913629</v>
      </c>
      <c r="AY54" s="291" cm="1">
        <f t="array" ref="AY54">IFERROR((IF($O54=1,0,NPV('2027 Avoided Costs'!$D$4,_xlfn._xlws.FILTER('2027 Avoided Costs'!$I$14:$I$47,('2027 Avoided Costs'!$B$14:$B$47&gt;=$B54+1)*('2027 Avoided Costs'!$B$14:$B$47&lt;$B54+ROUND($O54,0)))))+_xlfn.XLOOKUP($B54,'2027 Avoided Costs'!$B$13:$B$47,'2027 Avoided Costs'!$I$13:$I$47))*IF($X54="Residential",'2027 Avoided Costs'!$J$5,IF($X54="Large Volume",'2027 Avoided Costs'!$J$7,'2027 Avoided Costs'!$J$6))*IF($AE54&gt;0,$AE54,0),0)</f>
        <v>0</v>
      </c>
      <c r="AZ54" s="291" cm="1">
        <f t="array" ref="AZ54">IFERROR(IF($J54="Baseload",IF($O54=1,0,NPV('2027 Avoided Costs'!$D$6,_xlfn._xlws.FILTER('2027 Avoided Costs'!$C$14:$C$47,('2027 Avoided Costs'!$B$14:$B$47&gt;=$B54+1)*('2027 Avoided Costs'!$B$14:$B$47&lt;$B54+ROUND($O54,0)))))+_xlfn.XLOOKUP($B54,'2027 Avoided Costs'!$B$13:$B$47,'2027 Avoided Costs'!$C$13:$C$47),IF($O54=1,0,NPV('2027 Avoided Costs'!$D$6,_xlfn._xlws.FILTER('2027 Avoided Costs'!$E$14:$E$47,('2027 Avoided Costs'!$B$14:$B$47&gt;=$B54+1)*('2027 Avoided Costs'!$B$14:$B$47&lt;$B54+ROUND($O54,0)))))+_xlfn.XLOOKUP($B54,'2027 Avoided Costs'!$B$13:$B$47,'2027 Avoided Costs'!$E$13:$E$47))*IF($AE54&lt;0,$AE54*(-1),0),0)</f>
        <v>0</v>
      </c>
      <c r="BA54" s="291" cm="1">
        <f t="array" ref="BA54">IFERROR((IF($O54=1,0,NPV('2027 Avoided Costs'!$D$6,_xlfn._xlws.FILTER('2027 Avoided Costs'!$M$14:$M$47,('2027 Avoided Costs'!$B$14:$B$47&gt;=$B54+1)*('2027 Avoided Costs'!$B$14:$B$47&lt;$B54+ROUND($O54,0)))))+_xlfn.XLOOKUP($B54,'2027 Avoided Costs'!$B$13:$B$47,'2027 Avoided Costs'!$M$13:$M$47))*IF($AK54&lt;0,$AK54*(-1),0),0)</f>
        <v>0</v>
      </c>
      <c r="BB54" s="291" cm="1">
        <f t="array" ref="BB54">IFERROR((IF($O54=1,0,NPV('2027 Avoided Costs'!$D$6,_xlfn._xlws.FILTER('2027 Avoided Costs'!$S$14:$S$47,('2027 Avoided Costs'!$B$14:$B$47&gt;=$B54+1)*('2027 Avoided Costs'!$B$14:$B$47&lt;$B54+ROUND($O54,0)))))+_xlfn.XLOOKUP($B54,'2027 Avoided Costs'!$B$13:$B$47,'2027 Avoided Costs'!$S$13:$S$47))*IF($AI54&lt;0,$AI54*(-1),0),0)</f>
        <v>0</v>
      </c>
      <c r="BC54" s="291" cm="1">
        <f t="array" ref="BC54">IFERROR((IF($O54=1,0,NPV('2027 Avoided Costs'!$D$6,_xlfn._xlws.FILTER('2027 Avoided Costs'!$Y$14:$Y$47,('2027 Avoided Costs'!$B$14:$B$47&gt;=$B54+1)*('2027 Avoided Costs'!$B$14:$B$47&lt;$B54+ROUND($O54,0)))))+_xlfn.XLOOKUP($B54,'2027 Avoided Costs'!$B$13:$B$47,'2027 Avoided Costs'!$Y$13:$Y$47))*IF($AM54&lt;0,$AM54*(-1),0),0)</f>
        <v>0</v>
      </c>
      <c r="BD54" s="291" cm="1">
        <f t="array" ref="BD54">IFERROR((IF($O54=1,0,NPV('2027 Avoided Costs'!$D$6,_xlfn._xlws.FILTER('2027 Avoided Costs'!$AE$14:$AE$47,('2027 Avoided Costs'!$B$14:$B$47&gt;=$B54+1)*('2027 Avoided Costs'!$B$14:$B$47&lt;$B54+ROUND($O54,0)))))+_xlfn.XLOOKUP($B54,'2027 Avoided Costs'!$B$13:$B$47,'2027 Avoided Costs'!$AE$13:$AE$47))*IF($AO54&lt;0,$AO54*(-1),0),0)</f>
        <v>0</v>
      </c>
      <c r="BE54" s="291" cm="1">
        <f t="array" ref="BE54">IFERROR((IF($O54=1,0,NPV('2027 Avoided Costs'!$D$4,_xlfn._xlws.FILTER('2027 Avoided Costs'!$I$14:$I$47,('2027 Avoided Costs'!$B$14:$B$47&gt;=$B54+1)*('2027 Avoided Costs'!$B$14:$B$47&lt;$B54+ROUND($O54,0)))))+_xlfn.XLOOKUP($B54,'2027 Avoided Costs'!$B$13:$B$47,'2027 Avoided Costs'!$I$13:$I$47))*IF($X54="Residential",'2027 Avoided Costs'!$J$5,IF($X54="Large Volume",'2027 Avoided Costs'!$J$7,'2027 Avoided Costs'!$J$6))*IF($AE54&lt;0,$AE54*(-1),0),0)</f>
        <v>0</v>
      </c>
      <c r="BF54" s="291">
        <f t="shared" si="23"/>
        <v>7540790.8142468138</v>
      </c>
      <c r="BG54" s="291">
        <f t="shared" si="24"/>
        <v>4268985.5157444989</v>
      </c>
      <c r="BH54" s="291">
        <f t="shared" si="25"/>
        <v>3271805.2985023148</v>
      </c>
      <c r="BI54" s="292">
        <f t="shared" si="29"/>
        <v>1.7664128365944389</v>
      </c>
      <c r="BJ54" s="196" cm="1">
        <f t="array" ref="BJ54">IFERROR(IF($J54="Baseload",IF($O54=1,0,NPV('2027 Avoided Costs'!$D$6,_xlfn._xlws.FILTER('2027 Avoided Costs'!$C$14:$C$47,('2027 Avoided Costs'!$B$14:$B$47&gt;=$B54+1)*('2027 Avoided Costs'!$B$14:$B$47&lt;$B54+ROUND($O54,0)))))+_xlfn.XLOOKUP($B54,'2027 Avoided Costs'!$B$13:$B$47,'2027 Avoided Costs'!$C$13:$C$47),IF($O54=1,0,NPV('2027 Avoided Costs'!$D$6,_xlfn._xlws.FILTER('2027 Avoided Costs'!$E$14:$E$47,('2027 Avoided Costs'!$B$14:$B$47&gt;=$B54+1)*('2027 Avoided Costs'!$B$14:$B$47&lt;$B54+ROUND($O54,0)))))+_xlfn.XLOOKUP($B54,'2027 Avoided Costs'!$B$13:$B$47,'2027 Avoided Costs'!$E$13:$E$47))*IF($AE54&gt;0,$AE54*(1+0),0),0)</f>
        <v>6017741.43337279</v>
      </c>
      <c r="BK54" s="293">
        <f t="shared" si="26"/>
        <v>3.5054569254118961</v>
      </c>
    </row>
    <row r="55" spans="1:63" s="56" customFormat="1" x14ac:dyDescent="0.25">
      <c r="A55" s="270" t="s">
        <v>133</v>
      </c>
      <c r="B55" s="271">
        <v>2029</v>
      </c>
      <c r="C55" s="272" t="s">
        <v>13</v>
      </c>
      <c r="D55" s="272" t="s">
        <v>9</v>
      </c>
      <c r="E55" s="272" t="s">
        <v>292</v>
      </c>
      <c r="F55" s="273">
        <v>13</v>
      </c>
      <c r="G55" s="274">
        <v>68349.547076333183</v>
      </c>
      <c r="H55" s="275">
        <f t="shared" si="3"/>
        <v>0.65</v>
      </c>
      <c r="I55" s="274">
        <v>250</v>
      </c>
      <c r="J55" s="276" t="s">
        <v>264</v>
      </c>
      <c r="K55" s="277">
        <f t="shared" si="27"/>
        <v>0.75</v>
      </c>
      <c r="L55" s="278">
        <v>0.28000000000000003</v>
      </c>
      <c r="M55" s="278">
        <v>0.03</v>
      </c>
      <c r="N55" s="278">
        <v>0.97609999999999997</v>
      </c>
      <c r="O55" s="279">
        <v>15</v>
      </c>
      <c r="P55" s="280">
        <v>105153.1493482049</v>
      </c>
      <c r="Q55" s="281">
        <v>-70757.72</v>
      </c>
      <c r="R55" s="282">
        <v>-42.5</v>
      </c>
      <c r="S55" s="282">
        <v>-75</v>
      </c>
      <c r="T55" s="281">
        <v>0</v>
      </c>
      <c r="U55" s="283">
        <v>1</v>
      </c>
      <c r="V55" s="284">
        <v>537297.5</v>
      </c>
      <c r="W55" s="285">
        <v>0.15</v>
      </c>
      <c r="X55" s="286" t="s">
        <v>255</v>
      </c>
      <c r="Y55" s="287">
        <f t="shared" si="4"/>
        <v>13</v>
      </c>
      <c r="Z55" s="288">
        <f t="shared" si="5"/>
        <v>888544.11199233134</v>
      </c>
      <c r="AA55" s="288">
        <f t="shared" si="6"/>
        <v>3250</v>
      </c>
      <c r="AB55" s="288">
        <f t="shared" si="7"/>
        <v>924441.29411682149</v>
      </c>
      <c r="AC55" s="288">
        <f t="shared" si="28"/>
        <v>3362.7614800000006</v>
      </c>
      <c r="AD55" s="287">
        <f t="shared" si="8"/>
        <v>1334319.8580241764</v>
      </c>
      <c r="AE55" s="287">
        <f t="shared" si="9"/>
        <v>1000739.8935181324</v>
      </c>
      <c r="AF55" s="287">
        <f t="shared" si="10"/>
        <v>20014797.870362647</v>
      </c>
      <c r="AG55" s="287">
        <f t="shared" si="11"/>
        <v>15011098.402771985</v>
      </c>
      <c r="AH55" s="287">
        <f t="shared" si="12"/>
        <v>-962512.28381651186</v>
      </c>
      <c r="AI55" s="287">
        <f t="shared" si="13"/>
        <v>-721884.21286238404</v>
      </c>
      <c r="AJ55" s="287">
        <f t="shared" si="14"/>
        <v>0</v>
      </c>
      <c r="AK55" s="287">
        <f t="shared" si="15"/>
        <v>0</v>
      </c>
      <c r="AL55" s="287">
        <f t="shared" si="16"/>
        <v>-578.12450799999988</v>
      </c>
      <c r="AM55" s="287">
        <f t="shared" si="17"/>
        <v>-433.59338100000002</v>
      </c>
      <c r="AN55" s="287">
        <f t="shared" si="18"/>
        <v>-1020.2197200000001</v>
      </c>
      <c r="AO55" s="287">
        <f t="shared" si="19"/>
        <v>-765.16479000000015</v>
      </c>
      <c r="AP55" s="287">
        <f t="shared" si="20"/>
        <v>6984867.5</v>
      </c>
      <c r="AQ55" s="287">
        <f t="shared" si="21"/>
        <v>5238650.625</v>
      </c>
      <c r="AR55" s="287">
        <f t="shared" si="22"/>
        <v>1000739.8935181324</v>
      </c>
      <c r="AS55" s="289" t="e">
        <f>IF(J55='2027 Avoided Costs'!#REF!,3,5)</f>
        <v>#REF!</v>
      </c>
      <c r="AT55" s="290" cm="1">
        <f t="array" ref="AT55">IFERROR(IF($J55="Baseload",IF($O55=1,0,NPV('2027 Avoided Costs'!$D$6,_xlfn._xlws.FILTER('2027 Avoided Costs'!$C$14:$C$47,('2027 Avoided Costs'!$B$14:$B$47&gt;=$B55+1)*('2027 Avoided Costs'!$B$14:$B$47&lt;$B55+ROUND($O55,0)))))+_xlfn.XLOOKUP($B55,'2027 Avoided Costs'!$B$13:$B$47,'2027 Avoided Costs'!$C$13:$C$47),IF($O55=1,0,NPV('2027 Avoided Costs'!$D$6,_xlfn._xlws.FILTER('2027 Avoided Costs'!$E$14:$E$47,('2027 Avoided Costs'!$B$14:$B$47&gt;=$B55+1)*('2027 Avoided Costs'!$B$14:$B$47&lt;$B55+ROUND($O55,0)))))+_xlfn.XLOOKUP($B55,'2027 Avoided Costs'!$B$13:$B$47,'2027 Avoided Costs'!$E$13:$E$47))*IF($AE55&gt;0,$AE55*(1+$W55),0),0)</f>
        <v>4254197.6701494921</v>
      </c>
      <c r="AU55" s="290" cm="1">
        <f t="array" ref="AU55">IFERROR((IF($O55=1,0,NPV('2027 Avoided Costs'!$D$6,_xlfn._xlws.FILTER('2027 Avoided Costs'!$M$14:$M$47,('2027 Avoided Costs'!$B$14:$B$47&gt;=$B55+1)*('2027 Avoided Costs'!$B$14:$B$47&lt;$B55+ROUND($O55,0)))))+_xlfn.XLOOKUP($B55,'2027 Avoided Costs'!$B$13:$B$47,'2027 Avoided Costs'!$M$13:$M$47))*IF($AK55&gt;0,$AK55*(1+$W55),0),0)</f>
        <v>0</v>
      </c>
      <c r="AV55" s="291" cm="1">
        <f t="array" ref="AV55">IFERROR((IF($O55=1,0,NPV('2027 Avoided Costs'!$D$6,_xlfn._xlws.FILTER('2027 Avoided Costs'!$Q$14:$Q$47,('2027 Avoided Costs'!$B$14:$B$47&gt;=$B55+1)*('2027 Avoided Costs'!$B$14:$B$47&lt;$B55+ROUND($O55,0)))))+_xlfn.XLOOKUP($B55,'2027 Avoided Costs'!$B$13:$B$47,'2027 Avoided Costs'!$Q$13:$Q$47))*IF($AI55&gt;0,$AI55*(1+$W55),0),0)</f>
        <v>0</v>
      </c>
      <c r="AW55" s="291" cm="1">
        <f t="array" ref="AW55">IFERROR((IF($O55=1,0,NPV('2027 Avoided Costs'!$D$6,_xlfn._xlws.FILTER('2027 Avoided Costs'!$W$14:$W$47,('2027 Avoided Costs'!$B$14:$B$47&gt;=$B55+1)*('2027 Avoided Costs'!$B$14:$B$47&lt;$B55+ROUND($O55,0)))))+_xlfn.XLOOKUP($B55,'2027 Avoided Costs'!$B$13:$B$47,'2027 Avoided Costs'!$W$13:$W$47))*IF($AM55&gt;0,$AM55*(1+$W55),0),0)</f>
        <v>0</v>
      </c>
      <c r="AX55" s="291" cm="1">
        <f t="array" ref="AX55">IFERROR((IF($O55=1,0,NPV('2027 Avoided Costs'!$D$6,_xlfn._xlws.FILTER('2027 Avoided Costs'!$AC$14:$AC$47,('2027 Avoided Costs'!$B$14:$B$47&gt;=$B55+1)*('2027 Avoided Costs'!$B$14:$B$47&lt;$B55+ROUND($O55,0)))))+_xlfn.XLOOKUP($B55,'2027 Avoided Costs'!$B$13:$B$47,'2027 Avoided Costs'!$AC$13:$AC$47))*IF($AO55&gt;0,$AO55*(1+$W55),0),0)</f>
        <v>0</v>
      </c>
      <c r="AY55" s="291" cm="1">
        <f t="array" ref="AY55">IFERROR((IF($O55=1,0,NPV('2027 Avoided Costs'!$D$4,_xlfn._xlws.FILTER('2027 Avoided Costs'!$I$14:$I$47,('2027 Avoided Costs'!$B$14:$B$47&gt;=$B55+1)*('2027 Avoided Costs'!$B$14:$B$47&lt;$B55+ROUND($O55,0)))))+_xlfn.XLOOKUP($B55,'2027 Avoided Costs'!$B$13:$B$47,'2027 Avoided Costs'!$I$13:$I$47))*IF($X55="Residential",'2027 Avoided Costs'!$J$5,IF($X55="Large Volume",'2027 Avoided Costs'!$J$7,'2027 Avoided Costs'!$J$6))*IF($AE55&gt;0,$AE55,0),0)</f>
        <v>0</v>
      </c>
      <c r="AZ55" s="291" cm="1">
        <f t="array" ref="AZ55">IFERROR(IF($J55="Baseload",IF($O55=1,0,NPV('2027 Avoided Costs'!$D$6,_xlfn._xlws.FILTER('2027 Avoided Costs'!$C$14:$C$47,('2027 Avoided Costs'!$B$14:$B$47&gt;=$B55+1)*('2027 Avoided Costs'!$B$14:$B$47&lt;$B55+ROUND($O55,0)))))+_xlfn.XLOOKUP($B55,'2027 Avoided Costs'!$B$13:$B$47,'2027 Avoided Costs'!$C$13:$C$47),IF($O55=1,0,NPV('2027 Avoided Costs'!$D$6,_xlfn._xlws.FILTER('2027 Avoided Costs'!$E$14:$E$47,('2027 Avoided Costs'!$B$14:$B$47&gt;=$B55+1)*('2027 Avoided Costs'!$B$14:$B$47&lt;$B55+ROUND($O55,0)))))+_xlfn.XLOOKUP($B55,'2027 Avoided Costs'!$B$13:$B$47,'2027 Avoided Costs'!$E$13:$E$47))*IF($AE55&lt;0,$AE55*(-1),0),0)</f>
        <v>0</v>
      </c>
      <c r="BA55" s="291" cm="1">
        <f t="array" ref="BA55">IFERROR((IF($O55=1,0,NPV('2027 Avoided Costs'!$D$6,_xlfn._xlws.FILTER('2027 Avoided Costs'!$M$14:$M$47,('2027 Avoided Costs'!$B$14:$B$47&gt;=$B55+1)*('2027 Avoided Costs'!$B$14:$B$47&lt;$B55+ROUND($O55,0)))))+_xlfn.XLOOKUP($B55,'2027 Avoided Costs'!$B$13:$B$47,'2027 Avoided Costs'!$M$13:$M$47))*IF($AK55&lt;0,$AK55*(-1),0),0)</f>
        <v>0</v>
      </c>
      <c r="BB55" s="291" cm="1">
        <f t="array" ref="BB55">IFERROR((IF($O55=1,0,NPV('2027 Avoided Costs'!$D$6,_xlfn._xlws.FILTER('2027 Avoided Costs'!$S$14:$S$47,('2027 Avoided Costs'!$B$14:$B$47&gt;=$B55+1)*('2027 Avoided Costs'!$B$14:$B$47&lt;$B55+ROUND($O55,0)))))+_xlfn.XLOOKUP($B55,'2027 Avoided Costs'!$B$13:$B$47,'2027 Avoided Costs'!$S$13:$S$47))*IF($AI55&lt;0,$AI55*(-1),0),0)</f>
        <v>409875.00425502902</v>
      </c>
      <c r="BC55" s="291" cm="1">
        <f t="array" ref="BC55">IFERROR((IF($O55=1,0,NPV('2027 Avoided Costs'!$D$6,_xlfn._xlws.FILTER('2027 Avoided Costs'!$Y$14:$Y$47,('2027 Avoided Costs'!$B$14:$B$47&gt;=$B55+1)*('2027 Avoided Costs'!$B$14:$B$47&lt;$B55+ROUND($O55,0)))))+_xlfn.XLOOKUP($B55,'2027 Avoided Costs'!$B$13:$B$47,'2027 Avoided Costs'!$Y$13:$Y$47))*IF($AM55&lt;0,$AM55*(-1),0),0)</f>
        <v>1526523.0463501739</v>
      </c>
      <c r="BD55" s="291" cm="1">
        <f t="array" ref="BD55">IFERROR((IF($O55=1,0,NPV('2027 Avoided Costs'!$D$6,_xlfn._xlws.FILTER('2027 Avoided Costs'!$AE$14:$AE$47,('2027 Avoided Costs'!$B$14:$B$47&gt;=$B55+1)*('2027 Avoided Costs'!$B$14:$B$47&lt;$B55+ROUND($O55,0)))))+_xlfn.XLOOKUP($B55,'2027 Avoided Costs'!$B$13:$B$47,'2027 Avoided Costs'!$AE$13:$AE$47))*IF($AO55&lt;0,$AO55*(-1),0),0)</f>
        <v>354878.63495203078</v>
      </c>
      <c r="BE55" s="291" cm="1">
        <f t="array" ref="BE55">IFERROR((IF($O55=1,0,NPV('2027 Avoided Costs'!$D$4,_xlfn._xlws.FILTER('2027 Avoided Costs'!$I$14:$I$47,('2027 Avoided Costs'!$B$14:$B$47&gt;=$B55+1)*('2027 Avoided Costs'!$B$14:$B$47&lt;$B55+ROUND($O55,0)))))+_xlfn.XLOOKUP($B55,'2027 Avoided Costs'!$B$13:$B$47,'2027 Avoided Costs'!$I$13:$I$47))*IF($X55="Residential",'2027 Avoided Costs'!$J$5,IF($X55="Large Volume",'2027 Avoided Costs'!$J$7,'2027 Avoided Costs'!$J$6))*IF($AE55&lt;0,$AE55*(-1),0),0)</f>
        <v>0</v>
      </c>
      <c r="BF55" s="291">
        <f t="shared" si="23"/>
        <v>4254197.6701494921</v>
      </c>
      <c r="BG55" s="291">
        <f t="shared" si="24"/>
        <v>7529927.3105572332</v>
      </c>
      <c r="BH55" s="291">
        <f t="shared" si="25"/>
        <v>-3275729.6404077411</v>
      </c>
      <c r="BI55" s="292">
        <f t="shared" si="29"/>
        <v>0.56497194391039496</v>
      </c>
      <c r="BJ55" s="196" cm="1">
        <f t="array" ref="BJ55">IFERROR(IF($J55="Baseload",IF($O55=1,0,NPV('2027 Avoided Costs'!$D$6,_xlfn._xlws.FILTER('2027 Avoided Costs'!$C$14:$C$47,('2027 Avoided Costs'!$B$14:$B$47&gt;=$B55+1)*('2027 Avoided Costs'!$B$14:$B$47&lt;$B55+ROUND($O55,0)))))+_xlfn.XLOOKUP($B55,'2027 Avoided Costs'!$B$13:$B$47,'2027 Avoided Costs'!$C$13:$C$47),IF($O55=1,0,NPV('2027 Avoided Costs'!$D$6,_xlfn._xlws.FILTER('2027 Avoided Costs'!$E$14:$E$47,('2027 Avoided Costs'!$B$14:$B$47&gt;=$B55+1)*('2027 Avoided Costs'!$B$14:$B$47&lt;$B55+ROUND($O55,0)))))+_xlfn.XLOOKUP($B55,'2027 Avoided Costs'!$B$13:$B$47,'2027 Avoided Costs'!$E$13:$E$47))*IF($AE55&gt;0,$AE55*(1+0),0),0)</f>
        <v>3699302.3218691237</v>
      </c>
      <c r="BK55" s="293">
        <f t="shared" si="26"/>
        <v>3.987159033799978</v>
      </c>
    </row>
    <row r="56" spans="1:63" s="56" customFormat="1" x14ac:dyDescent="0.25">
      <c r="A56" s="270" t="s">
        <v>133</v>
      </c>
      <c r="B56" s="271">
        <v>2029</v>
      </c>
      <c r="C56" s="272" t="s">
        <v>13</v>
      </c>
      <c r="D56" s="272" t="s">
        <v>9</v>
      </c>
      <c r="E56" s="272" t="s">
        <v>293</v>
      </c>
      <c r="F56" s="273">
        <v>172</v>
      </c>
      <c r="G56" s="274">
        <v>3275.9884728741454</v>
      </c>
      <c r="H56" s="275">
        <f t="shared" si="3"/>
        <v>0.96502300196168744</v>
      </c>
      <c r="I56" s="274">
        <v>250</v>
      </c>
      <c r="J56" s="276" t="s">
        <v>264</v>
      </c>
      <c r="K56" s="277">
        <f t="shared" si="27"/>
        <v>0.75</v>
      </c>
      <c r="L56" s="278">
        <v>0.28000000000000003</v>
      </c>
      <c r="M56" s="278">
        <v>0.03</v>
      </c>
      <c r="N56" s="278">
        <v>0.97609999999999997</v>
      </c>
      <c r="O56" s="279">
        <v>15</v>
      </c>
      <c r="P56" s="280">
        <v>3394.7257901778034</v>
      </c>
      <c r="Q56" s="281">
        <v>2062.1588461538463</v>
      </c>
      <c r="R56" s="282">
        <v>1.256656454699173</v>
      </c>
      <c r="S56" s="282">
        <v>0.37117554370972283</v>
      </c>
      <c r="T56" s="281">
        <v>0</v>
      </c>
      <c r="U56" s="283">
        <v>0</v>
      </c>
      <c r="V56" s="284">
        <v>9444.9610298547086</v>
      </c>
      <c r="W56" s="285">
        <v>0.15</v>
      </c>
      <c r="X56" s="286" t="s">
        <v>255</v>
      </c>
      <c r="Y56" s="287">
        <f t="shared" si="4"/>
        <v>172</v>
      </c>
      <c r="Z56" s="288">
        <f t="shared" si="5"/>
        <v>563470.01733435295</v>
      </c>
      <c r="AA56" s="288">
        <f t="shared" si="6"/>
        <v>43000</v>
      </c>
      <c r="AB56" s="288">
        <f t="shared" si="7"/>
        <v>586234.20603466081</v>
      </c>
      <c r="AC56" s="288">
        <f t="shared" si="28"/>
        <v>44491.921120000006</v>
      </c>
      <c r="AD56" s="287">
        <f t="shared" si="8"/>
        <v>569937.79713231931</v>
      </c>
      <c r="AE56" s="287">
        <f t="shared" si="9"/>
        <v>427453.34784923948</v>
      </c>
      <c r="AF56" s="287">
        <f t="shared" si="10"/>
        <v>8549066.95698479</v>
      </c>
      <c r="AG56" s="287">
        <f t="shared" si="11"/>
        <v>6411800.2177385921</v>
      </c>
      <c r="AH56" s="287">
        <f t="shared" si="12"/>
        <v>371141.62127835816</v>
      </c>
      <c r="AI56" s="287">
        <f t="shared" si="13"/>
        <v>278356.21595876862</v>
      </c>
      <c r="AJ56" s="287">
        <f t="shared" si="14"/>
        <v>0</v>
      </c>
      <c r="AK56" s="287">
        <f t="shared" si="15"/>
        <v>0</v>
      </c>
      <c r="AL56" s="287">
        <f t="shared" si="16"/>
        <v>226.16953822778856</v>
      </c>
      <c r="AM56" s="287">
        <f t="shared" si="17"/>
        <v>169.62715367084144</v>
      </c>
      <c r="AN56" s="287">
        <f t="shared" si="18"/>
        <v>66.803143379685721</v>
      </c>
      <c r="AO56" s="287">
        <f t="shared" si="19"/>
        <v>50.10235753476428</v>
      </c>
      <c r="AP56" s="287">
        <f t="shared" si="20"/>
        <v>1624533.2971350099</v>
      </c>
      <c r="AQ56" s="287">
        <f t="shared" si="21"/>
        <v>1218399.9728512573</v>
      </c>
      <c r="AR56" s="287">
        <f t="shared" si="22"/>
        <v>0</v>
      </c>
      <c r="AS56" s="289" t="e">
        <f>IF(J56='2027 Avoided Costs'!#REF!,3,5)</f>
        <v>#REF!</v>
      </c>
      <c r="AT56" s="290" cm="1">
        <f t="array" ref="AT56">IFERROR(IF($J56="Baseload",IF($O56=1,0,NPV('2027 Avoided Costs'!$D$6,_xlfn._xlws.FILTER('2027 Avoided Costs'!$C$14:$C$47,('2027 Avoided Costs'!$B$14:$B$47&gt;=$B56+1)*('2027 Avoided Costs'!$B$14:$B$47&lt;$B56+ROUND($O56,0)))))+_xlfn.XLOOKUP($B56,'2027 Avoided Costs'!$B$13:$B$47,'2027 Avoided Costs'!$C$13:$C$47),IF($O56=1,0,NPV('2027 Avoided Costs'!$D$6,_xlfn._xlws.FILTER('2027 Avoided Costs'!$E$14:$E$47,('2027 Avoided Costs'!$B$14:$B$47&gt;=$B56+1)*('2027 Avoided Costs'!$B$14:$B$47&lt;$B56+ROUND($O56,0)))))+_xlfn.XLOOKUP($B56,'2027 Avoided Costs'!$B$13:$B$47,'2027 Avoided Costs'!$E$13:$E$47))*IF($AE56&gt;0,$AE56*(1+$W56),0),0)</f>
        <v>1817126.55635716</v>
      </c>
      <c r="AU56" s="290" cm="1">
        <f t="array" ref="AU56">IFERROR((IF($O56=1,0,NPV('2027 Avoided Costs'!$D$6,_xlfn._xlws.FILTER('2027 Avoided Costs'!$M$14:$M$47,('2027 Avoided Costs'!$B$14:$B$47&gt;=$B56+1)*('2027 Avoided Costs'!$B$14:$B$47&lt;$B56+ROUND($O56,0)))))+_xlfn.XLOOKUP($B56,'2027 Avoided Costs'!$B$13:$B$47,'2027 Avoided Costs'!$M$13:$M$47))*IF($AK56&gt;0,$AK56*(1+$W56),0),0)</f>
        <v>0</v>
      </c>
      <c r="AV56" s="291" cm="1">
        <f t="array" ref="AV56">IFERROR((IF($O56=1,0,NPV('2027 Avoided Costs'!$D$6,_xlfn._xlws.FILTER('2027 Avoided Costs'!$Q$14:$Q$47,('2027 Avoided Costs'!$B$14:$B$47&gt;=$B56+1)*('2027 Avoided Costs'!$B$14:$B$47&lt;$B56+ROUND($O56,0)))))+_xlfn.XLOOKUP($B56,'2027 Avoided Costs'!$B$13:$B$47,'2027 Avoided Costs'!$Q$13:$Q$47))*IF($AI56&gt;0,$AI56*(1+$W56),0),0)</f>
        <v>181753.44624914706</v>
      </c>
      <c r="AW56" s="291" cm="1">
        <f t="array" ref="AW56">IFERROR((IF($O56=1,0,NPV('2027 Avoided Costs'!$D$6,_xlfn._xlws.FILTER('2027 Avoided Costs'!$W$14:$W$47,('2027 Avoided Costs'!$B$14:$B$47&gt;=$B56+1)*('2027 Avoided Costs'!$B$14:$B$47&lt;$B56+ROUND($O56,0)))))+_xlfn.XLOOKUP($B56,'2027 Avoided Costs'!$B$13:$B$47,'2027 Avoided Costs'!$W$13:$W$47))*IF($AM56&gt;0,$AM56*(1+$W56),0),0)</f>
        <v>686774.14443768968</v>
      </c>
      <c r="AX56" s="291" cm="1">
        <f t="array" ref="AX56">IFERROR((IF($O56=1,0,NPV('2027 Avoided Costs'!$D$6,_xlfn._xlws.FILTER('2027 Avoided Costs'!$AC$14:$AC$47,('2027 Avoided Costs'!$B$14:$B$47&gt;=$B56+1)*('2027 Avoided Costs'!$B$14:$B$47&lt;$B56+ROUND($O56,0)))))+_xlfn.XLOOKUP($B56,'2027 Avoided Costs'!$B$13:$B$47,'2027 Avoided Costs'!$AC$13:$AC$47))*IF($AO56&gt;0,$AO56*(1+$W56),0),0)</f>
        <v>26722.733396146075</v>
      </c>
      <c r="AY56" s="291" cm="1">
        <f t="array" ref="AY56">IFERROR((IF($O56=1,0,NPV('2027 Avoided Costs'!$D$4,_xlfn._xlws.FILTER('2027 Avoided Costs'!$I$14:$I$47,('2027 Avoided Costs'!$B$14:$B$47&gt;=$B56+1)*('2027 Avoided Costs'!$B$14:$B$47&lt;$B56+ROUND($O56,0)))))+_xlfn.XLOOKUP($B56,'2027 Avoided Costs'!$B$13:$B$47,'2027 Avoided Costs'!$I$13:$I$47))*IF($X56="Residential",'2027 Avoided Costs'!$J$5,IF($X56="Large Volume",'2027 Avoided Costs'!$J$7,'2027 Avoided Costs'!$J$6))*IF($AE56&gt;0,$AE56,0),0)</f>
        <v>0</v>
      </c>
      <c r="AZ56" s="291" cm="1">
        <f t="array" ref="AZ56">IFERROR(IF($J56="Baseload",IF($O56=1,0,NPV('2027 Avoided Costs'!$D$6,_xlfn._xlws.FILTER('2027 Avoided Costs'!$C$14:$C$47,('2027 Avoided Costs'!$B$14:$B$47&gt;=$B56+1)*('2027 Avoided Costs'!$B$14:$B$47&lt;$B56+ROUND($O56,0)))))+_xlfn.XLOOKUP($B56,'2027 Avoided Costs'!$B$13:$B$47,'2027 Avoided Costs'!$C$13:$C$47),IF($O56=1,0,NPV('2027 Avoided Costs'!$D$6,_xlfn._xlws.FILTER('2027 Avoided Costs'!$E$14:$E$47,('2027 Avoided Costs'!$B$14:$B$47&gt;=$B56+1)*('2027 Avoided Costs'!$B$14:$B$47&lt;$B56+ROUND($O56,0)))))+_xlfn.XLOOKUP($B56,'2027 Avoided Costs'!$B$13:$B$47,'2027 Avoided Costs'!$E$13:$E$47))*IF($AE56&lt;0,$AE56*(-1),0),0)</f>
        <v>0</v>
      </c>
      <c r="BA56" s="291" cm="1">
        <f t="array" ref="BA56">IFERROR((IF($O56=1,0,NPV('2027 Avoided Costs'!$D$6,_xlfn._xlws.FILTER('2027 Avoided Costs'!$M$14:$M$47,('2027 Avoided Costs'!$B$14:$B$47&gt;=$B56+1)*('2027 Avoided Costs'!$B$14:$B$47&lt;$B56+ROUND($O56,0)))))+_xlfn.XLOOKUP($B56,'2027 Avoided Costs'!$B$13:$B$47,'2027 Avoided Costs'!$M$13:$M$47))*IF($AK56&lt;0,$AK56*(-1),0),0)</f>
        <v>0</v>
      </c>
      <c r="BB56" s="291" cm="1">
        <f t="array" ref="BB56">IFERROR((IF($O56=1,0,NPV('2027 Avoided Costs'!$D$6,_xlfn._xlws.FILTER('2027 Avoided Costs'!$S$14:$S$47,('2027 Avoided Costs'!$B$14:$B$47&gt;=$B56+1)*('2027 Avoided Costs'!$B$14:$B$47&lt;$B56+ROUND($O56,0)))))+_xlfn.XLOOKUP($B56,'2027 Avoided Costs'!$B$13:$B$47,'2027 Avoided Costs'!$S$13:$S$47))*IF($AI56&lt;0,$AI56*(-1),0),0)</f>
        <v>0</v>
      </c>
      <c r="BC56" s="291" cm="1">
        <f t="array" ref="BC56">IFERROR((IF($O56=1,0,NPV('2027 Avoided Costs'!$D$6,_xlfn._xlws.FILTER('2027 Avoided Costs'!$Y$14:$Y$47,('2027 Avoided Costs'!$B$14:$B$47&gt;=$B56+1)*('2027 Avoided Costs'!$B$14:$B$47&lt;$B56+ROUND($O56,0)))))+_xlfn.XLOOKUP($B56,'2027 Avoided Costs'!$B$13:$B$47,'2027 Avoided Costs'!$Y$13:$Y$47))*IF($AM56&lt;0,$AM56*(-1),0),0)</f>
        <v>0</v>
      </c>
      <c r="BD56" s="291" cm="1">
        <f t="array" ref="BD56">IFERROR((IF($O56=1,0,NPV('2027 Avoided Costs'!$D$6,_xlfn._xlws.FILTER('2027 Avoided Costs'!$AE$14:$AE$47,('2027 Avoided Costs'!$B$14:$B$47&gt;=$B56+1)*('2027 Avoided Costs'!$B$14:$B$47&lt;$B56+ROUND($O56,0)))))+_xlfn.XLOOKUP($B56,'2027 Avoided Costs'!$B$13:$B$47,'2027 Avoided Costs'!$AE$13:$AE$47))*IF($AO56&lt;0,$AO56*(-1),0),0)</f>
        <v>0</v>
      </c>
      <c r="BE56" s="291" cm="1">
        <f t="array" ref="BE56">IFERROR((IF($O56=1,0,NPV('2027 Avoided Costs'!$D$4,_xlfn._xlws.FILTER('2027 Avoided Costs'!$I$14:$I$47,('2027 Avoided Costs'!$B$14:$B$47&gt;=$B56+1)*('2027 Avoided Costs'!$B$14:$B$47&lt;$B56+ROUND($O56,0)))))+_xlfn.XLOOKUP($B56,'2027 Avoided Costs'!$B$13:$B$47,'2027 Avoided Costs'!$I$13:$I$47))*IF($X56="Residential",'2027 Avoided Costs'!$J$5,IF($X56="Large Volume",'2027 Avoided Costs'!$J$7,'2027 Avoided Costs'!$J$6))*IF($AE56&lt;0,$AE56*(-1),0),0)</f>
        <v>0</v>
      </c>
      <c r="BF56" s="291">
        <f t="shared" si="23"/>
        <v>2712376.8804401429</v>
      </c>
      <c r="BG56" s="291">
        <f t="shared" si="24"/>
        <v>1218399.9728512573</v>
      </c>
      <c r="BH56" s="291">
        <f t="shared" si="25"/>
        <v>1493976.9075888856</v>
      </c>
      <c r="BI56" s="292">
        <f t="shared" si="29"/>
        <v>2.2261793671028509</v>
      </c>
      <c r="BJ56" s="196" cm="1">
        <f t="array" ref="BJ56">IFERROR(IF($J56="Baseload",IF($O56=1,0,NPV('2027 Avoided Costs'!$D$6,_xlfn._xlws.FILTER('2027 Avoided Costs'!$C$14:$C$47,('2027 Avoided Costs'!$B$14:$B$47&gt;=$B56+1)*('2027 Avoided Costs'!$B$14:$B$47&lt;$B56+ROUND($O56,0)))))+_xlfn.XLOOKUP($B56,'2027 Avoided Costs'!$B$13:$B$47,'2027 Avoided Costs'!$C$13:$C$47),IF($O56=1,0,NPV('2027 Avoided Costs'!$D$6,_xlfn._xlws.FILTER('2027 Avoided Costs'!$E$14:$E$47,('2027 Avoided Costs'!$B$14:$B$47&gt;=$B56+1)*('2027 Avoided Costs'!$B$14:$B$47&lt;$B56+ROUND($O56,0)))))+_xlfn.XLOOKUP($B56,'2027 Avoided Costs'!$B$13:$B$47,'2027 Avoided Costs'!$E$13:$E$47))*IF($AE56&gt;0,$AE56*(1+0),0),0)</f>
        <v>1580110.0490062262</v>
      </c>
      <c r="BK56" s="293">
        <f t="shared" si="26"/>
        <v>2.5052237111762556</v>
      </c>
    </row>
    <row r="57" spans="1:63" s="56" customFormat="1" x14ac:dyDescent="0.25">
      <c r="A57" s="270" t="s">
        <v>133</v>
      </c>
      <c r="B57" s="271">
        <v>2029</v>
      </c>
      <c r="C57" s="272" t="s">
        <v>13</v>
      </c>
      <c r="D57" s="272" t="s">
        <v>9</v>
      </c>
      <c r="E57" s="272" t="s">
        <v>353</v>
      </c>
      <c r="F57" s="273">
        <v>70</v>
      </c>
      <c r="G57" s="274">
        <v>3275.9884728741454</v>
      </c>
      <c r="H57" s="275">
        <f t="shared" si="3"/>
        <v>0.96502300196168744</v>
      </c>
      <c r="I57" s="274">
        <v>250</v>
      </c>
      <c r="J57" s="276" t="s">
        <v>263</v>
      </c>
      <c r="K57" s="277">
        <f t="shared" si="27"/>
        <v>0.75</v>
      </c>
      <c r="L57" s="278">
        <v>0.28000000000000003</v>
      </c>
      <c r="M57" s="278">
        <v>0.03</v>
      </c>
      <c r="N57" s="278">
        <v>0.97609999999999997</v>
      </c>
      <c r="O57" s="279">
        <v>15</v>
      </c>
      <c r="P57" s="280">
        <v>3394.7257901778034</v>
      </c>
      <c r="Q57" s="281">
        <v>2062.1588461538463</v>
      </c>
      <c r="R57" s="282">
        <v>0.2354062609764643</v>
      </c>
      <c r="S57" s="282">
        <v>0.23540626097646722</v>
      </c>
      <c r="T57" s="281">
        <v>0</v>
      </c>
      <c r="U57" s="283">
        <v>0</v>
      </c>
      <c r="V57" s="284">
        <v>9444.9610298547086</v>
      </c>
      <c r="W57" s="285">
        <v>0.15</v>
      </c>
      <c r="X57" s="286" t="s">
        <v>255</v>
      </c>
      <c r="Y57" s="287">
        <f t="shared" si="4"/>
        <v>70</v>
      </c>
      <c r="Z57" s="288">
        <f t="shared" si="5"/>
        <v>229319.19310119018</v>
      </c>
      <c r="AA57" s="288">
        <f t="shared" si="6"/>
        <v>17500</v>
      </c>
      <c r="AB57" s="288">
        <f t="shared" si="7"/>
        <v>238583.68850247827</v>
      </c>
      <c r="AC57" s="288">
        <f t="shared" si="28"/>
        <v>18107.177200000002</v>
      </c>
      <c r="AD57" s="287">
        <f t="shared" si="8"/>
        <v>231951.42906547876</v>
      </c>
      <c r="AE57" s="287">
        <f t="shared" si="9"/>
        <v>173963.57179910908</v>
      </c>
      <c r="AF57" s="287">
        <f t="shared" si="10"/>
        <v>3479271.4359821812</v>
      </c>
      <c r="AG57" s="287">
        <f t="shared" si="11"/>
        <v>2609453.576986636</v>
      </c>
      <c r="AH57" s="287">
        <f t="shared" si="12"/>
        <v>151046.00865979693</v>
      </c>
      <c r="AI57" s="287">
        <f t="shared" si="13"/>
        <v>113284.50649484769</v>
      </c>
      <c r="AJ57" s="287">
        <f t="shared" si="14"/>
        <v>0</v>
      </c>
      <c r="AK57" s="287">
        <f t="shared" si="15"/>
        <v>0</v>
      </c>
      <c r="AL57" s="287">
        <f t="shared" si="16"/>
        <v>17.242695052488077</v>
      </c>
      <c r="AM57" s="287">
        <f t="shared" si="17"/>
        <v>12.932021289366055</v>
      </c>
      <c r="AN57" s="287">
        <f t="shared" si="18"/>
        <v>17.24269505248829</v>
      </c>
      <c r="AO57" s="287">
        <f t="shared" si="19"/>
        <v>12.932021289366217</v>
      </c>
      <c r="AP57" s="287">
        <f t="shared" si="20"/>
        <v>661147.27208982955</v>
      </c>
      <c r="AQ57" s="287">
        <f t="shared" si="21"/>
        <v>495860.45406737213</v>
      </c>
      <c r="AR57" s="287">
        <f t="shared" si="22"/>
        <v>0</v>
      </c>
      <c r="AS57" s="289" t="e">
        <f>IF(J57='2027 Avoided Costs'!#REF!,3,5)</f>
        <v>#REF!</v>
      </c>
      <c r="AT57" s="290" cm="1">
        <f t="array" ref="AT57">IFERROR(IF($J57="Baseload",IF($O57=1,0,NPV('2027 Avoided Costs'!$D$6,_xlfn._xlws.FILTER('2027 Avoided Costs'!$C$14:$C$47,('2027 Avoided Costs'!$B$14:$B$47&gt;=$B57+1)*('2027 Avoided Costs'!$B$14:$B$47&lt;$B57+ROUND($O57,0)))))+_xlfn.XLOOKUP($B57,'2027 Avoided Costs'!$B$13:$B$47,'2027 Avoided Costs'!$C$13:$C$47),IF($O57=1,0,NPV('2027 Avoided Costs'!$D$6,_xlfn._xlws.FILTER('2027 Avoided Costs'!$E$14:$E$47,('2027 Avoided Costs'!$B$14:$B$47&gt;=$B57+1)*('2027 Avoided Costs'!$B$14:$B$47&lt;$B57+ROUND($O57,0)))))+_xlfn.XLOOKUP($B57,'2027 Avoided Costs'!$B$13:$B$47,'2027 Avoided Costs'!$E$13:$E$47))*IF($AE57&gt;0,$AE57*(1+$W57),0),0)</f>
        <v>660567.43873595342</v>
      </c>
      <c r="AU57" s="290" cm="1">
        <f t="array" ref="AU57">IFERROR((IF($O57=1,0,NPV('2027 Avoided Costs'!$D$6,_xlfn._xlws.FILTER('2027 Avoided Costs'!$M$14:$M$47,('2027 Avoided Costs'!$B$14:$B$47&gt;=$B57+1)*('2027 Avoided Costs'!$B$14:$B$47&lt;$B57+ROUND($O57,0)))))+_xlfn.XLOOKUP($B57,'2027 Avoided Costs'!$B$13:$B$47,'2027 Avoided Costs'!$M$13:$M$47))*IF($AK57&gt;0,$AK57*(1+$W57),0),0)</f>
        <v>0</v>
      </c>
      <c r="AV57" s="291" cm="1">
        <f t="array" ref="AV57">IFERROR((IF($O57=1,0,NPV('2027 Avoided Costs'!$D$6,_xlfn._xlws.FILTER('2027 Avoided Costs'!$Q$14:$Q$47,('2027 Avoided Costs'!$B$14:$B$47&gt;=$B57+1)*('2027 Avoided Costs'!$B$14:$B$47&lt;$B57+ROUND($O57,0)))))+_xlfn.XLOOKUP($B57,'2027 Avoided Costs'!$B$13:$B$47,'2027 Avoided Costs'!$Q$13:$Q$47))*IF($AI57&gt;0,$AI57*(1+$W57),0),0)</f>
        <v>73969.425799071483</v>
      </c>
      <c r="AW57" s="291" cm="1">
        <f t="array" ref="AW57">IFERROR((IF($O57=1,0,NPV('2027 Avoided Costs'!$D$6,_xlfn._xlws.FILTER('2027 Avoided Costs'!$W$14:$W$47,('2027 Avoided Costs'!$B$14:$B$47&gt;=$B57+1)*('2027 Avoided Costs'!$B$14:$B$47&lt;$B57+ROUND($O57,0)))))+_xlfn.XLOOKUP($B57,'2027 Avoided Costs'!$B$13:$B$47,'2027 Avoided Costs'!$W$13:$W$47))*IF($AM57&gt;0,$AM57*(1+$W57),0),0)</f>
        <v>52358.231949635381</v>
      </c>
      <c r="AX57" s="291" cm="1">
        <f t="array" ref="AX57">IFERROR((IF($O57=1,0,NPV('2027 Avoided Costs'!$D$6,_xlfn._xlws.FILTER('2027 Avoided Costs'!$AC$14:$AC$47,('2027 Avoided Costs'!$B$14:$B$47&gt;=$B57+1)*('2027 Avoided Costs'!$B$14:$B$47&lt;$B57+ROUND($O57,0)))))+_xlfn.XLOOKUP($B57,'2027 Avoided Costs'!$B$13:$B$47,'2027 Avoided Costs'!$AC$13:$AC$47))*IF($AO57&gt;0,$AO57*(1+$W57),0),0)</f>
        <v>6897.4590057809837</v>
      </c>
      <c r="AY57" s="291" cm="1">
        <f t="array" ref="AY57">IFERROR((IF($O57=1,0,NPV('2027 Avoided Costs'!$D$4,_xlfn._xlws.FILTER('2027 Avoided Costs'!$I$14:$I$47,('2027 Avoided Costs'!$B$14:$B$47&gt;=$B57+1)*('2027 Avoided Costs'!$B$14:$B$47&lt;$B57+ROUND($O57,0)))))+_xlfn.XLOOKUP($B57,'2027 Avoided Costs'!$B$13:$B$47,'2027 Avoided Costs'!$I$13:$I$47))*IF($X57="Residential",'2027 Avoided Costs'!$J$5,IF($X57="Large Volume",'2027 Avoided Costs'!$J$7,'2027 Avoided Costs'!$J$6))*IF($AE57&gt;0,$AE57,0),0)</f>
        <v>0</v>
      </c>
      <c r="AZ57" s="291" cm="1">
        <f t="array" ref="AZ57">IFERROR(IF($J57="Baseload",IF($O57=1,0,NPV('2027 Avoided Costs'!$D$6,_xlfn._xlws.FILTER('2027 Avoided Costs'!$C$14:$C$47,('2027 Avoided Costs'!$B$14:$B$47&gt;=$B57+1)*('2027 Avoided Costs'!$B$14:$B$47&lt;$B57+ROUND($O57,0)))))+_xlfn.XLOOKUP($B57,'2027 Avoided Costs'!$B$13:$B$47,'2027 Avoided Costs'!$C$13:$C$47),IF($O57=1,0,NPV('2027 Avoided Costs'!$D$6,_xlfn._xlws.FILTER('2027 Avoided Costs'!$E$14:$E$47,('2027 Avoided Costs'!$B$14:$B$47&gt;=$B57+1)*('2027 Avoided Costs'!$B$14:$B$47&lt;$B57+ROUND($O57,0)))))+_xlfn.XLOOKUP($B57,'2027 Avoided Costs'!$B$13:$B$47,'2027 Avoided Costs'!$E$13:$E$47))*IF($AE57&lt;0,$AE57*(-1),0),0)</f>
        <v>0</v>
      </c>
      <c r="BA57" s="291" cm="1">
        <f t="array" ref="BA57">IFERROR((IF($O57=1,0,NPV('2027 Avoided Costs'!$D$6,_xlfn._xlws.FILTER('2027 Avoided Costs'!$M$14:$M$47,('2027 Avoided Costs'!$B$14:$B$47&gt;=$B57+1)*('2027 Avoided Costs'!$B$14:$B$47&lt;$B57+ROUND($O57,0)))))+_xlfn.XLOOKUP($B57,'2027 Avoided Costs'!$B$13:$B$47,'2027 Avoided Costs'!$M$13:$M$47))*IF($AK57&lt;0,$AK57*(-1),0),0)</f>
        <v>0</v>
      </c>
      <c r="BB57" s="291" cm="1">
        <f t="array" ref="BB57">IFERROR((IF($O57=1,0,NPV('2027 Avoided Costs'!$D$6,_xlfn._xlws.FILTER('2027 Avoided Costs'!$S$14:$S$47,('2027 Avoided Costs'!$B$14:$B$47&gt;=$B57+1)*('2027 Avoided Costs'!$B$14:$B$47&lt;$B57+ROUND($O57,0)))))+_xlfn.XLOOKUP($B57,'2027 Avoided Costs'!$B$13:$B$47,'2027 Avoided Costs'!$S$13:$S$47))*IF($AI57&lt;0,$AI57*(-1),0),0)</f>
        <v>0</v>
      </c>
      <c r="BC57" s="291" cm="1">
        <f t="array" ref="BC57">IFERROR((IF($O57=1,0,NPV('2027 Avoided Costs'!$D$6,_xlfn._xlws.FILTER('2027 Avoided Costs'!$Y$14:$Y$47,('2027 Avoided Costs'!$B$14:$B$47&gt;=$B57+1)*('2027 Avoided Costs'!$B$14:$B$47&lt;$B57+ROUND($O57,0)))))+_xlfn.XLOOKUP($B57,'2027 Avoided Costs'!$B$13:$B$47,'2027 Avoided Costs'!$Y$13:$Y$47))*IF($AM57&lt;0,$AM57*(-1),0),0)</f>
        <v>0</v>
      </c>
      <c r="BD57" s="291" cm="1">
        <f t="array" ref="BD57">IFERROR((IF($O57=1,0,NPV('2027 Avoided Costs'!$D$6,_xlfn._xlws.FILTER('2027 Avoided Costs'!$AE$14:$AE$47,('2027 Avoided Costs'!$B$14:$B$47&gt;=$B57+1)*('2027 Avoided Costs'!$B$14:$B$47&lt;$B57+ROUND($O57,0)))))+_xlfn.XLOOKUP($B57,'2027 Avoided Costs'!$B$13:$B$47,'2027 Avoided Costs'!$AE$13:$AE$47))*IF($AO57&lt;0,$AO57*(-1),0),0)</f>
        <v>0</v>
      </c>
      <c r="BE57" s="291" cm="1">
        <f t="array" ref="BE57">IFERROR((IF($O57=1,0,NPV('2027 Avoided Costs'!$D$4,_xlfn._xlws.FILTER('2027 Avoided Costs'!$I$14:$I$47,('2027 Avoided Costs'!$B$14:$B$47&gt;=$B57+1)*('2027 Avoided Costs'!$B$14:$B$47&lt;$B57+ROUND($O57,0)))))+_xlfn.XLOOKUP($B57,'2027 Avoided Costs'!$B$13:$B$47,'2027 Avoided Costs'!$I$13:$I$47))*IF($X57="Residential",'2027 Avoided Costs'!$J$5,IF($X57="Large Volume",'2027 Avoided Costs'!$J$7,'2027 Avoided Costs'!$J$6))*IF($AE57&lt;0,$AE57*(-1),0),0)</f>
        <v>0</v>
      </c>
      <c r="BF57" s="291">
        <f t="shared" si="23"/>
        <v>793792.55549044127</v>
      </c>
      <c r="BG57" s="291">
        <f t="shared" si="24"/>
        <v>495860.45406737213</v>
      </c>
      <c r="BH57" s="291">
        <f t="shared" si="25"/>
        <v>297932.10142306914</v>
      </c>
      <c r="BI57" s="292">
        <f t="shared" si="29"/>
        <v>1.6008386008185065</v>
      </c>
      <c r="BJ57" s="196" cm="1">
        <f t="array" ref="BJ57">IFERROR(IF($J57="Baseload",IF($O57=1,0,NPV('2027 Avoided Costs'!$D$6,_xlfn._xlws.FILTER('2027 Avoided Costs'!$C$14:$C$47,('2027 Avoided Costs'!$B$14:$B$47&gt;=$B57+1)*('2027 Avoided Costs'!$B$14:$B$47&lt;$B57+ROUND($O57,0)))))+_xlfn.XLOOKUP($B57,'2027 Avoided Costs'!$B$13:$B$47,'2027 Avoided Costs'!$C$13:$C$47),IF($O57=1,0,NPV('2027 Avoided Costs'!$D$6,_xlfn._xlws.FILTER('2027 Avoided Costs'!$E$14:$E$47,('2027 Avoided Costs'!$B$14:$B$47&gt;=$B57+1)*('2027 Avoided Costs'!$B$14:$B$47&lt;$B57+ROUND($O57,0)))))+_xlfn.XLOOKUP($B57,'2027 Avoided Costs'!$B$13:$B$47,'2027 Avoided Costs'!$E$13:$E$47))*IF($AE57&gt;0,$AE57*(1+0),0),0)</f>
        <v>574406.4684660465</v>
      </c>
      <c r="BK57" s="293">
        <f t="shared" si="26"/>
        <v>2.2377363015784972</v>
      </c>
    </row>
    <row r="58" spans="1:63" s="56" customFormat="1" x14ac:dyDescent="0.25">
      <c r="A58" s="270" t="s">
        <v>133</v>
      </c>
      <c r="B58" s="271">
        <v>2029</v>
      </c>
      <c r="C58" s="272" t="s">
        <v>13</v>
      </c>
      <c r="D58" s="272" t="s">
        <v>9</v>
      </c>
      <c r="E58" s="272" t="s">
        <v>294</v>
      </c>
      <c r="F58" s="273">
        <v>7</v>
      </c>
      <c r="G58" s="274">
        <v>9857.0640047173547</v>
      </c>
      <c r="H58" s="275">
        <f t="shared" si="3"/>
        <v>0.96502300196168744</v>
      </c>
      <c r="I58" s="274">
        <v>250</v>
      </c>
      <c r="J58" s="276" t="s">
        <v>264</v>
      </c>
      <c r="K58" s="277">
        <f t="shared" si="27"/>
        <v>0.75</v>
      </c>
      <c r="L58" s="278">
        <v>0.28000000000000003</v>
      </c>
      <c r="M58" s="278">
        <v>0.03</v>
      </c>
      <c r="N58" s="278">
        <v>0.97609999999999997</v>
      </c>
      <c r="O58" s="279">
        <v>15</v>
      </c>
      <c r="P58" s="280">
        <v>10214.330627021356</v>
      </c>
      <c r="Q58" s="281">
        <v>-14987.676666666666</v>
      </c>
      <c r="R58" s="282">
        <v>-3.6</v>
      </c>
      <c r="S58" s="282">
        <v>-6</v>
      </c>
      <c r="T58" s="281">
        <v>0</v>
      </c>
      <c r="U58" s="283">
        <v>0</v>
      </c>
      <c r="V58" s="284">
        <v>129925.30666666666</v>
      </c>
      <c r="W58" s="285">
        <v>0.15</v>
      </c>
      <c r="X58" s="286" t="s">
        <v>255</v>
      </c>
      <c r="Y58" s="287">
        <f t="shared" si="4"/>
        <v>7</v>
      </c>
      <c r="Z58" s="288">
        <f t="shared" si="5"/>
        <v>68999.448033021486</v>
      </c>
      <c r="AA58" s="288">
        <f t="shared" si="6"/>
        <v>1750</v>
      </c>
      <c r="AB58" s="288">
        <f t="shared" si="7"/>
        <v>71787.025733555551</v>
      </c>
      <c r="AC58" s="288">
        <f t="shared" si="28"/>
        <v>1810.7177200000003</v>
      </c>
      <c r="AD58" s="287">
        <f t="shared" si="8"/>
        <v>69791.456875248827</v>
      </c>
      <c r="AE58" s="287">
        <f t="shared" si="9"/>
        <v>52343.592656436624</v>
      </c>
      <c r="AF58" s="287">
        <f t="shared" si="10"/>
        <v>1046871.8531287324</v>
      </c>
      <c r="AG58" s="287">
        <f t="shared" si="11"/>
        <v>785153.88984654937</v>
      </c>
      <c r="AH58" s="287">
        <f t="shared" si="12"/>
        <v>-109779.55184227733</v>
      </c>
      <c r="AI58" s="287">
        <f t="shared" si="13"/>
        <v>-82334.663881707995</v>
      </c>
      <c r="AJ58" s="287">
        <f t="shared" si="14"/>
        <v>0</v>
      </c>
      <c r="AK58" s="287">
        <f t="shared" si="15"/>
        <v>0</v>
      </c>
      <c r="AL58" s="287">
        <f t="shared" si="16"/>
        <v>-26.368755840000002</v>
      </c>
      <c r="AM58" s="287">
        <f t="shared" si="17"/>
        <v>-19.776566880000001</v>
      </c>
      <c r="AN58" s="287">
        <f t="shared" si="18"/>
        <v>-43.947926400000007</v>
      </c>
      <c r="AO58" s="287">
        <f t="shared" si="19"/>
        <v>-32.9609448</v>
      </c>
      <c r="AP58" s="287">
        <f t="shared" si="20"/>
        <v>909477.14666666661</v>
      </c>
      <c r="AQ58" s="287">
        <f t="shared" si="21"/>
        <v>682107.86</v>
      </c>
      <c r="AR58" s="287">
        <f t="shared" si="22"/>
        <v>0</v>
      </c>
      <c r="AS58" s="289" t="e">
        <f>IF(J58='2027 Avoided Costs'!#REF!,3,5)</f>
        <v>#REF!</v>
      </c>
      <c r="AT58" s="290" cm="1">
        <f t="array" ref="AT58">IFERROR(IF($J58="Baseload",IF($O58=1,0,NPV('2027 Avoided Costs'!$D$6,_xlfn._xlws.FILTER('2027 Avoided Costs'!$C$14:$C$47,('2027 Avoided Costs'!$B$14:$B$47&gt;=$B58+1)*('2027 Avoided Costs'!$B$14:$B$47&lt;$B58+ROUND($O58,0)))))+_xlfn.XLOOKUP($B58,'2027 Avoided Costs'!$B$13:$B$47,'2027 Avoided Costs'!$C$13:$C$47),IF($O58=1,0,NPV('2027 Avoided Costs'!$D$6,_xlfn._xlws.FILTER('2027 Avoided Costs'!$E$14:$E$47,('2027 Avoided Costs'!$B$14:$B$47&gt;=$B58+1)*('2027 Avoided Costs'!$B$14:$B$47&lt;$B58+ROUND($O58,0)))))+_xlfn.XLOOKUP($B58,'2027 Avoided Costs'!$B$13:$B$47,'2027 Avoided Costs'!$E$13:$E$47))*IF($AE58&gt;0,$AE58*(1+$W58),0),0)</f>
        <v>222515.352259445</v>
      </c>
      <c r="AU58" s="290" cm="1">
        <f t="array" ref="AU58">IFERROR((IF($O58=1,0,NPV('2027 Avoided Costs'!$D$6,_xlfn._xlws.FILTER('2027 Avoided Costs'!$M$14:$M$47,('2027 Avoided Costs'!$B$14:$B$47&gt;=$B58+1)*('2027 Avoided Costs'!$B$14:$B$47&lt;$B58+ROUND($O58,0)))))+_xlfn.XLOOKUP($B58,'2027 Avoided Costs'!$B$13:$B$47,'2027 Avoided Costs'!$M$13:$M$47))*IF($AK58&gt;0,$AK58*(1+$W58),0),0)</f>
        <v>0</v>
      </c>
      <c r="AV58" s="291" cm="1">
        <f t="array" ref="AV58">IFERROR((IF($O58=1,0,NPV('2027 Avoided Costs'!$D$6,_xlfn._xlws.FILTER('2027 Avoided Costs'!$Q$14:$Q$47,('2027 Avoided Costs'!$B$14:$B$47&gt;=$B58+1)*('2027 Avoided Costs'!$B$14:$B$47&lt;$B58+ROUND($O58,0)))))+_xlfn.XLOOKUP($B58,'2027 Avoided Costs'!$B$13:$B$47,'2027 Avoided Costs'!$Q$13:$Q$47))*IF($AI58&gt;0,$AI58*(1+$W58),0),0)</f>
        <v>0</v>
      </c>
      <c r="AW58" s="291" cm="1">
        <f t="array" ref="AW58">IFERROR((IF($O58=1,0,NPV('2027 Avoided Costs'!$D$6,_xlfn._xlws.FILTER('2027 Avoided Costs'!$W$14:$W$47,('2027 Avoided Costs'!$B$14:$B$47&gt;=$B58+1)*('2027 Avoided Costs'!$B$14:$B$47&lt;$B58+ROUND($O58,0)))))+_xlfn.XLOOKUP($B58,'2027 Avoided Costs'!$B$13:$B$47,'2027 Avoided Costs'!$W$13:$W$47))*IF($AM58&gt;0,$AM58*(1+$W58),0),0)</f>
        <v>0</v>
      </c>
      <c r="AX58" s="291" cm="1">
        <f t="array" ref="AX58">IFERROR((IF($O58=1,0,NPV('2027 Avoided Costs'!$D$6,_xlfn._xlws.FILTER('2027 Avoided Costs'!$AC$14:$AC$47,('2027 Avoided Costs'!$B$14:$B$47&gt;=$B58+1)*('2027 Avoided Costs'!$B$14:$B$47&lt;$B58+ROUND($O58,0)))))+_xlfn.XLOOKUP($B58,'2027 Avoided Costs'!$B$13:$B$47,'2027 Avoided Costs'!$AC$13:$AC$47))*IF($AO58&gt;0,$AO58*(1+$W58),0),0)</f>
        <v>0</v>
      </c>
      <c r="AY58" s="291" cm="1">
        <f t="array" ref="AY58">IFERROR((IF($O58=1,0,NPV('2027 Avoided Costs'!$D$4,_xlfn._xlws.FILTER('2027 Avoided Costs'!$I$14:$I$47,('2027 Avoided Costs'!$B$14:$B$47&gt;=$B58+1)*('2027 Avoided Costs'!$B$14:$B$47&lt;$B58+ROUND($O58,0)))))+_xlfn.XLOOKUP($B58,'2027 Avoided Costs'!$B$13:$B$47,'2027 Avoided Costs'!$I$13:$I$47))*IF($X58="Residential",'2027 Avoided Costs'!$J$5,IF($X58="Large Volume",'2027 Avoided Costs'!$J$7,'2027 Avoided Costs'!$J$6))*IF($AE58&gt;0,$AE58,0),0)</f>
        <v>0</v>
      </c>
      <c r="AZ58" s="291" cm="1">
        <f t="array" ref="AZ58">IFERROR(IF($J58="Baseload",IF($O58=1,0,NPV('2027 Avoided Costs'!$D$6,_xlfn._xlws.FILTER('2027 Avoided Costs'!$C$14:$C$47,('2027 Avoided Costs'!$B$14:$B$47&gt;=$B58+1)*('2027 Avoided Costs'!$B$14:$B$47&lt;$B58+ROUND($O58,0)))))+_xlfn.XLOOKUP($B58,'2027 Avoided Costs'!$B$13:$B$47,'2027 Avoided Costs'!$C$13:$C$47),IF($O58=1,0,NPV('2027 Avoided Costs'!$D$6,_xlfn._xlws.FILTER('2027 Avoided Costs'!$E$14:$E$47,('2027 Avoided Costs'!$B$14:$B$47&gt;=$B58+1)*('2027 Avoided Costs'!$B$14:$B$47&lt;$B58+ROUND($O58,0)))))+_xlfn.XLOOKUP($B58,'2027 Avoided Costs'!$B$13:$B$47,'2027 Avoided Costs'!$E$13:$E$47))*IF($AE58&lt;0,$AE58*(-1),0),0)</f>
        <v>0</v>
      </c>
      <c r="BA58" s="291" cm="1">
        <f t="array" ref="BA58">IFERROR((IF($O58=1,0,NPV('2027 Avoided Costs'!$D$6,_xlfn._xlws.FILTER('2027 Avoided Costs'!$M$14:$M$47,('2027 Avoided Costs'!$B$14:$B$47&gt;=$B58+1)*('2027 Avoided Costs'!$B$14:$B$47&lt;$B58+ROUND($O58,0)))))+_xlfn.XLOOKUP($B58,'2027 Avoided Costs'!$B$13:$B$47,'2027 Avoided Costs'!$M$13:$M$47))*IF($AK58&lt;0,$AK58*(-1),0),0)</f>
        <v>0</v>
      </c>
      <c r="BB58" s="291" cm="1">
        <f t="array" ref="BB58">IFERROR((IF($O58=1,0,NPV('2027 Avoided Costs'!$D$6,_xlfn._xlws.FILTER('2027 Avoided Costs'!$S$14:$S$47,('2027 Avoided Costs'!$B$14:$B$47&gt;=$B58+1)*('2027 Avoided Costs'!$B$14:$B$47&lt;$B58+ROUND($O58,0)))))+_xlfn.XLOOKUP($B58,'2027 Avoided Costs'!$B$13:$B$47,'2027 Avoided Costs'!$S$13:$S$47))*IF($AI58&lt;0,$AI58*(-1),0),0)</f>
        <v>46748.384446640855</v>
      </c>
      <c r="BC58" s="291" cm="1">
        <f t="array" ref="BC58">IFERROR((IF($O58=1,0,NPV('2027 Avoided Costs'!$D$6,_xlfn._xlws.FILTER('2027 Avoided Costs'!$Y$14:$Y$47,('2027 Avoided Costs'!$B$14:$B$47&gt;=$B58+1)*('2027 Avoided Costs'!$B$14:$B$47&lt;$B58+ROUND($O58,0)))))+_xlfn.XLOOKUP($B58,'2027 Avoided Costs'!$B$13:$B$47,'2027 Avoided Costs'!$Y$13:$Y$47))*IF($AM58&lt;0,$AM58*(-1),0),0)</f>
        <v>69626.028539410647</v>
      </c>
      <c r="BD58" s="291" cm="1">
        <f t="array" ref="BD58">IFERROR((IF($O58=1,0,NPV('2027 Avoided Costs'!$D$6,_xlfn._xlws.FILTER('2027 Avoided Costs'!$AE$14:$AE$47,('2027 Avoided Costs'!$B$14:$B$47&gt;=$B58+1)*('2027 Avoided Costs'!$B$14:$B$47&lt;$B58+ROUND($O58,0)))))+_xlfn.XLOOKUP($B58,'2027 Avoided Costs'!$B$13:$B$47,'2027 Avoided Costs'!$AE$13:$AE$47))*IF($AO58&lt;0,$AO58*(-1),0),0)</f>
        <v>15287.079659472092</v>
      </c>
      <c r="BE58" s="291" cm="1">
        <f t="array" ref="BE58">IFERROR((IF($O58=1,0,NPV('2027 Avoided Costs'!$D$4,_xlfn._xlws.FILTER('2027 Avoided Costs'!$I$14:$I$47,('2027 Avoided Costs'!$B$14:$B$47&gt;=$B58+1)*('2027 Avoided Costs'!$B$14:$B$47&lt;$B58+ROUND($O58,0)))))+_xlfn.XLOOKUP($B58,'2027 Avoided Costs'!$B$13:$B$47,'2027 Avoided Costs'!$I$13:$I$47))*IF($X58="Residential",'2027 Avoided Costs'!$J$5,IF($X58="Large Volume",'2027 Avoided Costs'!$J$7,'2027 Avoided Costs'!$J$6))*IF($AE58&lt;0,$AE58*(-1),0),0)</f>
        <v>0</v>
      </c>
      <c r="BF58" s="291">
        <f t="shared" si="23"/>
        <v>222515.352259445</v>
      </c>
      <c r="BG58" s="291">
        <f t="shared" si="24"/>
        <v>813769.35264552361</v>
      </c>
      <c r="BH58" s="291">
        <f t="shared" si="25"/>
        <v>-591254.00038607861</v>
      </c>
      <c r="BI58" s="292">
        <f t="shared" si="29"/>
        <v>0.2734378623820849</v>
      </c>
      <c r="BJ58" s="196" cm="1">
        <f t="array" ref="BJ58">IFERROR(IF($J58="Baseload",IF($O58=1,0,NPV('2027 Avoided Costs'!$D$6,_xlfn._xlws.FILTER('2027 Avoided Costs'!$C$14:$C$47,('2027 Avoided Costs'!$B$14:$B$47&gt;=$B58+1)*('2027 Avoided Costs'!$B$14:$B$47&lt;$B58+ROUND($O58,0)))))+_xlfn.XLOOKUP($B58,'2027 Avoided Costs'!$B$13:$B$47,'2027 Avoided Costs'!$C$13:$C$47),IF($O58=1,0,NPV('2027 Avoided Costs'!$D$6,_xlfn._xlws.FILTER('2027 Avoided Costs'!$E$14:$E$47,('2027 Avoided Costs'!$B$14:$B$47&gt;=$B58+1)*('2027 Avoided Costs'!$B$14:$B$47&lt;$B58+ROUND($O58,0)))))+_xlfn.XLOOKUP($B58,'2027 Avoided Costs'!$B$13:$B$47,'2027 Avoided Costs'!$E$13:$E$47))*IF($AE58&gt;0,$AE58*(1+0),0),0)</f>
        <v>193491.610660387</v>
      </c>
      <c r="BK58" s="293">
        <f t="shared" si="26"/>
        <v>2.6290427067575983</v>
      </c>
    </row>
    <row r="59" spans="1:63" s="56" customFormat="1" x14ac:dyDescent="0.25">
      <c r="A59" s="270" t="s">
        <v>133</v>
      </c>
      <c r="B59" s="271">
        <v>2029</v>
      </c>
      <c r="C59" s="272" t="s">
        <v>13</v>
      </c>
      <c r="D59" s="272" t="s">
        <v>9</v>
      </c>
      <c r="E59" s="272" t="s">
        <v>295</v>
      </c>
      <c r="F59" s="273">
        <v>116</v>
      </c>
      <c r="G59" s="274">
        <v>13795.389217475082</v>
      </c>
      <c r="H59" s="275">
        <f t="shared" si="3"/>
        <v>0.65</v>
      </c>
      <c r="I59" s="274">
        <v>250</v>
      </c>
      <c r="J59" s="276" t="s">
        <v>264</v>
      </c>
      <c r="K59" s="277">
        <f t="shared" si="27"/>
        <v>0.75</v>
      </c>
      <c r="L59" s="294">
        <v>0.28000000000000003</v>
      </c>
      <c r="M59" s="294">
        <v>0.03</v>
      </c>
      <c r="N59" s="294">
        <v>0.91</v>
      </c>
      <c r="O59" s="279">
        <v>15</v>
      </c>
      <c r="P59" s="280">
        <v>21223.675719192433</v>
      </c>
      <c r="Q59" s="295">
        <v>2586.7229069767441</v>
      </c>
      <c r="R59" s="296">
        <v>1.5763199055365218</v>
      </c>
      <c r="S59" s="296">
        <v>0.46559375540552222</v>
      </c>
      <c r="T59" s="295">
        <v>222.68578431372549</v>
      </c>
      <c r="U59" s="297">
        <v>1</v>
      </c>
      <c r="V59" s="284">
        <v>23881.812378564122</v>
      </c>
      <c r="W59" s="298">
        <v>0.15</v>
      </c>
      <c r="X59" s="299" t="s">
        <v>255</v>
      </c>
      <c r="Y59" s="300">
        <f t="shared" si="4"/>
        <v>116</v>
      </c>
      <c r="Z59" s="196">
        <f t="shared" si="5"/>
        <v>1600265.1492271095</v>
      </c>
      <c r="AA59" s="196">
        <f t="shared" si="6"/>
        <v>29000</v>
      </c>
      <c r="AB59" s="288">
        <f t="shared" si="7"/>
        <v>1664915.8612558846</v>
      </c>
      <c r="AC59" s="288">
        <f t="shared" si="28"/>
        <v>30006.179360000006</v>
      </c>
      <c r="AD59" s="287">
        <f t="shared" si="8"/>
        <v>2240371.2089179531</v>
      </c>
      <c r="AE59" s="287">
        <f t="shared" si="9"/>
        <v>1680278.4066884648</v>
      </c>
      <c r="AF59" s="287">
        <f t="shared" si="10"/>
        <v>33605568.133769296</v>
      </c>
      <c r="AG59" s="287">
        <f t="shared" si="11"/>
        <v>25204176.10032697</v>
      </c>
      <c r="AH59" s="300">
        <f t="shared" si="12"/>
        <v>292714.39190481859</v>
      </c>
      <c r="AI59" s="300">
        <f t="shared" si="13"/>
        <v>219535.79392861397</v>
      </c>
      <c r="AJ59" s="300">
        <f t="shared" si="14"/>
        <v>23506.711392156863</v>
      </c>
      <c r="AK59" s="300">
        <f t="shared" si="15"/>
        <v>17630.033544117647</v>
      </c>
      <c r="AL59" s="300">
        <f t="shared" si="16"/>
        <v>178.37686493288257</v>
      </c>
      <c r="AM59" s="300">
        <f t="shared" si="17"/>
        <v>133.78264869966193</v>
      </c>
      <c r="AN59" s="300">
        <f t="shared" si="18"/>
        <v>52.686738351690636</v>
      </c>
      <c r="AO59" s="300">
        <f t="shared" si="19"/>
        <v>39.515053763767966</v>
      </c>
      <c r="AP59" s="300">
        <f t="shared" si="20"/>
        <v>2770290.2359134383</v>
      </c>
      <c r="AQ59" s="300">
        <f t="shared" si="21"/>
        <v>2077717.6769350786</v>
      </c>
      <c r="AR59" s="300">
        <f t="shared" si="22"/>
        <v>1680278.4066884648</v>
      </c>
      <c r="AS59" s="301" t="e">
        <f>IF(J59='2027 Avoided Costs'!#REF!,3,5)</f>
        <v>#REF!</v>
      </c>
      <c r="AT59" s="290" cm="1">
        <f t="array" ref="AT59">IFERROR(IF($J59="Baseload",IF($O59=1,0,NPV('2027 Avoided Costs'!$D$6,_xlfn._xlws.FILTER('2027 Avoided Costs'!$C$14:$C$47,('2027 Avoided Costs'!$B$14:$B$47&gt;=$B59+1)*('2027 Avoided Costs'!$B$14:$B$47&lt;$B59+ROUND($O59,0)))))+_xlfn.XLOOKUP($B59,'2027 Avoided Costs'!$B$13:$B$47,'2027 Avoided Costs'!$C$13:$C$47),IF($O59=1,0,NPV('2027 Avoided Costs'!$D$6,_xlfn._xlws.FILTER('2027 Avoided Costs'!$E$14:$E$47,('2027 Avoided Costs'!$B$14:$B$47&gt;=$B59+1)*('2027 Avoided Costs'!$B$14:$B$47&lt;$B59+ROUND($O59,0)))))+_xlfn.XLOOKUP($B59,'2027 Avoided Costs'!$B$13:$B$47,'2027 Avoided Costs'!$E$13:$E$47))*IF($AE59&gt;0,$AE59*(1+$W59),0),0)</f>
        <v>7142951.4594513848</v>
      </c>
      <c r="AU59" s="290" cm="1">
        <f t="array" ref="AU59">IFERROR((IF($O59=1,0,NPV('2027 Avoided Costs'!$D$6,_xlfn._xlws.FILTER('2027 Avoided Costs'!$M$14:$M$47,('2027 Avoided Costs'!$B$14:$B$47&gt;=$B59+1)*('2027 Avoided Costs'!$B$14:$B$47&lt;$B59+ROUND($O59,0)))))+_xlfn.XLOOKUP($B59,'2027 Avoided Costs'!$B$13:$B$47,'2027 Avoided Costs'!$M$13:$M$47))*IF($AK59&gt;0,$AK59*(1+$W59),0),0)</f>
        <v>262963.77312707674</v>
      </c>
      <c r="AV59" s="291" cm="1">
        <f t="array" ref="AV59">IFERROR((IF($O59=1,0,NPV('2027 Avoided Costs'!$D$6,_xlfn._xlws.FILTER('2027 Avoided Costs'!$Q$14:$Q$47,('2027 Avoided Costs'!$B$14:$B$47&gt;=$B59+1)*('2027 Avoided Costs'!$B$14:$B$47&lt;$B59+ROUND($O59,0)))))+_xlfn.XLOOKUP($B59,'2027 Avoided Costs'!$B$13:$B$47,'2027 Avoided Costs'!$Q$13:$Q$47))*IF($AI59&gt;0,$AI59*(1+$W59),0),0)</f>
        <v>143346.49213466296</v>
      </c>
      <c r="AW59" s="291" cm="1">
        <f t="array" ref="AW59">IFERROR((IF($O59=1,0,NPV('2027 Avoided Costs'!$D$6,_xlfn._xlws.FILTER('2027 Avoided Costs'!$W$14:$W$47,('2027 Avoided Costs'!$B$14:$B$47&gt;=$B59+1)*('2027 Avoided Costs'!$B$14:$B$47&lt;$B59+ROUND($O59,0)))))+_xlfn.XLOOKUP($B59,'2027 Avoided Costs'!$B$13:$B$47,'2027 Avoided Costs'!$W$13:$W$47))*IF($AM59&gt;0,$AM59*(1+$W59),0),0)</f>
        <v>541649.50665626861</v>
      </c>
      <c r="AX59" s="291" cm="1">
        <f t="array" ref="AX59">IFERROR((IF($O59=1,0,NPV('2027 Avoided Costs'!$D$6,_xlfn._xlws.FILTER('2027 Avoided Costs'!$AC$14:$AC$47,('2027 Avoided Costs'!$B$14:$B$47&gt;=$B59+1)*('2027 Avoided Costs'!$B$14:$B$47&lt;$B59+ROUND($O59,0)))))+_xlfn.XLOOKUP($B59,'2027 Avoided Costs'!$B$13:$B$47,'2027 Avoided Costs'!$AC$13:$AC$47))*IF($AO59&gt;0,$AO59*(1+$W59),0),0)</f>
        <v>21075.859476889145</v>
      </c>
      <c r="AY59" s="291" cm="1">
        <f t="array" ref="AY59">IFERROR((IF($O59=1,0,NPV('2027 Avoided Costs'!$D$4,_xlfn._xlws.FILTER('2027 Avoided Costs'!$I$14:$I$47,('2027 Avoided Costs'!$B$14:$B$47&gt;=$B59+1)*('2027 Avoided Costs'!$B$14:$B$47&lt;$B59+ROUND($O59,0)))))+_xlfn.XLOOKUP($B59,'2027 Avoided Costs'!$B$13:$B$47,'2027 Avoided Costs'!$I$13:$I$47))*IF($X59="Residential",'2027 Avoided Costs'!$J$5,IF($X59="Large Volume",'2027 Avoided Costs'!$J$7,'2027 Avoided Costs'!$J$6))*IF($AE59&gt;0,$AE59,0),0)</f>
        <v>0</v>
      </c>
      <c r="AZ59" s="291" cm="1">
        <f t="array" ref="AZ59">IFERROR(IF($J59="Baseload",IF($O59=1,0,NPV('2027 Avoided Costs'!$D$6,_xlfn._xlws.FILTER('2027 Avoided Costs'!$C$14:$C$47,('2027 Avoided Costs'!$B$14:$B$47&gt;=$B59+1)*('2027 Avoided Costs'!$B$14:$B$47&lt;$B59+ROUND($O59,0)))))+_xlfn.XLOOKUP($B59,'2027 Avoided Costs'!$B$13:$B$47,'2027 Avoided Costs'!$C$13:$C$47),IF($O59=1,0,NPV('2027 Avoided Costs'!$D$6,_xlfn._xlws.FILTER('2027 Avoided Costs'!$E$14:$E$47,('2027 Avoided Costs'!$B$14:$B$47&gt;=$B59+1)*('2027 Avoided Costs'!$B$14:$B$47&lt;$B59+ROUND($O59,0)))))+_xlfn.XLOOKUP($B59,'2027 Avoided Costs'!$B$13:$B$47,'2027 Avoided Costs'!$E$13:$E$47))*IF($AE59&lt;0,$AE59*(-1),0),0)</f>
        <v>0</v>
      </c>
      <c r="BA59" s="291" cm="1">
        <f t="array" ref="BA59">IFERROR((IF($O59=1,0,NPV('2027 Avoided Costs'!$D$6,_xlfn._xlws.FILTER('2027 Avoided Costs'!$M$14:$M$47,('2027 Avoided Costs'!$B$14:$B$47&gt;=$B59+1)*('2027 Avoided Costs'!$B$14:$B$47&lt;$B59+ROUND($O59,0)))))+_xlfn.XLOOKUP($B59,'2027 Avoided Costs'!$B$13:$B$47,'2027 Avoided Costs'!$M$13:$M$47))*IF($AK59&lt;0,$AK59*(-1),0),0)</f>
        <v>0</v>
      </c>
      <c r="BB59" s="291" cm="1">
        <f t="array" ref="BB59">IFERROR((IF($O59=1,0,NPV('2027 Avoided Costs'!$D$6,_xlfn._xlws.FILTER('2027 Avoided Costs'!$S$14:$S$47,('2027 Avoided Costs'!$B$14:$B$47&gt;=$B59+1)*('2027 Avoided Costs'!$B$14:$B$47&lt;$B59+ROUND($O59,0)))))+_xlfn.XLOOKUP($B59,'2027 Avoided Costs'!$B$13:$B$47,'2027 Avoided Costs'!$S$13:$S$47))*IF($AI59&lt;0,$AI59*(-1),0),0)</f>
        <v>0</v>
      </c>
      <c r="BC59" s="291" cm="1">
        <f t="array" ref="BC59">IFERROR((IF($O59=1,0,NPV('2027 Avoided Costs'!$D$6,_xlfn._xlws.FILTER('2027 Avoided Costs'!$Y$14:$Y$47,('2027 Avoided Costs'!$B$14:$B$47&gt;=$B59+1)*('2027 Avoided Costs'!$B$14:$B$47&lt;$B59+ROUND($O59,0)))))+_xlfn.XLOOKUP($B59,'2027 Avoided Costs'!$B$13:$B$47,'2027 Avoided Costs'!$Y$13:$Y$47))*IF($AM59&lt;0,$AM59*(-1),0),0)</f>
        <v>0</v>
      </c>
      <c r="BD59" s="291" cm="1">
        <f t="array" ref="BD59">IFERROR((IF($O59=1,0,NPV('2027 Avoided Costs'!$D$6,_xlfn._xlws.FILTER('2027 Avoided Costs'!$AE$14:$AE$47,('2027 Avoided Costs'!$B$14:$B$47&gt;=$B59+1)*('2027 Avoided Costs'!$B$14:$B$47&lt;$B59+ROUND($O59,0)))))+_xlfn.XLOOKUP($B59,'2027 Avoided Costs'!$B$13:$B$47,'2027 Avoided Costs'!$AE$13:$AE$47))*IF($AO59&lt;0,$AO59*(-1),0),0)</f>
        <v>0</v>
      </c>
      <c r="BE59" s="291" cm="1">
        <f t="array" ref="BE59">IFERROR((IF($O59=1,0,NPV('2027 Avoided Costs'!$D$4,_xlfn._xlws.FILTER('2027 Avoided Costs'!$I$14:$I$47,('2027 Avoided Costs'!$B$14:$B$47&gt;=$B59+1)*('2027 Avoided Costs'!$B$14:$B$47&lt;$B59+ROUND($O59,0)))))+_xlfn.XLOOKUP($B59,'2027 Avoided Costs'!$B$13:$B$47,'2027 Avoided Costs'!$I$13:$I$47))*IF($X59="Residential",'2027 Avoided Costs'!$J$5,IF($X59="Large Volume",'2027 Avoided Costs'!$J$7,'2027 Avoided Costs'!$J$6))*IF($AE59&lt;0,$AE59*(-1),0),0)</f>
        <v>0</v>
      </c>
      <c r="BF59" s="291">
        <f t="shared" si="23"/>
        <v>8111987.0908462834</v>
      </c>
      <c r="BG59" s="291">
        <f t="shared" si="24"/>
        <v>2077717.6769350786</v>
      </c>
      <c r="BH59" s="291">
        <f t="shared" si="25"/>
        <v>6034269.4139112048</v>
      </c>
      <c r="BI59" s="292">
        <f t="shared" si="29"/>
        <v>3.9042778433750382</v>
      </c>
      <c r="BJ59" s="196" cm="1">
        <f t="array" ref="BJ59">IFERROR(IF($J59="Baseload",IF($O59=1,0,NPV('2027 Avoided Costs'!$D$6,_xlfn._xlws.FILTER('2027 Avoided Costs'!$C$14:$C$47,('2027 Avoided Costs'!$B$14:$B$47&gt;=$B59+1)*('2027 Avoided Costs'!$B$14:$B$47&lt;$B59+ROUND($O59,0)))))+_xlfn.XLOOKUP($B59,'2027 Avoided Costs'!$B$13:$B$47,'2027 Avoided Costs'!$C$13:$C$47),IF($O59=1,0,NPV('2027 Avoided Costs'!$D$6,_xlfn._xlws.FILTER('2027 Avoided Costs'!$E$14:$E$47,('2027 Avoided Costs'!$B$14:$B$47&gt;=$B59+1)*('2027 Avoided Costs'!$B$14:$B$47&lt;$B59+ROUND($O59,0)))))+_xlfn.XLOOKUP($B59,'2027 Avoided Costs'!$B$13:$B$47,'2027 Avoided Costs'!$E$13:$E$47))*IF($AE59&gt;0,$AE59*(1+0),0),0)</f>
        <v>6211262.1386533789</v>
      </c>
      <c r="BK59" s="293">
        <f t="shared" si="26"/>
        <v>3.6646299887612468</v>
      </c>
    </row>
    <row r="60" spans="1:63" s="56" customFormat="1" x14ac:dyDescent="0.25">
      <c r="A60" s="270" t="s">
        <v>133</v>
      </c>
      <c r="B60" s="271">
        <v>2029</v>
      </c>
      <c r="C60" s="272" t="s">
        <v>13</v>
      </c>
      <c r="D60" s="272" t="s">
        <v>9</v>
      </c>
      <c r="E60" s="272" t="s">
        <v>354</v>
      </c>
      <c r="F60" s="273">
        <v>20</v>
      </c>
      <c r="G60" s="274">
        <v>13795.389217475082</v>
      </c>
      <c r="H60" s="275">
        <f t="shared" si="3"/>
        <v>0.65</v>
      </c>
      <c r="I60" s="274">
        <v>250</v>
      </c>
      <c r="J60" s="276" t="s">
        <v>263</v>
      </c>
      <c r="K60" s="277">
        <f t="shared" si="27"/>
        <v>0.75</v>
      </c>
      <c r="L60" s="294">
        <v>0.28000000000000003</v>
      </c>
      <c r="M60" s="294">
        <v>0.03</v>
      </c>
      <c r="N60" s="294">
        <v>0.91</v>
      </c>
      <c r="O60" s="279">
        <v>15</v>
      </c>
      <c r="P60" s="280">
        <v>21223.675719192433</v>
      </c>
      <c r="Q60" s="295">
        <v>2586.7229069767441</v>
      </c>
      <c r="R60" s="296">
        <v>0.29528800307953429</v>
      </c>
      <c r="S60" s="296">
        <v>0.29528800307953795</v>
      </c>
      <c r="T60" s="295">
        <v>222.68578431372549</v>
      </c>
      <c r="U60" s="297">
        <v>1</v>
      </c>
      <c r="V60" s="284">
        <v>23881.812378564122</v>
      </c>
      <c r="W60" s="298">
        <v>0.15</v>
      </c>
      <c r="X60" s="299" t="s">
        <v>255</v>
      </c>
      <c r="Y60" s="300">
        <f t="shared" si="4"/>
        <v>20</v>
      </c>
      <c r="Z60" s="196">
        <f t="shared" si="5"/>
        <v>275907.78434950166</v>
      </c>
      <c r="AA60" s="196">
        <f t="shared" si="6"/>
        <v>5000</v>
      </c>
      <c r="AB60" s="288">
        <f t="shared" si="7"/>
        <v>287054.45883722149</v>
      </c>
      <c r="AC60" s="288">
        <f t="shared" si="28"/>
        <v>5173.4792000000007</v>
      </c>
      <c r="AD60" s="287">
        <f t="shared" si="8"/>
        <v>386270.8980893023</v>
      </c>
      <c r="AE60" s="287">
        <f t="shared" si="9"/>
        <v>289703.17356697674</v>
      </c>
      <c r="AF60" s="287">
        <f t="shared" si="10"/>
        <v>5794063.471339534</v>
      </c>
      <c r="AG60" s="287">
        <f t="shared" si="11"/>
        <v>4345547.6035046512</v>
      </c>
      <c r="AH60" s="300">
        <f t="shared" si="12"/>
        <v>50467.99860427907</v>
      </c>
      <c r="AI60" s="300">
        <f t="shared" si="13"/>
        <v>37850.998953209302</v>
      </c>
      <c r="AJ60" s="300">
        <f t="shared" si="14"/>
        <v>4052.8812745098044</v>
      </c>
      <c r="AK60" s="300">
        <f t="shared" si="15"/>
        <v>3039.6609558823529</v>
      </c>
      <c r="AL60" s="300">
        <f t="shared" si="16"/>
        <v>5.7611870552829476</v>
      </c>
      <c r="AM60" s="300">
        <f t="shared" si="17"/>
        <v>4.3208902914622094</v>
      </c>
      <c r="AN60" s="300">
        <f t="shared" si="18"/>
        <v>5.7611870552830178</v>
      </c>
      <c r="AO60" s="300">
        <f t="shared" si="19"/>
        <v>4.3208902914622636</v>
      </c>
      <c r="AP60" s="300">
        <f t="shared" si="20"/>
        <v>477636.24757128244</v>
      </c>
      <c r="AQ60" s="300">
        <f t="shared" si="21"/>
        <v>358227.1856784618</v>
      </c>
      <c r="AR60" s="300">
        <f t="shared" si="22"/>
        <v>289703.17356697674</v>
      </c>
      <c r="AS60" s="301" t="e">
        <f>IF(J60='2027 Avoided Costs'!#REF!,3,5)</f>
        <v>#REF!</v>
      </c>
      <c r="AT60" s="290" cm="1">
        <f t="array" ref="AT60">IFERROR(IF($J60="Baseload",IF($O60=1,0,NPV('2027 Avoided Costs'!$D$6,_xlfn._xlws.FILTER('2027 Avoided Costs'!$C$14:$C$47,('2027 Avoided Costs'!$B$14:$B$47&gt;=$B60+1)*('2027 Avoided Costs'!$B$14:$B$47&lt;$B60+ROUND($O60,0)))))+_xlfn.XLOOKUP($B60,'2027 Avoided Costs'!$B$13:$B$47,'2027 Avoided Costs'!$C$13:$C$47),IF($O60=1,0,NPV('2027 Avoided Costs'!$D$6,_xlfn._xlws.FILTER('2027 Avoided Costs'!$E$14:$E$47,('2027 Avoided Costs'!$B$14:$B$47&gt;=$B60+1)*('2027 Avoided Costs'!$B$14:$B$47&lt;$B60+ROUND($O60,0)))))+_xlfn.XLOOKUP($B60,'2027 Avoided Costs'!$B$13:$B$47,'2027 Avoided Costs'!$E$13:$E$47))*IF($AE60&gt;0,$AE60*(1+$W60),0),0)</f>
        <v>1100049.1733855931</v>
      </c>
      <c r="AU60" s="290" cm="1">
        <f t="array" ref="AU60">IFERROR((IF($O60=1,0,NPV('2027 Avoided Costs'!$D$6,_xlfn._xlws.FILTER('2027 Avoided Costs'!$M$14:$M$47,('2027 Avoided Costs'!$B$14:$B$47&gt;=$B60+1)*('2027 Avoided Costs'!$B$14:$B$47&lt;$B60+ROUND($O60,0)))))+_xlfn.XLOOKUP($B60,'2027 Avoided Costs'!$B$13:$B$47,'2027 Avoided Costs'!$M$13:$M$47))*IF($AK60&gt;0,$AK60*(1+$W60),0),0)</f>
        <v>45338.581573633921</v>
      </c>
      <c r="AV60" s="291" cm="1">
        <f t="array" ref="AV60">IFERROR((IF($O60=1,0,NPV('2027 Avoided Costs'!$D$6,_xlfn._xlws.FILTER('2027 Avoided Costs'!$Q$14:$Q$47,('2027 Avoided Costs'!$B$14:$B$47&gt;=$B60+1)*('2027 Avoided Costs'!$B$14:$B$47&lt;$B60+ROUND($O60,0)))))+_xlfn.XLOOKUP($B60,'2027 Avoided Costs'!$B$13:$B$47,'2027 Avoided Costs'!$Q$13:$Q$47))*IF($AI60&gt;0,$AI60*(1+$W60),0),0)</f>
        <v>24714.912437010855</v>
      </c>
      <c r="AW60" s="291" cm="1">
        <f t="array" ref="AW60">IFERROR((IF($O60=1,0,NPV('2027 Avoided Costs'!$D$6,_xlfn._xlws.FILTER('2027 Avoided Costs'!$W$14:$W$47,('2027 Avoided Costs'!$B$14:$B$47&gt;=$B60+1)*('2027 Avoided Costs'!$B$14:$B$47&lt;$B60+ROUND($O60,0)))))+_xlfn.XLOOKUP($B60,'2027 Avoided Costs'!$B$13:$B$47,'2027 Avoided Costs'!$W$13:$W$47))*IF($AM60&gt;0,$AM60*(1+$W60),0),0)</f>
        <v>17494.107923819873</v>
      </c>
      <c r="AX60" s="291" cm="1">
        <f t="array" ref="AX60">IFERROR((IF($O60=1,0,NPV('2027 Avoided Costs'!$D$6,_xlfn._xlws.FILTER('2027 Avoided Costs'!$AC$14:$AC$47,('2027 Avoided Costs'!$B$14:$B$47&gt;=$B60+1)*('2027 Avoided Costs'!$B$14:$B$47&lt;$B60+ROUND($O60,0)))))+_xlfn.XLOOKUP($B60,'2027 Avoided Costs'!$B$13:$B$47,'2027 Avoided Costs'!$AC$13:$AC$47))*IF($AO60&gt;0,$AO60*(1+$W60),0),0)</f>
        <v>2304.6021180265648</v>
      </c>
      <c r="AY60" s="291" cm="1">
        <f t="array" ref="AY60">IFERROR((IF($O60=1,0,NPV('2027 Avoided Costs'!$D$4,_xlfn._xlws.FILTER('2027 Avoided Costs'!$I$14:$I$47,('2027 Avoided Costs'!$B$14:$B$47&gt;=$B60+1)*('2027 Avoided Costs'!$B$14:$B$47&lt;$B60+ROUND($O60,0)))))+_xlfn.XLOOKUP($B60,'2027 Avoided Costs'!$B$13:$B$47,'2027 Avoided Costs'!$I$13:$I$47))*IF($X60="Residential",'2027 Avoided Costs'!$J$5,IF($X60="Large Volume",'2027 Avoided Costs'!$J$7,'2027 Avoided Costs'!$J$6))*IF($AE60&gt;0,$AE60,0),0)</f>
        <v>0</v>
      </c>
      <c r="AZ60" s="291" cm="1">
        <f t="array" ref="AZ60">IFERROR(IF($J60="Baseload",IF($O60=1,0,NPV('2027 Avoided Costs'!$D$6,_xlfn._xlws.FILTER('2027 Avoided Costs'!$C$14:$C$47,('2027 Avoided Costs'!$B$14:$B$47&gt;=$B60+1)*('2027 Avoided Costs'!$B$14:$B$47&lt;$B60+ROUND($O60,0)))))+_xlfn.XLOOKUP($B60,'2027 Avoided Costs'!$B$13:$B$47,'2027 Avoided Costs'!$C$13:$C$47),IF($O60=1,0,NPV('2027 Avoided Costs'!$D$6,_xlfn._xlws.FILTER('2027 Avoided Costs'!$E$14:$E$47,('2027 Avoided Costs'!$B$14:$B$47&gt;=$B60+1)*('2027 Avoided Costs'!$B$14:$B$47&lt;$B60+ROUND($O60,0)))))+_xlfn.XLOOKUP($B60,'2027 Avoided Costs'!$B$13:$B$47,'2027 Avoided Costs'!$E$13:$E$47))*IF($AE60&lt;0,$AE60*(-1),0),0)</f>
        <v>0</v>
      </c>
      <c r="BA60" s="291" cm="1">
        <f t="array" ref="BA60">IFERROR((IF($O60=1,0,NPV('2027 Avoided Costs'!$D$6,_xlfn._xlws.FILTER('2027 Avoided Costs'!$M$14:$M$47,('2027 Avoided Costs'!$B$14:$B$47&gt;=$B60+1)*('2027 Avoided Costs'!$B$14:$B$47&lt;$B60+ROUND($O60,0)))))+_xlfn.XLOOKUP($B60,'2027 Avoided Costs'!$B$13:$B$47,'2027 Avoided Costs'!$M$13:$M$47))*IF($AK60&lt;0,$AK60*(-1),0),0)</f>
        <v>0</v>
      </c>
      <c r="BB60" s="291" cm="1">
        <f t="array" ref="BB60">IFERROR((IF($O60=1,0,NPV('2027 Avoided Costs'!$D$6,_xlfn._xlws.FILTER('2027 Avoided Costs'!$S$14:$S$47,('2027 Avoided Costs'!$B$14:$B$47&gt;=$B60+1)*('2027 Avoided Costs'!$B$14:$B$47&lt;$B60+ROUND($O60,0)))))+_xlfn.XLOOKUP($B60,'2027 Avoided Costs'!$B$13:$B$47,'2027 Avoided Costs'!$S$13:$S$47))*IF($AI60&lt;0,$AI60*(-1),0),0)</f>
        <v>0</v>
      </c>
      <c r="BC60" s="291" cm="1">
        <f t="array" ref="BC60">IFERROR((IF($O60=1,0,NPV('2027 Avoided Costs'!$D$6,_xlfn._xlws.FILTER('2027 Avoided Costs'!$Y$14:$Y$47,('2027 Avoided Costs'!$B$14:$B$47&gt;=$B60+1)*('2027 Avoided Costs'!$B$14:$B$47&lt;$B60+ROUND($O60,0)))))+_xlfn.XLOOKUP($B60,'2027 Avoided Costs'!$B$13:$B$47,'2027 Avoided Costs'!$Y$13:$Y$47))*IF($AM60&lt;0,$AM60*(-1),0),0)</f>
        <v>0</v>
      </c>
      <c r="BD60" s="291" cm="1">
        <f t="array" ref="BD60">IFERROR((IF($O60=1,0,NPV('2027 Avoided Costs'!$D$6,_xlfn._xlws.FILTER('2027 Avoided Costs'!$AE$14:$AE$47,('2027 Avoided Costs'!$B$14:$B$47&gt;=$B60+1)*('2027 Avoided Costs'!$B$14:$B$47&lt;$B60+ROUND($O60,0)))))+_xlfn.XLOOKUP($B60,'2027 Avoided Costs'!$B$13:$B$47,'2027 Avoided Costs'!$AE$13:$AE$47))*IF($AO60&lt;0,$AO60*(-1),0),0)</f>
        <v>0</v>
      </c>
      <c r="BE60" s="291" cm="1">
        <f t="array" ref="BE60">IFERROR((IF($O60=1,0,NPV('2027 Avoided Costs'!$D$4,_xlfn._xlws.FILTER('2027 Avoided Costs'!$I$14:$I$47,('2027 Avoided Costs'!$B$14:$B$47&gt;=$B60+1)*('2027 Avoided Costs'!$B$14:$B$47&lt;$B60+ROUND($O60,0)))))+_xlfn.XLOOKUP($B60,'2027 Avoided Costs'!$B$13:$B$47,'2027 Avoided Costs'!$I$13:$I$47))*IF($X60="Residential",'2027 Avoided Costs'!$J$5,IF($X60="Large Volume",'2027 Avoided Costs'!$J$7,'2027 Avoided Costs'!$J$6))*IF($AE60&lt;0,$AE60*(-1),0),0)</f>
        <v>0</v>
      </c>
      <c r="BF60" s="291">
        <f t="shared" si="23"/>
        <v>1189901.3774380842</v>
      </c>
      <c r="BG60" s="291">
        <f t="shared" si="24"/>
        <v>358227.1856784618</v>
      </c>
      <c r="BH60" s="291">
        <f t="shared" si="25"/>
        <v>831674.19175962242</v>
      </c>
      <c r="BI60" s="292">
        <f t="shared" si="29"/>
        <v>3.3216389626724703</v>
      </c>
      <c r="BJ60" s="196" cm="1">
        <f t="array" ref="BJ60">IFERROR(IF($J60="Baseload",IF($O60=1,0,NPV('2027 Avoided Costs'!$D$6,_xlfn._xlws.FILTER('2027 Avoided Costs'!$C$14:$C$47,('2027 Avoided Costs'!$B$14:$B$47&gt;=$B60+1)*('2027 Avoided Costs'!$B$14:$B$47&lt;$B60+ROUND($O60,0)))))+_xlfn.XLOOKUP($B60,'2027 Avoided Costs'!$B$13:$B$47,'2027 Avoided Costs'!$C$13:$C$47),IF($O60=1,0,NPV('2027 Avoided Costs'!$D$6,_xlfn._xlws.FILTER('2027 Avoided Costs'!$E$14:$E$47,('2027 Avoided Costs'!$B$14:$B$47&gt;=$B60+1)*('2027 Avoided Costs'!$B$14:$B$47&lt;$B60+ROUND($O60,0)))))+_xlfn.XLOOKUP($B60,'2027 Avoided Costs'!$B$13:$B$47,'2027 Avoided Costs'!$E$13:$E$47))*IF($AE60&gt;0,$AE60*(1+0),0),0)</f>
        <v>956564.49859616789</v>
      </c>
      <c r="BK60" s="293">
        <f t="shared" si="26"/>
        <v>3.2733506078201491</v>
      </c>
    </row>
    <row r="61" spans="1:63" s="56" customFormat="1" x14ac:dyDescent="0.25">
      <c r="A61" s="270" t="s">
        <v>133</v>
      </c>
      <c r="B61" s="271">
        <v>2029</v>
      </c>
      <c r="C61" s="272" t="s">
        <v>13</v>
      </c>
      <c r="D61" s="272" t="s">
        <v>9</v>
      </c>
      <c r="E61" s="272" t="s">
        <v>296</v>
      </c>
      <c r="F61" s="273">
        <v>2</v>
      </c>
      <c r="G61" s="274">
        <v>85347.421363010275</v>
      </c>
      <c r="H61" s="275">
        <f t="shared" si="3"/>
        <v>0.65</v>
      </c>
      <c r="I61" s="274">
        <v>250</v>
      </c>
      <c r="J61" s="276" t="s">
        <v>264</v>
      </c>
      <c r="K61" s="277">
        <f t="shared" si="27"/>
        <v>0.75</v>
      </c>
      <c r="L61" s="294">
        <v>0.28000000000000003</v>
      </c>
      <c r="M61" s="294">
        <v>0.03</v>
      </c>
      <c r="N61" s="294">
        <v>0.91</v>
      </c>
      <c r="O61" s="279">
        <v>15</v>
      </c>
      <c r="P61" s="280">
        <v>131303.72517386195</v>
      </c>
      <c r="Q61" s="295">
        <v>-127745.62000000001</v>
      </c>
      <c r="R61" s="296">
        <v>-42.5</v>
      </c>
      <c r="S61" s="296">
        <v>-75</v>
      </c>
      <c r="T61" s="295">
        <v>0</v>
      </c>
      <c r="U61" s="297">
        <v>1</v>
      </c>
      <c r="V61" s="284">
        <v>148461</v>
      </c>
      <c r="W61" s="298">
        <v>0.15</v>
      </c>
      <c r="X61" s="299" t="s">
        <v>255</v>
      </c>
      <c r="Y61" s="300">
        <f t="shared" si="4"/>
        <v>2</v>
      </c>
      <c r="Z61" s="196">
        <f t="shared" si="5"/>
        <v>170694.84272602055</v>
      </c>
      <c r="AA61" s="196">
        <f t="shared" si="6"/>
        <v>500</v>
      </c>
      <c r="AB61" s="288">
        <f t="shared" si="7"/>
        <v>177590.91437215178</v>
      </c>
      <c r="AC61" s="288">
        <f t="shared" si="28"/>
        <v>517.34792000000004</v>
      </c>
      <c r="AD61" s="287">
        <f t="shared" si="8"/>
        <v>238972.77981642875</v>
      </c>
      <c r="AE61" s="287">
        <f t="shared" si="9"/>
        <v>179229.58486232156</v>
      </c>
      <c r="AF61" s="287">
        <f t="shared" si="10"/>
        <v>3584591.6972464314</v>
      </c>
      <c r="AG61" s="287">
        <f t="shared" si="11"/>
        <v>2688443.7729348233</v>
      </c>
      <c r="AH61" s="300">
        <f t="shared" si="12"/>
        <v>-249236.81444480005</v>
      </c>
      <c r="AI61" s="300">
        <f t="shared" si="13"/>
        <v>-186927.61083360005</v>
      </c>
      <c r="AJ61" s="300">
        <f t="shared" si="14"/>
        <v>0</v>
      </c>
      <c r="AK61" s="300">
        <f t="shared" si="15"/>
        <v>0</v>
      </c>
      <c r="AL61" s="300">
        <f t="shared" si="16"/>
        <v>-82.919200000000018</v>
      </c>
      <c r="AM61" s="300">
        <f t="shared" si="17"/>
        <v>-62.189400000000006</v>
      </c>
      <c r="AN61" s="300">
        <f t="shared" si="18"/>
        <v>-146.328</v>
      </c>
      <c r="AO61" s="300">
        <f t="shared" si="19"/>
        <v>-109.74600000000001</v>
      </c>
      <c r="AP61" s="300">
        <f t="shared" si="20"/>
        <v>296922</v>
      </c>
      <c r="AQ61" s="300">
        <f t="shared" si="21"/>
        <v>222691.5</v>
      </c>
      <c r="AR61" s="300">
        <f t="shared" si="22"/>
        <v>179229.58486232156</v>
      </c>
      <c r="AS61" s="301" t="e">
        <f>IF(J61='2027 Avoided Costs'!#REF!,3,5)</f>
        <v>#REF!</v>
      </c>
      <c r="AT61" s="290" cm="1">
        <f t="array" ref="AT61">IFERROR(IF($J61="Baseload",IF($O61=1,0,NPV('2027 Avoided Costs'!$D$6,_xlfn._xlws.FILTER('2027 Avoided Costs'!$C$14:$C$47,('2027 Avoided Costs'!$B$14:$B$47&gt;=$B61+1)*('2027 Avoided Costs'!$B$14:$B$47&lt;$B61+ROUND($O61,0)))))+_xlfn.XLOOKUP($B61,'2027 Avoided Costs'!$B$13:$B$47,'2027 Avoided Costs'!$C$13:$C$47),IF($O61=1,0,NPV('2027 Avoided Costs'!$D$6,_xlfn._xlws.FILTER('2027 Avoided Costs'!$E$14:$E$47,('2027 Avoided Costs'!$B$14:$B$47&gt;=$B61+1)*('2027 Avoided Costs'!$B$14:$B$47&lt;$B61+ROUND($O61,0)))))+_xlfn.XLOOKUP($B61,'2027 Avoided Costs'!$B$13:$B$47,'2027 Avoided Costs'!$E$13:$E$47))*IF($AE61&gt;0,$AE61*(1+$W61),0),0)</f>
        <v>761914.34685653774</v>
      </c>
      <c r="AU61" s="290" cm="1">
        <f t="array" ref="AU61">IFERROR((IF($O61=1,0,NPV('2027 Avoided Costs'!$D$6,_xlfn._xlws.FILTER('2027 Avoided Costs'!$M$14:$M$47,('2027 Avoided Costs'!$B$14:$B$47&gt;=$B61+1)*('2027 Avoided Costs'!$B$14:$B$47&lt;$B61+ROUND($O61,0)))))+_xlfn.XLOOKUP($B61,'2027 Avoided Costs'!$B$13:$B$47,'2027 Avoided Costs'!$M$13:$M$47))*IF($AK61&gt;0,$AK61*(1+$W61),0),0)</f>
        <v>0</v>
      </c>
      <c r="AV61" s="291" cm="1">
        <f t="array" ref="AV61">IFERROR((IF($O61=1,0,NPV('2027 Avoided Costs'!$D$6,_xlfn._xlws.FILTER('2027 Avoided Costs'!$Q$14:$Q$47,('2027 Avoided Costs'!$B$14:$B$47&gt;=$B61+1)*('2027 Avoided Costs'!$B$14:$B$47&lt;$B61+ROUND($O61,0)))))+_xlfn.XLOOKUP($B61,'2027 Avoided Costs'!$B$13:$B$47,'2027 Avoided Costs'!$Q$13:$Q$47))*IF($AI61&gt;0,$AI61*(1+$W61),0),0)</f>
        <v>0</v>
      </c>
      <c r="AW61" s="291" cm="1">
        <f t="array" ref="AW61">IFERROR((IF($O61=1,0,NPV('2027 Avoided Costs'!$D$6,_xlfn._xlws.FILTER('2027 Avoided Costs'!$W$14:$W$47,('2027 Avoided Costs'!$B$14:$B$47&gt;=$B61+1)*('2027 Avoided Costs'!$B$14:$B$47&lt;$B61+ROUND($O61,0)))))+_xlfn.XLOOKUP($B61,'2027 Avoided Costs'!$B$13:$B$47,'2027 Avoided Costs'!$W$13:$W$47))*IF($AM61&gt;0,$AM61*(1+$W61),0),0)</f>
        <v>0</v>
      </c>
      <c r="AX61" s="291" cm="1">
        <f t="array" ref="AX61">IFERROR((IF($O61=1,0,NPV('2027 Avoided Costs'!$D$6,_xlfn._xlws.FILTER('2027 Avoided Costs'!$AC$14:$AC$47,('2027 Avoided Costs'!$B$14:$B$47&gt;=$B61+1)*('2027 Avoided Costs'!$B$14:$B$47&lt;$B61+ROUND($O61,0)))))+_xlfn.XLOOKUP($B61,'2027 Avoided Costs'!$B$13:$B$47,'2027 Avoided Costs'!$AC$13:$AC$47))*IF($AO61&gt;0,$AO61*(1+$W61),0),0)</f>
        <v>0</v>
      </c>
      <c r="AY61" s="291" cm="1">
        <f t="array" ref="AY61">IFERROR((IF($O61=1,0,NPV('2027 Avoided Costs'!$D$4,_xlfn._xlws.FILTER('2027 Avoided Costs'!$I$14:$I$47,('2027 Avoided Costs'!$B$14:$B$47&gt;=$B61+1)*('2027 Avoided Costs'!$B$14:$B$47&lt;$B61+ROUND($O61,0)))))+_xlfn.XLOOKUP($B61,'2027 Avoided Costs'!$B$13:$B$47,'2027 Avoided Costs'!$I$13:$I$47))*IF($X61="Residential",'2027 Avoided Costs'!$J$5,IF($X61="Large Volume",'2027 Avoided Costs'!$J$7,'2027 Avoided Costs'!$J$6))*IF($AE61&gt;0,$AE61,0),0)</f>
        <v>0</v>
      </c>
      <c r="AZ61" s="291" cm="1">
        <f t="array" ref="AZ61">IFERROR(IF($J61="Baseload",IF($O61=1,0,NPV('2027 Avoided Costs'!$D$6,_xlfn._xlws.FILTER('2027 Avoided Costs'!$C$14:$C$47,('2027 Avoided Costs'!$B$14:$B$47&gt;=$B61+1)*('2027 Avoided Costs'!$B$14:$B$47&lt;$B61+ROUND($O61,0)))))+_xlfn.XLOOKUP($B61,'2027 Avoided Costs'!$B$13:$B$47,'2027 Avoided Costs'!$C$13:$C$47),IF($O61=1,0,NPV('2027 Avoided Costs'!$D$6,_xlfn._xlws.FILTER('2027 Avoided Costs'!$E$14:$E$47,('2027 Avoided Costs'!$B$14:$B$47&gt;=$B61+1)*('2027 Avoided Costs'!$B$14:$B$47&lt;$B61+ROUND($O61,0)))))+_xlfn.XLOOKUP($B61,'2027 Avoided Costs'!$B$13:$B$47,'2027 Avoided Costs'!$E$13:$E$47))*IF($AE61&lt;0,$AE61*(-1),0),0)</f>
        <v>0</v>
      </c>
      <c r="BA61" s="291" cm="1">
        <f t="array" ref="BA61">IFERROR((IF($O61=1,0,NPV('2027 Avoided Costs'!$D$6,_xlfn._xlws.FILTER('2027 Avoided Costs'!$M$14:$M$47,('2027 Avoided Costs'!$B$14:$B$47&gt;=$B61+1)*('2027 Avoided Costs'!$B$14:$B$47&lt;$B61+ROUND($O61,0)))))+_xlfn.XLOOKUP($B61,'2027 Avoided Costs'!$B$13:$B$47,'2027 Avoided Costs'!$M$13:$M$47))*IF($AK61&lt;0,$AK61*(-1),0),0)</f>
        <v>0</v>
      </c>
      <c r="BB61" s="291" cm="1">
        <f t="array" ref="BB61">IFERROR((IF($O61=1,0,NPV('2027 Avoided Costs'!$D$6,_xlfn._xlws.FILTER('2027 Avoided Costs'!$S$14:$S$47,('2027 Avoided Costs'!$B$14:$B$47&gt;=$B61+1)*('2027 Avoided Costs'!$B$14:$B$47&lt;$B61+ROUND($O61,0)))))+_xlfn.XLOOKUP($B61,'2027 Avoided Costs'!$B$13:$B$47,'2027 Avoided Costs'!$S$13:$S$47))*IF($AI61&lt;0,$AI61*(-1),0),0)</f>
        <v>106134.68742030802</v>
      </c>
      <c r="BC61" s="291" cm="1">
        <f t="array" ref="BC61">IFERROR((IF($O61=1,0,NPV('2027 Avoided Costs'!$D$6,_xlfn._xlws.FILTER('2027 Avoided Costs'!$Y$14:$Y$47,('2027 Avoided Costs'!$B$14:$B$47&gt;=$B61+1)*('2027 Avoided Costs'!$B$14:$B$47&lt;$B61+ROUND($O61,0)))))+_xlfn.XLOOKUP($B61,'2027 Avoided Costs'!$B$13:$B$47,'2027 Avoided Costs'!$Y$13:$Y$47))*IF($AM61&lt;0,$AM61*(-1),0),0)</f>
        <v>218946.03676777415</v>
      </c>
      <c r="BD61" s="291" cm="1">
        <f t="array" ref="BD61">IFERROR((IF($O61=1,0,NPV('2027 Avoided Costs'!$D$6,_xlfn._xlws.FILTER('2027 Avoided Costs'!$AE$14:$AE$47,('2027 Avoided Costs'!$B$14:$B$47&gt;=$B61+1)*('2027 Avoided Costs'!$B$14:$B$47&lt;$B61+ROUND($O61,0)))))+_xlfn.XLOOKUP($B61,'2027 Avoided Costs'!$B$13:$B$47,'2027 Avoided Costs'!$AE$13:$AE$47))*IF($AO61&lt;0,$AO61*(-1),0),0)</f>
        <v>50899.507113291984</v>
      </c>
      <c r="BE61" s="291" cm="1">
        <f t="array" ref="BE61">IFERROR((IF($O61=1,0,NPV('2027 Avoided Costs'!$D$4,_xlfn._xlws.FILTER('2027 Avoided Costs'!$I$14:$I$47,('2027 Avoided Costs'!$B$14:$B$47&gt;=$B61+1)*('2027 Avoided Costs'!$B$14:$B$47&lt;$B61+ROUND($O61,0)))))+_xlfn.XLOOKUP($B61,'2027 Avoided Costs'!$B$13:$B$47,'2027 Avoided Costs'!$I$13:$I$47))*IF($X61="Residential",'2027 Avoided Costs'!$J$5,IF($X61="Large Volume",'2027 Avoided Costs'!$J$7,'2027 Avoided Costs'!$J$6))*IF($AE61&lt;0,$AE61*(-1),0),0)</f>
        <v>0</v>
      </c>
      <c r="BF61" s="291">
        <f t="shared" si="23"/>
        <v>761914.34685653774</v>
      </c>
      <c r="BG61" s="291">
        <f t="shared" si="24"/>
        <v>598671.73130137415</v>
      </c>
      <c r="BH61" s="291">
        <f t="shared" si="25"/>
        <v>163242.61555516359</v>
      </c>
      <c r="BI61" s="292">
        <f t="shared" si="29"/>
        <v>1.2726746679692256</v>
      </c>
      <c r="BJ61" s="196" cm="1">
        <f t="array" ref="BJ61">IFERROR(IF($J61="Baseload",IF($O61=1,0,NPV('2027 Avoided Costs'!$D$6,_xlfn._xlws.FILTER('2027 Avoided Costs'!$C$14:$C$47,('2027 Avoided Costs'!$B$14:$B$47&gt;=$B61+1)*('2027 Avoided Costs'!$B$14:$B$47&lt;$B61+ROUND($O61,0)))))+_xlfn.XLOOKUP($B61,'2027 Avoided Costs'!$B$13:$B$47,'2027 Avoided Costs'!$C$13:$C$47),IF($O61=1,0,NPV('2027 Avoided Costs'!$D$6,_xlfn._xlws.FILTER('2027 Avoided Costs'!$E$14:$E$47,('2027 Avoided Costs'!$B$14:$B$47&gt;=$B61+1)*('2027 Avoided Costs'!$B$14:$B$47&lt;$B61+ROUND($O61,0)))))+_xlfn.XLOOKUP($B61,'2027 Avoided Costs'!$B$13:$B$47,'2027 Avoided Costs'!$E$13:$E$47))*IF($AE61&gt;0,$AE61*(1+0),0),0)</f>
        <v>662534.21465785895</v>
      </c>
      <c r="BK61" s="293">
        <f t="shared" si="26"/>
        <v>3.7198398666710988</v>
      </c>
    </row>
    <row r="62" spans="1:63" s="56" customFormat="1" x14ac:dyDescent="0.25">
      <c r="A62" s="270" t="s">
        <v>133</v>
      </c>
      <c r="B62" s="271">
        <v>2029</v>
      </c>
      <c r="C62" s="272" t="s">
        <v>13</v>
      </c>
      <c r="D62" s="272" t="s">
        <v>9</v>
      </c>
      <c r="E62" s="272" t="s">
        <v>297</v>
      </c>
      <c r="F62" s="273">
        <v>151</v>
      </c>
      <c r="G62" s="274">
        <v>4466.1369232763</v>
      </c>
      <c r="H62" s="275">
        <f t="shared" si="3"/>
        <v>0.96502300196168733</v>
      </c>
      <c r="I62" s="274">
        <v>250</v>
      </c>
      <c r="J62" s="276" t="s">
        <v>264</v>
      </c>
      <c r="K62" s="277">
        <f t="shared" si="27"/>
        <v>0.75</v>
      </c>
      <c r="L62" s="294">
        <v>0.28000000000000003</v>
      </c>
      <c r="M62" s="294">
        <v>0.03</v>
      </c>
      <c r="N62" s="294">
        <v>0.91</v>
      </c>
      <c r="O62" s="279">
        <v>15</v>
      </c>
      <c r="P62" s="280">
        <v>4628.0108496870953</v>
      </c>
      <c r="Q62" s="295">
        <v>1028.9365333333335</v>
      </c>
      <c r="R62" s="296">
        <v>0.62702237439213215</v>
      </c>
      <c r="S62" s="296">
        <v>0.18520206526044927</v>
      </c>
      <c r="T62" s="295">
        <v>0</v>
      </c>
      <c r="U62" s="297">
        <v>0</v>
      </c>
      <c r="V62" s="284">
        <v>14687.528949575606</v>
      </c>
      <c r="W62" s="298">
        <v>0.15</v>
      </c>
      <c r="X62" s="299" t="s">
        <v>255</v>
      </c>
      <c r="Y62" s="300">
        <f t="shared" si="4"/>
        <v>151</v>
      </c>
      <c r="Z62" s="196">
        <f t="shared" si="5"/>
        <v>674386.67541472125</v>
      </c>
      <c r="AA62" s="196">
        <f t="shared" si="6"/>
        <v>37750</v>
      </c>
      <c r="AB62" s="288">
        <f t="shared" si="7"/>
        <v>701631.89710147597</v>
      </c>
      <c r="AC62" s="288">
        <f t="shared" si="28"/>
        <v>39059.767960000005</v>
      </c>
      <c r="AD62" s="287">
        <f t="shared" si="8"/>
        <v>635934.97085550381</v>
      </c>
      <c r="AE62" s="287">
        <f t="shared" si="9"/>
        <v>476951.22814162786</v>
      </c>
      <c r="AF62" s="287">
        <f t="shared" si="10"/>
        <v>9539024.5628325567</v>
      </c>
      <c r="AG62" s="287">
        <f t="shared" si="11"/>
        <v>7154268.4221244175</v>
      </c>
      <c r="AH62" s="300">
        <f t="shared" si="12"/>
        <v>151565.9732165974</v>
      </c>
      <c r="AI62" s="300">
        <f t="shared" si="13"/>
        <v>113674.47991244803</v>
      </c>
      <c r="AJ62" s="300">
        <f t="shared" si="14"/>
        <v>0</v>
      </c>
      <c r="AK62" s="300">
        <f t="shared" si="15"/>
        <v>0</v>
      </c>
      <c r="AL62" s="300">
        <f t="shared" si="16"/>
        <v>92.362602866718944</v>
      </c>
      <c r="AM62" s="300">
        <f t="shared" si="17"/>
        <v>69.271952150039198</v>
      </c>
      <c r="AN62" s="300">
        <f t="shared" si="18"/>
        <v>27.280916124133896</v>
      </c>
      <c r="AO62" s="300">
        <f t="shared" si="19"/>
        <v>20.460687093100425</v>
      </c>
      <c r="AP62" s="300">
        <f t="shared" si="20"/>
        <v>2217816.8713859166</v>
      </c>
      <c r="AQ62" s="300">
        <f t="shared" si="21"/>
        <v>1663362.6535394373</v>
      </c>
      <c r="AR62" s="300">
        <f t="shared" si="22"/>
        <v>0</v>
      </c>
      <c r="AS62" s="301" t="e">
        <f>IF(J62='2027 Avoided Costs'!#REF!,3,5)</f>
        <v>#REF!</v>
      </c>
      <c r="AT62" s="290" cm="1">
        <f t="array" ref="AT62">IFERROR(IF($J62="Baseload",IF($O62=1,0,NPV('2027 Avoided Costs'!$D$6,_xlfn._xlws.FILTER('2027 Avoided Costs'!$C$14:$C$47,('2027 Avoided Costs'!$B$14:$B$47&gt;=$B62+1)*('2027 Avoided Costs'!$B$14:$B$47&lt;$B62+ROUND($O62,0)))))+_xlfn.XLOOKUP($B62,'2027 Avoided Costs'!$B$13:$B$47,'2027 Avoided Costs'!$C$13:$C$47),IF($O62=1,0,NPV('2027 Avoided Costs'!$D$6,_xlfn._xlws.FILTER('2027 Avoided Costs'!$E$14:$E$47,('2027 Avoided Costs'!$B$14:$B$47&gt;=$B62+1)*('2027 Avoided Costs'!$B$14:$B$47&lt;$B62+ROUND($O62,0)))))+_xlfn.XLOOKUP($B62,'2027 Avoided Costs'!$B$13:$B$47,'2027 Avoided Costs'!$E$13:$E$47))*IF($AE62&gt;0,$AE62*(1+$W62),0),0)</f>
        <v>2027544.6364008551</v>
      </c>
      <c r="AU62" s="290" cm="1">
        <f t="array" ref="AU62">IFERROR((IF($O62=1,0,NPV('2027 Avoided Costs'!$D$6,_xlfn._xlws.FILTER('2027 Avoided Costs'!$M$14:$M$47,('2027 Avoided Costs'!$B$14:$B$47&gt;=$B62+1)*('2027 Avoided Costs'!$B$14:$B$47&lt;$B62+ROUND($O62,0)))))+_xlfn.XLOOKUP($B62,'2027 Avoided Costs'!$B$13:$B$47,'2027 Avoided Costs'!$M$13:$M$47))*IF($AK62&gt;0,$AK62*(1+$W62),0),0)</f>
        <v>0</v>
      </c>
      <c r="AV62" s="291" cm="1">
        <f t="array" ref="AV62">IFERROR((IF($O62=1,0,NPV('2027 Avoided Costs'!$D$6,_xlfn._xlws.FILTER('2027 Avoided Costs'!$Q$14:$Q$47,('2027 Avoided Costs'!$B$14:$B$47&gt;=$B62+1)*('2027 Avoided Costs'!$B$14:$B$47&lt;$B62+ROUND($O62,0)))))+_xlfn.XLOOKUP($B62,'2027 Avoided Costs'!$B$13:$B$47,'2027 Avoided Costs'!$Q$13:$Q$47))*IF($AI62&gt;0,$AI62*(1+$W62),0),0)</f>
        <v>74224.059999893201</v>
      </c>
      <c r="AW62" s="291" cm="1">
        <f t="array" ref="AW62">IFERROR((IF($O62=1,0,NPV('2027 Avoided Costs'!$D$6,_xlfn._xlws.FILTER('2027 Avoided Costs'!$W$14:$W$47,('2027 Avoided Costs'!$B$14:$B$47&gt;=$B62+1)*('2027 Avoided Costs'!$B$14:$B$47&lt;$B62+ROUND($O62,0)))))+_xlfn.XLOOKUP($B62,'2027 Avoided Costs'!$B$13:$B$47,'2027 Avoided Costs'!$W$13:$W$47))*IF($AM62&gt;0,$AM62*(1+$W62),0),0)</f>
        <v>280463.26688761538</v>
      </c>
      <c r="AX62" s="291" cm="1">
        <f t="array" ref="AX62">IFERROR((IF($O62=1,0,NPV('2027 Avoided Costs'!$D$6,_xlfn._xlws.FILTER('2027 Avoided Costs'!$AC$14:$AC$47,('2027 Avoided Costs'!$B$14:$B$47&gt;=$B62+1)*('2027 Avoided Costs'!$B$14:$B$47&lt;$B62+ROUND($O62,0)))))+_xlfn.XLOOKUP($B62,'2027 Avoided Costs'!$B$13:$B$47,'2027 Avoided Costs'!$AC$13:$AC$47))*IF($AO62&gt;0,$AO62*(1+$W62),0),0)</f>
        <v>10912.969233264286</v>
      </c>
      <c r="AY62" s="291" cm="1">
        <f t="array" ref="AY62">IFERROR((IF($O62=1,0,NPV('2027 Avoided Costs'!$D$4,_xlfn._xlws.FILTER('2027 Avoided Costs'!$I$14:$I$47,('2027 Avoided Costs'!$B$14:$B$47&gt;=$B62+1)*('2027 Avoided Costs'!$B$14:$B$47&lt;$B62+ROUND($O62,0)))))+_xlfn.XLOOKUP($B62,'2027 Avoided Costs'!$B$13:$B$47,'2027 Avoided Costs'!$I$13:$I$47))*IF($X62="Residential",'2027 Avoided Costs'!$J$5,IF($X62="Large Volume",'2027 Avoided Costs'!$J$7,'2027 Avoided Costs'!$J$6))*IF($AE62&gt;0,$AE62,0),0)</f>
        <v>0</v>
      </c>
      <c r="AZ62" s="291" cm="1">
        <f t="array" ref="AZ62">IFERROR(IF($J62="Baseload",IF($O62=1,0,NPV('2027 Avoided Costs'!$D$6,_xlfn._xlws.FILTER('2027 Avoided Costs'!$C$14:$C$47,('2027 Avoided Costs'!$B$14:$B$47&gt;=$B62+1)*('2027 Avoided Costs'!$B$14:$B$47&lt;$B62+ROUND($O62,0)))))+_xlfn.XLOOKUP($B62,'2027 Avoided Costs'!$B$13:$B$47,'2027 Avoided Costs'!$C$13:$C$47),IF($O62=1,0,NPV('2027 Avoided Costs'!$D$6,_xlfn._xlws.FILTER('2027 Avoided Costs'!$E$14:$E$47,('2027 Avoided Costs'!$B$14:$B$47&gt;=$B62+1)*('2027 Avoided Costs'!$B$14:$B$47&lt;$B62+ROUND($O62,0)))))+_xlfn.XLOOKUP($B62,'2027 Avoided Costs'!$B$13:$B$47,'2027 Avoided Costs'!$E$13:$E$47))*IF($AE62&lt;0,$AE62*(-1),0),0)</f>
        <v>0</v>
      </c>
      <c r="BA62" s="291" cm="1">
        <f t="array" ref="BA62">IFERROR((IF($O62=1,0,NPV('2027 Avoided Costs'!$D$6,_xlfn._xlws.FILTER('2027 Avoided Costs'!$M$14:$M$47,('2027 Avoided Costs'!$B$14:$B$47&gt;=$B62+1)*('2027 Avoided Costs'!$B$14:$B$47&lt;$B62+ROUND($O62,0)))))+_xlfn.XLOOKUP($B62,'2027 Avoided Costs'!$B$13:$B$47,'2027 Avoided Costs'!$M$13:$M$47))*IF($AK62&lt;0,$AK62*(-1),0),0)</f>
        <v>0</v>
      </c>
      <c r="BB62" s="291" cm="1">
        <f t="array" ref="BB62">IFERROR((IF($O62=1,0,NPV('2027 Avoided Costs'!$D$6,_xlfn._xlws.FILTER('2027 Avoided Costs'!$S$14:$S$47,('2027 Avoided Costs'!$B$14:$B$47&gt;=$B62+1)*('2027 Avoided Costs'!$B$14:$B$47&lt;$B62+ROUND($O62,0)))))+_xlfn.XLOOKUP($B62,'2027 Avoided Costs'!$B$13:$B$47,'2027 Avoided Costs'!$S$13:$S$47))*IF($AI62&lt;0,$AI62*(-1),0),0)</f>
        <v>0</v>
      </c>
      <c r="BC62" s="291" cm="1">
        <f t="array" ref="BC62">IFERROR((IF($O62=1,0,NPV('2027 Avoided Costs'!$D$6,_xlfn._xlws.FILTER('2027 Avoided Costs'!$Y$14:$Y$47,('2027 Avoided Costs'!$B$14:$B$47&gt;=$B62+1)*('2027 Avoided Costs'!$B$14:$B$47&lt;$B62+ROUND($O62,0)))))+_xlfn.XLOOKUP($B62,'2027 Avoided Costs'!$B$13:$B$47,'2027 Avoided Costs'!$Y$13:$Y$47))*IF($AM62&lt;0,$AM62*(-1),0),0)</f>
        <v>0</v>
      </c>
      <c r="BD62" s="291" cm="1">
        <f t="array" ref="BD62">IFERROR((IF($O62=1,0,NPV('2027 Avoided Costs'!$D$6,_xlfn._xlws.FILTER('2027 Avoided Costs'!$AE$14:$AE$47,('2027 Avoided Costs'!$B$14:$B$47&gt;=$B62+1)*('2027 Avoided Costs'!$B$14:$B$47&lt;$B62+ROUND($O62,0)))))+_xlfn.XLOOKUP($B62,'2027 Avoided Costs'!$B$13:$B$47,'2027 Avoided Costs'!$AE$13:$AE$47))*IF($AO62&lt;0,$AO62*(-1),0),0)</f>
        <v>0</v>
      </c>
      <c r="BE62" s="291" cm="1">
        <f t="array" ref="BE62">IFERROR((IF($O62=1,0,NPV('2027 Avoided Costs'!$D$4,_xlfn._xlws.FILTER('2027 Avoided Costs'!$I$14:$I$47,('2027 Avoided Costs'!$B$14:$B$47&gt;=$B62+1)*('2027 Avoided Costs'!$B$14:$B$47&lt;$B62+ROUND($O62,0)))))+_xlfn.XLOOKUP($B62,'2027 Avoided Costs'!$B$13:$B$47,'2027 Avoided Costs'!$I$13:$I$47))*IF($X62="Residential",'2027 Avoided Costs'!$J$5,IF($X62="Large Volume",'2027 Avoided Costs'!$J$7,'2027 Avoided Costs'!$J$6))*IF($AE62&lt;0,$AE62*(-1),0),0)</f>
        <v>0</v>
      </c>
      <c r="BF62" s="291">
        <f t="shared" si="23"/>
        <v>2393144.9325216282</v>
      </c>
      <c r="BG62" s="291">
        <f t="shared" si="24"/>
        <v>1663362.6535394373</v>
      </c>
      <c r="BH62" s="291">
        <f t="shared" si="25"/>
        <v>729782.27898219088</v>
      </c>
      <c r="BI62" s="292">
        <f t="shared" si="29"/>
        <v>1.4387391272909136</v>
      </c>
      <c r="BJ62" s="196" cm="1">
        <f t="array" ref="BJ62">IFERROR(IF($J62="Baseload",IF($O62=1,0,NPV('2027 Avoided Costs'!$D$6,_xlfn._xlws.FILTER('2027 Avoided Costs'!$C$14:$C$47,('2027 Avoided Costs'!$B$14:$B$47&gt;=$B62+1)*('2027 Avoided Costs'!$B$14:$B$47&lt;$B62+ROUND($O62,0)))))+_xlfn.XLOOKUP($B62,'2027 Avoided Costs'!$B$13:$B$47,'2027 Avoided Costs'!$C$13:$C$47),IF($O62=1,0,NPV('2027 Avoided Costs'!$D$6,_xlfn._xlws.FILTER('2027 Avoided Costs'!$E$14:$E$47,('2027 Avoided Costs'!$B$14:$B$47&gt;=$B62+1)*('2027 Avoided Costs'!$B$14:$B$47&lt;$B62+ROUND($O62,0)))))+_xlfn.XLOOKUP($B62,'2027 Avoided Costs'!$B$13:$B$47,'2027 Avoided Costs'!$E$13:$E$47))*IF($AE62&gt;0,$AE62*(1+0),0),0)</f>
        <v>1763082.2925224826</v>
      </c>
      <c r="BK62" s="293">
        <f t="shared" si="26"/>
        <v>2.3803187961837673</v>
      </c>
    </row>
    <row r="63" spans="1:63" s="56" customFormat="1" x14ac:dyDescent="0.25">
      <c r="A63" s="270" t="s">
        <v>133</v>
      </c>
      <c r="B63" s="271">
        <v>2029</v>
      </c>
      <c r="C63" s="272" t="s">
        <v>13</v>
      </c>
      <c r="D63" s="272" t="s">
        <v>9</v>
      </c>
      <c r="E63" s="272" t="s">
        <v>355</v>
      </c>
      <c r="F63" s="273">
        <v>27</v>
      </c>
      <c r="G63" s="274">
        <v>4466.1369232763</v>
      </c>
      <c r="H63" s="275">
        <f t="shared" si="3"/>
        <v>0.96502300196168733</v>
      </c>
      <c r="I63" s="274">
        <v>250</v>
      </c>
      <c r="J63" s="276" t="s">
        <v>263</v>
      </c>
      <c r="K63" s="277">
        <f t="shared" si="27"/>
        <v>0.75</v>
      </c>
      <c r="L63" s="294">
        <v>0.28000000000000003</v>
      </c>
      <c r="M63" s="294">
        <v>0.03</v>
      </c>
      <c r="N63" s="294">
        <v>0.91</v>
      </c>
      <c r="O63" s="279">
        <v>15</v>
      </c>
      <c r="P63" s="280">
        <v>4628.0108496870953</v>
      </c>
      <c r="Q63" s="295">
        <v>1028.9365333333335</v>
      </c>
      <c r="R63" s="296">
        <v>0.11745850837138402</v>
      </c>
      <c r="S63" s="296">
        <v>0.11745850837138548</v>
      </c>
      <c r="T63" s="295">
        <v>0</v>
      </c>
      <c r="U63" s="297">
        <v>0</v>
      </c>
      <c r="V63" s="284">
        <v>14687.528949575606</v>
      </c>
      <c r="W63" s="298">
        <v>0.15</v>
      </c>
      <c r="X63" s="299" t="s">
        <v>255</v>
      </c>
      <c r="Y63" s="300">
        <f t="shared" si="4"/>
        <v>27</v>
      </c>
      <c r="Z63" s="196">
        <f t="shared" si="5"/>
        <v>120585.69692846009</v>
      </c>
      <c r="AA63" s="196">
        <f t="shared" si="6"/>
        <v>6750</v>
      </c>
      <c r="AB63" s="288">
        <f t="shared" si="7"/>
        <v>125457.35908436988</v>
      </c>
      <c r="AC63" s="288">
        <f t="shared" si="28"/>
        <v>6984.1969200000012</v>
      </c>
      <c r="AD63" s="287">
        <f t="shared" si="8"/>
        <v>113710.22657681193</v>
      </c>
      <c r="AE63" s="287">
        <f t="shared" si="9"/>
        <v>85282.669932608944</v>
      </c>
      <c r="AF63" s="287">
        <f t="shared" si="10"/>
        <v>1705653.3986521789</v>
      </c>
      <c r="AG63" s="287">
        <f t="shared" si="11"/>
        <v>1279240.0489891341</v>
      </c>
      <c r="AH63" s="300">
        <f t="shared" si="12"/>
        <v>27101.200508928006</v>
      </c>
      <c r="AI63" s="300">
        <f t="shared" si="13"/>
        <v>20325.900381696003</v>
      </c>
      <c r="AJ63" s="300">
        <f t="shared" si="14"/>
        <v>0</v>
      </c>
      <c r="AK63" s="300">
        <f t="shared" si="15"/>
        <v>0</v>
      </c>
      <c r="AL63" s="300">
        <f t="shared" si="16"/>
        <v>3.093744350334219</v>
      </c>
      <c r="AM63" s="300">
        <f t="shared" si="17"/>
        <v>2.3203082627506642</v>
      </c>
      <c r="AN63" s="300">
        <f t="shared" si="18"/>
        <v>3.0937443503342572</v>
      </c>
      <c r="AO63" s="300">
        <f t="shared" si="19"/>
        <v>2.320308262750693</v>
      </c>
      <c r="AP63" s="300">
        <f t="shared" si="20"/>
        <v>396563.28163854138</v>
      </c>
      <c r="AQ63" s="300">
        <f t="shared" si="21"/>
        <v>297422.46122890606</v>
      </c>
      <c r="AR63" s="300">
        <f t="shared" si="22"/>
        <v>0</v>
      </c>
      <c r="AS63" s="301" t="e">
        <f>IF(J63='2027 Avoided Costs'!#REF!,3,5)</f>
        <v>#REF!</v>
      </c>
      <c r="AT63" s="290" cm="1">
        <f t="array" ref="AT63">IFERROR(IF($J63="Baseload",IF($O63=1,0,NPV('2027 Avoided Costs'!$D$6,_xlfn._xlws.FILTER('2027 Avoided Costs'!$C$14:$C$47,('2027 Avoided Costs'!$B$14:$B$47&gt;=$B63+1)*('2027 Avoided Costs'!$B$14:$B$47&lt;$B63+ROUND($O63,0)))))+_xlfn.XLOOKUP($B63,'2027 Avoided Costs'!$B$13:$B$47,'2027 Avoided Costs'!$C$13:$C$47),IF($O63=1,0,NPV('2027 Avoided Costs'!$D$6,_xlfn._xlws.FILTER('2027 Avoided Costs'!$E$14:$E$47,('2027 Avoided Costs'!$B$14:$B$47&gt;=$B63+1)*('2027 Avoided Costs'!$B$14:$B$47&lt;$B63+ROUND($O63,0)))))+_xlfn.XLOOKUP($B63,'2027 Avoided Costs'!$B$13:$B$47,'2027 Avoided Costs'!$E$13:$E$47))*IF($AE63&gt;0,$AE63*(1+$W63),0),0)</f>
        <v>323831.90494043258</v>
      </c>
      <c r="AU63" s="290" cm="1">
        <f t="array" ref="AU63">IFERROR((IF($O63=1,0,NPV('2027 Avoided Costs'!$D$6,_xlfn._xlws.FILTER('2027 Avoided Costs'!$M$14:$M$47,('2027 Avoided Costs'!$B$14:$B$47&gt;=$B63+1)*('2027 Avoided Costs'!$B$14:$B$47&lt;$B63+ROUND($O63,0)))))+_xlfn.XLOOKUP($B63,'2027 Avoided Costs'!$B$13:$B$47,'2027 Avoided Costs'!$M$13:$M$47))*IF($AK63&gt;0,$AK63*(1+$W63),0),0)</f>
        <v>0</v>
      </c>
      <c r="AV63" s="291" cm="1">
        <f t="array" ref="AV63">IFERROR((IF($O63=1,0,NPV('2027 Avoided Costs'!$D$6,_xlfn._xlws.FILTER('2027 Avoided Costs'!$Q$14:$Q$47,('2027 Avoided Costs'!$B$14:$B$47&gt;=$B63+1)*('2027 Avoided Costs'!$B$14:$B$47&lt;$B63+ROUND($O63,0)))))+_xlfn.XLOOKUP($B63,'2027 Avoided Costs'!$B$13:$B$47,'2027 Avoided Costs'!$Q$13:$Q$47))*IF($AI63&gt;0,$AI63*(1+$W63),0),0)</f>
        <v>13271.851788060374</v>
      </c>
      <c r="AW63" s="291" cm="1">
        <f t="array" ref="AW63">IFERROR((IF($O63=1,0,NPV('2027 Avoided Costs'!$D$6,_xlfn._xlws.FILTER('2027 Avoided Costs'!$W$14:$W$47,('2027 Avoided Costs'!$B$14:$B$47&gt;=$B63+1)*('2027 Avoided Costs'!$B$14:$B$47&lt;$B63+ROUND($O63,0)))))+_xlfn.XLOOKUP($B63,'2027 Avoided Costs'!$B$13:$B$47,'2027 Avoided Costs'!$W$13:$W$47))*IF($AM63&gt;0,$AM63*(1+$W63),0),0)</f>
        <v>9394.2961813443053</v>
      </c>
      <c r="AX63" s="291" cm="1">
        <f t="array" ref="AX63">IFERROR((IF($O63=1,0,NPV('2027 Avoided Costs'!$D$6,_xlfn._xlws.FILTER('2027 Avoided Costs'!$AC$14:$AC$47,('2027 Avoided Costs'!$B$14:$B$47&gt;=$B63+1)*('2027 Avoided Costs'!$B$14:$B$47&lt;$B63+ROUND($O63,0)))))+_xlfn.XLOOKUP($B63,'2027 Avoided Costs'!$B$13:$B$47,'2027 Avoided Costs'!$AC$13:$AC$47))*IF($AO63&gt;0,$AO63*(1+$W63),0),0)</f>
        <v>1237.5660977497621</v>
      </c>
      <c r="AY63" s="291" cm="1">
        <f t="array" ref="AY63">IFERROR((IF($O63=1,0,NPV('2027 Avoided Costs'!$D$4,_xlfn._xlws.FILTER('2027 Avoided Costs'!$I$14:$I$47,('2027 Avoided Costs'!$B$14:$B$47&gt;=$B63+1)*('2027 Avoided Costs'!$B$14:$B$47&lt;$B63+ROUND($O63,0)))))+_xlfn.XLOOKUP($B63,'2027 Avoided Costs'!$B$13:$B$47,'2027 Avoided Costs'!$I$13:$I$47))*IF($X63="Residential",'2027 Avoided Costs'!$J$5,IF($X63="Large Volume",'2027 Avoided Costs'!$J$7,'2027 Avoided Costs'!$J$6))*IF($AE63&gt;0,$AE63,0),0)</f>
        <v>0</v>
      </c>
      <c r="AZ63" s="291" cm="1">
        <f t="array" ref="AZ63">IFERROR(IF($J63="Baseload",IF($O63=1,0,NPV('2027 Avoided Costs'!$D$6,_xlfn._xlws.FILTER('2027 Avoided Costs'!$C$14:$C$47,('2027 Avoided Costs'!$B$14:$B$47&gt;=$B63+1)*('2027 Avoided Costs'!$B$14:$B$47&lt;$B63+ROUND($O63,0)))))+_xlfn.XLOOKUP($B63,'2027 Avoided Costs'!$B$13:$B$47,'2027 Avoided Costs'!$C$13:$C$47),IF($O63=1,0,NPV('2027 Avoided Costs'!$D$6,_xlfn._xlws.FILTER('2027 Avoided Costs'!$E$14:$E$47,('2027 Avoided Costs'!$B$14:$B$47&gt;=$B63+1)*('2027 Avoided Costs'!$B$14:$B$47&lt;$B63+ROUND($O63,0)))))+_xlfn.XLOOKUP($B63,'2027 Avoided Costs'!$B$13:$B$47,'2027 Avoided Costs'!$E$13:$E$47))*IF($AE63&lt;0,$AE63*(-1),0),0)</f>
        <v>0</v>
      </c>
      <c r="BA63" s="291" cm="1">
        <f t="array" ref="BA63">IFERROR((IF($O63=1,0,NPV('2027 Avoided Costs'!$D$6,_xlfn._xlws.FILTER('2027 Avoided Costs'!$M$14:$M$47,('2027 Avoided Costs'!$B$14:$B$47&gt;=$B63+1)*('2027 Avoided Costs'!$B$14:$B$47&lt;$B63+ROUND($O63,0)))))+_xlfn.XLOOKUP($B63,'2027 Avoided Costs'!$B$13:$B$47,'2027 Avoided Costs'!$M$13:$M$47))*IF($AK63&lt;0,$AK63*(-1),0),0)</f>
        <v>0</v>
      </c>
      <c r="BB63" s="291" cm="1">
        <f t="array" ref="BB63">IFERROR((IF($O63=1,0,NPV('2027 Avoided Costs'!$D$6,_xlfn._xlws.FILTER('2027 Avoided Costs'!$S$14:$S$47,('2027 Avoided Costs'!$B$14:$B$47&gt;=$B63+1)*('2027 Avoided Costs'!$B$14:$B$47&lt;$B63+ROUND($O63,0)))))+_xlfn.XLOOKUP($B63,'2027 Avoided Costs'!$B$13:$B$47,'2027 Avoided Costs'!$S$13:$S$47))*IF($AI63&lt;0,$AI63*(-1),0),0)</f>
        <v>0</v>
      </c>
      <c r="BC63" s="291" cm="1">
        <f t="array" ref="BC63">IFERROR((IF($O63=1,0,NPV('2027 Avoided Costs'!$D$6,_xlfn._xlws.FILTER('2027 Avoided Costs'!$Y$14:$Y$47,('2027 Avoided Costs'!$B$14:$B$47&gt;=$B63+1)*('2027 Avoided Costs'!$B$14:$B$47&lt;$B63+ROUND($O63,0)))))+_xlfn.XLOOKUP($B63,'2027 Avoided Costs'!$B$13:$B$47,'2027 Avoided Costs'!$Y$13:$Y$47))*IF($AM63&lt;0,$AM63*(-1),0),0)</f>
        <v>0</v>
      </c>
      <c r="BD63" s="291" cm="1">
        <f t="array" ref="BD63">IFERROR((IF($O63=1,0,NPV('2027 Avoided Costs'!$D$6,_xlfn._xlws.FILTER('2027 Avoided Costs'!$AE$14:$AE$47,('2027 Avoided Costs'!$B$14:$B$47&gt;=$B63+1)*('2027 Avoided Costs'!$B$14:$B$47&lt;$B63+ROUND($O63,0)))))+_xlfn.XLOOKUP($B63,'2027 Avoided Costs'!$B$13:$B$47,'2027 Avoided Costs'!$AE$13:$AE$47))*IF($AO63&lt;0,$AO63*(-1),0),0)</f>
        <v>0</v>
      </c>
      <c r="BE63" s="291" cm="1">
        <f t="array" ref="BE63">IFERROR((IF($O63=1,0,NPV('2027 Avoided Costs'!$D$4,_xlfn._xlws.FILTER('2027 Avoided Costs'!$I$14:$I$47,('2027 Avoided Costs'!$B$14:$B$47&gt;=$B63+1)*('2027 Avoided Costs'!$B$14:$B$47&lt;$B63+ROUND($O63,0)))))+_xlfn.XLOOKUP($B63,'2027 Avoided Costs'!$B$13:$B$47,'2027 Avoided Costs'!$I$13:$I$47))*IF($X63="Residential",'2027 Avoided Costs'!$J$5,IF($X63="Large Volume",'2027 Avoided Costs'!$J$7,'2027 Avoided Costs'!$J$6))*IF($AE63&lt;0,$AE63*(-1),0),0)</f>
        <v>0</v>
      </c>
      <c r="BF63" s="291">
        <f t="shared" si="23"/>
        <v>347735.61900758703</v>
      </c>
      <c r="BG63" s="291">
        <f t="shared" si="24"/>
        <v>297422.46122890606</v>
      </c>
      <c r="BH63" s="291">
        <f t="shared" si="25"/>
        <v>50313.157778680965</v>
      </c>
      <c r="BI63" s="292">
        <f t="shared" si="29"/>
        <v>1.1691639480447924</v>
      </c>
      <c r="BJ63" s="196" cm="1">
        <f t="array" ref="BJ63">IFERROR(IF($J63="Baseload",IF($O63=1,0,NPV('2027 Avoided Costs'!$D$6,_xlfn._xlws.FILTER('2027 Avoided Costs'!$C$14:$C$47,('2027 Avoided Costs'!$B$14:$B$47&gt;=$B63+1)*('2027 Avoided Costs'!$B$14:$B$47&lt;$B63+ROUND($O63,0)))))+_xlfn.XLOOKUP($B63,'2027 Avoided Costs'!$B$13:$B$47,'2027 Avoided Costs'!$C$13:$C$47),IF($O63=1,0,NPV('2027 Avoided Costs'!$D$6,_xlfn._xlws.FILTER('2027 Avoided Costs'!$E$14:$E$47,('2027 Avoided Costs'!$B$14:$B$47&gt;=$B63+1)*('2027 Avoided Costs'!$B$14:$B$47&lt;$B63+ROUND($O63,0)))))+_xlfn.XLOOKUP($B63,'2027 Avoided Costs'!$B$13:$B$47,'2027 Avoided Costs'!$E$13:$E$47))*IF($AE63&gt;0,$AE63*(1+0),0),0)</f>
        <v>281592.96081776742</v>
      </c>
      <c r="BK63" s="293">
        <f t="shared" si="26"/>
        <v>2.1261677173928426</v>
      </c>
    </row>
    <row r="64" spans="1:63" s="56" customFormat="1" x14ac:dyDescent="0.25">
      <c r="A64" s="270" t="s">
        <v>133</v>
      </c>
      <c r="B64" s="271">
        <v>2029</v>
      </c>
      <c r="C64" s="272" t="s">
        <v>13</v>
      </c>
      <c r="D64" s="272" t="s">
        <v>9</v>
      </c>
      <c r="E64" s="272" t="s">
        <v>298</v>
      </c>
      <c r="F64" s="273">
        <v>29</v>
      </c>
      <c r="G64" s="274">
        <v>5805.7355271869446</v>
      </c>
      <c r="H64" s="275">
        <f t="shared" si="3"/>
        <v>0.96502300196168722</v>
      </c>
      <c r="I64" s="274">
        <v>250</v>
      </c>
      <c r="J64" s="276" t="s">
        <v>264</v>
      </c>
      <c r="K64" s="277">
        <f t="shared" si="27"/>
        <v>0.75</v>
      </c>
      <c r="L64" s="278">
        <v>0.28000000000000003</v>
      </c>
      <c r="M64" s="278">
        <v>0.03</v>
      </c>
      <c r="N64" s="278">
        <v>0.91</v>
      </c>
      <c r="O64" s="279">
        <v>15</v>
      </c>
      <c r="P64" s="280">
        <v>6016.1628431499712</v>
      </c>
      <c r="Q64" s="281">
        <v>-14282.496956521738</v>
      </c>
      <c r="R64" s="282">
        <v>-3.6</v>
      </c>
      <c r="S64" s="282">
        <v>-6</v>
      </c>
      <c r="T64" s="281">
        <v>0</v>
      </c>
      <c r="U64" s="283">
        <v>0</v>
      </c>
      <c r="V64" s="284">
        <v>14985.931739130434</v>
      </c>
      <c r="W64" s="285">
        <v>0.15</v>
      </c>
      <c r="X64" s="286" t="s">
        <v>255</v>
      </c>
      <c r="Y64" s="287">
        <f t="shared" si="4"/>
        <v>29</v>
      </c>
      <c r="Z64" s="288">
        <f t="shared" si="5"/>
        <v>168366.33028842139</v>
      </c>
      <c r="AA64" s="288">
        <f t="shared" si="6"/>
        <v>7250</v>
      </c>
      <c r="AB64" s="288">
        <f t="shared" si="7"/>
        <v>175168.3300320736</v>
      </c>
      <c r="AC64" s="288">
        <f t="shared" si="28"/>
        <v>7501.5448400000014</v>
      </c>
      <c r="AD64" s="287">
        <f t="shared" si="8"/>
        <v>158766.53743072774</v>
      </c>
      <c r="AE64" s="287">
        <f t="shared" si="9"/>
        <v>119074.9030730458</v>
      </c>
      <c r="AF64" s="287">
        <f t="shared" si="10"/>
        <v>2381498.061460916</v>
      </c>
      <c r="AG64" s="287">
        <f t="shared" si="11"/>
        <v>1786123.546095687</v>
      </c>
      <c r="AH64" s="287">
        <f t="shared" si="12"/>
        <v>-404052.98149975651</v>
      </c>
      <c r="AI64" s="287">
        <f t="shared" si="13"/>
        <v>-303039.73612481746</v>
      </c>
      <c r="AJ64" s="287">
        <f t="shared" si="14"/>
        <v>0</v>
      </c>
      <c r="AK64" s="287">
        <f t="shared" si="15"/>
        <v>0</v>
      </c>
      <c r="AL64" s="287">
        <f t="shared" si="16"/>
        <v>-101.84428800000001</v>
      </c>
      <c r="AM64" s="287">
        <f t="shared" si="17"/>
        <v>-76.383216000000019</v>
      </c>
      <c r="AN64" s="287">
        <f t="shared" si="18"/>
        <v>-169.74048000000002</v>
      </c>
      <c r="AO64" s="287">
        <f t="shared" si="19"/>
        <v>-127.30536000000001</v>
      </c>
      <c r="AP64" s="287">
        <f t="shared" si="20"/>
        <v>434592.02043478261</v>
      </c>
      <c r="AQ64" s="287">
        <f t="shared" si="21"/>
        <v>325944.01532608696</v>
      </c>
      <c r="AR64" s="287">
        <f t="shared" si="22"/>
        <v>0</v>
      </c>
      <c r="AS64" s="289" t="e">
        <f>IF(J64='2027 Avoided Costs'!#REF!,3,5)</f>
        <v>#REF!</v>
      </c>
      <c r="AT64" s="290" cm="1">
        <f t="array" ref="AT64">IFERROR(IF($J64="Baseload",IF($O64=1,0,NPV('2027 Avoided Costs'!$D$6,_xlfn._xlws.FILTER('2027 Avoided Costs'!$C$14:$C$47,('2027 Avoided Costs'!$B$14:$B$47&gt;=$B64+1)*('2027 Avoided Costs'!$B$14:$B$47&lt;$B64+ROUND($O64,0)))))+_xlfn.XLOOKUP($B64,'2027 Avoided Costs'!$B$13:$B$47,'2027 Avoided Costs'!$C$13:$C$47),IF($O64=1,0,NPV('2027 Avoided Costs'!$D$6,_xlfn._xlws.FILTER('2027 Avoided Costs'!$E$14:$E$47,('2027 Avoided Costs'!$B$14:$B$47&gt;=$B64+1)*('2027 Avoided Costs'!$B$14:$B$47&lt;$B64+ROUND($O64,0)))))+_xlfn.XLOOKUP($B64,'2027 Avoided Costs'!$B$13:$B$47,'2027 Avoided Costs'!$E$13:$E$47))*IF($AE64&gt;0,$AE64*(1+$W64),0),0)</f>
        <v>506193.64582915924</v>
      </c>
      <c r="AU64" s="290" cm="1">
        <f t="array" ref="AU64">IFERROR((IF($O64=1,0,NPV('2027 Avoided Costs'!$D$6,_xlfn._xlws.FILTER('2027 Avoided Costs'!$M$14:$M$47,('2027 Avoided Costs'!$B$14:$B$47&gt;=$B64+1)*('2027 Avoided Costs'!$B$14:$B$47&lt;$B64+ROUND($O64,0)))))+_xlfn.XLOOKUP($B64,'2027 Avoided Costs'!$B$13:$B$47,'2027 Avoided Costs'!$M$13:$M$47))*IF($AK64&gt;0,$AK64*(1+$W64),0),0)</f>
        <v>0</v>
      </c>
      <c r="AV64" s="291" cm="1">
        <f t="array" ref="AV64">IFERROR((IF($O64=1,0,NPV('2027 Avoided Costs'!$D$6,_xlfn._xlws.FILTER('2027 Avoided Costs'!$Q$14:$Q$47,('2027 Avoided Costs'!$B$14:$B$47&gt;=$B64+1)*('2027 Avoided Costs'!$B$14:$B$47&lt;$B64+ROUND($O64,0)))))+_xlfn.XLOOKUP($B64,'2027 Avoided Costs'!$B$13:$B$47,'2027 Avoided Costs'!$Q$13:$Q$47))*IF($AI64&gt;0,$AI64*(1+$W64),0),0)</f>
        <v>0</v>
      </c>
      <c r="AW64" s="291" cm="1">
        <f t="array" ref="AW64">IFERROR((IF($O64=1,0,NPV('2027 Avoided Costs'!$D$6,_xlfn._xlws.FILTER('2027 Avoided Costs'!$W$14:$W$47,('2027 Avoided Costs'!$B$14:$B$47&gt;=$B64+1)*('2027 Avoided Costs'!$B$14:$B$47&lt;$B64+ROUND($O64,0)))))+_xlfn.XLOOKUP($B64,'2027 Avoided Costs'!$B$13:$B$47,'2027 Avoided Costs'!$W$13:$W$47))*IF($AM64&gt;0,$AM64*(1+$W64),0),0)</f>
        <v>0</v>
      </c>
      <c r="AX64" s="291" cm="1">
        <f t="array" ref="AX64">IFERROR((IF($O64=1,0,NPV('2027 Avoided Costs'!$D$6,_xlfn._xlws.FILTER('2027 Avoided Costs'!$AC$14:$AC$47,('2027 Avoided Costs'!$B$14:$B$47&gt;=$B64+1)*('2027 Avoided Costs'!$B$14:$B$47&lt;$B64+ROUND($O64,0)))))+_xlfn.XLOOKUP($B64,'2027 Avoided Costs'!$B$13:$B$47,'2027 Avoided Costs'!$AC$13:$AC$47))*IF($AO64&gt;0,$AO64*(1+$W64),0),0)</f>
        <v>0</v>
      </c>
      <c r="AY64" s="291" cm="1">
        <f t="array" ref="AY64">IFERROR((IF($O64=1,0,NPV('2027 Avoided Costs'!$D$4,_xlfn._xlws.FILTER('2027 Avoided Costs'!$I$14:$I$47,('2027 Avoided Costs'!$B$14:$B$47&gt;=$B64+1)*('2027 Avoided Costs'!$B$14:$B$47&lt;$B64+ROUND($O64,0)))))+_xlfn.XLOOKUP($B64,'2027 Avoided Costs'!$B$13:$B$47,'2027 Avoided Costs'!$I$13:$I$47))*IF($X64="Residential",'2027 Avoided Costs'!$J$5,IF($X64="Large Volume",'2027 Avoided Costs'!$J$7,'2027 Avoided Costs'!$J$6))*IF($AE64&gt;0,$AE64,0),0)</f>
        <v>0</v>
      </c>
      <c r="AZ64" s="291" cm="1">
        <f t="array" ref="AZ64">IFERROR(IF($J64="Baseload",IF($O64=1,0,NPV('2027 Avoided Costs'!$D$6,_xlfn._xlws.FILTER('2027 Avoided Costs'!$C$14:$C$47,('2027 Avoided Costs'!$B$14:$B$47&gt;=$B64+1)*('2027 Avoided Costs'!$B$14:$B$47&lt;$B64+ROUND($O64,0)))))+_xlfn.XLOOKUP($B64,'2027 Avoided Costs'!$B$13:$B$47,'2027 Avoided Costs'!$C$13:$C$47),IF($O64=1,0,NPV('2027 Avoided Costs'!$D$6,_xlfn._xlws.FILTER('2027 Avoided Costs'!$E$14:$E$47,('2027 Avoided Costs'!$B$14:$B$47&gt;=$B64+1)*('2027 Avoided Costs'!$B$14:$B$47&lt;$B64+ROUND($O64,0)))))+_xlfn.XLOOKUP($B64,'2027 Avoided Costs'!$B$13:$B$47,'2027 Avoided Costs'!$E$13:$E$47))*IF($AE64&lt;0,$AE64*(-1),0),0)</f>
        <v>0</v>
      </c>
      <c r="BA64" s="291" cm="1">
        <f t="array" ref="BA64">IFERROR((IF($O64=1,0,NPV('2027 Avoided Costs'!$D$6,_xlfn._xlws.FILTER('2027 Avoided Costs'!$M$14:$M$47,('2027 Avoided Costs'!$B$14:$B$47&gt;=$B64+1)*('2027 Avoided Costs'!$B$14:$B$47&lt;$B64+ROUND($O64,0)))))+_xlfn.XLOOKUP($B64,'2027 Avoided Costs'!$B$13:$B$47,'2027 Avoided Costs'!$M$13:$M$47))*IF($AK64&lt;0,$AK64*(-1),0),0)</f>
        <v>0</v>
      </c>
      <c r="BB64" s="291" cm="1">
        <f t="array" ref="BB64">IFERROR((IF($O64=1,0,NPV('2027 Avoided Costs'!$D$6,_xlfn._xlws.FILTER('2027 Avoided Costs'!$S$14:$S$47,('2027 Avoided Costs'!$B$14:$B$47&gt;=$B64+1)*('2027 Avoided Costs'!$B$14:$B$47&lt;$B64+ROUND($O64,0)))))+_xlfn.XLOOKUP($B64,'2027 Avoided Costs'!$B$13:$B$47,'2027 Avoided Costs'!$S$13:$S$47))*IF($AI64&lt;0,$AI64*(-1),0),0)</f>
        <v>172061.40669165849</v>
      </c>
      <c r="BC64" s="291" cm="1">
        <f t="array" ref="BC64">IFERROR((IF($O64=1,0,NPV('2027 Avoided Costs'!$D$6,_xlfn._xlws.FILTER('2027 Avoided Costs'!$Y$14:$Y$47,('2027 Avoided Costs'!$B$14:$B$47&gt;=$B64+1)*('2027 Avoided Costs'!$B$14:$B$47&lt;$B64+ROUND($O64,0)))))+_xlfn.XLOOKUP($B64,'2027 Avoided Costs'!$B$13:$B$47,'2027 Avoided Costs'!$Y$13:$Y$47))*IF($AM64&lt;0,$AM64*(-1),0),0)</f>
        <v>268917.24986536027</v>
      </c>
      <c r="BD64" s="291" cm="1">
        <f t="array" ref="BD64">IFERROR((IF($O64=1,0,NPV('2027 Avoided Costs'!$D$6,_xlfn._xlws.FILTER('2027 Avoided Costs'!$AE$14:$AE$47,('2027 Avoided Costs'!$B$14:$B$47&gt;=$B64+1)*('2027 Avoided Costs'!$B$14:$B$47&lt;$B64+ROUND($O64,0)))))+_xlfn.XLOOKUP($B64,'2027 Avoided Costs'!$B$13:$B$47,'2027 Avoided Costs'!$AE$13:$AE$47))*IF($AO64&lt;0,$AO64*(-1),0),0)</f>
        <v>59043.4282514187</v>
      </c>
      <c r="BE64" s="291" cm="1">
        <f t="array" ref="BE64">IFERROR((IF($O64=1,0,NPV('2027 Avoided Costs'!$D$4,_xlfn._xlws.FILTER('2027 Avoided Costs'!$I$14:$I$47,('2027 Avoided Costs'!$B$14:$B$47&gt;=$B64+1)*('2027 Avoided Costs'!$B$14:$B$47&lt;$B64+ROUND($O64,0)))))+_xlfn.XLOOKUP($B64,'2027 Avoided Costs'!$B$13:$B$47,'2027 Avoided Costs'!$I$13:$I$47))*IF($X64="Residential",'2027 Avoided Costs'!$J$5,IF($X64="Large Volume",'2027 Avoided Costs'!$J$7,'2027 Avoided Costs'!$J$6))*IF($AE64&lt;0,$AE64*(-1),0),0)</f>
        <v>0</v>
      </c>
      <c r="BF64" s="291">
        <f t="shared" si="23"/>
        <v>506193.64582915924</v>
      </c>
      <c r="BG64" s="291">
        <f t="shared" si="24"/>
        <v>825966.1001345244</v>
      </c>
      <c r="BH64" s="291">
        <f t="shared" si="25"/>
        <v>-319772.45430536516</v>
      </c>
      <c r="BI64" s="292">
        <f t="shared" si="29"/>
        <v>0.61285038907373546</v>
      </c>
      <c r="BJ64" s="196" cm="1">
        <f t="array" ref="BJ64">IFERROR(IF($J64="Baseload",IF($O64=1,0,NPV('2027 Avoided Costs'!$D$6,_xlfn._xlws.FILTER('2027 Avoided Costs'!$C$14:$C$47,('2027 Avoided Costs'!$B$14:$B$47&gt;=$B64+1)*('2027 Avoided Costs'!$B$14:$B$47&lt;$B64+ROUND($O64,0)))))+_xlfn.XLOOKUP($B64,'2027 Avoided Costs'!$B$13:$B$47,'2027 Avoided Costs'!$C$13:$C$47),IF($O64=1,0,NPV('2027 Avoided Costs'!$D$6,_xlfn._xlws.FILTER('2027 Avoided Costs'!$E$14:$E$47,('2027 Avoided Costs'!$B$14:$B$47&gt;=$B64+1)*('2027 Avoided Costs'!$B$14:$B$47&lt;$B64+ROUND($O64,0)))))+_xlfn.XLOOKUP($B64,'2027 Avoided Costs'!$B$13:$B$47,'2027 Avoided Costs'!$E$13:$E$47))*IF($AE64&gt;0,$AE64*(1+0),0),0)</f>
        <v>440168.38767752977</v>
      </c>
      <c r="BK64" s="293">
        <f t="shared" si="26"/>
        <v>2.4096386335502018</v>
      </c>
    </row>
    <row r="65" spans="1:63" s="56" customFormat="1" x14ac:dyDescent="0.25">
      <c r="A65" s="270" t="s">
        <v>133</v>
      </c>
      <c r="B65" s="271">
        <v>2029</v>
      </c>
      <c r="C65" s="272" t="s">
        <v>13</v>
      </c>
      <c r="D65" s="272" t="s">
        <v>9</v>
      </c>
      <c r="E65" s="272" t="s">
        <v>345</v>
      </c>
      <c r="F65" s="273">
        <v>1</v>
      </c>
      <c r="G65" s="274">
        <v>0</v>
      </c>
      <c r="H65" s="275">
        <f t="shared" si="3"/>
        <v>0</v>
      </c>
      <c r="I65" s="274">
        <v>0</v>
      </c>
      <c r="J65" s="276" t="s">
        <v>264</v>
      </c>
      <c r="K65" s="277">
        <f t="shared" si="27"/>
        <v>1</v>
      </c>
      <c r="L65" s="278">
        <v>0</v>
      </c>
      <c r="M65" s="278">
        <v>0</v>
      </c>
      <c r="N65" s="278">
        <v>1</v>
      </c>
      <c r="O65" s="279">
        <v>10</v>
      </c>
      <c r="P65" s="280">
        <v>54000</v>
      </c>
      <c r="Q65" s="281">
        <v>0</v>
      </c>
      <c r="R65" s="282">
        <v>0</v>
      </c>
      <c r="S65" s="282">
        <v>0</v>
      </c>
      <c r="T65" s="281">
        <v>0</v>
      </c>
      <c r="U65" s="283">
        <v>0</v>
      </c>
      <c r="V65" s="284">
        <v>0</v>
      </c>
      <c r="W65" s="285">
        <v>0.15</v>
      </c>
      <c r="X65" s="286" t="s">
        <v>255</v>
      </c>
      <c r="Y65" s="287">
        <f t="shared" si="4"/>
        <v>1</v>
      </c>
      <c r="Z65" s="288">
        <f t="shared" si="5"/>
        <v>0</v>
      </c>
      <c r="AA65" s="288">
        <f t="shared" si="6"/>
        <v>0</v>
      </c>
      <c r="AB65" s="288">
        <f t="shared" si="7"/>
        <v>0</v>
      </c>
      <c r="AC65" s="288">
        <f t="shared" si="28"/>
        <v>0</v>
      </c>
      <c r="AD65" s="287">
        <f t="shared" si="8"/>
        <v>54000</v>
      </c>
      <c r="AE65" s="287">
        <f t="shared" si="9"/>
        <v>54000</v>
      </c>
      <c r="AF65" s="287">
        <f t="shared" si="10"/>
        <v>540000</v>
      </c>
      <c r="AG65" s="287">
        <f t="shared" si="11"/>
        <v>540000</v>
      </c>
      <c r="AH65" s="287">
        <f t="shared" si="12"/>
        <v>0</v>
      </c>
      <c r="AI65" s="287">
        <f t="shared" si="13"/>
        <v>0</v>
      </c>
      <c r="AJ65" s="287">
        <f t="shared" si="14"/>
        <v>0</v>
      </c>
      <c r="AK65" s="287">
        <f t="shared" si="15"/>
        <v>0</v>
      </c>
      <c r="AL65" s="287">
        <f t="shared" si="16"/>
        <v>0</v>
      </c>
      <c r="AM65" s="287">
        <f t="shared" si="17"/>
        <v>0</v>
      </c>
      <c r="AN65" s="287">
        <f t="shared" si="18"/>
        <v>0</v>
      </c>
      <c r="AO65" s="287">
        <f t="shared" si="19"/>
        <v>0</v>
      </c>
      <c r="AP65" s="287">
        <f t="shared" si="20"/>
        <v>0</v>
      </c>
      <c r="AQ65" s="287">
        <f t="shared" si="21"/>
        <v>0</v>
      </c>
      <c r="AR65" s="287">
        <f t="shared" si="22"/>
        <v>0</v>
      </c>
      <c r="AS65" s="289" t="e">
        <f>IF(J65='2027 Avoided Costs'!#REF!,3,5)</f>
        <v>#REF!</v>
      </c>
      <c r="AT65" s="290" cm="1">
        <f t="array" ref="AT65">IFERROR(IF($J65="Baseload",IF($O65=1,0,NPV('2027 Avoided Costs'!$D$6,_xlfn._xlws.FILTER('2027 Avoided Costs'!$C$14:$C$47,('2027 Avoided Costs'!$B$14:$B$47&gt;=$B65+1)*('2027 Avoided Costs'!$B$14:$B$47&lt;$B65+ROUND($O65,0)))))+_xlfn.XLOOKUP($B65,'2027 Avoided Costs'!$B$13:$B$47,'2027 Avoided Costs'!$C$13:$C$47),IF($O65=1,0,NPV('2027 Avoided Costs'!$D$6,_xlfn._xlws.FILTER('2027 Avoided Costs'!$E$14:$E$47,('2027 Avoided Costs'!$B$14:$B$47&gt;=$B65+1)*('2027 Avoided Costs'!$B$14:$B$47&lt;$B65+ROUND($O65,0)))))+_xlfn.XLOOKUP($B65,'2027 Avoided Costs'!$B$13:$B$47,'2027 Avoided Costs'!$E$13:$E$47))*IF($AE65&gt;0,$AE65*(1+$W65),0),0)</f>
        <v>164728.61297360592</v>
      </c>
      <c r="AU65" s="290" cm="1">
        <f t="array" ref="AU65">IFERROR((IF($O65=1,0,NPV('2027 Avoided Costs'!$D$6,_xlfn._xlws.FILTER('2027 Avoided Costs'!$M$14:$M$47,('2027 Avoided Costs'!$B$14:$B$47&gt;=$B65+1)*('2027 Avoided Costs'!$B$14:$B$47&lt;$B65+ROUND($O65,0)))))+_xlfn.XLOOKUP($B65,'2027 Avoided Costs'!$B$13:$B$47,'2027 Avoided Costs'!$M$13:$M$47))*IF($AK65&gt;0,$AK65*(1+$W65),0),0)</f>
        <v>0</v>
      </c>
      <c r="AV65" s="291" cm="1">
        <f t="array" ref="AV65">IFERROR((IF($O65=1,0,NPV('2027 Avoided Costs'!$D$6,_xlfn._xlws.FILTER('2027 Avoided Costs'!$Q$14:$Q$47,('2027 Avoided Costs'!$B$14:$B$47&gt;=$B65+1)*('2027 Avoided Costs'!$B$14:$B$47&lt;$B65+ROUND($O65,0)))))+_xlfn.XLOOKUP($B65,'2027 Avoided Costs'!$B$13:$B$47,'2027 Avoided Costs'!$Q$13:$Q$47))*IF($AI65&gt;0,$AI65*(1+$W65),0),0)</f>
        <v>0</v>
      </c>
      <c r="AW65" s="291" cm="1">
        <f t="array" ref="AW65">IFERROR((IF($O65=1,0,NPV('2027 Avoided Costs'!$D$6,_xlfn._xlws.FILTER('2027 Avoided Costs'!$W$14:$W$47,('2027 Avoided Costs'!$B$14:$B$47&gt;=$B65+1)*('2027 Avoided Costs'!$B$14:$B$47&lt;$B65+ROUND($O65,0)))))+_xlfn.XLOOKUP($B65,'2027 Avoided Costs'!$B$13:$B$47,'2027 Avoided Costs'!$W$13:$W$47))*IF($AM65&gt;0,$AM65*(1+$W65),0),0)</f>
        <v>0</v>
      </c>
      <c r="AX65" s="291" cm="1">
        <f t="array" ref="AX65">IFERROR((IF($O65=1,0,NPV('2027 Avoided Costs'!$D$6,_xlfn._xlws.FILTER('2027 Avoided Costs'!$AC$14:$AC$47,('2027 Avoided Costs'!$B$14:$B$47&gt;=$B65+1)*('2027 Avoided Costs'!$B$14:$B$47&lt;$B65+ROUND($O65,0)))))+_xlfn.XLOOKUP($B65,'2027 Avoided Costs'!$B$13:$B$47,'2027 Avoided Costs'!$AC$13:$AC$47))*IF($AO65&gt;0,$AO65*(1+$W65),0),0)</f>
        <v>0</v>
      </c>
      <c r="AY65" s="291" cm="1">
        <f t="array" ref="AY65">IFERROR((IF($O65=1,0,NPV('2027 Avoided Costs'!$D$4,_xlfn._xlws.FILTER('2027 Avoided Costs'!$I$14:$I$47,('2027 Avoided Costs'!$B$14:$B$47&gt;=$B65+1)*('2027 Avoided Costs'!$B$14:$B$47&lt;$B65+ROUND($O65,0)))))+_xlfn.XLOOKUP($B65,'2027 Avoided Costs'!$B$13:$B$47,'2027 Avoided Costs'!$I$13:$I$47))*IF($X65="Residential",'2027 Avoided Costs'!$J$5,IF($X65="Large Volume",'2027 Avoided Costs'!$J$7,'2027 Avoided Costs'!$J$6))*IF($AE65&gt;0,$AE65,0),0)</f>
        <v>0</v>
      </c>
      <c r="AZ65" s="291" cm="1">
        <f t="array" ref="AZ65">IFERROR(IF($J65="Baseload",IF($O65=1,0,NPV('2027 Avoided Costs'!$D$6,_xlfn._xlws.FILTER('2027 Avoided Costs'!$C$14:$C$47,('2027 Avoided Costs'!$B$14:$B$47&gt;=$B65+1)*('2027 Avoided Costs'!$B$14:$B$47&lt;$B65+ROUND($O65,0)))))+_xlfn.XLOOKUP($B65,'2027 Avoided Costs'!$B$13:$B$47,'2027 Avoided Costs'!$C$13:$C$47),IF($O65=1,0,NPV('2027 Avoided Costs'!$D$6,_xlfn._xlws.FILTER('2027 Avoided Costs'!$E$14:$E$47,('2027 Avoided Costs'!$B$14:$B$47&gt;=$B65+1)*('2027 Avoided Costs'!$B$14:$B$47&lt;$B65+ROUND($O65,0)))))+_xlfn.XLOOKUP($B65,'2027 Avoided Costs'!$B$13:$B$47,'2027 Avoided Costs'!$E$13:$E$47))*IF($AE65&lt;0,$AE65*(-1),0),0)</f>
        <v>0</v>
      </c>
      <c r="BA65" s="291" cm="1">
        <f t="array" ref="BA65">IFERROR((IF($O65=1,0,NPV('2027 Avoided Costs'!$D$6,_xlfn._xlws.FILTER('2027 Avoided Costs'!$M$14:$M$47,('2027 Avoided Costs'!$B$14:$B$47&gt;=$B65+1)*('2027 Avoided Costs'!$B$14:$B$47&lt;$B65+ROUND($O65,0)))))+_xlfn.XLOOKUP($B65,'2027 Avoided Costs'!$B$13:$B$47,'2027 Avoided Costs'!$M$13:$M$47))*IF($AK65&lt;0,$AK65*(-1),0),0)</f>
        <v>0</v>
      </c>
      <c r="BB65" s="291" cm="1">
        <f t="array" ref="BB65">IFERROR((IF($O65=1,0,NPV('2027 Avoided Costs'!$D$6,_xlfn._xlws.FILTER('2027 Avoided Costs'!$S$14:$S$47,('2027 Avoided Costs'!$B$14:$B$47&gt;=$B65+1)*('2027 Avoided Costs'!$B$14:$B$47&lt;$B65+ROUND($O65,0)))))+_xlfn.XLOOKUP($B65,'2027 Avoided Costs'!$B$13:$B$47,'2027 Avoided Costs'!$S$13:$S$47))*IF($AI65&lt;0,$AI65*(-1),0),0)</f>
        <v>0</v>
      </c>
      <c r="BC65" s="291" cm="1">
        <f t="array" ref="BC65">IFERROR((IF($O65=1,0,NPV('2027 Avoided Costs'!$D$6,_xlfn._xlws.FILTER('2027 Avoided Costs'!$Y$14:$Y$47,('2027 Avoided Costs'!$B$14:$B$47&gt;=$B65+1)*('2027 Avoided Costs'!$B$14:$B$47&lt;$B65+ROUND($O65,0)))))+_xlfn.XLOOKUP($B65,'2027 Avoided Costs'!$B$13:$B$47,'2027 Avoided Costs'!$Y$13:$Y$47))*IF($AM65&lt;0,$AM65*(-1),0),0)</f>
        <v>0</v>
      </c>
      <c r="BD65" s="291" cm="1">
        <f t="array" ref="BD65">IFERROR((IF($O65=1,0,NPV('2027 Avoided Costs'!$D$6,_xlfn._xlws.FILTER('2027 Avoided Costs'!$AE$14:$AE$47,('2027 Avoided Costs'!$B$14:$B$47&gt;=$B65+1)*('2027 Avoided Costs'!$B$14:$B$47&lt;$B65+ROUND($O65,0)))))+_xlfn.XLOOKUP($B65,'2027 Avoided Costs'!$B$13:$B$47,'2027 Avoided Costs'!$AE$13:$AE$47))*IF($AO65&lt;0,$AO65*(-1),0),0)</f>
        <v>0</v>
      </c>
      <c r="BE65" s="291" cm="1">
        <f t="array" ref="BE65">IFERROR((IF($O65=1,0,NPV('2027 Avoided Costs'!$D$4,_xlfn._xlws.FILTER('2027 Avoided Costs'!$I$14:$I$47,('2027 Avoided Costs'!$B$14:$B$47&gt;=$B65+1)*('2027 Avoided Costs'!$B$14:$B$47&lt;$B65+ROUND($O65,0)))))+_xlfn.XLOOKUP($B65,'2027 Avoided Costs'!$B$13:$B$47,'2027 Avoided Costs'!$I$13:$I$47))*IF($X65="Residential",'2027 Avoided Costs'!$J$5,IF($X65="Large Volume",'2027 Avoided Costs'!$J$7,'2027 Avoided Costs'!$J$6))*IF($AE65&lt;0,$AE65*(-1),0),0)</f>
        <v>0</v>
      </c>
      <c r="BF65" s="291">
        <f t="shared" si="23"/>
        <v>164728.61297360592</v>
      </c>
      <c r="BG65" s="291">
        <f t="shared" si="24"/>
        <v>0</v>
      </c>
      <c r="BH65" s="291">
        <f t="shared" si="25"/>
        <v>164728.61297360592</v>
      </c>
      <c r="BI65" s="292">
        <f t="shared" si="29"/>
        <v>0</v>
      </c>
      <c r="BJ65" s="196" cm="1">
        <f t="array" ref="BJ65">IFERROR(IF($J65="Baseload",IF($O65=1,0,NPV('2027 Avoided Costs'!$D$6,_xlfn._xlws.FILTER('2027 Avoided Costs'!$C$14:$C$47,('2027 Avoided Costs'!$B$14:$B$47&gt;=$B65+1)*('2027 Avoided Costs'!$B$14:$B$47&lt;$B65+ROUND($O65,0)))))+_xlfn.XLOOKUP($B65,'2027 Avoided Costs'!$B$13:$B$47,'2027 Avoided Costs'!$C$13:$C$47),IF($O65=1,0,NPV('2027 Avoided Costs'!$D$6,_xlfn._xlws.FILTER('2027 Avoided Costs'!$E$14:$E$47,('2027 Avoided Costs'!$B$14:$B$47&gt;=$B65+1)*('2027 Avoided Costs'!$B$14:$B$47&lt;$B65+ROUND($O65,0)))))+_xlfn.XLOOKUP($B65,'2027 Avoided Costs'!$B$13:$B$47,'2027 Avoided Costs'!$E$13:$E$47))*IF($AE65&gt;0,$AE65*(1+0),0),0)</f>
        <v>143242.27215096168</v>
      </c>
      <c r="BK65" s="293">
        <f t="shared" si="26"/>
        <v>0</v>
      </c>
    </row>
    <row r="66" spans="1:63" s="56" customFormat="1" x14ac:dyDescent="0.25">
      <c r="A66" s="270" t="s">
        <v>133</v>
      </c>
      <c r="B66" s="271">
        <v>2030</v>
      </c>
      <c r="C66" s="272" t="s">
        <v>13</v>
      </c>
      <c r="D66" s="272" t="s">
        <v>9</v>
      </c>
      <c r="E66" s="272" t="s">
        <v>287</v>
      </c>
      <c r="F66" s="273">
        <v>171</v>
      </c>
      <c r="G66" s="274">
        <v>9897.7876789204147</v>
      </c>
      <c r="H66" s="275">
        <f t="shared" si="3"/>
        <v>0.35</v>
      </c>
      <c r="I66" s="274">
        <v>250</v>
      </c>
      <c r="J66" s="276" t="s">
        <v>264</v>
      </c>
      <c r="K66" s="277">
        <f t="shared" si="27"/>
        <v>0.75</v>
      </c>
      <c r="L66" s="278">
        <v>0.28000000000000003</v>
      </c>
      <c r="M66" s="278">
        <v>0.03</v>
      </c>
      <c r="N66" s="278">
        <v>0.9113</v>
      </c>
      <c r="O66" s="279">
        <v>17</v>
      </c>
      <c r="P66" s="280">
        <v>28279.393368344045</v>
      </c>
      <c r="Q66" s="281">
        <v>-611.54259459459558</v>
      </c>
      <c r="R66" s="282">
        <v>-0.37266719305067764</v>
      </c>
      <c r="S66" s="282">
        <v>-0.11007379740589061</v>
      </c>
      <c r="T66" s="281">
        <v>0</v>
      </c>
      <c r="U66" s="283">
        <v>1</v>
      </c>
      <c r="V66" s="284">
        <v>38932.645584367448</v>
      </c>
      <c r="W66" s="285">
        <v>0.15</v>
      </c>
      <c r="X66" s="286" t="s">
        <v>255</v>
      </c>
      <c r="Y66" s="287">
        <f t="shared" si="4"/>
        <v>171</v>
      </c>
      <c r="Z66" s="288">
        <f t="shared" si="5"/>
        <v>1692521.6930953909</v>
      </c>
      <c r="AA66" s="288">
        <f t="shared" si="6"/>
        <v>42750</v>
      </c>
      <c r="AB66" s="288">
        <f t="shared" si="7"/>
        <v>1796117.5608863735</v>
      </c>
      <c r="AC66" s="288">
        <f t="shared" si="28"/>
        <v>44994.059011152007</v>
      </c>
      <c r="AD66" s="287">
        <f t="shared" si="8"/>
        <v>4406842.9111938002</v>
      </c>
      <c r="AE66" s="287">
        <f t="shared" si="9"/>
        <v>3305132.1833953504</v>
      </c>
      <c r="AF66" s="287">
        <f t="shared" si="10"/>
        <v>74916329.490294605</v>
      </c>
      <c r="AG66" s="287">
        <f t="shared" si="11"/>
        <v>56187247.117720954</v>
      </c>
      <c r="AH66" s="287">
        <f t="shared" si="12"/>
        <v>-102159.55147622574</v>
      </c>
      <c r="AI66" s="287">
        <f t="shared" si="13"/>
        <v>-76619.663607169292</v>
      </c>
      <c r="AJ66" s="287">
        <f t="shared" si="14"/>
        <v>0</v>
      </c>
      <c r="AK66" s="287">
        <f t="shared" si="15"/>
        <v>0</v>
      </c>
      <c r="AL66" s="287">
        <f t="shared" si="16"/>
        <v>-62.254884007220561</v>
      </c>
      <c r="AM66" s="287">
        <f t="shared" si="17"/>
        <v>-46.691163005415419</v>
      </c>
      <c r="AN66" s="287">
        <f t="shared" si="18"/>
        <v>-18.388072836897535</v>
      </c>
      <c r="AO66" s="287">
        <f t="shared" si="19"/>
        <v>-13.79105462767315</v>
      </c>
      <c r="AP66" s="287">
        <f t="shared" si="20"/>
        <v>6657482.3949268339</v>
      </c>
      <c r="AQ66" s="287">
        <f t="shared" si="21"/>
        <v>4993111.7961951252</v>
      </c>
      <c r="AR66" s="287">
        <f t="shared" si="22"/>
        <v>3305132.1833953504</v>
      </c>
      <c r="AS66" s="289" t="e">
        <f>IF(J66='2027 Avoided Costs'!#REF!,3,5)</f>
        <v>#REF!</v>
      </c>
      <c r="AT66" s="290" cm="1">
        <f t="array" ref="AT66">IFERROR(IF($J66="Baseload",IF($O66=1,0,NPV('2027 Avoided Costs'!$D$6,_xlfn._xlws.FILTER('2027 Avoided Costs'!$C$14:$C$47,('2027 Avoided Costs'!$B$14:$B$47&gt;=$B66+1)*('2027 Avoided Costs'!$B$14:$B$47&lt;$B66+ROUND($O66,0)))))+_xlfn.XLOOKUP($B66,'2027 Avoided Costs'!$B$13:$B$47,'2027 Avoided Costs'!$C$13:$C$47),IF($O66=1,0,NPV('2027 Avoided Costs'!$D$6,_xlfn._xlws.FILTER('2027 Avoided Costs'!$E$14:$E$47,('2027 Avoided Costs'!$B$14:$B$47&gt;=$B66+1)*('2027 Avoided Costs'!$B$14:$B$47&lt;$B66+ROUND($O66,0)))))+_xlfn.XLOOKUP($B66,'2027 Avoided Costs'!$B$13:$B$47,'2027 Avoided Costs'!$E$13:$E$47))*IF($AE66&gt;0,$AE66*(1+$W66),0),0)</f>
        <v>16024973.800736569</v>
      </c>
      <c r="AU66" s="290" cm="1">
        <f t="array" ref="AU66">IFERROR((IF($O66=1,0,NPV('2027 Avoided Costs'!$D$6,_xlfn._xlws.FILTER('2027 Avoided Costs'!$M$14:$M$47,('2027 Avoided Costs'!$B$14:$B$47&gt;=$B66+1)*('2027 Avoided Costs'!$B$14:$B$47&lt;$B66+ROUND($O66,0)))))+_xlfn.XLOOKUP($B66,'2027 Avoided Costs'!$B$13:$B$47,'2027 Avoided Costs'!$M$13:$M$47))*IF($AK66&gt;0,$AK66*(1+$W66),0),0)</f>
        <v>0</v>
      </c>
      <c r="AV66" s="291" cm="1">
        <f t="array" ref="AV66">IFERROR((IF($O66=1,0,NPV('2027 Avoided Costs'!$D$6,_xlfn._xlws.FILTER('2027 Avoided Costs'!$Q$14:$Q$47,('2027 Avoided Costs'!$B$14:$B$47&gt;=$B66+1)*('2027 Avoided Costs'!$B$14:$B$47&lt;$B66+ROUND($O66,0)))))+_xlfn.XLOOKUP($B66,'2027 Avoided Costs'!$B$13:$B$47,'2027 Avoided Costs'!$Q$13:$Q$47))*IF($AI66&gt;0,$AI66*(1+$W66),0),0)</f>
        <v>0</v>
      </c>
      <c r="AW66" s="291" cm="1">
        <f t="array" ref="AW66">IFERROR((IF($O66=1,0,NPV('2027 Avoided Costs'!$D$6,_xlfn._xlws.FILTER('2027 Avoided Costs'!$W$14:$W$47,('2027 Avoided Costs'!$B$14:$B$47&gt;=$B66+1)*('2027 Avoided Costs'!$B$14:$B$47&lt;$B66+ROUND($O66,0)))))+_xlfn.XLOOKUP($B66,'2027 Avoided Costs'!$B$13:$B$47,'2027 Avoided Costs'!$W$13:$W$47))*IF($AM66&gt;0,$AM66*(1+$W66),0),0)</f>
        <v>0</v>
      </c>
      <c r="AX66" s="291" cm="1">
        <f t="array" ref="AX66">IFERROR((IF($O66=1,0,NPV('2027 Avoided Costs'!$D$6,_xlfn._xlws.FILTER('2027 Avoided Costs'!$AC$14:$AC$47,('2027 Avoided Costs'!$B$14:$B$47&gt;=$B66+1)*('2027 Avoided Costs'!$B$14:$B$47&lt;$B66+ROUND($O66,0)))))+_xlfn.XLOOKUP($B66,'2027 Avoided Costs'!$B$13:$B$47,'2027 Avoided Costs'!$AC$13:$AC$47))*IF($AO66&gt;0,$AO66*(1+$W66),0),0)</f>
        <v>0</v>
      </c>
      <c r="AY66" s="291" cm="1">
        <f t="array" ref="AY66">IFERROR((IF($O66=1,0,NPV('2027 Avoided Costs'!$D$4,_xlfn._xlws.FILTER('2027 Avoided Costs'!$I$14:$I$47,('2027 Avoided Costs'!$B$14:$B$47&gt;=$B66+1)*('2027 Avoided Costs'!$B$14:$B$47&lt;$B66+ROUND($O66,0)))))+_xlfn.XLOOKUP($B66,'2027 Avoided Costs'!$B$13:$B$47,'2027 Avoided Costs'!$I$13:$I$47))*IF($X66="Residential",'2027 Avoided Costs'!$J$5,IF($X66="Large Volume",'2027 Avoided Costs'!$J$7,'2027 Avoided Costs'!$J$6))*IF($AE66&gt;0,$AE66,0),0)</f>
        <v>0</v>
      </c>
      <c r="AZ66" s="291" cm="1">
        <f t="array" ref="AZ66">IFERROR(IF($J66="Baseload",IF($O66=1,0,NPV('2027 Avoided Costs'!$D$6,_xlfn._xlws.FILTER('2027 Avoided Costs'!$C$14:$C$47,('2027 Avoided Costs'!$B$14:$B$47&gt;=$B66+1)*('2027 Avoided Costs'!$B$14:$B$47&lt;$B66+ROUND($O66,0)))))+_xlfn.XLOOKUP($B66,'2027 Avoided Costs'!$B$13:$B$47,'2027 Avoided Costs'!$C$13:$C$47),IF($O66=1,0,NPV('2027 Avoided Costs'!$D$6,_xlfn._xlws.FILTER('2027 Avoided Costs'!$E$14:$E$47,('2027 Avoided Costs'!$B$14:$B$47&gt;=$B66+1)*('2027 Avoided Costs'!$B$14:$B$47&lt;$B66+ROUND($O66,0)))))+_xlfn.XLOOKUP($B66,'2027 Avoided Costs'!$B$13:$B$47,'2027 Avoided Costs'!$E$13:$E$47))*IF($AE66&lt;0,$AE66*(-1),0),0)</f>
        <v>0</v>
      </c>
      <c r="BA66" s="291" cm="1">
        <f t="array" ref="BA66">IFERROR((IF($O66=1,0,NPV('2027 Avoided Costs'!$D$6,_xlfn._xlws.FILTER('2027 Avoided Costs'!$M$14:$M$47,('2027 Avoided Costs'!$B$14:$B$47&gt;=$B66+1)*('2027 Avoided Costs'!$B$14:$B$47&lt;$B66+ROUND($O66,0)))))+_xlfn.XLOOKUP($B66,'2027 Avoided Costs'!$B$13:$B$47,'2027 Avoided Costs'!$M$13:$M$47))*IF($AK66&lt;0,$AK66*(-1),0),0)</f>
        <v>0</v>
      </c>
      <c r="BB66" s="291" cm="1">
        <f t="array" ref="BB66">IFERROR((IF($O66=1,0,NPV('2027 Avoided Costs'!$D$6,_xlfn._xlws.FILTER('2027 Avoided Costs'!$S$14:$S$47,('2027 Avoided Costs'!$B$14:$B$47&gt;=$B66+1)*('2027 Avoided Costs'!$B$14:$B$47&lt;$B66+ROUND($O66,0)))))+_xlfn.XLOOKUP($B66,'2027 Avoided Costs'!$B$13:$B$47,'2027 Avoided Costs'!$S$13:$S$47))*IF($AI66&lt;0,$AI66*(-1),0),0)</f>
        <v>46408.889110557779</v>
      </c>
      <c r="BC66" s="291" cm="1">
        <f t="array" ref="BC66">IFERROR((IF($O66=1,0,NPV('2027 Avoided Costs'!$D$6,_xlfn._xlws.FILTER('2027 Avoided Costs'!$Y$14:$Y$47,('2027 Avoided Costs'!$B$14:$B$47&gt;=$B66+1)*('2027 Avoided Costs'!$B$14:$B$47&lt;$B66+ROUND($O66,0)))))+_xlfn.XLOOKUP($B66,'2027 Avoided Costs'!$B$13:$B$47,'2027 Avoided Costs'!$Y$13:$Y$47))*IF($AM66&lt;0,$AM66*(-1),0),0)</f>
        <v>183600.39333229215</v>
      </c>
      <c r="BD66" s="291" cm="1">
        <f t="array" ref="BD66">IFERROR((IF($O66=1,0,NPV('2027 Avoided Costs'!$D$6,_xlfn._xlws.FILTER('2027 Avoided Costs'!$AE$14:$AE$47,('2027 Avoided Costs'!$B$14:$B$47&gt;=$B66+1)*('2027 Avoided Costs'!$B$14:$B$47&lt;$B66+ROUND($O66,0)))))+_xlfn.XLOOKUP($B66,'2027 Avoided Costs'!$B$13:$B$47,'2027 Avoided Costs'!$AE$13:$AE$47))*IF($AO66&lt;0,$AO66*(-1),0),0)</f>
        <v>10078.01259224177</v>
      </c>
      <c r="BE66" s="291" cm="1">
        <f t="array" ref="BE66">IFERROR((IF($O66=1,0,NPV('2027 Avoided Costs'!$D$4,_xlfn._xlws.FILTER('2027 Avoided Costs'!$I$14:$I$47,('2027 Avoided Costs'!$B$14:$B$47&gt;=$B66+1)*('2027 Avoided Costs'!$B$14:$B$47&lt;$B66+ROUND($O66,0)))))+_xlfn.XLOOKUP($B66,'2027 Avoided Costs'!$B$13:$B$47,'2027 Avoided Costs'!$I$13:$I$47))*IF($X66="Residential",'2027 Avoided Costs'!$J$5,IF($X66="Large Volume",'2027 Avoided Costs'!$J$7,'2027 Avoided Costs'!$J$6))*IF($AE66&lt;0,$AE66*(-1),0),0)</f>
        <v>0</v>
      </c>
      <c r="BF66" s="291">
        <f t="shared" si="23"/>
        <v>16024973.800736569</v>
      </c>
      <c r="BG66" s="291">
        <f t="shared" si="24"/>
        <v>5233199.0912302174</v>
      </c>
      <c r="BH66" s="291">
        <f t="shared" si="25"/>
        <v>10791774.709506352</v>
      </c>
      <c r="BI66" s="292">
        <f t="shared" si="29"/>
        <v>3.0621754535559678</v>
      </c>
      <c r="BJ66" s="196" cm="1">
        <f t="array" ref="BJ66">IFERROR(IF($J66="Baseload",IF($O66=1,0,NPV('2027 Avoided Costs'!$D$6,_xlfn._xlws.FILTER('2027 Avoided Costs'!$C$14:$C$47,('2027 Avoided Costs'!$B$14:$B$47&gt;=$B66+1)*('2027 Avoided Costs'!$B$14:$B$47&lt;$B66+ROUND($O66,0)))))+_xlfn.XLOOKUP($B66,'2027 Avoided Costs'!$B$13:$B$47,'2027 Avoided Costs'!$C$13:$C$47),IF($O66=1,0,NPV('2027 Avoided Costs'!$D$6,_xlfn._xlws.FILTER('2027 Avoided Costs'!$E$14:$E$47,('2027 Avoided Costs'!$B$14:$B$47&gt;=$B66+1)*('2027 Avoided Costs'!$B$14:$B$47&lt;$B66+ROUND($O66,0)))))+_xlfn.XLOOKUP($B66,'2027 Avoided Costs'!$B$13:$B$47,'2027 Avoided Costs'!$E$13:$E$47))*IF($AE66&gt;0,$AE66*(1+0),0),0)</f>
        <v>13934759.826727452</v>
      </c>
      <c r="BK66" s="293">
        <f t="shared" si="26"/>
        <v>7.5686664926394016</v>
      </c>
    </row>
    <row r="67" spans="1:63" s="56" customFormat="1" x14ac:dyDescent="0.25">
      <c r="A67" s="270" t="s">
        <v>133</v>
      </c>
      <c r="B67" s="271">
        <v>2030</v>
      </c>
      <c r="C67" s="272" t="s">
        <v>13</v>
      </c>
      <c r="D67" s="272" t="s">
        <v>9</v>
      </c>
      <c r="E67" s="272" t="s">
        <v>350</v>
      </c>
      <c r="F67" s="273">
        <v>23</v>
      </c>
      <c r="G67" s="274">
        <v>9897.7876789204147</v>
      </c>
      <c r="H67" s="275">
        <f t="shared" si="3"/>
        <v>0.35</v>
      </c>
      <c r="I67" s="274">
        <v>250</v>
      </c>
      <c r="J67" s="276" t="s">
        <v>263</v>
      </c>
      <c r="K67" s="277">
        <f t="shared" si="27"/>
        <v>0.75</v>
      </c>
      <c r="L67" s="278">
        <v>0.28000000000000003</v>
      </c>
      <c r="M67" s="278">
        <v>0.03</v>
      </c>
      <c r="N67" s="278">
        <v>0.9113</v>
      </c>
      <c r="O67" s="279">
        <v>17</v>
      </c>
      <c r="P67" s="280">
        <v>28279.393368344045</v>
      </c>
      <c r="Q67" s="281">
        <v>-611.54259459459558</v>
      </c>
      <c r="R67" s="282">
        <v>-6.9810798469702048E-2</v>
      </c>
      <c r="S67" s="282">
        <v>-6.9810798469702909E-2</v>
      </c>
      <c r="T67" s="281">
        <v>0</v>
      </c>
      <c r="U67" s="283">
        <v>1</v>
      </c>
      <c r="V67" s="284">
        <v>38932.645584367448</v>
      </c>
      <c r="W67" s="285">
        <v>0.15</v>
      </c>
      <c r="X67" s="286" t="s">
        <v>255</v>
      </c>
      <c r="Y67" s="287">
        <f t="shared" si="4"/>
        <v>23</v>
      </c>
      <c r="Z67" s="288">
        <f t="shared" si="5"/>
        <v>227649.11661516954</v>
      </c>
      <c r="AA67" s="288">
        <f t="shared" si="6"/>
        <v>5750</v>
      </c>
      <c r="AB67" s="288">
        <f t="shared" si="7"/>
        <v>241583.06374495081</v>
      </c>
      <c r="AC67" s="288">
        <f t="shared" si="28"/>
        <v>6051.8324985760009</v>
      </c>
      <c r="AD67" s="287">
        <f t="shared" si="8"/>
        <v>592733.25706115435</v>
      </c>
      <c r="AE67" s="287">
        <f t="shared" si="9"/>
        <v>444549.94279586576</v>
      </c>
      <c r="AF67" s="287">
        <f t="shared" si="10"/>
        <v>10076465.370039623</v>
      </c>
      <c r="AG67" s="287">
        <f t="shared" si="11"/>
        <v>7557349.0275297184</v>
      </c>
      <c r="AH67" s="287">
        <f t="shared" si="12"/>
        <v>-13740.758385691181</v>
      </c>
      <c r="AI67" s="287">
        <f t="shared" si="13"/>
        <v>-10305.568789268385</v>
      </c>
      <c r="AJ67" s="287">
        <f t="shared" si="14"/>
        <v>0</v>
      </c>
      <c r="AK67" s="287">
        <f t="shared" si="15"/>
        <v>0</v>
      </c>
      <c r="AL67" s="287">
        <f t="shared" si="16"/>
        <v>-1.5685797243939557</v>
      </c>
      <c r="AM67" s="287">
        <f t="shared" si="17"/>
        <v>-1.1764347932954666</v>
      </c>
      <c r="AN67" s="287">
        <f t="shared" si="18"/>
        <v>-1.5685797243939752</v>
      </c>
      <c r="AO67" s="287">
        <f t="shared" si="19"/>
        <v>-1.1764347932954815</v>
      </c>
      <c r="AP67" s="287">
        <f t="shared" si="20"/>
        <v>895450.84844045131</v>
      </c>
      <c r="AQ67" s="287">
        <f t="shared" si="21"/>
        <v>671588.13633033843</v>
      </c>
      <c r="AR67" s="287">
        <f t="shared" si="22"/>
        <v>444549.94279586576</v>
      </c>
      <c r="AS67" s="289" t="e">
        <f>IF(J67='2027 Avoided Costs'!#REF!,3,5)</f>
        <v>#REF!</v>
      </c>
      <c r="AT67" s="290" cm="1">
        <f t="array" ref="AT67">IFERROR(IF($J67="Baseload",IF($O67=1,0,NPV('2027 Avoided Costs'!$D$6,_xlfn._xlws.FILTER('2027 Avoided Costs'!$C$14:$C$47,('2027 Avoided Costs'!$B$14:$B$47&gt;=$B67+1)*('2027 Avoided Costs'!$B$14:$B$47&lt;$B67+ROUND($O67,0)))))+_xlfn.XLOOKUP($B67,'2027 Avoided Costs'!$B$13:$B$47,'2027 Avoided Costs'!$C$13:$C$47),IF($O67=1,0,NPV('2027 Avoided Costs'!$D$6,_xlfn._xlws.FILTER('2027 Avoided Costs'!$E$14:$E$47,('2027 Avoided Costs'!$B$14:$B$47&gt;=$B67+1)*('2027 Avoided Costs'!$B$14:$B$47&lt;$B67+ROUND($O67,0)))))+_xlfn.XLOOKUP($B67,'2027 Avoided Costs'!$B$13:$B$47,'2027 Avoided Costs'!$E$13:$E$47))*IF($AE67&gt;0,$AE67*(1+$W67),0),0)</f>
        <v>1930205.928375521</v>
      </c>
      <c r="AU67" s="290" cm="1">
        <f t="array" ref="AU67">IFERROR((IF($O67=1,0,NPV('2027 Avoided Costs'!$D$6,_xlfn._xlws.FILTER('2027 Avoided Costs'!$M$14:$M$47,('2027 Avoided Costs'!$B$14:$B$47&gt;=$B67+1)*('2027 Avoided Costs'!$B$14:$B$47&lt;$B67+ROUND($O67,0)))))+_xlfn.XLOOKUP($B67,'2027 Avoided Costs'!$B$13:$B$47,'2027 Avoided Costs'!$M$13:$M$47))*IF($AK67&gt;0,$AK67*(1+$W67),0),0)</f>
        <v>0</v>
      </c>
      <c r="AV67" s="291" cm="1">
        <f t="array" ref="AV67">IFERROR((IF($O67=1,0,NPV('2027 Avoided Costs'!$D$6,_xlfn._xlws.FILTER('2027 Avoided Costs'!$Q$14:$Q$47,('2027 Avoided Costs'!$B$14:$B$47&gt;=$B67+1)*('2027 Avoided Costs'!$B$14:$B$47&lt;$B67+ROUND($O67,0)))))+_xlfn.XLOOKUP($B67,'2027 Avoided Costs'!$B$13:$B$47,'2027 Avoided Costs'!$Q$13:$Q$47))*IF($AI67&gt;0,$AI67*(1+$W67),0),0)</f>
        <v>0</v>
      </c>
      <c r="AW67" s="291" cm="1">
        <f t="array" ref="AW67">IFERROR((IF($O67=1,0,NPV('2027 Avoided Costs'!$D$6,_xlfn._xlws.FILTER('2027 Avoided Costs'!$W$14:$W$47,('2027 Avoided Costs'!$B$14:$B$47&gt;=$B67+1)*('2027 Avoided Costs'!$B$14:$B$47&lt;$B67+ROUND($O67,0)))))+_xlfn.XLOOKUP($B67,'2027 Avoided Costs'!$B$13:$B$47,'2027 Avoided Costs'!$W$13:$W$47))*IF($AM67&gt;0,$AM67*(1+$W67),0),0)</f>
        <v>0</v>
      </c>
      <c r="AX67" s="291" cm="1">
        <f t="array" ref="AX67">IFERROR((IF($O67=1,0,NPV('2027 Avoided Costs'!$D$6,_xlfn._xlws.FILTER('2027 Avoided Costs'!$AC$14:$AC$47,('2027 Avoided Costs'!$B$14:$B$47&gt;=$B67+1)*('2027 Avoided Costs'!$B$14:$B$47&lt;$B67+ROUND($O67,0)))))+_xlfn.XLOOKUP($B67,'2027 Avoided Costs'!$B$13:$B$47,'2027 Avoided Costs'!$AC$13:$AC$47))*IF($AO67&gt;0,$AO67*(1+$W67),0),0)</f>
        <v>0</v>
      </c>
      <c r="AY67" s="291" cm="1">
        <f t="array" ref="AY67">IFERROR((IF($O67=1,0,NPV('2027 Avoided Costs'!$D$4,_xlfn._xlws.FILTER('2027 Avoided Costs'!$I$14:$I$47,('2027 Avoided Costs'!$B$14:$B$47&gt;=$B67+1)*('2027 Avoided Costs'!$B$14:$B$47&lt;$B67+ROUND($O67,0)))))+_xlfn.XLOOKUP($B67,'2027 Avoided Costs'!$B$13:$B$47,'2027 Avoided Costs'!$I$13:$I$47))*IF($X67="Residential",'2027 Avoided Costs'!$J$5,IF($X67="Large Volume",'2027 Avoided Costs'!$J$7,'2027 Avoided Costs'!$J$6))*IF($AE67&gt;0,$AE67,0),0)</f>
        <v>0</v>
      </c>
      <c r="AZ67" s="291" cm="1">
        <f t="array" ref="AZ67">IFERROR(IF($J67="Baseload",IF($O67=1,0,NPV('2027 Avoided Costs'!$D$6,_xlfn._xlws.FILTER('2027 Avoided Costs'!$C$14:$C$47,('2027 Avoided Costs'!$B$14:$B$47&gt;=$B67+1)*('2027 Avoided Costs'!$B$14:$B$47&lt;$B67+ROUND($O67,0)))))+_xlfn.XLOOKUP($B67,'2027 Avoided Costs'!$B$13:$B$47,'2027 Avoided Costs'!$C$13:$C$47),IF($O67=1,0,NPV('2027 Avoided Costs'!$D$6,_xlfn._xlws.FILTER('2027 Avoided Costs'!$E$14:$E$47,('2027 Avoided Costs'!$B$14:$B$47&gt;=$B67+1)*('2027 Avoided Costs'!$B$14:$B$47&lt;$B67+ROUND($O67,0)))))+_xlfn.XLOOKUP($B67,'2027 Avoided Costs'!$B$13:$B$47,'2027 Avoided Costs'!$E$13:$E$47))*IF($AE67&lt;0,$AE67*(-1),0),0)</f>
        <v>0</v>
      </c>
      <c r="BA67" s="291" cm="1">
        <f t="array" ref="BA67">IFERROR((IF($O67=1,0,NPV('2027 Avoided Costs'!$D$6,_xlfn._xlws.FILTER('2027 Avoided Costs'!$M$14:$M$47,('2027 Avoided Costs'!$B$14:$B$47&gt;=$B67+1)*('2027 Avoided Costs'!$B$14:$B$47&lt;$B67+ROUND($O67,0)))))+_xlfn.XLOOKUP($B67,'2027 Avoided Costs'!$B$13:$B$47,'2027 Avoided Costs'!$M$13:$M$47))*IF($AK67&lt;0,$AK67*(-1),0),0)</f>
        <v>0</v>
      </c>
      <c r="BB67" s="291" cm="1">
        <f t="array" ref="BB67">IFERROR((IF($O67=1,0,NPV('2027 Avoided Costs'!$D$6,_xlfn._xlws.FILTER('2027 Avoided Costs'!$S$14:$S$47,('2027 Avoided Costs'!$B$14:$B$47&gt;=$B67+1)*('2027 Avoided Costs'!$B$14:$B$47&lt;$B67+ROUND($O67,0)))))+_xlfn.XLOOKUP($B67,'2027 Avoided Costs'!$B$13:$B$47,'2027 Avoided Costs'!$S$13:$S$47))*IF($AI67&lt;0,$AI67*(-1),0),0)</f>
        <v>6242.1312838761924</v>
      </c>
      <c r="BC67" s="291" cm="1">
        <f t="array" ref="BC67">IFERROR((IF($O67=1,0,NPV('2027 Avoided Costs'!$D$6,_xlfn._xlws.FILTER('2027 Avoided Costs'!$Y$14:$Y$47,('2027 Avoided Costs'!$B$14:$B$47&gt;=$B67+1)*('2027 Avoided Costs'!$B$14:$B$47&lt;$B67+ROUND($O67,0)))))+_xlfn.XLOOKUP($B67,'2027 Avoided Costs'!$B$13:$B$47,'2027 Avoided Costs'!$Y$13:$Y$47))*IF($AM67&lt;0,$AM67*(-1),0),0)</f>
        <v>4626.0122232078411</v>
      </c>
      <c r="BD67" s="291" cm="1">
        <f t="array" ref="BD67">IFERROR((IF($O67=1,0,NPV('2027 Avoided Costs'!$D$6,_xlfn._xlws.FILTER('2027 Avoided Costs'!$AE$14:$AE$47,('2027 Avoided Costs'!$B$14:$B$47&gt;=$B67+1)*('2027 Avoided Costs'!$B$14:$B$47&lt;$B67+ROUND($O67,0)))))+_xlfn.XLOOKUP($B67,'2027 Avoided Costs'!$B$13:$B$47,'2027 Avoided Costs'!$AE$13:$AE$47))*IF($AO67&lt;0,$AO67*(-1),0),0)</f>
        <v>859.696736824803</v>
      </c>
      <c r="BE67" s="291" cm="1">
        <f t="array" ref="BE67">IFERROR((IF($O67=1,0,NPV('2027 Avoided Costs'!$D$4,_xlfn._xlws.FILTER('2027 Avoided Costs'!$I$14:$I$47,('2027 Avoided Costs'!$B$14:$B$47&gt;=$B67+1)*('2027 Avoided Costs'!$B$14:$B$47&lt;$B67+ROUND($O67,0)))))+_xlfn.XLOOKUP($B67,'2027 Avoided Costs'!$B$13:$B$47,'2027 Avoided Costs'!$I$13:$I$47))*IF($X67="Residential",'2027 Avoided Costs'!$J$5,IF($X67="Large Volume",'2027 Avoided Costs'!$J$7,'2027 Avoided Costs'!$J$6))*IF($AE67&lt;0,$AE67*(-1),0),0)</f>
        <v>0</v>
      </c>
      <c r="BF67" s="291">
        <f t="shared" si="23"/>
        <v>1930205.928375521</v>
      </c>
      <c r="BG67" s="291">
        <f t="shared" si="24"/>
        <v>683315.97657424724</v>
      </c>
      <c r="BH67" s="291">
        <f t="shared" si="25"/>
        <v>1246889.9518012737</v>
      </c>
      <c r="BI67" s="292">
        <f t="shared" si="29"/>
        <v>2.8247633518719435</v>
      </c>
      <c r="BJ67" s="196" cm="1">
        <f t="array" ref="BJ67">IFERROR(IF($J67="Baseload",IF($O67=1,0,NPV('2027 Avoided Costs'!$D$6,_xlfn._xlws.FILTER('2027 Avoided Costs'!$C$14:$C$47,('2027 Avoided Costs'!$B$14:$B$47&gt;=$B67+1)*('2027 Avoided Costs'!$B$14:$B$47&lt;$B67+ROUND($O67,0)))))+_xlfn.XLOOKUP($B67,'2027 Avoided Costs'!$B$13:$B$47,'2027 Avoided Costs'!$C$13:$C$47),IF($O67=1,0,NPV('2027 Avoided Costs'!$D$6,_xlfn._xlws.FILTER('2027 Avoided Costs'!$E$14:$E$47,('2027 Avoided Costs'!$B$14:$B$47&gt;=$B67+1)*('2027 Avoided Costs'!$B$14:$B$47&lt;$B67+ROUND($O67,0)))))+_xlfn.XLOOKUP($B67,'2027 Avoided Costs'!$B$13:$B$47,'2027 Avoided Costs'!$E$13:$E$47))*IF($AE67&gt;0,$AE67*(1+0),0),0)</f>
        <v>1678439.9377178445</v>
      </c>
      <c r="BK67" s="293">
        <f t="shared" si="26"/>
        <v>6.7778813211658537</v>
      </c>
    </row>
    <row r="68" spans="1:63" s="56" customFormat="1" x14ac:dyDescent="0.25">
      <c r="A68" s="270" t="s">
        <v>133</v>
      </c>
      <c r="B68" s="271">
        <v>2030</v>
      </c>
      <c r="C68" s="272" t="s">
        <v>13</v>
      </c>
      <c r="D68" s="272" t="s">
        <v>9</v>
      </c>
      <c r="E68" s="272" t="s">
        <v>288</v>
      </c>
      <c r="F68" s="273">
        <v>10</v>
      </c>
      <c r="G68" s="274">
        <v>328522.88751612336</v>
      </c>
      <c r="H68" s="275">
        <f t="shared" si="3"/>
        <v>0.35</v>
      </c>
      <c r="I68" s="274">
        <v>250</v>
      </c>
      <c r="J68" s="276" t="s">
        <v>264</v>
      </c>
      <c r="K68" s="277">
        <f t="shared" si="27"/>
        <v>0.75</v>
      </c>
      <c r="L68" s="278">
        <v>0.28000000000000003</v>
      </c>
      <c r="M68" s="278">
        <v>0.03</v>
      </c>
      <c r="N68" s="278">
        <v>0.9113</v>
      </c>
      <c r="O68" s="279">
        <v>15</v>
      </c>
      <c r="P68" s="280">
        <v>938636.82147463819</v>
      </c>
      <c r="Q68" s="281">
        <v>-1028725.3874999998</v>
      </c>
      <c r="R68" s="282">
        <v>0</v>
      </c>
      <c r="S68" s="282">
        <v>-431</v>
      </c>
      <c r="T68" s="281">
        <v>0</v>
      </c>
      <c r="U68" s="283">
        <v>1</v>
      </c>
      <c r="V68" s="284">
        <v>2154112.8755555553</v>
      </c>
      <c r="W68" s="285">
        <v>0.15</v>
      </c>
      <c r="X68" s="286" t="s">
        <v>255</v>
      </c>
      <c r="Y68" s="287">
        <f t="shared" si="4"/>
        <v>10</v>
      </c>
      <c r="Z68" s="288">
        <f t="shared" si="5"/>
        <v>3285228.8751612334</v>
      </c>
      <c r="AA68" s="288">
        <f t="shared" si="6"/>
        <v>2500</v>
      </c>
      <c r="AB68" s="288">
        <f t="shared" si="7"/>
        <v>3486311.1641521021</v>
      </c>
      <c r="AC68" s="288">
        <f t="shared" si="28"/>
        <v>2631.2315211200003</v>
      </c>
      <c r="AD68" s="287">
        <f t="shared" si="8"/>
        <v>8553797.3540983777</v>
      </c>
      <c r="AE68" s="287">
        <f t="shared" si="9"/>
        <v>6415348.0155737828</v>
      </c>
      <c r="AF68" s="287">
        <f t="shared" si="10"/>
        <v>128306960.31147566</v>
      </c>
      <c r="AG68" s="287">
        <f t="shared" si="11"/>
        <v>96230220.233606741</v>
      </c>
      <c r="AH68" s="287">
        <f t="shared" si="12"/>
        <v>-10049758.2171402</v>
      </c>
      <c r="AI68" s="287">
        <f t="shared" si="13"/>
        <v>-7537318.6628551492</v>
      </c>
      <c r="AJ68" s="287">
        <f t="shared" si="14"/>
        <v>0</v>
      </c>
      <c r="AK68" s="287">
        <f t="shared" si="15"/>
        <v>0</v>
      </c>
      <c r="AL68" s="287">
        <f t="shared" si="16"/>
        <v>0</v>
      </c>
      <c r="AM68" s="287">
        <f t="shared" si="17"/>
        <v>0</v>
      </c>
      <c r="AN68" s="287">
        <f t="shared" si="18"/>
        <v>-4210.4976160000006</v>
      </c>
      <c r="AO68" s="287">
        <f t="shared" si="19"/>
        <v>-3157.8732120000004</v>
      </c>
      <c r="AP68" s="287">
        <f t="shared" si="20"/>
        <v>21541128.755555555</v>
      </c>
      <c r="AQ68" s="287">
        <f t="shared" si="21"/>
        <v>16155846.566666666</v>
      </c>
      <c r="AR68" s="287">
        <f t="shared" si="22"/>
        <v>6415348.0155737828</v>
      </c>
      <c r="AS68" s="289" t="e">
        <f>IF(J68='2027 Avoided Costs'!#REF!,3,5)</f>
        <v>#REF!</v>
      </c>
      <c r="AT68" s="290" cm="1">
        <f t="array" ref="AT68">IFERROR(IF($J68="Baseload",IF($O68=1,0,NPV('2027 Avoided Costs'!$D$6,_xlfn._xlws.FILTER('2027 Avoided Costs'!$C$14:$C$47,('2027 Avoided Costs'!$B$14:$B$47&gt;=$B68+1)*('2027 Avoided Costs'!$B$14:$B$47&lt;$B68+ROUND($O68,0)))))+_xlfn.XLOOKUP($B68,'2027 Avoided Costs'!$B$13:$B$47,'2027 Avoided Costs'!$C$13:$C$47),IF($O68=1,0,NPV('2027 Avoided Costs'!$D$6,_xlfn._xlws.FILTER('2027 Avoided Costs'!$E$14:$E$47,('2027 Avoided Costs'!$B$14:$B$47&gt;=$B68+1)*('2027 Avoided Costs'!$B$14:$B$47&lt;$B68+ROUND($O68,0)))))+_xlfn.XLOOKUP($B68,'2027 Avoided Costs'!$B$13:$B$47,'2027 Avoided Costs'!$E$13:$E$47))*IF($AE68&gt;0,$AE68*(1+$W68),0),0)</f>
        <v>28131378.139309198</v>
      </c>
      <c r="AU68" s="290" cm="1">
        <f t="array" ref="AU68">IFERROR((IF($O68=1,0,NPV('2027 Avoided Costs'!$D$6,_xlfn._xlws.FILTER('2027 Avoided Costs'!$M$14:$M$47,('2027 Avoided Costs'!$B$14:$B$47&gt;=$B68+1)*('2027 Avoided Costs'!$B$14:$B$47&lt;$B68+ROUND($O68,0)))))+_xlfn.XLOOKUP($B68,'2027 Avoided Costs'!$B$13:$B$47,'2027 Avoided Costs'!$M$13:$M$47))*IF($AK68&gt;0,$AK68*(1+$W68),0),0)</f>
        <v>0</v>
      </c>
      <c r="AV68" s="291" cm="1">
        <f t="array" ref="AV68">IFERROR((IF($O68=1,0,NPV('2027 Avoided Costs'!$D$6,_xlfn._xlws.FILTER('2027 Avoided Costs'!$Q$14:$Q$47,('2027 Avoided Costs'!$B$14:$B$47&gt;=$B68+1)*('2027 Avoided Costs'!$B$14:$B$47&lt;$B68+ROUND($O68,0)))))+_xlfn.XLOOKUP($B68,'2027 Avoided Costs'!$B$13:$B$47,'2027 Avoided Costs'!$Q$13:$Q$47))*IF($AI68&gt;0,$AI68*(1+$W68),0),0)</f>
        <v>0</v>
      </c>
      <c r="AW68" s="291" cm="1">
        <f t="array" ref="AW68">IFERROR((IF($O68=1,0,NPV('2027 Avoided Costs'!$D$6,_xlfn._xlws.FILTER('2027 Avoided Costs'!$W$14:$W$47,('2027 Avoided Costs'!$B$14:$B$47&gt;=$B68+1)*('2027 Avoided Costs'!$B$14:$B$47&lt;$B68+ROUND($O68,0)))))+_xlfn.XLOOKUP($B68,'2027 Avoided Costs'!$B$13:$B$47,'2027 Avoided Costs'!$W$13:$W$47))*IF($AM68&gt;0,$AM68*(1+$W68),0),0)</f>
        <v>0</v>
      </c>
      <c r="AX68" s="291" cm="1">
        <f t="array" ref="AX68">IFERROR((IF($O68=1,0,NPV('2027 Avoided Costs'!$D$6,_xlfn._xlws.FILTER('2027 Avoided Costs'!$AC$14:$AC$47,('2027 Avoided Costs'!$B$14:$B$47&gt;=$B68+1)*('2027 Avoided Costs'!$B$14:$B$47&lt;$B68+ROUND($O68,0)))))+_xlfn.XLOOKUP($B68,'2027 Avoided Costs'!$B$13:$B$47,'2027 Avoided Costs'!$AC$13:$AC$47))*IF($AO68&gt;0,$AO68*(1+$W68),0),0)</f>
        <v>0</v>
      </c>
      <c r="AY68" s="291" cm="1">
        <f t="array" ref="AY68">IFERROR((IF($O68=1,0,NPV('2027 Avoided Costs'!$D$4,_xlfn._xlws.FILTER('2027 Avoided Costs'!$I$14:$I$47,('2027 Avoided Costs'!$B$14:$B$47&gt;=$B68+1)*('2027 Avoided Costs'!$B$14:$B$47&lt;$B68+ROUND($O68,0)))))+_xlfn.XLOOKUP($B68,'2027 Avoided Costs'!$B$13:$B$47,'2027 Avoided Costs'!$I$13:$I$47))*IF($X68="Residential",'2027 Avoided Costs'!$J$5,IF($X68="Large Volume",'2027 Avoided Costs'!$J$7,'2027 Avoided Costs'!$J$6))*IF($AE68&gt;0,$AE68,0),0)</f>
        <v>0</v>
      </c>
      <c r="AZ68" s="291" cm="1">
        <f t="array" ref="AZ68">IFERROR(IF($J68="Baseload",IF($O68=1,0,NPV('2027 Avoided Costs'!$D$6,_xlfn._xlws.FILTER('2027 Avoided Costs'!$C$14:$C$47,('2027 Avoided Costs'!$B$14:$B$47&gt;=$B68+1)*('2027 Avoided Costs'!$B$14:$B$47&lt;$B68+ROUND($O68,0)))))+_xlfn.XLOOKUP($B68,'2027 Avoided Costs'!$B$13:$B$47,'2027 Avoided Costs'!$C$13:$C$47),IF($O68=1,0,NPV('2027 Avoided Costs'!$D$6,_xlfn._xlws.FILTER('2027 Avoided Costs'!$E$14:$E$47,('2027 Avoided Costs'!$B$14:$B$47&gt;=$B68+1)*('2027 Avoided Costs'!$B$14:$B$47&lt;$B68+ROUND($O68,0)))))+_xlfn.XLOOKUP($B68,'2027 Avoided Costs'!$B$13:$B$47,'2027 Avoided Costs'!$E$13:$E$47))*IF($AE68&lt;0,$AE68*(-1),0),0)</f>
        <v>0</v>
      </c>
      <c r="BA68" s="291" cm="1">
        <f t="array" ref="BA68">IFERROR((IF($O68=1,0,NPV('2027 Avoided Costs'!$D$6,_xlfn._xlws.FILTER('2027 Avoided Costs'!$M$14:$M$47,('2027 Avoided Costs'!$B$14:$B$47&gt;=$B68+1)*('2027 Avoided Costs'!$B$14:$B$47&lt;$B68+ROUND($O68,0)))))+_xlfn.XLOOKUP($B68,'2027 Avoided Costs'!$B$13:$B$47,'2027 Avoided Costs'!$M$13:$M$47))*IF($AK68&lt;0,$AK68*(-1),0),0)</f>
        <v>0</v>
      </c>
      <c r="BB68" s="291" cm="1">
        <f t="array" ref="BB68">IFERROR((IF($O68=1,0,NPV('2027 Avoided Costs'!$D$6,_xlfn._xlws.FILTER('2027 Avoided Costs'!$S$14:$S$47,('2027 Avoided Costs'!$B$14:$B$47&gt;=$B68+1)*('2027 Avoided Costs'!$B$14:$B$47&lt;$B68+ROUND($O68,0)))))+_xlfn.XLOOKUP($B68,'2027 Avoided Costs'!$B$13:$B$47,'2027 Avoided Costs'!$S$13:$S$47))*IF($AI68&lt;0,$AI68*(-1),0),0)</f>
        <v>4200231.9300383748</v>
      </c>
      <c r="BC68" s="291" cm="1">
        <f t="array" ref="BC68">IFERROR((IF($O68=1,0,NPV('2027 Avoided Costs'!$D$6,_xlfn._xlws.FILTER('2027 Avoided Costs'!$Y$14:$Y$47,('2027 Avoided Costs'!$B$14:$B$47&gt;=$B68+1)*('2027 Avoided Costs'!$B$14:$B$47&lt;$B68+ROUND($O68,0)))))+_xlfn.XLOOKUP($B68,'2027 Avoided Costs'!$B$13:$B$47,'2027 Avoided Costs'!$Y$13:$Y$47))*IF($AM68&lt;0,$AM68*(-1),0),0)</f>
        <v>0</v>
      </c>
      <c r="BD68" s="291" cm="1">
        <f t="array" ref="BD68">IFERROR((IF($O68=1,0,NPV('2027 Avoided Costs'!$D$6,_xlfn._xlws.FILTER('2027 Avoided Costs'!$AE$14:$AE$47,('2027 Avoided Costs'!$B$14:$B$47&gt;=$B68+1)*('2027 Avoided Costs'!$B$14:$B$47&lt;$B68+ROUND($O68,0)))))+_xlfn.XLOOKUP($B68,'2027 Avoided Costs'!$B$13:$B$47,'2027 Avoided Costs'!$AE$13:$AE$47))*IF($AO68&lt;0,$AO68*(-1),0),0)</f>
        <v>2307661.5135276676</v>
      </c>
      <c r="BE68" s="291" cm="1">
        <f t="array" ref="BE68">IFERROR((IF($O68=1,0,NPV('2027 Avoided Costs'!$D$4,_xlfn._xlws.FILTER('2027 Avoided Costs'!$I$14:$I$47,('2027 Avoided Costs'!$B$14:$B$47&gt;=$B68+1)*('2027 Avoided Costs'!$B$14:$B$47&lt;$B68+ROUND($O68,0)))))+_xlfn.XLOOKUP($B68,'2027 Avoided Costs'!$B$13:$B$47,'2027 Avoided Costs'!$I$13:$I$47))*IF($X68="Residential",'2027 Avoided Costs'!$J$5,IF($X68="Large Volume",'2027 Avoided Costs'!$J$7,'2027 Avoided Costs'!$J$6))*IF($AE68&lt;0,$AE68*(-1),0),0)</f>
        <v>0</v>
      </c>
      <c r="BF68" s="291">
        <f t="shared" si="23"/>
        <v>28131378.139309198</v>
      </c>
      <c r="BG68" s="291">
        <f t="shared" si="24"/>
        <v>22663740.010232709</v>
      </c>
      <c r="BH68" s="291">
        <f t="shared" si="25"/>
        <v>5467638.1290764883</v>
      </c>
      <c r="BI68" s="292">
        <f t="shared" si="29"/>
        <v>1.2412504788092276</v>
      </c>
      <c r="BJ68" s="196" cm="1">
        <f t="array" ref="BJ68">IFERROR(IF($J68="Baseload",IF($O68=1,0,NPV('2027 Avoided Costs'!$D$6,_xlfn._xlws.FILTER('2027 Avoided Costs'!$C$14:$C$47,('2027 Avoided Costs'!$B$14:$B$47&gt;=$B68+1)*('2027 Avoided Costs'!$B$14:$B$47&lt;$B68+ROUND($O68,0)))))+_xlfn.XLOOKUP($B68,'2027 Avoided Costs'!$B$13:$B$47,'2027 Avoided Costs'!$C$13:$C$47),IF($O68=1,0,NPV('2027 Avoided Costs'!$D$6,_xlfn._xlws.FILTER('2027 Avoided Costs'!$E$14:$E$47,('2027 Avoided Costs'!$B$14:$B$47&gt;=$B68+1)*('2027 Avoided Costs'!$B$14:$B$47&lt;$B68+ROUND($O68,0)))))+_xlfn.XLOOKUP($B68,'2027 Avoided Costs'!$B$13:$B$47,'2027 Avoided Costs'!$E$13:$E$47))*IF($AE68&gt;0,$AE68*(1+0),0),0)</f>
        <v>24462067.947225392</v>
      </c>
      <c r="BK68" s="293">
        <f t="shared" si="26"/>
        <v>7.0113132213251177</v>
      </c>
    </row>
    <row r="69" spans="1:63" s="56" customFormat="1" x14ac:dyDescent="0.25">
      <c r="A69" s="270" t="s">
        <v>133</v>
      </c>
      <c r="B69" s="271">
        <v>2030</v>
      </c>
      <c r="C69" s="272" t="s">
        <v>13</v>
      </c>
      <c r="D69" s="272" t="s">
        <v>9</v>
      </c>
      <c r="E69" s="272" t="s">
        <v>289</v>
      </c>
      <c r="F69" s="273">
        <v>206</v>
      </c>
      <c r="G69" s="274">
        <v>4716.3340994866221</v>
      </c>
      <c r="H69" s="275">
        <f t="shared" si="3"/>
        <v>0.96502300196168755</v>
      </c>
      <c r="I69" s="274">
        <v>250</v>
      </c>
      <c r="J69" s="276" t="s">
        <v>264</v>
      </c>
      <c r="K69" s="277">
        <f t="shared" si="27"/>
        <v>0.75</v>
      </c>
      <c r="L69" s="278">
        <v>0.28000000000000003</v>
      </c>
      <c r="M69" s="278">
        <v>0.03</v>
      </c>
      <c r="N69" s="278">
        <v>0.9113</v>
      </c>
      <c r="O69" s="279">
        <v>17</v>
      </c>
      <c r="P69" s="280">
        <v>4887.2763549669935</v>
      </c>
      <c r="Q69" s="281">
        <v>367.32758064516116</v>
      </c>
      <c r="R69" s="282">
        <v>0.22384530467559094</v>
      </c>
      <c r="S69" s="282">
        <v>6.6116640199584784E-2</v>
      </c>
      <c r="T69" s="281">
        <v>0</v>
      </c>
      <c r="U69" s="283">
        <v>0</v>
      </c>
      <c r="V69" s="284">
        <v>15522.169808517197</v>
      </c>
      <c r="W69" s="285">
        <v>0.15</v>
      </c>
      <c r="X69" s="286" t="s">
        <v>255</v>
      </c>
      <c r="Y69" s="287">
        <f t="shared" si="4"/>
        <v>206</v>
      </c>
      <c r="Z69" s="288">
        <f t="shared" si="5"/>
        <v>971564.82449424418</v>
      </c>
      <c r="AA69" s="288">
        <f t="shared" si="6"/>
        <v>51500</v>
      </c>
      <c r="AB69" s="288">
        <f t="shared" si="7"/>
        <v>1031032.3642718878</v>
      </c>
      <c r="AC69" s="288">
        <f t="shared" si="28"/>
        <v>54203.369335072013</v>
      </c>
      <c r="AD69" s="287">
        <f t="shared" si="8"/>
        <v>917477.63810997282</v>
      </c>
      <c r="AE69" s="287">
        <f t="shared" si="9"/>
        <v>688108.22858247964</v>
      </c>
      <c r="AF69" s="287">
        <f t="shared" si="10"/>
        <v>15597119.847869538</v>
      </c>
      <c r="AG69" s="287">
        <f t="shared" si="11"/>
        <v>11697839.885902153</v>
      </c>
      <c r="AH69" s="287">
        <f t="shared" si="12"/>
        <v>73922.545692595071</v>
      </c>
      <c r="AI69" s="287">
        <f t="shared" si="13"/>
        <v>55441.909269446311</v>
      </c>
      <c r="AJ69" s="287">
        <f t="shared" si="14"/>
        <v>0</v>
      </c>
      <c r="AK69" s="287">
        <f t="shared" si="15"/>
        <v>0</v>
      </c>
      <c r="AL69" s="287">
        <f t="shared" si="16"/>
        <v>45.047569621348039</v>
      </c>
      <c r="AM69" s="287">
        <f t="shared" si="17"/>
        <v>33.785677216011038</v>
      </c>
      <c r="AN69" s="287">
        <f t="shared" si="18"/>
        <v>13.305590469439904</v>
      </c>
      <c r="AO69" s="287">
        <f t="shared" si="19"/>
        <v>9.9791928520799296</v>
      </c>
      <c r="AP69" s="287">
        <f t="shared" si="20"/>
        <v>3197566.9805545425</v>
      </c>
      <c r="AQ69" s="287">
        <f t="shared" si="21"/>
        <v>2398175.2354159066</v>
      </c>
      <c r="AR69" s="287">
        <f t="shared" si="22"/>
        <v>0</v>
      </c>
      <c r="AS69" s="289" t="e">
        <f>IF(J69='2027 Avoided Costs'!#REF!,3,5)</f>
        <v>#REF!</v>
      </c>
      <c r="AT69" s="290" cm="1">
        <f t="array" ref="AT69">IFERROR(IF($J69="Baseload",IF($O69=1,0,NPV('2027 Avoided Costs'!$D$6,_xlfn._xlws.FILTER('2027 Avoided Costs'!$C$14:$C$47,('2027 Avoided Costs'!$B$14:$B$47&gt;=$B69+1)*('2027 Avoided Costs'!$B$14:$B$47&lt;$B69+ROUND($O69,0)))))+_xlfn.XLOOKUP($B69,'2027 Avoided Costs'!$B$13:$B$47,'2027 Avoided Costs'!$C$13:$C$47),IF($O69=1,0,NPV('2027 Avoided Costs'!$D$6,_xlfn._xlws.FILTER('2027 Avoided Costs'!$E$14:$E$47,('2027 Avoided Costs'!$B$14:$B$47&gt;=$B69+1)*('2027 Avoided Costs'!$B$14:$B$47&lt;$B69+ROUND($O69,0)))))+_xlfn.XLOOKUP($B69,'2027 Avoided Costs'!$B$13:$B$47,'2027 Avoided Costs'!$E$13:$E$47))*IF($AE69&gt;0,$AE69*(1+$W69),0),0)</f>
        <v>3336301.1593011613</v>
      </c>
      <c r="AU69" s="290" cm="1">
        <f t="array" ref="AU69">IFERROR((IF($O69=1,0,NPV('2027 Avoided Costs'!$D$6,_xlfn._xlws.FILTER('2027 Avoided Costs'!$M$14:$M$47,('2027 Avoided Costs'!$B$14:$B$47&gt;=$B69+1)*('2027 Avoided Costs'!$B$14:$B$47&lt;$B69+ROUND($O69,0)))))+_xlfn.XLOOKUP($B69,'2027 Avoided Costs'!$B$13:$B$47,'2027 Avoided Costs'!$M$13:$M$47))*IF($AK69&gt;0,$AK69*(1+$W69),0),0)</f>
        <v>0</v>
      </c>
      <c r="AV69" s="291" cm="1">
        <f t="array" ref="AV69">IFERROR((IF($O69=1,0,NPV('2027 Avoided Costs'!$D$6,_xlfn._xlws.FILTER('2027 Avoided Costs'!$Q$14:$Q$47,('2027 Avoided Costs'!$B$14:$B$47&gt;=$B69+1)*('2027 Avoided Costs'!$B$14:$B$47&lt;$B69+ROUND($O69,0)))))+_xlfn.XLOOKUP($B69,'2027 Avoided Costs'!$B$13:$B$47,'2027 Avoided Costs'!$Q$13:$Q$47))*IF($AI69&gt;0,$AI69*(1+$W69),0),0)</f>
        <v>38618.637735587392</v>
      </c>
      <c r="AW69" s="291" cm="1">
        <f t="array" ref="AW69">IFERROR((IF($O69=1,0,NPV('2027 Avoided Costs'!$D$6,_xlfn._xlws.FILTER('2027 Avoided Costs'!$W$14:$W$47,('2027 Avoided Costs'!$B$14:$B$47&gt;=$B69+1)*('2027 Avoided Costs'!$B$14:$B$47&lt;$B69+ROUND($O69,0)))))+_xlfn.XLOOKUP($B69,'2027 Avoided Costs'!$B$13:$B$47,'2027 Avoided Costs'!$W$13:$W$47))*IF($AM69&gt;0,$AM69*(1+$W69),0),0)</f>
        <v>152781.0127348667</v>
      </c>
      <c r="AX69" s="291" cm="1">
        <f t="array" ref="AX69">IFERROR((IF($O69=1,0,NPV('2027 Avoided Costs'!$D$6,_xlfn._xlws.FILTER('2027 Avoided Costs'!$AC$14:$AC$47,('2027 Avoided Costs'!$B$14:$B$47&gt;=$B69+1)*('2027 Avoided Costs'!$B$14:$B$47&lt;$B69+ROUND($O69,0)))))+_xlfn.XLOOKUP($B69,'2027 Avoided Costs'!$B$13:$B$47,'2027 Avoided Costs'!$AC$13:$AC$47))*IF($AO69&gt;0,$AO69*(1+$W69),0),0)</f>
        <v>8386.3054008317595</v>
      </c>
      <c r="AY69" s="291" cm="1">
        <f t="array" ref="AY69">IFERROR((IF($O69=1,0,NPV('2027 Avoided Costs'!$D$4,_xlfn._xlws.FILTER('2027 Avoided Costs'!$I$14:$I$47,('2027 Avoided Costs'!$B$14:$B$47&gt;=$B69+1)*('2027 Avoided Costs'!$B$14:$B$47&lt;$B69+ROUND($O69,0)))))+_xlfn.XLOOKUP($B69,'2027 Avoided Costs'!$B$13:$B$47,'2027 Avoided Costs'!$I$13:$I$47))*IF($X69="Residential",'2027 Avoided Costs'!$J$5,IF($X69="Large Volume",'2027 Avoided Costs'!$J$7,'2027 Avoided Costs'!$J$6))*IF($AE69&gt;0,$AE69,0),0)</f>
        <v>0</v>
      </c>
      <c r="AZ69" s="291" cm="1">
        <f t="array" ref="AZ69">IFERROR(IF($J69="Baseload",IF($O69=1,0,NPV('2027 Avoided Costs'!$D$6,_xlfn._xlws.FILTER('2027 Avoided Costs'!$C$14:$C$47,('2027 Avoided Costs'!$B$14:$B$47&gt;=$B69+1)*('2027 Avoided Costs'!$B$14:$B$47&lt;$B69+ROUND($O69,0)))))+_xlfn.XLOOKUP($B69,'2027 Avoided Costs'!$B$13:$B$47,'2027 Avoided Costs'!$C$13:$C$47),IF($O69=1,0,NPV('2027 Avoided Costs'!$D$6,_xlfn._xlws.FILTER('2027 Avoided Costs'!$E$14:$E$47,('2027 Avoided Costs'!$B$14:$B$47&gt;=$B69+1)*('2027 Avoided Costs'!$B$14:$B$47&lt;$B69+ROUND($O69,0)))))+_xlfn.XLOOKUP($B69,'2027 Avoided Costs'!$B$13:$B$47,'2027 Avoided Costs'!$E$13:$E$47))*IF($AE69&lt;0,$AE69*(-1),0),0)</f>
        <v>0</v>
      </c>
      <c r="BA69" s="291" cm="1">
        <f t="array" ref="BA69">IFERROR((IF($O69=1,0,NPV('2027 Avoided Costs'!$D$6,_xlfn._xlws.FILTER('2027 Avoided Costs'!$M$14:$M$47,('2027 Avoided Costs'!$B$14:$B$47&gt;=$B69+1)*('2027 Avoided Costs'!$B$14:$B$47&lt;$B69+ROUND($O69,0)))))+_xlfn.XLOOKUP($B69,'2027 Avoided Costs'!$B$13:$B$47,'2027 Avoided Costs'!$M$13:$M$47))*IF($AK69&lt;0,$AK69*(-1),0),0)</f>
        <v>0</v>
      </c>
      <c r="BB69" s="291" cm="1">
        <f t="array" ref="BB69">IFERROR((IF($O69=1,0,NPV('2027 Avoided Costs'!$D$6,_xlfn._xlws.FILTER('2027 Avoided Costs'!$S$14:$S$47,('2027 Avoided Costs'!$B$14:$B$47&gt;=$B69+1)*('2027 Avoided Costs'!$B$14:$B$47&lt;$B69+ROUND($O69,0)))))+_xlfn.XLOOKUP($B69,'2027 Avoided Costs'!$B$13:$B$47,'2027 Avoided Costs'!$S$13:$S$47))*IF($AI69&lt;0,$AI69*(-1),0),0)</f>
        <v>0</v>
      </c>
      <c r="BC69" s="291" cm="1">
        <f t="array" ref="BC69">IFERROR((IF($O69=1,0,NPV('2027 Avoided Costs'!$D$6,_xlfn._xlws.FILTER('2027 Avoided Costs'!$Y$14:$Y$47,('2027 Avoided Costs'!$B$14:$B$47&gt;=$B69+1)*('2027 Avoided Costs'!$B$14:$B$47&lt;$B69+ROUND($O69,0)))))+_xlfn.XLOOKUP($B69,'2027 Avoided Costs'!$B$13:$B$47,'2027 Avoided Costs'!$Y$13:$Y$47))*IF($AM69&lt;0,$AM69*(-1),0),0)</f>
        <v>0</v>
      </c>
      <c r="BD69" s="291" cm="1">
        <f t="array" ref="BD69">IFERROR((IF($O69=1,0,NPV('2027 Avoided Costs'!$D$6,_xlfn._xlws.FILTER('2027 Avoided Costs'!$AE$14:$AE$47,('2027 Avoided Costs'!$B$14:$B$47&gt;=$B69+1)*('2027 Avoided Costs'!$B$14:$B$47&lt;$B69+ROUND($O69,0)))))+_xlfn.XLOOKUP($B69,'2027 Avoided Costs'!$B$13:$B$47,'2027 Avoided Costs'!$AE$13:$AE$47))*IF($AO69&lt;0,$AO69*(-1),0),0)</f>
        <v>0</v>
      </c>
      <c r="BE69" s="291" cm="1">
        <f t="array" ref="BE69">IFERROR((IF($O69=1,0,NPV('2027 Avoided Costs'!$D$4,_xlfn._xlws.FILTER('2027 Avoided Costs'!$I$14:$I$47,('2027 Avoided Costs'!$B$14:$B$47&gt;=$B69+1)*('2027 Avoided Costs'!$B$14:$B$47&lt;$B69+ROUND($O69,0)))))+_xlfn.XLOOKUP($B69,'2027 Avoided Costs'!$B$13:$B$47,'2027 Avoided Costs'!$I$13:$I$47))*IF($X69="Residential",'2027 Avoided Costs'!$J$5,IF($X69="Large Volume",'2027 Avoided Costs'!$J$7,'2027 Avoided Costs'!$J$6))*IF($AE69&lt;0,$AE69*(-1),0),0)</f>
        <v>0</v>
      </c>
      <c r="BF69" s="291">
        <f t="shared" si="23"/>
        <v>3536087.1151724472</v>
      </c>
      <c r="BG69" s="291">
        <f t="shared" si="24"/>
        <v>2398175.2354159066</v>
      </c>
      <c r="BH69" s="291">
        <f t="shared" si="25"/>
        <v>1137911.8797565405</v>
      </c>
      <c r="BI69" s="292">
        <f t="shared" si="29"/>
        <v>1.4744907140028893</v>
      </c>
      <c r="BJ69" s="196" cm="1">
        <f t="array" ref="BJ69">IFERROR(IF($J69="Baseload",IF($O69=1,0,NPV('2027 Avoided Costs'!$D$6,_xlfn._xlws.FILTER('2027 Avoided Costs'!$C$14:$C$47,('2027 Avoided Costs'!$B$14:$B$47&gt;=$B69+1)*('2027 Avoided Costs'!$B$14:$B$47&lt;$B69+ROUND($O69,0)))))+_xlfn.XLOOKUP($B69,'2027 Avoided Costs'!$B$13:$B$47,'2027 Avoided Costs'!$C$13:$C$47),IF($O69=1,0,NPV('2027 Avoided Costs'!$D$6,_xlfn._xlws.FILTER('2027 Avoided Costs'!$E$14:$E$47,('2027 Avoided Costs'!$B$14:$B$47&gt;=$B69+1)*('2027 Avoided Costs'!$B$14:$B$47&lt;$B69+ROUND($O69,0)))))+_xlfn.XLOOKUP($B69,'2027 Avoided Costs'!$B$13:$B$47,'2027 Avoided Costs'!$E$13:$E$47))*IF($AE69&gt;0,$AE69*(1+0),0),0)</f>
        <v>2901131.4428705755</v>
      </c>
      <c r="BK69" s="293">
        <f t="shared" si="26"/>
        <v>2.6732730530611875</v>
      </c>
    </row>
    <row r="70" spans="1:63" s="56" customFormat="1" x14ac:dyDescent="0.25">
      <c r="A70" s="270" t="s">
        <v>133</v>
      </c>
      <c r="B70" s="271">
        <v>2030</v>
      </c>
      <c r="C70" s="272" t="s">
        <v>13</v>
      </c>
      <c r="D70" s="272" t="s">
        <v>9</v>
      </c>
      <c r="E70" s="272" t="s">
        <v>351</v>
      </c>
      <c r="F70" s="273">
        <v>28</v>
      </c>
      <c r="G70" s="274">
        <v>4716.3340994866221</v>
      </c>
      <c r="H70" s="275">
        <f t="shared" si="3"/>
        <v>0.96502300196168755</v>
      </c>
      <c r="I70" s="274">
        <v>250</v>
      </c>
      <c r="J70" s="276" t="s">
        <v>263</v>
      </c>
      <c r="K70" s="277">
        <f t="shared" si="27"/>
        <v>0.75</v>
      </c>
      <c r="L70" s="278">
        <v>0.28000000000000003</v>
      </c>
      <c r="M70" s="278">
        <v>0.03</v>
      </c>
      <c r="N70" s="278">
        <v>0.9113</v>
      </c>
      <c r="O70" s="279">
        <v>17</v>
      </c>
      <c r="P70" s="280">
        <v>4887.2763549669935</v>
      </c>
      <c r="Q70" s="281">
        <v>367.32758064516116</v>
      </c>
      <c r="R70" s="282">
        <v>4.1932372219766874E-2</v>
      </c>
      <c r="S70" s="282">
        <v>4.1932372219767387E-2</v>
      </c>
      <c r="T70" s="281">
        <v>0</v>
      </c>
      <c r="U70" s="283">
        <v>0</v>
      </c>
      <c r="V70" s="284">
        <v>15522.169808517197</v>
      </c>
      <c r="W70" s="285">
        <v>0.15</v>
      </c>
      <c r="X70" s="286" t="s">
        <v>255</v>
      </c>
      <c r="Y70" s="287">
        <f t="shared" si="4"/>
        <v>28</v>
      </c>
      <c r="Z70" s="288">
        <f t="shared" si="5"/>
        <v>132057.35478562542</v>
      </c>
      <c r="AA70" s="288">
        <f t="shared" si="6"/>
        <v>7000</v>
      </c>
      <c r="AB70" s="288">
        <f t="shared" si="7"/>
        <v>140140.32135734396</v>
      </c>
      <c r="AC70" s="288">
        <f t="shared" si="28"/>
        <v>7367.4482591360011</v>
      </c>
      <c r="AD70" s="287">
        <f t="shared" si="8"/>
        <v>124705.6983838798</v>
      </c>
      <c r="AE70" s="287">
        <f t="shared" si="9"/>
        <v>93529.273787909857</v>
      </c>
      <c r="AF70" s="287">
        <f t="shared" si="10"/>
        <v>2119996.8725259565</v>
      </c>
      <c r="AG70" s="287">
        <f t="shared" si="11"/>
        <v>1589997.6543944676</v>
      </c>
      <c r="AH70" s="287">
        <f t="shared" si="12"/>
        <v>10047.724657245933</v>
      </c>
      <c r="AI70" s="287">
        <f t="shared" si="13"/>
        <v>7535.7934929344501</v>
      </c>
      <c r="AJ70" s="287">
        <f t="shared" si="14"/>
        <v>0</v>
      </c>
      <c r="AK70" s="287">
        <f t="shared" si="15"/>
        <v>0</v>
      </c>
      <c r="AL70" s="287">
        <f t="shared" si="16"/>
        <v>1.1470005316490686</v>
      </c>
      <c r="AM70" s="287">
        <f t="shared" si="17"/>
        <v>0.86025039873680142</v>
      </c>
      <c r="AN70" s="287">
        <f t="shared" si="18"/>
        <v>1.1470005316490826</v>
      </c>
      <c r="AO70" s="287">
        <f t="shared" si="19"/>
        <v>0.86025039873681197</v>
      </c>
      <c r="AP70" s="287">
        <f t="shared" si="20"/>
        <v>434620.75463848154</v>
      </c>
      <c r="AQ70" s="287">
        <f t="shared" si="21"/>
        <v>325965.56597886118</v>
      </c>
      <c r="AR70" s="287">
        <f t="shared" si="22"/>
        <v>0</v>
      </c>
      <c r="AS70" s="289" t="e">
        <f>IF(J70='2027 Avoided Costs'!#REF!,3,5)</f>
        <v>#REF!</v>
      </c>
      <c r="AT70" s="290" cm="1">
        <f t="array" ref="AT70">IFERROR(IF($J70="Baseload",IF($O70=1,0,NPV('2027 Avoided Costs'!$D$6,_xlfn._xlws.FILTER('2027 Avoided Costs'!$C$14:$C$47,('2027 Avoided Costs'!$B$14:$B$47&gt;=$B70+1)*('2027 Avoided Costs'!$B$14:$B$47&lt;$B70+ROUND($O70,0)))))+_xlfn.XLOOKUP($B70,'2027 Avoided Costs'!$B$13:$B$47,'2027 Avoided Costs'!$C$13:$C$47),IF($O70=1,0,NPV('2027 Avoided Costs'!$D$6,_xlfn._xlws.FILTER('2027 Avoided Costs'!$E$14:$E$47,('2027 Avoided Costs'!$B$14:$B$47&gt;=$B70+1)*('2027 Avoided Costs'!$B$14:$B$47&lt;$B70+ROUND($O70,0)))))+_xlfn.XLOOKUP($B70,'2027 Avoided Costs'!$B$13:$B$47,'2027 Avoided Costs'!$E$13:$E$47))*IF($AE70&gt;0,$AE70*(1+$W70),0),0)</f>
        <v>406097.81120808574</v>
      </c>
      <c r="AU70" s="290" cm="1">
        <f t="array" ref="AU70">IFERROR((IF($O70=1,0,NPV('2027 Avoided Costs'!$D$6,_xlfn._xlws.FILTER('2027 Avoided Costs'!$M$14:$M$47,('2027 Avoided Costs'!$B$14:$B$47&gt;=$B70+1)*('2027 Avoided Costs'!$B$14:$B$47&lt;$B70+ROUND($O70,0)))))+_xlfn.XLOOKUP($B70,'2027 Avoided Costs'!$B$13:$B$47,'2027 Avoided Costs'!$M$13:$M$47))*IF($AK70&gt;0,$AK70*(1+$W70),0),0)</f>
        <v>0</v>
      </c>
      <c r="AV70" s="291" cm="1">
        <f t="array" ref="AV70">IFERROR((IF($O70=1,0,NPV('2027 Avoided Costs'!$D$6,_xlfn._xlws.FILTER('2027 Avoided Costs'!$Q$14:$Q$47,('2027 Avoided Costs'!$B$14:$B$47&gt;=$B70+1)*('2027 Avoided Costs'!$B$14:$B$47&lt;$B70+ROUND($O70,0)))))+_xlfn.XLOOKUP($B70,'2027 Avoided Costs'!$B$13:$B$47,'2027 Avoided Costs'!$Q$13:$Q$47))*IF($AI70&gt;0,$AI70*(1+$W70),0),0)</f>
        <v>5249.1352261963448</v>
      </c>
      <c r="AW70" s="291" cm="1">
        <f t="array" ref="AW70">IFERROR((IF($O70=1,0,NPV('2027 Avoided Costs'!$D$6,_xlfn._xlws.FILTER('2027 Avoided Costs'!$W$14:$W$47,('2027 Avoided Costs'!$B$14:$B$47&gt;=$B70+1)*('2027 Avoided Costs'!$B$14:$B$47&lt;$B70+ROUND($O70,0)))))+_xlfn.XLOOKUP($B70,'2027 Avoided Costs'!$B$13:$B$47,'2027 Avoided Costs'!$W$13:$W$47))*IF($AM70&gt;0,$AM70*(1+$W70),0),0)</f>
        <v>3890.1078194844281</v>
      </c>
      <c r="AX70" s="291" cm="1">
        <f t="array" ref="AX70">IFERROR((IF($O70=1,0,NPV('2027 Avoided Costs'!$D$6,_xlfn._xlws.FILTER('2027 Avoided Costs'!$AC$14:$AC$47,('2027 Avoided Costs'!$B$14:$B$47&gt;=$B70+1)*('2027 Avoided Costs'!$B$14:$B$47&lt;$B70+ROUND($O70,0)))))+_xlfn.XLOOKUP($B70,'2027 Avoided Costs'!$B$13:$B$47,'2027 Avoided Costs'!$AC$13:$AC$47))*IF($AO70&gt;0,$AO70*(1+$W70),0),0)</f>
        <v>722.93648112938752</v>
      </c>
      <c r="AY70" s="291" cm="1">
        <f t="array" ref="AY70">IFERROR((IF($O70=1,0,NPV('2027 Avoided Costs'!$D$4,_xlfn._xlws.FILTER('2027 Avoided Costs'!$I$14:$I$47,('2027 Avoided Costs'!$B$14:$B$47&gt;=$B70+1)*('2027 Avoided Costs'!$B$14:$B$47&lt;$B70+ROUND($O70,0)))))+_xlfn.XLOOKUP($B70,'2027 Avoided Costs'!$B$13:$B$47,'2027 Avoided Costs'!$I$13:$I$47))*IF($X70="Residential",'2027 Avoided Costs'!$J$5,IF($X70="Large Volume",'2027 Avoided Costs'!$J$7,'2027 Avoided Costs'!$J$6))*IF($AE70&gt;0,$AE70,0),0)</f>
        <v>0</v>
      </c>
      <c r="AZ70" s="291" cm="1">
        <f t="array" ref="AZ70">IFERROR(IF($J70="Baseload",IF($O70=1,0,NPV('2027 Avoided Costs'!$D$6,_xlfn._xlws.FILTER('2027 Avoided Costs'!$C$14:$C$47,('2027 Avoided Costs'!$B$14:$B$47&gt;=$B70+1)*('2027 Avoided Costs'!$B$14:$B$47&lt;$B70+ROUND($O70,0)))))+_xlfn.XLOOKUP($B70,'2027 Avoided Costs'!$B$13:$B$47,'2027 Avoided Costs'!$C$13:$C$47),IF($O70=1,0,NPV('2027 Avoided Costs'!$D$6,_xlfn._xlws.FILTER('2027 Avoided Costs'!$E$14:$E$47,('2027 Avoided Costs'!$B$14:$B$47&gt;=$B70+1)*('2027 Avoided Costs'!$B$14:$B$47&lt;$B70+ROUND($O70,0)))))+_xlfn.XLOOKUP($B70,'2027 Avoided Costs'!$B$13:$B$47,'2027 Avoided Costs'!$E$13:$E$47))*IF($AE70&lt;0,$AE70*(-1),0),0)</f>
        <v>0</v>
      </c>
      <c r="BA70" s="291" cm="1">
        <f t="array" ref="BA70">IFERROR((IF($O70=1,0,NPV('2027 Avoided Costs'!$D$6,_xlfn._xlws.FILTER('2027 Avoided Costs'!$M$14:$M$47,('2027 Avoided Costs'!$B$14:$B$47&gt;=$B70+1)*('2027 Avoided Costs'!$B$14:$B$47&lt;$B70+ROUND($O70,0)))))+_xlfn.XLOOKUP($B70,'2027 Avoided Costs'!$B$13:$B$47,'2027 Avoided Costs'!$M$13:$M$47))*IF($AK70&lt;0,$AK70*(-1),0),0)</f>
        <v>0</v>
      </c>
      <c r="BB70" s="291" cm="1">
        <f t="array" ref="BB70">IFERROR((IF($O70=1,0,NPV('2027 Avoided Costs'!$D$6,_xlfn._xlws.FILTER('2027 Avoided Costs'!$S$14:$S$47,('2027 Avoided Costs'!$B$14:$B$47&gt;=$B70+1)*('2027 Avoided Costs'!$B$14:$B$47&lt;$B70+ROUND($O70,0)))))+_xlfn.XLOOKUP($B70,'2027 Avoided Costs'!$B$13:$B$47,'2027 Avoided Costs'!$S$13:$S$47))*IF($AI70&lt;0,$AI70*(-1),0),0)</f>
        <v>0</v>
      </c>
      <c r="BC70" s="291" cm="1">
        <f t="array" ref="BC70">IFERROR((IF($O70=1,0,NPV('2027 Avoided Costs'!$D$6,_xlfn._xlws.FILTER('2027 Avoided Costs'!$Y$14:$Y$47,('2027 Avoided Costs'!$B$14:$B$47&gt;=$B70+1)*('2027 Avoided Costs'!$B$14:$B$47&lt;$B70+ROUND($O70,0)))))+_xlfn.XLOOKUP($B70,'2027 Avoided Costs'!$B$13:$B$47,'2027 Avoided Costs'!$Y$13:$Y$47))*IF($AM70&lt;0,$AM70*(-1),0),0)</f>
        <v>0</v>
      </c>
      <c r="BD70" s="291" cm="1">
        <f t="array" ref="BD70">IFERROR((IF($O70=1,0,NPV('2027 Avoided Costs'!$D$6,_xlfn._xlws.FILTER('2027 Avoided Costs'!$AE$14:$AE$47,('2027 Avoided Costs'!$B$14:$B$47&gt;=$B70+1)*('2027 Avoided Costs'!$B$14:$B$47&lt;$B70+ROUND($O70,0)))))+_xlfn.XLOOKUP($B70,'2027 Avoided Costs'!$B$13:$B$47,'2027 Avoided Costs'!$AE$13:$AE$47))*IF($AO70&lt;0,$AO70*(-1),0),0)</f>
        <v>0</v>
      </c>
      <c r="BE70" s="291" cm="1">
        <f t="array" ref="BE70">IFERROR((IF($O70=1,0,NPV('2027 Avoided Costs'!$D$4,_xlfn._xlws.FILTER('2027 Avoided Costs'!$I$14:$I$47,('2027 Avoided Costs'!$B$14:$B$47&gt;=$B70+1)*('2027 Avoided Costs'!$B$14:$B$47&lt;$B70+ROUND($O70,0)))))+_xlfn.XLOOKUP($B70,'2027 Avoided Costs'!$B$13:$B$47,'2027 Avoided Costs'!$I$13:$I$47))*IF($X70="Residential",'2027 Avoided Costs'!$J$5,IF($X70="Large Volume",'2027 Avoided Costs'!$J$7,'2027 Avoided Costs'!$J$6))*IF($AE70&lt;0,$AE70*(-1),0),0)</f>
        <v>0</v>
      </c>
      <c r="BF70" s="291">
        <f t="shared" si="23"/>
        <v>415959.99073489587</v>
      </c>
      <c r="BG70" s="291">
        <f t="shared" si="24"/>
        <v>325965.56597886118</v>
      </c>
      <c r="BH70" s="291">
        <f t="shared" si="25"/>
        <v>89994.424756034685</v>
      </c>
      <c r="BI70" s="292">
        <f t="shared" si="29"/>
        <v>1.2760856794360629</v>
      </c>
      <c r="BJ70" s="196" cm="1">
        <f t="array" ref="BJ70">IFERROR(IF($J70="Baseload",IF($O70=1,0,NPV('2027 Avoided Costs'!$D$6,_xlfn._xlws.FILTER('2027 Avoided Costs'!$C$14:$C$47,('2027 Avoided Costs'!$B$14:$B$47&gt;=$B70+1)*('2027 Avoided Costs'!$B$14:$B$47&lt;$B70+ROUND($O70,0)))))+_xlfn.XLOOKUP($B70,'2027 Avoided Costs'!$B$13:$B$47,'2027 Avoided Costs'!$C$13:$C$47),IF($O70=1,0,NPV('2027 Avoided Costs'!$D$6,_xlfn._xlws.FILTER('2027 Avoided Costs'!$E$14:$E$47,('2027 Avoided Costs'!$B$14:$B$47&gt;=$B70+1)*('2027 Avoided Costs'!$B$14:$B$47&lt;$B70+ROUND($O70,0)))))+_xlfn.XLOOKUP($B70,'2027 Avoided Costs'!$B$13:$B$47,'2027 Avoided Costs'!$E$13:$E$47))*IF($AE70&gt;0,$AE70*(1+0),0),0)</f>
        <v>353128.53148529201</v>
      </c>
      <c r="BK70" s="293">
        <f t="shared" si="26"/>
        <v>2.3939656358673567</v>
      </c>
    </row>
    <row r="71" spans="1:63" s="56" customFormat="1" x14ac:dyDescent="0.25">
      <c r="A71" s="270" t="s">
        <v>133</v>
      </c>
      <c r="B71" s="271">
        <v>2030</v>
      </c>
      <c r="C71" s="272" t="s">
        <v>13</v>
      </c>
      <c r="D71" s="272" t="s">
        <v>9</v>
      </c>
      <c r="E71" s="272" t="s">
        <v>290</v>
      </c>
      <c r="F71" s="273">
        <v>17</v>
      </c>
      <c r="G71" s="274">
        <v>10549.939896161641</v>
      </c>
      <c r="H71" s="275">
        <f t="shared" si="3"/>
        <v>0.96502300196168755</v>
      </c>
      <c r="I71" s="274">
        <v>250</v>
      </c>
      <c r="J71" s="276" t="s">
        <v>264</v>
      </c>
      <c r="K71" s="277">
        <f t="shared" si="27"/>
        <v>0.75</v>
      </c>
      <c r="L71" s="278">
        <v>0.28000000000000003</v>
      </c>
      <c r="M71" s="278">
        <v>0.03</v>
      </c>
      <c r="N71" s="278">
        <v>0.9113</v>
      </c>
      <c r="O71" s="279">
        <v>15</v>
      </c>
      <c r="P71" s="280">
        <v>10932.319617994437</v>
      </c>
      <c r="Q71" s="281">
        <v>-11481.635000000002</v>
      </c>
      <c r="R71" s="282">
        <v>-4.84</v>
      </c>
      <c r="S71" s="282">
        <v>-9</v>
      </c>
      <c r="T71" s="281">
        <v>0</v>
      </c>
      <c r="U71" s="283">
        <v>0</v>
      </c>
      <c r="V71" s="284">
        <v>63637.429000000004</v>
      </c>
      <c r="W71" s="285">
        <v>0.15</v>
      </c>
      <c r="X71" s="286" t="s">
        <v>255</v>
      </c>
      <c r="Y71" s="287">
        <f t="shared" si="4"/>
        <v>17</v>
      </c>
      <c r="Z71" s="288">
        <f t="shared" si="5"/>
        <v>179348.97823474789</v>
      </c>
      <c r="AA71" s="288">
        <f t="shared" si="6"/>
        <v>4250</v>
      </c>
      <c r="AB71" s="288">
        <f t="shared" si="7"/>
        <v>190326.57049454033</v>
      </c>
      <c r="AC71" s="288">
        <f t="shared" si="28"/>
        <v>4473.093585904001</v>
      </c>
      <c r="AD71" s="287">
        <f t="shared" si="8"/>
        <v>169364.58875393163</v>
      </c>
      <c r="AE71" s="287">
        <f t="shared" si="9"/>
        <v>127023.44156544872</v>
      </c>
      <c r="AF71" s="287">
        <f t="shared" si="10"/>
        <v>2540468.8313089744</v>
      </c>
      <c r="AG71" s="287">
        <f t="shared" si="11"/>
        <v>1905351.6234817309</v>
      </c>
      <c r="AH71" s="287">
        <f t="shared" si="12"/>
        <v>-190681.61148951206</v>
      </c>
      <c r="AI71" s="287">
        <f t="shared" si="13"/>
        <v>-143011.20861713402</v>
      </c>
      <c r="AJ71" s="287">
        <f t="shared" si="14"/>
        <v>0</v>
      </c>
      <c r="AK71" s="287">
        <f t="shared" si="15"/>
        <v>0</v>
      </c>
      <c r="AL71" s="287">
        <f t="shared" si="16"/>
        <v>-80.380451008000009</v>
      </c>
      <c r="AM71" s="287">
        <f t="shared" si="17"/>
        <v>-60.285338256000003</v>
      </c>
      <c r="AN71" s="287">
        <f t="shared" si="18"/>
        <v>-149.46778080000001</v>
      </c>
      <c r="AO71" s="287">
        <f t="shared" si="19"/>
        <v>-112.10083560000001</v>
      </c>
      <c r="AP71" s="287">
        <f t="shared" si="20"/>
        <v>1081836.2930000001</v>
      </c>
      <c r="AQ71" s="287">
        <f t="shared" si="21"/>
        <v>811377.21975000005</v>
      </c>
      <c r="AR71" s="287">
        <f t="shared" si="22"/>
        <v>0</v>
      </c>
      <c r="AS71" s="289" t="e">
        <f>IF(J71='2027 Avoided Costs'!#REF!,3,5)</f>
        <v>#REF!</v>
      </c>
      <c r="AT71" s="290" cm="1">
        <f t="array" ref="AT71">IFERROR(IF($J71="Baseload",IF($O71=1,0,NPV('2027 Avoided Costs'!$D$6,_xlfn._xlws.FILTER('2027 Avoided Costs'!$C$14:$C$47,('2027 Avoided Costs'!$B$14:$B$47&gt;=$B71+1)*('2027 Avoided Costs'!$B$14:$B$47&lt;$B71+ROUND($O71,0)))))+_xlfn.XLOOKUP($B71,'2027 Avoided Costs'!$B$13:$B$47,'2027 Avoided Costs'!$C$13:$C$47),IF($O71=1,0,NPV('2027 Avoided Costs'!$D$6,_xlfn._xlws.FILTER('2027 Avoided Costs'!$E$14:$E$47,('2027 Avoided Costs'!$B$14:$B$47&gt;=$B71+1)*('2027 Avoided Costs'!$B$14:$B$47&lt;$B71+ROUND($O71,0)))))+_xlfn.XLOOKUP($B71,'2027 Avoided Costs'!$B$13:$B$47,'2027 Avoided Costs'!$E$13:$E$47))*IF($AE71&gt;0,$AE71*(1+$W71),0),0)</f>
        <v>556999.31766125502</v>
      </c>
      <c r="AU71" s="290" cm="1">
        <f t="array" ref="AU71">IFERROR((IF($O71=1,0,NPV('2027 Avoided Costs'!$D$6,_xlfn._xlws.FILTER('2027 Avoided Costs'!$M$14:$M$47,('2027 Avoided Costs'!$B$14:$B$47&gt;=$B71+1)*('2027 Avoided Costs'!$B$14:$B$47&lt;$B71+ROUND($O71,0)))))+_xlfn.XLOOKUP($B71,'2027 Avoided Costs'!$B$13:$B$47,'2027 Avoided Costs'!$M$13:$M$47))*IF($AK71&gt;0,$AK71*(1+$W71),0),0)</f>
        <v>0</v>
      </c>
      <c r="AV71" s="291" cm="1">
        <f t="array" ref="AV71">IFERROR((IF($O71=1,0,NPV('2027 Avoided Costs'!$D$6,_xlfn._xlws.FILTER('2027 Avoided Costs'!$Q$14:$Q$47,('2027 Avoided Costs'!$B$14:$B$47&gt;=$B71+1)*('2027 Avoided Costs'!$B$14:$B$47&lt;$B71+ROUND($O71,0)))))+_xlfn.XLOOKUP($B71,'2027 Avoided Costs'!$B$13:$B$47,'2027 Avoided Costs'!$Q$13:$Q$47))*IF($AI71&gt;0,$AI71*(1+$W71),0),0)</f>
        <v>0</v>
      </c>
      <c r="AW71" s="291" cm="1">
        <f t="array" ref="AW71">IFERROR((IF($O71=1,0,NPV('2027 Avoided Costs'!$D$6,_xlfn._xlws.FILTER('2027 Avoided Costs'!$W$14:$W$47,('2027 Avoided Costs'!$B$14:$B$47&gt;=$B71+1)*('2027 Avoided Costs'!$B$14:$B$47&lt;$B71+ROUND($O71,0)))))+_xlfn.XLOOKUP($B71,'2027 Avoided Costs'!$B$13:$B$47,'2027 Avoided Costs'!$W$13:$W$47))*IF($AM71&gt;0,$AM71*(1+$W71),0),0)</f>
        <v>0</v>
      </c>
      <c r="AX71" s="291" cm="1">
        <f t="array" ref="AX71">IFERROR((IF($O71=1,0,NPV('2027 Avoided Costs'!$D$6,_xlfn._xlws.FILTER('2027 Avoided Costs'!$AC$14:$AC$47,('2027 Avoided Costs'!$B$14:$B$47&gt;=$B71+1)*('2027 Avoided Costs'!$B$14:$B$47&lt;$B71+ROUND($O71,0)))))+_xlfn.XLOOKUP($B71,'2027 Avoided Costs'!$B$13:$B$47,'2027 Avoided Costs'!$AC$13:$AC$47))*IF($AO71&gt;0,$AO71*(1+$W71),0),0)</f>
        <v>0</v>
      </c>
      <c r="AY71" s="291" cm="1">
        <f t="array" ref="AY71">IFERROR((IF($O71=1,0,NPV('2027 Avoided Costs'!$D$4,_xlfn._xlws.FILTER('2027 Avoided Costs'!$I$14:$I$47,('2027 Avoided Costs'!$B$14:$B$47&gt;=$B71+1)*('2027 Avoided Costs'!$B$14:$B$47&lt;$B71+ROUND($O71,0)))))+_xlfn.XLOOKUP($B71,'2027 Avoided Costs'!$B$13:$B$47,'2027 Avoided Costs'!$I$13:$I$47))*IF($X71="Residential",'2027 Avoided Costs'!$J$5,IF($X71="Large Volume",'2027 Avoided Costs'!$J$7,'2027 Avoided Costs'!$J$6))*IF($AE71&gt;0,$AE71,0),0)</f>
        <v>0</v>
      </c>
      <c r="AZ71" s="291" cm="1">
        <f t="array" ref="AZ71">IFERROR(IF($J71="Baseload",IF($O71=1,0,NPV('2027 Avoided Costs'!$D$6,_xlfn._xlws.FILTER('2027 Avoided Costs'!$C$14:$C$47,('2027 Avoided Costs'!$B$14:$B$47&gt;=$B71+1)*('2027 Avoided Costs'!$B$14:$B$47&lt;$B71+ROUND($O71,0)))))+_xlfn.XLOOKUP($B71,'2027 Avoided Costs'!$B$13:$B$47,'2027 Avoided Costs'!$C$13:$C$47),IF($O71=1,0,NPV('2027 Avoided Costs'!$D$6,_xlfn._xlws.FILTER('2027 Avoided Costs'!$E$14:$E$47,('2027 Avoided Costs'!$B$14:$B$47&gt;=$B71+1)*('2027 Avoided Costs'!$B$14:$B$47&lt;$B71+ROUND($O71,0)))))+_xlfn.XLOOKUP($B71,'2027 Avoided Costs'!$B$13:$B$47,'2027 Avoided Costs'!$E$13:$E$47))*IF($AE71&lt;0,$AE71*(-1),0),0)</f>
        <v>0</v>
      </c>
      <c r="BA71" s="291" cm="1">
        <f t="array" ref="BA71">IFERROR((IF($O71=1,0,NPV('2027 Avoided Costs'!$D$6,_xlfn._xlws.FILTER('2027 Avoided Costs'!$M$14:$M$47,('2027 Avoided Costs'!$B$14:$B$47&gt;=$B71+1)*('2027 Avoided Costs'!$B$14:$B$47&lt;$B71+ROUND($O71,0)))))+_xlfn.XLOOKUP($B71,'2027 Avoided Costs'!$B$13:$B$47,'2027 Avoided Costs'!$M$13:$M$47))*IF($AK71&lt;0,$AK71*(-1),0),0)</f>
        <v>0</v>
      </c>
      <c r="BB71" s="291" cm="1">
        <f t="array" ref="BB71">IFERROR((IF($O71=1,0,NPV('2027 Avoided Costs'!$D$6,_xlfn._xlws.FILTER('2027 Avoided Costs'!$S$14:$S$47,('2027 Avoided Costs'!$B$14:$B$47&gt;=$B71+1)*('2027 Avoided Costs'!$B$14:$B$47&lt;$B71+ROUND($O71,0)))))+_xlfn.XLOOKUP($B71,'2027 Avoided Costs'!$B$13:$B$47,'2027 Avoided Costs'!$S$13:$S$47))*IF($AI71&lt;0,$AI71*(-1),0),0)</f>
        <v>79694.15539604197</v>
      </c>
      <c r="BC71" s="291" cm="1">
        <f t="array" ref="BC71">IFERROR((IF($O71=1,0,NPV('2027 Avoided Costs'!$D$6,_xlfn._xlws.FILTER('2027 Avoided Costs'!$Y$14:$Y$47,('2027 Avoided Costs'!$B$14:$B$47&gt;=$B71+1)*('2027 Avoided Costs'!$B$14:$B$47&lt;$B71+ROUND($O71,0)))))+_xlfn.XLOOKUP($B71,'2027 Avoided Costs'!$B$13:$B$47,'2027 Avoided Costs'!$Y$13:$Y$47))*IF($AM71&lt;0,$AM71*(-1),0),0)</f>
        <v>208297.91992139019</v>
      </c>
      <c r="BD71" s="291" cm="1">
        <f t="array" ref="BD71">IFERROR((IF($O71=1,0,NPV('2027 Avoided Costs'!$D$6,_xlfn._xlws.FILTER('2027 Avoided Costs'!$AE$14:$AE$47,('2027 Avoided Costs'!$B$14:$B$47&gt;=$B71+1)*('2027 Avoided Costs'!$B$14:$B$47&lt;$B71+ROUND($O71,0)))))+_xlfn.XLOOKUP($B71,'2027 Avoided Costs'!$B$13:$B$47,'2027 Avoided Costs'!$AE$13:$AE$47))*IF($AO71&lt;0,$AO71*(-1),0),0)</f>
        <v>81919.306628708393</v>
      </c>
      <c r="BE71" s="291" cm="1">
        <f t="array" ref="BE71">IFERROR((IF($O71=1,0,NPV('2027 Avoided Costs'!$D$4,_xlfn._xlws.FILTER('2027 Avoided Costs'!$I$14:$I$47,('2027 Avoided Costs'!$B$14:$B$47&gt;=$B71+1)*('2027 Avoided Costs'!$B$14:$B$47&lt;$B71+ROUND($O71,0)))))+_xlfn.XLOOKUP($B71,'2027 Avoided Costs'!$B$13:$B$47,'2027 Avoided Costs'!$I$13:$I$47))*IF($X71="Residential",'2027 Avoided Costs'!$J$5,IF($X71="Large Volume",'2027 Avoided Costs'!$J$7,'2027 Avoided Costs'!$J$6))*IF($AE71&lt;0,$AE71*(-1),0),0)</f>
        <v>0</v>
      </c>
      <c r="BF71" s="291">
        <f t="shared" si="23"/>
        <v>556999.31766125502</v>
      </c>
      <c r="BG71" s="291">
        <f t="shared" si="24"/>
        <v>1181288.6016961406</v>
      </c>
      <c r="BH71" s="291">
        <f t="shared" si="25"/>
        <v>-624289.28403488558</v>
      </c>
      <c r="BI71" s="292">
        <f t="shared" si="29"/>
        <v>0.47151840529189354</v>
      </c>
      <c r="BJ71" s="196" cm="1">
        <f t="array" ref="BJ71">IFERROR(IF($J71="Baseload",IF($O71=1,0,NPV('2027 Avoided Costs'!$D$6,_xlfn._xlws.FILTER('2027 Avoided Costs'!$C$14:$C$47,('2027 Avoided Costs'!$B$14:$B$47&gt;=$B71+1)*('2027 Avoided Costs'!$B$14:$B$47&lt;$B71+ROUND($O71,0)))))+_xlfn.XLOOKUP($B71,'2027 Avoided Costs'!$B$13:$B$47,'2027 Avoided Costs'!$C$13:$C$47),IF($O71=1,0,NPV('2027 Avoided Costs'!$D$6,_xlfn._xlws.FILTER('2027 Avoided Costs'!$E$14:$E$47,('2027 Avoided Costs'!$B$14:$B$47&gt;=$B71+1)*('2027 Avoided Costs'!$B$14:$B$47&lt;$B71+ROUND($O71,0)))))+_xlfn.XLOOKUP($B71,'2027 Avoided Costs'!$B$13:$B$47,'2027 Avoided Costs'!$E$13:$E$47))*IF($AE71&gt;0,$AE71*(1+0),0),0)</f>
        <v>484347.23274891748</v>
      </c>
      <c r="BK71" s="293">
        <f t="shared" si="26"/>
        <v>2.4863863859072253</v>
      </c>
    </row>
    <row r="72" spans="1:63" s="56" customFormat="1" x14ac:dyDescent="0.25">
      <c r="A72" s="270" t="s">
        <v>133</v>
      </c>
      <c r="B72" s="271">
        <v>2030</v>
      </c>
      <c r="C72" s="272" t="s">
        <v>13</v>
      </c>
      <c r="D72" s="272" t="s">
        <v>9</v>
      </c>
      <c r="E72" s="272" t="s">
        <v>291</v>
      </c>
      <c r="F72" s="273">
        <v>341</v>
      </c>
      <c r="G72" s="274">
        <v>12631.597110766617</v>
      </c>
      <c r="H72" s="275">
        <f t="shared" si="3"/>
        <v>0.65</v>
      </c>
      <c r="I72" s="274">
        <v>250</v>
      </c>
      <c r="J72" s="276" t="s">
        <v>264</v>
      </c>
      <c r="K72" s="277">
        <f t="shared" si="27"/>
        <v>0.75</v>
      </c>
      <c r="L72" s="278">
        <v>0.28000000000000003</v>
      </c>
      <c r="M72" s="278">
        <v>0.03</v>
      </c>
      <c r="N72" s="278">
        <v>0.97609999999999997</v>
      </c>
      <c r="O72" s="279">
        <v>15</v>
      </c>
      <c r="P72" s="280">
        <v>19433.226324256335</v>
      </c>
      <c r="Q72" s="281">
        <v>5251.5509252669026</v>
      </c>
      <c r="R72" s="282">
        <v>3.200236189237637</v>
      </c>
      <c r="S72" s="282">
        <v>0.94524593662646406</v>
      </c>
      <c r="T72" s="281">
        <v>0</v>
      </c>
      <c r="U72" s="283">
        <v>1</v>
      </c>
      <c r="V72" s="284">
        <v>44468.599122338528</v>
      </c>
      <c r="W72" s="285">
        <v>0.15</v>
      </c>
      <c r="X72" s="286" t="s">
        <v>255</v>
      </c>
      <c r="Y72" s="287">
        <f t="shared" si="4"/>
        <v>341</v>
      </c>
      <c r="Z72" s="288">
        <f t="shared" si="5"/>
        <v>4307374.6147714164</v>
      </c>
      <c r="AA72" s="288">
        <f t="shared" si="6"/>
        <v>85250</v>
      </c>
      <c r="AB72" s="288">
        <f t="shared" si="7"/>
        <v>4571020.4001923446</v>
      </c>
      <c r="AC72" s="288">
        <f t="shared" si="28"/>
        <v>89724.994870192022</v>
      </c>
      <c r="AD72" s="287">
        <f t="shared" si="8"/>
        <v>6468351.3253513528</v>
      </c>
      <c r="AE72" s="287">
        <f t="shared" si="9"/>
        <v>4851263.4940135144</v>
      </c>
      <c r="AF72" s="287">
        <f t="shared" si="10"/>
        <v>97025269.880270287</v>
      </c>
      <c r="AG72" s="287">
        <f t="shared" si="11"/>
        <v>72768952.410202712</v>
      </c>
      <c r="AH72" s="287">
        <f t="shared" si="12"/>
        <v>1873833.7566755542</v>
      </c>
      <c r="AI72" s="287">
        <f t="shared" si="13"/>
        <v>1405375.3175066656</v>
      </c>
      <c r="AJ72" s="287">
        <f t="shared" si="14"/>
        <v>0</v>
      </c>
      <c r="AK72" s="287">
        <f t="shared" si="15"/>
        <v>0</v>
      </c>
      <c r="AL72" s="287">
        <f t="shared" si="16"/>
        <v>1141.8932589753847</v>
      </c>
      <c r="AM72" s="287">
        <f t="shared" si="17"/>
        <v>856.41994423153858</v>
      </c>
      <c r="AN72" s="287">
        <f t="shared" si="18"/>
        <v>337.27821925692353</v>
      </c>
      <c r="AO72" s="287">
        <f t="shared" si="19"/>
        <v>252.95866444269259</v>
      </c>
      <c r="AP72" s="287">
        <f t="shared" si="20"/>
        <v>15163792.300717438</v>
      </c>
      <c r="AQ72" s="287">
        <f t="shared" si="21"/>
        <v>11372844.225538079</v>
      </c>
      <c r="AR72" s="287">
        <f t="shared" si="22"/>
        <v>4851263.4940135144</v>
      </c>
      <c r="AS72" s="289" t="e">
        <f>IF(J72='2027 Avoided Costs'!#REF!,3,5)</f>
        <v>#REF!</v>
      </c>
      <c r="AT72" s="290" cm="1">
        <f t="array" ref="AT72">IFERROR(IF($J72="Baseload",IF($O72=1,0,NPV('2027 Avoided Costs'!$D$6,_xlfn._xlws.FILTER('2027 Avoided Costs'!$C$14:$C$47,('2027 Avoided Costs'!$B$14:$B$47&gt;=$B72+1)*('2027 Avoided Costs'!$B$14:$B$47&lt;$B72+ROUND($O72,0)))))+_xlfn.XLOOKUP($B72,'2027 Avoided Costs'!$B$13:$B$47,'2027 Avoided Costs'!$C$13:$C$47),IF($O72=1,0,NPV('2027 Avoided Costs'!$D$6,_xlfn._xlws.FILTER('2027 Avoided Costs'!$E$14:$E$47,('2027 Avoided Costs'!$B$14:$B$47&gt;=$B72+1)*('2027 Avoided Costs'!$B$14:$B$47&lt;$B72+ROUND($O72,0)))))+_xlfn.XLOOKUP($B72,'2027 Avoided Costs'!$B$13:$B$47,'2027 Avoided Costs'!$E$13:$E$47))*IF($AE72&gt;0,$AE72*(1+$W72),0),0)</f>
        <v>21272848.717204712</v>
      </c>
      <c r="AU72" s="290" cm="1">
        <f t="array" ref="AU72">IFERROR((IF($O72=1,0,NPV('2027 Avoided Costs'!$D$6,_xlfn._xlws.FILTER('2027 Avoided Costs'!$M$14:$M$47,('2027 Avoided Costs'!$B$14:$B$47&gt;=$B72+1)*('2027 Avoided Costs'!$B$14:$B$47&lt;$B72+ROUND($O72,0)))))+_xlfn.XLOOKUP($B72,'2027 Avoided Costs'!$B$13:$B$47,'2027 Avoided Costs'!$M$13:$M$47))*IF($AK72&gt;0,$AK72*(1+$W72),0),0)</f>
        <v>0</v>
      </c>
      <c r="AV72" s="291" cm="1">
        <f t="array" ref="AV72">IFERROR((IF($O72=1,0,NPV('2027 Avoided Costs'!$D$6,_xlfn._xlws.FILTER('2027 Avoided Costs'!$Q$14:$Q$47,('2027 Avoided Costs'!$B$14:$B$47&gt;=$B72+1)*('2027 Avoided Costs'!$B$14:$B$47&lt;$B72+ROUND($O72,0)))))+_xlfn.XLOOKUP($B72,'2027 Avoided Costs'!$B$13:$B$47,'2027 Avoided Costs'!$Q$13:$Q$47))*IF($AI72&gt;0,$AI72*(1+$W72),0),0)</f>
        <v>900630.30744275032</v>
      </c>
      <c r="AW72" s="291" cm="1">
        <f t="array" ref="AW72">IFERROR((IF($O72=1,0,NPV('2027 Avoided Costs'!$D$6,_xlfn._xlws.FILTER('2027 Avoided Costs'!$W$14:$W$47,('2027 Avoided Costs'!$B$14:$B$47&gt;=$B72+1)*('2027 Avoided Costs'!$B$14:$B$47&lt;$B72+ROUND($O72,0)))))+_xlfn.XLOOKUP($B72,'2027 Avoided Costs'!$B$13:$B$47,'2027 Avoided Costs'!$W$13:$W$47))*IF($AM72&gt;0,$AM72*(1+$W72),0),0)</f>
        <v>3402967.8333371216</v>
      </c>
      <c r="AX72" s="291" cm="1">
        <f t="array" ref="AX72">IFERROR((IF($O72=1,0,NPV('2027 Avoided Costs'!$D$6,_xlfn._xlws.FILTER('2027 Avoided Costs'!$AC$14:$AC$47,('2027 Avoided Costs'!$B$14:$B$47&gt;=$B72+1)*('2027 Avoided Costs'!$B$14:$B$47&lt;$B72+ROUND($O72,0)))))+_xlfn.XLOOKUP($B72,'2027 Avoided Costs'!$B$13:$B$47,'2027 Avoided Costs'!$AC$13:$AC$47))*IF($AO72&gt;0,$AO72*(1+$W72),0),0)</f>
        <v>212581.18219058044</v>
      </c>
      <c r="AY72" s="291" cm="1">
        <f t="array" ref="AY72">IFERROR((IF($O72=1,0,NPV('2027 Avoided Costs'!$D$4,_xlfn._xlws.FILTER('2027 Avoided Costs'!$I$14:$I$47,('2027 Avoided Costs'!$B$14:$B$47&gt;=$B72+1)*('2027 Avoided Costs'!$B$14:$B$47&lt;$B72+ROUND($O72,0)))))+_xlfn.XLOOKUP($B72,'2027 Avoided Costs'!$B$13:$B$47,'2027 Avoided Costs'!$I$13:$I$47))*IF($X72="Residential",'2027 Avoided Costs'!$J$5,IF($X72="Large Volume",'2027 Avoided Costs'!$J$7,'2027 Avoided Costs'!$J$6))*IF($AE72&gt;0,$AE72,0),0)</f>
        <v>0</v>
      </c>
      <c r="AZ72" s="291" cm="1">
        <f t="array" ref="AZ72">IFERROR(IF($J72="Baseload",IF($O72=1,0,NPV('2027 Avoided Costs'!$D$6,_xlfn._xlws.FILTER('2027 Avoided Costs'!$C$14:$C$47,('2027 Avoided Costs'!$B$14:$B$47&gt;=$B72+1)*('2027 Avoided Costs'!$B$14:$B$47&lt;$B72+ROUND($O72,0)))))+_xlfn.XLOOKUP($B72,'2027 Avoided Costs'!$B$13:$B$47,'2027 Avoided Costs'!$C$13:$C$47),IF($O72=1,0,NPV('2027 Avoided Costs'!$D$6,_xlfn._xlws.FILTER('2027 Avoided Costs'!$E$14:$E$47,('2027 Avoided Costs'!$B$14:$B$47&gt;=$B72+1)*('2027 Avoided Costs'!$B$14:$B$47&lt;$B72+ROUND($O72,0)))))+_xlfn.XLOOKUP($B72,'2027 Avoided Costs'!$B$13:$B$47,'2027 Avoided Costs'!$E$13:$E$47))*IF($AE72&lt;0,$AE72*(-1),0),0)</f>
        <v>0</v>
      </c>
      <c r="BA72" s="291" cm="1">
        <f t="array" ref="BA72">IFERROR((IF($O72=1,0,NPV('2027 Avoided Costs'!$D$6,_xlfn._xlws.FILTER('2027 Avoided Costs'!$M$14:$M$47,('2027 Avoided Costs'!$B$14:$B$47&gt;=$B72+1)*('2027 Avoided Costs'!$B$14:$B$47&lt;$B72+ROUND($O72,0)))))+_xlfn.XLOOKUP($B72,'2027 Avoided Costs'!$B$13:$B$47,'2027 Avoided Costs'!$M$13:$M$47))*IF($AK72&lt;0,$AK72*(-1),0),0)</f>
        <v>0</v>
      </c>
      <c r="BB72" s="291" cm="1">
        <f t="array" ref="BB72">IFERROR((IF($O72=1,0,NPV('2027 Avoided Costs'!$D$6,_xlfn._xlws.FILTER('2027 Avoided Costs'!$S$14:$S$47,('2027 Avoided Costs'!$B$14:$B$47&gt;=$B72+1)*('2027 Avoided Costs'!$B$14:$B$47&lt;$B72+ROUND($O72,0)))))+_xlfn.XLOOKUP($B72,'2027 Avoided Costs'!$B$13:$B$47,'2027 Avoided Costs'!$S$13:$S$47))*IF($AI72&lt;0,$AI72*(-1),0),0)</f>
        <v>0</v>
      </c>
      <c r="BC72" s="291" cm="1">
        <f t="array" ref="BC72">IFERROR((IF($O72=1,0,NPV('2027 Avoided Costs'!$D$6,_xlfn._xlws.FILTER('2027 Avoided Costs'!$Y$14:$Y$47,('2027 Avoided Costs'!$B$14:$B$47&gt;=$B72+1)*('2027 Avoided Costs'!$B$14:$B$47&lt;$B72+ROUND($O72,0)))))+_xlfn.XLOOKUP($B72,'2027 Avoided Costs'!$B$13:$B$47,'2027 Avoided Costs'!$Y$13:$Y$47))*IF($AM72&lt;0,$AM72*(-1),0),0)</f>
        <v>0</v>
      </c>
      <c r="BD72" s="291" cm="1">
        <f t="array" ref="BD72">IFERROR((IF($O72=1,0,NPV('2027 Avoided Costs'!$D$6,_xlfn._xlws.FILTER('2027 Avoided Costs'!$AE$14:$AE$47,('2027 Avoided Costs'!$B$14:$B$47&gt;=$B72+1)*('2027 Avoided Costs'!$B$14:$B$47&lt;$B72+ROUND($O72,0)))))+_xlfn.XLOOKUP($B72,'2027 Avoided Costs'!$B$13:$B$47,'2027 Avoided Costs'!$AE$13:$AE$47))*IF($AO72&lt;0,$AO72*(-1),0),0)</f>
        <v>0</v>
      </c>
      <c r="BE72" s="291" cm="1">
        <f t="array" ref="BE72">IFERROR((IF($O72=1,0,NPV('2027 Avoided Costs'!$D$4,_xlfn._xlws.FILTER('2027 Avoided Costs'!$I$14:$I$47,('2027 Avoided Costs'!$B$14:$B$47&gt;=$B72+1)*('2027 Avoided Costs'!$B$14:$B$47&lt;$B72+ROUND($O72,0)))))+_xlfn.XLOOKUP($B72,'2027 Avoided Costs'!$B$13:$B$47,'2027 Avoided Costs'!$I$13:$I$47))*IF($X72="Residential",'2027 Avoided Costs'!$J$5,IF($X72="Large Volume",'2027 Avoided Costs'!$J$7,'2027 Avoided Costs'!$J$6))*IF($AE72&lt;0,$AE72*(-1),0),0)</f>
        <v>0</v>
      </c>
      <c r="BF72" s="291">
        <f t="shared" si="23"/>
        <v>25789028.040175166</v>
      </c>
      <c r="BG72" s="291">
        <f t="shared" si="24"/>
        <v>11372844.225538079</v>
      </c>
      <c r="BH72" s="291">
        <f t="shared" si="25"/>
        <v>14416183.814637087</v>
      </c>
      <c r="BI72" s="292">
        <f t="shared" si="29"/>
        <v>2.2675970521309958</v>
      </c>
      <c r="BJ72" s="196" cm="1">
        <f t="array" ref="BJ72">IFERROR(IF($J72="Baseload",IF($O72=1,0,NPV('2027 Avoided Costs'!$D$6,_xlfn._xlws.FILTER('2027 Avoided Costs'!$C$14:$C$47,('2027 Avoided Costs'!$B$14:$B$47&gt;=$B72+1)*('2027 Avoided Costs'!$B$14:$B$47&lt;$B72+ROUND($O72,0)))))+_xlfn.XLOOKUP($B72,'2027 Avoided Costs'!$B$13:$B$47,'2027 Avoided Costs'!$C$13:$C$47),IF($O72=1,0,NPV('2027 Avoided Costs'!$D$6,_xlfn._xlws.FILTER('2027 Avoided Costs'!$E$14:$E$47,('2027 Avoided Costs'!$B$14:$B$47&gt;=$B72+1)*('2027 Avoided Costs'!$B$14:$B$47&lt;$B72+ROUND($O72,0)))))+_xlfn.XLOOKUP($B72,'2027 Avoided Costs'!$B$13:$B$47,'2027 Avoided Costs'!$E$13:$E$47))*IF($AE72&gt;0,$AE72*(1+0),0),0)</f>
        <v>18498129.319308449</v>
      </c>
      <c r="BK72" s="293">
        <f t="shared" si="26"/>
        <v>3.9689207951382302</v>
      </c>
    </row>
    <row r="73" spans="1:63" s="56" customFormat="1" x14ac:dyDescent="0.25">
      <c r="A73" s="270" t="s">
        <v>133</v>
      </c>
      <c r="B73" s="271">
        <v>2030</v>
      </c>
      <c r="C73" s="272" t="s">
        <v>13</v>
      </c>
      <c r="D73" s="272" t="s">
        <v>9</v>
      </c>
      <c r="E73" s="272" t="s">
        <v>352</v>
      </c>
      <c r="F73" s="273">
        <v>139</v>
      </c>
      <c r="G73" s="274">
        <v>12631.597110766617</v>
      </c>
      <c r="H73" s="275">
        <f t="shared" ref="H73:H136" si="30">IFERROR(G73/P73,0)</f>
        <v>0.65</v>
      </c>
      <c r="I73" s="274">
        <v>250</v>
      </c>
      <c r="J73" s="276" t="s">
        <v>263</v>
      </c>
      <c r="K73" s="277">
        <f t="shared" si="27"/>
        <v>0.75</v>
      </c>
      <c r="L73" s="278">
        <v>0.28000000000000003</v>
      </c>
      <c r="M73" s="278">
        <v>0.03</v>
      </c>
      <c r="N73" s="278">
        <v>0.97609999999999997</v>
      </c>
      <c r="O73" s="279">
        <v>15</v>
      </c>
      <c r="P73" s="280">
        <v>19433.226324256335</v>
      </c>
      <c r="Q73" s="281">
        <v>5251.5509252669026</v>
      </c>
      <c r="R73" s="282">
        <v>0.59949211475649022</v>
      </c>
      <c r="S73" s="282">
        <v>0.59949211475649766</v>
      </c>
      <c r="T73" s="281">
        <v>0</v>
      </c>
      <c r="U73" s="283">
        <v>1</v>
      </c>
      <c r="V73" s="284">
        <v>44468.599122338528</v>
      </c>
      <c r="W73" s="285">
        <v>0.15</v>
      </c>
      <c r="X73" s="286" t="s">
        <v>255</v>
      </c>
      <c r="Y73" s="287">
        <f t="shared" ref="Y73:Y136" si="31">F73</f>
        <v>139</v>
      </c>
      <c r="Z73" s="288">
        <f t="shared" ref="Z73:Z136" si="32">F73*G73</f>
        <v>1755791.9983965599</v>
      </c>
      <c r="AA73" s="288">
        <f t="shared" ref="AA73:AA136" si="33">F73*I73</f>
        <v>34750</v>
      </c>
      <c r="AB73" s="288">
        <f t="shared" ref="AB73:AB136" si="34">Z73*(1+$AB$1)^($B73-2027)</f>
        <v>1863260.5150344165</v>
      </c>
      <c r="AC73" s="288">
        <f t="shared" si="28"/>
        <v>36574.118143568005</v>
      </c>
      <c r="AD73" s="287">
        <f t="shared" ref="AD73:AD136" si="35">IF($AD$2="Yes",P73*F73,P73*F73*N73)</f>
        <v>2636659.3378998186</v>
      </c>
      <c r="AE73" s="287">
        <f t="shared" ref="AE73:AE136" si="36">AD73*(1-L73+M73)</f>
        <v>1977494.5034248638</v>
      </c>
      <c r="AF73" s="287">
        <f t="shared" ref="AF73:AF136" si="37">AD73*O73</f>
        <v>39549890.068497278</v>
      </c>
      <c r="AG73" s="287">
        <f t="shared" ref="AG73:AG136" si="38">AE73*O73</f>
        <v>29662417.551372956</v>
      </c>
      <c r="AH73" s="287">
        <f t="shared" ref="AH73:AH136" si="39">$Q73*N73*$F73*1.072</f>
        <v>763820.79817566567</v>
      </c>
      <c r="AI73" s="287">
        <f t="shared" ref="AI73:AI136" si="40">$Q73*(1-L73+$M73)*N73*$F73*1.072</f>
        <v>572865.59863174928</v>
      </c>
      <c r="AJ73" s="287">
        <f t="shared" ref="AJ73:AJ136" si="41">$T73*N73*$F73</f>
        <v>0</v>
      </c>
      <c r="AK73" s="287">
        <f t="shared" ref="AK73:AK136" si="42">$T73*(1-L73+$M73)*N73*$F73</f>
        <v>0</v>
      </c>
      <c r="AL73" s="287">
        <f t="shared" ref="AL73:AL136" si="43">R73*N73*$F73*1.072</f>
        <v>87.194155042883409</v>
      </c>
      <c r="AM73" s="287">
        <f t="shared" ref="AM73:AM136" si="44">R73*(1-L73+$M73)*N73*$F73*1.072</f>
        <v>65.395616282162564</v>
      </c>
      <c r="AN73" s="287">
        <f t="shared" ref="AN73:AN136" si="45">S73*N73*$F73*1.072</f>
        <v>87.194155042884503</v>
      </c>
      <c r="AO73" s="287">
        <f t="shared" ref="AO73:AO136" si="46">S73*(1-L73+$M73)*N73*$F73*1.072</f>
        <v>65.395616282163374</v>
      </c>
      <c r="AP73" s="287">
        <f t="shared" ref="AP73:AP136" si="47">V73*F73</f>
        <v>6181135.2780050552</v>
      </c>
      <c r="AQ73" s="287">
        <f t="shared" ref="AQ73:AQ136" si="48">V73*F73*(1-L73+M73)</f>
        <v>4635851.4585037911</v>
      </c>
      <c r="AR73" s="287">
        <f t="shared" ref="AR73:AR136" si="49">AE73*U73</f>
        <v>1977494.5034248638</v>
      </c>
      <c r="AS73" s="289" t="e">
        <f>IF(J73='2027 Avoided Costs'!#REF!,3,5)</f>
        <v>#REF!</v>
      </c>
      <c r="AT73" s="290" cm="1">
        <f t="array" ref="AT73">IFERROR(IF($J73="Baseload",IF($O73=1,0,NPV('2027 Avoided Costs'!$D$6,_xlfn._xlws.FILTER('2027 Avoided Costs'!$C$14:$C$47,('2027 Avoided Costs'!$B$14:$B$47&gt;=$B73+1)*('2027 Avoided Costs'!$B$14:$B$47&lt;$B73+ROUND($O73,0)))))+_xlfn.XLOOKUP($B73,'2027 Avoided Costs'!$B$13:$B$47,'2027 Avoided Costs'!$C$13:$C$47),IF($O73=1,0,NPV('2027 Avoided Costs'!$D$6,_xlfn._xlws.FILTER('2027 Avoided Costs'!$E$14:$E$47,('2027 Avoided Costs'!$B$14:$B$47&gt;=$B73+1)*('2027 Avoided Costs'!$B$14:$B$47&lt;$B73+ROUND($O73,0)))))+_xlfn.XLOOKUP($B73,'2027 Avoided Costs'!$B$13:$B$47,'2027 Avoided Costs'!$E$13:$E$47))*IF($AE73&gt;0,$AE73*(1+$W73),0),0)</f>
        <v>7755815.2532773763</v>
      </c>
      <c r="AU73" s="290" cm="1">
        <f t="array" ref="AU73">IFERROR((IF($O73=1,0,NPV('2027 Avoided Costs'!$D$6,_xlfn._xlws.FILTER('2027 Avoided Costs'!$M$14:$M$47,('2027 Avoided Costs'!$B$14:$B$47&gt;=$B73+1)*('2027 Avoided Costs'!$B$14:$B$47&lt;$B73+ROUND($O73,0)))))+_xlfn.XLOOKUP($B73,'2027 Avoided Costs'!$B$13:$B$47,'2027 Avoided Costs'!$M$13:$M$47))*IF($AK73&gt;0,$AK73*(1+$W73),0),0)</f>
        <v>0</v>
      </c>
      <c r="AV73" s="291" cm="1">
        <f t="array" ref="AV73">IFERROR((IF($O73=1,0,NPV('2027 Avoided Costs'!$D$6,_xlfn._xlws.FILTER('2027 Avoided Costs'!$Q$14:$Q$47,('2027 Avoided Costs'!$B$14:$B$47&gt;=$B73+1)*('2027 Avoided Costs'!$B$14:$B$47&lt;$B73+ROUND($O73,0)))))+_xlfn.XLOOKUP($B73,'2027 Avoided Costs'!$B$13:$B$47,'2027 Avoided Costs'!$Q$13:$Q$47))*IF($AI73&gt;0,$AI73*(1+$W73),0),0)</f>
        <v>367119.09892827651</v>
      </c>
      <c r="AW73" s="291" cm="1">
        <f t="array" ref="AW73">IFERROR((IF($O73=1,0,NPV('2027 Avoided Costs'!$D$6,_xlfn._xlws.FILTER('2027 Avoided Costs'!$W$14:$W$47,('2027 Avoided Costs'!$B$14:$B$47&gt;=$B73+1)*('2027 Avoided Costs'!$B$14:$B$47&lt;$B73+ROUND($O73,0)))))+_xlfn.XLOOKUP($B73,'2027 Avoided Costs'!$B$13:$B$47,'2027 Avoided Costs'!$W$13:$W$47))*IF($AM73&gt;0,$AM73*(1+$W73),0),0)</f>
        <v>259848.1973106545</v>
      </c>
      <c r="AX73" s="291" cm="1">
        <f t="array" ref="AX73">IFERROR((IF($O73=1,0,NPV('2027 Avoided Costs'!$D$6,_xlfn._xlws.FILTER('2027 Avoided Costs'!$AC$14:$AC$47,('2027 Avoided Costs'!$B$14:$B$47&gt;=$B73+1)*('2027 Avoided Costs'!$B$14:$B$47&lt;$B73+ROUND($O73,0)))))+_xlfn.XLOOKUP($B73,'2027 Avoided Costs'!$B$13:$B$47,'2027 Avoided Costs'!$AC$13:$AC$47))*IF($AO73&gt;0,$AO73*(1+$W73),0),0)</f>
        <v>54957.111075724046</v>
      </c>
      <c r="AY73" s="291" cm="1">
        <f t="array" ref="AY73">IFERROR((IF($O73=1,0,NPV('2027 Avoided Costs'!$D$4,_xlfn._xlws.FILTER('2027 Avoided Costs'!$I$14:$I$47,('2027 Avoided Costs'!$B$14:$B$47&gt;=$B73+1)*('2027 Avoided Costs'!$B$14:$B$47&lt;$B73+ROUND($O73,0)))))+_xlfn.XLOOKUP($B73,'2027 Avoided Costs'!$B$13:$B$47,'2027 Avoided Costs'!$I$13:$I$47))*IF($X73="Residential",'2027 Avoided Costs'!$J$5,IF($X73="Large Volume",'2027 Avoided Costs'!$J$7,'2027 Avoided Costs'!$J$6))*IF($AE73&gt;0,$AE73,0),0)</f>
        <v>0</v>
      </c>
      <c r="AZ73" s="291" cm="1">
        <f t="array" ref="AZ73">IFERROR(IF($J73="Baseload",IF($O73=1,0,NPV('2027 Avoided Costs'!$D$6,_xlfn._xlws.FILTER('2027 Avoided Costs'!$C$14:$C$47,('2027 Avoided Costs'!$B$14:$B$47&gt;=$B73+1)*('2027 Avoided Costs'!$B$14:$B$47&lt;$B73+ROUND($O73,0)))))+_xlfn.XLOOKUP($B73,'2027 Avoided Costs'!$B$13:$B$47,'2027 Avoided Costs'!$C$13:$C$47),IF($O73=1,0,NPV('2027 Avoided Costs'!$D$6,_xlfn._xlws.FILTER('2027 Avoided Costs'!$E$14:$E$47,('2027 Avoided Costs'!$B$14:$B$47&gt;=$B73+1)*('2027 Avoided Costs'!$B$14:$B$47&lt;$B73+ROUND($O73,0)))))+_xlfn.XLOOKUP($B73,'2027 Avoided Costs'!$B$13:$B$47,'2027 Avoided Costs'!$E$13:$E$47))*IF($AE73&lt;0,$AE73*(-1),0),0)</f>
        <v>0</v>
      </c>
      <c r="BA73" s="291" cm="1">
        <f t="array" ref="BA73">IFERROR((IF($O73=1,0,NPV('2027 Avoided Costs'!$D$6,_xlfn._xlws.FILTER('2027 Avoided Costs'!$M$14:$M$47,('2027 Avoided Costs'!$B$14:$B$47&gt;=$B73+1)*('2027 Avoided Costs'!$B$14:$B$47&lt;$B73+ROUND($O73,0)))))+_xlfn.XLOOKUP($B73,'2027 Avoided Costs'!$B$13:$B$47,'2027 Avoided Costs'!$M$13:$M$47))*IF($AK73&lt;0,$AK73*(-1),0),0)</f>
        <v>0</v>
      </c>
      <c r="BB73" s="291" cm="1">
        <f t="array" ref="BB73">IFERROR((IF($O73=1,0,NPV('2027 Avoided Costs'!$D$6,_xlfn._xlws.FILTER('2027 Avoided Costs'!$S$14:$S$47,('2027 Avoided Costs'!$B$14:$B$47&gt;=$B73+1)*('2027 Avoided Costs'!$B$14:$B$47&lt;$B73+ROUND($O73,0)))))+_xlfn.XLOOKUP($B73,'2027 Avoided Costs'!$B$13:$B$47,'2027 Avoided Costs'!$S$13:$S$47))*IF($AI73&lt;0,$AI73*(-1),0),0)</f>
        <v>0</v>
      </c>
      <c r="BC73" s="291" cm="1">
        <f t="array" ref="BC73">IFERROR((IF($O73=1,0,NPV('2027 Avoided Costs'!$D$6,_xlfn._xlws.FILTER('2027 Avoided Costs'!$Y$14:$Y$47,('2027 Avoided Costs'!$B$14:$B$47&gt;=$B73+1)*('2027 Avoided Costs'!$B$14:$B$47&lt;$B73+ROUND($O73,0)))))+_xlfn.XLOOKUP($B73,'2027 Avoided Costs'!$B$13:$B$47,'2027 Avoided Costs'!$Y$13:$Y$47))*IF($AM73&lt;0,$AM73*(-1),0),0)</f>
        <v>0</v>
      </c>
      <c r="BD73" s="291" cm="1">
        <f t="array" ref="BD73">IFERROR((IF($O73=1,0,NPV('2027 Avoided Costs'!$D$6,_xlfn._xlws.FILTER('2027 Avoided Costs'!$AE$14:$AE$47,('2027 Avoided Costs'!$B$14:$B$47&gt;=$B73+1)*('2027 Avoided Costs'!$B$14:$B$47&lt;$B73+ROUND($O73,0)))))+_xlfn.XLOOKUP($B73,'2027 Avoided Costs'!$B$13:$B$47,'2027 Avoided Costs'!$AE$13:$AE$47))*IF($AO73&lt;0,$AO73*(-1),0),0)</f>
        <v>0</v>
      </c>
      <c r="BE73" s="291" cm="1">
        <f t="array" ref="BE73">IFERROR((IF($O73=1,0,NPV('2027 Avoided Costs'!$D$4,_xlfn._xlws.FILTER('2027 Avoided Costs'!$I$14:$I$47,('2027 Avoided Costs'!$B$14:$B$47&gt;=$B73+1)*('2027 Avoided Costs'!$B$14:$B$47&lt;$B73+ROUND($O73,0)))))+_xlfn.XLOOKUP($B73,'2027 Avoided Costs'!$B$13:$B$47,'2027 Avoided Costs'!$I$13:$I$47))*IF($X73="Residential",'2027 Avoided Costs'!$J$5,IF($X73="Large Volume",'2027 Avoided Costs'!$J$7,'2027 Avoided Costs'!$J$6))*IF($AE73&lt;0,$AE73*(-1),0),0)</f>
        <v>0</v>
      </c>
      <c r="BF73" s="291">
        <f t="shared" ref="BF73:BF133" si="50">SUM(AT73:AY73)+IF(AQ73&lt;0,AQ73*(-1),0)</f>
        <v>8437739.6605920307</v>
      </c>
      <c r="BG73" s="291">
        <f t="shared" ref="BG73:BG133" si="51">SUM(AZ73:BE73)+IF(AQ73&gt;=0,AQ73,0)</f>
        <v>4635851.4585037911</v>
      </c>
      <c r="BH73" s="291">
        <f t="shared" ref="BH73:BH133" si="52">BF73-BG73</f>
        <v>3801888.2020882396</v>
      </c>
      <c r="BI73" s="292">
        <f t="shared" si="29"/>
        <v>1.82010569927003</v>
      </c>
      <c r="BJ73" s="196" cm="1">
        <f t="array" ref="BJ73">IFERROR(IF($J73="Baseload",IF($O73=1,0,NPV('2027 Avoided Costs'!$D$6,_xlfn._xlws.FILTER('2027 Avoided Costs'!$C$14:$C$47,('2027 Avoided Costs'!$B$14:$B$47&gt;=$B73+1)*('2027 Avoided Costs'!$B$14:$B$47&lt;$B73+ROUND($O73,0)))))+_xlfn.XLOOKUP($B73,'2027 Avoided Costs'!$B$13:$B$47,'2027 Avoided Costs'!$C$13:$C$47),IF($O73=1,0,NPV('2027 Avoided Costs'!$D$6,_xlfn._xlws.FILTER('2027 Avoided Costs'!$E$14:$E$47,('2027 Avoided Costs'!$B$14:$B$47&gt;=$B73+1)*('2027 Avoided Costs'!$B$14:$B$47&lt;$B73+ROUND($O73,0)))))+_xlfn.XLOOKUP($B73,'2027 Avoided Costs'!$B$13:$B$47,'2027 Avoided Costs'!$E$13:$E$47))*IF($AE73&gt;0,$AE73*(1+0),0),0)</f>
        <v>6744187.1767629366</v>
      </c>
      <c r="BK73" s="293">
        <f t="shared" ref="BK73:BK136" si="53">IFERROR(BJ73/(AB73+AC73),0)</f>
        <v>3.5498811628049274</v>
      </c>
    </row>
    <row r="74" spans="1:63" s="56" customFormat="1" x14ac:dyDescent="0.25">
      <c r="A74" s="270" t="s">
        <v>133</v>
      </c>
      <c r="B74" s="271">
        <v>2030</v>
      </c>
      <c r="C74" s="272" t="s">
        <v>13</v>
      </c>
      <c r="D74" s="272" t="s">
        <v>9</v>
      </c>
      <c r="E74" s="272" t="s">
        <v>292</v>
      </c>
      <c r="F74" s="273">
        <v>14</v>
      </c>
      <c r="G74" s="274">
        <v>69179.505862260106</v>
      </c>
      <c r="H74" s="275">
        <f t="shared" si="30"/>
        <v>0.65000000000000013</v>
      </c>
      <c r="I74" s="274">
        <v>250</v>
      </c>
      <c r="J74" s="276" t="s">
        <v>264</v>
      </c>
      <c r="K74" s="277">
        <f t="shared" ref="K74:K133" si="54">1-L74+M74</f>
        <v>0.75</v>
      </c>
      <c r="L74" s="278">
        <v>0.28000000000000003</v>
      </c>
      <c r="M74" s="278">
        <v>0.03</v>
      </c>
      <c r="N74" s="278">
        <v>0.97609999999999997</v>
      </c>
      <c r="O74" s="279">
        <v>15</v>
      </c>
      <c r="P74" s="280">
        <v>106430.00901886169</v>
      </c>
      <c r="Q74" s="281">
        <v>-70757.72</v>
      </c>
      <c r="R74" s="282">
        <v>-42.5</v>
      </c>
      <c r="S74" s="282">
        <v>-75</v>
      </c>
      <c r="T74" s="281">
        <v>0</v>
      </c>
      <c r="U74" s="283">
        <v>1</v>
      </c>
      <c r="V74" s="284">
        <v>537297.5</v>
      </c>
      <c r="W74" s="285">
        <v>0.15</v>
      </c>
      <c r="X74" s="286" t="s">
        <v>255</v>
      </c>
      <c r="Y74" s="287">
        <f t="shared" si="31"/>
        <v>14</v>
      </c>
      <c r="Z74" s="288">
        <f t="shared" si="32"/>
        <v>968513.08207164146</v>
      </c>
      <c r="AA74" s="288">
        <f t="shared" si="33"/>
        <v>3500</v>
      </c>
      <c r="AB74" s="288">
        <f t="shared" si="34"/>
        <v>1027793.8307990824</v>
      </c>
      <c r="AC74" s="288">
        <f t="shared" ref="AC74:AC137" si="55">AA74*(1+$AC$1)^($B74-2027)</f>
        <v>3683.7241295680005</v>
      </c>
      <c r="AD74" s="287">
        <f t="shared" si="35"/>
        <v>1454408.6452463525</v>
      </c>
      <c r="AE74" s="287">
        <f t="shared" si="36"/>
        <v>1090806.4839347643</v>
      </c>
      <c r="AF74" s="287">
        <f t="shared" si="37"/>
        <v>21816129.678695288</v>
      </c>
      <c r="AG74" s="287">
        <f t="shared" si="38"/>
        <v>16362097.259021465</v>
      </c>
      <c r="AH74" s="287">
        <f t="shared" si="39"/>
        <v>-1036551.6902639359</v>
      </c>
      <c r="AI74" s="287">
        <f t="shared" si="40"/>
        <v>-777413.76769795211</v>
      </c>
      <c r="AJ74" s="287">
        <f t="shared" si="41"/>
        <v>0</v>
      </c>
      <c r="AK74" s="287">
        <f t="shared" si="42"/>
        <v>0</v>
      </c>
      <c r="AL74" s="287">
        <f t="shared" si="43"/>
        <v>-622.59562400000004</v>
      </c>
      <c r="AM74" s="287">
        <f t="shared" si="44"/>
        <v>-466.94671799999998</v>
      </c>
      <c r="AN74" s="287">
        <f t="shared" si="45"/>
        <v>-1098.6981600000001</v>
      </c>
      <c r="AO74" s="287">
        <f t="shared" si="46"/>
        <v>-824.02362000000005</v>
      </c>
      <c r="AP74" s="287">
        <f t="shared" si="47"/>
        <v>7522165</v>
      </c>
      <c r="AQ74" s="287">
        <f t="shared" si="48"/>
        <v>5641623.75</v>
      </c>
      <c r="AR74" s="287">
        <f t="shared" si="49"/>
        <v>1090806.4839347643</v>
      </c>
      <c r="AS74" s="289" t="e">
        <f>IF(J74='2027 Avoided Costs'!#REF!,3,5)</f>
        <v>#REF!</v>
      </c>
      <c r="AT74" s="290" cm="1">
        <f t="array" ref="AT74">IFERROR(IF($J74="Baseload",IF($O74=1,0,NPV('2027 Avoided Costs'!$D$6,_xlfn._xlws.FILTER('2027 Avoided Costs'!$C$14:$C$47,('2027 Avoided Costs'!$B$14:$B$47&gt;=$B74+1)*('2027 Avoided Costs'!$B$14:$B$47&lt;$B74+ROUND($O74,0)))))+_xlfn.XLOOKUP($B74,'2027 Avoided Costs'!$B$13:$B$47,'2027 Avoided Costs'!$C$13:$C$47),IF($O74=1,0,NPV('2027 Avoided Costs'!$D$6,_xlfn._xlws.FILTER('2027 Avoided Costs'!$E$14:$E$47,('2027 Avoided Costs'!$B$14:$B$47&gt;=$B74+1)*('2027 Avoided Costs'!$B$14:$B$47&lt;$B74+ROUND($O74,0)))))+_xlfn.XLOOKUP($B74,'2027 Avoided Costs'!$B$13:$B$47,'2027 Avoided Costs'!$E$13:$E$47))*IF($AE74&gt;0,$AE74*(1+$W74),0),0)</f>
        <v>4783199.5398981711</v>
      </c>
      <c r="AU74" s="290" cm="1">
        <f t="array" ref="AU74">IFERROR((IF($O74=1,0,NPV('2027 Avoided Costs'!$D$6,_xlfn._xlws.FILTER('2027 Avoided Costs'!$M$14:$M$47,('2027 Avoided Costs'!$B$14:$B$47&gt;=$B74+1)*('2027 Avoided Costs'!$B$14:$B$47&lt;$B74+ROUND($O74,0)))))+_xlfn.XLOOKUP($B74,'2027 Avoided Costs'!$B$13:$B$47,'2027 Avoided Costs'!$M$13:$M$47))*IF($AK74&gt;0,$AK74*(1+$W74),0),0)</f>
        <v>0</v>
      </c>
      <c r="AV74" s="291" cm="1">
        <f t="array" ref="AV74">IFERROR((IF($O74=1,0,NPV('2027 Avoided Costs'!$D$6,_xlfn._xlws.FILTER('2027 Avoided Costs'!$Q$14:$Q$47,('2027 Avoided Costs'!$B$14:$B$47&gt;=$B74+1)*('2027 Avoided Costs'!$B$14:$B$47&lt;$B74+ROUND($O74,0)))))+_xlfn.XLOOKUP($B74,'2027 Avoided Costs'!$B$13:$B$47,'2027 Avoided Costs'!$Q$13:$Q$47))*IF($AI74&gt;0,$AI74*(1+$W74),0),0)</f>
        <v>0</v>
      </c>
      <c r="AW74" s="291" cm="1">
        <f t="array" ref="AW74">IFERROR((IF($O74=1,0,NPV('2027 Avoided Costs'!$D$6,_xlfn._xlws.FILTER('2027 Avoided Costs'!$W$14:$W$47,('2027 Avoided Costs'!$B$14:$B$47&gt;=$B74+1)*('2027 Avoided Costs'!$B$14:$B$47&lt;$B74+ROUND($O74,0)))))+_xlfn.XLOOKUP($B74,'2027 Avoided Costs'!$B$13:$B$47,'2027 Avoided Costs'!$W$13:$W$47))*IF($AM74&gt;0,$AM74*(1+$W74),0),0)</f>
        <v>0</v>
      </c>
      <c r="AX74" s="291" cm="1">
        <f t="array" ref="AX74">IFERROR((IF($O74=1,0,NPV('2027 Avoided Costs'!$D$6,_xlfn._xlws.FILTER('2027 Avoided Costs'!$AC$14:$AC$47,('2027 Avoided Costs'!$B$14:$B$47&gt;=$B74+1)*('2027 Avoided Costs'!$B$14:$B$47&lt;$B74+ROUND($O74,0)))))+_xlfn.XLOOKUP($B74,'2027 Avoided Costs'!$B$13:$B$47,'2027 Avoided Costs'!$AC$13:$AC$47))*IF($AO74&gt;0,$AO74*(1+$W74),0),0)</f>
        <v>0</v>
      </c>
      <c r="AY74" s="291" cm="1">
        <f t="array" ref="AY74">IFERROR((IF($O74=1,0,NPV('2027 Avoided Costs'!$D$4,_xlfn._xlws.FILTER('2027 Avoided Costs'!$I$14:$I$47,('2027 Avoided Costs'!$B$14:$B$47&gt;=$B74+1)*('2027 Avoided Costs'!$B$14:$B$47&lt;$B74+ROUND($O74,0)))))+_xlfn.XLOOKUP($B74,'2027 Avoided Costs'!$B$13:$B$47,'2027 Avoided Costs'!$I$13:$I$47))*IF($X74="Residential",'2027 Avoided Costs'!$J$5,IF($X74="Large Volume",'2027 Avoided Costs'!$J$7,'2027 Avoided Costs'!$J$6))*IF($AE74&gt;0,$AE74,0),0)</f>
        <v>0</v>
      </c>
      <c r="AZ74" s="291" cm="1">
        <f t="array" ref="AZ74">IFERROR(IF($J74="Baseload",IF($O74=1,0,NPV('2027 Avoided Costs'!$D$6,_xlfn._xlws.FILTER('2027 Avoided Costs'!$C$14:$C$47,('2027 Avoided Costs'!$B$14:$B$47&gt;=$B74+1)*('2027 Avoided Costs'!$B$14:$B$47&lt;$B74+ROUND($O74,0)))))+_xlfn.XLOOKUP($B74,'2027 Avoided Costs'!$B$13:$B$47,'2027 Avoided Costs'!$C$13:$C$47),IF($O74=1,0,NPV('2027 Avoided Costs'!$D$6,_xlfn._xlws.FILTER('2027 Avoided Costs'!$E$14:$E$47,('2027 Avoided Costs'!$B$14:$B$47&gt;=$B74+1)*('2027 Avoided Costs'!$B$14:$B$47&lt;$B74+ROUND($O74,0)))))+_xlfn.XLOOKUP($B74,'2027 Avoided Costs'!$B$13:$B$47,'2027 Avoided Costs'!$E$13:$E$47))*IF($AE74&lt;0,$AE74*(-1),0),0)</f>
        <v>0</v>
      </c>
      <c r="BA74" s="291" cm="1">
        <f t="array" ref="BA74">IFERROR((IF($O74=1,0,NPV('2027 Avoided Costs'!$D$6,_xlfn._xlws.FILTER('2027 Avoided Costs'!$M$14:$M$47,('2027 Avoided Costs'!$B$14:$B$47&gt;=$B74+1)*('2027 Avoided Costs'!$B$14:$B$47&lt;$B74+ROUND($O74,0)))))+_xlfn.XLOOKUP($B74,'2027 Avoided Costs'!$B$13:$B$47,'2027 Avoided Costs'!$M$13:$M$47))*IF($AK74&lt;0,$AK74*(-1),0),0)</f>
        <v>0</v>
      </c>
      <c r="BB74" s="291" cm="1">
        <f t="array" ref="BB74">IFERROR((IF($O74=1,0,NPV('2027 Avoided Costs'!$D$6,_xlfn._xlws.FILTER('2027 Avoided Costs'!$S$14:$S$47,('2027 Avoided Costs'!$B$14:$B$47&gt;=$B74+1)*('2027 Avoided Costs'!$B$14:$B$47&lt;$B74+ROUND($O74,0)))))+_xlfn.XLOOKUP($B74,'2027 Avoided Costs'!$B$13:$B$47,'2027 Avoided Costs'!$S$13:$S$47))*IF($AI74&lt;0,$AI74*(-1),0),0)</f>
        <v>433220.12455546972</v>
      </c>
      <c r="BC74" s="291" cm="1">
        <f t="array" ref="BC74">IFERROR((IF($O74=1,0,NPV('2027 Avoided Costs'!$D$6,_xlfn._xlws.FILTER('2027 Avoided Costs'!$Y$14:$Y$47,('2027 Avoided Costs'!$B$14:$B$47&gt;=$B74+1)*('2027 Avoided Costs'!$B$14:$B$47&lt;$B74+ROUND($O74,0)))))+_xlfn.XLOOKUP($B74,'2027 Avoided Costs'!$B$13:$B$47,'2027 Avoided Costs'!$Y$13:$Y$47))*IF($AM74&lt;0,$AM74*(-1),0),0)</f>
        <v>1613394.44858866</v>
      </c>
      <c r="BD74" s="291" cm="1">
        <f t="array" ref="BD74">IFERROR((IF($O74=1,0,NPV('2027 Avoided Costs'!$D$6,_xlfn._xlws.FILTER('2027 Avoided Costs'!$AE$14:$AE$47,('2027 Avoided Costs'!$B$14:$B$47&gt;=$B74+1)*('2027 Avoided Costs'!$B$14:$B$47&lt;$B74+ROUND($O74,0)))))+_xlfn.XLOOKUP($B74,'2027 Avoided Costs'!$B$13:$B$47,'2027 Avoided Costs'!$AE$13:$AE$47))*IF($AO74&lt;0,$AO74*(-1),0),0)</f>
        <v>602167.17596062482</v>
      </c>
      <c r="BE74" s="291" cm="1">
        <f t="array" ref="BE74">IFERROR((IF($O74=1,0,NPV('2027 Avoided Costs'!$D$4,_xlfn._xlws.FILTER('2027 Avoided Costs'!$I$14:$I$47,('2027 Avoided Costs'!$B$14:$B$47&gt;=$B74+1)*('2027 Avoided Costs'!$B$14:$B$47&lt;$B74+ROUND($O74,0)))))+_xlfn.XLOOKUP($B74,'2027 Avoided Costs'!$B$13:$B$47,'2027 Avoided Costs'!$I$13:$I$47))*IF($X74="Residential",'2027 Avoided Costs'!$J$5,IF($X74="Large Volume",'2027 Avoided Costs'!$J$7,'2027 Avoided Costs'!$J$6))*IF($AE74&lt;0,$AE74*(-1),0),0)</f>
        <v>0</v>
      </c>
      <c r="BF74" s="291">
        <f t="shared" si="50"/>
        <v>4783199.5398981711</v>
      </c>
      <c r="BG74" s="291">
        <f t="shared" si="51"/>
        <v>8290405.499104755</v>
      </c>
      <c r="BH74" s="291">
        <f t="shared" si="52"/>
        <v>-3507205.9592065839</v>
      </c>
      <c r="BI74" s="292">
        <f t="shared" ref="BI74:BI137" si="56">IFERROR(BF74/BG74,0)</f>
        <v>0.57695604158502112</v>
      </c>
      <c r="BJ74" s="196" cm="1">
        <f t="array" ref="BJ74">IFERROR(IF($J74="Baseload",IF($O74=1,0,NPV('2027 Avoided Costs'!$D$6,_xlfn._xlws.FILTER('2027 Avoided Costs'!$C$14:$C$47,('2027 Avoided Costs'!$B$14:$B$47&gt;=$B74+1)*('2027 Avoided Costs'!$B$14:$B$47&lt;$B74+ROUND($O74,0)))))+_xlfn.XLOOKUP($B74,'2027 Avoided Costs'!$B$13:$B$47,'2027 Avoided Costs'!$C$13:$C$47),IF($O74=1,0,NPV('2027 Avoided Costs'!$D$6,_xlfn._xlws.FILTER('2027 Avoided Costs'!$E$14:$E$47,('2027 Avoided Costs'!$B$14:$B$47&gt;=$B74+1)*('2027 Avoided Costs'!$B$14:$B$47&lt;$B74+ROUND($O74,0)))))+_xlfn.XLOOKUP($B74,'2027 Avoided Costs'!$B$13:$B$47,'2027 Avoided Costs'!$E$13:$E$47))*IF($AE74&gt;0,$AE74*(1+0),0),0)</f>
        <v>4159303.9477375401</v>
      </c>
      <c r="BK74" s="293">
        <f t="shared" si="53"/>
        <v>4.0323746531016358</v>
      </c>
    </row>
    <row r="75" spans="1:63" s="56" customFormat="1" x14ac:dyDescent="0.25">
      <c r="A75" s="270" t="s">
        <v>133</v>
      </c>
      <c r="B75" s="271">
        <v>2030</v>
      </c>
      <c r="C75" s="272" t="s">
        <v>13</v>
      </c>
      <c r="D75" s="272" t="s">
        <v>9</v>
      </c>
      <c r="E75" s="272" t="s">
        <v>293</v>
      </c>
      <c r="F75" s="273">
        <v>189</v>
      </c>
      <c r="G75" s="274">
        <v>3281.188578578428</v>
      </c>
      <c r="H75" s="275">
        <f t="shared" si="30"/>
        <v>0.96502300196168744</v>
      </c>
      <c r="I75" s="274">
        <v>250</v>
      </c>
      <c r="J75" s="276" t="s">
        <v>264</v>
      </c>
      <c r="K75" s="277">
        <f t="shared" si="54"/>
        <v>0.75</v>
      </c>
      <c r="L75" s="278">
        <v>0.28000000000000003</v>
      </c>
      <c r="M75" s="278">
        <v>0.03</v>
      </c>
      <c r="N75" s="278">
        <v>0.97609999999999997</v>
      </c>
      <c r="O75" s="279">
        <v>15</v>
      </c>
      <c r="P75" s="280">
        <v>3400.114372308708</v>
      </c>
      <c r="Q75" s="281">
        <v>2062.1588461538463</v>
      </c>
      <c r="R75" s="282">
        <v>1.256656454699173</v>
      </c>
      <c r="S75" s="282">
        <v>0.37117554370972283</v>
      </c>
      <c r="T75" s="281">
        <v>0</v>
      </c>
      <c r="U75" s="283">
        <v>0</v>
      </c>
      <c r="V75" s="284">
        <v>9444.9610298547086</v>
      </c>
      <c r="W75" s="285">
        <v>0.15</v>
      </c>
      <c r="X75" s="286" t="s">
        <v>255</v>
      </c>
      <c r="Y75" s="287">
        <f t="shared" si="31"/>
        <v>189</v>
      </c>
      <c r="Z75" s="288">
        <f t="shared" si="32"/>
        <v>620144.64135132288</v>
      </c>
      <c r="AA75" s="288">
        <f t="shared" si="33"/>
        <v>47250</v>
      </c>
      <c r="AB75" s="288">
        <f t="shared" si="34"/>
        <v>658102.45455915458</v>
      </c>
      <c r="AC75" s="288">
        <f t="shared" si="55"/>
        <v>49730.275749168009</v>
      </c>
      <c r="AD75" s="287">
        <f t="shared" si="35"/>
        <v>627262.95973519015</v>
      </c>
      <c r="AE75" s="287">
        <f t="shared" si="36"/>
        <v>470447.21980139264</v>
      </c>
      <c r="AF75" s="287">
        <f t="shared" si="37"/>
        <v>9408944.3960278518</v>
      </c>
      <c r="AG75" s="287">
        <f t="shared" si="38"/>
        <v>7056708.2970208898</v>
      </c>
      <c r="AH75" s="287">
        <f t="shared" si="39"/>
        <v>407824.22338145168</v>
      </c>
      <c r="AI75" s="287">
        <f t="shared" si="40"/>
        <v>305868.16753608879</v>
      </c>
      <c r="AJ75" s="287">
        <f t="shared" si="41"/>
        <v>0</v>
      </c>
      <c r="AK75" s="287">
        <f t="shared" si="42"/>
        <v>0</v>
      </c>
      <c r="AL75" s="287">
        <f t="shared" si="43"/>
        <v>248.52350421541885</v>
      </c>
      <c r="AM75" s="287">
        <f t="shared" si="44"/>
        <v>186.39262816156415</v>
      </c>
      <c r="AN75" s="287">
        <f t="shared" si="45"/>
        <v>73.405779643956976</v>
      </c>
      <c r="AO75" s="287">
        <f t="shared" si="46"/>
        <v>55.054334732967725</v>
      </c>
      <c r="AP75" s="287">
        <f t="shared" si="47"/>
        <v>1785097.63464254</v>
      </c>
      <c r="AQ75" s="287">
        <f t="shared" si="48"/>
        <v>1338823.2259819051</v>
      </c>
      <c r="AR75" s="287">
        <f t="shared" si="49"/>
        <v>0</v>
      </c>
      <c r="AS75" s="289" t="e">
        <f>IF(J75='2027 Avoided Costs'!#REF!,3,5)</f>
        <v>#REF!</v>
      </c>
      <c r="AT75" s="290" cm="1">
        <f t="array" ref="AT75">IFERROR(IF($J75="Baseload",IF($O75=1,0,NPV('2027 Avoided Costs'!$D$6,_xlfn._xlws.FILTER('2027 Avoided Costs'!$C$14:$C$47,('2027 Avoided Costs'!$B$14:$B$47&gt;=$B75+1)*('2027 Avoided Costs'!$B$14:$B$47&lt;$B75+ROUND($O75,0)))))+_xlfn.XLOOKUP($B75,'2027 Avoided Costs'!$B$13:$B$47,'2027 Avoided Costs'!$C$13:$C$47),IF($O75=1,0,NPV('2027 Avoided Costs'!$D$6,_xlfn._xlws.FILTER('2027 Avoided Costs'!$E$14:$E$47,('2027 Avoided Costs'!$B$14:$B$47&gt;=$B75+1)*('2027 Avoided Costs'!$B$14:$B$47&lt;$B75+ROUND($O75,0)))))+_xlfn.XLOOKUP($B75,'2027 Avoided Costs'!$B$13:$B$47,'2027 Avoided Costs'!$E$13:$E$47))*IF($AE75&gt;0,$AE75*(1+$W75),0),0)</f>
        <v>2062916.7120306287</v>
      </c>
      <c r="AU75" s="290" cm="1">
        <f t="array" ref="AU75">IFERROR((IF($O75=1,0,NPV('2027 Avoided Costs'!$D$6,_xlfn._xlws.FILTER('2027 Avoided Costs'!$M$14:$M$47,('2027 Avoided Costs'!$B$14:$B$47&gt;=$B75+1)*('2027 Avoided Costs'!$B$14:$B$47&lt;$B75+ROUND($O75,0)))))+_xlfn.XLOOKUP($B75,'2027 Avoided Costs'!$B$13:$B$47,'2027 Avoided Costs'!$M$13:$M$47))*IF($AK75&gt;0,$AK75*(1+$W75),0),0)</f>
        <v>0</v>
      </c>
      <c r="AV75" s="291" cm="1">
        <f t="array" ref="AV75">IFERROR((IF($O75=1,0,NPV('2027 Avoided Costs'!$D$6,_xlfn._xlws.FILTER('2027 Avoided Costs'!$Q$14:$Q$47,('2027 Avoided Costs'!$B$14:$B$47&gt;=$B75+1)*('2027 Avoided Costs'!$B$14:$B$47&lt;$B75+ROUND($O75,0)))))+_xlfn.XLOOKUP($B75,'2027 Avoided Costs'!$B$13:$B$47,'2027 Avoided Costs'!$Q$13:$Q$47))*IF($AI75&gt;0,$AI75*(1+$W75),0),0)</f>
        <v>196014.6434432251</v>
      </c>
      <c r="AW75" s="291" cm="1">
        <f t="array" ref="AW75">IFERROR((IF($O75=1,0,NPV('2027 Avoided Costs'!$D$6,_xlfn._xlws.FILTER('2027 Avoided Costs'!$W$14:$W$47,('2027 Avoided Costs'!$B$14:$B$47&gt;=$B75+1)*('2027 Avoided Costs'!$B$14:$B$47&lt;$B75+ROUND($O75,0)))))+_xlfn.XLOOKUP($B75,'2027 Avoided Costs'!$B$13:$B$47,'2027 Avoided Costs'!$W$13:$W$47))*IF($AM75&gt;0,$AM75*(1+$W75),0),0)</f>
        <v>740627.44834149489</v>
      </c>
      <c r="AX75" s="291" cm="1">
        <f t="array" ref="AX75">IFERROR((IF($O75=1,0,NPV('2027 Avoided Costs'!$D$6,_xlfn._xlws.FILTER('2027 Avoided Costs'!$AC$14:$AC$47,('2027 Avoided Costs'!$B$14:$B$47&gt;=$B75+1)*('2027 Avoided Costs'!$B$14:$B$47&lt;$B75+ROUND($O75,0)))))+_xlfn.XLOOKUP($B75,'2027 Avoided Costs'!$B$13:$B$47,'2027 Avoided Costs'!$AC$13:$AC$47))*IF($AO75&gt;0,$AO75*(1+$W75),0),0)</f>
        <v>46266.513890855982</v>
      </c>
      <c r="AY75" s="291" cm="1">
        <f t="array" ref="AY75">IFERROR((IF($O75=1,0,NPV('2027 Avoided Costs'!$D$4,_xlfn._xlws.FILTER('2027 Avoided Costs'!$I$14:$I$47,('2027 Avoided Costs'!$B$14:$B$47&gt;=$B75+1)*('2027 Avoided Costs'!$B$14:$B$47&lt;$B75+ROUND($O75,0)))))+_xlfn.XLOOKUP($B75,'2027 Avoided Costs'!$B$13:$B$47,'2027 Avoided Costs'!$I$13:$I$47))*IF($X75="Residential",'2027 Avoided Costs'!$J$5,IF($X75="Large Volume",'2027 Avoided Costs'!$J$7,'2027 Avoided Costs'!$J$6))*IF($AE75&gt;0,$AE75,0),0)</f>
        <v>0</v>
      </c>
      <c r="AZ75" s="291" cm="1">
        <f t="array" ref="AZ75">IFERROR(IF($J75="Baseload",IF($O75=1,0,NPV('2027 Avoided Costs'!$D$6,_xlfn._xlws.FILTER('2027 Avoided Costs'!$C$14:$C$47,('2027 Avoided Costs'!$B$14:$B$47&gt;=$B75+1)*('2027 Avoided Costs'!$B$14:$B$47&lt;$B75+ROUND($O75,0)))))+_xlfn.XLOOKUP($B75,'2027 Avoided Costs'!$B$13:$B$47,'2027 Avoided Costs'!$C$13:$C$47),IF($O75=1,0,NPV('2027 Avoided Costs'!$D$6,_xlfn._xlws.FILTER('2027 Avoided Costs'!$E$14:$E$47,('2027 Avoided Costs'!$B$14:$B$47&gt;=$B75+1)*('2027 Avoided Costs'!$B$14:$B$47&lt;$B75+ROUND($O75,0)))))+_xlfn.XLOOKUP($B75,'2027 Avoided Costs'!$B$13:$B$47,'2027 Avoided Costs'!$E$13:$E$47))*IF($AE75&lt;0,$AE75*(-1),0),0)</f>
        <v>0</v>
      </c>
      <c r="BA75" s="291" cm="1">
        <f t="array" ref="BA75">IFERROR((IF($O75=1,0,NPV('2027 Avoided Costs'!$D$6,_xlfn._xlws.FILTER('2027 Avoided Costs'!$M$14:$M$47,('2027 Avoided Costs'!$B$14:$B$47&gt;=$B75+1)*('2027 Avoided Costs'!$B$14:$B$47&lt;$B75+ROUND($O75,0)))))+_xlfn.XLOOKUP($B75,'2027 Avoided Costs'!$B$13:$B$47,'2027 Avoided Costs'!$M$13:$M$47))*IF($AK75&lt;0,$AK75*(-1),0),0)</f>
        <v>0</v>
      </c>
      <c r="BB75" s="291" cm="1">
        <f t="array" ref="BB75">IFERROR((IF($O75=1,0,NPV('2027 Avoided Costs'!$D$6,_xlfn._xlws.FILTER('2027 Avoided Costs'!$S$14:$S$47,('2027 Avoided Costs'!$B$14:$B$47&gt;=$B75+1)*('2027 Avoided Costs'!$B$14:$B$47&lt;$B75+ROUND($O75,0)))))+_xlfn.XLOOKUP($B75,'2027 Avoided Costs'!$B$13:$B$47,'2027 Avoided Costs'!$S$13:$S$47))*IF($AI75&lt;0,$AI75*(-1),0),0)</f>
        <v>0</v>
      </c>
      <c r="BC75" s="291" cm="1">
        <f t="array" ref="BC75">IFERROR((IF($O75=1,0,NPV('2027 Avoided Costs'!$D$6,_xlfn._xlws.FILTER('2027 Avoided Costs'!$Y$14:$Y$47,('2027 Avoided Costs'!$B$14:$B$47&gt;=$B75+1)*('2027 Avoided Costs'!$B$14:$B$47&lt;$B75+ROUND($O75,0)))))+_xlfn.XLOOKUP($B75,'2027 Avoided Costs'!$B$13:$B$47,'2027 Avoided Costs'!$Y$13:$Y$47))*IF($AM75&lt;0,$AM75*(-1),0),0)</f>
        <v>0</v>
      </c>
      <c r="BD75" s="291" cm="1">
        <f t="array" ref="BD75">IFERROR((IF($O75=1,0,NPV('2027 Avoided Costs'!$D$6,_xlfn._xlws.FILTER('2027 Avoided Costs'!$AE$14:$AE$47,('2027 Avoided Costs'!$B$14:$B$47&gt;=$B75+1)*('2027 Avoided Costs'!$B$14:$B$47&lt;$B75+ROUND($O75,0)))))+_xlfn.XLOOKUP($B75,'2027 Avoided Costs'!$B$13:$B$47,'2027 Avoided Costs'!$AE$13:$AE$47))*IF($AO75&lt;0,$AO75*(-1),0),0)</f>
        <v>0</v>
      </c>
      <c r="BE75" s="291" cm="1">
        <f t="array" ref="BE75">IFERROR((IF($O75=1,0,NPV('2027 Avoided Costs'!$D$4,_xlfn._xlws.FILTER('2027 Avoided Costs'!$I$14:$I$47,('2027 Avoided Costs'!$B$14:$B$47&gt;=$B75+1)*('2027 Avoided Costs'!$B$14:$B$47&lt;$B75+ROUND($O75,0)))))+_xlfn.XLOOKUP($B75,'2027 Avoided Costs'!$B$13:$B$47,'2027 Avoided Costs'!$I$13:$I$47))*IF($X75="Residential",'2027 Avoided Costs'!$J$5,IF($X75="Large Volume",'2027 Avoided Costs'!$J$7,'2027 Avoided Costs'!$J$6))*IF($AE75&lt;0,$AE75*(-1),0),0)</f>
        <v>0</v>
      </c>
      <c r="BF75" s="291">
        <f t="shared" si="50"/>
        <v>3045825.3177062045</v>
      </c>
      <c r="BG75" s="291">
        <f t="shared" si="51"/>
        <v>1338823.2259819051</v>
      </c>
      <c r="BH75" s="291">
        <f t="shared" si="52"/>
        <v>1707002.0917242994</v>
      </c>
      <c r="BI75" s="292">
        <f t="shared" si="56"/>
        <v>2.2750018513253445</v>
      </c>
      <c r="BJ75" s="196" cm="1">
        <f t="array" ref="BJ75">IFERROR(IF($J75="Baseload",IF($O75=1,0,NPV('2027 Avoided Costs'!$D$6,_xlfn._xlws.FILTER('2027 Avoided Costs'!$C$14:$C$47,('2027 Avoided Costs'!$B$14:$B$47&gt;=$B75+1)*('2027 Avoided Costs'!$B$14:$B$47&lt;$B75+ROUND($O75,0)))))+_xlfn.XLOOKUP($B75,'2027 Avoided Costs'!$B$13:$B$47,'2027 Avoided Costs'!$C$13:$C$47),IF($O75=1,0,NPV('2027 Avoided Costs'!$D$6,_xlfn._xlws.FILTER('2027 Avoided Costs'!$E$14:$E$47,('2027 Avoided Costs'!$B$14:$B$47&gt;=$B75+1)*('2027 Avoided Costs'!$B$14:$B$47&lt;$B75+ROUND($O75,0)))))+_xlfn.XLOOKUP($B75,'2027 Avoided Costs'!$B$13:$B$47,'2027 Avoided Costs'!$E$13:$E$47))*IF($AE75&gt;0,$AE75*(1+0),0),0)</f>
        <v>1793840.6191570687</v>
      </c>
      <c r="BK75" s="293">
        <f t="shared" si="53"/>
        <v>2.53427192943691</v>
      </c>
    </row>
    <row r="76" spans="1:63" s="56" customFormat="1" x14ac:dyDescent="0.25">
      <c r="A76" s="270" t="s">
        <v>133</v>
      </c>
      <c r="B76" s="271">
        <v>2030</v>
      </c>
      <c r="C76" s="272" t="s">
        <v>13</v>
      </c>
      <c r="D76" s="272" t="s">
        <v>9</v>
      </c>
      <c r="E76" s="272" t="s">
        <v>353</v>
      </c>
      <c r="F76" s="273">
        <v>77</v>
      </c>
      <c r="G76" s="274">
        <v>3281.188578578428</v>
      </c>
      <c r="H76" s="275">
        <f t="shared" si="30"/>
        <v>0.96502300196168744</v>
      </c>
      <c r="I76" s="274">
        <v>250</v>
      </c>
      <c r="J76" s="276" t="s">
        <v>263</v>
      </c>
      <c r="K76" s="277">
        <f t="shared" si="54"/>
        <v>0.75</v>
      </c>
      <c r="L76" s="278">
        <v>0.28000000000000003</v>
      </c>
      <c r="M76" s="278">
        <v>0.03</v>
      </c>
      <c r="N76" s="278">
        <v>0.97609999999999997</v>
      </c>
      <c r="O76" s="279">
        <v>15</v>
      </c>
      <c r="P76" s="280">
        <v>3400.114372308708</v>
      </c>
      <c r="Q76" s="281">
        <v>2062.1588461538463</v>
      </c>
      <c r="R76" s="282">
        <v>0.2354062609764643</v>
      </c>
      <c r="S76" s="282">
        <v>0.23540626097646722</v>
      </c>
      <c r="T76" s="281">
        <v>0</v>
      </c>
      <c r="U76" s="283">
        <v>0</v>
      </c>
      <c r="V76" s="284">
        <v>9444.9610298547086</v>
      </c>
      <c r="W76" s="285">
        <v>0.15</v>
      </c>
      <c r="X76" s="286" t="s">
        <v>255</v>
      </c>
      <c r="Y76" s="287">
        <f t="shared" si="31"/>
        <v>77</v>
      </c>
      <c r="Z76" s="288">
        <f t="shared" si="32"/>
        <v>252651.52055053896</v>
      </c>
      <c r="AA76" s="288">
        <f t="shared" si="33"/>
        <v>19250</v>
      </c>
      <c r="AB76" s="288">
        <f t="shared" si="34"/>
        <v>268115.81482039631</v>
      </c>
      <c r="AC76" s="288">
        <f t="shared" si="55"/>
        <v>20260.482712624005</v>
      </c>
      <c r="AD76" s="287">
        <f t="shared" si="35"/>
        <v>255551.57618841081</v>
      </c>
      <c r="AE76" s="287">
        <f t="shared" si="36"/>
        <v>191663.68214130809</v>
      </c>
      <c r="AF76" s="287">
        <f t="shared" si="37"/>
        <v>3833273.6428261623</v>
      </c>
      <c r="AG76" s="287">
        <f t="shared" si="38"/>
        <v>2874955.2321196212</v>
      </c>
      <c r="AH76" s="287">
        <f t="shared" si="39"/>
        <v>166150.60952577661</v>
      </c>
      <c r="AI76" s="287">
        <f t="shared" si="40"/>
        <v>124612.95714433247</v>
      </c>
      <c r="AJ76" s="287">
        <f t="shared" si="41"/>
        <v>0</v>
      </c>
      <c r="AK76" s="287">
        <f t="shared" si="42"/>
        <v>0</v>
      </c>
      <c r="AL76" s="287">
        <f t="shared" si="43"/>
        <v>18.966964557736883</v>
      </c>
      <c r="AM76" s="287">
        <f t="shared" si="44"/>
        <v>14.225223418302662</v>
      </c>
      <c r="AN76" s="287">
        <f t="shared" si="45"/>
        <v>18.966964557737118</v>
      </c>
      <c r="AO76" s="287">
        <f t="shared" si="46"/>
        <v>14.225223418302839</v>
      </c>
      <c r="AP76" s="287">
        <f t="shared" si="47"/>
        <v>727261.99929881259</v>
      </c>
      <c r="AQ76" s="287">
        <f t="shared" si="48"/>
        <v>545446.49947410938</v>
      </c>
      <c r="AR76" s="287">
        <f t="shared" si="49"/>
        <v>0</v>
      </c>
      <c r="AS76" s="289" t="e">
        <f>IF(J76='2027 Avoided Costs'!#REF!,3,5)</f>
        <v>#REF!</v>
      </c>
      <c r="AT76" s="290" cm="1">
        <f t="array" ref="AT76">IFERROR(IF($J76="Baseload",IF($O76=1,0,NPV('2027 Avoided Costs'!$D$6,_xlfn._xlws.FILTER('2027 Avoided Costs'!$C$14:$C$47,('2027 Avoided Costs'!$B$14:$B$47&gt;=$B76+1)*('2027 Avoided Costs'!$B$14:$B$47&lt;$B76+ROUND($O76,0)))))+_xlfn.XLOOKUP($B76,'2027 Avoided Costs'!$B$13:$B$47,'2027 Avoided Costs'!$C$13:$C$47),IF($O76=1,0,NPV('2027 Avoided Costs'!$D$6,_xlfn._xlws.FILTER('2027 Avoided Costs'!$E$14:$E$47,('2027 Avoided Costs'!$B$14:$B$47&gt;=$B76+1)*('2027 Avoided Costs'!$B$14:$B$47&lt;$B76+ROUND($O76,0)))))+_xlfn.XLOOKUP($B76,'2027 Avoided Costs'!$B$13:$B$47,'2027 Avoided Costs'!$E$13:$E$47))*IF($AE76&gt;0,$AE76*(1+$W76),0),0)</f>
        <v>751712.89066864643</v>
      </c>
      <c r="AU76" s="290" cm="1">
        <f t="array" ref="AU76">IFERROR((IF($O76=1,0,NPV('2027 Avoided Costs'!$D$6,_xlfn._xlws.FILTER('2027 Avoided Costs'!$M$14:$M$47,('2027 Avoided Costs'!$B$14:$B$47&gt;=$B76+1)*('2027 Avoided Costs'!$B$14:$B$47&lt;$B76+ROUND($O76,0)))))+_xlfn.XLOOKUP($B76,'2027 Avoided Costs'!$B$13:$B$47,'2027 Avoided Costs'!$M$13:$M$47))*IF($AK76&gt;0,$AK76*(1+$W76),0),0)</f>
        <v>0</v>
      </c>
      <c r="AV76" s="291" cm="1">
        <f t="array" ref="AV76">IFERROR((IF($O76=1,0,NPV('2027 Avoided Costs'!$D$6,_xlfn._xlws.FILTER('2027 Avoided Costs'!$Q$14:$Q$47,('2027 Avoided Costs'!$B$14:$B$47&gt;=$B76+1)*('2027 Avoided Costs'!$B$14:$B$47&lt;$B76+ROUND($O76,0)))))+_xlfn.XLOOKUP($B76,'2027 Avoided Costs'!$B$13:$B$47,'2027 Avoided Costs'!$Q$13:$Q$47))*IF($AI76&gt;0,$AI76*(1+$W76),0),0)</f>
        <v>79857.817699091713</v>
      </c>
      <c r="AW76" s="291" cm="1">
        <f t="array" ref="AW76">IFERROR((IF($O76=1,0,NPV('2027 Avoided Costs'!$D$6,_xlfn._xlws.FILTER('2027 Avoided Costs'!$W$14:$W$47,('2027 Avoided Costs'!$B$14:$B$47&gt;=$B76+1)*('2027 Avoided Costs'!$B$14:$B$47&lt;$B76+ROUND($O76,0)))))+_xlfn.XLOOKUP($B76,'2027 Avoided Costs'!$B$13:$B$47,'2027 Avoided Costs'!$W$13:$W$47))*IF($AM76&gt;0,$AM76*(1+$W76),0),0)</f>
        <v>56523.645952633837</v>
      </c>
      <c r="AX76" s="291" cm="1">
        <f t="array" ref="AX76">IFERROR((IF($O76=1,0,NPV('2027 Avoided Costs'!$D$6,_xlfn._xlws.FILTER('2027 Avoided Costs'!$AC$14:$AC$47,('2027 Avoided Costs'!$B$14:$B$47&gt;=$B76+1)*('2027 Avoided Costs'!$B$14:$B$47&lt;$B76+ROUND($O76,0)))))+_xlfn.XLOOKUP($B76,'2027 Avoided Costs'!$B$13:$B$47,'2027 Avoided Costs'!$AC$13:$AC$47))*IF($AO76&gt;0,$AO76*(1+$W76),0),0)</f>
        <v>11954.580871346407</v>
      </c>
      <c r="AY76" s="291" cm="1">
        <f t="array" ref="AY76">IFERROR((IF($O76=1,0,NPV('2027 Avoided Costs'!$D$4,_xlfn._xlws.FILTER('2027 Avoided Costs'!$I$14:$I$47,('2027 Avoided Costs'!$B$14:$B$47&gt;=$B76+1)*('2027 Avoided Costs'!$B$14:$B$47&lt;$B76+ROUND($O76,0)))))+_xlfn.XLOOKUP($B76,'2027 Avoided Costs'!$B$13:$B$47,'2027 Avoided Costs'!$I$13:$I$47))*IF($X76="Residential",'2027 Avoided Costs'!$J$5,IF($X76="Large Volume",'2027 Avoided Costs'!$J$7,'2027 Avoided Costs'!$J$6))*IF($AE76&gt;0,$AE76,0),0)</f>
        <v>0</v>
      </c>
      <c r="AZ76" s="291" cm="1">
        <f t="array" ref="AZ76">IFERROR(IF($J76="Baseload",IF($O76=1,0,NPV('2027 Avoided Costs'!$D$6,_xlfn._xlws.FILTER('2027 Avoided Costs'!$C$14:$C$47,('2027 Avoided Costs'!$B$14:$B$47&gt;=$B76+1)*('2027 Avoided Costs'!$B$14:$B$47&lt;$B76+ROUND($O76,0)))))+_xlfn.XLOOKUP($B76,'2027 Avoided Costs'!$B$13:$B$47,'2027 Avoided Costs'!$C$13:$C$47),IF($O76=1,0,NPV('2027 Avoided Costs'!$D$6,_xlfn._xlws.FILTER('2027 Avoided Costs'!$E$14:$E$47,('2027 Avoided Costs'!$B$14:$B$47&gt;=$B76+1)*('2027 Avoided Costs'!$B$14:$B$47&lt;$B76+ROUND($O76,0)))))+_xlfn.XLOOKUP($B76,'2027 Avoided Costs'!$B$13:$B$47,'2027 Avoided Costs'!$E$13:$E$47))*IF($AE76&lt;0,$AE76*(-1),0),0)</f>
        <v>0</v>
      </c>
      <c r="BA76" s="291" cm="1">
        <f t="array" ref="BA76">IFERROR((IF($O76=1,0,NPV('2027 Avoided Costs'!$D$6,_xlfn._xlws.FILTER('2027 Avoided Costs'!$M$14:$M$47,('2027 Avoided Costs'!$B$14:$B$47&gt;=$B76+1)*('2027 Avoided Costs'!$B$14:$B$47&lt;$B76+ROUND($O76,0)))))+_xlfn.XLOOKUP($B76,'2027 Avoided Costs'!$B$13:$B$47,'2027 Avoided Costs'!$M$13:$M$47))*IF($AK76&lt;0,$AK76*(-1),0),0)</f>
        <v>0</v>
      </c>
      <c r="BB76" s="291" cm="1">
        <f t="array" ref="BB76">IFERROR((IF($O76=1,0,NPV('2027 Avoided Costs'!$D$6,_xlfn._xlws.FILTER('2027 Avoided Costs'!$S$14:$S$47,('2027 Avoided Costs'!$B$14:$B$47&gt;=$B76+1)*('2027 Avoided Costs'!$B$14:$B$47&lt;$B76+ROUND($O76,0)))))+_xlfn.XLOOKUP($B76,'2027 Avoided Costs'!$B$13:$B$47,'2027 Avoided Costs'!$S$13:$S$47))*IF($AI76&lt;0,$AI76*(-1),0),0)</f>
        <v>0</v>
      </c>
      <c r="BC76" s="291" cm="1">
        <f t="array" ref="BC76">IFERROR((IF($O76=1,0,NPV('2027 Avoided Costs'!$D$6,_xlfn._xlws.FILTER('2027 Avoided Costs'!$Y$14:$Y$47,('2027 Avoided Costs'!$B$14:$B$47&gt;=$B76+1)*('2027 Avoided Costs'!$B$14:$B$47&lt;$B76+ROUND($O76,0)))))+_xlfn.XLOOKUP($B76,'2027 Avoided Costs'!$B$13:$B$47,'2027 Avoided Costs'!$Y$13:$Y$47))*IF($AM76&lt;0,$AM76*(-1),0),0)</f>
        <v>0</v>
      </c>
      <c r="BD76" s="291" cm="1">
        <f t="array" ref="BD76">IFERROR((IF($O76=1,0,NPV('2027 Avoided Costs'!$D$6,_xlfn._xlws.FILTER('2027 Avoided Costs'!$AE$14:$AE$47,('2027 Avoided Costs'!$B$14:$B$47&gt;=$B76+1)*('2027 Avoided Costs'!$B$14:$B$47&lt;$B76+ROUND($O76,0)))))+_xlfn.XLOOKUP($B76,'2027 Avoided Costs'!$B$13:$B$47,'2027 Avoided Costs'!$AE$13:$AE$47))*IF($AO76&lt;0,$AO76*(-1),0),0)</f>
        <v>0</v>
      </c>
      <c r="BE76" s="291" cm="1">
        <f t="array" ref="BE76">IFERROR((IF($O76=1,0,NPV('2027 Avoided Costs'!$D$4,_xlfn._xlws.FILTER('2027 Avoided Costs'!$I$14:$I$47,('2027 Avoided Costs'!$B$14:$B$47&gt;=$B76+1)*('2027 Avoided Costs'!$B$14:$B$47&lt;$B76+ROUND($O76,0)))))+_xlfn.XLOOKUP($B76,'2027 Avoided Costs'!$B$13:$B$47,'2027 Avoided Costs'!$I$13:$I$47))*IF($X76="Residential",'2027 Avoided Costs'!$J$5,IF($X76="Large Volume",'2027 Avoided Costs'!$J$7,'2027 Avoided Costs'!$J$6))*IF($AE76&lt;0,$AE76*(-1),0),0)</f>
        <v>0</v>
      </c>
      <c r="BF76" s="291">
        <f t="shared" si="50"/>
        <v>900048.9351917184</v>
      </c>
      <c r="BG76" s="291">
        <f t="shared" si="51"/>
        <v>545446.49947410938</v>
      </c>
      <c r="BH76" s="291">
        <f t="shared" si="52"/>
        <v>354602.43571760901</v>
      </c>
      <c r="BI76" s="292">
        <f t="shared" si="56"/>
        <v>1.6501140552913951</v>
      </c>
      <c r="BJ76" s="196" cm="1">
        <f t="array" ref="BJ76">IFERROR(IF($J76="Baseload",IF($O76=1,0,NPV('2027 Avoided Costs'!$D$6,_xlfn._xlws.FILTER('2027 Avoided Costs'!$C$14:$C$47,('2027 Avoided Costs'!$B$14:$B$47&gt;=$B76+1)*('2027 Avoided Costs'!$B$14:$B$47&lt;$B76+ROUND($O76,0)))))+_xlfn.XLOOKUP($B76,'2027 Avoided Costs'!$B$13:$B$47,'2027 Avoided Costs'!$C$13:$C$47),IF($O76=1,0,NPV('2027 Avoided Costs'!$D$6,_xlfn._xlws.FILTER('2027 Avoided Costs'!$E$14:$E$47,('2027 Avoided Costs'!$B$14:$B$47&gt;=$B76+1)*('2027 Avoided Costs'!$B$14:$B$47&lt;$B76+ROUND($O76,0)))))+_xlfn.XLOOKUP($B76,'2027 Avoided Costs'!$B$13:$B$47,'2027 Avoided Costs'!$E$13:$E$47))*IF($AE76&gt;0,$AE76*(1+0),0),0)</f>
        <v>653663.38319012744</v>
      </c>
      <c r="BK76" s="293">
        <f t="shared" si="53"/>
        <v>2.266702876699775</v>
      </c>
    </row>
    <row r="77" spans="1:63" s="56" customFormat="1" x14ac:dyDescent="0.25">
      <c r="A77" s="270" t="s">
        <v>133</v>
      </c>
      <c r="B77" s="271">
        <v>2030</v>
      </c>
      <c r="C77" s="272" t="s">
        <v>13</v>
      </c>
      <c r="D77" s="272" t="s">
        <v>9</v>
      </c>
      <c r="E77" s="272" t="s">
        <v>294</v>
      </c>
      <c r="F77" s="273">
        <v>8</v>
      </c>
      <c r="G77" s="274">
        <v>9495.3445102202913</v>
      </c>
      <c r="H77" s="275">
        <f t="shared" si="30"/>
        <v>0.96502300196168733</v>
      </c>
      <c r="I77" s="274">
        <v>250</v>
      </c>
      <c r="J77" s="276" t="s">
        <v>264</v>
      </c>
      <c r="K77" s="277">
        <f t="shared" si="54"/>
        <v>0.75</v>
      </c>
      <c r="L77" s="278">
        <v>0.28000000000000003</v>
      </c>
      <c r="M77" s="278">
        <v>0.03</v>
      </c>
      <c r="N77" s="278">
        <v>0.97609999999999997</v>
      </c>
      <c r="O77" s="279">
        <v>15</v>
      </c>
      <c r="P77" s="280">
        <v>9839.5007071523341</v>
      </c>
      <c r="Q77" s="281">
        <v>-14987.676666666666</v>
      </c>
      <c r="R77" s="282">
        <v>-3.6</v>
      </c>
      <c r="S77" s="282">
        <v>-6</v>
      </c>
      <c r="T77" s="281">
        <v>0</v>
      </c>
      <c r="U77" s="283">
        <v>0</v>
      </c>
      <c r="V77" s="284">
        <v>129925.30666666666</v>
      </c>
      <c r="W77" s="285">
        <v>0.15</v>
      </c>
      <c r="X77" s="286" t="s">
        <v>255</v>
      </c>
      <c r="Y77" s="287">
        <f t="shared" si="31"/>
        <v>8</v>
      </c>
      <c r="Z77" s="288">
        <f t="shared" si="32"/>
        <v>75962.756081762331</v>
      </c>
      <c r="AA77" s="288">
        <f t="shared" si="33"/>
        <v>2000</v>
      </c>
      <c r="AB77" s="288">
        <f t="shared" si="34"/>
        <v>80612.284456014837</v>
      </c>
      <c r="AC77" s="288">
        <f t="shared" si="55"/>
        <v>2104.9852168960006</v>
      </c>
      <c r="AD77" s="287">
        <f t="shared" si="35"/>
        <v>76834.693122011144</v>
      </c>
      <c r="AE77" s="287">
        <f t="shared" si="36"/>
        <v>57626.019841508358</v>
      </c>
      <c r="AF77" s="287">
        <f t="shared" si="37"/>
        <v>1152520.3968301672</v>
      </c>
      <c r="AG77" s="287">
        <f t="shared" si="38"/>
        <v>864390.29762262537</v>
      </c>
      <c r="AH77" s="287">
        <f t="shared" si="39"/>
        <v>-125462.34496260267</v>
      </c>
      <c r="AI77" s="287">
        <f t="shared" si="40"/>
        <v>-94096.758721951992</v>
      </c>
      <c r="AJ77" s="287">
        <f t="shared" si="41"/>
        <v>0</v>
      </c>
      <c r="AK77" s="287">
        <f t="shared" si="42"/>
        <v>0</v>
      </c>
      <c r="AL77" s="287">
        <f t="shared" si="43"/>
        <v>-30.13572096</v>
      </c>
      <c r="AM77" s="287">
        <f t="shared" si="44"/>
        <v>-22.601790720000004</v>
      </c>
      <c r="AN77" s="287">
        <f t="shared" si="45"/>
        <v>-50.226201600000003</v>
      </c>
      <c r="AO77" s="287">
        <f t="shared" si="46"/>
        <v>-37.669651200000004</v>
      </c>
      <c r="AP77" s="287">
        <f t="shared" si="47"/>
        <v>1039402.4533333333</v>
      </c>
      <c r="AQ77" s="287">
        <f t="shared" si="48"/>
        <v>779551.84</v>
      </c>
      <c r="AR77" s="287">
        <f t="shared" si="49"/>
        <v>0</v>
      </c>
      <c r="AS77" s="289" t="e">
        <f>IF(J77='2027 Avoided Costs'!#REF!,3,5)</f>
        <v>#REF!</v>
      </c>
      <c r="AT77" s="290" cm="1">
        <f t="array" ref="AT77">IFERROR(IF($J77="Baseload",IF($O77=1,0,NPV('2027 Avoided Costs'!$D$6,_xlfn._xlws.FILTER('2027 Avoided Costs'!$C$14:$C$47,('2027 Avoided Costs'!$B$14:$B$47&gt;=$B77+1)*('2027 Avoided Costs'!$B$14:$B$47&lt;$B77+ROUND($O77,0)))))+_xlfn.XLOOKUP($B77,'2027 Avoided Costs'!$B$13:$B$47,'2027 Avoided Costs'!$C$13:$C$47),IF($O77=1,0,NPV('2027 Avoided Costs'!$D$6,_xlfn._xlws.FILTER('2027 Avoided Costs'!$E$14:$E$47,('2027 Avoided Costs'!$B$14:$B$47&gt;=$B77+1)*('2027 Avoided Costs'!$B$14:$B$47&lt;$B77+ROUND($O77,0)))))+_xlfn.XLOOKUP($B77,'2027 Avoided Costs'!$B$13:$B$47,'2027 Avoided Costs'!$E$13:$E$47))*IF($AE77&gt;0,$AE77*(1+$W77),0),0)</f>
        <v>252690.78947696291</v>
      </c>
      <c r="AU77" s="290" cm="1">
        <f t="array" ref="AU77">IFERROR((IF($O77=1,0,NPV('2027 Avoided Costs'!$D$6,_xlfn._xlws.FILTER('2027 Avoided Costs'!$M$14:$M$47,('2027 Avoided Costs'!$B$14:$B$47&gt;=$B77+1)*('2027 Avoided Costs'!$B$14:$B$47&lt;$B77+ROUND($O77,0)))))+_xlfn.XLOOKUP($B77,'2027 Avoided Costs'!$B$13:$B$47,'2027 Avoided Costs'!$M$13:$M$47))*IF($AK77&gt;0,$AK77*(1+$W77),0),0)</f>
        <v>0</v>
      </c>
      <c r="AV77" s="291" cm="1">
        <f t="array" ref="AV77">IFERROR((IF($O77=1,0,NPV('2027 Avoided Costs'!$D$6,_xlfn._xlws.FILTER('2027 Avoided Costs'!$Q$14:$Q$47,('2027 Avoided Costs'!$B$14:$B$47&gt;=$B77+1)*('2027 Avoided Costs'!$B$14:$B$47&lt;$B77+ROUND($O77,0)))))+_xlfn.XLOOKUP($B77,'2027 Avoided Costs'!$B$13:$B$47,'2027 Avoided Costs'!$Q$13:$Q$47))*IF($AI77&gt;0,$AI77*(1+$W77),0),0)</f>
        <v>0</v>
      </c>
      <c r="AW77" s="291" cm="1">
        <f t="array" ref="AW77">IFERROR((IF($O77=1,0,NPV('2027 Avoided Costs'!$D$6,_xlfn._xlws.FILTER('2027 Avoided Costs'!$W$14:$W$47,('2027 Avoided Costs'!$B$14:$B$47&gt;=$B77+1)*('2027 Avoided Costs'!$B$14:$B$47&lt;$B77+ROUND($O77,0)))))+_xlfn.XLOOKUP($B77,'2027 Avoided Costs'!$B$13:$B$47,'2027 Avoided Costs'!$W$13:$W$47))*IF($AM77&gt;0,$AM77*(1+$W77),0),0)</f>
        <v>0</v>
      </c>
      <c r="AX77" s="291" cm="1">
        <f t="array" ref="AX77">IFERROR((IF($O77=1,0,NPV('2027 Avoided Costs'!$D$6,_xlfn._xlws.FILTER('2027 Avoided Costs'!$AC$14:$AC$47,('2027 Avoided Costs'!$B$14:$B$47&gt;=$B77+1)*('2027 Avoided Costs'!$B$14:$B$47&lt;$B77+ROUND($O77,0)))))+_xlfn.XLOOKUP($B77,'2027 Avoided Costs'!$B$13:$B$47,'2027 Avoided Costs'!$AC$13:$AC$47))*IF($AO77&gt;0,$AO77*(1+$W77),0),0)</f>
        <v>0</v>
      </c>
      <c r="AY77" s="291" cm="1">
        <f t="array" ref="AY77">IFERROR((IF($O77=1,0,NPV('2027 Avoided Costs'!$D$4,_xlfn._xlws.FILTER('2027 Avoided Costs'!$I$14:$I$47,('2027 Avoided Costs'!$B$14:$B$47&gt;=$B77+1)*('2027 Avoided Costs'!$B$14:$B$47&lt;$B77+ROUND($O77,0)))))+_xlfn.XLOOKUP($B77,'2027 Avoided Costs'!$B$13:$B$47,'2027 Avoided Costs'!$I$13:$I$47))*IF($X77="Residential",'2027 Avoided Costs'!$J$5,IF($X77="Large Volume",'2027 Avoided Costs'!$J$7,'2027 Avoided Costs'!$J$6))*IF($AE77&gt;0,$AE77,0),0)</f>
        <v>0</v>
      </c>
      <c r="AZ77" s="291" cm="1">
        <f t="array" ref="AZ77">IFERROR(IF($J77="Baseload",IF($O77=1,0,NPV('2027 Avoided Costs'!$D$6,_xlfn._xlws.FILTER('2027 Avoided Costs'!$C$14:$C$47,('2027 Avoided Costs'!$B$14:$B$47&gt;=$B77+1)*('2027 Avoided Costs'!$B$14:$B$47&lt;$B77+ROUND($O77,0)))))+_xlfn.XLOOKUP($B77,'2027 Avoided Costs'!$B$13:$B$47,'2027 Avoided Costs'!$C$13:$C$47),IF($O77=1,0,NPV('2027 Avoided Costs'!$D$6,_xlfn._xlws.FILTER('2027 Avoided Costs'!$E$14:$E$47,('2027 Avoided Costs'!$B$14:$B$47&gt;=$B77+1)*('2027 Avoided Costs'!$B$14:$B$47&lt;$B77+ROUND($O77,0)))))+_xlfn.XLOOKUP($B77,'2027 Avoided Costs'!$B$13:$B$47,'2027 Avoided Costs'!$E$13:$E$47))*IF($AE77&lt;0,$AE77*(-1),0),0)</f>
        <v>0</v>
      </c>
      <c r="BA77" s="291" cm="1">
        <f t="array" ref="BA77">IFERROR((IF($O77=1,0,NPV('2027 Avoided Costs'!$D$6,_xlfn._xlws.FILTER('2027 Avoided Costs'!$M$14:$M$47,('2027 Avoided Costs'!$B$14:$B$47&gt;=$B77+1)*('2027 Avoided Costs'!$B$14:$B$47&lt;$B77+ROUND($O77,0)))))+_xlfn.XLOOKUP($B77,'2027 Avoided Costs'!$B$13:$B$47,'2027 Avoided Costs'!$M$13:$M$47))*IF($AK77&lt;0,$AK77*(-1),0),0)</f>
        <v>0</v>
      </c>
      <c r="BB77" s="291" cm="1">
        <f t="array" ref="BB77">IFERROR((IF($O77=1,0,NPV('2027 Avoided Costs'!$D$6,_xlfn._xlws.FILTER('2027 Avoided Costs'!$S$14:$S$47,('2027 Avoided Costs'!$B$14:$B$47&gt;=$B77+1)*('2027 Avoided Costs'!$B$14:$B$47&lt;$B77+ROUND($O77,0)))))+_xlfn.XLOOKUP($B77,'2027 Avoided Costs'!$B$13:$B$47,'2027 Avoided Costs'!$S$13:$S$47))*IF($AI77&lt;0,$AI77*(-1),0),0)</f>
        <v>52436.181641728093</v>
      </c>
      <c r="BC77" s="291" cm="1">
        <f t="array" ref="BC77">IFERROR((IF($O77=1,0,NPV('2027 Avoided Costs'!$D$6,_xlfn._xlws.FILTER('2027 Avoided Costs'!$Y$14:$Y$47,('2027 Avoided Costs'!$B$14:$B$47&gt;=$B77+1)*('2027 Avoided Costs'!$B$14:$B$47&lt;$B77+ROUND($O77,0)))))+_xlfn.XLOOKUP($B77,'2027 Avoided Costs'!$B$13:$B$47,'2027 Avoided Costs'!$Y$13:$Y$47))*IF($AM77&lt;0,$AM77*(-1),0),0)</f>
        <v>78093.714486308265</v>
      </c>
      <c r="BD77" s="291" cm="1">
        <f t="array" ref="BD77">IFERROR((IF($O77=1,0,NPV('2027 Avoided Costs'!$D$6,_xlfn._xlws.FILTER('2027 Avoided Costs'!$AE$14:$AE$47,('2027 Avoided Costs'!$B$14:$B$47&gt;=$B77+1)*('2027 Avoided Costs'!$B$14:$B$47&lt;$B77+ROUND($O77,0)))))+_xlfn.XLOOKUP($B77,'2027 Avoided Costs'!$B$13:$B$47,'2027 Avoided Costs'!$AE$13:$AE$47))*IF($AO77&lt;0,$AO77*(-1),0),0)</f>
        <v>27527.642329628565</v>
      </c>
      <c r="BE77" s="291" cm="1">
        <f t="array" ref="BE77">IFERROR((IF($O77=1,0,NPV('2027 Avoided Costs'!$D$4,_xlfn._xlws.FILTER('2027 Avoided Costs'!$I$14:$I$47,('2027 Avoided Costs'!$B$14:$B$47&gt;=$B77+1)*('2027 Avoided Costs'!$B$14:$B$47&lt;$B77+ROUND($O77,0)))))+_xlfn.XLOOKUP($B77,'2027 Avoided Costs'!$B$13:$B$47,'2027 Avoided Costs'!$I$13:$I$47))*IF($X77="Residential",'2027 Avoided Costs'!$J$5,IF($X77="Large Volume",'2027 Avoided Costs'!$J$7,'2027 Avoided Costs'!$J$6))*IF($AE77&lt;0,$AE77*(-1),0),0)</f>
        <v>0</v>
      </c>
      <c r="BF77" s="291">
        <f t="shared" si="50"/>
        <v>252690.78947696291</v>
      </c>
      <c r="BG77" s="291">
        <f t="shared" si="51"/>
        <v>937609.37845766486</v>
      </c>
      <c r="BH77" s="291">
        <f t="shared" si="52"/>
        <v>-684918.58898070198</v>
      </c>
      <c r="BI77" s="292">
        <f t="shared" si="56"/>
        <v>0.26950539881824831</v>
      </c>
      <c r="BJ77" s="196" cm="1">
        <f t="array" ref="BJ77">IFERROR(IF($J77="Baseload",IF($O77=1,0,NPV('2027 Avoided Costs'!$D$6,_xlfn._xlws.FILTER('2027 Avoided Costs'!$C$14:$C$47,('2027 Avoided Costs'!$B$14:$B$47&gt;=$B77+1)*('2027 Avoided Costs'!$B$14:$B$47&lt;$B77+ROUND($O77,0)))))+_xlfn.XLOOKUP($B77,'2027 Avoided Costs'!$B$13:$B$47,'2027 Avoided Costs'!$C$13:$C$47),IF($O77=1,0,NPV('2027 Avoided Costs'!$D$6,_xlfn._xlws.FILTER('2027 Avoided Costs'!$E$14:$E$47,('2027 Avoided Costs'!$B$14:$B$47&gt;=$B77+1)*('2027 Avoided Costs'!$B$14:$B$47&lt;$B77+ROUND($O77,0)))))+_xlfn.XLOOKUP($B77,'2027 Avoided Costs'!$B$13:$B$47,'2027 Avoided Costs'!$E$13:$E$47))*IF($AE77&gt;0,$AE77*(1+0),0),0)</f>
        <v>219731.12128431557</v>
      </c>
      <c r="BK77" s="293">
        <f t="shared" si="53"/>
        <v>2.6564116798487065</v>
      </c>
    </row>
    <row r="78" spans="1:63" s="56" customFormat="1" x14ac:dyDescent="0.25">
      <c r="A78" s="270" t="s">
        <v>133</v>
      </c>
      <c r="B78" s="271">
        <v>2030</v>
      </c>
      <c r="C78" s="272" t="s">
        <v>13</v>
      </c>
      <c r="D78" s="272" t="s">
        <v>9</v>
      </c>
      <c r="E78" s="272" t="s">
        <v>295</v>
      </c>
      <c r="F78" s="273">
        <v>125</v>
      </c>
      <c r="G78" s="274">
        <v>13871.159784380674</v>
      </c>
      <c r="H78" s="275">
        <f t="shared" si="30"/>
        <v>0.65</v>
      </c>
      <c r="I78" s="274">
        <v>250</v>
      </c>
      <c r="J78" s="276" t="s">
        <v>264</v>
      </c>
      <c r="K78" s="277">
        <f t="shared" si="54"/>
        <v>0.75</v>
      </c>
      <c r="L78" s="278">
        <v>0.28000000000000003</v>
      </c>
      <c r="M78" s="278">
        <v>0.03</v>
      </c>
      <c r="N78" s="278">
        <v>0.91</v>
      </c>
      <c r="O78" s="279">
        <v>15</v>
      </c>
      <c r="P78" s="280">
        <v>21340.245822124114</v>
      </c>
      <c r="Q78" s="281">
        <v>2586.7229069767441</v>
      </c>
      <c r="R78" s="282">
        <v>1.5763199055365218</v>
      </c>
      <c r="S78" s="282">
        <v>0.46559375540552222</v>
      </c>
      <c r="T78" s="281">
        <v>222.68578431372549</v>
      </c>
      <c r="U78" s="283">
        <v>1</v>
      </c>
      <c r="V78" s="284">
        <v>23881.812378564122</v>
      </c>
      <c r="W78" s="285">
        <v>0.15</v>
      </c>
      <c r="X78" s="286" t="s">
        <v>255</v>
      </c>
      <c r="Y78" s="287">
        <f t="shared" si="31"/>
        <v>125</v>
      </c>
      <c r="Z78" s="288">
        <f t="shared" si="32"/>
        <v>1733894.9730475843</v>
      </c>
      <c r="AA78" s="288">
        <f t="shared" si="33"/>
        <v>31250</v>
      </c>
      <c r="AB78" s="288">
        <f t="shared" si="34"/>
        <v>1840023.2165578806</v>
      </c>
      <c r="AC78" s="288">
        <f t="shared" si="55"/>
        <v>32890.394014000005</v>
      </c>
      <c r="AD78" s="287">
        <f t="shared" si="35"/>
        <v>2427452.9622666179</v>
      </c>
      <c r="AE78" s="287">
        <f t="shared" si="36"/>
        <v>1820589.7216999633</v>
      </c>
      <c r="AF78" s="287">
        <f t="shared" si="37"/>
        <v>36411794.43399927</v>
      </c>
      <c r="AG78" s="287">
        <f t="shared" si="38"/>
        <v>27308845.825499449</v>
      </c>
      <c r="AH78" s="287">
        <f t="shared" si="39"/>
        <v>315424.99127674423</v>
      </c>
      <c r="AI78" s="287">
        <f t="shared" si="40"/>
        <v>236568.74345755816</v>
      </c>
      <c r="AJ78" s="287">
        <f t="shared" si="41"/>
        <v>25330.507965686276</v>
      </c>
      <c r="AK78" s="287">
        <f t="shared" si="42"/>
        <v>18997.880974264706</v>
      </c>
      <c r="AL78" s="287">
        <f t="shared" si="43"/>
        <v>192.21644928112346</v>
      </c>
      <c r="AM78" s="287">
        <f t="shared" si="44"/>
        <v>144.16233696084259</v>
      </c>
      <c r="AN78" s="287">
        <f t="shared" si="45"/>
        <v>56.774502534149384</v>
      </c>
      <c r="AO78" s="287">
        <f t="shared" si="46"/>
        <v>42.580876900612033</v>
      </c>
      <c r="AP78" s="287">
        <f t="shared" si="47"/>
        <v>2985226.5473205154</v>
      </c>
      <c r="AQ78" s="287">
        <f t="shared" si="48"/>
        <v>2238919.9104903867</v>
      </c>
      <c r="AR78" s="287">
        <f t="shared" si="49"/>
        <v>1820589.7216999633</v>
      </c>
      <c r="AS78" s="289" t="e">
        <f>IF(J78='2027 Avoided Costs'!#REF!,3,5)</f>
        <v>#REF!</v>
      </c>
      <c r="AT78" s="290" cm="1">
        <f t="array" ref="AT78">IFERROR(IF($J78="Baseload",IF($O78=1,0,NPV('2027 Avoided Costs'!$D$6,_xlfn._xlws.FILTER('2027 Avoided Costs'!$C$14:$C$47,('2027 Avoided Costs'!$B$14:$B$47&gt;=$B78+1)*('2027 Avoided Costs'!$B$14:$B$47&lt;$B78+ROUND($O78,0)))))+_xlfn.XLOOKUP($B78,'2027 Avoided Costs'!$B$13:$B$47,'2027 Avoided Costs'!$C$13:$C$47),IF($O78=1,0,NPV('2027 Avoided Costs'!$D$6,_xlfn._xlws.FILTER('2027 Avoided Costs'!$E$14:$E$47,('2027 Avoided Costs'!$B$14:$B$47&gt;=$B78+1)*('2027 Avoided Costs'!$B$14:$B$47&lt;$B78+ROUND($O78,0)))))+_xlfn.XLOOKUP($B78,'2027 Avoided Costs'!$B$13:$B$47,'2027 Avoided Costs'!$E$13:$E$47))*IF($AE78&gt;0,$AE78*(1+$W78),0),0)</f>
        <v>7983307.8070513187</v>
      </c>
      <c r="AU78" s="290" cm="1">
        <f t="array" ref="AU78">IFERROR((IF($O78=1,0,NPV('2027 Avoided Costs'!$D$6,_xlfn._xlws.FILTER('2027 Avoided Costs'!$M$14:$M$47,('2027 Avoided Costs'!$B$14:$B$47&gt;=$B78+1)*('2027 Avoided Costs'!$B$14:$B$47&lt;$B78+ROUND($O78,0)))))+_xlfn.XLOOKUP($B78,'2027 Avoided Costs'!$B$13:$B$47,'2027 Avoided Costs'!$M$13:$M$47))*IF($AK78&gt;0,$AK78*(1+$W78),0),0)</f>
        <v>289033.45753191621</v>
      </c>
      <c r="AV78" s="291" cm="1">
        <f t="array" ref="AV78">IFERROR((IF($O78=1,0,NPV('2027 Avoided Costs'!$D$6,_xlfn._xlws.FILTER('2027 Avoided Costs'!$Q$14:$Q$47,('2027 Avoided Costs'!$B$14:$B$47&gt;=$B78+1)*('2027 Avoided Costs'!$B$14:$B$47&lt;$B78+ROUND($O78,0)))))+_xlfn.XLOOKUP($B78,'2027 Avoided Costs'!$B$13:$B$47,'2027 Avoided Costs'!$Q$13:$Q$47))*IF($AI78&gt;0,$AI78*(1+$W78),0),0)</f>
        <v>151604.32768203586</v>
      </c>
      <c r="AW78" s="291" cm="1">
        <f t="array" ref="AW78">IFERROR((IF($O78=1,0,NPV('2027 Avoided Costs'!$D$6,_xlfn._xlws.FILTER('2027 Avoided Costs'!$W$14:$W$47,('2027 Avoided Costs'!$B$14:$B$47&gt;=$B78+1)*('2027 Avoided Costs'!$B$14:$B$47&lt;$B78+ROUND($O78,0)))))+_xlfn.XLOOKUP($B78,'2027 Avoided Costs'!$B$13:$B$47,'2027 Avoided Costs'!$W$13:$W$47))*IF($AM78&gt;0,$AM78*(1+$W78),0),0)</f>
        <v>572826.21541076957</v>
      </c>
      <c r="AX78" s="291" cm="1">
        <f t="array" ref="AX78">IFERROR((IF($O78=1,0,NPV('2027 Avoided Costs'!$D$6,_xlfn._xlws.FILTER('2027 Avoided Costs'!$AC$14:$AC$47,('2027 Avoided Costs'!$B$14:$B$47&gt;=$B78+1)*('2027 Avoided Costs'!$B$14:$B$47&lt;$B78+ROUND($O78,0)))))+_xlfn.XLOOKUP($B78,'2027 Avoided Costs'!$B$13:$B$47,'2027 Avoided Costs'!$AC$13:$AC$47))*IF($AO78&gt;0,$AO78*(1+$W78),0),0)</f>
        <v>35784.080257485621</v>
      </c>
      <c r="AY78" s="291" cm="1">
        <f t="array" ref="AY78">IFERROR((IF($O78=1,0,NPV('2027 Avoided Costs'!$D$4,_xlfn._xlws.FILTER('2027 Avoided Costs'!$I$14:$I$47,('2027 Avoided Costs'!$B$14:$B$47&gt;=$B78+1)*('2027 Avoided Costs'!$B$14:$B$47&lt;$B78+ROUND($O78,0)))))+_xlfn.XLOOKUP($B78,'2027 Avoided Costs'!$B$13:$B$47,'2027 Avoided Costs'!$I$13:$I$47))*IF($X78="Residential",'2027 Avoided Costs'!$J$5,IF($X78="Large Volume",'2027 Avoided Costs'!$J$7,'2027 Avoided Costs'!$J$6))*IF($AE78&gt;0,$AE78,0),0)</f>
        <v>0</v>
      </c>
      <c r="AZ78" s="291" cm="1">
        <f t="array" ref="AZ78">IFERROR(IF($J78="Baseload",IF($O78=1,0,NPV('2027 Avoided Costs'!$D$6,_xlfn._xlws.FILTER('2027 Avoided Costs'!$C$14:$C$47,('2027 Avoided Costs'!$B$14:$B$47&gt;=$B78+1)*('2027 Avoided Costs'!$B$14:$B$47&lt;$B78+ROUND($O78,0)))))+_xlfn.XLOOKUP($B78,'2027 Avoided Costs'!$B$13:$B$47,'2027 Avoided Costs'!$C$13:$C$47),IF($O78=1,0,NPV('2027 Avoided Costs'!$D$6,_xlfn._xlws.FILTER('2027 Avoided Costs'!$E$14:$E$47,('2027 Avoided Costs'!$B$14:$B$47&gt;=$B78+1)*('2027 Avoided Costs'!$B$14:$B$47&lt;$B78+ROUND($O78,0)))))+_xlfn.XLOOKUP($B78,'2027 Avoided Costs'!$B$13:$B$47,'2027 Avoided Costs'!$E$13:$E$47))*IF($AE78&lt;0,$AE78*(-1),0),0)</f>
        <v>0</v>
      </c>
      <c r="BA78" s="291" cm="1">
        <f t="array" ref="BA78">IFERROR((IF($O78=1,0,NPV('2027 Avoided Costs'!$D$6,_xlfn._xlws.FILTER('2027 Avoided Costs'!$M$14:$M$47,('2027 Avoided Costs'!$B$14:$B$47&gt;=$B78+1)*('2027 Avoided Costs'!$B$14:$B$47&lt;$B78+ROUND($O78,0)))))+_xlfn.XLOOKUP($B78,'2027 Avoided Costs'!$B$13:$B$47,'2027 Avoided Costs'!$M$13:$M$47))*IF($AK78&lt;0,$AK78*(-1),0),0)</f>
        <v>0</v>
      </c>
      <c r="BB78" s="291" cm="1">
        <f t="array" ref="BB78">IFERROR((IF($O78=1,0,NPV('2027 Avoided Costs'!$D$6,_xlfn._xlws.FILTER('2027 Avoided Costs'!$S$14:$S$47,('2027 Avoided Costs'!$B$14:$B$47&gt;=$B78+1)*('2027 Avoided Costs'!$B$14:$B$47&lt;$B78+ROUND($O78,0)))))+_xlfn.XLOOKUP($B78,'2027 Avoided Costs'!$B$13:$B$47,'2027 Avoided Costs'!$S$13:$S$47))*IF($AI78&lt;0,$AI78*(-1),0),0)</f>
        <v>0</v>
      </c>
      <c r="BC78" s="291" cm="1">
        <f t="array" ref="BC78">IFERROR((IF($O78=1,0,NPV('2027 Avoided Costs'!$D$6,_xlfn._xlws.FILTER('2027 Avoided Costs'!$Y$14:$Y$47,('2027 Avoided Costs'!$B$14:$B$47&gt;=$B78+1)*('2027 Avoided Costs'!$B$14:$B$47&lt;$B78+ROUND($O78,0)))))+_xlfn.XLOOKUP($B78,'2027 Avoided Costs'!$B$13:$B$47,'2027 Avoided Costs'!$Y$13:$Y$47))*IF($AM78&lt;0,$AM78*(-1),0),0)</f>
        <v>0</v>
      </c>
      <c r="BD78" s="291" cm="1">
        <f t="array" ref="BD78">IFERROR((IF($O78=1,0,NPV('2027 Avoided Costs'!$D$6,_xlfn._xlws.FILTER('2027 Avoided Costs'!$AE$14:$AE$47,('2027 Avoided Costs'!$B$14:$B$47&gt;=$B78+1)*('2027 Avoided Costs'!$B$14:$B$47&lt;$B78+ROUND($O78,0)))))+_xlfn.XLOOKUP($B78,'2027 Avoided Costs'!$B$13:$B$47,'2027 Avoided Costs'!$AE$13:$AE$47))*IF($AO78&lt;0,$AO78*(-1),0),0)</f>
        <v>0</v>
      </c>
      <c r="BE78" s="291" cm="1">
        <f t="array" ref="BE78">IFERROR((IF($O78=1,0,NPV('2027 Avoided Costs'!$D$4,_xlfn._xlws.FILTER('2027 Avoided Costs'!$I$14:$I$47,('2027 Avoided Costs'!$B$14:$B$47&gt;=$B78+1)*('2027 Avoided Costs'!$B$14:$B$47&lt;$B78+ROUND($O78,0)))))+_xlfn.XLOOKUP($B78,'2027 Avoided Costs'!$B$13:$B$47,'2027 Avoided Costs'!$I$13:$I$47))*IF($X78="Residential",'2027 Avoided Costs'!$J$5,IF($X78="Large Volume",'2027 Avoided Costs'!$J$7,'2027 Avoided Costs'!$J$6))*IF($AE78&lt;0,$AE78*(-1),0),0)</f>
        <v>0</v>
      </c>
      <c r="BF78" s="291">
        <f t="shared" si="50"/>
        <v>9032555.8879335262</v>
      </c>
      <c r="BG78" s="291">
        <f t="shared" si="51"/>
        <v>2238919.9104903867</v>
      </c>
      <c r="BH78" s="291">
        <f t="shared" si="52"/>
        <v>6793635.97744314</v>
      </c>
      <c r="BI78" s="292">
        <f t="shared" si="56"/>
        <v>4.0343363090442752</v>
      </c>
      <c r="BJ78" s="196" cm="1">
        <f t="array" ref="BJ78">IFERROR(IF($J78="Baseload",IF($O78=1,0,NPV('2027 Avoided Costs'!$D$6,_xlfn._xlws.FILTER('2027 Avoided Costs'!$C$14:$C$47,('2027 Avoided Costs'!$B$14:$B$47&gt;=$B78+1)*('2027 Avoided Costs'!$B$14:$B$47&lt;$B78+ROUND($O78,0)))))+_xlfn.XLOOKUP($B78,'2027 Avoided Costs'!$B$13:$B$47,'2027 Avoided Costs'!$C$13:$C$47),IF($O78=1,0,NPV('2027 Avoided Costs'!$D$6,_xlfn._xlws.FILTER('2027 Avoided Costs'!$E$14:$E$47,('2027 Avoided Costs'!$B$14:$B$47&gt;=$B78+1)*('2027 Avoided Costs'!$B$14:$B$47&lt;$B78+ROUND($O78,0)))))+_xlfn.XLOOKUP($B78,'2027 Avoided Costs'!$B$13:$B$47,'2027 Avoided Costs'!$E$13:$E$47))*IF($AE78&gt;0,$AE78*(1+0),0),0)</f>
        <v>6942006.7887402782</v>
      </c>
      <c r="BK78" s="293">
        <f t="shared" si="53"/>
        <v>3.7065280264691904</v>
      </c>
    </row>
    <row r="79" spans="1:63" s="56" customFormat="1" x14ac:dyDescent="0.25">
      <c r="A79" s="270" t="s">
        <v>133</v>
      </c>
      <c r="B79" s="271">
        <v>2030</v>
      </c>
      <c r="C79" s="272" t="s">
        <v>13</v>
      </c>
      <c r="D79" s="272" t="s">
        <v>9</v>
      </c>
      <c r="E79" s="272" t="s">
        <v>354</v>
      </c>
      <c r="F79" s="273">
        <v>22</v>
      </c>
      <c r="G79" s="274">
        <v>13871.159784380674</v>
      </c>
      <c r="H79" s="275">
        <f t="shared" si="30"/>
        <v>0.65</v>
      </c>
      <c r="I79" s="274">
        <v>250</v>
      </c>
      <c r="J79" s="276" t="s">
        <v>263</v>
      </c>
      <c r="K79" s="277">
        <f t="shared" si="54"/>
        <v>0.75</v>
      </c>
      <c r="L79" s="278">
        <v>0.28000000000000003</v>
      </c>
      <c r="M79" s="278">
        <v>0.03</v>
      </c>
      <c r="N79" s="278">
        <v>0.91</v>
      </c>
      <c r="O79" s="279">
        <v>15</v>
      </c>
      <c r="P79" s="280">
        <v>21340.245822124114</v>
      </c>
      <c r="Q79" s="281">
        <v>2586.7229069767441</v>
      </c>
      <c r="R79" s="282">
        <v>0.29528800307953429</v>
      </c>
      <c r="S79" s="282">
        <v>0.29528800307953795</v>
      </c>
      <c r="T79" s="281">
        <v>222.68578431372549</v>
      </c>
      <c r="U79" s="283">
        <v>1</v>
      </c>
      <c r="V79" s="284">
        <v>23881.812378564122</v>
      </c>
      <c r="W79" s="285">
        <v>0.15</v>
      </c>
      <c r="X79" s="286" t="s">
        <v>255</v>
      </c>
      <c r="Y79" s="287">
        <f t="shared" si="31"/>
        <v>22</v>
      </c>
      <c r="Z79" s="288">
        <f t="shared" si="32"/>
        <v>305165.51525637484</v>
      </c>
      <c r="AA79" s="288">
        <f t="shared" si="33"/>
        <v>5500</v>
      </c>
      <c r="AB79" s="288">
        <f t="shared" si="34"/>
        <v>323844.08611418703</v>
      </c>
      <c r="AC79" s="288">
        <f t="shared" si="55"/>
        <v>5788.7093464640011</v>
      </c>
      <c r="AD79" s="287">
        <f t="shared" si="35"/>
        <v>427231.72135892481</v>
      </c>
      <c r="AE79" s="287">
        <f t="shared" si="36"/>
        <v>320423.7910191936</v>
      </c>
      <c r="AF79" s="287">
        <f t="shared" si="37"/>
        <v>6408475.8203838719</v>
      </c>
      <c r="AG79" s="287">
        <f t="shared" si="38"/>
        <v>4806356.8652879037</v>
      </c>
      <c r="AH79" s="287">
        <f t="shared" si="39"/>
        <v>55514.798464706975</v>
      </c>
      <c r="AI79" s="287">
        <f t="shared" si="40"/>
        <v>41636.098848530237</v>
      </c>
      <c r="AJ79" s="287">
        <f t="shared" si="41"/>
        <v>4458.1694019607849</v>
      </c>
      <c r="AK79" s="287">
        <f t="shared" si="42"/>
        <v>3343.6270514705884</v>
      </c>
      <c r="AL79" s="287">
        <f t="shared" si="43"/>
        <v>6.3373057608112413</v>
      </c>
      <c r="AM79" s="287">
        <f t="shared" si="44"/>
        <v>4.7529793206084312</v>
      </c>
      <c r="AN79" s="287">
        <f t="shared" si="45"/>
        <v>6.3373057608113204</v>
      </c>
      <c r="AO79" s="287">
        <f t="shared" si="46"/>
        <v>4.7529793206084898</v>
      </c>
      <c r="AP79" s="287">
        <f t="shared" si="47"/>
        <v>525399.87232841062</v>
      </c>
      <c r="AQ79" s="287">
        <f t="shared" si="48"/>
        <v>394049.90424630797</v>
      </c>
      <c r="AR79" s="287">
        <f t="shared" si="49"/>
        <v>320423.7910191936</v>
      </c>
      <c r="AS79" s="289" t="e">
        <f>IF(J79='2027 Avoided Costs'!#REF!,3,5)</f>
        <v>#REF!</v>
      </c>
      <c r="AT79" s="290" cm="1">
        <f t="array" ref="AT79">IFERROR(IF($J79="Baseload",IF($O79=1,0,NPV('2027 Avoided Costs'!$D$6,_xlfn._xlws.FILTER('2027 Avoided Costs'!$C$14:$C$47,('2027 Avoided Costs'!$B$14:$B$47&gt;=$B79+1)*('2027 Avoided Costs'!$B$14:$B$47&lt;$B79+ROUND($O79,0)))))+_xlfn.XLOOKUP($B79,'2027 Avoided Costs'!$B$13:$B$47,'2027 Avoided Costs'!$C$13:$C$47),IF($O79=1,0,NPV('2027 Avoided Costs'!$D$6,_xlfn._xlws.FILTER('2027 Avoided Costs'!$E$14:$E$47,('2027 Avoided Costs'!$B$14:$B$47&gt;=$B79+1)*('2027 Avoided Costs'!$B$14:$B$47&lt;$B79+ROUND($O79,0)))))+_xlfn.XLOOKUP($B79,'2027 Avoided Costs'!$B$13:$B$47,'2027 Avoided Costs'!$E$13:$E$47))*IF($AE79&gt;0,$AE79*(1+$W79),0),0)</f>
        <v>1256715.3646169661</v>
      </c>
      <c r="AU79" s="290" cm="1">
        <f t="array" ref="AU79">IFERROR((IF($O79=1,0,NPV('2027 Avoided Costs'!$D$6,_xlfn._xlws.FILTER('2027 Avoided Costs'!$M$14:$M$47,('2027 Avoided Costs'!$B$14:$B$47&gt;=$B79+1)*('2027 Avoided Costs'!$B$14:$B$47&lt;$B79+ROUND($O79,0)))))+_xlfn.XLOOKUP($B79,'2027 Avoided Costs'!$B$13:$B$47,'2027 Avoided Costs'!$M$13:$M$47))*IF($AK79&gt;0,$AK79*(1+$W79),0),0)</f>
        <v>50869.888525617258</v>
      </c>
      <c r="AV79" s="291" cm="1">
        <f t="array" ref="AV79">IFERROR((IF($O79=1,0,NPV('2027 Avoided Costs'!$D$6,_xlfn._xlws.FILTER('2027 Avoided Costs'!$Q$14:$Q$47,('2027 Avoided Costs'!$B$14:$B$47&gt;=$B79+1)*('2027 Avoided Costs'!$B$14:$B$47&lt;$B79+ROUND($O79,0)))))+_xlfn.XLOOKUP($B79,'2027 Avoided Costs'!$B$13:$B$47,'2027 Avoided Costs'!$Q$13:$Q$47))*IF($AI79&gt;0,$AI79*(1+$W79),0),0)</f>
        <v>26682.361672038314</v>
      </c>
      <c r="AW79" s="291" cm="1">
        <f t="array" ref="AW79">IFERROR((IF($O79=1,0,NPV('2027 Avoided Costs'!$D$6,_xlfn._xlws.FILTER('2027 Avoided Costs'!$W$14:$W$47,('2027 Avoided Costs'!$B$14:$B$47&gt;=$B79+1)*('2027 Avoided Costs'!$B$14:$B$47&lt;$B79+ROUND($O79,0)))))+_xlfn.XLOOKUP($B79,'2027 Avoided Costs'!$B$13:$B$47,'2027 Avoided Costs'!$W$13:$W$47))*IF($AM79&gt;0,$AM79*(1+$W79),0),0)</f>
        <v>18885.870009788341</v>
      </c>
      <c r="AX79" s="291" cm="1">
        <f t="array" ref="AX79">IFERROR((IF($O79=1,0,NPV('2027 Avoided Costs'!$D$6,_xlfn._xlws.FILTER('2027 Avoided Costs'!$AC$14:$AC$47,('2027 Avoided Costs'!$B$14:$B$47&gt;=$B79+1)*('2027 Avoided Costs'!$B$14:$B$47&lt;$B79+ROUND($O79,0)))))+_xlfn.XLOOKUP($B79,'2027 Avoided Costs'!$B$13:$B$47,'2027 Avoided Costs'!$AC$13:$AC$47))*IF($AO79&gt;0,$AO79*(1+$W79),0),0)</f>
        <v>3994.304623359671</v>
      </c>
      <c r="AY79" s="291" cm="1">
        <f t="array" ref="AY79">IFERROR((IF($O79=1,0,NPV('2027 Avoided Costs'!$D$4,_xlfn._xlws.FILTER('2027 Avoided Costs'!$I$14:$I$47,('2027 Avoided Costs'!$B$14:$B$47&gt;=$B79+1)*('2027 Avoided Costs'!$B$14:$B$47&lt;$B79+ROUND($O79,0)))))+_xlfn.XLOOKUP($B79,'2027 Avoided Costs'!$B$13:$B$47,'2027 Avoided Costs'!$I$13:$I$47))*IF($X79="Residential",'2027 Avoided Costs'!$J$5,IF($X79="Large Volume",'2027 Avoided Costs'!$J$7,'2027 Avoided Costs'!$J$6))*IF($AE79&gt;0,$AE79,0),0)</f>
        <v>0</v>
      </c>
      <c r="AZ79" s="291" cm="1">
        <f t="array" ref="AZ79">IFERROR(IF($J79="Baseload",IF($O79=1,0,NPV('2027 Avoided Costs'!$D$6,_xlfn._xlws.FILTER('2027 Avoided Costs'!$C$14:$C$47,('2027 Avoided Costs'!$B$14:$B$47&gt;=$B79+1)*('2027 Avoided Costs'!$B$14:$B$47&lt;$B79+ROUND($O79,0)))))+_xlfn.XLOOKUP($B79,'2027 Avoided Costs'!$B$13:$B$47,'2027 Avoided Costs'!$C$13:$C$47),IF($O79=1,0,NPV('2027 Avoided Costs'!$D$6,_xlfn._xlws.FILTER('2027 Avoided Costs'!$E$14:$E$47,('2027 Avoided Costs'!$B$14:$B$47&gt;=$B79+1)*('2027 Avoided Costs'!$B$14:$B$47&lt;$B79+ROUND($O79,0)))))+_xlfn.XLOOKUP($B79,'2027 Avoided Costs'!$B$13:$B$47,'2027 Avoided Costs'!$E$13:$E$47))*IF($AE79&lt;0,$AE79*(-1),0),0)</f>
        <v>0</v>
      </c>
      <c r="BA79" s="291" cm="1">
        <f t="array" ref="BA79">IFERROR((IF($O79=1,0,NPV('2027 Avoided Costs'!$D$6,_xlfn._xlws.FILTER('2027 Avoided Costs'!$M$14:$M$47,('2027 Avoided Costs'!$B$14:$B$47&gt;=$B79+1)*('2027 Avoided Costs'!$B$14:$B$47&lt;$B79+ROUND($O79,0)))))+_xlfn.XLOOKUP($B79,'2027 Avoided Costs'!$B$13:$B$47,'2027 Avoided Costs'!$M$13:$M$47))*IF($AK79&lt;0,$AK79*(-1),0),0)</f>
        <v>0</v>
      </c>
      <c r="BB79" s="291" cm="1">
        <f t="array" ref="BB79">IFERROR((IF($O79=1,0,NPV('2027 Avoided Costs'!$D$6,_xlfn._xlws.FILTER('2027 Avoided Costs'!$S$14:$S$47,('2027 Avoided Costs'!$B$14:$B$47&gt;=$B79+1)*('2027 Avoided Costs'!$B$14:$B$47&lt;$B79+ROUND($O79,0)))))+_xlfn.XLOOKUP($B79,'2027 Avoided Costs'!$B$13:$B$47,'2027 Avoided Costs'!$S$13:$S$47))*IF($AI79&lt;0,$AI79*(-1),0),0)</f>
        <v>0</v>
      </c>
      <c r="BC79" s="291" cm="1">
        <f t="array" ref="BC79">IFERROR((IF($O79=1,0,NPV('2027 Avoided Costs'!$D$6,_xlfn._xlws.FILTER('2027 Avoided Costs'!$Y$14:$Y$47,('2027 Avoided Costs'!$B$14:$B$47&gt;=$B79+1)*('2027 Avoided Costs'!$B$14:$B$47&lt;$B79+ROUND($O79,0)))))+_xlfn.XLOOKUP($B79,'2027 Avoided Costs'!$B$13:$B$47,'2027 Avoided Costs'!$Y$13:$Y$47))*IF($AM79&lt;0,$AM79*(-1),0),0)</f>
        <v>0</v>
      </c>
      <c r="BD79" s="291" cm="1">
        <f t="array" ref="BD79">IFERROR((IF($O79=1,0,NPV('2027 Avoided Costs'!$D$6,_xlfn._xlws.FILTER('2027 Avoided Costs'!$AE$14:$AE$47,('2027 Avoided Costs'!$B$14:$B$47&gt;=$B79+1)*('2027 Avoided Costs'!$B$14:$B$47&lt;$B79+ROUND($O79,0)))))+_xlfn.XLOOKUP($B79,'2027 Avoided Costs'!$B$13:$B$47,'2027 Avoided Costs'!$AE$13:$AE$47))*IF($AO79&lt;0,$AO79*(-1),0),0)</f>
        <v>0</v>
      </c>
      <c r="BE79" s="291" cm="1">
        <f t="array" ref="BE79">IFERROR((IF($O79=1,0,NPV('2027 Avoided Costs'!$D$4,_xlfn._xlws.FILTER('2027 Avoided Costs'!$I$14:$I$47,('2027 Avoided Costs'!$B$14:$B$47&gt;=$B79+1)*('2027 Avoided Costs'!$B$14:$B$47&lt;$B79+ROUND($O79,0)))))+_xlfn.XLOOKUP($B79,'2027 Avoided Costs'!$B$13:$B$47,'2027 Avoided Costs'!$I$13:$I$47))*IF($X79="Residential",'2027 Avoided Costs'!$J$5,IF($X79="Large Volume",'2027 Avoided Costs'!$J$7,'2027 Avoided Costs'!$J$6))*IF($AE79&lt;0,$AE79*(-1),0),0)</f>
        <v>0</v>
      </c>
      <c r="BF79" s="291">
        <f t="shared" si="50"/>
        <v>1357147.7894477695</v>
      </c>
      <c r="BG79" s="291">
        <f t="shared" si="51"/>
        <v>394049.90424630797</v>
      </c>
      <c r="BH79" s="291">
        <f t="shared" si="52"/>
        <v>963097.88520146161</v>
      </c>
      <c r="BI79" s="292">
        <f t="shared" si="56"/>
        <v>3.44410130499476</v>
      </c>
      <c r="BJ79" s="196" cm="1">
        <f t="array" ref="BJ79">IFERROR(IF($J79="Baseload",IF($O79=1,0,NPV('2027 Avoided Costs'!$D$6,_xlfn._xlws.FILTER('2027 Avoided Costs'!$C$14:$C$47,('2027 Avoided Costs'!$B$14:$B$47&gt;=$B79+1)*('2027 Avoided Costs'!$B$14:$B$47&lt;$B79+ROUND($O79,0)))))+_xlfn.XLOOKUP($B79,'2027 Avoided Costs'!$B$13:$B$47,'2027 Avoided Costs'!$C$13:$C$47),IF($O79=1,0,NPV('2027 Avoided Costs'!$D$6,_xlfn._xlws.FILTER('2027 Avoided Costs'!$E$14:$E$47,('2027 Avoided Costs'!$B$14:$B$47&gt;=$B79+1)*('2027 Avoided Costs'!$B$14:$B$47&lt;$B79+ROUND($O79,0)))))+_xlfn.XLOOKUP($B79,'2027 Avoided Costs'!$B$13:$B$47,'2027 Avoided Costs'!$E$13:$E$47))*IF($AE79&gt;0,$AE79*(1+0),0),0)</f>
        <v>1092795.9692321445</v>
      </c>
      <c r="BK79" s="293">
        <f t="shared" si="53"/>
        <v>3.3151918870966646</v>
      </c>
    </row>
    <row r="80" spans="1:63" s="56" customFormat="1" x14ac:dyDescent="0.25">
      <c r="A80" s="270" t="s">
        <v>133</v>
      </c>
      <c r="B80" s="271">
        <v>2030</v>
      </c>
      <c r="C80" s="272" t="s">
        <v>13</v>
      </c>
      <c r="D80" s="272" t="s">
        <v>9</v>
      </c>
      <c r="E80" s="272" t="s">
        <v>296</v>
      </c>
      <c r="F80" s="273">
        <v>3</v>
      </c>
      <c r="G80" s="274">
        <v>61838.13569473294</v>
      </c>
      <c r="H80" s="275">
        <f t="shared" si="30"/>
        <v>0.65</v>
      </c>
      <c r="I80" s="274">
        <v>250</v>
      </c>
      <c r="J80" s="276" t="s">
        <v>264</v>
      </c>
      <c r="K80" s="277">
        <f t="shared" si="54"/>
        <v>0.75</v>
      </c>
      <c r="L80" s="278">
        <v>0.28000000000000003</v>
      </c>
      <c r="M80" s="278">
        <v>0.03</v>
      </c>
      <c r="N80" s="278">
        <v>0.91</v>
      </c>
      <c r="O80" s="279">
        <v>15</v>
      </c>
      <c r="P80" s="280">
        <v>95135.593376512217</v>
      </c>
      <c r="Q80" s="281">
        <v>-127745.62000000001</v>
      </c>
      <c r="R80" s="282">
        <v>-42.5</v>
      </c>
      <c r="S80" s="282">
        <v>-75</v>
      </c>
      <c r="T80" s="281">
        <v>0</v>
      </c>
      <c r="U80" s="283">
        <v>1</v>
      </c>
      <c r="V80" s="284">
        <v>148461</v>
      </c>
      <c r="W80" s="285">
        <v>0.15</v>
      </c>
      <c r="X80" s="286" t="s">
        <v>255</v>
      </c>
      <c r="Y80" s="287">
        <f t="shared" si="31"/>
        <v>3</v>
      </c>
      <c r="Z80" s="288">
        <f t="shared" si="32"/>
        <v>185514.40708419881</v>
      </c>
      <c r="AA80" s="288">
        <f t="shared" si="33"/>
        <v>750</v>
      </c>
      <c r="AB80" s="288">
        <f t="shared" si="34"/>
        <v>196869.37291300844</v>
      </c>
      <c r="AC80" s="288">
        <f t="shared" si="55"/>
        <v>789.3694563360001</v>
      </c>
      <c r="AD80" s="287">
        <f t="shared" si="35"/>
        <v>259720.16991787835</v>
      </c>
      <c r="AE80" s="287">
        <f t="shared" si="36"/>
        <v>194790.12743840876</v>
      </c>
      <c r="AF80" s="287">
        <f t="shared" si="37"/>
        <v>3895802.5487681753</v>
      </c>
      <c r="AG80" s="287">
        <f t="shared" si="38"/>
        <v>2921851.9115761314</v>
      </c>
      <c r="AH80" s="287">
        <f t="shared" si="39"/>
        <v>-373855.22166720009</v>
      </c>
      <c r="AI80" s="287">
        <f t="shared" si="40"/>
        <v>-280391.41625040007</v>
      </c>
      <c r="AJ80" s="287">
        <f t="shared" si="41"/>
        <v>0</v>
      </c>
      <c r="AK80" s="287">
        <f t="shared" si="42"/>
        <v>0</v>
      </c>
      <c r="AL80" s="287">
        <f t="shared" si="43"/>
        <v>-124.37880000000001</v>
      </c>
      <c r="AM80" s="287">
        <f t="shared" si="44"/>
        <v>-93.284100000000024</v>
      </c>
      <c r="AN80" s="287">
        <f t="shared" si="45"/>
        <v>-219.49200000000002</v>
      </c>
      <c r="AO80" s="287">
        <f t="shared" si="46"/>
        <v>-164.619</v>
      </c>
      <c r="AP80" s="287">
        <f t="shared" si="47"/>
        <v>445383</v>
      </c>
      <c r="AQ80" s="287">
        <f t="shared" si="48"/>
        <v>334037.25</v>
      </c>
      <c r="AR80" s="287">
        <f t="shared" si="49"/>
        <v>194790.12743840876</v>
      </c>
      <c r="AS80" s="289" t="e">
        <f>IF(J80='2027 Avoided Costs'!#REF!,3,5)</f>
        <v>#REF!</v>
      </c>
      <c r="AT80" s="290" cm="1">
        <f t="array" ref="AT80">IFERROR(IF($J80="Baseload",IF($O80=1,0,NPV('2027 Avoided Costs'!$D$6,_xlfn._xlws.FILTER('2027 Avoided Costs'!$C$14:$C$47,('2027 Avoided Costs'!$B$14:$B$47&gt;=$B80+1)*('2027 Avoided Costs'!$B$14:$B$47&lt;$B80+ROUND($O80,0)))))+_xlfn.XLOOKUP($B80,'2027 Avoided Costs'!$B$13:$B$47,'2027 Avoided Costs'!$C$13:$C$47),IF($O80=1,0,NPV('2027 Avoided Costs'!$D$6,_xlfn._xlws.FILTER('2027 Avoided Costs'!$E$14:$E$47,('2027 Avoided Costs'!$B$14:$B$47&gt;=$B80+1)*('2027 Avoided Costs'!$B$14:$B$47&lt;$B80+ROUND($O80,0)))))+_xlfn.XLOOKUP($B80,'2027 Avoided Costs'!$B$13:$B$47,'2027 Avoided Costs'!$E$13:$E$47))*IF($AE80&gt;0,$AE80*(1+$W80),0),0)</f>
        <v>854157.04954300984</v>
      </c>
      <c r="AU80" s="290" cm="1">
        <f t="array" ref="AU80">IFERROR((IF($O80=1,0,NPV('2027 Avoided Costs'!$D$6,_xlfn._xlws.FILTER('2027 Avoided Costs'!$M$14:$M$47,('2027 Avoided Costs'!$B$14:$B$47&gt;=$B80+1)*('2027 Avoided Costs'!$B$14:$B$47&lt;$B80+ROUND($O80,0)))))+_xlfn.XLOOKUP($B80,'2027 Avoided Costs'!$B$13:$B$47,'2027 Avoided Costs'!$M$13:$M$47))*IF($AK80&gt;0,$AK80*(1+$W80),0),0)</f>
        <v>0</v>
      </c>
      <c r="AV80" s="291" cm="1">
        <f t="array" ref="AV80">IFERROR((IF($O80=1,0,NPV('2027 Avoided Costs'!$D$6,_xlfn._xlws.FILTER('2027 Avoided Costs'!$Q$14:$Q$47,('2027 Avoided Costs'!$B$14:$B$47&gt;=$B80+1)*('2027 Avoided Costs'!$B$14:$B$47&lt;$B80+ROUND($O80,0)))))+_xlfn.XLOOKUP($B80,'2027 Avoided Costs'!$B$13:$B$47,'2027 Avoided Costs'!$Q$13:$Q$47))*IF($AI80&gt;0,$AI80*(1+$W80),0),0)</f>
        <v>0</v>
      </c>
      <c r="AW80" s="291" cm="1">
        <f t="array" ref="AW80">IFERROR((IF($O80=1,0,NPV('2027 Avoided Costs'!$D$6,_xlfn._xlws.FILTER('2027 Avoided Costs'!$W$14:$W$47,('2027 Avoided Costs'!$B$14:$B$47&gt;=$B80+1)*('2027 Avoided Costs'!$B$14:$B$47&lt;$B80+ROUND($O80,0)))))+_xlfn.XLOOKUP($B80,'2027 Avoided Costs'!$B$13:$B$47,'2027 Avoided Costs'!$W$13:$W$47))*IF($AM80&gt;0,$AM80*(1+$W80),0),0)</f>
        <v>0</v>
      </c>
      <c r="AX80" s="291" cm="1">
        <f t="array" ref="AX80">IFERROR((IF($O80=1,0,NPV('2027 Avoided Costs'!$D$6,_xlfn._xlws.FILTER('2027 Avoided Costs'!$AC$14:$AC$47,('2027 Avoided Costs'!$B$14:$B$47&gt;=$B80+1)*('2027 Avoided Costs'!$B$14:$B$47&lt;$B80+ROUND($O80,0)))))+_xlfn.XLOOKUP($B80,'2027 Avoided Costs'!$B$13:$B$47,'2027 Avoided Costs'!$AC$13:$AC$47))*IF($AO80&gt;0,$AO80*(1+$W80),0),0)</f>
        <v>0</v>
      </c>
      <c r="AY80" s="291" cm="1">
        <f t="array" ref="AY80">IFERROR((IF($O80=1,0,NPV('2027 Avoided Costs'!$D$4,_xlfn._xlws.FILTER('2027 Avoided Costs'!$I$14:$I$47,('2027 Avoided Costs'!$B$14:$B$47&gt;=$B80+1)*('2027 Avoided Costs'!$B$14:$B$47&lt;$B80+ROUND($O80,0)))))+_xlfn.XLOOKUP($B80,'2027 Avoided Costs'!$B$13:$B$47,'2027 Avoided Costs'!$I$13:$I$47))*IF($X80="Residential",'2027 Avoided Costs'!$J$5,IF($X80="Large Volume",'2027 Avoided Costs'!$J$7,'2027 Avoided Costs'!$J$6))*IF($AE80&gt;0,$AE80,0),0)</f>
        <v>0</v>
      </c>
      <c r="AZ80" s="291" cm="1">
        <f t="array" ref="AZ80">IFERROR(IF($J80="Baseload",IF($O80=1,0,NPV('2027 Avoided Costs'!$D$6,_xlfn._xlws.FILTER('2027 Avoided Costs'!$C$14:$C$47,('2027 Avoided Costs'!$B$14:$B$47&gt;=$B80+1)*('2027 Avoided Costs'!$B$14:$B$47&lt;$B80+ROUND($O80,0)))))+_xlfn.XLOOKUP($B80,'2027 Avoided Costs'!$B$13:$B$47,'2027 Avoided Costs'!$C$13:$C$47),IF($O80=1,0,NPV('2027 Avoided Costs'!$D$6,_xlfn._xlws.FILTER('2027 Avoided Costs'!$E$14:$E$47,('2027 Avoided Costs'!$B$14:$B$47&gt;=$B80+1)*('2027 Avoided Costs'!$B$14:$B$47&lt;$B80+ROUND($O80,0)))))+_xlfn.XLOOKUP($B80,'2027 Avoided Costs'!$B$13:$B$47,'2027 Avoided Costs'!$E$13:$E$47))*IF($AE80&lt;0,$AE80*(-1),0),0)</f>
        <v>0</v>
      </c>
      <c r="BA80" s="291" cm="1">
        <f t="array" ref="BA80">IFERROR((IF($O80=1,0,NPV('2027 Avoided Costs'!$D$6,_xlfn._xlws.FILTER('2027 Avoided Costs'!$M$14:$M$47,('2027 Avoided Costs'!$B$14:$B$47&gt;=$B80+1)*('2027 Avoided Costs'!$B$14:$B$47&lt;$B80+ROUND($O80,0)))))+_xlfn.XLOOKUP($B80,'2027 Avoided Costs'!$B$13:$B$47,'2027 Avoided Costs'!$M$13:$M$47))*IF($AK80&lt;0,$AK80*(-1),0),0)</f>
        <v>0</v>
      </c>
      <c r="BB80" s="291" cm="1">
        <f t="array" ref="BB80">IFERROR((IF($O80=1,0,NPV('2027 Avoided Costs'!$D$6,_xlfn._xlws.FILTER('2027 Avoided Costs'!$S$14:$S$47,('2027 Avoided Costs'!$B$14:$B$47&gt;=$B80+1)*('2027 Avoided Costs'!$B$14:$B$47&lt;$B80+ROUND($O80,0)))))+_xlfn.XLOOKUP($B80,'2027 Avoided Costs'!$B$13:$B$47,'2027 Avoided Costs'!$S$13:$S$47))*IF($AI80&lt;0,$AI80*(-1),0),0)</f>
        <v>156250.38984320892</v>
      </c>
      <c r="BC80" s="291" cm="1">
        <f t="array" ref="BC80">IFERROR((IF($O80=1,0,NPV('2027 Avoided Costs'!$D$6,_xlfn._xlws.FILTER('2027 Avoided Costs'!$Y$14:$Y$47,('2027 Avoided Costs'!$B$14:$B$47&gt;=$B80+1)*('2027 Avoided Costs'!$B$14:$B$47&lt;$B80+ROUND($O80,0)))))+_xlfn.XLOOKUP($B80,'2027 Avoided Costs'!$B$13:$B$47,'2027 Avoided Costs'!$Y$13:$Y$47))*IF($AM80&lt;0,$AM80*(-1),0),0)</f>
        <v>322315.25199752976</v>
      </c>
      <c r="BD80" s="291" cm="1">
        <f t="array" ref="BD80">IFERROR((IF($O80=1,0,NPV('2027 Avoided Costs'!$D$6,_xlfn._xlws.FILTER('2027 Avoided Costs'!$AE$14:$AE$47,('2027 Avoided Costs'!$B$14:$B$47&gt;=$B80+1)*('2027 Avoided Costs'!$B$14:$B$47&lt;$B80+ROUND($O80,0)))))+_xlfn.XLOOKUP($B80,'2027 Avoided Costs'!$B$13:$B$47,'2027 Avoided Costs'!$AE$13:$AE$47))*IF($AO80&lt;0,$AO80*(-1),0),0)</f>
        <v>120297.71469349641</v>
      </c>
      <c r="BE80" s="291" cm="1">
        <f t="array" ref="BE80">IFERROR((IF($O80=1,0,NPV('2027 Avoided Costs'!$D$4,_xlfn._xlws.FILTER('2027 Avoided Costs'!$I$14:$I$47,('2027 Avoided Costs'!$B$14:$B$47&gt;=$B80+1)*('2027 Avoided Costs'!$B$14:$B$47&lt;$B80+ROUND($O80,0)))))+_xlfn.XLOOKUP($B80,'2027 Avoided Costs'!$B$13:$B$47,'2027 Avoided Costs'!$I$13:$I$47))*IF($X80="Residential",'2027 Avoided Costs'!$J$5,IF($X80="Large Volume",'2027 Avoided Costs'!$J$7,'2027 Avoided Costs'!$J$6))*IF($AE80&lt;0,$AE80*(-1),0),0)</f>
        <v>0</v>
      </c>
      <c r="BF80" s="291">
        <f t="shared" si="50"/>
        <v>854157.04954300984</v>
      </c>
      <c r="BG80" s="291">
        <f t="shared" si="51"/>
        <v>932900.60653423518</v>
      </c>
      <c r="BH80" s="291">
        <f t="shared" si="52"/>
        <v>-78743.556991225341</v>
      </c>
      <c r="BI80" s="292">
        <f t="shared" si="56"/>
        <v>0.91559276900487718</v>
      </c>
      <c r="BJ80" s="196" cm="1">
        <f t="array" ref="BJ80">IFERROR(IF($J80="Baseload",IF($O80=1,0,NPV('2027 Avoided Costs'!$D$6,_xlfn._xlws.FILTER('2027 Avoided Costs'!$C$14:$C$47,('2027 Avoided Costs'!$B$14:$B$47&gt;=$B80+1)*('2027 Avoided Costs'!$B$14:$B$47&lt;$B80+ROUND($O80,0)))))+_xlfn.XLOOKUP($B80,'2027 Avoided Costs'!$B$13:$B$47,'2027 Avoided Costs'!$C$13:$C$47),IF($O80=1,0,NPV('2027 Avoided Costs'!$D$6,_xlfn._xlws.FILTER('2027 Avoided Costs'!$E$14:$E$47,('2027 Avoided Costs'!$B$14:$B$47&gt;=$B80+1)*('2027 Avoided Costs'!$B$14:$B$47&lt;$B80+ROUND($O80,0)))))+_xlfn.XLOOKUP($B80,'2027 Avoided Costs'!$B$13:$B$47,'2027 Avoided Costs'!$E$13:$E$47))*IF($AE80&gt;0,$AE80*(1+0),0),0)</f>
        <v>742745.26047218253</v>
      </c>
      <c r="BK80" s="293">
        <f t="shared" si="53"/>
        <v>3.7577151992816558</v>
      </c>
    </row>
    <row r="81" spans="1:63" s="56" customFormat="1" x14ac:dyDescent="0.25">
      <c r="A81" s="270" t="s">
        <v>133</v>
      </c>
      <c r="B81" s="271">
        <v>2030</v>
      </c>
      <c r="C81" s="272" t="s">
        <v>13</v>
      </c>
      <c r="D81" s="272" t="s">
        <v>9</v>
      </c>
      <c r="E81" s="272" t="s">
        <v>297</v>
      </c>
      <c r="F81" s="273">
        <v>167</v>
      </c>
      <c r="G81" s="274">
        <v>4466.7606483139234</v>
      </c>
      <c r="H81" s="275">
        <f t="shared" si="30"/>
        <v>0.96502300196168733</v>
      </c>
      <c r="I81" s="274">
        <v>250</v>
      </c>
      <c r="J81" s="276" t="s">
        <v>264</v>
      </c>
      <c r="K81" s="277">
        <f t="shared" si="54"/>
        <v>0.75</v>
      </c>
      <c r="L81" s="278">
        <v>0.28000000000000003</v>
      </c>
      <c r="M81" s="278">
        <v>0.03</v>
      </c>
      <c r="N81" s="278">
        <v>0.91</v>
      </c>
      <c r="O81" s="279">
        <v>15</v>
      </c>
      <c r="P81" s="280">
        <v>4628.6571814702293</v>
      </c>
      <c r="Q81" s="281">
        <v>1028.9365333333335</v>
      </c>
      <c r="R81" s="282">
        <v>0.62702237439213215</v>
      </c>
      <c r="S81" s="282">
        <v>0.18520206526044927</v>
      </c>
      <c r="T81" s="281">
        <v>0</v>
      </c>
      <c r="U81" s="283">
        <v>0</v>
      </c>
      <c r="V81" s="284">
        <v>14687.528949575606</v>
      </c>
      <c r="W81" s="285">
        <v>0.15</v>
      </c>
      <c r="X81" s="286" t="s">
        <v>255</v>
      </c>
      <c r="Y81" s="287">
        <f t="shared" si="31"/>
        <v>167</v>
      </c>
      <c r="Z81" s="288">
        <f t="shared" si="32"/>
        <v>745949.02826842526</v>
      </c>
      <c r="AA81" s="288">
        <f t="shared" si="33"/>
        <v>41750</v>
      </c>
      <c r="AB81" s="288">
        <f t="shared" si="34"/>
        <v>791607.07639067899</v>
      </c>
      <c r="AC81" s="288">
        <f t="shared" si="55"/>
        <v>43941.566402704011</v>
      </c>
      <c r="AD81" s="287">
        <f t="shared" si="35"/>
        <v>703417.03186803067</v>
      </c>
      <c r="AE81" s="287">
        <f t="shared" si="36"/>
        <v>527562.77390102297</v>
      </c>
      <c r="AF81" s="287">
        <f t="shared" si="37"/>
        <v>10551255.478020459</v>
      </c>
      <c r="AG81" s="287">
        <f t="shared" si="38"/>
        <v>7913441.6085153446</v>
      </c>
      <c r="AH81" s="287">
        <f t="shared" si="39"/>
        <v>167625.94388855473</v>
      </c>
      <c r="AI81" s="287">
        <f t="shared" si="40"/>
        <v>125719.45791641604</v>
      </c>
      <c r="AJ81" s="287">
        <f t="shared" si="41"/>
        <v>0</v>
      </c>
      <c r="AK81" s="287">
        <f t="shared" si="42"/>
        <v>0</v>
      </c>
      <c r="AL81" s="287">
        <f t="shared" si="43"/>
        <v>102.14936873339114</v>
      </c>
      <c r="AM81" s="287">
        <f t="shared" si="44"/>
        <v>76.612026550043353</v>
      </c>
      <c r="AN81" s="287">
        <f t="shared" si="45"/>
        <v>30.171609223379871</v>
      </c>
      <c r="AO81" s="287">
        <f t="shared" si="46"/>
        <v>22.628706917534906</v>
      </c>
      <c r="AP81" s="287">
        <f t="shared" si="47"/>
        <v>2452817.334579126</v>
      </c>
      <c r="AQ81" s="287">
        <f t="shared" si="48"/>
        <v>1839613.0009343445</v>
      </c>
      <c r="AR81" s="287">
        <f t="shared" si="49"/>
        <v>0</v>
      </c>
      <c r="AS81" s="289" t="e">
        <f>IF(J81='2027 Avoided Costs'!#REF!,3,5)</f>
        <v>#REF!</v>
      </c>
      <c r="AT81" s="290" cm="1">
        <f t="array" ref="AT81">IFERROR(IF($J81="Baseload",IF($O81=1,0,NPV('2027 Avoided Costs'!$D$6,_xlfn._xlws.FILTER('2027 Avoided Costs'!$C$14:$C$47,('2027 Avoided Costs'!$B$14:$B$47&gt;=$B81+1)*('2027 Avoided Costs'!$B$14:$B$47&lt;$B81+ROUND($O81,0)))))+_xlfn.XLOOKUP($B81,'2027 Avoided Costs'!$B$13:$B$47,'2027 Avoided Costs'!$C$13:$C$47),IF($O81=1,0,NPV('2027 Avoided Costs'!$D$6,_xlfn._xlws.FILTER('2027 Avoided Costs'!$E$14:$E$47,('2027 Avoided Costs'!$B$14:$B$47&gt;=$B81+1)*('2027 Avoided Costs'!$B$14:$B$47&lt;$B81+ROUND($O81,0)))))+_xlfn.XLOOKUP($B81,'2027 Avoided Costs'!$B$13:$B$47,'2027 Avoided Costs'!$E$13:$E$47))*IF($AE81&gt;0,$AE81*(1+$W81),0),0)</f>
        <v>2313369.1030953662</v>
      </c>
      <c r="AU81" s="290" cm="1">
        <f t="array" ref="AU81">IFERROR((IF($O81=1,0,NPV('2027 Avoided Costs'!$D$6,_xlfn._xlws.FILTER('2027 Avoided Costs'!$M$14:$M$47,('2027 Avoided Costs'!$B$14:$B$47&gt;=$B81+1)*('2027 Avoided Costs'!$B$14:$B$47&lt;$B81+ROUND($O81,0)))))+_xlfn.XLOOKUP($B81,'2027 Avoided Costs'!$B$13:$B$47,'2027 Avoided Costs'!$M$13:$M$47))*IF($AK81&gt;0,$AK81*(1+$W81),0),0)</f>
        <v>0</v>
      </c>
      <c r="AV81" s="291" cm="1">
        <f t="array" ref="AV81">IFERROR((IF($O81=1,0,NPV('2027 Avoided Costs'!$D$6,_xlfn._xlws.FILTER('2027 Avoided Costs'!$Q$14:$Q$47,('2027 Avoided Costs'!$B$14:$B$47&gt;=$B81+1)*('2027 Avoided Costs'!$B$14:$B$47&lt;$B81+ROUND($O81,0)))))+_xlfn.XLOOKUP($B81,'2027 Avoided Costs'!$B$13:$B$47,'2027 Avoided Costs'!$Q$13:$Q$47))*IF($AI81&gt;0,$AI81*(1+$W81),0),0)</f>
        <v>80566.915203604076</v>
      </c>
      <c r="AW81" s="291" cm="1">
        <f t="array" ref="AW81">IFERROR((IF($O81=1,0,NPV('2027 Avoided Costs'!$D$6,_xlfn._xlws.FILTER('2027 Avoided Costs'!$W$14:$W$47,('2027 Avoided Costs'!$B$14:$B$47&gt;=$B81+1)*('2027 Avoided Costs'!$B$14:$B$47&lt;$B81+ROUND($O81,0)))))+_xlfn.XLOOKUP($B81,'2027 Avoided Costs'!$B$13:$B$47,'2027 Avoided Costs'!$W$13:$W$47))*IF($AM81&gt;0,$AM81*(1+$W81),0),0)</f>
        <v>304416.38328553794</v>
      </c>
      <c r="AX81" s="291" cm="1">
        <f t="array" ref="AX81">IFERROR((IF($O81=1,0,NPV('2027 Avoided Costs'!$D$6,_xlfn._xlws.FILTER('2027 Avoided Costs'!$AC$14:$AC$47,('2027 Avoided Costs'!$B$14:$B$47&gt;=$B81+1)*('2027 Avoided Costs'!$B$14:$B$47&lt;$B81+ROUND($O81,0)))))+_xlfn.XLOOKUP($B81,'2027 Avoided Costs'!$B$13:$B$47,'2027 Avoided Costs'!$AC$13:$AC$47))*IF($AO81&gt;0,$AO81*(1+$W81),0),0)</f>
        <v>19016.693018094003</v>
      </c>
      <c r="AY81" s="291" cm="1">
        <f t="array" ref="AY81">IFERROR((IF($O81=1,0,NPV('2027 Avoided Costs'!$D$4,_xlfn._xlws.FILTER('2027 Avoided Costs'!$I$14:$I$47,('2027 Avoided Costs'!$B$14:$B$47&gt;=$B81+1)*('2027 Avoided Costs'!$B$14:$B$47&lt;$B81+ROUND($O81,0)))))+_xlfn.XLOOKUP($B81,'2027 Avoided Costs'!$B$13:$B$47,'2027 Avoided Costs'!$I$13:$I$47))*IF($X81="Residential",'2027 Avoided Costs'!$J$5,IF($X81="Large Volume",'2027 Avoided Costs'!$J$7,'2027 Avoided Costs'!$J$6))*IF($AE81&gt;0,$AE81,0),0)</f>
        <v>0</v>
      </c>
      <c r="AZ81" s="291" cm="1">
        <f t="array" ref="AZ81">IFERROR(IF($J81="Baseload",IF($O81=1,0,NPV('2027 Avoided Costs'!$D$6,_xlfn._xlws.FILTER('2027 Avoided Costs'!$C$14:$C$47,('2027 Avoided Costs'!$B$14:$B$47&gt;=$B81+1)*('2027 Avoided Costs'!$B$14:$B$47&lt;$B81+ROUND($O81,0)))))+_xlfn.XLOOKUP($B81,'2027 Avoided Costs'!$B$13:$B$47,'2027 Avoided Costs'!$C$13:$C$47),IF($O81=1,0,NPV('2027 Avoided Costs'!$D$6,_xlfn._xlws.FILTER('2027 Avoided Costs'!$E$14:$E$47,('2027 Avoided Costs'!$B$14:$B$47&gt;=$B81+1)*('2027 Avoided Costs'!$B$14:$B$47&lt;$B81+ROUND($O81,0)))))+_xlfn.XLOOKUP($B81,'2027 Avoided Costs'!$B$13:$B$47,'2027 Avoided Costs'!$E$13:$E$47))*IF($AE81&lt;0,$AE81*(-1),0),0)</f>
        <v>0</v>
      </c>
      <c r="BA81" s="291" cm="1">
        <f t="array" ref="BA81">IFERROR((IF($O81=1,0,NPV('2027 Avoided Costs'!$D$6,_xlfn._xlws.FILTER('2027 Avoided Costs'!$M$14:$M$47,('2027 Avoided Costs'!$B$14:$B$47&gt;=$B81+1)*('2027 Avoided Costs'!$B$14:$B$47&lt;$B81+ROUND($O81,0)))))+_xlfn.XLOOKUP($B81,'2027 Avoided Costs'!$B$13:$B$47,'2027 Avoided Costs'!$M$13:$M$47))*IF($AK81&lt;0,$AK81*(-1),0),0)</f>
        <v>0</v>
      </c>
      <c r="BB81" s="291" cm="1">
        <f t="array" ref="BB81">IFERROR((IF($O81=1,0,NPV('2027 Avoided Costs'!$D$6,_xlfn._xlws.FILTER('2027 Avoided Costs'!$S$14:$S$47,('2027 Avoided Costs'!$B$14:$B$47&gt;=$B81+1)*('2027 Avoided Costs'!$B$14:$B$47&lt;$B81+ROUND($O81,0)))))+_xlfn.XLOOKUP($B81,'2027 Avoided Costs'!$B$13:$B$47,'2027 Avoided Costs'!$S$13:$S$47))*IF($AI81&lt;0,$AI81*(-1),0),0)</f>
        <v>0</v>
      </c>
      <c r="BC81" s="291" cm="1">
        <f t="array" ref="BC81">IFERROR((IF($O81=1,0,NPV('2027 Avoided Costs'!$D$6,_xlfn._xlws.FILTER('2027 Avoided Costs'!$Y$14:$Y$47,('2027 Avoided Costs'!$B$14:$B$47&gt;=$B81+1)*('2027 Avoided Costs'!$B$14:$B$47&lt;$B81+ROUND($O81,0)))))+_xlfn.XLOOKUP($B81,'2027 Avoided Costs'!$B$13:$B$47,'2027 Avoided Costs'!$Y$13:$Y$47))*IF($AM81&lt;0,$AM81*(-1),0),0)</f>
        <v>0</v>
      </c>
      <c r="BD81" s="291" cm="1">
        <f t="array" ref="BD81">IFERROR((IF($O81=1,0,NPV('2027 Avoided Costs'!$D$6,_xlfn._xlws.FILTER('2027 Avoided Costs'!$AE$14:$AE$47,('2027 Avoided Costs'!$B$14:$B$47&gt;=$B81+1)*('2027 Avoided Costs'!$B$14:$B$47&lt;$B81+ROUND($O81,0)))))+_xlfn.XLOOKUP($B81,'2027 Avoided Costs'!$B$13:$B$47,'2027 Avoided Costs'!$AE$13:$AE$47))*IF($AO81&lt;0,$AO81*(-1),0),0)</f>
        <v>0</v>
      </c>
      <c r="BE81" s="291" cm="1">
        <f t="array" ref="BE81">IFERROR((IF($O81=1,0,NPV('2027 Avoided Costs'!$D$4,_xlfn._xlws.FILTER('2027 Avoided Costs'!$I$14:$I$47,('2027 Avoided Costs'!$B$14:$B$47&gt;=$B81+1)*('2027 Avoided Costs'!$B$14:$B$47&lt;$B81+ROUND($O81,0)))))+_xlfn.XLOOKUP($B81,'2027 Avoided Costs'!$B$13:$B$47,'2027 Avoided Costs'!$I$13:$I$47))*IF($X81="Residential",'2027 Avoided Costs'!$J$5,IF($X81="Large Volume",'2027 Avoided Costs'!$J$7,'2027 Avoided Costs'!$J$6))*IF($AE81&lt;0,$AE81*(-1),0),0)</f>
        <v>0</v>
      </c>
      <c r="BF81" s="291">
        <f t="shared" si="50"/>
        <v>2717369.0946026021</v>
      </c>
      <c r="BG81" s="291">
        <f t="shared" si="51"/>
        <v>1839613.0009343445</v>
      </c>
      <c r="BH81" s="291">
        <f t="shared" si="52"/>
        <v>877756.09366825758</v>
      </c>
      <c r="BI81" s="292">
        <f t="shared" si="56"/>
        <v>1.4771417103610611</v>
      </c>
      <c r="BJ81" s="196" cm="1">
        <f t="array" ref="BJ81">IFERROR(IF($J81="Baseload",IF($O81=1,0,NPV('2027 Avoided Costs'!$D$6,_xlfn._xlws.FILTER('2027 Avoided Costs'!$C$14:$C$47,('2027 Avoided Costs'!$B$14:$B$47&gt;=$B81+1)*('2027 Avoided Costs'!$B$14:$B$47&lt;$B81+ROUND($O81,0)))))+_xlfn.XLOOKUP($B81,'2027 Avoided Costs'!$B$13:$B$47,'2027 Avoided Costs'!$C$13:$C$47),IF($O81=1,0,NPV('2027 Avoided Costs'!$D$6,_xlfn._xlws.FILTER('2027 Avoided Costs'!$E$14:$E$47,('2027 Avoided Costs'!$B$14:$B$47&gt;=$B81+1)*('2027 Avoided Costs'!$B$14:$B$47&lt;$B81+ROUND($O81,0)))))+_xlfn.XLOOKUP($B81,'2027 Avoided Costs'!$B$13:$B$47,'2027 Avoided Costs'!$E$13:$E$47))*IF($AE81&gt;0,$AE81*(1+0),0),0)</f>
        <v>2011625.307039449</v>
      </c>
      <c r="BK81" s="293">
        <f t="shared" si="53"/>
        <v>2.4075502059511931</v>
      </c>
    </row>
    <row r="82" spans="1:63" s="56" customFormat="1" x14ac:dyDescent="0.25">
      <c r="A82" s="270" t="s">
        <v>133</v>
      </c>
      <c r="B82" s="271">
        <v>2030</v>
      </c>
      <c r="C82" s="272" t="s">
        <v>13</v>
      </c>
      <c r="D82" s="272" t="s">
        <v>9</v>
      </c>
      <c r="E82" s="272" t="s">
        <v>355</v>
      </c>
      <c r="F82" s="273">
        <v>29</v>
      </c>
      <c r="G82" s="274">
        <v>4466.7606483139234</v>
      </c>
      <c r="H82" s="275">
        <f t="shared" si="30"/>
        <v>0.96502300196168733</v>
      </c>
      <c r="I82" s="274">
        <v>250</v>
      </c>
      <c r="J82" s="276" t="s">
        <v>263</v>
      </c>
      <c r="K82" s="277">
        <f t="shared" si="54"/>
        <v>0.75</v>
      </c>
      <c r="L82" s="278">
        <v>0.28000000000000003</v>
      </c>
      <c r="M82" s="278">
        <v>0.03</v>
      </c>
      <c r="N82" s="278">
        <v>0.91</v>
      </c>
      <c r="O82" s="279">
        <v>15</v>
      </c>
      <c r="P82" s="280">
        <v>4628.6571814702293</v>
      </c>
      <c r="Q82" s="281">
        <v>1028.9365333333335</v>
      </c>
      <c r="R82" s="282">
        <v>0.11745850837138402</v>
      </c>
      <c r="S82" s="282">
        <v>0.11745850837138548</v>
      </c>
      <c r="T82" s="281">
        <v>0</v>
      </c>
      <c r="U82" s="283">
        <v>0</v>
      </c>
      <c r="V82" s="284">
        <v>14687.528949575606</v>
      </c>
      <c r="W82" s="285">
        <v>0.15</v>
      </c>
      <c r="X82" s="286" t="s">
        <v>255</v>
      </c>
      <c r="Y82" s="287">
        <f t="shared" si="31"/>
        <v>29</v>
      </c>
      <c r="Z82" s="288">
        <f t="shared" si="32"/>
        <v>129536.05880110378</v>
      </c>
      <c r="AA82" s="288">
        <f t="shared" si="33"/>
        <v>7250</v>
      </c>
      <c r="AB82" s="288">
        <f t="shared" si="34"/>
        <v>137464.70188820173</v>
      </c>
      <c r="AC82" s="288">
        <f t="shared" si="55"/>
        <v>7630.5714112480009</v>
      </c>
      <c r="AD82" s="287">
        <f t="shared" si="35"/>
        <v>122150.26301899935</v>
      </c>
      <c r="AE82" s="287">
        <f t="shared" si="36"/>
        <v>91612.697264249509</v>
      </c>
      <c r="AF82" s="287">
        <f t="shared" si="37"/>
        <v>1832253.9452849904</v>
      </c>
      <c r="AG82" s="287">
        <f t="shared" si="38"/>
        <v>1374190.4589637427</v>
      </c>
      <c r="AH82" s="287">
        <f t="shared" si="39"/>
        <v>29108.696842922673</v>
      </c>
      <c r="AI82" s="287">
        <f t="shared" si="40"/>
        <v>21831.522632192005</v>
      </c>
      <c r="AJ82" s="287">
        <f t="shared" si="41"/>
        <v>0</v>
      </c>
      <c r="AK82" s="287">
        <f t="shared" si="42"/>
        <v>0</v>
      </c>
      <c r="AL82" s="287">
        <f t="shared" si="43"/>
        <v>3.3229105985071241</v>
      </c>
      <c r="AM82" s="287">
        <f t="shared" si="44"/>
        <v>2.4921829488803429</v>
      </c>
      <c r="AN82" s="287">
        <f t="shared" si="45"/>
        <v>3.322910598507165</v>
      </c>
      <c r="AO82" s="287">
        <f t="shared" si="46"/>
        <v>2.4921829488803735</v>
      </c>
      <c r="AP82" s="287">
        <f t="shared" si="47"/>
        <v>425938.33953769255</v>
      </c>
      <c r="AQ82" s="287">
        <f t="shared" si="48"/>
        <v>319453.75465326943</v>
      </c>
      <c r="AR82" s="287">
        <f t="shared" si="49"/>
        <v>0</v>
      </c>
      <c r="AS82" s="289" t="e">
        <f>IF(J82='2027 Avoided Costs'!#REF!,3,5)</f>
        <v>#REF!</v>
      </c>
      <c r="AT82" s="290" cm="1">
        <f t="array" ref="AT82">IFERROR(IF($J82="Baseload",IF($O82=1,0,NPV('2027 Avoided Costs'!$D$6,_xlfn._xlws.FILTER('2027 Avoided Costs'!$C$14:$C$47,('2027 Avoided Costs'!$B$14:$B$47&gt;=$B82+1)*('2027 Avoided Costs'!$B$14:$B$47&lt;$B82+ROUND($O82,0)))))+_xlfn.XLOOKUP($B82,'2027 Avoided Costs'!$B$13:$B$47,'2027 Avoided Costs'!$C$13:$C$47),IF($O82=1,0,NPV('2027 Avoided Costs'!$D$6,_xlfn._xlws.FILTER('2027 Avoided Costs'!$E$14:$E$47,('2027 Avoided Costs'!$B$14:$B$47&gt;=$B82+1)*('2027 Avoided Costs'!$B$14:$B$47&lt;$B82+ROUND($O82,0)))))+_xlfn.XLOOKUP($B82,'2027 Avoided Costs'!$B$13:$B$47,'2027 Avoided Costs'!$E$13:$E$47))*IF($AE82&gt;0,$AE82*(1+$W82),0),0)</f>
        <v>359308.78877557698</v>
      </c>
      <c r="AU82" s="290" cm="1">
        <f t="array" ref="AU82">IFERROR((IF($O82=1,0,NPV('2027 Avoided Costs'!$D$6,_xlfn._xlws.FILTER('2027 Avoided Costs'!$M$14:$M$47,('2027 Avoided Costs'!$B$14:$B$47&gt;=$B82+1)*('2027 Avoided Costs'!$B$14:$B$47&lt;$B82+ROUND($O82,0)))))+_xlfn.XLOOKUP($B82,'2027 Avoided Costs'!$B$13:$B$47,'2027 Avoided Costs'!$M$13:$M$47))*IF($AK82&gt;0,$AK82*(1+$W82),0),0)</f>
        <v>0</v>
      </c>
      <c r="AV82" s="291" cm="1">
        <f t="array" ref="AV82">IFERROR((IF($O82=1,0,NPV('2027 Avoided Costs'!$D$6,_xlfn._xlws.FILTER('2027 Avoided Costs'!$Q$14:$Q$47,('2027 Avoided Costs'!$B$14:$B$47&gt;=$B82+1)*('2027 Avoided Costs'!$B$14:$B$47&lt;$B82+ROUND($O82,0)))))+_xlfn.XLOOKUP($B82,'2027 Avoided Costs'!$B$13:$B$47,'2027 Avoided Costs'!$Q$13:$Q$47))*IF($AI82&gt;0,$AI82*(1+$W82),0),0)</f>
        <v>13990.661921583942</v>
      </c>
      <c r="AW82" s="291" cm="1">
        <f t="array" ref="AW82">IFERROR((IF($O82=1,0,NPV('2027 Avoided Costs'!$D$6,_xlfn._xlws.FILTER('2027 Avoided Costs'!$W$14:$W$47,('2027 Avoided Costs'!$B$14:$B$47&gt;=$B82+1)*('2027 Avoided Costs'!$B$14:$B$47&lt;$B82+ROUND($O82,0)))))+_xlfn.XLOOKUP($B82,'2027 Avoided Costs'!$B$13:$B$47,'2027 Avoided Costs'!$W$13:$W$47))*IF($AM82&gt;0,$AM82*(1+$W82),0),0)</f>
        <v>9902.6400155134834</v>
      </c>
      <c r="AX82" s="291" cm="1">
        <f t="array" ref="AX82">IFERROR((IF($O82=1,0,NPV('2027 Avoided Costs'!$D$6,_xlfn._xlws.FILTER('2027 Avoided Costs'!$AC$14:$AC$47,('2027 Avoided Costs'!$B$14:$B$47&gt;=$B82+1)*('2027 Avoided Costs'!$B$14:$B$47&lt;$B82+ROUND($O82,0)))))+_xlfn.XLOOKUP($B82,'2027 Avoided Costs'!$B$13:$B$47,'2027 Avoided Costs'!$AC$13:$AC$47))*IF($AO82&gt;0,$AO82*(1+$W82),0),0)</f>
        <v>2094.3785368072267</v>
      </c>
      <c r="AY82" s="291" cm="1">
        <f t="array" ref="AY82">IFERROR((IF($O82=1,0,NPV('2027 Avoided Costs'!$D$4,_xlfn._xlws.FILTER('2027 Avoided Costs'!$I$14:$I$47,('2027 Avoided Costs'!$B$14:$B$47&gt;=$B82+1)*('2027 Avoided Costs'!$B$14:$B$47&lt;$B82+ROUND($O82,0)))))+_xlfn.XLOOKUP($B82,'2027 Avoided Costs'!$B$13:$B$47,'2027 Avoided Costs'!$I$13:$I$47))*IF($X82="Residential",'2027 Avoided Costs'!$J$5,IF($X82="Large Volume",'2027 Avoided Costs'!$J$7,'2027 Avoided Costs'!$J$6))*IF($AE82&gt;0,$AE82,0),0)</f>
        <v>0</v>
      </c>
      <c r="AZ82" s="291" cm="1">
        <f t="array" ref="AZ82">IFERROR(IF($J82="Baseload",IF($O82=1,0,NPV('2027 Avoided Costs'!$D$6,_xlfn._xlws.FILTER('2027 Avoided Costs'!$C$14:$C$47,('2027 Avoided Costs'!$B$14:$B$47&gt;=$B82+1)*('2027 Avoided Costs'!$B$14:$B$47&lt;$B82+ROUND($O82,0)))))+_xlfn.XLOOKUP($B82,'2027 Avoided Costs'!$B$13:$B$47,'2027 Avoided Costs'!$C$13:$C$47),IF($O82=1,0,NPV('2027 Avoided Costs'!$D$6,_xlfn._xlws.FILTER('2027 Avoided Costs'!$E$14:$E$47,('2027 Avoided Costs'!$B$14:$B$47&gt;=$B82+1)*('2027 Avoided Costs'!$B$14:$B$47&lt;$B82+ROUND($O82,0)))))+_xlfn.XLOOKUP($B82,'2027 Avoided Costs'!$B$13:$B$47,'2027 Avoided Costs'!$E$13:$E$47))*IF($AE82&lt;0,$AE82*(-1),0),0)</f>
        <v>0</v>
      </c>
      <c r="BA82" s="291" cm="1">
        <f t="array" ref="BA82">IFERROR((IF($O82=1,0,NPV('2027 Avoided Costs'!$D$6,_xlfn._xlws.FILTER('2027 Avoided Costs'!$M$14:$M$47,('2027 Avoided Costs'!$B$14:$B$47&gt;=$B82+1)*('2027 Avoided Costs'!$B$14:$B$47&lt;$B82+ROUND($O82,0)))))+_xlfn.XLOOKUP($B82,'2027 Avoided Costs'!$B$13:$B$47,'2027 Avoided Costs'!$M$13:$M$47))*IF($AK82&lt;0,$AK82*(-1),0),0)</f>
        <v>0</v>
      </c>
      <c r="BB82" s="291" cm="1">
        <f t="array" ref="BB82">IFERROR((IF($O82=1,0,NPV('2027 Avoided Costs'!$D$6,_xlfn._xlws.FILTER('2027 Avoided Costs'!$S$14:$S$47,('2027 Avoided Costs'!$B$14:$B$47&gt;=$B82+1)*('2027 Avoided Costs'!$B$14:$B$47&lt;$B82+ROUND($O82,0)))))+_xlfn.XLOOKUP($B82,'2027 Avoided Costs'!$B$13:$B$47,'2027 Avoided Costs'!$S$13:$S$47))*IF($AI82&lt;0,$AI82*(-1),0),0)</f>
        <v>0</v>
      </c>
      <c r="BC82" s="291" cm="1">
        <f t="array" ref="BC82">IFERROR((IF($O82=1,0,NPV('2027 Avoided Costs'!$D$6,_xlfn._xlws.FILTER('2027 Avoided Costs'!$Y$14:$Y$47,('2027 Avoided Costs'!$B$14:$B$47&gt;=$B82+1)*('2027 Avoided Costs'!$B$14:$B$47&lt;$B82+ROUND($O82,0)))))+_xlfn.XLOOKUP($B82,'2027 Avoided Costs'!$B$13:$B$47,'2027 Avoided Costs'!$Y$13:$Y$47))*IF($AM82&lt;0,$AM82*(-1),0),0)</f>
        <v>0</v>
      </c>
      <c r="BD82" s="291" cm="1">
        <f t="array" ref="BD82">IFERROR((IF($O82=1,0,NPV('2027 Avoided Costs'!$D$6,_xlfn._xlws.FILTER('2027 Avoided Costs'!$AE$14:$AE$47,('2027 Avoided Costs'!$B$14:$B$47&gt;=$B82+1)*('2027 Avoided Costs'!$B$14:$B$47&lt;$B82+ROUND($O82,0)))))+_xlfn.XLOOKUP($B82,'2027 Avoided Costs'!$B$13:$B$47,'2027 Avoided Costs'!$AE$13:$AE$47))*IF($AO82&lt;0,$AO82*(-1),0),0)</f>
        <v>0</v>
      </c>
      <c r="BE82" s="291" cm="1">
        <f t="array" ref="BE82">IFERROR((IF($O82=1,0,NPV('2027 Avoided Costs'!$D$4,_xlfn._xlws.FILTER('2027 Avoided Costs'!$I$14:$I$47,('2027 Avoided Costs'!$B$14:$B$47&gt;=$B82+1)*('2027 Avoided Costs'!$B$14:$B$47&lt;$B82+ROUND($O82,0)))))+_xlfn.XLOOKUP($B82,'2027 Avoided Costs'!$B$13:$B$47,'2027 Avoided Costs'!$I$13:$I$47))*IF($X82="Residential",'2027 Avoided Costs'!$J$5,IF($X82="Large Volume",'2027 Avoided Costs'!$J$7,'2027 Avoided Costs'!$J$6))*IF($AE82&lt;0,$AE82*(-1),0),0)</f>
        <v>0</v>
      </c>
      <c r="BF82" s="291">
        <f t="shared" si="50"/>
        <v>385296.46924948157</v>
      </c>
      <c r="BG82" s="291">
        <f t="shared" si="51"/>
        <v>319453.75465326943</v>
      </c>
      <c r="BH82" s="291">
        <f t="shared" si="52"/>
        <v>65842.714596212143</v>
      </c>
      <c r="BI82" s="292">
        <f t="shared" si="56"/>
        <v>1.2061103168678575</v>
      </c>
      <c r="BJ82" s="196" cm="1">
        <f t="array" ref="BJ82">IFERROR(IF($J82="Baseload",IF($O82=1,0,NPV('2027 Avoided Costs'!$D$6,_xlfn._xlws.FILTER('2027 Avoided Costs'!$C$14:$C$47,('2027 Avoided Costs'!$B$14:$B$47&gt;=$B82+1)*('2027 Avoided Costs'!$B$14:$B$47&lt;$B82+ROUND($O82,0)))))+_xlfn.XLOOKUP($B82,'2027 Avoided Costs'!$B$13:$B$47,'2027 Avoided Costs'!$C$13:$C$47),IF($O82=1,0,NPV('2027 Avoided Costs'!$D$6,_xlfn._xlws.FILTER('2027 Avoided Costs'!$E$14:$E$47,('2027 Avoided Costs'!$B$14:$B$47&gt;=$B82+1)*('2027 Avoided Costs'!$B$14:$B$47&lt;$B82+ROUND($O82,0)))))+_xlfn.XLOOKUP($B82,'2027 Avoided Costs'!$B$13:$B$47,'2027 Avoided Costs'!$E$13:$E$47))*IF($AE82&gt;0,$AE82*(1+0),0),0)</f>
        <v>312442.4250222409</v>
      </c>
      <c r="BK82" s="293">
        <f t="shared" si="53"/>
        <v>2.1533604639030361</v>
      </c>
    </row>
    <row r="83" spans="1:63" s="56" customFormat="1" x14ac:dyDescent="0.25">
      <c r="A83" s="270" t="s">
        <v>133</v>
      </c>
      <c r="B83" s="271">
        <v>2030</v>
      </c>
      <c r="C83" s="272" t="s">
        <v>13</v>
      </c>
      <c r="D83" s="272" t="s">
        <v>9</v>
      </c>
      <c r="E83" s="272" t="s">
        <v>298</v>
      </c>
      <c r="F83" s="273">
        <v>32</v>
      </c>
      <c r="G83" s="274">
        <v>5794.3134433113855</v>
      </c>
      <c r="H83" s="275">
        <f t="shared" si="30"/>
        <v>0.96502300196168733</v>
      </c>
      <c r="I83" s="274">
        <v>250</v>
      </c>
      <c r="J83" s="276" t="s">
        <v>264</v>
      </c>
      <c r="K83" s="277">
        <f t="shared" si="54"/>
        <v>0.75</v>
      </c>
      <c r="L83" s="278">
        <v>0.28000000000000003</v>
      </c>
      <c r="M83" s="278">
        <v>0.03</v>
      </c>
      <c r="N83" s="278">
        <v>0.91</v>
      </c>
      <c r="O83" s="279">
        <v>15</v>
      </c>
      <c r="P83" s="280">
        <v>6004.3267689296254</v>
      </c>
      <c r="Q83" s="281">
        <v>-14282.496956521738</v>
      </c>
      <c r="R83" s="282">
        <v>-3.6</v>
      </c>
      <c r="S83" s="282">
        <v>-6</v>
      </c>
      <c r="T83" s="281">
        <v>0</v>
      </c>
      <c r="U83" s="283">
        <v>0</v>
      </c>
      <c r="V83" s="284">
        <v>14985.931739130434</v>
      </c>
      <c r="W83" s="285">
        <v>0.15</v>
      </c>
      <c r="X83" s="286" t="s">
        <v>255</v>
      </c>
      <c r="Y83" s="287">
        <f t="shared" si="31"/>
        <v>32</v>
      </c>
      <c r="Z83" s="288">
        <f t="shared" si="32"/>
        <v>185418.03018596434</v>
      </c>
      <c r="AA83" s="288">
        <f t="shared" si="33"/>
        <v>8000</v>
      </c>
      <c r="AB83" s="288">
        <f t="shared" si="34"/>
        <v>196767.09697758683</v>
      </c>
      <c r="AC83" s="288">
        <f t="shared" si="55"/>
        <v>8419.9408675840023</v>
      </c>
      <c r="AD83" s="287">
        <f t="shared" si="35"/>
        <v>174845.99551123069</v>
      </c>
      <c r="AE83" s="287">
        <f t="shared" si="36"/>
        <v>131134.49663342303</v>
      </c>
      <c r="AF83" s="287">
        <f t="shared" si="37"/>
        <v>2622689.9326684605</v>
      </c>
      <c r="AG83" s="287">
        <f t="shared" si="38"/>
        <v>1967017.4495013454</v>
      </c>
      <c r="AH83" s="287">
        <f t="shared" si="39"/>
        <v>-445851.56579283479</v>
      </c>
      <c r="AI83" s="287">
        <f t="shared" si="40"/>
        <v>-334388.67434462608</v>
      </c>
      <c r="AJ83" s="287">
        <f t="shared" si="41"/>
        <v>0</v>
      </c>
      <c r="AK83" s="287">
        <f t="shared" si="42"/>
        <v>0</v>
      </c>
      <c r="AL83" s="287">
        <f t="shared" si="43"/>
        <v>-112.37990400000001</v>
      </c>
      <c r="AM83" s="287">
        <f t="shared" si="44"/>
        <v>-84.284928000000022</v>
      </c>
      <c r="AN83" s="287">
        <f t="shared" si="45"/>
        <v>-187.29984000000002</v>
      </c>
      <c r="AO83" s="287">
        <f t="shared" si="46"/>
        <v>-140.47488000000001</v>
      </c>
      <c r="AP83" s="287">
        <f t="shared" si="47"/>
        <v>479549.81565217389</v>
      </c>
      <c r="AQ83" s="287">
        <f t="shared" si="48"/>
        <v>359662.3617391304</v>
      </c>
      <c r="AR83" s="287">
        <f t="shared" si="49"/>
        <v>0</v>
      </c>
      <c r="AS83" s="289" t="e">
        <f>IF(J83='2027 Avoided Costs'!#REF!,3,5)</f>
        <v>#REF!</v>
      </c>
      <c r="AT83" s="290" cm="1">
        <f t="array" ref="AT83">IFERROR(IF($J83="Baseload",IF($O83=1,0,NPV('2027 Avoided Costs'!$D$6,_xlfn._xlws.FILTER('2027 Avoided Costs'!$C$14:$C$47,('2027 Avoided Costs'!$B$14:$B$47&gt;=$B83+1)*('2027 Avoided Costs'!$B$14:$B$47&lt;$B83+ROUND($O83,0)))))+_xlfn.XLOOKUP($B83,'2027 Avoided Costs'!$B$13:$B$47,'2027 Avoided Costs'!$C$13:$C$47),IF($O83=1,0,NPV('2027 Avoided Costs'!$D$6,_xlfn._xlws.FILTER('2027 Avoided Costs'!$E$14:$E$47,('2027 Avoided Costs'!$B$14:$B$47&gt;=$B83+1)*('2027 Avoided Costs'!$B$14:$B$47&lt;$B83+ROUND($O83,0)))))+_xlfn.XLOOKUP($B83,'2027 Avoided Costs'!$B$13:$B$47,'2027 Avoided Costs'!$E$13:$E$47))*IF($AE83&gt;0,$AE83*(1+$W83),0),0)</f>
        <v>575026.34353544912</v>
      </c>
      <c r="AU83" s="290" cm="1">
        <f t="array" ref="AU83">IFERROR((IF($O83=1,0,NPV('2027 Avoided Costs'!$D$6,_xlfn._xlws.FILTER('2027 Avoided Costs'!$M$14:$M$47,('2027 Avoided Costs'!$B$14:$B$47&gt;=$B83+1)*('2027 Avoided Costs'!$B$14:$B$47&lt;$B83+ROUND($O83,0)))))+_xlfn.XLOOKUP($B83,'2027 Avoided Costs'!$B$13:$B$47,'2027 Avoided Costs'!$M$13:$M$47))*IF($AK83&gt;0,$AK83*(1+$W83),0),0)</f>
        <v>0</v>
      </c>
      <c r="AV83" s="291" cm="1">
        <f t="array" ref="AV83">IFERROR((IF($O83=1,0,NPV('2027 Avoided Costs'!$D$6,_xlfn._xlws.FILTER('2027 Avoided Costs'!$Q$14:$Q$47,('2027 Avoided Costs'!$B$14:$B$47&gt;=$B83+1)*('2027 Avoided Costs'!$B$14:$B$47&lt;$B83+ROUND($O83,0)))))+_xlfn.XLOOKUP($B83,'2027 Avoided Costs'!$B$13:$B$47,'2027 Avoided Costs'!$Q$13:$Q$47))*IF($AI83&gt;0,$AI83*(1+$W83),0),0)</f>
        <v>0</v>
      </c>
      <c r="AW83" s="291" cm="1">
        <f t="array" ref="AW83">IFERROR((IF($O83=1,0,NPV('2027 Avoided Costs'!$D$6,_xlfn._xlws.FILTER('2027 Avoided Costs'!$W$14:$W$47,('2027 Avoided Costs'!$B$14:$B$47&gt;=$B83+1)*('2027 Avoided Costs'!$B$14:$B$47&lt;$B83+ROUND($O83,0)))))+_xlfn.XLOOKUP($B83,'2027 Avoided Costs'!$B$13:$B$47,'2027 Avoided Costs'!$W$13:$W$47))*IF($AM83&gt;0,$AM83*(1+$W83),0),0)</f>
        <v>0</v>
      </c>
      <c r="AX83" s="291" cm="1">
        <f t="array" ref="AX83">IFERROR((IF($O83=1,0,NPV('2027 Avoided Costs'!$D$6,_xlfn._xlws.FILTER('2027 Avoided Costs'!$AC$14:$AC$47,('2027 Avoided Costs'!$B$14:$B$47&gt;=$B83+1)*('2027 Avoided Costs'!$B$14:$B$47&lt;$B83+ROUND($O83,0)))))+_xlfn.XLOOKUP($B83,'2027 Avoided Costs'!$B$13:$B$47,'2027 Avoided Costs'!$AC$13:$AC$47))*IF($AO83&gt;0,$AO83*(1+$W83),0),0)</f>
        <v>0</v>
      </c>
      <c r="AY83" s="291" cm="1">
        <f t="array" ref="AY83">IFERROR((IF($O83=1,0,NPV('2027 Avoided Costs'!$D$4,_xlfn._xlws.FILTER('2027 Avoided Costs'!$I$14:$I$47,('2027 Avoided Costs'!$B$14:$B$47&gt;=$B83+1)*('2027 Avoided Costs'!$B$14:$B$47&lt;$B83+ROUND($O83,0)))))+_xlfn.XLOOKUP($B83,'2027 Avoided Costs'!$B$13:$B$47,'2027 Avoided Costs'!$I$13:$I$47))*IF($X83="Residential",'2027 Avoided Costs'!$J$5,IF($X83="Large Volume",'2027 Avoided Costs'!$J$7,'2027 Avoided Costs'!$J$6))*IF($AE83&gt;0,$AE83,0),0)</f>
        <v>0</v>
      </c>
      <c r="AZ83" s="291" cm="1">
        <f t="array" ref="AZ83">IFERROR(IF($J83="Baseload",IF($O83=1,0,NPV('2027 Avoided Costs'!$D$6,_xlfn._xlws.FILTER('2027 Avoided Costs'!$C$14:$C$47,('2027 Avoided Costs'!$B$14:$B$47&gt;=$B83+1)*('2027 Avoided Costs'!$B$14:$B$47&lt;$B83+ROUND($O83,0)))))+_xlfn.XLOOKUP($B83,'2027 Avoided Costs'!$B$13:$B$47,'2027 Avoided Costs'!$C$13:$C$47),IF($O83=1,0,NPV('2027 Avoided Costs'!$D$6,_xlfn._xlws.FILTER('2027 Avoided Costs'!$E$14:$E$47,('2027 Avoided Costs'!$B$14:$B$47&gt;=$B83+1)*('2027 Avoided Costs'!$B$14:$B$47&lt;$B83+ROUND($O83,0)))))+_xlfn.XLOOKUP($B83,'2027 Avoided Costs'!$B$13:$B$47,'2027 Avoided Costs'!$E$13:$E$47))*IF($AE83&lt;0,$AE83*(-1),0),0)</f>
        <v>0</v>
      </c>
      <c r="BA83" s="291" cm="1">
        <f t="array" ref="BA83">IFERROR((IF($O83=1,0,NPV('2027 Avoided Costs'!$D$6,_xlfn._xlws.FILTER('2027 Avoided Costs'!$M$14:$M$47,('2027 Avoided Costs'!$B$14:$B$47&gt;=$B83+1)*('2027 Avoided Costs'!$B$14:$B$47&lt;$B83+ROUND($O83,0)))))+_xlfn.XLOOKUP($B83,'2027 Avoided Costs'!$B$13:$B$47,'2027 Avoided Costs'!$M$13:$M$47))*IF($AK83&lt;0,$AK83*(-1),0),0)</f>
        <v>0</v>
      </c>
      <c r="BB83" s="291" cm="1">
        <f t="array" ref="BB83">IFERROR((IF($O83=1,0,NPV('2027 Avoided Costs'!$D$6,_xlfn._xlws.FILTER('2027 Avoided Costs'!$S$14:$S$47,('2027 Avoided Costs'!$B$14:$B$47&gt;=$B83+1)*('2027 Avoided Costs'!$B$14:$B$47&lt;$B83+ROUND($O83,0)))))+_xlfn.XLOOKUP($B83,'2027 Avoided Costs'!$B$13:$B$47,'2027 Avoided Costs'!$S$13:$S$47))*IF($AI83&lt;0,$AI83*(-1),0),0)</f>
        <v>186340.799672847</v>
      </c>
      <c r="BC83" s="291" cm="1">
        <f t="array" ref="BC83">IFERROR((IF($O83=1,0,NPV('2027 Avoided Costs'!$D$6,_xlfn._xlws.FILTER('2027 Avoided Costs'!$Y$14:$Y$47,('2027 Avoided Costs'!$B$14:$B$47&gt;=$B83+1)*('2027 Avoided Costs'!$B$14:$B$47&lt;$B83+ROUND($O83,0)))))+_xlfn.XLOOKUP($B83,'2027 Avoided Costs'!$B$13:$B$47,'2027 Avoided Costs'!$Y$13:$Y$47))*IF($AM83&lt;0,$AM83*(-1),0),0)</f>
        <v>291221.31004012097</v>
      </c>
      <c r="BD83" s="291" cm="1">
        <f t="array" ref="BD83">IFERROR((IF($O83=1,0,NPV('2027 Avoided Costs'!$D$6,_xlfn._xlws.FILTER('2027 Avoided Costs'!$AE$14:$AE$47,('2027 Avoided Costs'!$B$14:$B$47&gt;=$B83+1)*('2027 Avoided Costs'!$B$14:$B$47&lt;$B83+ROUND($O83,0)))))+_xlfn.XLOOKUP($B83,'2027 Avoided Costs'!$B$13:$B$47,'2027 Avoided Costs'!$AE$13:$AE$47))*IF($AO83&lt;0,$AO83*(-1),0),0)</f>
        <v>102654.0498717836</v>
      </c>
      <c r="BE83" s="291" cm="1">
        <f t="array" ref="BE83">IFERROR((IF($O83=1,0,NPV('2027 Avoided Costs'!$D$4,_xlfn._xlws.FILTER('2027 Avoided Costs'!$I$14:$I$47,('2027 Avoided Costs'!$B$14:$B$47&gt;=$B83+1)*('2027 Avoided Costs'!$B$14:$B$47&lt;$B83+ROUND($O83,0)))))+_xlfn.XLOOKUP($B83,'2027 Avoided Costs'!$B$13:$B$47,'2027 Avoided Costs'!$I$13:$I$47))*IF($X83="Residential",'2027 Avoided Costs'!$J$5,IF($X83="Large Volume",'2027 Avoided Costs'!$J$7,'2027 Avoided Costs'!$J$6))*IF($AE83&lt;0,$AE83*(-1),0),0)</f>
        <v>0</v>
      </c>
      <c r="BF83" s="291">
        <f t="shared" si="50"/>
        <v>575026.34353544912</v>
      </c>
      <c r="BG83" s="291">
        <f t="shared" si="51"/>
        <v>939878.52132388204</v>
      </c>
      <c r="BH83" s="291">
        <f t="shared" si="52"/>
        <v>-364852.17778843292</v>
      </c>
      <c r="BI83" s="292">
        <f t="shared" si="56"/>
        <v>0.61180921841419023</v>
      </c>
      <c r="BJ83" s="196" cm="1">
        <f t="array" ref="BJ83">IFERROR(IF($J83="Baseload",IF($O83=1,0,NPV('2027 Avoided Costs'!$D$6,_xlfn._xlws.FILTER('2027 Avoided Costs'!$C$14:$C$47,('2027 Avoided Costs'!$B$14:$B$47&gt;=$B83+1)*('2027 Avoided Costs'!$B$14:$B$47&lt;$B83+ROUND($O83,0)))))+_xlfn.XLOOKUP($B83,'2027 Avoided Costs'!$B$13:$B$47,'2027 Avoided Costs'!$C$13:$C$47),IF($O83=1,0,NPV('2027 Avoided Costs'!$D$6,_xlfn._xlws.FILTER('2027 Avoided Costs'!$E$14:$E$47,('2027 Avoided Costs'!$B$14:$B$47&gt;=$B83+1)*('2027 Avoided Costs'!$B$14:$B$47&lt;$B83+ROUND($O83,0)))))+_xlfn.XLOOKUP($B83,'2027 Avoided Costs'!$B$13:$B$47,'2027 Avoided Costs'!$E$13:$E$47))*IF($AE83&gt;0,$AE83*(1+0),0),0)</f>
        <v>500022.90742212976</v>
      </c>
      <c r="BK83" s="293">
        <f t="shared" si="53"/>
        <v>2.4369127439689193</v>
      </c>
    </row>
    <row r="84" spans="1:63" s="56" customFormat="1" x14ac:dyDescent="0.25">
      <c r="A84" s="270" t="s">
        <v>133</v>
      </c>
      <c r="B84" s="271">
        <v>2027</v>
      </c>
      <c r="C84" s="272" t="s">
        <v>13</v>
      </c>
      <c r="D84" s="272" t="s">
        <v>164</v>
      </c>
      <c r="E84" s="272" t="s">
        <v>277</v>
      </c>
      <c r="F84" s="273">
        <v>73</v>
      </c>
      <c r="G84" s="274">
        <v>8418</v>
      </c>
      <c r="H84" s="275">
        <f t="shared" si="30"/>
        <v>3</v>
      </c>
      <c r="I84" s="274">
        <v>200</v>
      </c>
      <c r="J84" s="276" t="s">
        <v>264</v>
      </c>
      <c r="K84" s="277">
        <f t="shared" si="54"/>
        <v>0.97499999999999998</v>
      </c>
      <c r="L84" s="278">
        <v>2.5000000000000001E-2</v>
      </c>
      <c r="M84" s="278">
        <v>0</v>
      </c>
      <c r="N84" s="278">
        <v>1</v>
      </c>
      <c r="O84" s="279">
        <v>16</v>
      </c>
      <c r="P84" s="280">
        <v>2806</v>
      </c>
      <c r="Q84" s="281">
        <v>2256</v>
      </c>
      <c r="R84" s="282">
        <v>0.255</v>
      </c>
      <c r="S84" s="282">
        <v>0.255</v>
      </c>
      <c r="T84" s="281">
        <v>0</v>
      </c>
      <c r="U84" s="283">
        <v>0.25</v>
      </c>
      <c r="V84" s="284">
        <v>10340</v>
      </c>
      <c r="W84" s="285">
        <v>0.15</v>
      </c>
      <c r="X84" s="286" t="s">
        <v>255</v>
      </c>
      <c r="Y84" s="287">
        <f t="shared" si="31"/>
        <v>73</v>
      </c>
      <c r="Z84" s="288">
        <f t="shared" si="32"/>
        <v>614514</v>
      </c>
      <c r="AA84" s="288">
        <f t="shared" si="33"/>
        <v>14600</v>
      </c>
      <c r="AB84" s="288">
        <f t="shared" si="34"/>
        <v>614514</v>
      </c>
      <c r="AC84" s="288">
        <f t="shared" si="55"/>
        <v>14600</v>
      </c>
      <c r="AD84" s="287">
        <f t="shared" si="35"/>
        <v>204838</v>
      </c>
      <c r="AE84" s="287">
        <f t="shared" si="36"/>
        <v>199717.05</v>
      </c>
      <c r="AF84" s="287">
        <f t="shared" si="37"/>
        <v>3277408</v>
      </c>
      <c r="AG84" s="287">
        <f t="shared" si="38"/>
        <v>3195472.8</v>
      </c>
      <c r="AH84" s="287">
        <f t="shared" si="39"/>
        <v>176545.53600000002</v>
      </c>
      <c r="AI84" s="287">
        <f t="shared" si="40"/>
        <v>172131.8976</v>
      </c>
      <c r="AJ84" s="287">
        <f t="shared" si="41"/>
        <v>0</v>
      </c>
      <c r="AK84" s="287">
        <f t="shared" si="42"/>
        <v>0</v>
      </c>
      <c r="AL84" s="287">
        <f t="shared" si="43"/>
        <v>19.955280000000002</v>
      </c>
      <c r="AM84" s="287">
        <f t="shared" si="44"/>
        <v>19.456398</v>
      </c>
      <c r="AN84" s="287">
        <f t="shared" si="45"/>
        <v>19.955280000000002</v>
      </c>
      <c r="AO84" s="287">
        <f t="shared" si="46"/>
        <v>19.456398</v>
      </c>
      <c r="AP84" s="287">
        <f t="shared" si="47"/>
        <v>754820</v>
      </c>
      <c r="AQ84" s="287">
        <f t="shared" si="48"/>
        <v>735949.5</v>
      </c>
      <c r="AR84" s="287">
        <f t="shared" si="49"/>
        <v>49929.262499999997</v>
      </c>
      <c r="AS84" s="289" t="e">
        <f>IF(J84='2027 Avoided Costs'!#REF!,3,5)</f>
        <v>#REF!</v>
      </c>
      <c r="AT84" s="290" cm="1">
        <f t="array" ref="AT84">IFERROR(IF($J84="Baseload",IF($O84=1,0,NPV('2027 Avoided Costs'!$D$6,_xlfn._xlws.FILTER('2027 Avoided Costs'!$C$14:$C$47,('2027 Avoided Costs'!$B$14:$B$47&gt;=$B84+1)*('2027 Avoided Costs'!$B$14:$B$47&lt;$B84+ROUND($O84,0)))))+_xlfn.XLOOKUP($B84,'2027 Avoided Costs'!$B$13:$B$47,'2027 Avoided Costs'!$C$13:$C$47),IF($O84=1,0,NPV('2027 Avoided Costs'!$D$6,_xlfn._xlws.FILTER('2027 Avoided Costs'!$E$14:$E$47,('2027 Avoided Costs'!$B$14:$B$47&gt;=$B84+1)*('2027 Avoided Costs'!$B$14:$B$47&lt;$B84+ROUND($O84,0)))))+_xlfn.XLOOKUP($B84,'2027 Avoided Costs'!$B$13:$B$47,'2027 Avoided Costs'!$E$13:$E$47))*IF($AE84&gt;0,$AE84*(1+$W84),0),0)</f>
        <v>828740.70640308375</v>
      </c>
      <c r="AU84" s="290" cm="1">
        <f t="array" ref="AU84">IFERROR((IF($O84=1,0,NPV('2027 Avoided Costs'!$D$6,_xlfn._xlws.FILTER('2027 Avoided Costs'!$M$14:$M$47,('2027 Avoided Costs'!$B$14:$B$47&gt;=$B84+1)*('2027 Avoided Costs'!$B$14:$B$47&lt;$B84+ROUND($O84,0)))))+_xlfn.XLOOKUP($B84,'2027 Avoided Costs'!$B$13:$B$47,'2027 Avoided Costs'!$M$13:$M$47))*IF($AK84&gt;0,$AK84*(1+$W84),0),0)</f>
        <v>0</v>
      </c>
      <c r="AV84" s="291" cm="1">
        <f t="array" ref="AV84">IFERROR((IF($O84=1,0,NPV('2027 Avoided Costs'!$D$6,_xlfn._xlws.FILTER('2027 Avoided Costs'!$Q$14:$Q$47,('2027 Avoided Costs'!$B$14:$B$47&gt;=$B84+1)*('2027 Avoided Costs'!$B$14:$B$47&lt;$B84+ROUND($O84,0)))))+_xlfn.XLOOKUP($B84,'2027 Avoided Costs'!$B$13:$B$47,'2027 Avoided Costs'!$Q$13:$Q$47))*IF($AI84&gt;0,$AI84*(1+$W84),0),0)</f>
        <v>119163.38600673428</v>
      </c>
      <c r="AW84" s="291" cm="1">
        <f t="array" ref="AW84">IFERROR((IF($O84=1,0,NPV('2027 Avoided Costs'!$D$6,_xlfn._xlws.FILTER('2027 Avoided Costs'!$W$14:$W$47,('2027 Avoided Costs'!$B$14:$B$47&gt;=$B84+1)*('2027 Avoided Costs'!$B$14:$B$47&lt;$B84+ROUND($O84,0)))))+_xlfn.XLOOKUP($B84,'2027 Avoided Costs'!$B$13:$B$47,'2027 Avoided Costs'!$W$13:$W$47))*IF($AM84&gt;0,$AM84*(1+$W84),0),0)</f>
        <v>79841.514075240702</v>
      </c>
      <c r="AX84" s="291" cm="1">
        <f t="array" ref="AX84">IFERROR((IF($O84=1,0,NPV('2027 Avoided Costs'!$D$6,_xlfn._xlws.FILTER('2027 Avoided Costs'!$AC$14:$AC$47,('2027 Avoided Costs'!$B$14:$B$47&gt;=$B84+1)*('2027 Avoided Costs'!$B$14:$B$47&lt;$B84+ROUND($O84,0)))))+_xlfn.XLOOKUP($B84,'2027 Avoided Costs'!$B$13:$B$47,'2027 Avoided Costs'!$AC$13:$AC$47))*IF($AO84&gt;0,$AO84*(1+$W84),0),0)</f>
        <v>4750.7109861078407</v>
      </c>
      <c r="AY84" s="291" cm="1">
        <f t="array" ref="AY84">IFERROR((IF($O84=1,0,NPV('2027 Avoided Costs'!$D$4,_xlfn._xlws.FILTER('2027 Avoided Costs'!$I$14:$I$47,('2027 Avoided Costs'!$B$14:$B$47&gt;=$B84+1)*('2027 Avoided Costs'!$B$14:$B$47&lt;$B84+ROUND($O84,0)))))+_xlfn.XLOOKUP($B84,'2027 Avoided Costs'!$B$13:$B$47,'2027 Avoided Costs'!$I$13:$I$47))*IF($X84="Residential",'2027 Avoided Costs'!$J$5,IF($X84="Large Volume",'2027 Avoided Costs'!$J$7,'2027 Avoided Costs'!$J$6))*IF($AE84&gt;0,$AE84,0),0)</f>
        <v>0</v>
      </c>
      <c r="AZ84" s="291" cm="1">
        <f t="array" ref="AZ84">IFERROR(IF($J84="Baseload",IF($O84=1,0,NPV('2027 Avoided Costs'!$D$6,_xlfn._xlws.FILTER('2027 Avoided Costs'!$C$14:$C$47,('2027 Avoided Costs'!$B$14:$B$47&gt;=$B84+1)*('2027 Avoided Costs'!$B$14:$B$47&lt;$B84+ROUND($O84,0)))))+_xlfn.XLOOKUP($B84,'2027 Avoided Costs'!$B$13:$B$47,'2027 Avoided Costs'!$C$13:$C$47),IF($O84=1,0,NPV('2027 Avoided Costs'!$D$6,_xlfn._xlws.FILTER('2027 Avoided Costs'!$E$14:$E$47,('2027 Avoided Costs'!$B$14:$B$47&gt;=$B84+1)*('2027 Avoided Costs'!$B$14:$B$47&lt;$B84+ROUND($O84,0)))))+_xlfn.XLOOKUP($B84,'2027 Avoided Costs'!$B$13:$B$47,'2027 Avoided Costs'!$E$13:$E$47))*IF($AE84&lt;0,$AE84*(-1),0),0)</f>
        <v>0</v>
      </c>
      <c r="BA84" s="291" cm="1">
        <f t="array" ref="BA84">IFERROR((IF($O84=1,0,NPV('2027 Avoided Costs'!$D$6,_xlfn._xlws.FILTER('2027 Avoided Costs'!$M$14:$M$47,('2027 Avoided Costs'!$B$14:$B$47&gt;=$B84+1)*('2027 Avoided Costs'!$B$14:$B$47&lt;$B84+ROUND($O84,0)))))+_xlfn.XLOOKUP($B84,'2027 Avoided Costs'!$B$13:$B$47,'2027 Avoided Costs'!$M$13:$M$47))*IF($AK84&lt;0,$AK84*(-1),0),0)</f>
        <v>0</v>
      </c>
      <c r="BB84" s="291" cm="1">
        <f t="array" ref="BB84">IFERROR((IF($O84=1,0,NPV('2027 Avoided Costs'!$D$6,_xlfn._xlws.FILTER('2027 Avoided Costs'!$S$14:$S$47,('2027 Avoided Costs'!$B$14:$B$47&gt;=$B84+1)*('2027 Avoided Costs'!$B$14:$B$47&lt;$B84+ROUND($O84,0)))))+_xlfn.XLOOKUP($B84,'2027 Avoided Costs'!$B$13:$B$47,'2027 Avoided Costs'!$S$13:$S$47))*IF($AI84&lt;0,$AI84*(-1),0),0)</f>
        <v>0</v>
      </c>
      <c r="BC84" s="291" cm="1">
        <f t="array" ref="BC84">IFERROR((IF($O84=1,0,NPV('2027 Avoided Costs'!$D$6,_xlfn._xlws.FILTER('2027 Avoided Costs'!$Y$14:$Y$47,('2027 Avoided Costs'!$B$14:$B$47&gt;=$B84+1)*('2027 Avoided Costs'!$B$14:$B$47&lt;$B84+ROUND($O84,0)))))+_xlfn.XLOOKUP($B84,'2027 Avoided Costs'!$B$13:$B$47,'2027 Avoided Costs'!$Y$13:$Y$47))*IF($AM84&lt;0,$AM84*(-1),0),0)</f>
        <v>0</v>
      </c>
      <c r="BD84" s="291" cm="1">
        <f t="array" ref="BD84">IFERROR((IF($O84=1,0,NPV('2027 Avoided Costs'!$D$6,_xlfn._xlws.FILTER('2027 Avoided Costs'!$AE$14:$AE$47,('2027 Avoided Costs'!$B$14:$B$47&gt;=$B84+1)*('2027 Avoided Costs'!$B$14:$B$47&lt;$B84+ROUND($O84,0)))))+_xlfn.XLOOKUP($B84,'2027 Avoided Costs'!$B$13:$B$47,'2027 Avoided Costs'!$AE$13:$AE$47))*IF($AO84&lt;0,$AO84*(-1),0),0)</f>
        <v>0</v>
      </c>
      <c r="BE84" s="291" cm="1">
        <f t="array" ref="BE84">IFERROR((IF($O84=1,0,NPV('2027 Avoided Costs'!$D$4,_xlfn._xlws.FILTER('2027 Avoided Costs'!$I$14:$I$47,('2027 Avoided Costs'!$B$14:$B$47&gt;=$B84+1)*('2027 Avoided Costs'!$B$14:$B$47&lt;$B84+ROUND($O84,0)))))+_xlfn.XLOOKUP($B84,'2027 Avoided Costs'!$B$13:$B$47,'2027 Avoided Costs'!$I$13:$I$47))*IF($X84="Residential",'2027 Avoided Costs'!$J$5,IF($X84="Large Volume",'2027 Avoided Costs'!$J$7,'2027 Avoided Costs'!$J$6))*IF($AE84&lt;0,$AE84*(-1),0),0)</f>
        <v>0</v>
      </c>
      <c r="BF84" s="291">
        <f t="shared" si="50"/>
        <v>1032496.3174711665</v>
      </c>
      <c r="BG84" s="291">
        <f t="shared" si="51"/>
        <v>735949.5</v>
      </c>
      <c r="BH84" s="291">
        <f t="shared" si="52"/>
        <v>296546.81747116649</v>
      </c>
      <c r="BI84" s="292">
        <f t="shared" si="56"/>
        <v>1.4029445192518868</v>
      </c>
      <c r="BJ84" s="196" cm="1">
        <f t="array" ref="BJ84">IFERROR(IF($J84="Baseload",IF($O84=1,0,NPV('2027 Avoided Costs'!$D$6,_xlfn._xlws.FILTER('2027 Avoided Costs'!$C$14:$C$47,('2027 Avoided Costs'!$B$14:$B$47&gt;=$B84+1)*('2027 Avoided Costs'!$B$14:$B$47&lt;$B84+ROUND($O84,0)))))+_xlfn.XLOOKUP($B84,'2027 Avoided Costs'!$B$13:$B$47,'2027 Avoided Costs'!$C$13:$C$47),IF($O84=1,0,NPV('2027 Avoided Costs'!$D$6,_xlfn._xlws.FILTER('2027 Avoided Costs'!$E$14:$E$47,('2027 Avoided Costs'!$B$14:$B$47&gt;=$B84+1)*('2027 Avoided Costs'!$B$14:$B$47&lt;$B84+ROUND($O84,0)))))+_xlfn.XLOOKUP($B84,'2027 Avoided Costs'!$B$13:$B$47,'2027 Avoided Costs'!$E$13:$E$47))*IF($AE84&gt;0,$AE84*(1+0),0),0)</f>
        <v>720644.09252442082</v>
      </c>
      <c r="BK84" s="293">
        <f t="shared" si="53"/>
        <v>1.1454904715590828</v>
      </c>
    </row>
    <row r="85" spans="1:63" s="56" customFormat="1" x14ac:dyDescent="0.25">
      <c r="A85" s="270" t="s">
        <v>133</v>
      </c>
      <c r="B85" s="271">
        <v>2028</v>
      </c>
      <c r="C85" s="272" t="s">
        <v>13</v>
      </c>
      <c r="D85" s="272" t="s">
        <v>164</v>
      </c>
      <c r="E85" s="272" t="s">
        <v>277</v>
      </c>
      <c r="F85" s="273">
        <v>80</v>
      </c>
      <c r="G85" s="274">
        <v>8418</v>
      </c>
      <c r="H85" s="275">
        <f t="shared" si="30"/>
        <v>3</v>
      </c>
      <c r="I85" s="274">
        <v>200</v>
      </c>
      <c r="J85" s="276" t="s">
        <v>264</v>
      </c>
      <c r="K85" s="277">
        <f t="shared" si="54"/>
        <v>0.97499999999999998</v>
      </c>
      <c r="L85" s="278">
        <v>2.5000000000000001E-2</v>
      </c>
      <c r="M85" s="278">
        <v>0</v>
      </c>
      <c r="N85" s="278">
        <v>1</v>
      </c>
      <c r="O85" s="279">
        <v>16</v>
      </c>
      <c r="P85" s="280">
        <v>2806</v>
      </c>
      <c r="Q85" s="281">
        <v>2256</v>
      </c>
      <c r="R85" s="282">
        <v>0.255</v>
      </c>
      <c r="S85" s="282">
        <v>0.255</v>
      </c>
      <c r="T85" s="281">
        <v>0</v>
      </c>
      <c r="U85" s="283">
        <v>0.25</v>
      </c>
      <c r="V85" s="284">
        <v>10340</v>
      </c>
      <c r="W85" s="285">
        <v>0.15</v>
      </c>
      <c r="X85" s="286" t="s">
        <v>255</v>
      </c>
      <c r="Y85" s="287">
        <f t="shared" si="31"/>
        <v>80</v>
      </c>
      <c r="Z85" s="288">
        <f t="shared" si="32"/>
        <v>673440</v>
      </c>
      <c r="AA85" s="288">
        <f t="shared" si="33"/>
        <v>16000</v>
      </c>
      <c r="AB85" s="288">
        <f t="shared" si="34"/>
        <v>686908.8</v>
      </c>
      <c r="AC85" s="288">
        <f t="shared" si="55"/>
        <v>16275.200000000003</v>
      </c>
      <c r="AD85" s="287">
        <f t="shared" si="35"/>
        <v>224480</v>
      </c>
      <c r="AE85" s="287">
        <f t="shared" si="36"/>
        <v>218868</v>
      </c>
      <c r="AF85" s="287">
        <f t="shared" si="37"/>
        <v>3591680</v>
      </c>
      <c r="AG85" s="287">
        <f t="shared" si="38"/>
        <v>3501888</v>
      </c>
      <c r="AH85" s="287">
        <f t="shared" si="39"/>
        <v>193474.56</v>
      </c>
      <c r="AI85" s="287">
        <f t="shared" si="40"/>
        <v>188637.69600000003</v>
      </c>
      <c r="AJ85" s="287">
        <f t="shared" si="41"/>
        <v>0</v>
      </c>
      <c r="AK85" s="287">
        <f t="shared" si="42"/>
        <v>0</v>
      </c>
      <c r="AL85" s="287">
        <f t="shared" si="43"/>
        <v>21.8688</v>
      </c>
      <c r="AM85" s="287">
        <f t="shared" si="44"/>
        <v>21.322080000000003</v>
      </c>
      <c r="AN85" s="287">
        <f t="shared" si="45"/>
        <v>21.8688</v>
      </c>
      <c r="AO85" s="287">
        <f t="shared" si="46"/>
        <v>21.322080000000003</v>
      </c>
      <c r="AP85" s="287">
        <f t="shared" si="47"/>
        <v>827200</v>
      </c>
      <c r="AQ85" s="287">
        <f t="shared" si="48"/>
        <v>806520</v>
      </c>
      <c r="AR85" s="287">
        <f t="shared" si="49"/>
        <v>54717</v>
      </c>
      <c r="AS85" s="289" t="e">
        <f>IF(J85='2027 Avoided Costs'!#REF!,3,5)</f>
        <v>#REF!</v>
      </c>
      <c r="AT85" s="290" cm="1">
        <f t="array" ref="AT85">IFERROR(IF($J85="Baseload",IF($O85=1,0,NPV('2027 Avoided Costs'!$D$6,_xlfn._xlws.FILTER('2027 Avoided Costs'!$C$14:$C$47,('2027 Avoided Costs'!$B$14:$B$47&gt;=$B85+1)*('2027 Avoided Costs'!$B$14:$B$47&lt;$B85+ROUND($O85,0)))))+_xlfn.XLOOKUP($B85,'2027 Avoided Costs'!$B$13:$B$47,'2027 Avoided Costs'!$C$13:$C$47),IF($O85=1,0,NPV('2027 Avoided Costs'!$D$6,_xlfn._xlws.FILTER('2027 Avoided Costs'!$E$14:$E$47,('2027 Avoided Costs'!$B$14:$B$47&gt;=$B85+1)*('2027 Avoided Costs'!$B$14:$B$47&lt;$B85+ROUND($O85,0)))))+_xlfn.XLOOKUP($B85,'2027 Avoided Costs'!$B$13:$B$47,'2027 Avoided Costs'!$E$13:$E$47))*IF($AE85&gt;0,$AE85*(1+$W85),0),0)</f>
        <v>945020.65608652472</v>
      </c>
      <c r="AU85" s="290" cm="1">
        <f t="array" ref="AU85">IFERROR((IF($O85=1,0,NPV('2027 Avoided Costs'!$D$6,_xlfn._xlws.FILTER('2027 Avoided Costs'!$M$14:$M$47,('2027 Avoided Costs'!$B$14:$B$47&gt;=$B85+1)*('2027 Avoided Costs'!$B$14:$B$47&lt;$B85+ROUND($O85,0)))))+_xlfn.XLOOKUP($B85,'2027 Avoided Costs'!$B$13:$B$47,'2027 Avoided Costs'!$M$13:$M$47))*IF($AK85&gt;0,$AK85*(1+$W85),0),0)</f>
        <v>0</v>
      </c>
      <c r="AV85" s="291" cm="1">
        <f t="array" ref="AV85">IFERROR((IF($O85=1,0,NPV('2027 Avoided Costs'!$D$6,_xlfn._xlws.FILTER('2027 Avoided Costs'!$Q$14:$Q$47,('2027 Avoided Costs'!$B$14:$B$47&gt;=$B85+1)*('2027 Avoided Costs'!$B$14:$B$47&lt;$B85+ROUND($O85,0)))))+_xlfn.XLOOKUP($B85,'2027 Avoided Costs'!$B$13:$B$47,'2027 Avoided Costs'!$Q$13:$Q$47))*IF($AI85&gt;0,$AI85*(1+$W85),0),0)</f>
        <v>130228.44262109704</v>
      </c>
      <c r="AW85" s="291" cm="1">
        <f t="array" ref="AW85">IFERROR((IF($O85=1,0,NPV('2027 Avoided Costs'!$D$6,_xlfn._xlws.FILTER('2027 Avoided Costs'!$W$14:$W$47,('2027 Avoided Costs'!$B$14:$B$47&gt;=$B85+1)*('2027 Avoided Costs'!$B$14:$B$47&lt;$B85+ROUND($O85,0)))))+_xlfn.XLOOKUP($B85,'2027 Avoided Costs'!$B$13:$B$47,'2027 Avoided Costs'!$W$13:$W$47))*IF($AM85&gt;0,$AM85*(1+$W85),0),0)</f>
        <v>87332.996687570878</v>
      </c>
      <c r="AX85" s="291" cm="1">
        <f t="array" ref="AX85">IFERROR((IF($O85=1,0,NPV('2027 Avoided Costs'!$D$6,_xlfn._xlws.FILTER('2027 Avoided Costs'!$AC$14:$AC$47,('2027 Avoided Costs'!$B$14:$B$47&gt;=$B85+1)*('2027 Avoided Costs'!$B$14:$B$47&lt;$B85+ROUND($O85,0)))))+_xlfn.XLOOKUP($B85,'2027 Avoided Costs'!$B$13:$B$47,'2027 Avoided Costs'!$AC$13:$AC$47))*IF($AO85&gt;0,$AO85*(1+$W85),0),0)</f>
        <v>10720.592157561499</v>
      </c>
      <c r="AY85" s="291" cm="1">
        <f t="array" ref="AY85">IFERROR((IF($O85=1,0,NPV('2027 Avoided Costs'!$D$4,_xlfn._xlws.FILTER('2027 Avoided Costs'!$I$14:$I$47,('2027 Avoided Costs'!$B$14:$B$47&gt;=$B85+1)*('2027 Avoided Costs'!$B$14:$B$47&lt;$B85+ROUND($O85,0)))))+_xlfn.XLOOKUP($B85,'2027 Avoided Costs'!$B$13:$B$47,'2027 Avoided Costs'!$I$13:$I$47))*IF($X85="Residential",'2027 Avoided Costs'!$J$5,IF($X85="Large Volume",'2027 Avoided Costs'!$J$7,'2027 Avoided Costs'!$J$6))*IF($AE85&gt;0,$AE85,0),0)</f>
        <v>0</v>
      </c>
      <c r="AZ85" s="291" cm="1">
        <f t="array" ref="AZ85">IFERROR(IF($J85="Baseload",IF($O85=1,0,NPV('2027 Avoided Costs'!$D$6,_xlfn._xlws.FILTER('2027 Avoided Costs'!$C$14:$C$47,('2027 Avoided Costs'!$B$14:$B$47&gt;=$B85+1)*('2027 Avoided Costs'!$B$14:$B$47&lt;$B85+ROUND($O85,0)))))+_xlfn.XLOOKUP($B85,'2027 Avoided Costs'!$B$13:$B$47,'2027 Avoided Costs'!$C$13:$C$47),IF($O85=1,0,NPV('2027 Avoided Costs'!$D$6,_xlfn._xlws.FILTER('2027 Avoided Costs'!$E$14:$E$47,('2027 Avoided Costs'!$B$14:$B$47&gt;=$B85+1)*('2027 Avoided Costs'!$B$14:$B$47&lt;$B85+ROUND($O85,0)))))+_xlfn.XLOOKUP($B85,'2027 Avoided Costs'!$B$13:$B$47,'2027 Avoided Costs'!$E$13:$E$47))*IF($AE85&lt;0,$AE85*(-1),0),0)</f>
        <v>0</v>
      </c>
      <c r="BA85" s="291" cm="1">
        <f t="array" ref="BA85">IFERROR((IF($O85=1,0,NPV('2027 Avoided Costs'!$D$6,_xlfn._xlws.FILTER('2027 Avoided Costs'!$M$14:$M$47,('2027 Avoided Costs'!$B$14:$B$47&gt;=$B85+1)*('2027 Avoided Costs'!$B$14:$B$47&lt;$B85+ROUND($O85,0)))))+_xlfn.XLOOKUP($B85,'2027 Avoided Costs'!$B$13:$B$47,'2027 Avoided Costs'!$M$13:$M$47))*IF($AK85&lt;0,$AK85*(-1),0),0)</f>
        <v>0</v>
      </c>
      <c r="BB85" s="291" cm="1">
        <f t="array" ref="BB85">IFERROR((IF($O85=1,0,NPV('2027 Avoided Costs'!$D$6,_xlfn._xlws.FILTER('2027 Avoided Costs'!$S$14:$S$47,('2027 Avoided Costs'!$B$14:$B$47&gt;=$B85+1)*('2027 Avoided Costs'!$B$14:$B$47&lt;$B85+ROUND($O85,0)))))+_xlfn.XLOOKUP($B85,'2027 Avoided Costs'!$B$13:$B$47,'2027 Avoided Costs'!$S$13:$S$47))*IF($AI85&lt;0,$AI85*(-1),0),0)</f>
        <v>0</v>
      </c>
      <c r="BC85" s="291" cm="1">
        <f t="array" ref="BC85">IFERROR((IF($O85=1,0,NPV('2027 Avoided Costs'!$D$6,_xlfn._xlws.FILTER('2027 Avoided Costs'!$Y$14:$Y$47,('2027 Avoided Costs'!$B$14:$B$47&gt;=$B85+1)*('2027 Avoided Costs'!$B$14:$B$47&lt;$B85+ROUND($O85,0)))))+_xlfn.XLOOKUP($B85,'2027 Avoided Costs'!$B$13:$B$47,'2027 Avoided Costs'!$Y$13:$Y$47))*IF($AM85&lt;0,$AM85*(-1),0),0)</f>
        <v>0</v>
      </c>
      <c r="BD85" s="291" cm="1">
        <f t="array" ref="BD85">IFERROR((IF($O85=1,0,NPV('2027 Avoided Costs'!$D$6,_xlfn._xlws.FILTER('2027 Avoided Costs'!$AE$14:$AE$47,('2027 Avoided Costs'!$B$14:$B$47&gt;=$B85+1)*('2027 Avoided Costs'!$B$14:$B$47&lt;$B85+ROUND($O85,0)))))+_xlfn.XLOOKUP($B85,'2027 Avoided Costs'!$B$13:$B$47,'2027 Avoided Costs'!$AE$13:$AE$47))*IF($AO85&lt;0,$AO85*(-1),0),0)</f>
        <v>0</v>
      </c>
      <c r="BE85" s="291" cm="1">
        <f t="array" ref="BE85">IFERROR((IF($O85=1,0,NPV('2027 Avoided Costs'!$D$4,_xlfn._xlws.FILTER('2027 Avoided Costs'!$I$14:$I$47,('2027 Avoided Costs'!$B$14:$B$47&gt;=$B85+1)*('2027 Avoided Costs'!$B$14:$B$47&lt;$B85+ROUND($O85,0)))))+_xlfn.XLOOKUP($B85,'2027 Avoided Costs'!$B$13:$B$47,'2027 Avoided Costs'!$I$13:$I$47))*IF($X85="Residential",'2027 Avoided Costs'!$J$5,IF($X85="Large Volume",'2027 Avoided Costs'!$J$7,'2027 Avoided Costs'!$J$6))*IF($AE85&lt;0,$AE85*(-1),0),0)</f>
        <v>0</v>
      </c>
      <c r="BF85" s="291">
        <f t="shared" si="50"/>
        <v>1173302.6875527541</v>
      </c>
      <c r="BG85" s="291">
        <f t="shared" si="51"/>
        <v>806520</v>
      </c>
      <c r="BH85" s="291">
        <f t="shared" si="52"/>
        <v>366782.68755275407</v>
      </c>
      <c r="BI85" s="292">
        <f t="shared" si="56"/>
        <v>1.4547719679025368</v>
      </c>
      <c r="BJ85" s="196" cm="1">
        <f t="array" ref="BJ85">IFERROR(IF($J85="Baseload",IF($O85=1,0,NPV('2027 Avoided Costs'!$D$6,_xlfn._xlws.FILTER('2027 Avoided Costs'!$C$14:$C$47,('2027 Avoided Costs'!$B$14:$B$47&gt;=$B85+1)*('2027 Avoided Costs'!$B$14:$B$47&lt;$B85+ROUND($O85,0)))))+_xlfn.XLOOKUP($B85,'2027 Avoided Costs'!$B$13:$B$47,'2027 Avoided Costs'!$C$13:$C$47),IF($O85=1,0,NPV('2027 Avoided Costs'!$D$6,_xlfn._xlws.FILTER('2027 Avoided Costs'!$E$14:$E$47,('2027 Avoided Costs'!$B$14:$B$47&gt;=$B85+1)*('2027 Avoided Costs'!$B$14:$B$47&lt;$B85+ROUND($O85,0)))))+_xlfn.XLOOKUP($B85,'2027 Avoided Costs'!$B$13:$B$47,'2027 Avoided Costs'!$E$13:$E$47))*IF($AE85&gt;0,$AE85*(1+0),0),0)</f>
        <v>821757.09224915202</v>
      </c>
      <c r="BK85" s="293">
        <f t="shared" si="53"/>
        <v>1.1686231373995313</v>
      </c>
    </row>
    <row r="86" spans="1:63" s="56" customFormat="1" x14ac:dyDescent="0.25">
      <c r="A86" s="270" t="s">
        <v>133</v>
      </c>
      <c r="B86" s="271">
        <v>2027</v>
      </c>
      <c r="C86" s="272" t="s">
        <v>13</v>
      </c>
      <c r="D86" s="272" t="s">
        <v>164</v>
      </c>
      <c r="E86" s="272" t="s">
        <v>84</v>
      </c>
      <c r="F86" s="273">
        <v>389</v>
      </c>
      <c r="G86" s="274">
        <v>12016.046296296296</v>
      </c>
      <c r="H86" s="275">
        <f t="shared" si="30"/>
        <v>2.5829978692849611</v>
      </c>
      <c r="I86" s="274">
        <v>200</v>
      </c>
      <c r="J86" s="276" t="s">
        <v>264</v>
      </c>
      <c r="K86" s="277">
        <f t="shared" si="54"/>
        <v>0.95</v>
      </c>
      <c r="L86" s="278">
        <v>5.000000000000001E-2</v>
      </c>
      <c r="M86" s="278">
        <v>0</v>
      </c>
      <c r="N86" s="278">
        <v>1</v>
      </c>
      <c r="O86" s="279">
        <v>15</v>
      </c>
      <c r="P86" s="280">
        <v>4651.9768518518522</v>
      </c>
      <c r="Q86" s="281">
        <v>173.31481481481481</v>
      </c>
      <c r="R86" s="282">
        <v>0.10561610282265338</v>
      </c>
      <c r="S86" s="282">
        <v>3.1195569992981759E-2</v>
      </c>
      <c r="T86" s="281">
        <v>0</v>
      </c>
      <c r="U86" s="283">
        <v>0.05</v>
      </c>
      <c r="V86" s="284">
        <v>12016.046296296296</v>
      </c>
      <c r="W86" s="285">
        <v>0.15</v>
      </c>
      <c r="X86" s="286" t="s">
        <v>255</v>
      </c>
      <c r="Y86" s="287">
        <f t="shared" si="31"/>
        <v>389</v>
      </c>
      <c r="Z86" s="288">
        <f t="shared" si="32"/>
        <v>4674242.0092592593</v>
      </c>
      <c r="AA86" s="288">
        <f t="shared" si="33"/>
        <v>77800</v>
      </c>
      <c r="AB86" s="288">
        <f t="shared" si="34"/>
        <v>4674242.0092592593</v>
      </c>
      <c r="AC86" s="288">
        <f t="shared" si="55"/>
        <v>77800</v>
      </c>
      <c r="AD86" s="287">
        <f t="shared" si="35"/>
        <v>1809618.9953703706</v>
      </c>
      <c r="AE86" s="287">
        <f t="shared" si="36"/>
        <v>1719138.045601852</v>
      </c>
      <c r="AF86" s="287">
        <f t="shared" si="37"/>
        <v>27144284.93055556</v>
      </c>
      <c r="AG86" s="287">
        <f t="shared" si="38"/>
        <v>25787070.68402778</v>
      </c>
      <c r="AH86" s="287">
        <f t="shared" si="39"/>
        <v>72273.664296296294</v>
      </c>
      <c r="AI86" s="287">
        <f t="shared" si="40"/>
        <v>68659.981081481485</v>
      </c>
      <c r="AJ86" s="287">
        <f t="shared" si="41"/>
        <v>0</v>
      </c>
      <c r="AK86" s="287">
        <f t="shared" si="42"/>
        <v>0</v>
      </c>
      <c r="AL86" s="287">
        <f t="shared" si="43"/>
        <v>44.042759805869046</v>
      </c>
      <c r="AM86" s="287">
        <f t="shared" si="44"/>
        <v>41.840621815575588</v>
      </c>
      <c r="AN86" s="287">
        <f t="shared" si="45"/>
        <v>13.008802251633339</v>
      </c>
      <c r="AO86" s="287">
        <f t="shared" si="46"/>
        <v>12.358362139051669</v>
      </c>
      <c r="AP86" s="287">
        <f t="shared" si="47"/>
        <v>4674242.0092592593</v>
      </c>
      <c r="AQ86" s="287">
        <f t="shared" si="48"/>
        <v>4440529.9087962965</v>
      </c>
      <c r="AR86" s="287">
        <f t="shared" si="49"/>
        <v>85956.902280092603</v>
      </c>
      <c r="AS86" s="289" t="e">
        <f>IF(J86='2027 Avoided Costs'!#REF!,3,5)</f>
        <v>#REF!</v>
      </c>
      <c r="AT86" s="290" cm="1">
        <f t="array" ref="AT86">IFERROR(IF($J86="Baseload",IF($O86=1,0,NPV('2027 Avoided Costs'!$D$6,_xlfn._xlws.FILTER('2027 Avoided Costs'!$C$14:$C$47,('2027 Avoided Costs'!$B$14:$B$47&gt;=$B86+1)*('2027 Avoided Costs'!$B$14:$B$47&lt;$B86+ROUND($O86,0)))))+_xlfn.XLOOKUP($B86,'2027 Avoided Costs'!$B$13:$B$47,'2027 Avoided Costs'!$C$13:$C$47),IF($O86=1,0,NPV('2027 Avoided Costs'!$D$6,_xlfn._xlws.FILTER('2027 Avoided Costs'!$E$14:$E$47,('2027 Avoided Costs'!$B$14:$B$47&gt;=$B86+1)*('2027 Avoided Costs'!$B$14:$B$47&lt;$B86+ROUND($O86,0)))))+_xlfn.XLOOKUP($B86,'2027 Avoided Costs'!$B$13:$B$47,'2027 Avoided Costs'!$E$13:$E$47))*IF($AE86&gt;0,$AE86*(1+$W86),0),0)</f>
        <v>6779522.8863634616</v>
      </c>
      <c r="AU86" s="290" cm="1">
        <f t="array" ref="AU86">IFERROR((IF($O86=1,0,NPV('2027 Avoided Costs'!$D$6,_xlfn._xlws.FILTER('2027 Avoided Costs'!$M$14:$M$47,('2027 Avoided Costs'!$B$14:$B$47&gt;=$B86+1)*('2027 Avoided Costs'!$B$14:$B$47&lt;$B86+ROUND($O86,0)))))+_xlfn.XLOOKUP($B86,'2027 Avoided Costs'!$B$13:$B$47,'2027 Avoided Costs'!$M$13:$M$47))*IF($AK86&gt;0,$AK86*(1+$W86),0),0)</f>
        <v>0</v>
      </c>
      <c r="AV86" s="291" cm="1">
        <f t="array" ref="AV86">IFERROR((IF($O86=1,0,NPV('2027 Avoided Costs'!$D$6,_xlfn._xlws.FILTER('2027 Avoided Costs'!$Q$14:$Q$47,('2027 Avoided Costs'!$B$14:$B$47&gt;=$B86+1)*('2027 Avoided Costs'!$B$14:$B$47&lt;$B86+ROUND($O86,0)))))+_xlfn.XLOOKUP($B86,'2027 Avoided Costs'!$B$13:$B$47,'2027 Avoided Costs'!$Q$13:$Q$47))*IF($AI86&gt;0,$AI86*(1+$W86),0),0)</f>
        <v>45456.242989483653</v>
      </c>
      <c r="AW86" s="291" cm="1">
        <f t="array" ref="AW86">IFERROR((IF($O86=1,0,NPV('2027 Avoided Costs'!$D$6,_xlfn._xlws.FILTER('2027 Avoided Costs'!$W$14:$W$47,('2027 Avoided Costs'!$B$14:$B$47&gt;=$B86+1)*('2027 Avoided Costs'!$B$14:$B$47&lt;$B86+ROUND($O86,0)))))+_xlfn.XLOOKUP($B86,'2027 Avoided Costs'!$B$13:$B$47,'2027 Avoided Costs'!$W$13:$W$47))*IF($AM86&gt;0,$AM86*(1+$W86),0),0)</f>
        <v>162154.11921197915</v>
      </c>
      <c r="AX86" s="291" cm="1">
        <f t="array" ref="AX86">IFERROR((IF($O86=1,0,NPV('2027 Avoided Costs'!$D$6,_xlfn._xlws.FILTER('2027 Avoided Costs'!$AC$14:$AC$47,('2027 Avoided Costs'!$B$14:$B$47&gt;=$B86+1)*('2027 Avoided Costs'!$B$14:$B$47&lt;$B86+ROUND($O86,0)))))+_xlfn.XLOOKUP($B86,'2027 Avoided Costs'!$B$13:$B$47,'2027 Avoided Costs'!$AC$13:$AC$47))*IF($AO86&gt;0,$AO86*(1+$W86),0),0)</f>
        <v>3017.5681431008943</v>
      </c>
      <c r="AY86" s="291" cm="1">
        <f t="array" ref="AY86">IFERROR((IF($O86=1,0,NPV('2027 Avoided Costs'!$D$4,_xlfn._xlws.FILTER('2027 Avoided Costs'!$I$14:$I$47,('2027 Avoided Costs'!$B$14:$B$47&gt;=$B86+1)*('2027 Avoided Costs'!$B$14:$B$47&lt;$B86+ROUND($O86,0)))))+_xlfn.XLOOKUP($B86,'2027 Avoided Costs'!$B$13:$B$47,'2027 Avoided Costs'!$I$13:$I$47))*IF($X86="Residential",'2027 Avoided Costs'!$J$5,IF($X86="Large Volume",'2027 Avoided Costs'!$J$7,'2027 Avoided Costs'!$J$6))*IF($AE86&gt;0,$AE86,0),0)</f>
        <v>0</v>
      </c>
      <c r="AZ86" s="291" cm="1">
        <f t="array" ref="AZ86">IFERROR(IF($J86="Baseload",IF($O86=1,0,NPV('2027 Avoided Costs'!$D$6,_xlfn._xlws.FILTER('2027 Avoided Costs'!$C$14:$C$47,('2027 Avoided Costs'!$B$14:$B$47&gt;=$B86+1)*('2027 Avoided Costs'!$B$14:$B$47&lt;$B86+ROUND($O86,0)))))+_xlfn.XLOOKUP($B86,'2027 Avoided Costs'!$B$13:$B$47,'2027 Avoided Costs'!$C$13:$C$47),IF($O86=1,0,NPV('2027 Avoided Costs'!$D$6,_xlfn._xlws.FILTER('2027 Avoided Costs'!$E$14:$E$47,('2027 Avoided Costs'!$B$14:$B$47&gt;=$B86+1)*('2027 Avoided Costs'!$B$14:$B$47&lt;$B86+ROUND($O86,0)))))+_xlfn.XLOOKUP($B86,'2027 Avoided Costs'!$B$13:$B$47,'2027 Avoided Costs'!$E$13:$E$47))*IF($AE86&lt;0,$AE86*(-1),0),0)</f>
        <v>0</v>
      </c>
      <c r="BA86" s="291" cm="1">
        <f t="array" ref="BA86">IFERROR((IF($O86=1,0,NPV('2027 Avoided Costs'!$D$6,_xlfn._xlws.FILTER('2027 Avoided Costs'!$M$14:$M$47,('2027 Avoided Costs'!$B$14:$B$47&gt;=$B86+1)*('2027 Avoided Costs'!$B$14:$B$47&lt;$B86+ROUND($O86,0)))))+_xlfn.XLOOKUP($B86,'2027 Avoided Costs'!$B$13:$B$47,'2027 Avoided Costs'!$M$13:$M$47))*IF($AK86&lt;0,$AK86*(-1),0),0)</f>
        <v>0</v>
      </c>
      <c r="BB86" s="291" cm="1">
        <f t="array" ref="BB86">IFERROR((IF($O86=1,0,NPV('2027 Avoided Costs'!$D$6,_xlfn._xlws.FILTER('2027 Avoided Costs'!$S$14:$S$47,('2027 Avoided Costs'!$B$14:$B$47&gt;=$B86+1)*('2027 Avoided Costs'!$B$14:$B$47&lt;$B86+ROUND($O86,0)))))+_xlfn.XLOOKUP($B86,'2027 Avoided Costs'!$B$13:$B$47,'2027 Avoided Costs'!$S$13:$S$47))*IF($AI86&lt;0,$AI86*(-1),0),0)</f>
        <v>0</v>
      </c>
      <c r="BC86" s="291" cm="1">
        <f t="array" ref="BC86">IFERROR((IF($O86=1,0,NPV('2027 Avoided Costs'!$D$6,_xlfn._xlws.FILTER('2027 Avoided Costs'!$Y$14:$Y$47,('2027 Avoided Costs'!$B$14:$B$47&gt;=$B86+1)*('2027 Avoided Costs'!$B$14:$B$47&lt;$B86+ROUND($O86,0)))))+_xlfn.XLOOKUP($B86,'2027 Avoided Costs'!$B$13:$B$47,'2027 Avoided Costs'!$Y$13:$Y$47))*IF($AM86&lt;0,$AM86*(-1),0),0)</f>
        <v>0</v>
      </c>
      <c r="BD86" s="291" cm="1">
        <f t="array" ref="BD86">IFERROR((IF($O86=1,0,NPV('2027 Avoided Costs'!$D$6,_xlfn._xlws.FILTER('2027 Avoided Costs'!$AE$14:$AE$47,('2027 Avoided Costs'!$B$14:$B$47&gt;=$B86+1)*('2027 Avoided Costs'!$B$14:$B$47&lt;$B86+ROUND($O86,0)))))+_xlfn.XLOOKUP($B86,'2027 Avoided Costs'!$B$13:$B$47,'2027 Avoided Costs'!$AE$13:$AE$47))*IF($AO86&lt;0,$AO86*(-1),0),0)</f>
        <v>0</v>
      </c>
      <c r="BE86" s="291" cm="1">
        <f t="array" ref="BE86">IFERROR((IF($O86=1,0,NPV('2027 Avoided Costs'!$D$4,_xlfn._xlws.FILTER('2027 Avoided Costs'!$I$14:$I$47,('2027 Avoided Costs'!$B$14:$B$47&gt;=$B86+1)*('2027 Avoided Costs'!$B$14:$B$47&lt;$B86+ROUND($O86,0)))))+_xlfn.XLOOKUP($B86,'2027 Avoided Costs'!$B$13:$B$47,'2027 Avoided Costs'!$I$13:$I$47))*IF($X86="Residential",'2027 Avoided Costs'!$J$5,IF($X86="Large Volume",'2027 Avoided Costs'!$J$7,'2027 Avoided Costs'!$J$6))*IF($AE86&lt;0,$AE86*(-1),0),0)</f>
        <v>0</v>
      </c>
      <c r="BF86" s="291">
        <f t="shared" si="50"/>
        <v>6990150.8167080246</v>
      </c>
      <c r="BG86" s="291">
        <f t="shared" si="51"/>
        <v>4440529.9087962965</v>
      </c>
      <c r="BH86" s="291">
        <f t="shared" si="52"/>
        <v>2549620.9079117281</v>
      </c>
      <c r="BI86" s="292">
        <f t="shared" si="56"/>
        <v>1.5741704166570649</v>
      </c>
      <c r="BJ86" s="196" cm="1">
        <f t="array" ref="BJ86">IFERROR(IF($J86="Baseload",IF($O86=1,0,NPV('2027 Avoided Costs'!$D$6,_xlfn._xlws.FILTER('2027 Avoided Costs'!$C$14:$C$47,('2027 Avoided Costs'!$B$14:$B$47&gt;=$B86+1)*('2027 Avoided Costs'!$B$14:$B$47&lt;$B86+ROUND($O86,0)))))+_xlfn.XLOOKUP($B86,'2027 Avoided Costs'!$B$13:$B$47,'2027 Avoided Costs'!$C$13:$C$47),IF($O86=1,0,NPV('2027 Avoided Costs'!$D$6,_xlfn._xlws.FILTER('2027 Avoided Costs'!$E$14:$E$47,('2027 Avoided Costs'!$B$14:$B$47&gt;=$B86+1)*('2027 Avoided Costs'!$B$14:$B$47&lt;$B86+ROUND($O86,0)))))+_xlfn.XLOOKUP($B86,'2027 Avoided Costs'!$B$13:$B$47,'2027 Avoided Costs'!$E$13:$E$47))*IF($AE86&gt;0,$AE86*(1+0),0),0)</f>
        <v>5895237.2924899673</v>
      </c>
      <c r="BK86" s="293">
        <f t="shared" si="53"/>
        <v>1.2405692712739522</v>
      </c>
    </row>
    <row r="87" spans="1:63" s="56" customFormat="1" x14ac:dyDescent="0.25">
      <c r="A87" s="270" t="s">
        <v>133</v>
      </c>
      <c r="B87" s="271">
        <v>2027</v>
      </c>
      <c r="C87" s="272" t="s">
        <v>13</v>
      </c>
      <c r="D87" s="272" t="s">
        <v>164</v>
      </c>
      <c r="E87" s="272" t="s">
        <v>85</v>
      </c>
      <c r="F87" s="273">
        <v>81</v>
      </c>
      <c r="G87" s="274">
        <v>22163.333333333336</v>
      </c>
      <c r="H87" s="275">
        <f t="shared" si="30"/>
        <v>2.5573667084625029</v>
      </c>
      <c r="I87" s="274">
        <v>200</v>
      </c>
      <c r="J87" s="276" t="s">
        <v>264</v>
      </c>
      <c r="K87" s="277">
        <f t="shared" si="54"/>
        <v>0.95</v>
      </c>
      <c r="L87" s="278">
        <v>5.000000000000001E-2</v>
      </c>
      <c r="M87" s="278">
        <v>0</v>
      </c>
      <c r="N87" s="278">
        <v>1</v>
      </c>
      <c r="O87" s="279">
        <v>15</v>
      </c>
      <c r="P87" s="280">
        <v>8666.4666666666672</v>
      </c>
      <c r="Q87" s="281">
        <v>24851.666666666668</v>
      </c>
      <c r="R87" s="282">
        <v>5.6738964992389649</v>
      </c>
      <c r="S87" s="282">
        <v>5.6738964992389649</v>
      </c>
      <c r="T87" s="281">
        <v>0</v>
      </c>
      <c r="U87" s="283">
        <v>0.05</v>
      </c>
      <c r="V87" s="284">
        <v>22163.333333333332</v>
      </c>
      <c r="W87" s="285">
        <v>0.15</v>
      </c>
      <c r="X87" s="286" t="s">
        <v>255</v>
      </c>
      <c r="Y87" s="287">
        <f t="shared" si="31"/>
        <v>81</v>
      </c>
      <c r="Z87" s="288">
        <f t="shared" si="32"/>
        <v>1795230.0000000002</v>
      </c>
      <c r="AA87" s="288">
        <f t="shared" si="33"/>
        <v>16200</v>
      </c>
      <c r="AB87" s="288">
        <f t="shared" si="34"/>
        <v>1795230.0000000002</v>
      </c>
      <c r="AC87" s="288">
        <f t="shared" si="55"/>
        <v>16200</v>
      </c>
      <c r="AD87" s="287">
        <f t="shared" si="35"/>
        <v>701983.8</v>
      </c>
      <c r="AE87" s="287">
        <f t="shared" si="36"/>
        <v>666884.61</v>
      </c>
      <c r="AF87" s="287">
        <f t="shared" si="37"/>
        <v>10529757</v>
      </c>
      <c r="AG87" s="287">
        <f t="shared" si="38"/>
        <v>10003269.15</v>
      </c>
      <c r="AH87" s="287">
        <f t="shared" si="39"/>
        <v>2157919.92</v>
      </c>
      <c r="AI87" s="287">
        <f t="shared" si="40"/>
        <v>2050023.9240000001</v>
      </c>
      <c r="AJ87" s="287">
        <f t="shared" si="41"/>
        <v>0</v>
      </c>
      <c r="AK87" s="287">
        <f t="shared" si="42"/>
        <v>0</v>
      </c>
      <c r="AL87" s="287">
        <f t="shared" si="43"/>
        <v>492.67578082191784</v>
      </c>
      <c r="AM87" s="287">
        <f t="shared" si="44"/>
        <v>468.04199178082195</v>
      </c>
      <c r="AN87" s="287">
        <f t="shared" si="45"/>
        <v>492.67578082191784</v>
      </c>
      <c r="AO87" s="287">
        <f t="shared" si="46"/>
        <v>468.04199178082195</v>
      </c>
      <c r="AP87" s="287">
        <f t="shared" si="47"/>
        <v>1795230</v>
      </c>
      <c r="AQ87" s="287">
        <f t="shared" si="48"/>
        <v>1705468.5</v>
      </c>
      <c r="AR87" s="287">
        <f t="shared" si="49"/>
        <v>33344.230499999998</v>
      </c>
      <c r="AS87" s="289" t="e">
        <f>IF(J87='2027 Avoided Costs'!#REF!,3,5)</f>
        <v>#REF!</v>
      </c>
      <c r="AT87" s="290" cm="1">
        <f t="array" ref="AT87">IFERROR(IF($J87="Baseload",IF($O87=1,0,NPV('2027 Avoided Costs'!$D$6,_xlfn._xlws.FILTER('2027 Avoided Costs'!$C$14:$C$47,('2027 Avoided Costs'!$B$14:$B$47&gt;=$B87+1)*('2027 Avoided Costs'!$B$14:$B$47&lt;$B87+ROUND($O87,0)))))+_xlfn.XLOOKUP($B87,'2027 Avoided Costs'!$B$13:$B$47,'2027 Avoided Costs'!$C$13:$C$47),IF($O87=1,0,NPV('2027 Avoided Costs'!$D$6,_xlfn._xlws.FILTER('2027 Avoided Costs'!$E$14:$E$47,('2027 Avoided Costs'!$B$14:$B$47&gt;=$B87+1)*('2027 Avoided Costs'!$B$14:$B$47&lt;$B87+ROUND($O87,0)))))+_xlfn.XLOOKUP($B87,'2027 Avoided Costs'!$B$13:$B$47,'2027 Avoided Costs'!$E$13:$E$47))*IF($AE87&gt;0,$AE87*(1+$W87),0),0)</f>
        <v>2629899.0285423887</v>
      </c>
      <c r="AU87" s="290" cm="1">
        <f t="array" ref="AU87">IFERROR((IF($O87=1,0,NPV('2027 Avoided Costs'!$D$6,_xlfn._xlws.FILTER('2027 Avoided Costs'!$M$14:$M$47,('2027 Avoided Costs'!$B$14:$B$47&gt;=$B87+1)*('2027 Avoided Costs'!$B$14:$B$47&lt;$B87+ROUND($O87,0)))))+_xlfn.XLOOKUP($B87,'2027 Avoided Costs'!$B$13:$B$47,'2027 Avoided Costs'!$M$13:$M$47))*IF($AK87&gt;0,$AK87*(1+$W87),0),0)</f>
        <v>0</v>
      </c>
      <c r="AV87" s="291" cm="1">
        <f t="array" ref="AV87">IFERROR((IF($O87=1,0,NPV('2027 Avoided Costs'!$D$6,_xlfn._xlws.FILTER('2027 Avoided Costs'!$Q$14:$Q$47,('2027 Avoided Costs'!$B$14:$B$47&gt;=$B87+1)*('2027 Avoided Costs'!$B$14:$B$47&lt;$B87+ROUND($O87,0)))))+_xlfn.XLOOKUP($B87,'2027 Avoided Costs'!$B$13:$B$47,'2027 Avoided Costs'!$Q$13:$Q$47))*IF($AI87&gt;0,$AI87*(1+$W87),0),0)</f>
        <v>1357215.4281984267</v>
      </c>
      <c r="AW87" s="291" cm="1">
        <f t="array" ref="AW87">IFERROR((IF($O87=1,0,NPV('2027 Avoided Costs'!$D$6,_xlfn._xlws.FILTER('2027 Avoided Costs'!$W$14:$W$47,('2027 Avoided Costs'!$B$14:$B$47&gt;=$B87+1)*('2027 Avoided Costs'!$B$14:$B$47&lt;$B87+ROUND($O87,0)))))+_xlfn.XLOOKUP($B87,'2027 Avoided Costs'!$B$13:$B$47,'2027 Avoided Costs'!$W$13:$W$47))*IF($AM87&gt;0,$AM87*(1+$W87),0),0)</f>
        <v>1813905.5692328864</v>
      </c>
      <c r="AX87" s="291" cm="1">
        <f t="array" ref="AX87">IFERROR((IF($O87=1,0,NPV('2027 Avoided Costs'!$D$6,_xlfn._xlws.FILTER('2027 Avoided Costs'!$AC$14:$AC$47,('2027 Avoided Costs'!$B$14:$B$47&gt;=$B87+1)*('2027 Avoided Costs'!$B$14:$B$47&lt;$B87+ROUND($O87,0)))))+_xlfn.XLOOKUP($B87,'2027 Avoided Costs'!$B$13:$B$47,'2027 Avoided Costs'!$AC$13:$AC$47))*IF($AO87&gt;0,$AO87*(1+$W87),0),0)</f>
        <v>114282.83037348157</v>
      </c>
      <c r="AY87" s="291" cm="1">
        <f t="array" ref="AY87">IFERROR((IF($O87=1,0,NPV('2027 Avoided Costs'!$D$4,_xlfn._xlws.FILTER('2027 Avoided Costs'!$I$14:$I$47,('2027 Avoided Costs'!$B$14:$B$47&gt;=$B87+1)*('2027 Avoided Costs'!$B$14:$B$47&lt;$B87+ROUND($O87,0)))))+_xlfn.XLOOKUP($B87,'2027 Avoided Costs'!$B$13:$B$47,'2027 Avoided Costs'!$I$13:$I$47))*IF($X87="Residential",'2027 Avoided Costs'!$J$5,IF($X87="Large Volume",'2027 Avoided Costs'!$J$7,'2027 Avoided Costs'!$J$6))*IF($AE87&gt;0,$AE87,0),0)</f>
        <v>0</v>
      </c>
      <c r="AZ87" s="291" cm="1">
        <f t="array" ref="AZ87">IFERROR(IF($J87="Baseload",IF($O87=1,0,NPV('2027 Avoided Costs'!$D$6,_xlfn._xlws.FILTER('2027 Avoided Costs'!$C$14:$C$47,('2027 Avoided Costs'!$B$14:$B$47&gt;=$B87+1)*('2027 Avoided Costs'!$B$14:$B$47&lt;$B87+ROUND($O87,0)))))+_xlfn.XLOOKUP($B87,'2027 Avoided Costs'!$B$13:$B$47,'2027 Avoided Costs'!$C$13:$C$47),IF($O87=1,0,NPV('2027 Avoided Costs'!$D$6,_xlfn._xlws.FILTER('2027 Avoided Costs'!$E$14:$E$47,('2027 Avoided Costs'!$B$14:$B$47&gt;=$B87+1)*('2027 Avoided Costs'!$B$14:$B$47&lt;$B87+ROUND($O87,0)))))+_xlfn.XLOOKUP($B87,'2027 Avoided Costs'!$B$13:$B$47,'2027 Avoided Costs'!$E$13:$E$47))*IF($AE87&lt;0,$AE87*(-1),0),0)</f>
        <v>0</v>
      </c>
      <c r="BA87" s="291" cm="1">
        <f t="array" ref="BA87">IFERROR((IF($O87=1,0,NPV('2027 Avoided Costs'!$D$6,_xlfn._xlws.FILTER('2027 Avoided Costs'!$M$14:$M$47,('2027 Avoided Costs'!$B$14:$B$47&gt;=$B87+1)*('2027 Avoided Costs'!$B$14:$B$47&lt;$B87+ROUND($O87,0)))))+_xlfn.XLOOKUP($B87,'2027 Avoided Costs'!$B$13:$B$47,'2027 Avoided Costs'!$M$13:$M$47))*IF($AK87&lt;0,$AK87*(-1),0),0)</f>
        <v>0</v>
      </c>
      <c r="BB87" s="291" cm="1">
        <f t="array" ref="BB87">IFERROR((IF($O87=1,0,NPV('2027 Avoided Costs'!$D$6,_xlfn._xlws.FILTER('2027 Avoided Costs'!$S$14:$S$47,('2027 Avoided Costs'!$B$14:$B$47&gt;=$B87+1)*('2027 Avoided Costs'!$B$14:$B$47&lt;$B87+ROUND($O87,0)))))+_xlfn.XLOOKUP($B87,'2027 Avoided Costs'!$B$13:$B$47,'2027 Avoided Costs'!$S$13:$S$47))*IF($AI87&lt;0,$AI87*(-1),0),0)</f>
        <v>0</v>
      </c>
      <c r="BC87" s="291" cm="1">
        <f t="array" ref="BC87">IFERROR((IF($O87=1,0,NPV('2027 Avoided Costs'!$D$6,_xlfn._xlws.FILTER('2027 Avoided Costs'!$Y$14:$Y$47,('2027 Avoided Costs'!$B$14:$B$47&gt;=$B87+1)*('2027 Avoided Costs'!$B$14:$B$47&lt;$B87+ROUND($O87,0)))))+_xlfn.XLOOKUP($B87,'2027 Avoided Costs'!$B$13:$B$47,'2027 Avoided Costs'!$Y$13:$Y$47))*IF($AM87&lt;0,$AM87*(-1),0),0)</f>
        <v>0</v>
      </c>
      <c r="BD87" s="291" cm="1">
        <f t="array" ref="BD87">IFERROR((IF($O87=1,0,NPV('2027 Avoided Costs'!$D$6,_xlfn._xlws.FILTER('2027 Avoided Costs'!$AE$14:$AE$47,('2027 Avoided Costs'!$B$14:$B$47&gt;=$B87+1)*('2027 Avoided Costs'!$B$14:$B$47&lt;$B87+ROUND($O87,0)))))+_xlfn.XLOOKUP($B87,'2027 Avoided Costs'!$B$13:$B$47,'2027 Avoided Costs'!$AE$13:$AE$47))*IF($AO87&lt;0,$AO87*(-1),0),0)</f>
        <v>0</v>
      </c>
      <c r="BE87" s="291" cm="1">
        <f t="array" ref="BE87">IFERROR((IF($O87=1,0,NPV('2027 Avoided Costs'!$D$4,_xlfn._xlws.FILTER('2027 Avoided Costs'!$I$14:$I$47,('2027 Avoided Costs'!$B$14:$B$47&gt;=$B87+1)*('2027 Avoided Costs'!$B$14:$B$47&lt;$B87+ROUND($O87,0)))))+_xlfn.XLOOKUP($B87,'2027 Avoided Costs'!$B$13:$B$47,'2027 Avoided Costs'!$I$13:$I$47))*IF($X87="Residential",'2027 Avoided Costs'!$J$5,IF($X87="Large Volume",'2027 Avoided Costs'!$J$7,'2027 Avoided Costs'!$J$6))*IF($AE87&lt;0,$AE87*(-1),0),0)</f>
        <v>0</v>
      </c>
      <c r="BF87" s="291">
        <f t="shared" si="50"/>
        <v>5915302.8563471837</v>
      </c>
      <c r="BG87" s="291">
        <f t="shared" si="51"/>
        <v>1705468.5</v>
      </c>
      <c r="BH87" s="291">
        <f t="shared" si="52"/>
        <v>4209834.3563471837</v>
      </c>
      <c r="BI87" s="292">
        <f t="shared" si="56"/>
        <v>3.4684327833361821</v>
      </c>
      <c r="BJ87" s="196" cm="1">
        <f t="array" ref="BJ87">IFERROR(IF($J87="Baseload",IF($O87=1,0,NPV('2027 Avoided Costs'!$D$6,_xlfn._xlws.FILTER('2027 Avoided Costs'!$C$14:$C$47,('2027 Avoided Costs'!$B$14:$B$47&gt;=$B87+1)*('2027 Avoided Costs'!$B$14:$B$47&lt;$B87+ROUND($O87,0)))))+_xlfn.XLOOKUP($B87,'2027 Avoided Costs'!$B$13:$B$47,'2027 Avoided Costs'!$C$13:$C$47),IF($O87=1,0,NPV('2027 Avoided Costs'!$D$6,_xlfn._xlws.FILTER('2027 Avoided Costs'!$E$14:$E$47,('2027 Avoided Costs'!$B$14:$B$47&gt;=$B87+1)*('2027 Avoided Costs'!$B$14:$B$47&lt;$B87+ROUND($O87,0)))))+_xlfn.XLOOKUP($B87,'2027 Avoided Costs'!$B$13:$B$47,'2027 Avoided Costs'!$E$13:$E$47))*IF($AE87&gt;0,$AE87*(1+0),0),0)</f>
        <v>2286868.7204716424</v>
      </c>
      <c r="BK87" s="293">
        <f t="shared" si="53"/>
        <v>1.2624659636152886</v>
      </c>
    </row>
    <row r="88" spans="1:63" s="56" customFormat="1" x14ac:dyDescent="0.25">
      <c r="A88" s="270" t="s">
        <v>133</v>
      </c>
      <c r="B88" s="271">
        <v>2027</v>
      </c>
      <c r="C88" s="272" t="s">
        <v>13</v>
      </c>
      <c r="D88" s="272" t="s">
        <v>164</v>
      </c>
      <c r="E88" s="272" t="s">
        <v>86</v>
      </c>
      <c r="F88" s="273">
        <v>1415</v>
      </c>
      <c r="G88" s="274">
        <v>1825.4605597964376</v>
      </c>
      <c r="H88" s="275">
        <f t="shared" si="30"/>
        <v>0.7194592166945768</v>
      </c>
      <c r="I88" s="274">
        <v>200</v>
      </c>
      <c r="J88" s="276" t="s">
        <v>264</v>
      </c>
      <c r="K88" s="277">
        <f t="shared" si="54"/>
        <v>0.95</v>
      </c>
      <c r="L88" s="278">
        <v>4.9999999999999996E-2</v>
      </c>
      <c r="M88" s="278">
        <v>0</v>
      </c>
      <c r="N88" s="278">
        <v>1</v>
      </c>
      <c r="O88" s="279">
        <v>10</v>
      </c>
      <c r="P88" s="280">
        <v>2537.2675996607295</v>
      </c>
      <c r="Q88" s="281">
        <v>472.51145038167937</v>
      </c>
      <c r="R88" s="282">
        <v>0.28794317428498734</v>
      </c>
      <c r="S88" s="282">
        <v>8.5049071186538983E-2</v>
      </c>
      <c r="T88" s="281">
        <v>0</v>
      </c>
      <c r="U88" s="283">
        <v>0.05</v>
      </c>
      <c r="V88" s="284">
        <v>1825.4605597964376</v>
      </c>
      <c r="W88" s="285">
        <v>0.15</v>
      </c>
      <c r="X88" s="286" t="s">
        <v>255</v>
      </c>
      <c r="Y88" s="287">
        <f t="shared" si="31"/>
        <v>1415</v>
      </c>
      <c r="Z88" s="288">
        <f t="shared" si="32"/>
        <v>2583026.6921119592</v>
      </c>
      <c r="AA88" s="288">
        <f t="shared" si="33"/>
        <v>283000</v>
      </c>
      <c r="AB88" s="288">
        <f t="shared" si="34"/>
        <v>2583026.6921119592</v>
      </c>
      <c r="AC88" s="288">
        <f t="shared" si="55"/>
        <v>283000</v>
      </c>
      <c r="AD88" s="287">
        <f t="shared" si="35"/>
        <v>3590233.6535199322</v>
      </c>
      <c r="AE88" s="287">
        <f t="shared" si="36"/>
        <v>3410721.9708439354</v>
      </c>
      <c r="AF88" s="287">
        <f t="shared" si="37"/>
        <v>35902336.535199322</v>
      </c>
      <c r="AG88" s="287">
        <f t="shared" si="38"/>
        <v>34107219.70843935</v>
      </c>
      <c r="AH88" s="287">
        <f t="shared" si="39"/>
        <v>716743.16885496187</v>
      </c>
      <c r="AI88" s="287">
        <f t="shared" si="40"/>
        <v>680906.01041221374</v>
      </c>
      <c r="AJ88" s="287">
        <f t="shared" si="41"/>
        <v>0</v>
      </c>
      <c r="AK88" s="287">
        <f t="shared" si="42"/>
        <v>0</v>
      </c>
      <c r="AL88" s="287">
        <f t="shared" si="43"/>
        <v>436.77524220941166</v>
      </c>
      <c r="AM88" s="287">
        <f t="shared" si="44"/>
        <v>414.93648009894099</v>
      </c>
      <c r="AN88" s="287">
        <f t="shared" si="45"/>
        <v>129.00923510143727</v>
      </c>
      <c r="AO88" s="287">
        <f t="shared" si="46"/>
        <v>122.5587733463654</v>
      </c>
      <c r="AP88" s="287">
        <f t="shared" si="47"/>
        <v>2583026.6921119592</v>
      </c>
      <c r="AQ88" s="287">
        <f t="shared" si="48"/>
        <v>2453875.3575063613</v>
      </c>
      <c r="AR88" s="287">
        <f t="shared" si="49"/>
        <v>170536.09854219679</v>
      </c>
      <c r="AS88" s="289" t="e">
        <f>IF(J88='2027 Avoided Costs'!#REF!,3,5)</f>
        <v>#REF!</v>
      </c>
      <c r="AT88" s="290" cm="1">
        <f t="array" ref="AT88">IFERROR(IF($J88="Baseload",IF($O88=1,0,NPV('2027 Avoided Costs'!$D$6,_xlfn._xlws.FILTER('2027 Avoided Costs'!$C$14:$C$47,('2027 Avoided Costs'!$B$14:$B$47&gt;=$B88+1)*('2027 Avoided Costs'!$B$14:$B$47&lt;$B88+ROUND($O88,0)))))+_xlfn.XLOOKUP($B88,'2027 Avoided Costs'!$B$13:$B$47,'2027 Avoided Costs'!$C$13:$C$47),IF($O88=1,0,NPV('2027 Avoided Costs'!$D$6,_xlfn._xlws.FILTER('2027 Avoided Costs'!$E$14:$E$47,('2027 Avoided Costs'!$B$14:$B$47&gt;=$B88+1)*('2027 Avoided Costs'!$B$14:$B$47&lt;$B88+ROUND($O88,0)))))+_xlfn.XLOOKUP($B88,'2027 Avoided Costs'!$B$13:$B$47,'2027 Avoided Costs'!$E$13:$E$47))*IF($AE88&gt;0,$AE88*(1+$W88),0),0)</f>
        <v>9624955.9461933821</v>
      </c>
      <c r="AU88" s="290" cm="1">
        <f t="array" ref="AU88">IFERROR((IF($O88=1,0,NPV('2027 Avoided Costs'!$D$6,_xlfn._xlws.FILTER('2027 Avoided Costs'!$M$14:$M$47,('2027 Avoided Costs'!$B$14:$B$47&gt;=$B88+1)*('2027 Avoided Costs'!$B$14:$B$47&lt;$B88+ROUND($O88,0)))))+_xlfn.XLOOKUP($B88,'2027 Avoided Costs'!$B$13:$B$47,'2027 Avoided Costs'!$M$13:$M$47))*IF($AK88&gt;0,$AK88*(1+$W88),0),0)</f>
        <v>0</v>
      </c>
      <c r="AV88" s="291" cm="1">
        <f t="array" ref="AV88">IFERROR((IF($O88=1,0,NPV('2027 Avoided Costs'!$D$6,_xlfn._xlws.FILTER('2027 Avoided Costs'!$Q$14:$Q$47,('2027 Avoided Costs'!$B$14:$B$47&gt;=$B88+1)*('2027 Avoided Costs'!$B$14:$B$47&lt;$B88+ROUND($O88,0)))))+_xlfn.XLOOKUP($B88,'2027 Avoided Costs'!$B$13:$B$47,'2027 Avoided Costs'!$Q$13:$Q$47))*IF($AI88&gt;0,$AI88*(1+$W88),0),0)</f>
        <v>347863.37244542933</v>
      </c>
      <c r="AW88" s="291" cm="1">
        <f t="array" ref="AW88">IFERROR((IF($O88=1,0,NPV('2027 Avoided Costs'!$D$6,_xlfn._xlws.FILTER('2027 Avoided Costs'!$W$14:$W$47,('2027 Avoided Costs'!$B$14:$B$47&gt;=$B88+1)*('2027 Avoided Costs'!$B$14:$B$47&lt;$B88+ROUND($O88,0)))))+_xlfn.XLOOKUP($B88,'2027 Avoided Costs'!$B$13:$B$47,'2027 Avoided Costs'!$W$13:$W$47))*IF($AM88&gt;0,$AM88*(1+$W88),0),0)</f>
        <v>1199251.6603081864</v>
      </c>
      <c r="AX88" s="291" cm="1">
        <f t="array" ref="AX88">IFERROR((IF($O88=1,0,NPV('2027 Avoided Costs'!$D$6,_xlfn._xlws.FILTER('2027 Avoided Costs'!$AC$14:$AC$47,('2027 Avoided Costs'!$B$14:$B$47&gt;=$B88+1)*('2027 Avoided Costs'!$B$14:$B$47&lt;$B88+ROUND($O88,0)))))+_xlfn.XLOOKUP($B88,'2027 Avoided Costs'!$B$13:$B$47,'2027 Avoided Costs'!$AC$13:$AC$47))*IF($AO88&gt;0,$AO88*(1+$W88),0),0)</f>
        <v>0</v>
      </c>
      <c r="AY88" s="291" cm="1">
        <f t="array" ref="AY88">IFERROR((IF($O88=1,0,NPV('2027 Avoided Costs'!$D$4,_xlfn._xlws.FILTER('2027 Avoided Costs'!$I$14:$I$47,('2027 Avoided Costs'!$B$14:$B$47&gt;=$B88+1)*('2027 Avoided Costs'!$B$14:$B$47&lt;$B88+ROUND($O88,0)))))+_xlfn.XLOOKUP($B88,'2027 Avoided Costs'!$B$13:$B$47,'2027 Avoided Costs'!$I$13:$I$47))*IF($X88="Residential",'2027 Avoided Costs'!$J$5,IF($X88="Large Volume",'2027 Avoided Costs'!$J$7,'2027 Avoided Costs'!$J$6))*IF($AE88&gt;0,$AE88,0),0)</f>
        <v>0</v>
      </c>
      <c r="AZ88" s="291" cm="1">
        <f t="array" ref="AZ88">IFERROR(IF($J88="Baseload",IF($O88=1,0,NPV('2027 Avoided Costs'!$D$6,_xlfn._xlws.FILTER('2027 Avoided Costs'!$C$14:$C$47,('2027 Avoided Costs'!$B$14:$B$47&gt;=$B88+1)*('2027 Avoided Costs'!$B$14:$B$47&lt;$B88+ROUND($O88,0)))))+_xlfn.XLOOKUP($B88,'2027 Avoided Costs'!$B$13:$B$47,'2027 Avoided Costs'!$C$13:$C$47),IF($O88=1,0,NPV('2027 Avoided Costs'!$D$6,_xlfn._xlws.FILTER('2027 Avoided Costs'!$E$14:$E$47,('2027 Avoided Costs'!$B$14:$B$47&gt;=$B88+1)*('2027 Avoided Costs'!$B$14:$B$47&lt;$B88+ROUND($O88,0)))))+_xlfn.XLOOKUP($B88,'2027 Avoided Costs'!$B$13:$B$47,'2027 Avoided Costs'!$E$13:$E$47))*IF($AE88&lt;0,$AE88*(-1),0),0)</f>
        <v>0</v>
      </c>
      <c r="BA88" s="291" cm="1">
        <f t="array" ref="BA88">IFERROR((IF($O88=1,0,NPV('2027 Avoided Costs'!$D$6,_xlfn._xlws.FILTER('2027 Avoided Costs'!$M$14:$M$47,('2027 Avoided Costs'!$B$14:$B$47&gt;=$B88+1)*('2027 Avoided Costs'!$B$14:$B$47&lt;$B88+ROUND($O88,0)))))+_xlfn.XLOOKUP($B88,'2027 Avoided Costs'!$B$13:$B$47,'2027 Avoided Costs'!$M$13:$M$47))*IF($AK88&lt;0,$AK88*(-1),0),0)</f>
        <v>0</v>
      </c>
      <c r="BB88" s="291" cm="1">
        <f t="array" ref="BB88">IFERROR((IF($O88=1,0,NPV('2027 Avoided Costs'!$D$6,_xlfn._xlws.FILTER('2027 Avoided Costs'!$S$14:$S$47,('2027 Avoided Costs'!$B$14:$B$47&gt;=$B88+1)*('2027 Avoided Costs'!$B$14:$B$47&lt;$B88+ROUND($O88,0)))))+_xlfn.XLOOKUP($B88,'2027 Avoided Costs'!$B$13:$B$47,'2027 Avoided Costs'!$S$13:$S$47))*IF($AI88&lt;0,$AI88*(-1),0),0)</f>
        <v>0</v>
      </c>
      <c r="BC88" s="291" cm="1">
        <f t="array" ref="BC88">IFERROR((IF($O88=1,0,NPV('2027 Avoided Costs'!$D$6,_xlfn._xlws.FILTER('2027 Avoided Costs'!$Y$14:$Y$47,('2027 Avoided Costs'!$B$14:$B$47&gt;=$B88+1)*('2027 Avoided Costs'!$B$14:$B$47&lt;$B88+ROUND($O88,0)))))+_xlfn.XLOOKUP($B88,'2027 Avoided Costs'!$B$13:$B$47,'2027 Avoided Costs'!$Y$13:$Y$47))*IF($AM88&lt;0,$AM88*(-1),0),0)</f>
        <v>0</v>
      </c>
      <c r="BD88" s="291" cm="1">
        <f t="array" ref="BD88">IFERROR((IF($O88=1,0,NPV('2027 Avoided Costs'!$D$6,_xlfn._xlws.FILTER('2027 Avoided Costs'!$AE$14:$AE$47,('2027 Avoided Costs'!$B$14:$B$47&gt;=$B88+1)*('2027 Avoided Costs'!$B$14:$B$47&lt;$B88+ROUND($O88,0)))))+_xlfn.XLOOKUP($B88,'2027 Avoided Costs'!$B$13:$B$47,'2027 Avoided Costs'!$AE$13:$AE$47))*IF($AO88&lt;0,$AO88*(-1),0),0)</f>
        <v>0</v>
      </c>
      <c r="BE88" s="291" cm="1">
        <f t="array" ref="BE88">IFERROR((IF($O88=1,0,NPV('2027 Avoided Costs'!$D$4,_xlfn._xlws.FILTER('2027 Avoided Costs'!$I$14:$I$47,('2027 Avoided Costs'!$B$14:$B$47&gt;=$B88+1)*('2027 Avoided Costs'!$B$14:$B$47&lt;$B88+ROUND($O88,0)))))+_xlfn.XLOOKUP($B88,'2027 Avoided Costs'!$B$13:$B$47,'2027 Avoided Costs'!$I$13:$I$47))*IF($X88="Residential",'2027 Avoided Costs'!$J$5,IF($X88="Large Volume",'2027 Avoided Costs'!$J$7,'2027 Avoided Costs'!$J$6))*IF($AE88&lt;0,$AE88*(-1),0),0)</f>
        <v>0</v>
      </c>
      <c r="BF88" s="291">
        <f t="shared" si="50"/>
        <v>11172070.978946997</v>
      </c>
      <c r="BG88" s="291">
        <f t="shared" si="51"/>
        <v>2453875.3575063613</v>
      </c>
      <c r="BH88" s="291">
        <f t="shared" si="52"/>
        <v>8718195.621440636</v>
      </c>
      <c r="BI88" s="292">
        <f t="shared" si="56"/>
        <v>4.5528274061564815</v>
      </c>
      <c r="BJ88" s="196" cm="1">
        <f t="array" ref="BJ88">IFERROR(IF($J88="Baseload",IF($O88=1,0,NPV('2027 Avoided Costs'!$D$6,_xlfn._xlws.FILTER('2027 Avoided Costs'!$C$14:$C$47,('2027 Avoided Costs'!$B$14:$B$47&gt;=$B88+1)*('2027 Avoided Costs'!$B$14:$B$47&lt;$B88+ROUND($O88,0)))))+_xlfn.XLOOKUP($B88,'2027 Avoided Costs'!$B$13:$B$47,'2027 Avoided Costs'!$C$13:$C$47),IF($O88=1,0,NPV('2027 Avoided Costs'!$D$6,_xlfn._xlws.FILTER('2027 Avoided Costs'!$E$14:$E$47,('2027 Avoided Costs'!$B$14:$B$47&gt;=$B88+1)*('2027 Avoided Costs'!$B$14:$B$47&lt;$B88+ROUND($O88,0)))))+_xlfn.XLOOKUP($B88,'2027 Avoided Costs'!$B$13:$B$47,'2027 Avoided Costs'!$E$13:$E$47))*IF($AE88&gt;0,$AE88*(1+0),0),0)</f>
        <v>8369526.9097333774</v>
      </c>
      <c r="BK88" s="293">
        <f t="shared" si="53"/>
        <v>2.9202543482126186</v>
      </c>
    </row>
    <row r="89" spans="1:63" s="56" customFormat="1" x14ac:dyDescent="0.25">
      <c r="A89" s="270" t="s">
        <v>133</v>
      </c>
      <c r="B89" s="271">
        <v>2027</v>
      </c>
      <c r="C89" s="272" t="s">
        <v>13</v>
      </c>
      <c r="D89" s="272" t="s">
        <v>164</v>
      </c>
      <c r="E89" s="272" t="s">
        <v>83</v>
      </c>
      <c r="F89" s="273">
        <v>626</v>
      </c>
      <c r="G89" s="274">
        <v>570</v>
      </c>
      <c r="H89" s="275">
        <f t="shared" si="30"/>
        <v>1.5</v>
      </c>
      <c r="I89" s="274">
        <v>200</v>
      </c>
      <c r="J89" s="276" t="s">
        <v>264</v>
      </c>
      <c r="K89" s="277">
        <f t="shared" si="54"/>
        <v>0.97</v>
      </c>
      <c r="L89" s="278">
        <v>0.03</v>
      </c>
      <c r="M89" s="278">
        <v>0</v>
      </c>
      <c r="N89" s="278">
        <v>1</v>
      </c>
      <c r="O89" s="279">
        <v>10</v>
      </c>
      <c r="P89" s="280">
        <v>380</v>
      </c>
      <c r="Q89" s="281">
        <v>995</v>
      </c>
      <c r="R89" s="282">
        <v>0.60634183189028379</v>
      </c>
      <c r="S89" s="282">
        <v>0.17909370399860136</v>
      </c>
      <c r="T89" s="281">
        <v>0</v>
      </c>
      <c r="U89" s="283">
        <v>0.05</v>
      </c>
      <c r="V89" s="284">
        <v>235</v>
      </c>
      <c r="W89" s="285">
        <v>0.15</v>
      </c>
      <c r="X89" s="286" t="s">
        <v>255</v>
      </c>
      <c r="Y89" s="287">
        <f t="shared" si="31"/>
        <v>626</v>
      </c>
      <c r="Z89" s="288">
        <f t="shared" si="32"/>
        <v>356820</v>
      </c>
      <c r="AA89" s="288">
        <f t="shared" si="33"/>
        <v>125200</v>
      </c>
      <c r="AB89" s="288">
        <f t="shared" si="34"/>
        <v>356820</v>
      </c>
      <c r="AC89" s="288">
        <f t="shared" si="55"/>
        <v>125200</v>
      </c>
      <c r="AD89" s="287">
        <f t="shared" si="35"/>
        <v>237880</v>
      </c>
      <c r="AE89" s="287">
        <f t="shared" si="36"/>
        <v>230743.6</v>
      </c>
      <c r="AF89" s="287">
        <f t="shared" si="37"/>
        <v>2378800</v>
      </c>
      <c r="AG89" s="287">
        <f t="shared" si="38"/>
        <v>2307436</v>
      </c>
      <c r="AH89" s="287">
        <f t="shared" si="39"/>
        <v>667716.64</v>
      </c>
      <c r="AI89" s="287">
        <f t="shared" si="40"/>
        <v>647685.14080000005</v>
      </c>
      <c r="AJ89" s="287">
        <f t="shared" si="41"/>
        <v>0</v>
      </c>
      <c r="AK89" s="287">
        <f t="shared" si="42"/>
        <v>0</v>
      </c>
      <c r="AL89" s="287">
        <f t="shared" si="43"/>
        <v>406.89902581027656</v>
      </c>
      <c r="AM89" s="287">
        <f t="shared" si="44"/>
        <v>394.69205503596822</v>
      </c>
      <c r="AN89" s="287">
        <f t="shared" si="45"/>
        <v>120.18477012974942</v>
      </c>
      <c r="AO89" s="287">
        <f t="shared" si="46"/>
        <v>116.57922702585694</v>
      </c>
      <c r="AP89" s="287">
        <f t="shared" si="47"/>
        <v>147110</v>
      </c>
      <c r="AQ89" s="287">
        <f t="shared" si="48"/>
        <v>142696.69999999998</v>
      </c>
      <c r="AR89" s="287">
        <f t="shared" si="49"/>
        <v>11537.18</v>
      </c>
      <c r="AS89" s="289" t="e">
        <f>IF(J89='2027 Avoided Costs'!#REF!,3,5)</f>
        <v>#REF!</v>
      </c>
      <c r="AT89" s="290" cm="1">
        <f t="array" ref="AT89">IFERROR(IF($J89="Baseload",IF($O89=1,0,NPV('2027 Avoided Costs'!$D$6,_xlfn._xlws.FILTER('2027 Avoided Costs'!$C$14:$C$47,('2027 Avoided Costs'!$B$14:$B$47&gt;=$B89+1)*('2027 Avoided Costs'!$B$14:$B$47&lt;$B89+ROUND($O89,0)))))+_xlfn.XLOOKUP($B89,'2027 Avoided Costs'!$B$13:$B$47,'2027 Avoided Costs'!$C$13:$C$47),IF($O89=1,0,NPV('2027 Avoided Costs'!$D$6,_xlfn._xlws.FILTER('2027 Avoided Costs'!$E$14:$E$47,('2027 Avoided Costs'!$B$14:$B$47&gt;=$B89+1)*('2027 Avoided Costs'!$B$14:$B$47&lt;$B89+ROUND($O89,0)))))+_xlfn.XLOOKUP($B89,'2027 Avoided Costs'!$B$13:$B$47,'2027 Avoided Costs'!$E$13:$E$47))*IF($AE89&gt;0,$AE89*(1+$W89),0),0)</f>
        <v>651151.57548785419</v>
      </c>
      <c r="AU89" s="290" cm="1">
        <f t="array" ref="AU89">IFERROR((IF($O89=1,0,NPV('2027 Avoided Costs'!$D$6,_xlfn._xlws.FILTER('2027 Avoided Costs'!$M$14:$M$47,('2027 Avoided Costs'!$B$14:$B$47&gt;=$B89+1)*('2027 Avoided Costs'!$B$14:$B$47&lt;$B89+ROUND($O89,0)))))+_xlfn.XLOOKUP($B89,'2027 Avoided Costs'!$B$13:$B$47,'2027 Avoided Costs'!$M$13:$M$47))*IF($AK89&gt;0,$AK89*(1+$W89),0),0)</f>
        <v>0</v>
      </c>
      <c r="AV89" s="291" cm="1">
        <f t="array" ref="AV89">IFERROR((IF($O89=1,0,NPV('2027 Avoided Costs'!$D$6,_xlfn._xlws.FILTER('2027 Avoided Costs'!$Q$14:$Q$47,('2027 Avoided Costs'!$B$14:$B$47&gt;=$B89+1)*('2027 Avoided Costs'!$B$14:$B$47&lt;$B89+ROUND($O89,0)))))+_xlfn.XLOOKUP($B89,'2027 Avoided Costs'!$B$13:$B$47,'2027 Avoided Costs'!$Q$13:$Q$47))*IF($AI89&gt;0,$AI89*(1+$W89),0),0)</f>
        <v>330891.39164021</v>
      </c>
      <c r="AW89" s="291" cm="1">
        <f t="array" ref="AW89">IFERROR((IF($O89=1,0,NPV('2027 Avoided Costs'!$D$6,_xlfn._xlws.FILTER('2027 Avoided Costs'!$W$14:$W$47,('2027 Avoided Costs'!$B$14:$B$47&gt;=$B89+1)*('2027 Avoided Costs'!$B$14:$B$47&lt;$B89+ROUND($O89,0)))))+_xlfn.XLOOKUP($B89,'2027 Avoided Costs'!$B$13:$B$47,'2027 Avoided Costs'!$W$13:$W$47))*IF($AM89&gt;0,$AM89*(1+$W89),0),0)</f>
        <v>1140741.1134337212</v>
      </c>
      <c r="AX89" s="291" cm="1">
        <f t="array" ref="AX89">IFERROR((IF($O89=1,0,NPV('2027 Avoided Costs'!$D$6,_xlfn._xlws.FILTER('2027 Avoided Costs'!$AC$14:$AC$47,('2027 Avoided Costs'!$B$14:$B$47&gt;=$B89+1)*('2027 Avoided Costs'!$B$14:$B$47&lt;$B89+ROUND($O89,0)))))+_xlfn.XLOOKUP($B89,'2027 Avoided Costs'!$B$13:$B$47,'2027 Avoided Costs'!$AC$13:$AC$47))*IF($AO89&gt;0,$AO89*(1+$W89),0),0)</f>
        <v>0</v>
      </c>
      <c r="AY89" s="291" cm="1">
        <f t="array" ref="AY89">IFERROR((IF($O89=1,0,NPV('2027 Avoided Costs'!$D$4,_xlfn._xlws.FILTER('2027 Avoided Costs'!$I$14:$I$47,('2027 Avoided Costs'!$B$14:$B$47&gt;=$B89+1)*('2027 Avoided Costs'!$B$14:$B$47&lt;$B89+ROUND($O89,0)))))+_xlfn.XLOOKUP($B89,'2027 Avoided Costs'!$B$13:$B$47,'2027 Avoided Costs'!$I$13:$I$47))*IF($X89="Residential",'2027 Avoided Costs'!$J$5,IF($X89="Large Volume",'2027 Avoided Costs'!$J$7,'2027 Avoided Costs'!$J$6))*IF($AE89&gt;0,$AE89,0),0)</f>
        <v>0</v>
      </c>
      <c r="AZ89" s="291" cm="1">
        <f t="array" ref="AZ89">IFERROR(IF($J89="Baseload",IF($O89=1,0,NPV('2027 Avoided Costs'!$D$6,_xlfn._xlws.FILTER('2027 Avoided Costs'!$C$14:$C$47,('2027 Avoided Costs'!$B$14:$B$47&gt;=$B89+1)*('2027 Avoided Costs'!$B$14:$B$47&lt;$B89+ROUND($O89,0)))))+_xlfn.XLOOKUP($B89,'2027 Avoided Costs'!$B$13:$B$47,'2027 Avoided Costs'!$C$13:$C$47),IF($O89=1,0,NPV('2027 Avoided Costs'!$D$6,_xlfn._xlws.FILTER('2027 Avoided Costs'!$E$14:$E$47,('2027 Avoided Costs'!$B$14:$B$47&gt;=$B89+1)*('2027 Avoided Costs'!$B$14:$B$47&lt;$B89+ROUND($O89,0)))))+_xlfn.XLOOKUP($B89,'2027 Avoided Costs'!$B$13:$B$47,'2027 Avoided Costs'!$E$13:$E$47))*IF($AE89&lt;0,$AE89*(-1),0),0)</f>
        <v>0</v>
      </c>
      <c r="BA89" s="291" cm="1">
        <f t="array" ref="BA89">IFERROR((IF($O89=1,0,NPV('2027 Avoided Costs'!$D$6,_xlfn._xlws.FILTER('2027 Avoided Costs'!$M$14:$M$47,('2027 Avoided Costs'!$B$14:$B$47&gt;=$B89+1)*('2027 Avoided Costs'!$B$14:$B$47&lt;$B89+ROUND($O89,0)))))+_xlfn.XLOOKUP($B89,'2027 Avoided Costs'!$B$13:$B$47,'2027 Avoided Costs'!$M$13:$M$47))*IF($AK89&lt;0,$AK89*(-1),0),0)</f>
        <v>0</v>
      </c>
      <c r="BB89" s="291" cm="1">
        <f t="array" ref="BB89">IFERROR((IF($O89=1,0,NPV('2027 Avoided Costs'!$D$6,_xlfn._xlws.FILTER('2027 Avoided Costs'!$S$14:$S$47,('2027 Avoided Costs'!$B$14:$B$47&gt;=$B89+1)*('2027 Avoided Costs'!$B$14:$B$47&lt;$B89+ROUND($O89,0)))))+_xlfn.XLOOKUP($B89,'2027 Avoided Costs'!$B$13:$B$47,'2027 Avoided Costs'!$S$13:$S$47))*IF($AI89&lt;0,$AI89*(-1),0),0)</f>
        <v>0</v>
      </c>
      <c r="BC89" s="291" cm="1">
        <f t="array" ref="BC89">IFERROR((IF($O89=1,0,NPV('2027 Avoided Costs'!$D$6,_xlfn._xlws.FILTER('2027 Avoided Costs'!$Y$14:$Y$47,('2027 Avoided Costs'!$B$14:$B$47&gt;=$B89+1)*('2027 Avoided Costs'!$B$14:$B$47&lt;$B89+ROUND($O89,0)))))+_xlfn.XLOOKUP($B89,'2027 Avoided Costs'!$B$13:$B$47,'2027 Avoided Costs'!$Y$13:$Y$47))*IF($AM89&lt;0,$AM89*(-1),0),0)</f>
        <v>0</v>
      </c>
      <c r="BD89" s="291" cm="1">
        <f t="array" ref="BD89">IFERROR((IF($O89=1,0,NPV('2027 Avoided Costs'!$D$6,_xlfn._xlws.FILTER('2027 Avoided Costs'!$AE$14:$AE$47,('2027 Avoided Costs'!$B$14:$B$47&gt;=$B89+1)*('2027 Avoided Costs'!$B$14:$B$47&lt;$B89+ROUND($O89,0)))))+_xlfn.XLOOKUP($B89,'2027 Avoided Costs'!$B$13:$B$47,'2027 Avoided Costs'!$AE$13:$AE$47))*IF($AO89&lt;0,$AO89*(-1),0),0)</f>
        <v>0</v>
      </c>
      <c r="BE89" s="291" cm="1">
        <f t="array" ref="BE89">IFERROR((IF($O89=1,0,NPV('2027 Avoided Costs'!$D$4,_xlfn._xlws.FILTER('2027 Avoided Costs'!$I$14:$I$47,('2027 Avoided Costs'!$B$14:$B$47&gt;=$B89+1)*('2027 Avoided Costs'!$B$14:$B$47&lt;$B89+ROUND($O89,0)))))+_xlfn.XLOOKUP($B89,'2027 Avoided Costs'!$B$13:$B$47,'2027 Avoided Costs'!$I$13:$I$47))*IF($X89="Residential",'2027 Avoided Costs'!$J$5,IF($X89="Large Volume",'2027 Avoided Costs'!$J$7,'2027 Avoided Costs'!$J$6))*IF($AE89&lt;0,$AE89*(-1),0),0)</f>
        <v>0</v>
      </c>
      <c r="BF89" s="291">
        <f t="shared" si="50"/>
        <v>2122784.0805617855</v>
      </c>
      <c r="BG89" s="291">
        <f t="shared" si="51"/>
        <v>142696.69999999998</v>
      </c>
      <c r="BH89" s="291">
        <f t="shared" si="52"/>
        <v>1980087.3805617855</v>
      </c>
      <c r="BI89" s="292">
        <f t="shared" si="56"/>
        <v>14.876196019682205</v>
      </c>
      <c r="BJ89" s="196" cm="1">
        <f t="array" ref="BJ89">IFERROR(IF($J89="Baseload",IF($O89=1,0,NPV('2027 Avoided Costs'!$D$6,_xlfn._xlws.FILTER('2027 Avoided Costs'!$C$14:$C$47,('2027 Avoided Costs'!$B$14:$B$47&gt;=$B89+1)*('2027 Avoided Costs'!$B$14:$B$47&lt;$B89+ROUND($O89,0)))))+_xlfn.XLOOKUP($B89,'2027 Avoided Costs'!$B$13:$B$47,'2027 Avoided Costs'!$C$13:$C$47),IF($O89=1,0,NPV('2027 Avoided Costs'!$D$6,_xlfn._xlws.FILTER('2027 Avoided Costs'!$E$14:$E$47,('2027 Avoided Costs'!$B$14:$B$47&gt;=$B89+1)*('2027 Avoided Costs'!$B$14:$B$47&lt;$B89+ROUND($O89,0)))))+_xlfn.XLOOKUP($B89,'2027 Avoided Costs'!$B$13:$B$47,'2027 Avoided Costs'!$E$13:$E$47))*IF($AE89&gt;0,$AE89*(1+0),0),0)</f>
        <v>566218.76129378623</v>
      </c>
      <c r="BK89" s="293">
        <f t="shared" si="53"/>
        <v>1.174678978660193</v>
      </c>
    </row>
    <row r="90" spans="1:63" s="56" customFormat="1" x14ac:dyDescent="0.25">
      <c r="A90" s="270" t="s">
        <v>133</v>
      </c>
      <c r="B90" s="271">
        <v>2028</v>
      </c>
      <c r="C90" s="272" t="s">
        <v>13</v>
      </c>
      <c r="D90" s="272" t="s">
        <v>164</v>
      </c>
      <c r="E90" s="272" t="s">
        <v>84</v>
      </c>
      <c r="F90" s="273">
        <v>428</v>
      </c>
      <c r="G90" s="274">
        <v>12016.046296296296</v>
      </c>
      <c r="H90" s="275">
        <f t="shared" si="30"/>
        <v>2.5829978692849611</v>
      </c>
      <c r="I90" s="274">
        <v>200</v>
      </c>
      <c r="J90" s="276" t="s">
        <v>264</v>
      </c>
      <c r="K90" s="277">
        <f t="shared" si="54"/>
        <v>0.95</v>
      </c>
      <c r="L90" s="278">
        <v>5.000000000000001E-2</v>
      </c>
      <c r="M90" s="278">
        <v>0</v>
      </c>
      <c r="N90" s="278">
        <v>1</v>
      </c>
      <c r="O90" s="279">
        <v>15</v>
      </c>
      <c r="P90" s="280">
        <v>4651.9768518518522</v>
      </c>
      <c r="Q90" s="281">
        <v>173.31481481481481</v>
      </c>
      <c r="R90" s="282">
        <v>0.10561610282265338</v>
      </c>
      <c r="S90" s="282">
        <v>3.1195569992981759E-2</v>
      </c>
      <c r="T90" s="281">
        <v>0</v>
      </c>
      <c r="U90" s="283">
        <v>0.05</v>
      </c>
      <c r="V90" s="284">
        <v>12016.046296296296</v>
      </c>
      <c r="W90" s="285">
        <v>0.15</v>
      </c>
      <c r="X90" s="286" t="s">
        <v>255</v>
      </c>
      <c r="Y90" s="287">
        <f t="shared" si="31"/>
        <v>428</v>
      </c>
      <c r="Z90" s="288">
        <f t="shared" si="32"/>
        <v>5142867.8148148144</v>
      </c>
      <c r="AA90" s="288">
        <f t="shared" si="33"/>
        <v>85600</v>
      </c>
      <c r="AB90" s="288">
        <f t="shared" si="34"/>
        <v>5245725.1711111106</v>
      </c>
      <c r="AC90" s="288">
        <f t="shared" si="55"/>
        <v>87072.320000000007</v>
      </c>
      <c r="AD90" s="287">
        <f t="shared" si="35"/>
        <v>1991046.0925925928</v>
      </c>
      <c r="AE90" s="287">
        <f t="shared" si="36"/>
        <v>1891493.7879629631</v>
      </c>
      <c r="AF90" s="287">
        <f t="shared" si="37"/>
        <v>29865691.388888892</v>
      </c>
      <c r="AG90" s="287">
        <f t="shared" si="38"/>
        <v>28372406.819444448</v>
      </c>
      <c r="AH90" s="287">
        <f t="shared" si="39"/>
        <v>79519.61007407408</v>
      </c>
      <c r="AI90" s="287">
        <f t="shared" si="40"/>
        <v>75543.629570370365</v>
      </c>
      <c r="AJ90" s="287">
        <f t="shared" si="41"/>
        <v>0</v>
      </c>
      <c r="AK90" s="287">
        <f t="shared" si="42"/>
        <v>0</v>
      </c>
      <c r="AL90" s="287">
        <f t="shared" si="43"/>
        <v>48.45835783267853</v>
      </c>
      <c r="AM90" s="287">
        <f t="shared" si="44"/>
        <v>46.035439941044601</v>
      </c>
      <c r="AN90" s="287">
        <f t="shared" si="45"/>
        <v>14.313026641899921</v>
      </c>
      <c r="AO90" s="287">
        <f t="shared" si="46"/>
        <v>13.597375309804921</v>
      </c>
      <c r="AP90" s="287">
        <f t="shared" si="47"/>
        <v>5142867.8148148144</v>
      </c>
      <c r="AQ90" s="287">
        <f t="shared" si="48"/>
        <v>4885724.4240740733</v>
      </c>
      <c r="AR90" s="287">
        <f t="shared" si="49"/>
        <v>94574.689398148155</v>
      </c>
      <c r="AS90" s="289" t="e">
        <f>IF(J90='2027 Avoided Costs'!#REF!,3,5)</f>
        <v>#REF!</v>
      </c>
      <c r="AT90" s="290" cm="1">
        <f t="array" ref="AT90">IFERROR(IF($J90="Baseload",IF($O90=1,0,NPV('2027 Avoided Costs'!$D$6,_xlfn._xlws.FILTER('2027 Avoided Costs'!$C$14:$C$47,('2027 Avoided Costs'!$B$14:$B$47&gt;=$B90+1)*('2027 Avoided Costs'!$B$14:$B$47&lt;$B90+ROUND($O90,0)))))+_xlfn.XLOOKUP($B90,'2027 Avoided Costs'!$B$13:$B$47,'2027 Avoided Costs'!$C$13:$C$47),IF($O90=1,0,NPV('2027 Avoided Costs'!$D$6,_xlfn._xlws.FILTER('2027 Avoided Costs'!$E$14:$E$47,('2027 Avoided Costs'!$B$14:$B$47&gt;=$B90+1)*('2027 Avoided Costs'!$B$14:$B$47&lt;$B90+ROUND($O90,0)))))+_xlfn.XLOOKUP($B90,'2027 Avoided Costs'!$B$13:$B$47,'2027 Avoided Costs'!$E$13:$E$47))*IF($AE90&gt;0,$AE90*(1+$W90),0),0)</f>
        <v>7758070.2922762604</v>
      </c>
      <c r="AU90" s="290" cm="1">
        <f t="array" ref="AU90">IFERROR((IF($O90=1,0,NPV('2027 Avoided Costs'!$D$6,_xlfn._xlws.FILTER('2027 Avoided Costs'!$M$14:$M$47,('2027 Avoided Costs'!$B$14:$B$47&gt;=$B90+1)*('2027 Avoided Costs'!$B$14:$B$47&lt;$B90+ROUND($O90,0)))))+_xlfn.XLOOKUP($B90,'2027 Avoided Costs'!$B$13:$B$47,'2027 Avoided Costs'!$M$13:$M$47))*IF($AK90&gt;0,$AK90*(1+$W90),0),0)</f>
        <v>0</v>
      </c>
      <c r="AV90" s="291" cm="1">
        <f t="array" ref="AV90">IFERROR((IF($O90=1,0,NPV('2027 Avoided Costs'!$D$6,_xlfn._xlws.FILTER('2027 Avoided Costs'!$Q$14:$Q$47,('2027 Avoided Costs'!$B$14:$B$47&gt;=$B90+1)*('2027 Avoided Costs'!$B$14:$B$47&lt;$B90+ROUND($O90,0)))))+_xlfn.XLOOKUP($B90,'2027 Avoided Costs'!$B$13:$B$47,'2027 Avoided Costs'!$Q$13:$Q$47))*IF($AI90&gt;0,$AI90*(1+$W90),0),0)</f>
        <v>49352.57861197654</v>
      </c>
      <c r="AW90" s="291" cm="1">
        <f t="array" ref="AW90">IFERROR((IF($O90=1,0,NPV('2027 Avoided Costs'!$D$6,_xlfn._xlws.FILTER('2027 Avoided Costs'!$W$14:$W$47,('2027 Avoided Costs'!$B$14:$B$47&gt;=$B90+1)*('2027 Avoided Costs'!$B$14:$B$47&lt;$B90+ROUND($O90,0)))))+_xlfn.XLOOKUP($B90,'2027 Avoided Costs'!$B$13:$B$47,'2027 Avoided Costs'!$W$13:$W$47))*IF($AM90&gt;0,$AM90*(1+$W90),0),0)</f>
        <v>188556.31926538667</v>
      </c>
      <c r="AX90" s="291" cm="1">
        <f t="array" ref="AX90">IFERROR((IF($O90=1,0,NPV('2027 Avoided Costs'!$D$6,_xlfn._xlws.FILTER('2027 Avoided Costs'!$AC$14:$AC$47,('2027 Avoided Costs'!$B$14:$B$47&gt;=$B90+1)*('2027 Avoided Costs'!$B$14:$B$47&lt;$B90+ROUND($O90,0)))))+_xlfn.XLOOKUP($B90,'2027 Avoided Costs'!$B$13:$B$47,'2027 Avoided Costs'!$AC$13:$AC$47))*IF($AO90&gt;0,$AO90*(1+$W90),0),0)</f>
        <v>3521.9628033270214</v>
      </c>
      <c r="AY90" s="291" cm="1">
        <f t="array" ref="AY90">IFERROR((IF($O90=1,0,NPV('2027 Avoided Costs'!$D$4,_xlfn._xlws.FILTER('2027 Avoided Costs'!$I$14:$I$47,('2027 Avoided Costs'!$B$14:$B$47&gt;=$B90+1)*('2027 Avoided Costs'!$B$14:$B$47&lt;$B90+ROUND($O90,0)))))+_xlfn.XLOOKUP($B90,'2027 Avoided Costs'!$B$13:$B$47,'2027 Avoided Costs'!$I$13:$I$47))*IF($X90="Residential",'2027 Avoided Costs'!$J$5,IF($X90="Large Volume",'2027 Avoided Costs'!$J$7,'2027 Avoided Costs'!$J$6))*IF($AE90&gt;0,$AE90,0),0)</f>
        <v>0</v>
      </c>
      <c r="AZ90" s="291" cm="1">
        <f t="array" ref="AZ90">IFERROR(IF($J90="Baseload",IF($O90=1,0,NPV('2027 Avoided Costs'!$D$6,_xlfn._xlws.FILTER('2027 Avoided Costs'!$C$14:$C$47,('2027 Avoided Costs'!$B$14:$B$47&gt;=$B90+1)*('2027 Avoided Costs'!$B$14:$B$47&lt;$B90+ROUND($O90,0)))))+_xlfn.XLOOKUP($B90,'2027 Avoided Costs'!$B$13:$B$47,'2027 Avoided Costs'!$C$13:$C$47),IF($O90=1,0,NPV('2027 Avoided Costs'!$D$6,_xlfn._xlws.FILTER('2027 Avoided Costs'!$E$14:$E$47,('2027 Avoided Costs'!$B$14:$B$47&gt;=$B90+1)*('2027 Avoided Costs'!$B$14:$B$47&lt;$B90+ROUND($O90,0)))))+_xlfn.XLOOKUP($B90,'2027 Avoided Costs'!$B$13:$B$47,'2027 Avoided Costs'!$E$13:$E$47))*IF($AE90&lt;0,$AE90*(-1),0),0)</f>
        <v>0</v>
      </c>
      <c r="BA90" s="291" cm="1">
        <f t="array" ref="BA90">IFERROR((IF($O90=1,0,NPV('2027 Avoided Costs'!$D$6,_xlfn._xlws.FILTER('2027 Avoided Costs'!$M$14:$M$47,('2027 Avoided Costs'!$B$14:$B$47&gt;=$B90+1)*('2027 Avoided Costs'!$B$14:$B$47&lt;$B90+ROUND($O90,0)))))+_xlfn.XLOOKUP($B90,'2027 Avoided Costs'!$B$13:$B$47,'2027 Avoided Costs'!$M$13:$M$47))*IF($AK90&lt;0,$AK90*(-1),0),0)</f>
        <v>0</v>
      </c>
      <c r="BB90" s="291" cm="1">
        <f t="array" ref="BB90">IFERROR((IF($O90=1,0,NPV('2027 Avoided Costs'!$D$6,_xlfn._xlws.FILTER('2027 Avoided Costs'!$S$14:$S$47,('2027 Avoided Costs'!$B$14:$B$47&gt;=$B90+1)*('2027 Avoided Costs'!$B$14:$B$47&lt;$B90+ROUND($O90,0)))))+_xlfn.XLOOKUP($B90,'2027 Avoided Costs'!$B$13:$B$47,'2027 Avoided Costs'!$S$13:$S$47))*IF($AI90&lt;0,$AI90*(-1),0),0)</f>
        <v>0</v>
      </c>
      <c r="BC90" s="291" cm="1">
        <f t="array" ref="BC90">IFERROR((IF($O90=1,0,NPV('2027 Avoided Costs'!$D$6,_xlfn._xlws.FILTER('2027 Avoided Costs'!$Y$14:$Y$47,('2027 Avoided Costs'!$B$14:$B$47&gt;=$B90+1)*('2027 Avoided Costs'!$B$14:$B$47&lt;$B90+ROUND($O90,0)))))+_xlfn.XLOOKUP($B90,'2027 Avoided Costs'!$B$13:$B$47,'2027 Avoided Costs'!$Y$13:$Y$47))*IF($AM90&lt;0,$AM90*(-1),0),0)</f>
        <v>0</v>
      </c>
      <c r="BD90" s="291" cm="1">
        <f t="array" ref="BD90">IFERROR((IF($O90=1,0,NPV('2027 Avoided Costs'!$D$6,_xlfn._xlws.FILTER('2027 Avoided Costs'!$AE$14:$AE$47,('2027 Avoided Costs'!$B$14:$B$47&gt;=$B90+1)*('2027 Avoided Costs'!$B$14:$B$47&lt;$B90+ROUND($O90,0)))))+_xlfn.XLOOKUP($B90,'2027 Avoided Costs'!$B$13:$B$47,'2027 Avoided Costs'!$AE$13:$AE$47))*IF($AO90&lt;0,$AO90*(-1),0),0)</f>
        <v>0</v>
      </c>
      <c r="BE90" s="291" cm="1">
        <f t="array" ref="BE90">IFERROR((IF($O90=1,0,NPV('2027 Avoided Costs'!$D$4,_xlfn._xlws.FILTER('2027 Avoided Costs'!$I$14:$I$47,('2027 Avoided Costs'!$B$14:$B$47&gt;=$B90+1)*('2027 Avoided Costs'!$B$14:$B$47&lt;$B90+ROUND($O90,0)))))+_xlfn.XLOOKUP($B90,'2027 Avoided Costs'!$B$13:$B$47,'2027 Avoided Costs'!$I$13:$I$47))*IF($X90="Residential",'2027 Avoided Costs'!$J$5,IF($X90="Large Volume",'2027 Avoided Costs'!$J$7,'2027 Avoided Costs'!$J$6))*IF($AE90&lt;0,$AE90*(-1),0),0)</f>
        <v>0</v>
      </c>
      <c r="BF90" s="291">
        <f t="shared" si="50"/>
        <v>7999501.1529569514</v>
      </c>
      <c r="BG90" s="291">
        <f t="shared" si="51"/>
        <v>4885724.4240740733</v>
      </c>
      <c r="BH90" s="291">
        <f t="shared" si="52"/>
        <v>3113776.7288828781</v>
      </c>
      <c r="BI90" s="292">
        <f t="shared" si="56"/>
        <v>1.6373213997784968</v>
      </c>
      <c r="BJ90" s="196" cm="1">
        <f t="array" ref="BJ90">IFERROR(IF($J90="Baseload",IF($O90=1,0,NPV('2027 Avoided Costs'!$D$6,_xlfn._xlws.FILTER('2027 Avoided Costs'!$C$14:$C$47,('2027 Avoided Costs'!$B$14:$B$47&gt;=$B90+1)*('2027 Avoided Costs'!$B$14:$B$47&lt;$B90+ROUND($O90,0)))))+_xlfn.XLOOKUP($B90,'2027 Avoided Costs'!$B$13:$B$47,'2027 Avoided Costs'!$C$13:$C$47),IF($O90=1,0,NPV('2027 Avoided Costs'!$D$6,_xlfn._xlws.FILTER('2027 Avoided Costs'!$E$14:$E$47,('2027 Avoided Costs'!$B$14:$B$47&gt;=$B90+1)*('2027 Avoided Costs'!$B$14:$B$47&lt;$B90+ROUND($O90,0)))))+_xlfn.XLOOKUP($B90,'2027 Avoided Costs'!$B$13:$B$47,'2027 Avoided Costs'!$E$13:$E$47))*IF($AE90&gt;0,$AE90*(1+0),0),0)</f>
        <v>6746148.0802402264</v>
      </c>
      <c r="BK90" s="293">
        <f t="shared" si="53"/>
        <v>1.2650298631224861</v>
      </c>
    </row>
    <row r="91" spans="1:63" s="56" customFormat="1" x14ac:dyDescent="0.25">
      <c r="A91" s="270" t="s">
        <v>133</v>
      </c>
      <c r="B91" s="271">
        <v>2028</v>
      </c>
      <c r="C91" s="272" t="s">
        <v>13</v>
      </c>
      <c r="D91" s="272" t="s">
        <v>164</v>
      </c>
      <c r="E91" s="272" t="s">
        <v>85</v>
      </c>
      <c r="F91" s="273">
        <v>89</v>
      </c>
      <c r="G91" s="274">
        <v>22163.333333333336</v>
      </c>
      <c r="H91" s="275">
        <f t="shared" si="30"/>
        <v>2.5573667084625029</v>
      </c>
      <c r="I91" s="274">
        <v>200</v>
      </c>
      <c r="J91" s="276" t="s">
        <v>264</v>
      </c>
      <c r="K91" s="277">
        <f t="shared" si="54"/>
        <v>0.95</v>
      </c>
      <c r="L91" s="278">
        <v>5.000000000000001E-2</v>
      </c>
      <c r="M91" s="278">
        <v>0</v>
      </c>
      <c r="N91" s="278">
        <v>1</v>
      </c>
      <c r="O91" s="279">
        <v>15</v>
      </c>
      <c r="P91" s="280">
        <v>8666.4666666666672</v>
      </c>
      <c r="Q91" s="281">
        <v>24851.666666666668</v>
      </c>
      <c r="R91" s="282">
        <v>5.6738964992389649</v>
      </c>
      <c r="S91" s="282">
        <v>5.6738964992389649</v>
      </c>
      <c r="T91" s="281">
        <v>0</v>
      </c>
      <c r="U91" s="283">
        <v>0.05</v>
      </c>
      <c r="V91" s="284">
        <v>22163.333333333332</v>
      </c>
      <c r="W91" s="285">
        <v>0.15</v>
      </c>
      <c r="X91" s="286" t="s">
        <v>255</v>
      </c>
      <c r="Y91" s="287">
        <f t="shared" si="31"/>
        <v>89</v>
      </c>
      <c r="Z91" s="288">
        <f t="shared" si="32"/>
        <v>1972536.666666667</v>
      </c>
      <c r="AA91" s="288">
        <f t="shared" si="33"/>
        <v>17800</v>
      </c>
      <c r="AB91" s="288">
        <f t="shared" si="34"/>
        <v>2011987.4000000004</v>
      </c>
      <c r="AC91" s="288">
        <f t="shared" si="55"/>
        <v>18106.160000000003</v>
      </c>
      <c r="AD91" s="287">
        <f t="shared" si="35"/>
        <v>771315.53333333333</v>
      </c>
      <c r="AE91" s="287">
        <f t="shared" si="36"/>
        <v>732749.7566666666</v>
      </c>
      <c r="AF91" s="287">
        <f t="shared" si="37"/>
        <v>11569733</v>
      </c>
      <c r="AG91" s="287">
        <f t="shared" si="38"/>
        <v>10991246.35</v>
      </c>
      <c r="AH91" s="287">
        <f t="shared" si="39"/>
        <v>2371047.8133333335</v>
      </c>
      <c r="AI91" s="287">
        <f t="shared" si="40"/>
        <v>2252495.4226666666</v>
      </c>
      <c r="AJ91" s="287">
        <f t="shared" si="41"/>
        <v>0</v>
      </c>
      <c r="AK91" s="287">
        <f t="shared" si="42"/>
        <v>0</v>
      </c>
      <c r="AL91" s="287">
        <f t="shared" si="43"/>
        <v>541.33511719939122</v>
      </c>
      <c r="AM91" s="287">
        <f t="shared" si="44"/>
        <v>514.26836133942163</v>
      </c>
      <c r="AN91" s="287">
        <f t="shared" si="45"/>
        <v>541.33511719939122</v>
      </c>
      <c r="AO91" s="287">
        <f t="shared" si="46"/>
        <v>514.26836133942163</v>
      </c>
      <c r="AP91" s="287">
        <f t="shared" si="47"/>
        <v>1972536.6666666665</v>
      </c>
      <c r="AQ91" s="287">
        <f t="shared" si="48"/>
        <v>1873909.833333333</v>
      </c>
      <c r="AR91" s="287">
        <f t="shared" si="49"/>
        <v>36637.487833333333</v>
      </c>
      <c r="AS91" s="289" t="e">
        <f>IF(J91='2027 Avoided Costs'!#REF!,3,5)</f>
        <v>#REF!</v>
      </c>
      <c r="AT91" s="290" cm="1">
        <f t="array" ref="AT91">IFERROR(IF($J91="Baseload",IF($O91=1,0,NPV('2027 Avoided Costs'!$D$6,_xlfn._xlws.FILTER('2027 Avoided Costs'!$C$14:$C$47,('2027 Avoided Costs'!$B$14:$B$47&gt;=$B91+1)*('2027 Avoided Costs'!$B$14:$B$47&lt;$B91+ROUND($O91,0)))))+_xlfn.XLOOKUP($B91,'2027 Avoided Costs'!$B$13:$B$47,'2027 Avoided Costs'!$C$13:$C$47),IF($O91=1,0,NPV('2027 Avoided Costs'!$D$6,_xlfn._xlws.FILTER('2027 Avoided Costs'!$E$14:$E$47,('2027 Avoided Costs'!$B$14:$B$47&gt;=$B91+1)*('2027 Avoided Costs'!$B$14:$B$47&lt;$B91+ROUND($O91,0)))))+_xlfn.XLOOKUP($B91,'2027 Avoided Costs'!$B$13:$B$47,'2027 Avoided Costs'!$E$13:$E$47))*IF($AE91&gt;0,$AE91*(1+$W91),0),0)</f>
        <v>3005415.1671259073</v>
      </c>
      <c r="AU91" s="290" cm="1">
        <f t="array" ref="AU91">IFERROR((IF($O91=1,0,NPV('2027 Avoided Costs'!$D$6,_xlfn._xlws.FILTER('2027 Avoided Costs'!$M$14:$M$47,('2027 Avoided Costs'!$B$14:$B$47&gt;=$B91+1)*('2027 Avoided Costs'!$B$14:$B$47&lt;$B91+ROUND($O91,0)))))+_xlfn.XLOOKUP($B91,'2027 Avoided Costs'!$B$13:$B$47,'2027 Avoided Costs'!$M$13:$M$47))*IF($AK91&gt;0,$AK91*(1+$W91),0),0)</f>
        <v>0</v>
      </c>
      <c r="AV91" s="291" cm="1">
        <f t="array" ref="AV91">IFERROR((IF($O91=1,0,NPV('2027 Avoided Costs'!$D$6,_xlfn._xlws.FILTER('2027 Avoided Costs'!$Q$14:$Q$47,('2027 Avoided Costs'!$B$14:$B$47&gt;=$B91+1)*('2027 Avoided Costs'!$B$14:$B$47&lt;$B91+ROUND($O91,0)))))+_xlfn.XLOOKUP($B91,'2027 Avoided Costs'!$B$13:$B$47,'2027 Avoided Costs'!$Q$13:$Q$47))*IF($AI91&gt;0,$AI91*(1+$W91),0),0)</f>
        <v>1471553.0356761618</v>
      </c>
      <c r="AW91" s="291" cm="1">
        <f t="array" ref="AW91">IFERROR((IF($O91=1,0,NPV('2027 Avoided Costs'!$D$6,_xlfn._xlws.FILTER('2027 Avoided Costs'!$W$14:$W$47,('2027 Avoided Costs'!$B$14:$B$47&gt;=$B91+1)*('2027 Avoided Costs'!$B$14:$B$47&lt;$B91+ROUND($O91,0)))))+_xlfn.XLOOKUP($B91,'2027 Avoided Costs'!$B$13:$B$47,'2027 Avoided Costs'!$W$13:$W$47))*IF($AM91&gt;0,$AM91*(1+$W91),0),0)</f>
        <v>2106389.1091947039</v>
      </c>
      <c r="AX91" s="291" cm="1">
        <f t="array" ref="AX91">IFERROR((IF($O91=1,0,NPV('2027 Avoided Costs'!$D$6,_xlfn._xlws.FILTER('2027 Avoided Costs'!$AC$14:$AC$47,('2027 Avoided Costs'!$B$14:$B$47&gt;=$B91+1)*('2027 Avoided Costs'!$B$14:$B$47&lt;$B91+ROUND($O91,0)))))+_xlfn.XLOOKUP($B91,'2027 Avoided Costs'!$B$13:$B$47,'2027 Avoided Costs'!$AC$13:$AC$47))*IF($AO91&gt;0,$AO91*(1+$W91),0),0)</f>
        <v>133204.68092539313</v>
      </c>
      <c r="AY91" s="291" cm="1">
        <f t="array" ref="AY91">IFERROR((IF($O91=1,0,NPV('2027 Avoided Costs'!$D$4,_xlfn._xlws.FILTER('2027 Avoided Costs'!$I$14:$I$47,('2027 Avoided Costs'!$B$14:$B$47&gt;=$B91+1)*('2027 Avoided Costs'!$B$14:$B$47&lt;$B91+ROUND($O91,0)))))+_xlfn.XLOOKUP($B91,'2027 Avoided Costs'!$B$13:$B$47,'2027 Avoided Costs'!$I$13:$I$47))*IF($X91="Residential",'2027 Avoided Costs'!$J$5,IF($X91="Large Volume",'2027 Avoided Costs'!$J$7,'2027 Avoided Costs'!$J$6))*IF($AE91&gt;0,$AE91,0),0)</f>
        <v>0</v>
      </c>
      <c r="AZ91" s="291" cm="1">
        <f t="array" ref="AZ91">IFERROR(IF($J91="Baseload",IF($O91=1,0,NPV('2027 Avoided Costs'!$D$6,_xlfn._xlws.FILTER('2027 Avoided Costs'!$C$14:$C$47,('2027 Avoided Costs'!$B$14:$B$47&gt;=$B91+1)*('2027 Avoided Costs'!$B$14:$B$47&lt;$B91+ROUND($O91,0)))))+_xlfn.XLOOKUP($B91,'2027 Avoided Costs'!$B$13:$B$47,'2027 Avoided Costs'!$C$13:$C$47),IF($O91=1,0,NPV('2027 Avoided Costs'!$D$6,_xlfn._xlws.FILTER('2027 Avoided Costs'!$E$14:$E$47,('2027 Avoided Costs'!$B$14:$B$47&gt;=$B91+1)*('2027 Avoided Costs'!$B$14:$B$47&lt;$B91+ROUND($O91,0)))))+_xlfn.XLOOKUP($B91,'2027 Avoided Costs'!$B$13:$B$47,'2027 Avoided Costs'!$E$13:$E$47))*IF($AE91&lt;0,$AE91*(-1),0),0)</f>
        <v>0</v>
      </c>
      <c r="BA91" s="291" cm="1">
        <f t="array" ref="BA91">IFERROR((IF($O91=1,0,NPV('2027 Avoided Costs'!$D$6,_xlfn._xlws.FILTER('2027 Avoided Costs'!$M$14:$M$47,('2027 Avoided Costs'!$B$14:$B$47&gt;=$B91+1)*('2027 Avoided Costs'!$B$14:$B$47&lt;$B91+ROUND($O91,0)))))+_xlfn.XLOOKUP($B91,'2027 Avoided Costs'!$B$13:$B$47,'2027 Avoided Costs'!$M$13:$M$47))*IF($AK91&lt;0,$AK91*(-1),0),0)</f>
        <v>0</v>
      </c>
      <c r="BB91" s="291" cm="1">
        <f t="array" ref="BB91">IFERROR((IF($O91=1,0,NPV('2027 Avoided Costs'!$D$6,_xlfn._xlws.FILTER('2027 Avoided Costs'!$S$14:$S$47,('2027 Avoided Costs'!$B$14:$B$47&gt;=$B91+1)*('2027 Avoided Costs'!$B$14:$B$47&lt;$B91+ROUND($O91,0)))))+_xlfn.XLOOKUP($B91,'2027 Avoided Costs'!$B$13:$B$47,'2027 Avoided Costs'!$S$13:$S$47))*IF($AI91&lt;0,$AI91*(-1),0),0)</f>
        <v>0</v>
      </c>
      <c r="BC91" s="291" cm="1">
        <f t="array" ref="BC91">IFERROR((IF($O91=1,0,NPV('2027 Avoided Costs'!$D$6,_xlfn._xlws.FILTER('2027 Avoided Costs'!$Y$14:$Y$47,('2027 Avoided Costs'!$B$14:$B$47&gt;=$B91+1)*('2027 Avoided Costs'!$B$14:$B$47&lt;$B91+ROUND($O91,0)))))+_xlfn.XLOOKUP($B91,'2027 Avoided Costs'!$B$13:$B$47,'2027 Avoided Costs'!$Y$13:$Y$47))*IF($AM91&lt;0,$AM91*(-1),0),0)</f>
        <v>0</v>
      </c>
      <c r="BD91" s="291" cm="1">
        <f t="array" ref="BD91">IFERROR((IF($O91=1,0,NPV('2027 Avoided Costs'!$D$6,_xlfn._xlws.FILTER('2027 Avoided Costs'!$AE$14:$AE$47,('2027 Avoided Costs'!$B$14:$B$47&gt;=$B91+1)*('2027 Avoided Costs'!$B$14:$B$47&lt;$B91+ROUND($O91,0)))))+_xlfn.XLOOKUP($B91,'2027 Avoided Costs'!$B$13:$B$47,'2027 Avoided Costs'!$AE$13:$AE$47))*IF($AO91&lt;0,$AO91*(-1),0),0)</f>
        <v>0</v>
      </c>
      <c r="BE91" s="291" cm="1">
        <f t="array" ref="BE91">IFERROR((IF($O91=1,0,NPV('2027 Avoided Costs'!$D$4,_xlfn._xlws.FILTER('2027 Avoided Costs'!$I$14:$I$47,('2027 Avoided Costs'!$B$14:$B$47&gt;=$B91+1)*('2027 Avoided Costs'!$B$14:$B$47&lt;$B91+ROUND($O91,0)))))+_xlfn.XLOOKUP($B91,'2027 Avoided Costs'!$B$13:$B$47,'2027 Avoided Costs'!$I$13:$I$47))*IF($X91="Residential",'2027 Avoided Costs'!$J$5,IF($X91="Large Volume",'2027 Avoided Costs'!$J$7,'2027 Avoided Costs'!$J$6))*IF($AE91&lt;0,$AE91*(-1),0),0)</f>
        <v>0</v>
      </c>
      <c r="BF91" s="291">
        <f t="shared" si="50"/>
        <v>6716561.9929221664</v>
      </c>
      <c r="BG91" s="291">
        <f t="shared" si="51"/>
        <v>1873909.833333333</v>
      </c>
      <c r="BH91" s="291">
        <f t="shared" si="52"/>
        <v>4842652.1595888333</v>
      </c>
      <c r="BI91" s="292">
        <f t="shared" si="56"/>
        <v>3.5842503590339061</v>
      </c>
      <c r="BJ91" s="196" cm="1">
        <f t="array" ref="BJ91">IFERROR(IF($J91="Baseload",IF($O91=1,0,NPV('2027 Avoided Costs'!$D$6,_xlfn._xlws.FILTER('2027 Avoided Costs'!$C$14:$C$47,('2027 Avoided Costs'!$B$14:$B$47&gt;=$B91+1)*('2027 Avoided Costs'!$B$14:$B$47&lt;$B91+ROUND($O91,0)))))+_xlfn.XLOOKUP($B91,'2027 Avoided Costs'!$B$13:$B$47,'2027 Avoided Costs'!$C$13:$C$47),IF($O91=1,0,NPV('2027 Avoided Costs'!$D$6,_xlfn._xlws.FILTER('2027 Avoided Costs'!$E$14:$E$47,('2027 Avoided Costs'!$B$14:$B$47&gt;=$B91+1)*('2027 Avoided Costs'!$B$14:$B$47&lt;$B91+ROUND($O91,0)))))+_xlfn.XLOOKUP($B91,'2027 Avoided Costs'!$B$13:$B$47,'2027 Avoided Costs'!$E$13:$E$47))*IF($AE91&gt;0,$AE91*(1+0),0),0)</f>
        <v>2613404.493152963</v>
      </c>
      <c r="BK91" s="293">
        <f t="shared" si="53"/>
        <v>1.2873320445157033</v>
      </c>
    </row>
    <row r="92" spans="1:63" s="56" customFormat="1" x14ac:dyDescent="0.25">
      <c r="A92" s="270" t="s">
        <v>133</v>
      </c>
      <c r="B92" s="271">
        <v>2028</v>
      </c>
      <c r="C92" s="272" t="s">
        <v>13</v>
      </c>
      <c r="D92" s="272" t="s">
        <v>164</v>
      </c>
      <c r="E92" s="272" t="s">
        <v>86</v>
      </c>
      <c r="F92" s="273">
        <v>1557</v>
      </c>
      <c r="G92" s="274">
        <v>1825.4605597964376</v>
      </c>
      <c r="H92" s="275">
        <f t="shared" si="30"/>
        <v>0.7194592166945768</v>
      </c>
      <c r="I92" s="274">
        <v>200</v>
      </c>
      <c r="J92" s="276" t="s">
        <v>264</v>
      </c>
      <c r="K92" s="277">
        <f t="shared" si="54"/>
        <v>0.95</v>
      </c>
      <c r="L92" s="278">
        <v>4.9999999999999996E-2</v>
      </c>
      <c r="M92" s="278">
        <v>0</v>
      </c>
      <c r="N92" s="278">
        <v>1</v>
      </c>
      <c r="O92" s="279">
        <v>10</v>
      </c>
      <c r="P92" s="280">
        <v>2537.2675996607295</v>
      </c>
      <c r="Q92" s="281">
        <v>472.51145038167937</v>
      </c>
      <c r="R92" s="282">
        <v>0.28794317428498734</v>
      </c>
      <c r="S92" s="282">
        <v>8.5049071186538983E-2</v>
      </c>
      <c r="T92" s="281">
        <v>0</v>
      </c>
      <c r="U92" s="283">
        <v>0.05</v>
      </c>
      <c r="V92" s="284">
        <v>1825.4605597964376</v>
      </c>
      <c r="W92" s="285">
        <v>0.15</v>
      </c>
      <c r="X92" s="286" t="s">
        <v>255</v>
      </c>
      <c r="Y92" s="287">
        <f t="shared" si="31"/>
        <v>1557</v>
      </c>
      <c r="Z92" s="288">
        <f t="shared" si="32"/>
        <v>2842242.0916030533</v>
      </c>
      <c r="AA92" s="288">
        <f t="shared" si="33"/>
        <v>311400</v>
      </c>
      <c r="AB92" s="288">
        <f t="shared" si="34"/>
        <v>2899086.9334351146</v>
      </c>
      <c r="AC92" s="288">
        <f t="shared" si="55"/>
        <v>316756.08</v>
      </c>
      <c r="AD92" s="287">
        <f t="shared" si="35"/>
        <v>3950525.6526717558</v>
      </c>
      <c r="AE92" s="287">
        <f t="shared" si="36"/>
        <v>3752999.3700381676</v>
      </c>
      <c r="AF92" s="287">
        <f t="shared" si="37"/>
        <v>39505256.526717559</v>
      </c>
      <c r="AG92" s="287">
        <f t="shared" si="38"/>
        <v>37529993.700381674</v>
      </c>
      <c r="AH92" s="287">
        <f t="shared" si="39"/>
        <v>788670.75187786261</v>
      </c>
      <c r="AI92" s="287">
        <f t="shared" si="40"/>
        <v>749237.21428396937</v>
      </c>
      <c r="AJ92" s="287">
        <f t="shared" si="41"/>
        <v>0</v>
      </c>
      <c r="AK92" s="287">
        <f t="shared" si="42"/>
        <v>0</v>
      </c>
      <c r="AL92" s="287">
        <f t="shared" si="43"/>
        <v>480.60710397176956</v>
      </c>
      <c r="AM92" s="287">
        <f t="shared" si="44"/>
        <v>456.57674877318095</v>
      </c>
      <c r="AN92" s="287">
        <f t="shared" si="45"/>
        <v>141.95574491373699</v>
      </c>
      <c r="AO92" s="287">
        <f t="shared" si="46"/>
        <v>134.85795766805012</v>
      </c>
      <c r="AP92" s="287">
        <f t="shared" si="47"/>
        <v>2842242.0916030533</v>
      </c>
      <c r="AQ92" s="287">
        <f t="shared" si="48"/>
        <v>2700129.9870229005</v>
      </c>
      <c r="AR92" s="287">
        <f t="shared" si="49"/>
        <v>187649.96850190838</v>
      </c>
      <c r="AS92" s="289" t="e">
        <f>IF(J92='2027 Avoided Costs'!#REF!,3,5)</f>
        <v>#REF!</v>
      </c>
      <c r="AT92" s="290" cm="1">
        <f t="array" ref="AT92">IFERROR(IF($J92="Baseload",IF($O92=1,0,NPV('2027 Avoided Costs'!$D$6,_xlfn._xlws.FILTER('2027 Avoided Costs'!$C$14:$C$47,('2027 Avoided Costs'!$B$14:$B$47&gt;=$B92+1)*('2027 Avoided Costs'!$B$14:$B$47&lt;$B92+ROUND($O92,0)))))+_xlfn.XLOOKUP($B92,'2027 Avoided Costs'!$B$13:$B$47,'2027 Avoided Costs'!$C$13:$C$47),IF($O92=1,0,NPV('2027 Avoided Costs'!$D$6,_xlfn._xlws.FILTER('2027 Avoided Costs'!$E$14:$E$47,('2027 Avoided Costs'!$B$14:$B$47&gt;=$B92+1)*('2027 Avoided Costs'!$B$14:$B$47&lt;$B92+ROUND($O92,0)))))+_xlfn.XLOOKUP($B92,'2027 Avoided Costs'!$B$13:$B$47,'2027 Avoided Costs'!$E$13:$E$47))*IF($AE92&gt;0,$AE92*(1+$W92),0),0)</f>
        <v>11044286.606993148</v>
      </c>
      <c r="AU92" s="290" cm="1">
        <f t="array" ref="AU92">IFERROR((IF($O92=1,0,NPV('2027 Avoided Costs'!$D$6,_xlfn._xlws.FILTER('2027 Avoided Costs'!$M$14:$M$47,('2027 Avoided Costs'!$B$14:$B$47&gt;=$B92+1)*('2027 Avoided Costs'!$B$14:$B$47&lt;$B92+ROUND($O92,0)))))+_xlfn.XLOOKUP($B92,'2027 Avoided Costs'!$B$13:$B$47,'2027 Avoided Costs'!$M$13:$M$47))*IF($AK92&gt;0,$AK92*(1+$W92),0),0)</f>
        <v>0</v>
      </c>
      <c r="AV92" s="291" cm="1">
        <f t="array" ref="AV92">IFERROR((IF($O92=1,0,NPV('2027 Avoided Costs'!$D$6,_xlfn._xlws.FILTER('2027 Avoided Costs'!$Q$14:$Q$47,('2027 Avoided Costs'!$B$14:$B$47&gt;=$B92+1)*('2027 Avoided Costs'!$B$14:$B$47&lt;$B92+ROUND($O92,0)))))+_xlfn.XLOOKUP($B92,'2027 Avoided Costs'!$B$13:$B$47,'2027 Avoided Costs'!$Q$13:$Q$47))*IF($AI92&gt;0,$AI92*(1+$W92),0),0)</f>
        <v>366758.7162928594</v>
      </c>
      <c r="AW92" s="291" cm="1">
        <f t="array" ref="AW92">IFERROR((IF($O92=1,0,NPV('2027 Avoided Costs'!$D$6,_xlfn._xlws.FILTER('2027 Avoided Costs'!$W$14:$W$47,('2027 Avoided Costs'!$B$14:$B$47&gt;=$B92+1)*('2027 Avoided Costs'!$B$14:$B$47&lt;$B92+ROUND($O92,0)))))+_xlfn.XLOOKUP($B92,'2027 Avoided Costs'!$B$13:$B$47,'2027 Avoided Costs'!$W$13:$W$47))*IF($AM92&gt;0,$AM92*(1+$W92),0),0)</f>
        <v>1407970.5903706695</v>
      </c>
      <c r="AX92" s="291" cm="1">
        <f t="array" ref="AX92">IFERROR((IF($O92=1,0,NPV('2027 Avoided Costs'!$D$6,_xlfn._xlws.FILTER('2027 Avoided Costs'!$AC$14:$AC$47,('2027 Avoided Costs'!$B$14:$B$47&gt;=$B92+1)*('2027 Avoided Costs'!$B$14:$B$47&lt;$B92+ROUND($O92,0)))))+_xlfn.XLOOKUP($B92,'2027 Avoided Costs'!$B$13:$B$47,'2027 Avoided Costs'!$AC$13:$AC$47))*IF($AO92&gt;0,$AO92*(1+$W92),0),0)</f>
        <v>0</v>
      </c>
      <c r="AY92" s="291" cm="1">
        <f t="array" ref="AY92">IFERROR((IF($O92=1,0,NPV('2027 Avoided Costs'!$D$4,_xlfn._xlws.FILTER('2027 Avoided Costs'!$I$14:$I$47,('2027 Avoided Costs'!$B$14:$B$47&gt;=$B92+1)*('2027 Avoided Costs'!$B$14:$B$47&lt;$B92+ROUND($O92,0)))))+_xlfn.XLOOKUP($B92,'2027 Avoided Costs'!$B$13:$B$47,'2027 Avoided Costs'!$I$13:$I$47))*IF($X92="Residential",'2027 Avoided Costs'!$J$5,IF($X92="Large Volume",'2027 Avoided Costs'!$J$7,'2027 Avoided Costs'!$J$6))*IF($AE92&gt;0,$AE92,0),0)</f>
        <v>0</v>
      </c>
      <c r="AZ92" s="291" cm="1">
        <f t="array" ref="AZ92">IFERROR(IF($J92="Baseload",IF($O92=1,0,NPV('2027 Avoided Costs'!$D$6,_xlfn._xlws.FILTER('2027 Avoided Costs'!$C$14:$C$47,('2027 Avoided Costs'!$B$14:$B$47&gt;=$B92+1)*('2027 Avoided Costs'!$B$14:$B$47&lt;$B92+ROUND($O92,0)))))+_xlfn.XLOOKUP($B92,'2027 Avoided Costs'!$B$13:$B$47,'2027 Avoided Costs'!$C$13:$C$47),IF($O92=1,0,NPV('2027 Avoided Costs'!$D$6,_xlfn._xlws.FILTER('2027 Avoided Costs'!$E$14:$E$47,('2027 Avoided Costs'!$B$14:$B$47&gt;=$B92+1)*('2027 Avoided Costs'!$B$14:$B$47&lt;$B92+ROUND($O92,0)))))+_xlfn.XLOOKUP($B92,'2027 Avoided Costs'!$B$13:$B$47,'2027 Avoided Costs'!$E$13:$E$47))*IF($AE92&lt;0,$AE92*(-1),0),0)</f>
        <v>0</v>
      </c>
      <c r="BA92" s="291" cm="1">
        <f t="array" ref="BA92">IFERROR((IF($O92=1,0,NPV('2027 Avoided Costs'!$D$6,_xlfn._xlws.FILTER('2027 Avoided Costs'!$M$14:$M$47,('2027 Avoided Costs'!$B$14:$B$47&gt;=$B92+1)*('2027 Avoided Costs'!$B$14:$B$47&lt;$B92+ROUND($O92,0)))))+_xlfn.XLOOKUP($B92,'2027 Avoided Costs'!$B$13:$B$47,'2027 Avoided Costs'!$M$13:$M$47))*IF($AK92&lt;0,$AK92*(-1),0),0)</f>
        <v>0</v>
      </c>
      <c r="BB92" s="291" cm="1">
        <f t="array" ref="BB92">IFERROR((IF($O92=1,0,NPV('2027 Avoided Costs'!$D$6,_xlfn._xlws.FILTER('2027 Avoided Costs'!$S$14:$S$47,('2027 Avoided Costs'!$B$14:$B$47&gt;=$B92+1)*('2027 Avoided Costs'!$B$14:$B$47&lt;$B92+ROUND($O92,0)))))+_xlfn.XLOOKUP($B92,'2027 Avoided Costs'!$B$13:$B$47,'2027 Avoided Costs'!$S$13:$S$47))*IF($AI92&lt;0,$AI92*(-1),0),0)</f>
        <v>0</v>
      </c>
      <c r="BC92" s="291" cm="1">
        <f t="array" ref="BC92">IFERROR((IF($O92=1,0,NPV('2027 Avoided Costs'!$D$6,_xlfn._xlws.FILTER('2027 Avoided Costs'!$Y$14:$Y$47,('2027 Avoided Costs'!$B$14:$B$47&gt;=$B92+1)*('2027 Avoided Costs'!$B$14:$B$47&lt;$B92+ROUND($O92,0)))))+_xlfn.XLOOKUP($B92,'2027 Avoided Costs'!$B$13:$B$47,'2027 Avoided Costs'!$Y$13:$Y$47))*IF($AM92&lt;0,$AM92*(-1),0),0)</f>
        <v>0</v>
      </c>
      <c r="BD92" s="291" cm="1">
        <f t="array" ref="BD92">IFERROR((IF($O92=1,0,NPV('2027 Avoided Costs'!$D$6,_xlfn._xlws.FILTER('2027 Avoided Costs'!$AE$14:$AE$47,('2027 Avoided Costs'!$B$14:$B$47&gt;=$B92+1)*('2027 Avoided Costs'!$B$14:$B$47&lt;$B92+ROUND($O92,0)))))+_xlfn.XLOOKUP($B92,'2027 Avoided Costs'!$B$13:$B$47,'2027 Avoided Costs'!$AE$13:$AE$47))*IF($AO92&lt;0,$AO92*(-1),0),0)</f>
        <v>0</v>
      </c>
      <c r="BE92" s="291" cm="1">
        <f t="array" ref="BE92">IFERROR((IF($O92=1,0,NPV('2027 Avoided Costs'!$D$4,_xlfn._xlws.FILTER('2027 Avoided Costs'!$I$14:$I$47,('2027 Avoided Costs'!$B$14:$B$47&gt;=$B92+1)*('2027 Avoided Costs'!$B$14:$B$47&lt;$B92+ROUND($O92,0)))))+_xlfn.XLOOKUP($B92,'2027 Avoided Costs'!$B$13:$B$47,'2027 Avoided Costs'!$I$13:$I$47))*IF($X92="Residential",'2027 Avoided Costs'!$J$5,IF($X92="Large Volume",'2027 Avoided Costs'!$J$7,'2027 Avoided Costs'!$J$6))*IF($AE92&lt;0,$AE92*(-1),0),0)</f>
        <v>0</v>
      </c>
      <c r="BF92" s="291">
        <f t="shared" si="50"/>
        <v>12819015.913656678</v>
      </c>
      <c r="BG92" s="291">
        <f t="shared" si="51"/>
        <v>2700129.9870229005</v>
      </c>
      <c r="BH92" s="291">
        <f t="shared" si="52"/>
        <v>10118885.926633777</v>
      </c>
      <c r="BI92" s="292">
        <f t="shared" si="56"/>
        <v>4.7475551085563188</v>
      </c>
      <c r="BJ92" s="196" cm="1">
        <f t="array" ref="BJ92">IFERROR(IF($J92="Baseload",IF($O92=1,0,NPV('2027 Avoided Costs'!$D$6,_xlfn._xlws.FILTER('2027 Avoided Costs'!$C$14:$C$47,('2027 Avoided Costs'!$B$14:$B$47&gt;=$B92+1)*('2027 Avoided Costs'!$B$14:$B$47&lt;$B92+ROUND($O92,0)))))+_xlfn.XLOOKUP($B92,'2027 Avoided Costs'!$B$13:$B$47,'2027 Avoided Costs'!$C$13:$C$47),IF($O92=1,0,NPV('2027 Avoided Costs'!$D$6,_xlfn._xlws.FILTER('2027 Avoided Costs'!$E$14:$E$47,('2027 Avoided Costs'!$B$14:$B$47&gt;=$B92+1)*('2027 Avoided Costs'!$B$14:$B$47&lt;$B92+ROUND($O92,0)))))+_xlfn.XLOOKUP($B92,'2027 Avoided Costs'!$B$13:$B$47,'2027 Avoided Costs'!$E$13:$E$47))*IF($AE92&gt;0,$AE92*(1+0),0),0)</f>
        <v>9603727.4843418673</v>
      </c>
      <c r="BK92" s="293">
        <f t="shared" si="53"/>
        <v>2.9863794483186887</v>
      </c>
    </row>
    <row r="93" spans="1:63" s="56" customFormat="1" x14ac:dyDescent="0.25">
      <c r="A93" s="270" t="s">
        <v>133</v>
      </c>
      <c r="B93" s="271">
        <v>2028</v>
      </c>
      <c r="C93" s="272" t="s">
        <v>13</v>
      </c>
      <c r="D93" s="272" t="s">
        <v>164</v>
      </c>
      <c r="E93" s="272" t="s">
        <v>83</v>
      </c>
      <c r="F93" s="273">
        <v>833</v>
      </c>
      <c r="G93" s="274">
        <v>570</v>
      </c>
      <c r="H93" s="275">
        <f t="shared" si="30"/>
        <v>1.5</v>
      </c>
      <c r="I93" s="274">
        <v>200</v>
      </c>
      <c r="J93" s="276" t="s">
        <v>264</v>
      </c>
      <c r="K93" s="277">
        <f t="shared" si="54"/>
        <v>0.97</v>
      </c>
      <c r="L93" s="278">
        <v>0.03</v>
      </c>
      <c r="M93" s="278">
        <v>0</v>
      </c>
      <c r="N93" s="278">
        <v>1</v>
      </c>
      <c r="O93" s="279">
        <v>10</v>
      </c>
      <c r="P93" s="280">
        <v>380</v>
      </c>
      <c r="Q93" s="281">
        <v>995</v>
      </c>
      <c r="R93" s="282">
        <v>0.60634183189028379</v>
      </c>
      <c r="S93" s="282">
        <v>0.17909370399860136</v>
      </c>
      <c r="T93" s="281">
        <v>0</v>
      </c>
      <c r="U93" s="283">
        <v>0.05</v>
      </c>
      <c r="V93" s="284">
        <v>235</v>
      </c>
      <c r="W93" s="285">
        <v>0.15</v>
      </c>
      <c r="X93" s="286" t="s">
        <v>255</v>
      </c>
      <c r="Y93" s="287">
        <f t="shared" si="31"/>
        <v>833</v>
      </c>
      <c r="Z93" s="288">
        <f t="shared" si="32"/>
        <v>474810</v>
      </c>
      <c r="AA93" s="288">
        <f t="shared" si="33"/>
        <v>166600</v>
      </c>
      <c r="AB93" s="288">
        <f t="shared" si="34"/>
        <v>484306.2</v>
      </c>
      <c r="AC93" s="288">
        <f t="shared" si="55"/>
        <v>169465.52000000002</v>
      </c>
      <c r="AD93" s="287">
        <f t="shared" si="35"/>
        <v>316540</v>
      </c>
      <c r="AE93" s="287">
        <f t="shared" si="36"/>
        <v>307043.8</v>
      </c>
      <c r="AF93" s="287">
        <f t="shared" si="37"/>
        <v>3165400</v>
      </c>
      <c r="AG93" s="287">
        <f t="shared" si="38"/>
        <v>3070438</v>
      </c>
      <c r="AH93" s="287">
        <f t="shared" si="39"/>
        <v>888511.12</v>
      </c>
      <c r="AI93" s="287">
        <f t="shared" si="40"/>
        <v>861855.78639999998</v>
      </c>
      <c r="AJ93" s="287">
        <f t="shared" si="41"/>
        <v>0</v>
      </c>
      <c r="AK93" s="287">
        <f t="shared" si="42"/>
        <v>0</v>
      </c>
      <c r="AL93" s="287">
        <f t="shared" si="43"/>
        <v>541.44870367405804</v>
      </c>
      <c r="AM93" s="287">
        <f t="shared" si="44"/>
        <v>525.20524256383635</v>
      </c>
      <c r="AN93" s="287">
        <f t="shared" si="45"/>
        <v>159.92637942185505</v>
      </c>
      <c r="AO93" s="287">
        <f t="shared" si="46"/>
        <v>155.12858803919937</v>
      </c>
      <c r="AP93" s="287">
        <f t="shared" si="47"/>
        <v>195755</v>
      </c>
      <c r="AQ93" s="287">
        <f t="shared" si="48"/>
        <v>189882.35</v>
      </c>
      <c r="AR93" s="287">
        <f t="shared" si="49"/>
        <v>15352.19</v>
      </c>
      <c r="AS93" s="289" t="e">
        <f>IF(J93='2027 Avoided Costs'!#REF!,3,5)</f>
        <v>#REF!</v>
      </c>
      <c r="AT93" s="290" cm="1">
        <f t="array" ref="AT93">IFERROR(IF($J93="Baseload",IF($O93=1,0,NPV('2027 Avoided Costs'!$D$6,_xlfn._xlws.FILTER('2027 Avoided Costs'!$C$14:$C$47,('2027 Avoided Costs'!$B$14:$B$47&gt;=$B93+1)*('2027 Avoided Costs'!$B$14:$B$47&lt;$B93+ROUND($O93,0)))))+_xlfn.XLOOKUP($B93,'2027 Avoided Costs'!$B$13:$B$47,'2027 Avoided Costs'!$C$13:$C$47),IF($O93=1,0,NPV('2027 Avoided Costs'!$D$6,_xlfn._xlws.FILTER('2027 Avoided Costs'!$E$14:$E$47,('2027 Avoided Costs'!$B$14:$B$47&gt;=$B93+1)*('2027 Avoided Costs'!$B$14:$B$47&lt;$B93+ROUND($O93,0)))))+_xlfn.XLOOKUP($B93,'2027 Avoided Costs'!$B$13:$B$47,'2027 Avoided Costs'!$E$13:$E$47))*IF($AE93&gt;0,$AE93*(1+$W93),0),0)</f>
        <v>903565.22710148897</v>
      </c>
      <c r="AU93" s="290" cm="1">
        <f t="array" ref="AU93">IFERROR((IF($O93=1,0,NPV('2027 Avoided Costs'!$D$6,_xlfn._xlws.FILTER('2027 Avoided Costs'!$M$14:$M$47,('2027 Avoided Costs'!$B$14:$B$47&gt;=$B93+1)*('2027 Avoided Costs'!$B$14:$B$47&lt;$B93+ROUND($O93,0)))))+_xlfn.XLOOKUP($B93,'2027 Avoided Costs'!$B$13:$B$47,'2027 Avoided Costs'!$M$13:$M$47))*IF($AK93&gt;0,$AK93*(1+$W93),0),0)</f>
        <v>0</v>
      </c>
      <c r="AV93" s="291" cm="1">
        <f t="array" ref="AV93">IFERROR((IF($O93=1,0,NPV('2027 Avoided Costs'!$D$6,_xlfn._xlws.FILTER('2027 Avoided Costs'!$Q$14:$Q$47,('2027 Avoided Costs'!$B$14:$B$47&gt;=$B93+1)*('2027 Avoided Costs'!$B$14:$B$47&lt;$B93+ROUND($O93,0)))))+_xlfn.XLOOKUP($B93,'2027 Avoided Costs'!$B$13:$B$47,'2027 Avoided Costs'!$Q$13:$Q$47))*IF($AI93&gt;0,$AI93*(1+$W93),0),0)</f>
        <v>421886.57453663799</v>
      </c>
      <c r="AW93" s="291" cm="1">
        <f t="array" ref="AW93">IFERROR((IF($O93=1,0,NPV('2027 Avoided Costs'!$D$6,_xlfn._xlws.FILTER('2027 Avoided Costs'!$W$14:$W$47,('2027 Avoided Costs'!$B$14:$B$47&gt;=$B93+1)*('2027 Avoided Costs'!$B$14:$B$47&lt;$B93+ROUND($O93,0)))))+_xlfn.XLOOKUP($B93,'2027 Avoided Costs'!$B$13:$B$47,'2027 Avoided Costs'!$W$13:$W$47))*IF($AM93&gt;0,$AM93*(1+$W93),0),0)</f>
        <v>1619604.0149336043</v>
      </c>
      <c r="AX93" s="291" cm="1">
        <f t="array" ref="AX93">IFERROR((IF($O93=1,0,NPV('2027 Avoided Costs'!$D$6,_xlfn._xlws.FILTER('2027 Avoided Costs'!$AC$14:$AC$47,('2027 Avoided Costs'!$B$14:$B$47&gt;=$B93+1)*('2027 Avoided Costs'!$B$14:$B$47&lt;$B93+ROUND($O93,0)))))+_xlfn.XLOOKUP($B93,'2027 Avoided Costs'!$B$13:$B$47,'2027 Avoided Costs'!$AC$13:$AC$47))*IF($AO93&gt;0,$AO93*(1+$W93),0),0)</f>
        <v>0</v>
      </c>
      <c r="AY93" s="291" cm="1">
        <f t="array" ref="AY93">IFERROR((IF($O93=1,0,NPV('2027 Avoided Costs'!$D$4,_xlfn._xlws.FILTER('2027 Avoided Costs'!$I$14:$I$47,('2027 Avoided Costs'!$B$14:$B$47&gt;=$B93+1)*('2027 Avoided Costs'!$B$14:$B$47&lt;$B93+ROUND($O93,0)))))+_xlfn.XLOOKUP($B93,'2027 Avoided Costs'!$B$13:$B$47,'2027 Avoided Costs'!$I$13:$I$47))*IF($X93="Residential",'2027 Avoided Costs'!$J$5,IF($X93="Large Volume",'2027 Avoided Costs'!$J$7,'2027 Avoided Costs'!$J$6))*IF($AE93&gt;0,$AE93,0),0)</f>
        <v>0</v>
      </c>
      <c r="AZ93" s="291" cm="1">
        <f t="array" ref="AZ93">IFERROR(IF($J93="Baseload",IF($O93=1,0,NPV('2027 Avoided Costs'!$D$6,_xlfn._xlws.FILTER('2027 Avoided Costs'!$C$14:$C$47,('2027 Avoided Costs'!$B$14:$B$47&gt;=$B93+1)*('2027 Avoided Costs'!$B$14:$B$47&lt;$B93+ROUND($O93,0)))))+_xlfn.XLOOKUP($B93,'2027 Avoided Costs'!$B$13:$B$47,'2027 Avoided Costs'!$C$13:$C$47),IF($O93=1,0,NPV('2027 Avoided Costs'!$D$6,_xlfn._xlws.FILTER('2027 Avoided Costs'!$E$14:$E$47,('2027 Avoided Costs'!$B$14:$B$47&gt;=$B93+1)*('2027 Avoided Costs'!$B$14:$B$47&lt;$B93+ROUND($O93,0)))))+_xlfn.XLOOKUP($B93,'2027 Avoided Costs'!$B$13:$B$47,'2027 Avoided Costs'!$E$13:$E$47))*IF($AE93&lt;0,$AE93*(-1),0),0)</f>
        <v>0</v>
      </c>
      <c r="BA93" s="291" cm="1">
        <f t="array" ref="BA93">IFERROR((IF($O93=1,0,NPV('2027 Avoided Costs'!$D$6,_xlfn._xlws.FILTER('2027 Avoided Costs'!$M$14:$M$47,('2027 Avoided Costs'!$B$14:$B$47&gt;=$B93+1)*('2027 Avoided Costs'!$B$14:$B$47&lt;$B93+ROUND($O93,0)))))+_xlfn.XLOOKUP($B93,'2027 Avoided Costs'!$B$13:$B$47,'2027 Avoided Costs'!$M$13:$M$47))*IF($AK93&lt;0,$AK93*(-1),0),0)</f>
        <v>0</v>
      </c>
      <c r="BB93" s="291" cm="1">
        <f t="array" ref="BB93">IFERROR((IF($O93=1,0,NPV('2027 Avoided Costs'!$D$6,_xlfn._xlws.FILTER('2027 Avoided Costs'!$S$14:$S$47,('2027 Avoided Costs'!$B$14:$B$47&gt;=$B93+1)*('2027 Avoided Costs'!$B$14:$B$47&lt;$B93+ROUND($O93,0)))))+_xlfn.XLOOKUP($B93,'2027 Avoided Costs'!$B$13:$B$47,'2027 Avoided Costs'!$S$13:$S$47))*IF($AI93&lt;0,$AI93*(-1),0),0)</f>
        <v>0</v>
      </c>
      <c r="BC93" s="291" cm="1">
        <f t="array" ref="BC93">IFERROR((IF($O93=1,0,NPV('2027 Avoided Costs'!$D$6,_xlfn._xlws.FILTER('2027 Avoided Costs'!$Y$14:$Y$47,('2027 Avoided Costs'!$B$14:$B$47&gt;=$B93+1)*('2027 Avoided Costs'!$B$14:$B$47&lt;$B93+ROUND($O93,0)))))+_xlfn.XLOOKUP($B93,'2027 Avoided Costs'!$B$13:$B$47,'2027 Avoided Costs'!$Y$13:$Y$47))*IF($AM93&lt;0,$AM93*(-1),0),0)</f>
        <v>0</v>
      </c>
      <c r="BD93" s="291" cm="1">
        <f t="array" ref="BD93">IFERROR((IF($O93=1,0,NPV('2027 Avoided Costs'!$D$6,_xlfn._xlws.FILTER('2027 Avoided Costs'!$AE$14:$AE$47,('2027 Avoided Costs'!$B$14:$B$47&gt;=$B93+1)*('2027 Avoided Costs'!$B$14:$B$47&lt;$B93+ROUND($O93,0)))))+_xlfn.XLOOKUP($B93,'2027 Avoided Costs'!$B$13:$B$47,'2027 Avoided Costs'!$AE$13:$AE$47))*IF($AO93&lt;0,$AO93*(-1),0),0)</f>
        <v>0</v>
      </c>
      <c r="BE93" s="291" cm="1">
        <f t="array" ref="BE93">IFERROR((IF($O93=1,0,NPV('2027 Avoided Costs'!$D$4,_xlfn._xlws.FILTER('2027 Avoided Costs'!$I$14:$I$47,('2027 Avoided Costs'!$B$14:$B$47&gt;=$B93+1)*('2027 Avoided Costs'!$B$14:$B$47&lt;$B93+ROUND($O93,0)))))+_xlfn.XLOOKUP($B93,'2027 Avoided Costs'!$B$13:$B$47,'2027 Avoided Costs'!$I$13:$I$47))*IF($X93="Residential",'2027 Avoided Costs'!$J$5,IF($X93="Large Volume",'2027 Avoided Costs'!$J$7,'2027 Avoided Costs'!$J$6))*IF($AE93&lt;0,$AE93*(-1),0),0)</f>
        <v>0</v>
      </c>
      <c r="BF93" s="291">
        <f t="shared" si="50"/>
        <v>2945055.8165717311</v>
      </c>
      <c r="BG93" s="291">
        <f t="shared" si="51"/>
        <v>189882.35</v>
      </c>
      <c r="BH93" s="291">
        <f t="shared" si="52"/>
        <v>2755173.466571731</v>
      </c>
      <c r="BI93" s="292">
        <f t="shared" si="56"/>
        <v>15.509897663325376</v>
      </c>
      <c r="BJ93" s="196" cm="1">
        <f t="array" ref="BJ93">IFERROR(IF($J93="Baseload",IF($O93=1,0,NPV('2027 Avoided Costs'!$D$6,_xlfn._xlws.FILTER('2027 Avoided Costs'!$C$14:$C$47,('2027 Avoided Costs'!$B$14:$B$47&gt;=$B93+1)*('2027 Avoided Costs'!$B$14:$B$47&lt;$B93+ROUND($O93,0)))))+_xlfn.XLOOKUP($B93,'2027 Avoided Costs'!$B$13:$B$47,'2027 Avoided Costs'!$C$13:$C$47),IF($O93=1,0,NPV('2027 Avoided Costs'!$D$6,_xlfn._xlws.FILTER('2027 Avoided Costs'!$E$14:$E$47,('2027 Avoided Costs'!$B$14:$B$47&gt;=$B93+1)*('2027 Avoided Costs'!$B$14:$B$47&lt;$B93+ROUND($O93,0)))))+_xlfn.XLOOKUP($B93,'2027 Avoided Costs'!$B$13:$B$47,'2027 Avoided Costs'!$E$13:$E$47))*IF($AE93&gt;0,$AE93*(1+0),0),0)</f>
        <v>785708.89313172968</v>
      </c>
      <c r="BK93" s="293">
        <f t="shared" si="53"/>
        <v>1.201809238753444</v>
      </c>
    </row>
    <row r="94" spans="1:63" s="56" customFormat="1" x14ac:dyDescent="0.25">
      <c r="A94" s="270" t="s">
        <v>133</v>
      </c>
      <c r="B94" s="271">
        <v>2029</v>
      </c>
      <c r="C94" s="272" t="s">
        <v>13</v>
      </c>
      <c r="D94" s="272" t="s">
        <v>164</v>
      </c>
      <c r="E94" s="272" t="s">
        <v>277</v>
      </c>
      <c r="F94" s="273">
        <v>88</v>
      </c>
      <c r="G94" s="274">
        <v>8418</v>
      </c>
      <c r="H94" s="275">
        <f t="shared" si="30"/>
        <v>3</v>
      </c>
      <c r="I94" s="274">
        <v>200</v>
      </c>
      <c r="J94" s="276" t="s">
        <v>264</v>
      </c>
      <c r="K94" s="277">
        <f t="shared" si="54"/>
        <v>0.97499999999999998</v>
      </c>
      <c r="L94" s="278">
        <v>2.5000000000000001E-2</v>
      </c>
      <c r="M94" s="278">
        <v>0</v>
      </c>
      <c r="N94" s="278">
        <v>1</v>
      </c>
      <c r="O94" s="279">
        <v>16</v>
      </c>
      <c r="P94" s="280">
        <v>2806</v>
      </c>
      <c r="Q94" s="281">
        <v>2256</v>
      </c>
      <c r="R94" s="282">
        <v>0.255</v>
      </c>
      <c r="S94" s="282">
        <v>0.255</v>
      </c>
      <c r="T94" s="281">
        <v>0</v>
      </c>
      <c r="U94" s="283">
        <v>0.25</v>
      </c>
      <c r="V94" s="284">
        <v>10340</v>
      </c>
      <c r="W94" s="285">
        <v>0.15</v>
      </c>
      <c r="X94" s="286" t="s">
        <v>255</v>
      </c>
      <c r="Y94" s="287">
        <f t="shared" si="31"/>
        <v>88</v>
      </c>
      <c r="Z94" s="288">
        <f t="shared" si="32"/>
        <v>740784</v>
      </c>
      <c r="AA94" s="288">
        <f t="shared" si="33"/>
        <v>17600</v>
      </c>
      <c r="AB94" s="288">
        <f t="shared" si="34"/>
        <v>770711.67359999998</v>
      </c>
      <c r="AC94" s="288">
        <f t="shared" si="55"/>
        <v>18210.646784000004</v>
      </c>
      <c r="AD94" s="287">
        <f t="shared" si="35"/>
        <v>246928</v>
      </c>
      <c r="AE94" s="287">
        <f t="shared" si="36"/>
        <v>240754.8</v>
      </c>
      <c r="AF94" s="287">
        <f t="shared" si="37"/>
        <v>3950848</v>
      </c>
      <c r="AG94" s="287">
        <f t="shared" si="38"/>
        <v>3852076.8</v>
      </c>
      <c r="AH94" s="287">
        <f t="shared" si="39"/>
        <v>212822.016</v>
      </c>
      <c r="AI94" s="287">
        <f t="shared" si="40"/>
        <v>207501.4656</v>
      </c>
      <c r="AJ94" s="287">
        <f t="shared" si="41"/>
        <v>0</v>
      </c>
      <c r="AK94" s="287">
        <f t="shared" si="42"/>
        <v>0</v>
      </c>
      <c r="AL94" s="287">
        <f t="shared" si="43"/>
        <v>24.055680000000002</v>
      </c>
      <c r="AM94" s="287">
        <f t="shared" si="44"/>
        <v>23.454287999999998</v>
      </c>
      <c r="AN94" s="287">
        <f t="shared" si="45"/>
        <v>24.055680000000002</v>
      </c>
      <c r="AO94" s="287">
        <f t="shared" si="46"/>
        <v>23.454287999999998</v>
      </c>
      <c r="AP94" s="287">
        <f t="shared" si="47"/>
        <v>909920</v>
      </c>
      <c r="AQ94" s="287">
        <f t="shared" si="48"/>
        <v>887172</v>
      </c>
      <c r="AR94" s="287">
        <f t="shared" si="49"/>
        <v>60188.7</v>
      </c>
      <c r="AS94" s="289" t="e">
        <f>IF(J94='2027 Avoided Costs'!#REF!,3,5)</f>
        <v>#REF!</v>
      </c>
      <c r="AT94" s="290" cm="1">
        <f t="array" ref="AT94">IFERROR(IF($J94="Baseload",IF($O94=1,0,NPV('2027 Avoided Costs'!$D$6,_xlfn._xlws.FILTER('2027 Avoided Costs'!$C$14:$C$47,('2027 Avoided Costs'!$B$14:$B$47&gt;=$B94+1)*('2027 Avoided Costs'!$B$14:$B$47&lt;$B94+ROUND($O94,0)))))+_xlfn.XLOOKUP($B94,'2027 Avoided Costs'!$B$13:$B$47,'2027 Avoided Costs'!$C$13:$C$47),IF($O94=1,0,NPV('2027 Avoided Costs'!$D$6,_xlfn._xlws.FILTER('2027 Avoided Costs'!$E$14:$E$47,('2027 Avoided Costs'!$B$14:$B$47&gt;=$B94+1)*('2027 Avoided Costs'!$B$14:$B$47&lt;$B94+ROUND($O94,0)))))+_xlfn.XLOOKUP($B94,'2027 Avoided Costs'!$B$13:$B$47,'2027 Avoided Costs'!$E$13:$E$47))*IF($AE94&gt;0,$AE94*(1+$W94),0),0)</f>
        <v>1077238.3733756754</v>
      </c>
      <c r="AU94" s="290" cm="1">
        <f t="array" ref="AU94">IFERROR((IF($O94=1,0,NPV('2027 Avoided Costs'!$D$6,_xlfn._xlws.FILTER('2027 Avoided Costs'!$M$14:$M$47,('2027 Avoided Costs'!$B$14:$B$47&gt;=$B94+1)*('2027 Avoided Costs'!$B$14:$B$47&lt;$B94+ROUND($O94,0)))))+_xlfn.XLOOKUP($B94,'2027 Avoided Costs'!$B$13:$B$47,'2027 Avoided Costs'!$M$13:$M$47))*IF($AK94&gt;0,$AK94*(1+$W94),0),0)</f>
        <v>0</v>
      </c>
      <c r="AV94" s="291" cm="1">
        <f t="array" ref="AV94">IFERROR((IF($O94=1,0,NPV('2027 Avoided Costs'!$D$6,_xlfn._xlws.FILTER('2027 Avoided Costs'!$Q$14:$Q$47,('2027 Avoided Costs'!$B$14:$B$47&gt;=$B94+1)*('2027 Avoided Costs'!$B$14:$B$47&lt;$B94+ROUND($O94,0)))))+_xlfn.XLOOKUP($B94,'2027 Avoided Costs'!$B$13:$B$47,'2027 Avoided Costs'!$Q$13:$Q$47))*IF($AI94&gt;0,$AI94*(1+$W94),0),0)</f>
        <v>142594.95146537563</v>
      </c>
      <c r="AW94" s="291" cm="1">
        <f t="array" ref="AW94">IFERROR((IF($O94=1,0,NPV('2027 Avoided Costs'!$D$6,_xlfn._xlws.FILTER('2027 Avoided Costs'!$W$14:$W$47,('2027 Avoided Costs'!$B$14:$B$47&gt;=$B94+1)*('2027 Avoided Costs'!$B$14:$B$47&lt;$B94+ROUND($O94,0)))))+_xlfn.XLOOKUP($B94,'2027 Avoided Costs'!$B$13:$B$47,'2027 Avoided Costs'!$W$13:$W$47))*IF($AM94&gt;0,$AM94*(1+$W94),0),0)</f>
        <v>94960.023946708883</v>
      </c>
      <c r="AX94" s="291" cm="1">
        <f t="array" ref="AX94">IFERROR((IF($O94=1,0,NPV('2027 Avoided Costs'!$D$6,_xlfn._xlws.FILTER('2027 Avoided Costs'!$AC$14:$AC$47,('2027 Avoided Costs'!$B$14:$B$47&gt;=$B94+1)*('2027 Avoided Costs'!$B$14:$B$47&lt;$B94+ROUND($O94,0)))))+_xlfn.XLOOKUP($B94,'2027 Avoided Costs'!$B$13:$B$47,'2027 Avoided Costs'!$AC$13:$AC$47))*IF($AO94&gt;0,$AO94*(1+$W94),0),0)</f>
        <v>18580.782550338576</v>
      </c>
      <c r="AY94" s="291" cm="1">
        <f t="array" ref="AY94">IFERROR((IF($O94=1,0,NPV('2027 Avoided Costs'!$D$4,_xlfn._xlws.FILTER('2027 Avoided Costs'!$I$14:$I$47,('2027 Avoided Costs'!$B$14:$B$47&gt;=$B94+1)*('2027 Avoided Costs'!$B$14:$B$47&lt;$B94+ROUND($O94,0)))))+_xlfn.XLOOKUP($B94,'2027 Avoided Costs'!$B$13:$B$47,'2027 Avoided Costs'!$I$13:$I$47))*IF($X94="Residential",'2027 Avoided Costs'!$J$5,IF($X94="Large Volume",'2027 Avoided Costs'!$J$7,'2027 Avoided Costs'!$J$6))*IF($AE94&gt;0,$AE94,0),0)</f>
        <v>0</v>
      </c>
      <c r="AZ94" s="291" cm="1">
        <f t="array" ref="AZ94">IFERROR(IF($J94="Baseload",IF($O94=1,0,NPV('2027 Avoided Costs'!$D$6,_xlfn._xlws.FILTER('2027 Avoided Costs'!$C$14:$C$47,('2027 Avoided Costs'!$B$14:$B$47&gt;=$B94+1)*('2027 Avoided Costs'!$B$14:$B$47&lt;$B94+ROUND($O94,0)))))+_xlfn.XLOOKUP($B94,'2027 Avoided Costs'!$B$13:$B$47,'2027 Avoided Costs'!$C$13:$C$47),IF($O94=1,0,NPV('2027 Avoided Costs'!$D$6,_xlfn._xlws.FILTER('2027 Avoided Costs'!$E$14:$E$47,('2027 Avoided Costs'!$B$14:$B$47&gt;=$B94+1)*('2027 Avoided Costs'!$B$14:$B$47&lt;$B94+ROUND($O94,0)))))+_xlfn.XLOOKUP($B94,'2027 Avoided Costs'!$B$13:$B$47,'2027 Avoided Costs'!$E$13:$E$47))*IF($AE94&lt;0,$AE94*(-1),0),0)</f>
        <v>0</v>
      </c>
      <c r="BA94" s="291" cm="1">
        <f t="array" ref="BA94">IFERROR((IF($O94=1,0,NPV('2027 Avoided Costs'!$D$6,_xlfn._xlws.FILTER('2027 Avoided Costs'!$M$14:$M$47,('2027 Avoided Costs'!$B$14:$B$47&gt;=$B94+1)*('2027 Avoided Costs'!$B$14:$B$47&lt;$B94+ROUND($O94,0)))))+_xlfn.XLOOKUP($B94,'2027 Avoided Costs'!$B$13:$B$47,'2027 Avoided Costs'!$M$13:$M$47))*IF($AK94&lt;0,$AK94*(-1),0),0)</f>
        <v>0</v>
      </c>
      <c r="BB94" s="291" cm="1">
        <f t="array" ref="BB94">IFERROR((IF($O94=1,0,NPV('2027 Avoided Costs'!$D$6,_xlfn._xlws.FILTER('2027 Avoided Costs'!$S$14:$S$47,('2027 Avoided Costs'!$B$14:$B$47&gt;=$B94+1)*('2027 Avoided Costs'!$B$14:$B$47&lt;$B94+ROUND($O94,0)))))+_xlfn.XLOOKUP($B94,'2027 Avoided Costs'!$B$13:$B$47,'2027 Avoided Costs'!$S$13:$S$47))*IF($AI94&lt;0,$AI94*(-1),0),0)</f>
        <v>0</v>
      </c>
      <c r="BC94" s="291" cm="1">
        <f t="array" ref="BC94">IFERROR((IF($O94=1,0,NPV('2027 Avoided Costs'!$D$6,_xlfn._xlws.FILTER('2027 Avoided Costs'!$Y$14:$Y$47,('2027 Avoided Costs'!$B$14:$B$47&gt;=$B94+1)*('2027 Avoided Costs'!$B$14:$B$47&lt;$B94+ROUND($O94,0)))))+_xlfn.XLOOKUP($B94,'2027 Avoided Costs'!$B$13:$B$47,'2027 Avoided Costs'!$Y$13:$Y$47))*IF($AM94&lt;0,$AM94*(-1),0),0)</f>
        <v>0</v>
      </c>
      <c r="BD94" s="291" cm="1">
        <f t="array" ref="BD94">IFERROR((IF($O94=1,0,NPV('2027 Avoided Costs'!$D$6,_xlfn._xlws.FILTER('2027 Avoided Costs'!$AE$14:$AE$47,('2027 Avoided Costs'!$B$14:$B$47&gt;=$B94+1)*('2027 Avoided Costs'!$B$14:$B$47&lt;$B94+ROUND($O94,0)))))+_xlfn.XLOOKUP($B94,'2027 Avoided Costs'!$B$13:$B$47,'2027 Avoided Costs'!$AE$13:$AE$47))*IF($AO94&lt;0,$AO94*(-1),0),0)</f>
        <v>0</v>
      </c>
      <c r="BE94" s="291" cm="1">
        <f t="array" ref="BE94">IFERROR((IF($O94=1,0,NPV('2027 Avoided Costs'!$D$4,_xlfn._xlws.FILTER('2027 Avoided Costs'!$I$14:$I$47,('2027 Avoided Costs'!$B$14:$B$47&gt;=$B94+1)*('2027 Avoided Costs'!$B$14:$B$47&lt;$B94+ROUND($O94,0)))))+_xlfn.XLOOKUP($B94,'2027 Avoided Costs'!$B$13:$B$47,'2027 Avoided Costs'!$I$13:$I$47))*IF($X94="Residential",'2027 Avoided Costs'!$J$5,IF($X94="Large Volume",'2027 Avoided Costs'!$J$7,'2027 Avoided Costs'!$J$6))*IF($AE94&lt;0,$AE94*(-1),0),0)</f>
        <v>0</v>
      </c>
      <c r="BF94" s="291">
        <f t="shared" si="50"/>
        <v>1333374.1313380986</v>
      </c>
      <c r="BG94" s="291">
        <f t="shared" si="51"/>
        <v>887172</v>
      </c>
      <c r="BH94" s="291">
        <f t="shared" si="52"/>
        <v>446202.13133809855</v>
      </c>
      <c r="BI94" s="292">
        <f t="shared" si="56"/>
        <v>1.5029488434464777</v>
      </c>
      <c r="BJ94" s="196" cm="1">
        <f t="array" ref="BJ94">IFERROR(IF($J94="Baseload",IF($O94=1,0,NPV('2027 Avoided Costs'!$D$6,_xlfn._xlws.FILTER('2027 Avoided Costs'!$C$14:$C$47,('2027 Avoided Costs'!$B$14:$B$47&gt;=$B94+1)*('2027 Avoided Costs'!$B$14:$B$47&lt;$B94+ROUND($O94,0)))))+_xlfn.XLOOKUP($B94,'2027 Avoided Costs'!$B$13:$B$47,'2027 Avoided Costs'!$C$13:$C$47),IF($O94=1,0,NPV('2027 Avoided Costs'!$D$6,_xlfn._xlws.FILTER('2027 Avoided Costs'!$E$14:$E$47,('2027 Avoided Costs'!$B$14:$B$47&gt;=$B94+1)*('2027 Avoided Costs'!$B$14:$B$47&lt;$B94+ROUND($O94,0)))))+_xlfn.XLOOKUP($B94,'2027 Avoided Costs'!$B$13:$B$47,'2027 Avoided Costs'!$E$13:$E$47))*IF($AE94&gt;0,$AE94*(1+0),0),0)</f>
        <v>936729.02032667433</v>
      </c>
      <c r="BK94" s="293">
        <f t="shared" si="53"/>
        <v>1.1873526659389368</v>
      </c>
    </row>
    <row r="95" spans="1:63" s="56" customFormat="1" x14ac:dyDescent="0.25">
      <c r="A95" s="270" t="s">
        <v>133</v>
      </c>
      <c r="B95" s="271">
        <v>2029</v>
      </c>
      <c r="C95" s="272" t="s">
        <v>13</v>
      </c>
      <c r="D95" s="272" t="s">
        <v>164</v>
      </c>
      <c r="E95" s="272" t="s">
        <v>84</v>
      </c>
      <c r="F95" s="273">
        <v>449</v>
      </c>
      <c r="G95" s="274">
        <v>12016.046296296296</v>
      </c>
      <c r="H95" s="275">
        <f t="shared" si="30"/>
        <v>2.5829978692849611</v>
      </c>
      <c r="I95" s="274">
        <v>200</v>
      </c>
      <c r="J95" s="276" t="s">
        <v>264</v>
      </c>
      <c r="K95" s="277">
        <f t="shared" si="54"/>
        <v>0.95</v>
      </c>
      <c r="L95" s="278">
        <v>5.000000000000001E-2</v>
      </c>
      <c r="M95" s="278">
        <v>0</v>
      </c>
      <c r="N95" s="278">
        <v>1</v>
      </c>
      <c r="O95" s="279">
        <v>15</v>
      </c>
      <c r="P95" s="280">
        <v>4651.9768518518522</v>
      </c>
      <c r="Q95" s="281">
        <v>173.31481481481481</v>
      </c>
      <c r="R95" s="282">
        <v>0.10561610282265338</v>
      </c>
      <c r="S95" s="282">
        <v>3.1195569992981759E-2</v>
      </c>
      <c r="T95" s="281">
        <v>0</v>
      </c>
      <c r="U95" s="283">
        <v>0.05</v>
      </c>
      <c r="V95" s="284">
        <v>12016.046296296296</v>
      </c>
      <c r="W95" s="285">
        <v>0.15</v>
      </c>
      <c r="X95" s="286" t="s">
        <v>255</v>
      </c>
      <c r="Y95" s="287">
        <f t="shared" si="31"/>
        <v>449</v>
      </c>
      <c r="Z95" s="288">
        <f t="shared" si="32"/>
        <v>5395204.7870370364</v>
      </c>
      <c r="AA95" s="288">
        <f t="shared" si="33"/>
        <v>89800</v>
      </c>
      <c r="AB95" s="288">
        <f t="shared" si="34"/>
        <v>5613171.0604333328</v>
      </c>
      <c r="AC95" s="288">
        <f t="shared" si="55"/>
        <v>92915.686432000017</v>
      </c>
      <c r="AD95" s="287">
        <f t="shared" si="35"/>
        <v>2088737.6064814816</v>
      </c>
      <c r="AE95" s="287">
        <f t="shared" si="36"/>
        <v>1984300.7261574075</v>
      </c>
      <c r="AF95" s="287">
        <f t="shared" si="37"/>
        <v>31331064.097222224</v>
      </c>
      <c r="AG95" s="287">
        <f t="shared" si="38"/>
        <v>29764510.892361112</v>
      </c>
      <c r="AH95" s="287">
        <f t="shared" si="39"/>
        <v>83421.273185185186</v>
      </c>
      <c r="AI95" s="287">
        <f t="shared" si="40"/>
        <v>79250.209525925937</v>
      </c>
      <c r="AJ95" s="287">
        <f t="shared" si="41"/>
        <v>0</v>
      </c>
      <c r="AK95" s="287">
        <f t="shared" si="42"/>
        <v>0</v>
      </c>
      <c r="AL95" s="287">
        <f t="shared" si="43"/>
        <v>50.835987539422113</v>
      </c>
      <c r="AM95" s="287">
        <f t="shared" si="44"/>
        <v>48.294188162451007</v>
      </c>
      <c r="AN95" s="287">
        <f t="shared" si="45"/>
        <v>15.015301313581924</v>
      </c>
      <c r="AO95" s="287">
        <f t="shared" si="46"/>
        <v>14.264536247902829</v>
      </c>
      <c r="AP95" s="287">
        <f t="shared" si="47"/>
        <v>5395204.7870370364</v>
      </c>
      <c r="AQ95" s="287">
        <f t="shared" si="48"/>
        <v>5125444.5476851845</v>
      </c>
      <c r="AR95" s="287">
        <f t="shared" si="49"/>
        <v>99215.036307870381</v>
      </c>
      <c r="AS95" s="289" t="e">
        <f>IF(J95='2027 Avoided Costs'!#REF!,3,5)</f>
        <v>#REF!</v>
      </c>
      <c r="AT95" s="290" cm="1">
        <f t="array" ref="AT95">IFERROR(IF($J95="Baseload",IF($O95=1,0,NPV('2027 Avoided Costs'!$D$6,_xlfn._xlws.FILTER('2027 Avoided Costs'!$C$14:$C$47,('2027 Avoided Costs'!$B$14:$B$47&gt;=$B95+1)*('2027 Avoided Costs'!$B$14:$B$47&lt;$B95+ROUND($O95,0)))))+_xlfn.XLOOKUP($B95,'2027 Avoided Costs'!$B$13:$B$47,'2027 Avoided Costs'!$C$13:$C$47),IF($O95=1,0,NPV('2027 Avoided Costs'!$D$6,_xlfn._xlws.FILTER('2027 Avoided Costs'!$E$14:$E$47,('2027 Avoided Costs'!$B$14:$B$47&gt;=$B95+1)*('2027 Avoided Costs'!$B$14:$B$47&lt;$B95+ROUND($O95,0)))))+_xlfn.XLOOKUP($B95,'2027 Avoided Costs'!$B$13:$B$47,'2027 Avoided Costs'!$E$13:$E$47))*IF($AE95&gt;0,$AE95*(1+$W95),0),0)</f>
        <v>8435366.2532809135</v>
      </c>
      <c r="AU95" s="290" cm="1">
        <f t="array" ref="AU95">IFERROR((IF($O95=1,0,NPV('2027 Avoided Costs'!$D$6,_xlfn._xlws.FILTER('2027 Avoided Costs'!$M$14:$M$47,('2027 Avoided Costs'!$B$14:$B$47&gt;=$B95+1)*('2027 Avoided Costs'!$B$14:$B$47&lt;$B95+ROUND($O95,0)))))+_xlfn.XLOOKUP($B95,'2027 Avoided Costs'!$B$13:$B$47,'2027 Avoided Costs'!$M$13:$M$47))*IF($AK95&gt;0,$AK95*(1+$W95),0),0)</f>
        <v>0</v>
      </c>
      <c r="AV95" s="291" cm="1">
        <f t="array" ref="AV95">IFERROR((IF($O95=1,0,NPV('2027 Avoided Costs'!$D$6,_xlfn._xlws.FILTER('2027 Avoided Costs'!$Q$14:$Q$47,('2027 Avoided Costs'!$B$14:$B$47&gt;=$B95+1)*('2027 Avoided Costs'!$B$14:$B$47&lt;$B95+ROUND($O95,0)))))+_xlfn.XLOOKUP($B95,'2027 Avoided Costs'!$B$13:$B$47,'2027 Avoided Costs'!$Q$13:$Q$47))*IF($AI95&gt;0,$AI95*(1+$W95),0),0)</f>
        <v>51746.639275472866</v>
      </c>
      <c r="AW95" s="291" cm="1">
        <f t="array" ref="AW95">IFERROR((IF($O95=1,0,NPV('2027 Avoided Costs'!$D$6,_xlfn._xlws.FILTER('2027 Avoided Costs'!$W$14:$W$47,('2027 Avoided Costs'!$B$14:$B$47&gt;=$B95+1)*('2027 Avoided Costs'!$B$14:$B$47&lt;$B95+ROUND($O95,0)))))+_xlfn.XLOOKUP($B95,'2027 Avoided Costs'!$B$13:$B$47,'2027 Avoided Costs'!$W$13:$W$47))*IF($AM95&gt;0,$AM95*(1+$W95),0),0)</f>
        <v>195530.01414467208</v>
      </c>
      <c r="AX95" s="291" cm="1">
        <f t="array" ref="AX95">IFERROR((IF($O95=1,0,NPV('2027 Avoided Costs'!$D$6,_xlfn._xlws.FILTER('2027 Avoided Costs'!$AC$14:$AC$47,('2027 Avoided Costs'!$B$14:$B$47&gt;=$B95+1)*('2027 Avoided Costs'!$B$14:$B$47&lt;$B95+ROUND($O95,0)))))+_xlfn.XLOOKUP($B95,'2027 Avoided Costs'!$B$13:$B$47,'2027 Avoided Costs'!$AC$13:$AC$47))*IF($AO95&gt;0,$AO95*(1+$W95),0),0)</f>
        <v>7608.1729069909834</v>
      </c>
      <c r="AY95" s="291" cm="1">
        <f t="array" ref="AY95">IFERROR((IF($O95=1,0,NPV('2027 Avoided Costs'!$D$4,_xlfn._xlws.FILTER('2027 Avoided Costs'!$I$14:$I$47,('2027 Avoided Costs'!$B$14:$B$47&gt;=$B95+1)*('2027 Avoided Costs'!$B$14:$B$47&lt;$B95+ROUND($O95,0)))))+_xlfn.XLOOKUP($B95,'2027 Avoided Costs'!$B$13:$B$47,'2027 Avoided Costs'!$I$13:$I$47))*IF($X95="Residential",'2027 Avoided Costs'!$J$5,IF($X95="Large Volume",'2027 Avoided Costs'!$J$7,'2027 Avoided Costs'!$J$6))*IF($AE95&gt;0,$AE95,0),0)</f>
        <v>0</v>
      </c>
      <c r="AZ95" s="291" cm="1">
        <f t="array" ref="AZ95">IFERROR(IF($J95="Baseload",IF($O95=1,0,NPV('2027 Avoided Costs'!$D$6,_xlfn._xlws.FILTER('2027 Avoided Costs'!$C$14:$C$47,('2027 Avoided Costs'!$B$14:$B$47&gt;=$B95+1)*('2027 Avoided Costs'!$B$14:$B$47&lt;$B95+ROUND($O95,0)))))+_xlfn.XLOOKUP($B95,'2027 Avoided Costs'!$B$13:$B$47,'2027 Avoided Costs'!$C$13:$C$47),IF($O95=1,0,NPV('2027 Avoided Costs'!$D$6,_xlfn._xlws.FILTER('2027 Avoided Costs'!$E$14:$E$47,('2027 Avoided Costs'!$B$14:$B$47&gt;=$B95+1)*('2027 Avoided Costs'!$B$14:$B$47&lt;$B95+ROUND($O95,0)))))+_xlfn.XLOOKUP($B95,'2027 Avoided Costs'!$B$13:$B$47,'2027 Avoided Costs'!$E$13:$E$47))*IF($AE95&lt;0,$AE95*(-1),0),0)</f>
        <v>0</v>
      </c>
      <c r="BA95" s="291" cm="1">
        <f t="array" ref="BA95">IFERROR((IF($O95=1,0,NPV('2027 Avoided Costs'!$D$6,_xlfn._xlws.FILTER('2027 Avoided Costs'!$M$14:$M$47,('2027 Avoided Costs'!$B$14:$B$47&gt;=$B95+1)*('2027 Avoided Costs'!$B$14:$B$47&lt;$B95+ROUND($O95,0)))))+_xlfn.XLOOKUP($B95,'2027 Avoided Costs'!$B$13:$B$47,'2027 Avoided Costs'!$M$13:$M$47))*IF($AK95&lt;0,$AK95*(-1),0),0)</f>
        <v>0</v>
      </c>
      <c r="BB95" s="291" cm="1">
        <f t="array" ref="BB95">IFERROR((IF($O95=1,0,NPV('2027 Avoided Costs'!$D$6,_xlfn._xlws.FILTER('2027 Avoided Costs'!$S$14:$S$47,('2027 Avoided Costs'!$B$14:$B$47&gt;=$B95+1)*('2027 Avoided Costs'!$B$14:$B$47&lt;$B95+ROUND($O95,0)))))+_xlfn.XLOOKUP($B95,'2027 Avoided Costs'!$B$13:$B$47,'2027 Avoided Costs'!$S$13:$S$47))*IF($AI95&lt;0,$AI95*(-1),0),0)</f>
        <v>0</v>
      </c>
      <c r="BC95" s="291" cm="1">
        <f t="array" ref="BC95">IFERROR((IF($O95=1,0,NPV('2027 Avoided Costs'!$D$6,_xlfn._xlws.FILTER('2027 Avoided Costs'!$Y$14:$Y$47,('2027 Avoided Costs'!$B$14:$B$47&gt;=$B95+1)*('2027 Avoided Costs'!$B$14:$B$47&lt;$B95+ROUND($O95,0)))))+_xlfn.XLOOKUP($B95,'2027 Avoided Costs'!$B$13:$B$47,'2027 Avoided Costs'!$Y$13:$Y$47))*IF($AM95&lt;0,$AM95*(-1),0),0)</f>
        <v>0</v>
      </c>
      <c r="BD95" s="291" cm="1">
        <f t="array" ref="BD95">IFERROR((IF($O95=1,0,NPV('2027 Avoided Costs'!$D$6,_xlfn._xlws.FILTER('2027 Avoided Costs'!$AE$14:$AE$47,('2027 Avoided Costs'!$B$14:$B$47&gt;=$B95+1)*('2027 Avoided Costs'!$B$14:$B$47&lt;$B95+ROUND($O95,0)))))+_xlfn.XLOOKUP($B95,'2027 Avoided Costs'!$B$13:$B$47,'2027 Avoided Costs'!$AE$13:$AE$47))*IF($AO95&lt;0,$AO95*(-1),0),0)</f>
        <v>0</v>
      </c>
      <c r="BE95" s="291" cm="1">
        <f t="array" ref="BE95">IFERROR((IF($O95=1,0,NPV('2027 Avoided Costs'!$D$4,_xlfn._xlws.FILTER('2027 Avoided Costs'!$I$14:$I$47,('2027 Avoided Costs'!$B$14:$B$47&gt;=$B95+1)*('2027 Avoided Costs'!$B$14:$B$47&lt;$B95+ROUND($O95,0)))))+_xlfn.XLOOKUP($B95,'2027 Avoided Costs'!$B$13:$B$47,'2027 Avoided Costs'!$I$13:$I$47))*IF($X95="Residential",'2027 Avoided Costs'!$J$5,IF($X95="Large Volume",'2027 Avoided Costs'!$J$7,'2027 Avoided Costs'!$J$6))*IF($AE95&lt;0,$AE95*(-1),0),0)</f>
        <v>0</v>
      </c>
      <c r="BF95" s="291">
        <f t="shared" si="50"/>
        <v>8690251.0796080492</v>
      </c>
      <c r="BG95" s="291">
        <f t="shared" si="51"/>
        <v>5125444.5476851845</v>
      </c>
      <c r="BH95" s="291">
        <f t="shared" si="52"/>
        <v>3564806.5319228647</v>
      </c>
      <c r="BI95" s="292">
        <f t="shared" si="56"/>
        <v>1.6955116768423231</v>
      </c>
      <c r="BJ95" s="196" cm="1">
        <f t="array" ref="BJ95">IFERROR(IF($J95="Baseload",IF($O95=1,0,NPV('2027 Avoided Costs'!$D$6,_xlfn._xlws.FILTER('2027 Avoided Costs'!$C$14:$C$47,('2027 Avoided Costs'!$B$14:$B$47&gt;=$B95+1)*('2027 Avoided Costs'!$B$14:$B$47&lt;$B95+ROUND($O95,0)))))+_xlfn.XLOOKUP($B95,'2027 Avoided Costs'!$B$13:$B$47,'2027 Avoided Costs'!$C$13:$C$47),IF($O95=1,0,NPV('2027 Avoided Costs'!$D$6,_xlfn._xlws.FILTER('2027 Avoided Costs'!$E$14:$E$47,('2027 Avoided Costs'!$B$14:$B$47&gt;=$B95+1)*('2027 Avoided Costs'!$B$14:$B$47&lt;$B95+ROUND($O95,0)))))+_xlfn.XLOOKUP($B95,'2027 Avoided Costs'!$B$13:$B$47,'2027 Avoided Costs'!$E$13:$E$47))*IF($AE95&gt;0,$AE95*(1+0),0),0)</f>
        <v>7335101.0898094894</v>
      </c>
      <c r="BK95" s="293">
        <f t="shared" si="53"/>
        <v>1.2854871324623769</v>
      </c>
    </row>
    <row r="96" spans="1:63" s="56" customFormat="1" x14ac:dyDescent="0.25">
      <c r="A96" s="270" t="s">
        <v>133</v>
      </c>
      <c r="B96" s="271">
        <v>2029</v>
      </c>
      <c r="C96" s="272" t="s">
        <v>13</v>
      </c>
      <c r="D96" s="272" t="s">
        <v>164</v>
      </c>
      <c r="E96" s="272" t="s">
        <v>85</v>
      </c>
      <c r="F96" s="273">
        <v>93</v>
      </c>
      <c r="G96" s="274">
        <v>22163.333333333336</v>
      </c>
      <c r="H96" s="275">
        <f t="shared" si="30"/>
        <v>2.5573667084625029</v>
      </c>
      <c r="I96" s="274">
        <v>200</v>
      </c>
      <c r="J96" s="276" t="s">
        <v>264</v>
      </c>
      <c r="K96" s="277">
        <f t="shared" si="54"/>
        <v>0.95</v>
      </c>
      <c r="L96" s="278">
        <v>5.000000000000001E-2</v>
      </c>
      <c r="M96" s="278">
        <v>0</v>
      </c>
      <c r="N96" s="278">
        <v>1</v>
      </c>
      <c r="O96" s="279">
        <v>15</v>
      </c>
      <c r="P96" s="280">
        <v>8666.4666666666672</v>
      </c>
      <c r="Q96" s="281">
        <v>24851.666666666668</v>
      </c>
      <c r="R96" s="282">
        <v>5.6738964992389649</v>
      </c>
      <c r="S96" s="282">
        <v>5.6738964992389649</v>
      </c>
      <c r="T96" s="281">
        <v>0</v>
      </c>
      <c r="U96" s="283">
        <v>0.05</v>
      </c>
      <c r="V96" s="284">
        <v>22163.333333333332</v>
      </c>
      <c r="W96" s="285">
        <v>0.15</v>
      </c>
      <c r="X96" s="286" t="s">
        <v>255</v>
      </c>
      <c r="Y96" s="287">
        <f t="shared" si="31"/>
        <v>93</v>
      </c>
      <c r="Z96" s="288">
        <f t="shared" si="32"/>
        <v>2061190.0000000002</v>
      </c>
      <c r="AA96" s="288">
        <f t="shared" si="33"/>
        <v>18600</v>
      </c>
      <c r="AB96" s="288">
        <f t="shared" si="34"/>
        <v>2144462.0760000004</v>
      </c>
      <c r="AC96" s="288">
        <f t="shared" si="55"/>
        <v>19245.342624000004</v>
      </c>
      <c r="AD96" s="287">
        <f t="shared" si="35"/>
        <v>805981.4</v>
      </c>
      <c r="AE96" s="287">
        <f t="shared" si="36"/>
        <v>765682.33</v>
      </c>
      <c r="AF96" s="287">
        <f t="shared" si="37"/>
        <v>12089721</v>
      </c>
      <c r="AG96" s="287">
        <f t="shared" si="38"/>
        <v>11485234.949999999</v>
      </c>
      <c r="AH96" s="287">
        <f t="shared" si="39"/>
        <v>2477611.7600000002</v>
      </c>
      <c r="AI96" s="287">
        <f t="shared" si="40"/>
        <v>2353731.1720000003</v>
      </c>
      <c r="AJ96" s="287">
        <f t="shared" si="41"/>
        <v>0</v>
      </c>
      <c r="AK96" s="287">
        <f t="shared" si="42"/>
        <v>0</v>
      </c>
      <c r="AL96" s="287">
        <f t="shared" si="43"/>
        <v>565.66478538812783</v>
      </c>
      <c r="AM96" s="287">
        <f t="shared" si="44"/>
        <v>537.38154611872153</v>
      </c>
      <c r="AN96" s="287">
        <f t="shared" si="45"/>
        <v>565.66478538812783</v>
      </c>
      <c r="AO96" s="287">
        <f t="shared" si="46"/>
        <v>537.38154611872153</v>
      </c>
      <c r="AP96" s="287">
        <f t="shared" si="47"/>
        <v>2061190</v>
      </c>
      <c r="AQ96" s="287">
        <f t="shared" si="48"/>
        <v>1958130.5</v>
      </c>
      <c r="AR96" s="287">
        <f t="shared" si="49"/>
        <v>38284.116499999996</v>
      </c>
      <c r="AS96" s="289" t="e">
        <f>IF(J96='2027 Avoided Costs'!#REF!,3,5)</f>
        <v>#REF!</v>
      </c>
      <c r="AT96" s="290" cm="1">
        <f t="array" ref="AT96">IFERROR(IF($J96="Baseload",IF($O96=1,0,NPV('2027 Avoided Costs'!$D$6,_xlfn._xlws.FILTER('2027 Avoided Costs'!$C$14:$C$47,('2027 Avoided Costs'!$B$14:$B$47&gt;=$B96+1)*('2027 Avoided Costs'!$B$14:$B$47&lt;$B96+ROUND($O96,0)))))+_xlfn.XLOOKUP($B96,'2027 Avoided Costs'!$B$13:$B$47,'2027 Avoided Costs'!$C$13:$C$47),IF($O96=1,0,NPV('2027 Avoided Costs'!$D$6,_xlfn._xlws.FILTER('2027 Avoided Costs'!$E$14:$E$47,('2027 Avoided Costs'!$B$14:$B$47&gt;=$B96+1)*('2027 Avoided Costs'!$B$14:$B$47&lt;$B96+ROUND($O96,0)))))+_xlfn.XLOOKUP($B96,'2027 Avoided Costs'!$B$13:$B$47,'2027 Avoided Costs'!$E$13:$E$47))*IF($AE96&gt;0,$AE96*(1+$W96),0),0)</f>
        <v>3254955.6637632074</v>
      </c>
      <c r="AU96" s="290" cm="1">
        <f t="array" ref="AU96">IFERROR((IF($O96=1,0,NPV('2027 Avoided Costs'!$D$6,_xlfn._xlws.FILTER('2027 Avoided Costs'!$M$14:$M$47,('2027 Avoided Costs'!$B$14:$B$47&gt;=$B96+1)*('2027 Avoided Costs'!$B$14:$B$47&lt;$B96+ROUND($O96,0)))))+_xlfn.XLOOKUP($B96,'2027 Avoided Costs'!$B$13:$B$47,'2027 Avoided Costs'!$M$13:$M$47))*IF($AK96&gt;0,$AK96*(1+$W96),0),0)</f>
        <v>0</v>
      </c>
      <c r="AV96" s="291" cm="1">
        <f t="array" ref="AV96">IFERROR((IF($O96=1,0,NPV('2027 Avoided Costs'!$D$6,_xlfn._xlws.FILTER('2027 Avoided Costs'!$Q$14:$Q$47,('2027 Avoided Costs'!$B$14:$B$47&gt;=$B96+1)*('2027 Avoided Costs'!$B$14:$B$47&lt;$B96+ROUND($O96,0)))))+_xlfn.XLOOKUP($B96,'2027 Avoided Costs'!$B$13:$B$47,'2027 Avoided Costs'!$Q$13:$Q$47))*IF($AI96&gt;0,$AI96*(1+$W96),0),0)</f>
        <v>1536875.1532331919</v>
      </c>
      <c r="AW96" s="291" cm="1">
        <f t="array" ref="AW96">IFERROR((IF($O96=1,0,NPV('2027 Avoided Costs'!$D$6,_xlfn._xlws.FILTER('2027 Avoided Costs'!$W$14:$W$47,('2027 Avoided Costs'!$B$14:$B$47&gt;=$B96+1)*('2027 Avoided Costs'!$B$14:$B$47&lt;$B96+ROUND($O96,0)))))+_xlfn.XLOOKUP($B96,'2027 Avoided Costs'!$B$13:$B$47,'2027 Avoided Costs'!$W$13:$W$47))*IF($AM96&gt;0,$AM96*(1+$W96),0),0)</f>
        <v>2175711.5154360365</v>
      </c>
      <c r="AX96" s="291" cm="1">
        <f t="array" ref="AX96">IFERROR((IF($O96=1,0,NPV('2027 Avoided Costs'!$D$6,_xlfn._xlws.FILTER('2027 Avoided Costs'!$AC$14:$AC$47,('2027 Avoided Costs'!$B$14:$B$47&gt;=$B96+1)*('2027 Avoided Costs'!$B$14:$B$47&lt;$B96+ROUND($O96,0)))))+_xlfn.XLOOKUP($B96,'2027 Avoided Costs'!$B$13:$B$47,'2027 Avoided Costs'!$AC$13:$AC$47))*IF($AO96&gt;0,$AO96*(1+$W96),0),0)</f>
        <v>286619.32283276808</v>
      </c>
      <c r="AY96" s="291" cm="1">
        <f t="array" ref="AY96">IFERROR((IF($O96=1,0,NPV('2027 Avoided Costs'!$D$4,_xlfn._xlws.FILTER('2027 Avoided Costs'!$I$14:$I$47,('2027 Avoided Costs'!$B$14:$B$47&gt;=$B96+1)*('2027 Avoided Costs'!$B$14:$B$47&lt;$B96+ROUND($O96,0)))))+_xlfn.XLOOKUP($B96,'2027 Avoided Costs'!$B$13:$B$47,'2027 Avoided Costs'!$I$13:$I$47))*IF($X96="Residential",'2027 Avoided Costs'!$J$5,IF($X96="Large Volume",'2027 Avoided Costs'!$J$7,'2027 Avoided Costs'!$J$6))*IF($AE96&gt;0,$AE96,0),0)</f>
        <v>0</v>
      </c>
      <c r="AZ96" s="291" cm="1">
        <f t="array" ref="AZ96">IFERROR(IF($J96="Baseload",IF($O96=1,0,NPV('2027 Avoided Costs'!$D$6,_xlfn._xlws.FILTER('2027 Avoided Costs'!$C$14:$C$47,('2027 Avoided Costs'!$B$14:$B$47&gt;=$B96+1)*('2027 Avoided Costs'!$B$14:$B$47&lt;$B96+ROUND($O96,0)))))+_xlfn.XLOOKUP($B96,'2027 Avoided Costs'!$B$13:$B$47,'2027 Avoided Costs'!$C$13:$C$47),IF($O96=1,0,NPV('2027 Avoided Costs'!$D$6,_xlfn._xlws.FILTER('2027 Avoided Costs'!$E$14:$E$47,('2027 Avoided Costs'!$B$14:$B$47&gt;=$B96+1)*('2027 Avoided Costs'!$B$14:$B$47&lt;$B96+ROUND($O96,0)))))+_xlfn.XLOOKUP($B96,'2027 Avoided Costs'!$B$13:$B$47,'2027 Avoided Costs'!$E$13:$E$47))*IF($AE96&lt;0,$AE96*(-1),0),0)</f>
        <v>0</v>
      </c>
      <c r="BA96" s="291" cm="1">
        <f t="array" ref="BA96">IFERROR((IF($O96=1,0,NPV('2027 Avoided Costs'!$D$6,_xlfn._xlws.FILTER('2027 Avoided Costs'!$M$14:$M$47,('2027 Avoided Costs'!$B$14:$B$47&gt;=$B96+1)*('2027 Avoided Costs'!$B$14:$B$47&lt;$B96+ROUND($O96,0)))))+_xlfn.XLOOKUP($B96,'2027 Avoided Costs'!$B$13:$B$47,'2027 Avoided Costs'!$M$13:$M$47))*IF($AK96&lt;0,$AK96*(-1),0),0)</f>
        <v>0</v>
      </c>
      <c r="BB96" s="291" cm="1">
        <f t="array" ref="BB96">IFERROR((IF($O96=1,0,NPV('2027 Avoided Costs'!$D$6,_xlfn._xlws.FILTER('2027 Avoided Costs'!$S$14:$S$47,('2027 Avoided Costs'!$B$14:$B$47&gt;=$B96+1)*('2027 Avoided Costs'!$B$14:$B$47&lt;$B96+ROUND($O96,0)))))+_xlfn.XLOOKUP($B96,'2027 Avoided Costs'!$B$13:$B$47,'2027 Avoided Costs'!$S$13:$S$47))*IF($AI96&lt;0,$AI96*(-1),0),0)</f>
        <v>0</v>
      </c>
      <c r="BC96" s="291" cm="1">
        <f t="array" ref="BC96">IFERROR((IF($O96=1,0,NPV('2027 Avoided Costs'!$D$6,_xlfn._xlws.FILTER('2027 Avoided Costs'!$Y$14:$Y$47,('2027 Avoided Costs'!$B$14:$B$47&gt;=$B96+1)*('2027 Avoided Costs'!$B$14:$B$47&lt;$B96+ROUND($O96,0)))))+_xlfn.XLOOKUP($B96,'2027 Avoided Costs'!$B$13:$B$47,'2027 Avoided Costs'!$Y$13:$Y$47))*IF($AM96&lt;0,$AM96*(-1),0),0)</f>
        <v>0</v>
      </c>
      <c r="BD96" s="291" cm="1">
        <f t="array" ref="BD96">IFERROR((IF($O96=1,0,NPV('2027 Avoided Costs'!$D$6,_xlfn._xlws.FILTER('2027 Avoided Costs'!$AE$14:$AE$47,('2027 Avoided Costs'!$B$14:$B$47&gt;=$B96+1)*('2027 Avoided Costs'!$B$14:$B$47&lt;$B96+ROUND($O96,0)))))+_xlfn.XLOOKUP($B96,'2027 Avoided Costs'!$B$13:$B$47,'2027 Avoided Costs'!$AE$13:$AE$47))*IF($AO96&lt;0,$AO96*(-1),0),0)</f>
        <v>0</v>
      </c>
      <c r="BE96" s="291" cm="1">
        <f t="array" ref="BE96">IFERROR((IF($O96=1,0,NPV('2027 Avoided Costs'!$D$4,_xlfn._xlws.FILTER('2027 Avoided Costs'!$I$14:$I$47,('2027 Avoided Costs'!$B$14:$B$47&gt;=$B96+1)*('2027 Avoided Costs'!$B$14:$B$47&lt;$B96+ROUND($O96,0)))))+_xlfn.XLOOKUP($B96,'2027 Avoided Costs'!$B$13:$B$47,'2027 Avoided Costs'!$I$13:$I$47))*IF($X96="Residential",'2027 Avoided Costs'!$J$5,IF($X96="Large Volume",'2027 Avoided Costs'!$J$7,'2027 Avoided Costs'!$J$6))*IF($AE96&lt;0,$AE96*(-1),0),0)</f>
        <v>0</v>
      </c>
      <c r="BF96" s="291">
        <f t="shared" si="50"/>
        <v>7254161.6552652037</v>
      </c>
      <c r="BG96" s="291">
        <f t="shared" si="51"/>
        <v>1958130.5</v>
      </c>
      <c r="BH96" s="291">
        <f t="shared" si="52"/>
        <v>5296031.1552652037</v>
      </c>
      <c r="BI96" s="292">
        <f t="shared" si="56"/>
        <v>3.7046364658868263</v>
      </c>
      <c r="BJ96" s="196" cm="1">
        <f t="array" ref="BJ96">IFERROR(IF($J96="Baseload",IF($O96=1,0,NPV('2027 Avoided Costs'!$D$6,_xlfn._xlws.FILTER('2027 Avoided Costs'!$C$14:$C$47,('2027 Avoided Costs'!$B$14:$B$47&gt;=$B96+1)*('2027 Avoided Costs'!$B$14:$B$47&lt;$B96+ROUND($O96,0)))))+_xlfn.XLOOKUP($B96,'2027 Avoided Costs'!$B$13:$B$47,'2027 Avoided Costs'!$C$13:$C$47),IF($O96=1,0,NPV('2027 Avoided Costs'!$D$6,_xlfn._xlws.FILTER('2027 Avoided Costs'!$E$14:$E$47,('2027 Avoided Costs'!$B$14:$B$47&gt;=$B96+1)*('2027 Avoided Costs'!$B$14:$B$47&lt;$B96+ROUND($O96,0)))))+_xlfn.XLOOKUP($B96,'2027 Avoided Costs'!$B$13:$B$47,'2027 Avoided Costs'!$E$13:$E$47))*IF($AE96&gt;0,$AE96*(1+0),0),0)</f>
        <v>2830396.2293593111</v>
      </c>
      <c r="BK96" s="293">
        <f t="shared" si="53"/>
        <v>1.3081233650154458</v>
      </c>
    </row>
    <row r="97" spans="1:63" s="56" customFormat="1" x14ac:dyDescent="0.25">
      <c r="A97" s="270" t="s">
        <v>133</v>
      </c>
      <c r="B97" s="271">
        <v>2029</v>
      </c>
      <c r="C97" s="272" t="s">
        <v>13</v>
      </c>
      <c r="D97" s="272" t="s">
        <v>164</v>
      </c>
      <c r="E97" s="272" t="s">
        <v>86</v>
      </c>
      <c r="F97" s="273">
        <v>1635</v>
      </c>
      <c r="G97" s="274">
        <v>1825.4605597964376</v>
      </c>
      <c r="H97" s="275">
        <f t="shared" si="30"/>
        <v>0.7194592166945768</v>
      </c>
      <c r="I97" s="274">
        <v>200</v>
      </c>
      <c r="J97" s="276" t="s">
        <v>264</v>
      </c>
      <c r="K97" s="277">
        <f t="shared" si="54"/>
        <v>0.95</v>
      </c>
      <c r="L97" s="278">
        <v>4.9999999999999996E-2</v>
      </c>
      <c r="M97" s="278">
        <v>0</v>
      </c>
      <c r="N97" s="278">
        <v>1</v>
      </c>
      <c r="O97" s="279">
        <v>10</v>
      </c>
      <c r="P97" s="280">
        <v>2537.2675996607295</v>
      </c>
      <c r="Q97" s="281">
        <v>472.51145038167937</v>
      </c>
      <c r="R97" s="282">
        <v>0.28794317428498734</v>
      </c>
      <c r="S97" s="282">
        <v>8.5049071186538983E-2</v>
      </c>
      <c r="T97" s="281">
        <v>0</v>
      </c>
      <c r="U97" s="283">
        <v>0.05</v>
      </c>
      <c r="V97" s="284">
        <v>1825.4605597964376</v>
      </c>
      <c r="W97" s="285">
        <v>0.15</v>
      </c>
      <c r="X97" s="286" t="s">
        <v>255</v>
      </c>
      <c r="Y97" s="287">
        <f t="shared" si="31"/>
        <v>1635</v>
      </c>
      <c r="Z97" s="288">
        <f t="shared" si="32"/>
        <v>2984628.0152671756</v>
      </c>
      <c r="AA97" s="288">
        <f t="shared" si="33"/>
        <v>327000</v>
      </c>
      <c r="AB97" s="288">
        <f t="shared" si="34"/>
        <v>3105206.9870839696</v>
      </c>
      <c r="AC97" s="288">
        <f t="shared" si="55"/>
        <v>338345.53968000005</v>
      </c>
      <c r="AD97" s="287">
        <f t="shared" si="35"/>
        <v>4148432.5254452927</v>
      </c>
      <c r="AE97" s="287">
        <f t="shared" si="36"/>
        <v>3941010.8991730278</v>
      </c>
      <c r="AF97" s="287">
        <f t="shared" si="37"/>
        <v>41484325.254452929</v>
      </c>
      <c r="AG97" s="287">
        <f t="shared" si="38"/>
        <v>39410108.99173028</v>
      </c>
      <c r="AH97" s="287">
        <f t="shared" si="39"/>
        <v>828180.26931297709</v>
      </c>
      <c r="AI97" s="287">
        <f t="shared" si="40"/>
        <v>786771.25584732823</v>
      </c>
      <c r="AJ97" s="287">
        <f t="shared" si="41"/>
        <v>0</v>
      </c>
      <c r="AK97" s="287">
        <f t="shared" si="42"/>
        <v>0</v>
      </c>
      <c r="AL97" s="287">
        <f t="shared" si="43"/>
        <v>504.683760432783</v>
      </c>
      <c r="AM97" s="287">
        <f t="shared" si="44"/>
        <v>479.44957241114383</v>
      </c>
      <c r="AN97" s="287">
        <f t="shared" si="45"/>
        <v>149.0672080500706</v>
      </c>
      <c r="AO97" s="287">
        <f t="shared" si="46"/>
        <v>141.6138476475671</v>
      </c>
      <c r="AP97" s="287">
        <f t="shared" si="47"/>
        <v>2984628.0152671756</v>
      </c>
      <c r="AQ97" s="287">
        <f t="shared" si="48"/>
        <v>2835396.6145038167</v>
      </c>
      <c r="AR97" s="287">
        <f t="shared" si="49"/>
        <v>197050.54495865142</v>
      </c>
      <c r="AS97" s="289" t="e">
        <f>IF(J97='2027 Avoided Costs'!#REF!,3,5)</f>
        <v>#REF!</v>
      </c>
      <c r="AT97" s="290" cm="1">
        <f t="array" ref="AT97">IFERROR(IF($J97="Baseload",IF($O97=1,0,NPV('2027 Avoided Costs'!$D$6,_xlfn._xlws.FILTER('2027 Avoided Costs'!$C$14:$C$47,('2027 Avoided Costs'!$B$14:$B$47&gt;=$B97+1)*('2027 Avoided Costs'!$B$14:$B$47&lt;$B97+ROUND($O97,0)))))+_xlfn.XLOOKUP($B97,'2027 Avoided Costs'!$B$13:$B$47,'2027 Avoided Costs'!$C$13:$C$47),IF($O97=1,0,NPV('2027 Avoided Costs'!$D$6,_xlfn._xlws.FILTER('2027 Avoided Costs'!$E$14:$E$47,('2027 Avoided Costs'!$B$14:$B$47&gt;=$B97+1)*('2027 Avoided Costs'!$B$14:$B$47&lt;$B97+ROUND($O97,0)))))+_xlfn.XLOOKUP($B97,'2027 Avoided Costs'!$B$13:$B$47,'2027 Avoided Costs'!$E$13:$E$47))*IF($AE97&gt;0,$AE97*(1+$W97),0),0)</f>
        <v>12022171.465456231</v>
      </c>
      <c r="AU97" s="290" cm="1">
        <f t="array" ref="AU97">IFERROR((IF($O97=1,0,NPV('2027 Avoided Costs'!$D$6,_xlfn._xlws.FILTER('2027 Avoided Costs'!$M$14:$M$47,('2027 Avoided Costs'!$B$14:$B$47&gt;=$B97+1)*('2027 Avoided Costs'!$B$14:$B$47&lt;$B97+ROUND($O97,0)))))+_xlfn.XLOOKUP($B97,'2027 Avoided Costs'!$B$13:$B$47,'2027 Avoided Costs'!$M$13:$M$47))*IF($AK97&gt;0,$AK97*(1+$W97),0),0)</f>
        <v>0</v>
      </c>
      <c r="AV97" s="291" cm="1">
        <f t="array" ref="AV97">IFERROR((IF($O97=1,0,NPV('2027 Avoided Costs'!$D$6,_xlfn._xlws.FILTER('2027 Avoided Costs'!$Q$14:$Q$47,('2027 Avoided Costs'!$B$14:$B$47&gt;=$B97+1)*('2027 Avoided Costs'!$B$14:$B$47&lt;$B97+ROUND($O97,0)))))+_xlfn.XLOOKUP($B97,'2027 Avoided Costs'!$B$13:$B$47,'2027 Avoided Costs'!$Q$13:$Q$47))*IF($AI97&gt;0,$AI97*(1+$W97),0),0)</f>
        <v>371552.22472852824</v>
      </c>
      <c r="AW97" s="291" cm="1">
        <f t="array" ref="AW97">IFERROR((IF($O97=1,0,NPV('2027 Avoided Costs'!$D$6,_xlfn._xlws.FILTER('2027 Avoided Costs'!$W$14:$W$47,('2027 Avoided Costs'!$B$14:$B$47&gt;=$B97+1)*('2027 Avoided Costs'!$B$14:$B$47&lt;$B97+ROUND($O97,0)))))+_xlfn.XLOOKUP($B97,'2027 Avoided Costs'!$B$13:$B$47,'2027 Avoided Costs'!$W$13:$W$47))*IF($AM97&gt;0,$AM97*(1+$W97),0),0)</f>
        <v>1563392.0132644665</v>
      </c>
      <c r="AX97" s="291" cm="1">
        <f t="array" ref="AX97">IFERROR((IF($O97=1,0,NPV('2027 Avoided Costs'!$D$6,_xlfn._xlws.FILTER('2027 Avoided Costs'!$AC$14:$AC$47,('2027 Avoided Costs'!$B$14:$B$47&gt;=$B97+1)*('2027 Avoided Costs'!$B$14:$B$47&lt;$B97+ROUND($O97,0)))))+_xlfn.XLOOKUP($B97,'2027 Avoided Costs'!$B$13:$B$47,'2027 Avoided Costs'!$AC$13:$AC$47))*IF($AO97&gt;0,$AO97*(1+$W97),0),0)</f>
        <v>0</v>
      </c>
      <c r="AY97" s="291" cm="1">
        <f t="array" ref="AY97">IFERROR((IF($O97=1,0,NPV('2027 Avoided Costs'!$D$4,_xlfn._xlws.FILTER('2027 Avoided Costs'!$I$14:$I$47,('2027 Avoided Costs'!$B$14:$B$47&gt;=$B97+1)*('2027 Avoided Costs'!$B$14:$B$47&lt;$B97+ROUND($O97,0)))))+_xlfn.XLOOKUP($B97,'2027 Avoided Costs'!$B$13:$B$47,'2027 Avoided Costs'!$I$13:$I$47))*IF($X97="Residential",'2027 Avoided Costs'!$J$5,IF($X97="Large Volume",'2027 Avoided Costs'!$J$7,'2027 Avoided Costs'!$J$6))*IF($AE97&gt;0,$AE97,0),0)</f>
        <v>0</v>
      </c>
      <c r="AZ97" s="291" cm="1">
        <f t="array" ref="AZ97">IFERROR(IF($J97="Baseload",IF($O97=1,0,NPV('2027 Avoided Costs'!$D$6,_xlfn._xlws.FILTER('2027 Avoided Costs'!$C$14:$C$47,('2027 Avoided Costs'!$B$14:$B$47&gt;=$B97+1)*('2027 Avoided Costs'!$B$14:$B$47&lt;$B97+ROUND($O97,0)))))+_xlfn.XLOOKUP($B97,'2027 Avoided Costs'!$B$13:$B$47,'2027 Avoided Costs'!$C$13:$C$47),IF($O97=1,0,NPV('2027 Avoided Costs'!$D$6,_xlfn._xlws.FILTER('2027 Avoided Costs'!$E$14:$E$47,('2027 Avoided Costs'!$B$14:$B$47&gt;=$B97+1)*('2027 Avoided Costs'!$B$14:$B$47&lt;$B97+ROUND($O97,0)))))+_xlfn.XLOOKUP($B97,'2027 Avoided Costs'!$B$13:$B$47,'2027 Avoided Costs'!$E$13:$E$47))*IF($AE97&lt;0,$AE97*(-1),0),0)</f>
        <v>0</v>
      </c>
      <c r="BA97" s="291" cm="1">
        <f t="array" ref="BA97">IFERROR((IF($O97=1,0,NPV('2027 Avoided Costs'!$D$6,_xlfn._xlws.FILTER('2027 Avoided Costs'!$M$14:$M$47,('2027 Avoided Costs'!$B$14:$B$47&gt;=$B97+1)*('2027 Avoided Costs'!$B$14:$B$47&lt;$B97+ROUND($O97,0)))))+_xlfn.XLOOKUP($B97,'2027 Avoided Costs'!$B$13:$B$47,'2027 Avoided Costs'!$M$13:$M$47))*IF($AK97&lt;0,$AK97*(-1),0),0)</f>
        <v>0</v>
      </c>
      <c r="BB97" s="291" cm="1">
        <f t="array" ref="BB97">IFERROR((IF($O97=1,0,NPV('2027 Avoided Costs'!$D$6,_xlfn._xlws.FILTER('2027 Avoided Costs'!$S$14:$S$47,('2027 Avoided Costs'!$B$14:$B$47&gt;=$B97+1)*('2027 Avoided Costs'!$B$14:$B$47&lt;$B97+ROUND($O97,0)))))+_xlfn.XLOOKUP($B97,'2027 Avoided Costs'!$B$13:$B$47,'2027 Avoided Costs'!$S$13:$S$47))*IF($AI97&lt;0,$AI97*(-1),0),0)</f>
        <v>0</v>
      </c>
      <c r="BC97" s="291" cm="1">
        <f t="array" ref="BC97">IFERROR((IF($O97=1,0,NPV('2027 Avoided Costs'!$D$6,_xlfn._xlws.FILTER('2027 Avoided Costs'!$Y$14:$Y$47,('2027 Avoided Costs'!$B$14:$B$47&gt;=$B97+1)*('2027 Avoided Costs'!$B$14:$B$47&lt;$B97+ROUND($O97,0)))))+_xlfn.XLOOKUP($B97,'2027 Avoided Costs'!$B$13:$B$47,'2027 Avoided Costs'!$Y$13:$Y$47))*IF($AM97&lt;0,$AM97*(-1),0),0)</f>
        <v>0</v>
      </c>
      <c r="BD97" s="291" cm="1">
        <f t="array" ref="BD97">IFERROR((IF($O97=1,0,NPV('2027 Avoided Costs'!$D$6,_xlfn._xlws.FILTER('2027 Avoided Costs'!$AE$14:$AE$47,('2027 Avoided Costs'!$B$14:$B$47&gt;=$B97+1)*('2027 Avoided Costs'!$B$14:$B$47&lt;$B97+ROUND($O97,0)))))+_xlfn.XLOOKUP($B97,'2027 Avoided Costs'!$B$13:$B$47,'2027 Avoided Costs'!$AE$13:$AE$47))*IF($AO97&lt;0,$AO97*(-1),0),0)</f>
        <v>0</v>
      </c>
      <c r="BE97" s="291" cm="1">
        <f t="array" ref="BE97">IFERROR((IF($O97=1,0,NPV('2027 Avoided Costs'!$D$4,_xlfn._xlws.FILTER('2027 Avoided Costs'!$I$14:$I$47,('2027 Avoided Costs'!$B$14:$B$47&gt;=$B97+1)*('2027 Avoided Costs'!$B$14:$B$47&lt;$B97+ROUND($O97,0)))))+_xlfn.XLOOKUP($B97,'2027 Avoided Costs'!$B$13:$B$47,'2027 Avoided Costs'!$I$13:$I$47))*IF($X97="Residential",'2027 Avoided Costs'!$J$5,IF($X97="Large Volume",'2027 Avoided Costs'!$J$7,'2027 Avoided Costs'!$J$6))*IF($AE97&lt;0,$AE97*(-1),0),0)</f>
        <v>0</v>
      </c>
      <c r="BF97" s="291">
        <f t="shared" si="50"/>
        <v>13957115.703449225</v>
      </c>
      <c r="BG97" s="291">
        <f t="shared" si="51"/>
        <v>2835396.6145038167</v>
      </c>
      <c r="BH97" s="291">
        <f t="shared" si="52"/>
        <v>11121719.088945407</v>
      </c>
      <c r="BI97" s="292">
        <f t="shared" si="56"/>
        <v>4.9224562207822435</v>
      </c>
      <c r="BJ97" s="196" cm="1">
        <f t="array" ref="BJ97">IFERROR(IF($J97="Baseload",IF($O97=1,0,NPV('2027 Avoided Costs'!$D$6,_xlfn._xlws.FILTER('2027 Avoided Costs'!$C$14:$C$47,('2027 Avoided Costs'!$B$14:$B$47&gt;=$B97+1)*('2027 Avoided Costs'!$B$14:$B$47&lt;$B97+ROUND($O97,0)))))+_xlfn.XLOOKUP($B97,'2027 Avoided Costs'!$B$13:$B$47,'2027 Avoided Costs'!$C$13:$C$47),IF($O97=1,0,NPV('2027 Avoided Costs'!$D$6,_xlfn._xlws.FILTER('2027 Avoided Costs'!$E$14:$E$47,('2027 Avoided Costs'!$B$14:$B$47&gt;=$B97+1)*('2027 Avoided Costs'!$B$14:$B$47&lt;$B97+ROUND($O97,0)))))+_xlfn.XLOOKUP($B97,'2027 Avoided Costs'!$B$13:$B$47,'2027 Avoided Costs'!$E$13:$E$47))*IF($AE97&gt;0,$AE97*(1+0),0),0)</f>
        <v>10454062.143874984</v>
      </c>
      <c r="BK97" s="293">
        <f t="shared" si="53"/>
        <v>3.0358364109807972</v>
      </c>
    </row>
    <row r="98" spans="1:63" s="56" customFormat="1" x14ac:dyDescent="0.25">
      <c r="A98" s="270" t="s">
        <v>133</v>
      </c>
      <c r="B98" s="271">
        <v>2029</v>
      </c>
      <c r="C98" s="272" t="s">
        <v>13</v>
      </c>
      <c r="D98" s="272" t="s">
        <v>164</v>
      </c>
      <c r="E98" s="272" t="s">
        <v>83</v>
      </c>
      <c r="F98" s="273">
        <v>899</v>
      </c>
      <c r="G98" s="274">
        <v>570</v>
      </c>
      <c r="H98" s="275">
        <f t="shared" si="30"/>
        <v>1.5</v>
      </c>
      <c r="I98" s="274">
        <v>200</v>
      </c>
      <c r="J98" s="276" t="s">
        <v>264</v>
      </c>
      <c r="K98" s="277">
        <f t="shared" si="54"/>
        <v>0.97</v>
      </c>
      <c r="L98" s="278">
        <v>0.03</v>
      </c>
      <c r="M98" s="278">
        <v>0</v>
      </c>
      <c r="N98" s="278">
        <v>1</v>
      </c>
      <c r="O98" s="279">
        <v>10</v>
      </c>
      <c r="P98" s="280">
        <v>380</v>
      </c>
      <c r="Q98" s="281">
        <v>995</v>
      </c>
      <c r="R98" s="282">
        <v>0.60634183189028379</v>
      </c>
      <c r="S98" s="282">
        <v>0.17909370399860136</v>
      </c>
      <c r="T98" s="281">
        <v>0</v>
      </c>
      <c r="U98" s="283">
        <v>0.05</v>
      </c>
      <c r="V98" s="284">
        <v>235</v>
      </c>
      <c r="W98" s="285">
        <v>0.15</v>
      </c>
      <c r="X98" s="286" t="s">
        <v>255</v>
      </c>
      <c r="Y98" s="287">
        <f t="shared" si="31"/>
        <v>899</v>
      </c>
      <c r="Z98" s="288">
        <f t="shared" si="32"/>
        <v>512430</v>
      </c>
      <c r="AA98" s="288">
        <f t="shared" si="33"/>
        <v>179800</v>
      </c>
      <c r="AB98" s="288">
        <f t="shared" si="34"/>
        <v>533132.17200000002</v>
      </c>
      <c r="AC98" s="288">
        <f t="shared" si="55"/>
        <v>186038.31203200002</v>
      </c>
      <c r="AD98" s="287">
        <f t="shared" si="35"/>
        <v>341620</v>
      </c>
      <c r="AE98" s="287">
        <f t="shared" si="36"/>
        <v>331371.39999999997</v>
      </c>
      <c r="AF98" s="287">
        <f t="shared" si="37"/>
        <v>3416200</v>
      </c>
      <c r="AG98" s="287">
        <f t="shared" si="38"/>
        <v>3313713.9999999995</v>
      </c>
      <c r="AH98" s="287">
        <f t="shared" si="39"/>
        <v>958909.3600000001</v>
      </c>
      <c r="AI98" s="287">
        <f t="shared" si="40"/>
        <v>930142.07920000004</v>
      </c>
      <c r="AJ98" s="287">
        <f t="shared" si="41"/>
        <v>0</v>
      </c>
      <c r="AK98" s="287">
        <f t="shared" si="42"/>
        <v>0</v>
      </c>
      <c r="AL98" s="287">
        <f t="shared" si="43"/>
        <v>584.34860096395937</v>
      </c>
      <c r="AM98" s="287">
        <f t="shared" si="44"/>
        <v>566.81814293504056</v>
      </c>
      <c r="AN98" s="287">
        <f t="shared" si="45"/>
        <v>172.59761716716412</v>
      </c>
      <c r="AO98" s="287">
        <f t="shared" si="46"/>
        <v>167.41968865214918</v>
      </c>
      <c r="AP98" s="287">
        <f t="shared" si="47"/>
        <v>211265</v>
      </c>
      <c r="AQ98" s="287">
        <f t="shared" si="48"/>
        <v>204927.05</v>
      </c>
      <c r="AR98" s="287">
        <f t="shared" si="49"/>
        <v>16568.57</v>
      </c>
      <c r="AS98" s="289" t="e">
        <f>IF(J98='2027 Avoided Costs'!#REF!,3,5)</f>
        <v>#REF!</v>
      </c>
      <c r="AT98" s="290" cm="1">
        <f t="array" ref="AT98">IFERROR(IF($J98="Baseload",IF($O98=1,0,NPV('2027 Avoided Costs'!$D$6,_xlfn._xlws.FILTER('2027 Avoided Costs'!$C$14:$C$47,('2027 Avoided Costs'!$B$14:$B$47&gt;=$B98+1)*('2027 Avoided Costs'!$B$14:$B$47&lt;$B98+ROUND($O98,0)))))+_xlfn.XLOOKUP($B98,'2027 Avoided Costs'!$B$13:$B$47,'2027 Avoided Costs'!$C$13:$C$47),IF($O98=1,0,NPV('2027 Avoided Costs'!$D$6,_xlfn._xlws.FILTER('2027 Avoided Costs'!$E$14:$E$47,('2027 Avoided Costs'!$B$14:$B$47&gt;=$B98+1)*('2027 Avoided Costs'!$B$14:$B$47&lt;$B98+ROUND($O98,0)))))+_xlfn.XLOOKUP($B98,'2027 Avoided Costs'!$B$13:$B$47,'2027 Avoided Costs'!$E$13:$E$47))*IF($AE98&gt;0,$AE98*(1+$W98),0),0)</f>
        <v>1010858.3537244806</v>
      </c>
      <c r="AU98" s="290" cm="1">
        <f t="array" ref="AU98">IFERROR((IF($O98=1,0,NPV('2027 Avoided Costs'!$D$6,_xlfn._xlws.FILTER('2027 Avoided Costs'!$M$14:$M$47,('2027 Avoided Costs'!$B$14:$B$47&gt;=$B98+1)*('2027 Avoided Costs'!$B$14:$B$47&lt;$B98+ROUND($O98,0)))))+_xlfn.XLOOKUP($B98,'2027 Avoided Costs'!$B$13:$B$47,'2027 Avoided Costs'!$M$13:$M$47))*IF($AK98&gt;0,$AK98*(1+$W98),0),0)</f>
        <v>0</v>
      </c>
      <c r="AV98" s="291" cm="1">
        <f t="array" ref="AV98">IFERROR((IF($O98=1,0,NPV('2027 Avoided Costs'!$D$6,_xlfn._xlws.FILTER('2027 Avoided Costs'!$Q$14:$Q$47,('2027 Avoided Costs'!$B$14:$B$47&gt;=$B98+1)*('2027 Avoided Costs'!$B$14:$B$47&lt;$B98+ROUND($O98,0)))))+_xlfn.XLOOKUP($B98,'2027 Avoided Costs'!$B$13:$B$47,'2027 Avoided Costs'!$Q$13:$Q$47))*IF($AI98&gt;0,$AI98*(1+$W98),0),0)</f>
        <v>439259.00478936837</v>
      </c>
      <c r="AW98" s="291" cm="1">
        <f t="array" ref="AW98">IFERROR((IF($O98=1,0,NPV('2027 Avoided Costs'!$D$6,_xlfn._xlws.FILTER('2027 Avoided Costs'!$W$14:$W$47,('2027 Avoided Costs'!$B$14:$B$47&gt;=$B98+1)*('2027 Avoided Costs'!$B$14:$B$47&lt;$B98+ROUND($O98,0)))))+_xlfn.XLOOKUP($B98,'2027 Avoided Costs'!$B$13:$B$47,'2027 Avoided Costs'!$W$13:$W$47))*IF($AM98&gt;0,$AM98*(1+$W98),0),0)</f>
        <v>1848283.9669280769</v>
      </c>
      <c r="AX98" s="291" cm="1">
        <f t="array" ref="AX98">IFERROR((IF($O98=1,0,NPV('2027 Avoided Costs'!$D$6,_xlfn._xlws.FILTER('2027 Avoided Costs'!$AC$14:$AC$47,('2027 Avoided Costs'!$B$14:$B$47&gt;=$B98+1)*('2027 Avoided Costs'!$B$14:$B$47&lt;$B98+ROUND($O98,0)))))+_xlfn.XLOOKUP($B98,'2027 Avoided Costs'!$B$13:$B$47,'2027 Avoided Costs'!$AC$13:$AC$47))*IF($AO98&gt;0,$AO98*(1+$W98),0),0)</f>
        <v>0</v>
      </c>
      <c r="AY98" s="291" cm="1">
        <f t="array" ref="AY98">IFERROR((IF($O98=1,0,NPV('2027 Avoided Costs'!$D$4,_xlfn._xlws.FILTER('2027 Avoided Costs'!$I$14:$I$47,('2027 Avoided Costs'!$B$14:$B$47&gt;=$B98+1)*('2027 Avoided Costs'!$B$14:$B$47&lt;$B98+ROUND($O98,0)))))+_xlfn.XLOOKUP($B98,'2027 Avoided Costs'!$B$13:$B$47,'2027 Avoided Costs'!$I$13:$I$47))*IF($X98="Residential",'2027 Avoided Costs'!$J$5,IF($X98="Large Volume",'2027 Avoided Costs'!$J$7,'2027 Avoided Costs'!$J$6))*IF($AE98&gt;0,$AE98,0),0)</f>
        <v>0</v>
      </c>
      <c r="AZ98" s="291" cm="1">
        <f t="array" ref="AZ98">IFERROR(IF($J98="Baseload",IF($O98=1,0,NPV('2027 Avoided Costs'!$D$6,_xlfn._xlws.FILTER('2027 Avoided Costs'!$C$14:$C$47,('2027 Avoided Costs'!$B$14:$B$47&gt;=$B98+1)*('2027 Avoided Costs'!$B$14:$B$47&lt;$B98+ROUND($O98,0)))))+_xlfn.XLOOKUP($B98,'2027 Avoided Costs'!$B$13:$B$47,'2027 Avoided Costs'!$C$13:$C$47),IF($O98=1,0,NPV('2027 Avoided Costs'!$D$6,_xlfn._xlws.FILTER('2027 Avoided Costs'!$E$14:$E$47,('2027 Avoided Costs'!$B$14:$B$47&gt;=$B98+1)*('2027 Avoided Costs'!$B$14:$B$47&lt;$B98+ROUND($O98,0)))))+_xlfn.XLOOKUP($B98,'2027 Avoided Costs'!$B$13:$B$47,'2027 Avoided Costs'!$E$13:$E$47))*IF($AE98&lt;0,$AE98*(-1),0),0)</f>
        <v>0</v>
      </c>
      <c r="BA98" s="291" cm="1">
        <f t="array" ref="BA98">IFERROR((IF($O98=1,0,NPV('2027 Avoided Costs'!$D$6,_xlfn._xlws.FILTER('2027 Avoided Costs'!$M$14:$M$47,('2027 Avoided Costs'!$B$14:$B$47&gt;=$B98+1)*('2027 Avoided Costs'!$B$14:$B$47&lt;$B98+ROUND($O98,0)))))+_xlfn.XLOOKUP($B98,'2027 Avoided Costs'!$B$13:$B$47,'2027 Avoided Costs'!$M$13:$M$47))*IF($AK98&lt;0,$AK98*(-1),0),0)</f>
        <v>0</v>
      </c>
      <c r="BB98" s="291" cm="1">
        <f t="array" ref="BB98">IFERROR((IF($O98=1,0,NPV('2027 Avoided Costs'!$D$6,_xlfn._xlws.FILTER('2027 Avoided Costs'!$S$14:$S$47,('2027 Avoided Costs'!$B$14:$B$47&gt;=$B98+1)*('2027 Avoided Costs'!$B$14:$B$47&lt;$B98+ROUND($O98,0)))))+_xlfn.XLOOKUP($B98,'2027 Avoided Costs'!$B$13:$B$47,'2027 Avoided Costs'!$S$13:$S$47))*IF($AI98&lt;0,$AI98*(-1),0),0)</f>
        <v>0</v>
      </c>
      <c r="BC98" s="291" cm="1">
        <f t="array" ref="BC98">IFERROR((IF($O98=1,0,NPV('2027 Avoided Costs'!$D$6,_xlfn._xlws.FILTER('2027 Avoided Costs'!$Y$14:$Y$47,('2027 Avoided Costs'!$B$14:$B$47&gt;=$B98+1)*('2027 Avoided Costs'!$B$14:$B$47&lt;$B98+ROUND($O98,0)))))+_xlfn.XLOOKUP($B98,'2027 Avoided Costs'!$B$13:$B$47,'2027 Avoided Costs'!$Y$13:$Y$47))*IF($AM98&lt;0,$AM98*(-1),0),0)</f>
        <v>0</v>
      </c>
      <c r="BD98" s="291" cm="1">
        <f t="array" ref="BD98">IFERROR((IF($O98=1,0,NPV('2027 Avoided Costs'!$D$6,_xlfn._xlws.FILTER('2027 Avoided Costs'!$AE$14:$AE$47,('2027 Avoided Costs'!$B$14:$B$47&gt;=$B98+1)*('2027 Avoided Costs'!$B$14:$B$47&lt;$B98+ROUND($O98,0)))))+_xlfn.XLOOKUP($B98,'2027 Avoided Costs'!$B$13:$B$47,'2027 Avoided Costs'!$AE$13:$AE$47))*IF($AO98&lt;0,$AO98*(-1),0),0)</f>
        <v>0</v>
      </c>
      <c r="BE98" s="291" cm="1">
        <f t="array" ref="BE98">IFERROR((IF($O98=1,0,NPV('2027 Avoided Costs'!$D$4,_xlfn._xlws.FILTER('2027 Avoided Costs'!$I$14:$I$47,('2027 Avoided Costs'!$B$14:$B$47&gt;=$B98+1)*('2027 Avoided Costs'!$B$14:$B$47&lt;$B98+ROUND($O98,0)))))+_xlfn.XLOOKUP($B98,'2027 Avoided Costs'!$B$13:$B$47,'2027 Avoided Costs'!$I$13:$I$47))*IF($X98="Residential",'2027 Avoided Costs'!$J$5,IF($X98="Large Volume",'2027 Avoided Costs'!$J$7,'2027 Avoided Costs'!$J$6))*IF($AE98&lt;0,$AE98*(-1),0),0)</f>
        <v>0</v>
      </c>
      <c r="BF98" s="291">
        <f t="shared" si="50"/>
        <v>3298401.3254419258</v>
      </c>
      <c r="BG98" s="291">
        <f t="shared" si="51"/>
        <v>204927.05</v>
      </c>
      <c r="BH98" s="291">
        <f t="shared" si="52"/>
        <v>3093474.275441926</v>
      </c>
      <c r="BI98" s="292">
        <f t="shared" si="56"/>
        <v>16.095490202205742</v>
      </c>
      <c r="BJ98" s="196" cm="1">
        <f t="array" ref="BJ98">IFERROR(IF($J98="Baseload",IF($O98=1,0,NPV('2027 Avoided Costs'!$D$6,_xlfn._xlws.FILTER('2027 Avoided Costs'!$C$14:$C$47,('2027 Avoided Costs'!$B$14:$B$47&gt;=$B98+1)*('2027 Avoided Costs'!$B$14:$B$47&lt;$B98+ROUND($O98,0)))))+_xlfn.XLOOKUP($B98,'2027 Avoided Costs'!$B$13:$B$47,'2027 Avoided Costs'!$C$13:$C$47),IF($O98=1,0,NPV('2027 Avoided Costs'!$D$6,_xlfn._xlws.FILTER('2027 Avoided Costs'!$E$14:$E$47,('2027 Avoided Costs'!$B$14:$B$47&gt;=$B98+1)*('2027 Avoided Costs'!$B$14:$B$47&lt;$B98+ROUND($O98,0)))))+_xlfn.XLOOKUP($B98,'2027 Avoided Costs'!$B$13:$B$47,'2027 Avoided Costs'!$E$13:$E$47))*IF($AE98&gt;0,$AE98*(1+0),0),0)</f>
        <v>879007.2641082441</v>
      </c>
      <c r="BK98" s="293">
        <f t="shared" si="53"/>
        <v>1.2222515851597879</v>
      </c>
    </row>
    <row r="99" spans="1:63" s="56" customFormat="1" x14ac:dyDescent="0.25">
      <c r="A99" s="270" t="s">
        <v>133</v>
      </c>
      <c r="B99" s="271">
        <v>2030</v>
      </c>
      <c r="C99" s="272" t="s">
        <v>13</v>
      </c>
      <c r="D99" s="272" t="s">
        <v>164</v>
      </c>
      <c r="E99" s="272" t="s">
        <v>277</v>
      </c>
      <c r="F99" s="273">
        <v>97</v>
      </c>
      <c r="G99" s="274">
        <v>8418</v>
      </c>
      <c r="H99" s="275">
        <f t="shared" si="30"/>
        <v>3</v>
      </c>
      <c r="I99" s="274">
        <v>200</v>
      </c>
      <c r="J99" s="276" t="s">
        <v>264</v>
      </c>
      <c r="K99" s="277">
        <f t="shared" si="54"/>
        <v>0.97499999999999998</v>
      </c>
      <c r="L99" s="278">
        <v>2.5000000000000001E-2</v>
      </c>
      <c r="M99" s="278">
        <v>0</v>
      </c>
      <c r="N99" s="278">
        <v>1</v>
      </c>
      <c r="O99" s="279">
        <v>16</v>
      </c>
      <c r="P99" s="280">
        <v>2806</v>
      </c>
      <c r="Q99" s="281">
        <v>2256</v>
      </c>
      <c r="R99" s="282">
        <v>0.255</v>
      </c>
      <c r="S99" s="282">
        <v>0.255</v>
      </c>
      <c r="T99" s="281">
        <v>0</v>
      </c>
      <c r="U99" s="283">
        <v>0.25</v>
      </c>
      <c r="V99" s="284">
        <v>10340</v>
      </c>
      <c r="W99" s="285">
        <v>0.15</v>
      </c>
      <c r="X99" s="286" t="s">
        <v>255</v>
      </c>
      <c r="Y99" s="287">
        <f t="shared" si="31"/>
        <v>97</v>
      </c>
      <c r="Z99" s="288">
        <f t="shared" si="32"/>
        <v>816546</v>
      </c>
      <c r="AA99" s="288">
        <f t="shared" si="33"/>
        <v>19400</v>
      </c>
      <c r="AB99" s="288">
        <f t="shared" si="34"/>
        <v>866525.1475679999</v>
      </c>
      <c r="AC99" s="288">
        <f t="shared" si="55"/>
        <v>20418.356603891203</v>
      </c>
      <c r="AD99" s="287">
        <f t="shared" si="35"/>
        <v>272182</v>
      </c>
      <c r="AE99" s="287">
        <f t="shared" si="36"/>
        <v>265377.45</v>
      </c>
      <c r="AF99" s="287">
        <f t="shared" si="37"/>
        <v>4354912</v>
      </c>
      <c r="AG99" s="287">
        <f t="shared" si="38"/>
        <v>4246039.2</v>
      </c>
      <c r="AH99" s="287">
        <f t="shared" si="39"/>
        <v>234587.90400000001</v>
      </c>
      <c r="AI99" s="287">
        <f t="shared" si="40"/>
        <v>228723.2064</v>
      </c>
      <c r="AJ99" s="287">
        <f t="shared" si="41"/>
        <v>0</v>
      </c>
      <c r="AK99" s="287">
        <f t="shared" si="42"/>
        <v>0</v>
      </c>
      <c r="AL99" s="287">
        <f t="shared" si="43"/>
        <v>26.515920000000001</v>
      </c>
      <c r="AM99" s="287">
        <f t="shared" si="44"/>
        <v>25.853021999999999</v>
      </c>
      <c r="AN99" s="287">
        <f t="shared" si="45"/>
        <v>26.515920000000001</v>
      </c>
      <c r="AO99" s="287">
        <f t="shared" si="46"/>
        <v>25.853021999999999</v>
      </c>
      <c r="AP99" s="287">
        <f t="shared" si="47"/>
        <v>1002980</v>
      </c>
      <c r="AQ99" s="287">
        <f t="shared" si="48"/>
        <v>977905.5</v>
      </c>
      <c r="AR99" s="287">
        <f t="shared" si="49"/>
        <v>66344.362500000003</v>
      </c>
      <c r="AS99" s="289" t="e">
        <f>IF(J99='2027 Avoided Costs'!#REF!,3,5)</f>
        <v>#REF!</v>
      </c>
      <c r="AT99" s="290" cm="1">
        <f t="array" ref="AT99">IFERROR(IF($J99="Baseload",IF($O99=1,0,NPV('2027 Avoided Costs'!$D$6,_xlfn._xlws.FILTER('2027 Avoided Costs'!$C$14:$C$47,('2027 Avoided Costs'!$B$14:$B$47&gt;=$B99+1)*('2027 Avoided Costs'!$B$14:$B$47&lt;$B99+ROUND($O99,0)))))+_xlfn.XLOOKUP($B99,'2027 Avoided Costs'!$B$13:$B$47,'2027 Avoided Costs'!$C$13:$C$47),IF($O99=1,0,NPV('2027 Avoided Costs'!$D$6,_xlfn._xlws.FILTER('2027 Avoided Costs'!$E$14:$E$47,('2027 Avoided Costs'!$B$14:$B$47&gt;=$B99+1)*('2027 Avoided Costs'!$B$14:$B$47&lt;$B99+ROUND($O99,0)))))+_xlfn.XLOOKUP($B99,'2027 Avoided Costs'!$B$13:$B$47,'2027 Avoided Costs'!$E$13:$E$47))*IF($AE99&gt;0,$AE99*(1+$W99),0),0)</f>
        <v>1226234.5472480634</v>
      </c>
      <c r="AU99" s="290" cm="1">
        <f t="array" ref="AU99">IFERROR((IF($O99=1,0,NPV('2027 Avoided Costs'!$D$6,_xlfn._xlws.FILTER('2027 Avoided Costs'!$M$14:$M$47,('2027 Avoided Costs'!$B$14:$B$47&gt;=$B99+1)*('2027 Avoided Costs'!$B$14:$B$47&lt;$B99+ROUND($O99,0)))))+_xlfn.XLOOKUP($B99,'2027 Avoided Costs'!$B$13:$B$47,'2027 Avoided Costs'!$M$13:$M$47))*IF($AK99&gt;0,$AK99*(1+$W99),0),0)</f>
        <v>0</v>
      </c>
      <c r="AV99" s="291" cm="1">
        <f t="array" ref="AV99">IFERROR((IF($O99=1,0,NPV('2027 Avoided Costs'!$D$6,_xlfn._xlws.FILTER('2027 Avoided Costs'!$Q$14:$Q$47,('2027 Avoided Costs'!$B$14:$B$47&gt;=$B99+1)*('2027 Avoided Costs'!$B$14:$B$47&lt;$B99+ROUND($O99,0)))))+_xlfn.XLOOKUP($B99,'2027 Avoided Costs'!$B$13:$B$47,'2027 Avoided Costs'!$Q$13:$Q$47))*IF($AI99&gt;0,$AI99*(1+$W99),0),0)</f>
        <v>153731.43472619716</v>
      </c>
      <c r="AW99" s="291" cm="1">
        <f t="array" ref="AW99">IFERROR((IF($O99=1,0,NPV('2027 Avoided Costs'!$D$6,_xlfn._xlws.FILTER('2027 Avoided Costs'!$W$14:$W$47,('2027 Avoided Costs'!$B$14:$B$47&gt;=$B99+1)*('2027 Avoided Costs'!$B$14:$B$47&lt;$B99+ROUND($O99,0)))))+_xlfn.XLOOKUP($B99,'2027 Avoided Costs'!$B$13:$B$47,'2027 Avoided Costs'!$W$13:$W$47))*IF($AM99&gt;0,$AM99*(1+$W99),0),0)</f>
        <v>109824.51691286742</v>
      </c>
      <c r="AX99" s="291" cm="1">
        <f t="array" ref="AX99">IFERROR((IF($O99=1,0,NPV('2027 Avoided Costs'!$D$6,_xlfn._xlws.FILTER('2027 Avoided Costs'!$AC$14:$AC$47,('2027 Avoided Costs'!$B$14:$B$47&gt;=$B99+1)*('2027 Avoided Costs'!$B$14:$B$47&lt;$B99+ROUND($O99,0)))))+_xlfn.XLOOKUP($B99,'2027 Avoided Costs'!$B$13:$B$47,'2027 Avoided Costs'!$AC$13:$AC$47))*IF($AO99&gt;0,$AO99*(1+$W99),0),0)</f>
        <v>21726.340119905894</v>
      </c>
      <c r="AY99" s="291" cm="1">
        <f t="array" ref="AY99">IFERROR((IF($O99=1,0,NPV('2027 Avoided Costs'!$D$4,_xlfn._xlws.FILTER('2027 Avoided Costs'!$I$14:$I$47,('2027 Avoided Costs'!$B$14:$B$47&gt;=$B99+1)*('2027 Avoided Costs'!$B$14:$B$47&lt;$B99+ROUND($O99,0)))))+_xlfn.XLOOKUP($B99,'2027 Avoided Costs'!$B$13:$B$47,'2027 Avoided Costs'!$I$13:$I$47))*IF($X99="Residential",'2027 Avoided Costs'!$J$5,IF($X99="Large Volume",'2027 Avoided Costs'!$J$7,'2027 Avoided Costs'!$J$6))*IF($AE99&gt;0,$AE99,0),0)</f>
        <v>0</v>
      </c>
      <c r="AZ99" s="291" cm="1">
        <f t="array" ref="AZ99">IFERROR(IF($J99="Baseload",IF($O99=1,0,NPV('2027 Avoided Costs'!$D$6,_xlfn._xlws.FILTER('2027 Avoided Costs'!$C$14:$C$47,('2027 Avoided Costs'!$B$14:$B$47&gt;=$B99+1)*('2027 Avoided Costs'!$B$14:$B$47&lt;$B99+ROUND($O99,0)))))+_xlfn.XLOOKUP($B99,'2027 Avoided Costs'!$B$13:$B$47,'2027 Avoided Costs'!$C$13:$C$47),IF($O99=1,0,NPV('2027 Avoided Costs'!$D$6,_xlfn._xlws.FILTER('2027 Avoided Costs'!$E$14:$E$47,('2027 Avoided Costs'!$B$14:$B$47&gt;=$B99+1)*('2027 Avoided Costs'!$B$14:$B$47&lt;$B99+ROUND($O99,0)))))+_xlfn.XLOOKUP($B99,'2027 Avoided Costs'!$B$13:$B$47,'2027 Avoided Costs'!$E$13:$E$47))*IF($AE99&lt;0,$AE99*(-1),0),0)</f>
        <v>0</v>
      </c>
      <c r="BA99" s="291" cm="1">
        <f t="array" ref="BA99">IFERROR((IF($O99=1,0,NPV('2027 Avoided Costs'!$D$6,_xlfn._xlws.FILTER('2027 Avoided Costs'!$M$14:$M$47,('2027 Avoided Costs'!$B$14:$B$47&gt;=$B99+1)*('2027 Avoided Costs'!$B$14:$B$47&lt;$B99+ROUND($O99,0)))))+_xlfn.XLOOKUP($B99,'2027 Avoided Costs'!$B$13:$B$47,'2027 Avoided Costs'!$M$13:$M$47))*IF($AK99&lt;0,$AK99*(-1),0),0)</f>
        <v>0</v>
      </c>
      <c r="BB99" s="291" cm="1">
        <f t="array" ref="BB99">IFERROR((IF($O99=1,0,NPV('2027 Avoided Costs'!$D$6,_xlfn._xlws.FILTER('2027 Avoided Costs'!$S$14:$S$47,('2027 Avoided Costs'!$B$14:$B$47&gt;=$B99+1)*('2027 Avoided Costs'!$B$14:$B$47&lt;$B99+ROUND($O99,0)))))+_xlfn.XLOOKUP($B99,'2027 Avoided Costs'!$B$13:$B$47,'2027 Avoided Costs'!$S$13:$S$47))*IF($AI99&lt;0,$AI99*(-1),0),0)</f>
        <v>0</v>
      </c>
      <c r="BC99" s="291" cm="1">
        <f t="array" ref="BC99">IFERROR((IF($O99=1,0,NPV('2027 Avoided Costs'!$D$6,_xlfn._xlws.FILTER('2027 Avoided Costs'!$Y$14:$Y$47,('2027 Avoided Costs'!$B$14:$B$47&gt;=$B99+1)*('2027 Avoided Costs'!$B$14:$B$47&lt;$B99+ROUND($O99,0)))))+_xlfn.XLOOKUP($B99,'2027 Avoided Costs'!$B$13:$B$47,'2027 Avoided Costs'!$Y$13:$Y$47))*IF($AM99&lt;0,$AM99*(-1),0),0)</f>
        <v>0</v>
      </c>
      <c r="BD99" s="291" cm="1">
        <f t="array" ref="BD99">IFERROR((IF($O99=1,0,NPV('2027 Avoided Costs'!$D$6,_xlfn._xlws.FILTER('2027 Avoided Costs'!$AE$14:$AE$47,('2027 Avoided Costs'!$B$14:$B$47&gt;=$B99+1)*('2027 Avoided Costs'!$B$14:$B$47&lt;$B99+ROUND($O99,0)))))+_xlfn.XLOOKUP($B99,'2027 Avoided Costs'!$B$13:$B$47,'2027 Avoided Costs'!$AE$13:$AE$47))*IF($AO99&lt;0,$AO99*(-1),0),0)</f>
        <v>0</v>
      </c>
      <c r="BE99" s="291" cm="1">
        <f t="array" ref="BE99">IFERROR((IF($O99=1,0,NPV('2027 Avoided Costs'!$D$4,_xlfn._xlws.FILTER('2027 Avoided Costs'!$I$14:$I$47,('2027 Avoided Costs'!$B$14:$B$47&gt;=$B99+1)*('2027 Avoided Costs'!$B$14:$B$47&lt;$B99+ROUND($O99,0)))))+_xlfn.XLOOKUP($B99,'2027 Avoided Costs'!$B$13:$B$47,'2027 Avoided Costs'!$I$13:$I$47))*IF($X99="Residential",'2027 Avoided Costs'!$J$5,IF($X99="Large Volume",'2027 Avoided Costs'!$J$7,'2027 Avoided Costs'!$J$6))*IF($AE99&lt;0,$AE99*(-1),0),0)</f>
        <v>0</v>
      </c>
      <c r="BF99" s="291">
        <f t="shared" si="50"/>
        <v>1511516.8390070337</v>
      </c>
      <c r="BG99" s="291">
        <f t="shared" si="51"/>
        <v>977905.5</v>
      </c>
      <c r="BH99" s="291">
        <f t="shared" si="52"/>
        <v>533611.33900703373</v>
      </c>
      <c r="BI99" s="292">
        <f t="shared" si="56"/>
        <v>1.5456675916098577</v>
      </c>
      <c r="BJ99" s="196" cm="1">
        <f t="array" ref="BJ99">IFERROR(IF($J99="Baseload",IF($O99=1,0,NPV('2027 Avoided Costs'!$D$6,_xlfn._xlws.FILTER('2027 Avoided Costs'!$C$14:$C$47,('2027 Avoided Costs'!$B$14:$B$47&gt;=$B99+1)*('2027 Avoided Costs'!$B$14:$B$47&lt;$B99+ROUND($O99,0)))))+_xlfn.XLOOKUP($B99,'2027 Avoided Costs'!$B$13:$B$47,'2027 Avoided Costs'!$C$13:$C$47),IF($O99=1,0,NPV('2027 Avoided Costs'!$D$6,_xlfn._xlws.FILTER('2027 Avoided Costs'!$E$14:$E$47,('2027 Avoided Costs'!$B$14:$B$47&gt;=$B99+1)*('2027 Avoided Costs'!$B$14:$B$47&lt;$B99+ROUND($O99,0)))))+_xlfn.XLOOKUP($B99,'2027 Avoided Costs'!$B$13:$B$47,'2027 Avoided Costs'!$E$13:$E$47))*IF($AE99&gt;0,$AE99*(1+0),0),0)</f>
        <v>1066290.9106504899</v>
      </c>
      <c r="BK99" s="293">
        <f t="shared" si="53"/>
        <v>1.2022083770104943</v>
      </c>
    </row>
    <row r="100" spans="1:63" s="56" customFormat="1" x14ac:dyDescent="0.25">
      <c r="A100" s="270" t="s">
        <v>133</v>
      </c>
      <c r="B100" s="271">
        <v>2030</v>
      </c>
      <c r="C100" s="272" t="s">
        <v>13</v>
      </c>
      <c r="D100" s="272" t="s">
        <v>164</v>
      </c>
      <c r="E100" s="272" t="s">
        <v>84</v>
      </c>
      <c r="F100" s="273">
        <v>458</v>
      </c>
      <c r="G100" s="274">
        <v>12016.046296296296</v>
      </c>
      <c r="H100" s="275">
        <f t="shared" si="30"/>
        <v>2.5829978692849611</v>
      </c>
      <c r="I100" s="274">
        <v>200</v>
      </c>
      <c r="J100" s="276" t="s">
        <v>264</v>
      </c>
      <c r="K100" s="277">
        <f t="shared" si="54"/>
        <v>0.95</v>
      </c>
      <c r="L100" s="278">
        <v>5.000000000000001E-2</v>
      </c>
      <c r="M100" s="278">
        <v>0</v>
      </c>
      <c r="N100" s="278">
        <v>1</v>
      </c>
      <c r="O100" s="279">
        <v>15</v>
      </c>
      <c r="P100" s="280">
        <v>4651.9768518518522</v>
      </c>
      <c r="Q100" s="281">
        <v>173.31481481481481</v>
      </c>
      <c r="R100" s="282">
        <v>0.10561610282265338</v>
      </c>
      <c r="S100" s="282">
        <v>3.1195569992981759E-2</v>
      </c>
      <c r="T100" s="281">
        <v>0</v>
      </c>
      <c r="U100" s="283">
        <v>0.05</v>
      </c>
      <c r="V100" s="284">
        <v>12016.046296296296</v>
      </c>
      <c r="W100" s="285">
        <v>0.15</v>
      </c>
      <c r="X100" s="286" t="s">
        <v>255</v>
      </c>
      <c r="Y100" s="287">
        <f t="shared" si="31"/>
        <v>458</v>
      </c>
      <c r="Z100" s="288">
        <f t="shared" si="32"/>
        <v>5503349.2037037034</v>
      </c>
      <c r="AA100" s="288">
        <f t="shared" si="33"/>
        <v>91600</v>
      </c>
      <c r="AB100" s="288">
        <f t="shared" si="34"/>
        <v>5840198.2017639996</v>
      </c>
      <c r="AC100" s="288">
        <f t="shared" si="55"/>
        <v>96408.322933836811</v>
      </c>
      <c r="AD100" s="287">
        <f t="shared" si="35"/>
        <v>2130605.3981481483</v>
      </c>
      <c r="AE100" s="287">
        <f t="shared" si="36"/>
        <v>2024075.1282407409</v>
      </c>
      <c r="AF100" s="287">
        <f t="shared" si="37"/>
        <v>31959080.972222224</v>
      </c>
      <c r="AG100" s="287">
        <f t="shared" si="38"/>
        <v>30361126.923611112</v>
      </c>
      <c r="AH100" s="287">
        <f t="shared" si="39"/>
        <v>85093.414518518519</v>
      </c>
      <c r="AI100" s="287">
        <f t="shared" si="40"/>
        <v>80838.743792592591</v>
      </c>
      <c r="AJ100" s="287">
        <f t="shared" si="41"/>
        <v>0</v>
      </c>
      <c r="AK100" s="287">
        <f t="shared" si="42"/>
        <v>0</v>
      </c>
      <c r="AL100" s="287">
        <f t="shared" si="43"/>
        <v>51.854971699455071</v>
      </c>
      <c r="AM100" s="287">
        <f t="shared" si="44"/>
        <v>49.26222311448231</v>
      </c>
      <c r="AN100" s="287">
        <f t="shared" si="45"/>
        <v>15.316276172874213</v>
      </c>
      <c r="AO100" s="287">
        <f t="shared" si="46"/>
        <v>14.550462364230501</v>
      </c>
      <c r="AP100" s="287">
        <f t="shared" si="47"/>
        <v>5503349.2037037034</v>
      </c>
      <c r="AQ100" s="287">
        <f t="shared" si="48"/>
        <v>5228181.7435185183</v>
      </c>
      <c r="AR100" s="287">
        <f t="shared" si="49"/>
        <v>101203.75641203705</v>
      </c>
      <c r="AS100" s="289" t="e">
        <f>IF(J100='2027 Avoided Costs'!#REF!,3,5)</f>
        <v>#REF!</v>
      </c>
      <c r="AT100" s="290" cm="1">
        <f t="array" ref="AT100">IFERROR(IF($J100="Baseload",IF($O100=1,0,NPV('2027 Avoided Costs'!$D$6,_xlfn._xlws.FILTER('2027 Avoided Costs'!$C$14:$C$47,('2027 Avoided Costs'!$B$14:$B$47&gt;=$B100+1)*('2027 Avoided Costs'!$B$14:$B$47&lt;$B100+ROUND($O100,0)))))+_xlfn.XLOOKUP($B100,'2027 Avoided Costs'!$B$13:$B$47,'2027 Avoided Costs'!$C$13:$C$47),IF($O100=1,0,NPV('2027 Avoided Costs'!$D$6,_xlfn._xlws.FILTER('2027 Avoided Costs'!$E$14:$E$47,('2027 Avoided Costs'!$B$14:$B$47&gt;=$B100+1)*('2027 Avoided Costs'!$B$14:$B$47&lt;$B100+ROUND($O100,0)))))+_xlfn.XLOOKUP($B100,'2027 Avoided Costs'!$B$13:$B$47,'2027 Avoided Costs'!$E$13:$E$47))*IF($AE100&gt;0,$AE100*(1+$W100),0),0)</f>
        <v>8875593.7599463779</v>
      </c>
      <c r="AU100" s="290" cm="1">
        <f t="array" ref="AU100">IFERROR((IF($O100=1,0,NPV('2027 Avoided Costs'!$D$6,_xlfn._xlws.FILTER('2027 Avoided Costs'!$M$14:$M$47,('2027 Avoided Costs'!$B$14:$B$47&gt;=$B100+1)*('2027 Avoided Costs'!$B$14:$B$47&lt;$B100+ROUND($O100,0)))))+_xlfn.XLOOKUP($B100,'2027 Avoided Costs'!$B$13:$B$47,'2027 Avoided Costs'!$M$13:$M$47))*IF($AK100&gt;0,$AK100*(1+$W100),0),0)</f>
        <v>0</v>
      </c>
      <c r="AV100" s="291" cm="1">
        <f t="array" ref="AV100">IFERROR((IF($O100=1,0,NPV('2027 Avoided Costs'!$D$6,_xlfn._xlws.FILTER('2027 Avoided Costs'!$Q$14:$Q$47,('2027 Avoided Costs'!$B$14:$B$47&gt;=$B100+1)*('2027 Avoided Costs'!$B$14:$B$47&lt;$B100+ROUND($O100,0)))))+_xlfn.XLOOKUP($B100,'2027 Avoided Costs'!$B$13:$B$47,'2027 Avoided Costs'!$Q$13:$Q$47))*IF($AI100&gt;0,$AI100*(1+$W100),0),0)</f>
        <v>51805.252140315235</v>
      </c>
      <c r="AW100" s="291" cm="1">
        <f t="array" ref="AW100">IFERROR((IF($O100=1,0,NPV('2027 Avoided Costs'!$D$6,_xlfn._xlws.FILTER('2027 Avoided Costs'!$W$14:$W$47,('2027 Avoided Costs'!$B$14:$B$47&gt;=$B100+1)*('2027 Avoided Costs'!$B$14:$B$47&lt;$B100+ROUND($O100,0)))))+_xlfn.XLOOKUP($B100,'2027 Avoided Costs'!$B$13:$B$47,'2027 Avoided Costs'!$W$13:$W$47))*IF($AM100&gt;0,$AM100*(1+$W100),0),0)</f>
        <v>195742.47632413593</v>
      </c>
      <c r="AX100" s="291" cm="1">
        <f t="array" ref="AX100">IFERROR((IF($O100=1,0,NPV('2027 Avoided Costs'!$D$6,_xlfn._xlws.FILTER('2027 Avoided Costs'!$AC$14:$AC$47,('2027 Avoided Costs'!$B$14:$B$47&gt;=$B100+1)*('2027 Avoided Costs'!$B$14:$B$47&lt;$B100+ROUND($O100,0)))))+_xlfn.XLOOKUP($B100,'2027 Avoided Costs'!$B$13:$B$47,'2027 Avoided Costs'!$AC$13:$AC$47))*IF($AO100&gt;0,$AO100*(1+$W100),0),0)</f>
        <v>12227.904893561839</v>
      </c>
      <c r="AY100" s="291" cm="1">
        <f t="array" ref="AY100">IFERROR((IF($O100=1,0,NPV('2027 Avoided Costs'!$D$4,_xlfn._xlws.FILTER('2027 Avoided Costs'!$I$14:$I$47,('2027 Avoided Costs'!$B$14:$B$47&gt;=$B100+1)*('2027 Avoided Costs'!$B$14:$B$47&lt;$B100+ROUND($O100,0)))))+_xlfn.XLOOKUP($B100,'2027 Avoided Costs'!$B$13:$B$47,'2027 Avoided Costs'!$I$13:$I$47))*IF($X100="Residential",'2027 Avoided Costs'!$J$5,IF($X100="Large Volume",'2027 Avoided Costs'!$J$7,'2027 Avoided Costs'!$J$6))*IF($AE100&gt;0,$AE100,0),0)</f>
        <v>0</v>
      </c>
      <c r="AZ100" s="291" cm="1">
        <f t="array" ref="AZ100">IFERROR(IF($J100="Baseload",IF($O100=1,0,NPV('2027 Avoided Costs'!$D$6,_xlfn._xlws.FILTER('2027 Avoided Costs'!$C$14:$C$47,('2027 Avoided Costs'!$B$14:$B$47&gt;=$B100+1)*('2027 Avoided Costs'!$B$14:$B$47&lt;$B100+ROUND($O100,0)))))+_xlfn.XLOOKUP($B100,'2027 Avoided Costs'!$B$13:$B$47,'2027 Avoided Costs'!$C$13:$C$47),IF($O100=1,0,NPV('2027 Avoided Costs'!$D$6,_xlfn._xlws.FILTER('2027 Avoided Costs'!$E$14:$E$47,('2027 Avoided Costs'!$B$14:$B$47&gt;=$B100+1)*('2027 Avoided Costs'!$B$14:$B$47&lt;$B100+ROUND($O100,0)))))+_xlfn.XLOOKUP($B100,'2027 Avoided Costs'!$B$13:$B$47,'2027 Avoided Costs'!$E$13:$E$47))*IF($AE100&lt;0,$AE100*(-1),0),0)</f>
        <v>0</v>
      </c>
      <c r="BA100" s="291" cm="1">
        <f t="array" ref="BA100">IFERROR((IF($O100=1,0,NPV('2027 Avoided Costs'!$D$6,_xlfn._xlws.FILTER('2027 Avoided Costs'!$M$14:$M$47,('2027 Avoided Costs'!$B$14:$B$47&gt;=$B100+1)*('2027 Avoided Costs'!$B$14:$B$47&lt;$B100+ROUND($O100,0)))))+_xlfn.XLOOKUP($B100,'2027 Avoided Costs'!$B$13:$B$47,'2027 Avoided Costs'!$M$13:$M$47))*IF($AK100&lt;0,$AK100*(-1),0),0)</f>
        <v>0</v>
      </c>
      <c r="BB100" s="291" cm="1">
        <f t="array" ref="BB100">IFERROR((IF($O100=1,0,NPV('2027 Avoided Costs'!$D$6,_xlfn._xlws.FILTER('2027 Avoided Costs'!$S$14:$S$47,('2027 Avoided Costs'!$B$14:$B$47&gt;=$B100+1)*('2027 Avoided Costs'!$B$14:$B$47&lt;$B100+ROUND($O100,0)))))+_xlfn.XLOOKUP($B100,'2027 Avoided Costs'!$B$13:$B$47,'2027 Avoided Costs'!$S$13:$S$47))*IF($AI100&lt;0,$AI100*(-1),0),0)</f>
        <v>0</v>
      </c>
      <c r="BC100" s="291" cm="1">
        <f t="array" ref="BC100">IFERROR((IF($O100=1,0,NPV('2027 Avoided Costs'!$D$6,_xlfn._xlws.FILTER('2027 Avoided Costs'!$Y$14:$Y$47,('2027 Avoided Costs'!$B$14:$B$47&gt;=$B100+1)*('2027 Avoided Costs'!$B$14:$B$47&lt;$B100+ROUND($O100,0)))))+_xlfn.XLOOKUP($B100,'2027 Avoided Costs'!$B$13:$B$47,'2027 Avoided Costs'!$Y$13:$Y$47))*IF($AM100&lt;0,$AM100*(-1),0),0)</f>
        <v>0</v>
      </c>
      <c r="BD100" s="291" cm="1">
        <f t="array" ref="BD100">IFERROR((IF($O100=1,0,NPV('2027 Avoided Costs'!$D$6,_xlfn._xlws.FILTER('2027 Avoided Costs'!$AE$14:$AE$47,('2027 Avoided Costs'!$B$14:$B$47&gt;=$B100+1)*('2027 Avoided Costs'!$B$14:$B$47&lt;$B100+ROUND($O100,0)))))+_xlfn.XLOOKUP($B100,'2027 Avoided Costs'!$B$13:$B$47,'2027 Avoided Costs'!$AE$13:$AE$47))*IF($AO100&lt;0,$AO100*(-1),0),0)</f>
        <v>0</v>
      </c>
      <c r="BE100" s="291" cm="1">
        <f t="array" ref="BE100">IFERROR((IF($O100=1,0,NPV('2027 Avoided Costs'!$D$4,_xlfn._xlws.FILTER('2027 Avoided Costs'!$I$14:$I$47,('2027 Avoided Costs'!$B$14:$B$47&gt;=$B100+1)*('2027 Avoided Costs'!$B$14:$B$47&lt;$B100+ROUND($O100,0)))))+_xlfn.XLOOKUP($B100,'2027 Avoided Costs'!$B$13:$B$47,'2027 Avoided Costs'!$I$13:$I$47))*IF($X100="Residential",'2027 Avoided Costs'!$J$5,IF($X100="Large Volume",'2027 Avoided Costs'!$J$7,'2027 Avoided Costs'!$J$6))*IF($AE100&lt;0,$AE100*(-1),0),0)</f>
        <v>0</v>
      </c>
      <c r="BF100" s="291">
        <f t="shared" si="50"/>
        <v>9135369.3933043908</v>
      </c>
      <c r="BG100" s="291">
        <f t="shared" si="51"/>
        <v>5228181.7435185183</v>
      </c>
      <c r="BH100" s="291">
        <f t="shared" si="52"/>
        <v>3907187.6497858725</v>
      </c>
      <c r="BI100" s="292">
        <f t="shared" si="56"/>
        <v>1.7473320250639128</v>
      </c>
      <c r="BJ100" s="196" cm="1">
        <f t="array" ref="BJ100">IFERROR(IF($J100="Baseload",IF($O100=1,0,NPV('2027 Avoided Costs'!$D$6,_xlfn._xlws.FILTER('2027 Avoided Costs'!$C$14:$C$47,('2027 Avoided Costs'!$B$14:$B$47&gt;=$B100+1)*('2027 Avoided Costs'!$B$14:$B$47&lt;$B100+ROUND($O100,0)))))+_xlfn.XLOOKUP($B100,'2027 Avoided Costs'!$B$13:$B$47,'2027 Avoided Costs'!$C$13:$C$47),IF($O100=1,0,NPV('2027 Avoided Costs'!$D$6,_xlfn._xlws.FILTER('2027 Avoided Costs'!$E$14:$E$47,('2027 Avoided Costs'!$B$14:$B$47&gt;=$B100+1)*('2027 Avoided Costs'!$B$14:$B$47&lt;$B100+ROUND($O100,0)))))+_xlfn.XLOOKUP($B100,'2027 Avoided Costs'!$B$13:$B$47,'2027 Avoided Costs'!$E$13:$E$47))*IF($AE100&gt;0,$AE100*(1+0),0),0)</f>
        <v>7717907.6173446765</v>
      </c>
      <c r="BK100" s="293">
        <f t="shared" si="53"/>
        <v>1.3000537571820132</v>
      </c>
    </row>
    <row r="101" spans="1:63" s="56" customFormat="1" x14ac:dyDescent="0.25">
      <c r="A101" s="270" t="s">
        <v>133</v>
      </c>
      <c r="B101" s="271">
        <v>2030</v>
      </c>
      <c r="C101" s="272" t="s">
        <v>13</v>
      </c>
      <c r="D101" s="272" t="s">
        <v>164</v>
      </c>
      <c r="E101" s="272" t="s">
        <v>85</v>
      </c>
      <c r="F101" s="273">
        <v>95</v>
      </c>
      <c r="G101" s="274">
        <v>22163.333333333336</v>
      </c>
      <c r="H101" s="275">
        <f t="shared" si="30"/>
        <v>2.5573667084625029</v>
      </c>
      <c r="I101" s="274">
        <v>200</v>
      </c>
      <c r="J101" s="276" t="s">
        <v>264</v>
      </c>
      <c r="K101" s="277">
        <f t="shared" si="54"/>
        <v>0.95</v>
      </c>
      <c r="L101" s="278">
        <v>5.000000000000001E-2</v>
      </c>
      <c r="M101" s="278">
        <v>0</v>
      </c>
      <c r="N101" s="278">
        <v>1</v>
      </c>
      <c r="O101" s="279">
        <v>15</v>
      </c>
      <c r="P101" s="280">
        <v>8666.4666666666672</v>
      </c>
      <c r="Q101" s="281">
        <v>24851.666666666668</v>
      </c>
      <c r="R101" s="282">
        <v>5.6738964992389649</v>
      </c>
      <c r="S101" s="282">
        <v>5.6738964992389649</v>
      </c>
      <c r="T101" s="281">
        <v>0</v>
      </c>
      <c r="U101" s="283">
        <v>0.05</v>
      </c>
      <c r="V101" s="284">
        <v>22163.333333333332</v>
      </c>
      <c r="W101" s="285">
        <v>0.15</v>
      </c>
      <c r="X101" s="286" t="s">
        <v>255</v>
      </c>
      <c r="Y101" s="287">
        <f t="shared" si="31"/>
        <v>95</v>
      </c>
      <c r="Z101" s="288">
        <f t="shared" si="32"/>
        <v>2105516.666666667</v>
      </c>
      <c r="AA101" s="288">
        <f t="shared" si="33"/>
        <v>19000</v>
      </c>
      <c r="AB101" s="288">
        <f t="shared" si="34"/>
        <v>2234391.1308000004</v>
      </c>
      <c r="AC101" s="288">
        <f t="shared" si="55"/>
        <v>19997.359560512003</v>
      </c>
      <c r="AD101" s="287">
        <f t="shared" si="35"/>
        <v>823314.33333333337</v>
      </c>
      <c r="AE101" s="287">
        <f t="shared" si="36"/>
        <v>782148.6166666667</v>
      </c>
      <c r="AF101" s="287">
        <f t="shared" si="37"/>
        <v>12349715</v>
      </c>
      <c r="AG101" s="287">
        <f t="shared" si="38"/>
        <v>11732229.25</v>
      </c>
      <c r="AH101" s="287">
        <f t="shared" si="39"/>
        <v>2530893.7333333339</v>
      </c>
      <c r="AI101" s="287">
        <f t="shared" si="40"/>
        <v>2404349.0466666669</v>
      </c>
      <c r="AJ101" s="287">
        <f t="shared" si="41"/>
        <v>0</v>
      </c>
      <c r="AK101" s="287">
        <f t="shared" si="42"/>
        <v>0</v>
      </c>
      <c r="AL101" s="287">
        <f t="shared" si="43"/>
        <v>577.82961948249613</v>
      </c>
      <c r="AM101" s="287">
        <f t="shared" si="44"/>
        <v>548.93813850837148</v>
      </c>
      <c r="AN101" s="287">
        <f t="shared" si="45"/>
        <v>577.82961948249613</v>
      </c>
      <c r="AO101" s="287">
        <f t="shared" si="46"/>
        <v>548.93813850837148</v>
      </c>
      <c r="AP101" s="287">
        <f t="shared" si="47"/>
        <v>2105516.6666666665</v>
      </c>
      <c r="AQ101" s="287">
        <f t="shared" si="48"/>
        <v>2000240.833333333</v>
      </c>
      <c r="AR101" s="287">
        <f t="shared" si="49"/>
        <v>39107.430833333339</v>
      </c>
      <c r="AS101" s="289" t="e">
        <f>IF(J101='2027 Avoided Costs'!#REF!,3,5)</f>
        <v>#REF!</v>
      </c>
      <c r="AT101" s="290" cm="1">
        <f t="array" ref="AT101">IFERROR(IF($J101="Baseload",IF($O101=1,0,NPV('2027 Avoided Costs'!$D$6,_xlfn._xlws.FILTER('2027 Avoided Costs'!$C$14:$C$47,('2027 Avoided Costs'!$B$14:$B$47&gt;=$B101+1)*('2027 Avoided Costs'!$B$14:$B$47&lt;$B101+ROUND($O101,0)))))+_xlfn.XLOOKUP($B101,'2027 Avoided Costs'!$B$13:$B$47,'2027 Avoided Costs'!$C$13:$C$47),IF($O101=1,0,NPV('2027 Avoided Costs'!$D$6,_xlfn._xlws.FILTER('2027 Avoided Costs'!$E$14:$E$47,('2027 Avoided Costs'!$B$14:$B$47&gt;=$B101+1)*('2027 Avoided Costs'!$B$14:$B$47&lt;$B101+ROUND($O101,0)))))+_xlfn.XLOOKUP($B101,'2027 Avoided Costs'!$B$13:$B$47,'2027 Avoided Costs'!$E$13:$E$47))*IF($AE101&gt;0,$AE101*(1+$W101),0),0)</f>
        <v>3429731.0828927304</v>
      </c>
      <c r="AU101" s="290" cm="1">
        <f t="array" ref="AU101">IFERROR((IF($O101=1,0,NPV('2027 Avoided Costs'!$D$6,_xlfn._xlws.FILTER('2027 Avoided Costs'!$M$14:$M$47,('2027 Avoided Costs'!$B$14:$B$47&gt;=$B101+1)*('2027 Avoided Costs'!$B$14:$B$47&lt;$B101+ROUND($O101,0)))))+_xlfn.XLOOKUP($B101,'2027 Avoided Costs'!$B$13:$B$47,'2027 Avoided Costs'!$M$13:$M$47))*IF($AK101&gt;0,$AK101*(1+$W101),0),0)</f>
        <v>0</v>
      </c>
      <c r="AV101" s="291" cm="1">
        <f t="array" ref="AV101">IFERROR((IF($O101=1,0,NPV('2027 Avoided Costs'!$D$6,_xlfn._xlws.FILTER('2027 Avoided Costs'!$Q$14:$Q$47,('2027 Avoided Costs'!$B$14:$B$47&gt;=$B101+1)*('2027 Avoided Costs'!$B$14:$B$47&lt;$B101+ROUND($O101,0)))))+_xlfn.XLOOKUP($B101,'2027 Avoided Costs'!$B$13:$B$47,'2027 Avoided Costs'!$Q$13:$Q$47))*IF($AI101&gt;0,$AI101*(1+$W101),0),0)</f>
        <v>1540819.4481036298</v>
      </c>
      <c r="AW101" s="291" cm="1">
        <f t="array" ref="AW101">IFERROR((IF($O101=1,0,NPV('2027 Avoided Costs'!$D$6,_xlfn._xlws.FILTER('2027 Avoided Costs'!$W$14:$W$47,('2027 Avoided Costs'!$B$14:$B$47&gt;=$B101+1)*('2027 Avoided Costs'!$B$14:$B$47&lt;$B101+ROUND($O101,0)))))+_xlfn.XLOOKUP($B101,'2027 Avoided Costs'!$B$13:$B$47,'2027 Avoided Costs'!$W$13:$W$47))*IF($AM101&gt;0,$AM101*(1+$W101),0),0)</f>
        <v>2181194.9154361533</v>
      </c>
      <c r="AX101" s="291" cm="1">
        <f t="array" ref="AX101">IFERROR((IF($O101=1,0,NPV('2027 Avoided Costs'!$D$6,_xlfn._xlws.FILTER('2027 Avoided Costs'!$AC$14:$AC$47,('2027 Avoided Costs'!$B$14:$B$47&gt;=$B101+1)*('2027 Avoided Costs'!$B$14:$B$47&lt;$B101+ROUND($O101,0)))))+_xlfn.XLOOKUP($B101,'2027 Avoided Costs'!$B$13:$B$47,'2027 Avoided Costs'!$AC$13:$AC$47))*IF($AO101&gt;0,$AO101*(1+$W101),0),0)</f>
        <v>461316.15491685615</v>
      </c>
      <c r="AY101" s="291" cm="1">
        <f t="array" ref="AY101">IFERROR((IF($O101=1,0,NPV('2027 Avoided Costs'!$D$4,_xlfn._xlws.FILTER('2027 Avoided Costs'!$I$14:$I$47,('2027 Avoided Costs'!$B$14:$B$47&gt;=$B101+1)*('2027 Avoided Costs'!$B$14:$B$47&lt;$B101+ROUND($O101,0)))))+_xlfn.XLOOKUP($B101,'2027 Avoided Costs'!$B$13:$B$47,'2027 Avoided Costs'!$I$13:$I$47))*IF($X101="Residential",'2027 Avoided Costs'!$J$5,IF($X101="Large Volume",'2027 Avoided Costs'!$J$7,'2027 Avoided Costs'!$J$6))*IF($AE101&gt;0,$AE101,0),0)</f>
        <v>0</v>
      </c>
      <c r="AZ101" s="291" cm="1">
        <f t="array" ref="AZ101">IFERROR(IF($J101="Baseload",IF($O101=1,0,NPV('2027 Avoided Costs'!$D$6,_xlfn._xlws.FILTER('2027 Avoided Costs'!$C$14:$C$47,('2027 Avoided Costs'!$B$14:$B$47&gt;=$B101+1)*('2027 Avoided Costs'!$B$14:$B$47&lt;$B101+ROUND($O101,0)))))+_xlfn.XLOOKUP($B101,'2027 Avoided Costs'!$B$13:$B$47,'2027 Avoided Costs'!$C$13:$C$47),IF($O101=1,0,NPV('2027 Avoided Costs'!$D$6,_xlfn._xlws.FILTER('2027 Avoided Costs'!$E$14:$E$47,('2027 Avoided Costs'!$B$14:$B$47&gt;=$B101+1)*('2027 Avoided Costs'!$B$14:$B$47&lt;$B101+ROUND($O101,0)))))+_xlfn.XLOOKUP($B101,'2027 Avoided Costs'!$B$13:$B$47,'2027 Avoided Costs'!$E$13:$E$47))*IF($AE101&lt;0,$AE101*(-1),0),0)</f>
        <v>0</v>
      </c>
      <c r="BA101" s="291" cm="1">
        <f t="array" ref="BA101">IFERROR((IF($O101=1,0,NPV('2027 Avoided Costs'!$D$6,_xlfn._xlws.FILTER('2027 Avoided Costs'!$M$14:$M$47,('2027 Avoided Costs'!$B$14:$B$47&gt;=$B101+1)*('2027 Avoided Costs'!$B$14:$B$47&lt;$B101+ROUND($O101,0)))))+_xlfn.XLOOKUP($B101,'2027 Avoided Costs'!$B$13:$B$47,'2027 Avoided Costs'!$M$13:$M$47))*IF($AK101&lt;0,$AK101*(-1),0),0)</f>
        <v>0</v>
      </c>
      <c r="BB101" s="291" cm="1">
        <f t="array" ref="BB101">IFERROR((IF($O101=1,0,NPV('2027 Avoided Costs'!$D$6,_xlfn._xlws.FILTER('2027 Avoided Costs'!$S$14:$S$47,('2027 Avoided Costs'!$B$14:$B$47&gt;=$B101+1)*('2027 Avoided Costs'!$B$14:$B$47&lt;$B101+ROUND($O101,0)))))+_xlfn.XLOOKUP($B101,'2027 Avoided Costs'!$B$13:$B$47,'2027 Avoided Costs'!$S$13:$S$47))*IF($AI101&lt;0,$AI101*(-1),0),0)</f>
        <v>0</v>
      </c>
      <c r="BC101" s="291" cm="1">
        <f t="array" ref="BC101">IFERROR((IF($O101=1,0,NPV('2027 Avoided Costs'!$D$6,_xlfn._xlws.FILTER('2027 Avoided Costs'!$Y$14:$Y$47,('2027 Avoided Costs'!$B$14:$B$47&gt;=$B101+1)*('2027 Avoided Costs'!$B$14:$B$47&lt;$B101+ROUND($O101,0)))))+_xlfn.XLOOKUP($B101,'2027 Avoided Costs'!$B$13:$B$47,'2027 Avoided Costs'!$Y$13:$Y$47))*IF($AM101&lt;0,$AM101*(-1),0),0)</f>
        <v>0</v>
      </c>
      <c r="BD101" s="291" cm="1">
        <f t="array" ref="BD101">IFERROR((IF($O101=1,0,NPV('2027 Avoided Costs'!$D$6,_xlfn._xlws.FILTER('2027 Avoided Costs'!$AE$14:$AE$47,('2027 Avoided Costs'!$B$14:$B$47&gt;=$B101+1)*('2027 Avoided Costs'!$B$14:$B$47&lt;$B101+ROUND($O101,0)))))+_xlfn.XLOOKUP($B101,'2027 Avoided Costs'!$B$13:$B$47,'2027 Avoided Costs'!$AE$13:$AE$47))*IF($AO101&lt;0,$AO101*(-1),0),0)</f>
        <v>0</v>
      </c>
      <c r="BE101" s="291" cm="1">
        <f t="array" ref="BE101">IFERROR((IF($O101=1,0,NPV('2027 Avoided Costs'!$D$4,_xlfn._xlws.FILTER('2027 Avoided Costs'!$I$14:$I$47,('2027 Avoided Costs'!$B$14:$B$47&gt;=$B101+1)*('2027 Avoided Costs'!$B$14:$B$47&lt;$B101+ROUND($O101,0)))))+_xlfn.XLOOKUP($B101,'2027 Avoided Costs'!$B$13:$B$47,'2027 Avoided Costs'!$I$13:$I$47))*IF($X101="Residential",'2027 Avoided Costs'!$J$5,IF($X101="Large Volume",'2027 Avoided Costs'!$J$7,'2027 Avoided Costs'!$J$6))*IF($AE101&lt;0,$AE101*(-1),0),0)</f>
        <v>0</v>
      </c>
      <c r="BF101" s="291">
        <f t="shared" si="50"/>
        <v>7613061.6013493696</v>
      </c>
      <c r="BG101" s="291">
        <f t="shared" si="51"/>
        <v>2000240.833333333</v>
      </c>
      <c r="BH101" s="291">
        <f t="shared" si="52"/>
        <v>5612820.7680160366</v>
      </c>
      <c r="BI101" s="292">
        <f t="shared" si="56"/>
        <v>3.8060724861128161</v>
      </c>
      <c r="BJ101" s="196" cm="1">
        <f t="array" ref="BJ101">IFERROR(IF($J101="Baseload",IF($O101=1,0,NPV('2027 Avoided Costs'!$D$6,_xlfn._xlws.FILTER('2027 Avoided Costs'!$C$14:$C$47,('2027 Avoided Costs'!$B$14:$B$47&gt;=$B101+1)*('2027 Avoided Costs'!$B$14:$B$47&lt;$B101+ROUND($O101,0)))))+_xlfn.XLOOKUP($B101,'2027 Avoided Costs'!$B$13:$B$47,'2027 Avoided Costs'!$C$13:$C$47),IF($O101=1,0,NPV('2027 Avoided Costs'!$D$6,_xlfn._xlws.FILTER('2027 Avoided Costs'!$E$14:$E$47,('2027 Avoided Costs'!$B$14:$B$47&gt;=$B101+1)*('2027 Avoided Costs'!$B$14:$B$47&lt;$B101+ROUND($O101,0)))))+_xlfn.XLOOKUP($B101,'2027 Avoided Costs'!$B$13:$B$47,'2027 Avoided Costs'!$E$13:$E$47))*IF($AE101&gt;0,$AE101*(1+0),0),0)</f>
        <v>2982374.8546893308</v>
      </c>
      <c r="BK101" s="293">
        <f t="shared" si="53"/>
        <v>1.3229196597842823</v>
      </c>
    </row>
    <row r="102" spans="1:63" s="56" customFormat="1" x14ac:dyDescent="0.25">
      <c r="A102" s="270" t="s">
        <v>133</v>
      </c>
      <c r="B102" s="271">
        <v>2030</v>
      </c>
      <c r="C102" s="272" t="s">
        <v>13</v>
      </c>
      <c r="D102" s="272" t="s">
        <v>164</v>
      </c>
      <c r="E102" s="272" t="s">
        <v>86</v>
      </c>
      <c r="F102" s="273">
        <v>1668</v>
      </c>
      <c r="G102" s="274">
        <v>1825.4605597964376</v>
      </c>
      <c r="H102" s="275">
        <f t="shared" si="30"/>
        <v>0.7194592166945768</v>
      </c>
      <c r="I102" s="274">
        <v>200</v>
      </c>
      <c r="J102" s="276" t="s">
        <v>264</v>
      </c>
      <c r="K102" s="277">
        <f t="shared" si="54"/>
        <v>0.95</v>
      </c>
      <c r="L102" s="278">
        <v>4.9999999999999996E-2</v>
      </c>
      <c r="M102" s="278">
        <v>0</v>
      </c>
      <c r="N102" s="278">
        <v>1</v>
      </c>
      <c r="O102" s="279">
        <v>10</v>
      </c>
      <c r="P102" s="280">
        <v>2537.2675996607295</v>
      </c>
      <c r="Q102" s="281">
        <v>472.51145038167937</v>
      </c>
      <c r="R102" s="282">
        <v>0.28794317428498734</v>
      </c>
      <c r="S102" s="282">
        <v>8.5049071186538983E-2</v>
      </c>
      <c r="T102" s="281">
        <v>0</v>
      </c>
      <c r="U102" s="283">
        <v>0.05</v>
      </c>
      <c r="V102" s="284">
        <v>1825.4605597964376</v>
      </c>
      <c r="W102" s="285">
        <v>0.15</v>
      </c>
      <c r="X102" s="286" t="s">
        <v>255</v>
      </c>
      <c r="Y102" s="287">
        <f t="shared" si="31"/>
        <v>1668</v>
      </c>
      <c r="Z102" s="288">
        <f t="shared" si="32"/>
        <v>3044868.2137404578</v>
      </c>
      <c r="AA102" s="288">
        <f t="shared" si="33"/>
        <v>333600</v>
      </c>
      <c r="AB102" s="288">
        <f t="shared" si="34"/>
        <v>3231238.5073670833</v>
      </c>
      <c r="AC102" s="288">
        <f t="shared" si="55"/>
        <v>351111.53417825286</v>
      </c>
      <c r="AD102" s="287">
        <f t="shared" si="35"/>
        <v>4232162.3562340969</v>
      </c>
      <c r="AE102" s="287">
        <f t="shared" si="36"/>
        <v>4020554.2384223919</v>
      </c>
      <c r="AF102" s="287">
        <f t="shared" si="37"/>
        <v>42321623.562340967</v>
      </c>
      <c r="AG102" s="287">
        <f t="shared" si="38"/>
        <v>40205542.384223923</v>
      </c>
      <c r="AH102" s="287">
        <f t="shared" si="39"/>
        <v>844895.83438167942</v>
      </c>
      <c r="AI102" s="287">
        <f t="shared" si="40"/>
        <v>802651.0426625954</v>
      </c>
      <c r="AJ102" s="287">
        <f t="shared" si="41"/>
        <v>0</v>
      </c>
      <c r="AK102" s="287">
        <f t="shared" si="42"/>
        <v>0</v>
      </c>
      <c r="AL102" s="287">
        <f t="shared" si="43"/>
        <v>514.87003816628874</v>
      </c>
      <c r="AM102" s="287">
        <f t="shared" si="44"/>
        <v>489.12653625797424</v>
      </c>
      <c r="AN102" s="287">
        <f t="shared" si="45"/>
        <v>152.07590399236562</v>
      </c>
      <c r="AO102" s="287">
        <f t="shared" si="46"/>
        <v>144.47210879274735</v>
      </c>
      <c r="AP102" s="287">
        <f t="shared" si="47"/>
        <v>3044868.2137404578</v>
      </c>
      <c r="AQ102" s="287">
        <f t="shared" si="48"/>
        <v>2892624.8030534349</v>
      </c>
      <c r="AR102" s="287">
        <f t="shared" si="49"/>
        <v>201027.7119211196</v>
      </c>
      <c r="AS102" s="289" t="e">
        <f>IF(J102='2027 Avoided Costs'!#REF!,3,5)</f>
        <v>#REF!</v>
      </c>
      <c r="AT102" s="290" cm="1">
        <f t="array" ref="AT102">IFERROR(IF($J102="Baseload",IF($O102=1,0,NPV('2027 Avoided Costs'!$D$6,_xlfn._xlws.FILTER('2027 Avoided Costs'!$C$14:$C$47,('2027 Avoided Costs'!$B$14:$B$47&gt;=$B102+1)*('2027 Avoided Costs'!$B$14:$B$47&lt;$B102+ROUND($O102,0)))))+_xlfn.XLOOKUP($B102,'2027 Avoided Costs'!$B$13:$B$47,'2027 Avoided Costs'!$C$13:$C$47),IF($O102=1,0,NPV('2027 Avoided Costs'!$D$6,_xlfn._xlws.FILTER('2027 Avoided Costs'!$E$14:$E$47,('2027 Avoided Costs'!$B$14:$B$47&gt;=$B102+1)*('2027 Avoided Costs'!$B$14:$B$47&lt;$B102+ROUND($O102,0)))))+_xlfn.XLOOKUP($B102,'2027 Avoided Costs'!$B$13:$B$47,'2027 Avoided Costs'!$E$13:$E$47))*IF($AE102&gt;0,$AE102*(1+$W102),0),0)</f>
        <v>12637328.596807566</v>
      </c>
      <c r="AU102" s="290" cm="1">
        <f t="array" ref="AU102">IFERROR((IF($O102=1,0,NPV('2027 Avoided Costs'!$D$6,_xlfn._xlws.FILTER('2027 Avoided Costs'!$M$14:$M$47,('2027 Avoided Costs'!$B$14:$B$47&gt;=$B102+1)*('2027 Avoided Costs'!$B$14:$B$47&lt;$B102+ROUND($O102,0)))))+_xlfn.XLOOKUP($B102,'2027 Avoided Costs'!$B$13:$B$47,'2027 Avoided Costs'!$M$13:$M$47))*IF($AK102&gt;0,$AK102*(1+$W102),0),0)</f>
        <v>0</v>
      </c>
      <c r="AV102" s="291" cm="1">
        <f t="array" ref="AV102">IFERROR((IF($O102=1,0,NPV('2027 Avoided Costs'!$D$6,_xlfn._xlws.FILTER('2027 Avoided Costs'!$Q$14:$Q$47,('2027 Avoided Costs'!$B$14:$B$47&gt;=$B102+1)*('2027 Avoided Costs'!$B$14:$B$47&lt;$B102+ROUND($O102,0)))))+_xlfn.XLOOKUP($B102,'2027 Avoided Costs'!$B$13:$B$47,'2027 Avoided Costs'!$Q$13:$Q$47))*IF($AI102&gt;0,$AI102*(1+$W102),0),0)</f>
        <v>363347.26774288493</v>
      </c>
      <c r="AW102" s="291" cm="1">
        <f t="array" ref="AW102">IFERROR((IF($O102=1,0,NPV('2027 Avoided Costs'!$D$6,_xlfn._xlws.FILTER('2027 Avoided Costs'!$W$14:$W$47,('2027 Avoided Costs'!$B$14:$B$47&gt;=$B102+1)*('2027 Avoided Costs'!$B$14:$B$47&lt;$B102+ROUND($O102,0)))))+_xlfn.XLOOKUP($B102,'2027 Avoided Costs'!$B$13:$B$47,'2027 Avoided Costs'!$W$13:$W$47))*IF($AM102&gt;0,$AM102*(1+$W102),0),0)</f>
        <v>1534709.3598547787</v>
      </c>
      <c r="AX102" s="291" cm="1">
        <f t="array" ref="AX102">IFERROR((IF($O102=1,0,NPV('2027 Avoided Costs'!$D$6,_xlfn._xlws.FILTER('2027 Avoided Costs'!$AC$14:$AC$47,('2027 Avoided Costs'!$B$14:$B$47&gt;=$B102+1)*('2027 Avoided Costs'!$B$14:$B$47&lt;$B102+ROUND($O102,0)))))+_xlfn.XLOOKUP($B102,'2027 Avoided Costs'!$B$13:$B$47,'2027 Avoided Costs'!$AC$13:$AC$47))*IF($AO102&gt;0,$AO102*(1+$W102),0),0)</f>
        <v>42109.561026740092</v>
      </c>
      <c r="AY102" s="291" cm="1">
        <f t="array" ref="AY102">IFERROR((IF($O102=1,0,NPV('2027 Avoided Costs'!$D$4,_xlfn._xlws.FILTER('2027 Avoided Costs'!$I$14:$I$47,('2027 Avoided Costs'!$B$14:$B$47&gt;=$B102+1)*('2027 Avoided Costs'!$B$14:$B$47&lt;$B102+ROUND($O102,0)))))+_xlfn.XLOOKUP($B102,'2027 Avoided Costs'!$B$13:$B$47,'2027 Avoided Costs'!$I$13:$I$47))*IF($X102="Residential",'2027 Avoided Costs'!$J$5,IF($X102="Large Volume",'2027 Avoided Costs'!$J$7,'2027 Avoided Costs'!$J$6))*IF($AE102&gt;0,$AE102,0),0)</f>
        <v>0</v>
      </c>
      <c r="AZ102" s="291" cm="1">
        <f t="array" ref="AZ102">IFERROR(IF($J102="Baseload",IF($O102=1,0,NPV('2027 Avoided Costs'!$D$6,_xlfn._xlws.FILTER('2027 Avoided Costs'!$C$14:$C$47,('2027 Avoided Costs'!$B$14:$B$47&gt;=$B102+1)*('2027 Avoided Costs'!$B$14:$B$47&lt;$B102+ROUND($O102,0)))))+_xlfn.XLOOKUP($B102,'2027 Avoided Costs'!$B$13:$B$47,'2027 Avoided Costs'!$C$13:$C$47),IF($O102=1,0,NPV('2027 Avoided Costs'!$D$6,_xlfn._xlws.FILTER('2027 Avoided Costs'!$E$14:$E$47,('2027 Avoided Costs'!$B$14:$B$47&gt;=$B102+1)*('2027 Avoided Costs'!$B$14:$B$47&lt;$B102+ROUND($O102,0)))))+_xlfn.XLOOKUP($B102,'2027 Avoided Costs'!$B$13:$B$47,'2027 Avoided Costs'!$E$13:$E$47))*IF($AE102&lt;0,$AE102*(-1),0),0)</f>
        <v>0</v>
      </c>
      <c r="BA102" s="291" cm="1">
        <f t="array" ref="BA102">IFERROR((IF($O102=1,0,NPV('2027 Avoided Costs'!$D$6,_xlfn._xlws.FILTER('2027 Avoided Costs'!$M$14:$M$47,('2027 Avoided Costs'!$B$14:$B$47&gt;=$B102+1)*('2027 Avoided Costs'!$B$14:$B$47&lt;$B102+ROUND($O102,0)))))+_xlfn.XLOOKUP($B102,'2027 Avoided Costs'!$B$13:$B$47,'2027 Avoided Costs'!$M$13:$M$47))*IF($AK102&lt;0,$AK102*(-1),0),0)</f>
        <v>0</v>
      </c>
      <c r="BB102" s="291" cm="1">
        <f t="array" ref="BB102">IFERROR((IF($O102=1,0,NPV('2027 Avoided Costs'!$D$6,_xlfn._xlws.FILTER('2027 Avoided Costs'!$S$14:$S$47,('2027 Avoided Costs'!$B$14:$B$47&gt;=$B102+1)*('2027 Avoided Costs'!$B$14:$B$47&lt;$B102+ROUND($O102,0)))))+_xlfn.XLOOKUP($B102,'2027 Avoided Costs'!$B$13:$B$47,'2027 Avoided Costs'!$S$13:$S$47))*IF($AI102&lt;0,$AI102*(-1),0),0)</f>
        <v>0</v>
      </c>
      <c r="BC102" s="291" cm="1">
        <f t="array" ref="BC102">IFERROR((IF($O102=1,0,NPV('2027 Avoided Costs'!$D$6,_xlfn._xlws.FILTER('2027 Avoided Costs'!$Y$14:$Y$47,('2027 Avoided Costs'!$B$14:$B$47&gt;=$B102+1)*('2027 Avoided Costs'!$B$14:$B$47&lt;$B102+ROUND($O102,0)))))+_xlfn.XLOOKUP($B102,'2027 Avoided Costs'!$B$13:$B$47,'2027 Avoided Costs'!$Y$13:$Y$47))*IF($AM102&lt;0,$AM102*(-1),0),0)</f>
        <v>0</v>
      </c>
      <c r="BD102" s="291" cm="1">
        <f t="array" ref="BD102">IFERROR((IF($O102=1,0,NPV('2027 Avoided Costs'!$D$6,_xlfn._xlws.FILTER('2027 Avoided Costs'!$AE$14:$AE$47,('2027 Avoided Costs'!$B$14:$B$47&gt;=$B102+1)*('2027 Avoided Costs'!$B$14:$B$47&lt;$B102+ROUND($O102,0)))))+_xlfn.XLOOKUP($B102,'2027 Avoided Costs'!$B$13:$B$47,'2027 Avoided Costs'!$AE$13:$AE$47))*IF($AO102&lt;0,$AO102*(-1),0),0)</f>
        <v>0</v>
      </c>
      <c r="BE102" s="291" cm="1">
        <f t="array" ref="BE102">IFERROR((IF($O102=1,0,NPV('2027 Avoided Costs'!$D$4,_xlfn._xlws.FILTER('2027 Avoided Costs'!$I$14:$I$47,('2027 Avoided Costs'!$B$14:$B$47&gt;=$B102+1)*('2027 Avoided Costs'!$B$14:$B$47&lt;$B102+ROUND($O102,0)))))+_xlfn.XLOOKUP($B102,'2027 Avoided Costs'!$B$13:$B$47,'2027 Avoided Costs'!$I$13:$I$47))*IF($X102="Residential",'2027 Avoided Costs'!$J$5,IF($X102="Large Volume",'2027 Avoided Costs'!$J$7,'2027 Avoided Costs'!$J$6))*IF($AE102&lt;0,$AE102*(-1),0),0)</f>
        <v>0</v>
      </c>
      <c r="BF102" s="291">
        <f t="shared" si="50"/>
        <v>14577494.78543197</v>
      </c>
      <c r="BG102" s="291">
        <f t="shared" si="51"/>
        <v>2892624.8030534349</v>
      </c>
      <c r="BH102" s="291">
        <f t="shared" si="52"/>
        <v>11684869.982378535</v>
      </c>
      <c r="BI102" s="292">
        <f t="shared" si="56"/>
        <v>5.0395387504262796</v>
      </c>
      <c r="BJ102" s="196" cm="1">
        <f t="array" ref="BJ102">IFERROR(IF($J102="Baseload",IF($O102=1,0,NPV('2027 Avoided Costs'!$D$6,_xlfn._xlws.FILTER('2027 Avoided Costs'!$C$14:$C$47,('2027 Avoided Costs'!$B$14:$B$47&gt;=$B102+1)*('2027 Avoided Costs'!$B$14:$B$47&lt;$B102+ROUND($O102,0)))))+_xlfn.XLOOKUP($B102,'2027 Avoided Costs'!$B$13:$B$47,'2027 Avoided Costs'!$C$13:$C$47),IF($O102=1,0,NPV('2027 Avoided Costs'!$D$6,_xlfn._xlws.FILTER('2027 Avoided Costs'!$E$14:$E$47,('2027 Avoided Costs'!$B$14:$B$47&gt;=$B102+1)*('2027 Avoided Costs'!$B$14:$B$47&lt;$B102+ROUND($O102,0)))))+_xlfn.XLOOKUP($B102,'2027 Avoided Costs'!$B$13:$B$47,'2027 Avoided Costs'!$E$13:$E$47))*IF($AE102&gt;0,$AE102*(1+0),0),0)</f>
        <v>10988981.388528319</v>
      </c>
      <c r="BK102" s="293">
        <f t="shared" si="53"/>
        <v>3.0675342334184483</v>
      </c>
    </row>
    <row r="103" spans="1:63" s="56" customFormat="1" x14ac:dyDescent="0.25">
      <c r="A103" s="270" t="s">
        <v>133</v>
      </c>
      <c r="B103" s="271">
        <v>2030</v>
      </c>
      <c r="C103" s="272" t="s">
        <v>13</v>
      </c>
      <c r="D103" s="272" t="s">
        <v>164</v>
      </c>
      <c r="E103" s="272" t="s">
        <v>83</v>
      </c>
      <c r="F103" s="273">
        <v>965</v>
      </c>
      <c r="G103" s="274">
        <v>570</v>
      </c>
      <c r="H103" s="275">
        <f t="shared" si="30"/>
        <v>1.5</v>
      </c>
      <c r="I103" s="274">
        <v>200</v>
      </c>
      <c r="J103" s="276" t="s">
        <v>264</v>
      </c>
      <c r="K103" s="277">
        <f t="shared" si="54"/>
        <v>0.97</v>
      </c>
      <c r="L103" s="278">
        <v>0.03</v>
      </c>
      <c r="M103" s="278">
        <v>0</v>
      </c>
      <c r="N103" s="278">
        <v>1</v>
      </c>
      <c r="O103" s="279">
        <v>10</v>
      </c>
      <c r="P103" s="280">
        <v>380</v>
      </c>
      <c r="Q103" s="281">
        <v>995</v>
      </c>
      <c r="R103" s="282">
        <v>0.60634183189028379</v>
      </c>
      <c r="S103" s="282">
        <v>0.17909370399860136</v>
      </c>
      <c r="T103" s="281">
        <v>0</v>
      </c>
      <c r="U103" s="283">
        <v>0.05</v>
      </c>
      <c r="V103" s="284">
        <v>235</v>
      </c>
      <c r="W103" s="285">
        <v>0.15</v>
      </c>
      <c r="X103" s="286" t="s">
        <v>255</v>
      </c>
      <c r="Y103" s="287">
        <f t="shared" si="31"/>
        <v>965</v>
      </c>
      <c r="Z103" s="288">
        <f t="shared" si="32"/>
        <v>550050</v>
      </c>
      <c r="AA103" s="288">
        <f t="shared" si="33"/>
        <v>193000</v>
      </c>
      <c r="AB103" s="288">
        <f t="shared" si="34"/>
        <v>583717.46039999998</v>
      </c>
      <c r="AC103" s="288">
        <f t="shared" si="55"/>
        <v>203131.07343046405</v>
      </c>
      <c r="AD103" s="287">
        <f t="shared" si="35"/>
        <v>366700</v>
      </c>
      <c r="AE103" s="287">
        <f t="shared" si="36"/>
        <v>355699</v>
      </c>
      <c r="AF103" s="287">
        <f t="shared" si="37"/>
        <v>3667000</v>
      </c>
      <c r="AG103" s="287">
        <f t="shared" si="38"/>
        <v>3556990</v>
      </c>
      <c r="AH103" s="287">
        <f t="shared" si="39"/>
        <v>1029307.6000000001</v>
      </c>
      <c r="AI103" s="287">
        <f t="shared" si="40"/>
        <v>998428.37200000009</v>
      </c>
      <c r="AJ103" s="287">
        <f t="shared" si="41"/>
        <v>0</v>
      </c>
      <c r="AK103" s="287">
        <f t="shared" si="42"/>
        <v>0</v>
      </c>
      <c r="AL103" s="287">
        <f t="shared" si="43"/>
        <v>627.2484982538607</v>
      </c>
      <c r="AM103" s="287">
        <f t="shared" si="44"/>
        <v>608.43104330624499</v>
      </c>
      <c r="AN103" s="287">
        <f t="shared" si="45"/>
        <v>185.26885491247313</v>
      </c>
      <c r="AO103" s="287">
        <f t="shared" si="46"/>
        <v>179.71078926509895</v>
      </c>
      <c r="AP103" s="287">
        <f t="shared" si="47"/>
        <v>226775</v>
      </c>
      <c r="AQ103" s="287">
        <f t="shared" si="48"/>
        <v>219971.75</v>
      </c>
      <c r="AR103" s="287">
        <f t="shared" si="49"/>
        <v>17784.95</v>
      </c>
      <c r="AS103" s="289" t="e">
        <f>IF(J103='2027 Avoided Costs'!#REF!,3,5)</f>
        <v>#REF!</v>
      </c>
      <c r="AT103" s="290" cm="1">
        <f t="array" ref="AT103">IFERROR(IF($J103="Baseload",IF($O103=1,0,NPV('2027 Avoided Costs'!$D$6,_xlfn._xlws.FILTER('2027 Avoided Costs'!$C$14:$C$47,('2027 Avoided Costs'!$B$14:$B$47&gt;=$B103+1)*('2027 Avoided Costs'!$B$14:$B$47&lt;$B103+ROUND($O103,0)))))+_xlfn.XLOOKUP($B103,'2027 Avoided Costs'!$B$13:$B$47,'2027 Avoided Costs'!$C$13:$C$47),IF($O103=1,0,NPV('2027 Avoided Costs'!$D$6,_xlfn._xlws.FILTER('2027 Avoided Costs'!$E$14:$E$47,('2027 Avoided Costs'!$B$14:$B$47&gt;=$B103+1)*('2027 Avoided Costs'!$B$14:$B$47&lt;$B103+ROUND($O103,0)))))+_xlfn.XLOOKUP($B103,'2027 Avoided Costs'!$B$13:$B$47,'2027 Avoided Costs'!$E$13:$E$47))*IF($AE103&gt;0,$AE103*(1+$W103),0),0)</f>
        <v>1118026.2416555937</v>
      </c>
      <c r="AU103" s="290" cm="1">
        <f t="array" ref="AU103">IFERROR((IF($O103=1,0,NPV('2027 Avoided Costs'!$D$6,_xlfn._xlws.FILTER('2027 Avoided Costs'!$M$14:$M$47,('2027 Avoided Costs'!$B$14:$B$47&gt;=$B103+1)*('2027 Avoided Costs'!$B$14:$B$47&lt;$B103+ROUND($O103,0)))))+_xlfn.XLOOKUP($B103,'2027 Avoided Costs'!$B$13:$B$47,'2027 Avoided Costs'!$M$13:$M$47))*IF($AK103&gt;0,$AK103*(1+$W103),0),0)</f>
        <v>0</v>
      </c>
      <c r="AV103" s="291" cm="1">
        <f t="array" ref="AV103">IFERROR((IF($O103=1,0,NPV('2027 Avoided Costs'!$D$6,_xlfn._xlws.FILTER('2027 Avoided Costs'!$Q$14:$Q$47,('2027 Avoided Costs'!$B$14:$B$47&gt;=$B103+1)*('2027 Avoided Costs'!$B$14:$B$47&lt;$B103+ROUND($O103,0)))))+_xlfn.XLOOKUP($B103,'2027 Avoided Costs'!$B$13:$B$47,'2027 Avoided Costs'!$Q$13:$Q$47))*IF($AI103&gt;0,$AI103*(1+$W103),0),0)</f>
        <v>451972.52818579384</v>
      </c>
      <c r="AW103" s="291" cm="1">
        <f t="array" ref="AW103">IFERROR((IF($O103=1,0,NPV('2027 Avoided Costs'!$D$6,_xlfn._xlws.FILTER('2027 Avoided Costs'!$W$14:$W$47,('2027 Avoided Costs'!$B$14:$B$47&gt;=$B103+1)*('2027 Avoided Costs'!$B$14:$B$47&lt;$B103+ROUND($O103,0)))))+_xlfn.XLOOKUP($B103,'2027 Avoided Costs'!$B$13:$B$47,'2027 Avoided Costs'!$W$13:$W$47))*IF($AM103&gt;0,$AM103*(1+$W103),0),0)</f>
        <v>1909045.5082073445</v>
      </c>
      <c r="AX103" s="291" cm="1">
        <f t="array" ref="AX103">IFERROR((IF($O103=1,0,NPV('2027 Avoided Costs'!$D$6,_xlfn._xlws.FILTER('2027 Avoided Costs'!$AC$14:$AC$47,('2027 Avoided Costs'!$B$14:$B$47&gt;=$B103+1)*('2027 Avoided Costs'!$B$14:$B$47&lt;$B103+ROUND($O103,0)))))+_xlfn.XLOOKUP($B103,'2027 Avoided Costs'!$B$13:$B$47,'2027 Avoided Costs'!$AC$13:$AC$47))*IF($AO103&gt;0,$AO103*(1+$W103),0),0)</f>
        <v>52380.646416522788</v>
      </c>
      <c r="AY103" s="291" cm="1">
        <f t="array" ref="AY103">IFERROR((IF($O103=1,0,NPV('2027 Avoided Costs'!$D$4,_xlfn._xlws.FILTER('2027 Avoided Costs'!$I$14:$I$47,('2027 Avoided Costs'!$B$14:$B$47&gt;=$B103+1)*('2027 Avoided Costs'!$B$14:$B$47&lt;$B103+ROUND($O103,0)))))+_xlfn.XLOOKUP($B103,'2027 Avoided Costs'!$B$13:$B$47,'2027 Avoided Costs'!$I$13:$I$47))*IF($X103="Residential",'2027 Avoided Costs'!$J$5,IF($X103="Large Volume",'2027 Avoided Costs'!$J$7,'2027 Avoided Costs'!$J$6))*IF($AE103&gt;0,$AE103,0),0)</f>
        <v>0</v>
      </c>
      <c r="AZ103" s="291" cm="1">
        <f t="array" ref="AZ103">IFERROR(IF($J103="Baseload",IF($O103=1,0,NPV('2027 Avoided Costs'!$D$6,_xlfn._xlws.FILTER('2027 Avoided Costs'!$C$14:$C$47,('2027 Avoided Costs'!$B$14:$B$47&gt;=$B103+1)*('2027 Avoided Costs'!$B$14:$B$47&lt;$B103+ROUND($O103,0)))))+_xlfn.XLOOKUP($B103,'2027 Avoided Costs'!$B$13:$B$47,'2027 Avoided Costs'!$C$13:$C$47),IF($O103=1,0,NPV('2027 Avoided Costs'!$D$6,_xlfn._xlws.FILTER('2027 Avoided Costs'!$E$14:$E$47,('2027 Avoided Costs'!$B$14:$B$47&gt;=$B103+1)*('2027 Avoided Costs'!$B$14:$B$47&lt;$B103+ROUND($O103,0)))))+_xlfn.XLOOKUP($B103,'2027 Avoided Costs'!$B$13:$B$47,'2027 Avoided Costs'!$E$13:$E$47))*IF($AE103&lt;0,$AE103*(-1),0),0)</f>
        <v>0</v>
      </c>
      <c r="BA103" s="291" cm="1">
        <f t="array" ref="BA103">IFERROR((IF($O103=1,0,NPV('2027 Avoided Costs'!$D$6,_xlfn._xlws.FILTER('2027 Avoided Costs'!$M$14:$M$47,('2027 Avoided Costs'!$B$14:$B$47&gt;=$B103+1)*('2027 Avoided Costs'!$B$14:$B$47&lt;$B103+ROUND($O103,0)))))+_xlfn.XLOOKUP($B103,'2027 Avoided Costs'!$B$13:$B$47,'2027 Avoided Costs'!$M$13:$M$47))*IF($AK103&lt;0,$AK103*(-1),0),0)</f>
        <v>0</v>
      </c>
      <c r="BB103" s="291" cm="1">
        <f t="array" ref="BB103">IFERROR((IF($O103=1,0,NPV('2027 Avoided Costs'!$D$6,_xlfn._xlws.FILTER('2027 Avoided Costs'!$S$14:$S$47,('2027 Avoided Costs'!$B$14:$B$47&gt;=$B103+1)*('2027 Avoided Costs'!$B$14:$B$47&lt;$B103+ROUND($O103,0)))))+_xlfn.XLOOKUP($B103,'2027 Avoided Costs'!$B$13:$B$47,'2027 Avoided Costs'!$S$13:$S$47))*IF($AI103&lt;0,$AI103*(-1),0),0)</f>
        <v>0</v>
      </c>
      <c r="BC103" s="291" cm="1">
        <f t="array" ref="BC103">IFERROR((IF($O103=1,0,NPV('2027 Avoided Costs'!$D$6,_xlfn._xlws.FILTER('2027 Avoided Costs'!$Y$14:$Y$47,('2027 Avoided Costs'!$B$14:$B$47&gt;=$B103+1)*('2027 Avoided Costs'!$B$14:$B$47&lt;$B103+ROUND($O103,0)))))+_xlfn.XLOOKUP($B103,'2027 Avoided Costs'!$B$13:$B$47,'2027 Avoided Costs'!$Y$13:$Y$47))*IF($AM103&lt;0,$AM103*(-1),0),0)</f>
        <v>0</v>
      </c>
      <c r="BD103" s="291" cm="1">
        <f t="array" ref="BD103">IFERROR((IF($O103=1,0,NPV('2027 Avoided Costs'!$D$6,_xlfn._xlws.FILTER('2027 Avoided Costs'!$AE$14:$AE$47,('2027 Avoided Costs'!$B$14:$B$47&gt;=$B103+1)*('2027 Avoided Costs'!$B$14:$B$47&lt;$B103+ROUND($O103,0)))))+_xlfn.XLOOKUP($B103,'2027 Avoided Costs'!$B$13:$B$47,'2027 Avoided Costs'!$AE$13:$AE$47))*IF($AO103&lt;0,$AO103*(-1),0),0)</f>
        <v>0</v>
      </c>
      <c r="BE103" s="291" cm="1">
        <f t="array" ref="BE103">IFERROR((IF($O103=1,0,NPV('2027 Avoided Costs'!$D$4,_xlfn._xlws.FILTER('2027 Avoided Costs'!$I$14:$I$47,('2027 Avoided Costs'!$B$14:$B$47&gt;=$B103+1)*('2027 Avoided Costs'!$B$14:$B$47&lt;$B103+ROUND($O103,0)))))+_xlfn.XLOOKUP($B103,'2027 Avoided Costs'!$B$13:$B$47,'2027 Avoided Costs'!$I$13:$I$47))*IF($X103="Residential",'2027 Avoided Costs'!$J$5,IF($X103="Large Volume",'2027 Avoided Costs'!$J$7,'2027 Avoided Costs'!$J$6))*IF($AE103&lt;0,$AE103*(-1),0),0)</f>
        <v>0</v>
      </c>
      <c r="BF103" s="291">
        <f t="shared" si="50"/>
        <v>3531424.9244652549</v>
      </c>
      <c r="BG103" s="291">
        <f t="shared" si="51"/>
        <v>219971.75</v>
      </c>
      <c r="BH103" s="291">
        <f t="shared" si="52"/>
        <v>3311453.1744652549</v>
      </c>
      <c r="BI103" s="292">
        <f t="shared" si="56"/>
        <v>16.053992953482684</v>
      </c>
      <c r="BJ103" s="196" cm="1">
        <f t="array" ref="BJ103">IFERROR(IF($J103="Baseload",IF($O103=1,0,NPV('2027 Avoided Costs'!$D$6,_xlfn._xlws.FILTER('2027 Avoided Costs'!$C$14:$C$47,('2027 Avoided Costs'!$B$14:$B$47&gt;=$B103+1)*('2027 Avoided Costs'!$B$14:$B$47&lt;$B103+ROUND($O103,0)))))+_xlfn.XLOOKUP($B103,'2027 Avoided Costs'!$B$13:$B$47,'2027 Avoided Costs'!$C$13:$C$47),IF($O103=1,0,NPV('2027 Avoided Costs'!$D$6,_xlfn._xlws.FILTER('2027 Avoided Costs'!$E$14:$E$47,('2027 Avoided Costs'!$B$14:$B$47&gt;=$B103+1)*('2027 Avoided Costs'!$B$14:$B$47&lt;$B103+ROUND($O103,0)))))+_xlfn.XLOOKUP($B103,'2027 Avoided Costs'!$B$13:$B$47,'2027 Avoided Costs'!$E$13:$E$47))*IF($AE103&gt;0,$AE103*(1+0),0),0)</f>
        <v>972196.73187442939</v>
      </c>
      <c r="BK103" s="293">
        <f t="shared" si="53"/>
        <v>1.235557658272133</v>
      </c>
    </row>
    <row r="104" spans="1:63" s="56" customFormat="1" x14ac:dyDescent="0.25">
      <c r="A104" s="270" t="s">
        <v>133</v>
      </c>
      <c r="B104" s="271">
        <v>2027</v>
      </c>
      <c r="C104" s="272" t="s">
        <v>13</v>
      </c>
      <c r="D104" s="272" t="s">
        <v>165</v>
      </c>
      <c r="E104" s="272" t="s">
        <v>92</v>
      </c>
      <c r="F104" s="273">
        <v>733</v>
      </c>
      <c r="G104" s="274">
        <v>1389.0454545454545</v>
      </c>
      <c r="H104" s="275">
        <f t="shared" si="30"/>
        <v>0.91952276077013717</v>
      </c>
      <c r="I104" s="274">
        <v>0</v>
      </c>
      <c r="J104" s="276" t="s">
        <v>263</v>
      </c>
      <c r="K104" s="277">
        <f t="shared" si="54"/>
        <v>0.8</v>
      </c>
      <c r="L104" s="278">
        <v>0.2</v>
      </c>
      <c r="M104" s="278">
        <v>0</v>
      </c>
      <c r="N104" s="278">
        <v>1</v>
      </c>
      <c r="O104" s="279">
        <v>12</v>
      </c>
      <c r="P104" s="280">
        <v>1510.6156299840509</v>
      </c>
      <c r="Q104" s="281">
        <v>0</v>
      </c>
      <c r="R104" s="282">
        <v>0</v>
      </c>
      <c r="S104" s="282">
        <v>0</v>
      </c>
      <c r="T104" s="281">
        <v>0</v>
      </c>
      <c r="U104" s="283">
        <v>0.24</v>
      </c>
      <c r="V104" s="284">
        <v>2778.090909090909</v>
      </c>
      <c r="W104" s="285">
        <v>0.15</v>
      </c>
      <c r="X104" s="286" t="s">
        <v>255</v>
      </c>
      <c r="Y104" s="287">
        <f t="shared" si="31"/>
        <v>733</v>
      </c>
      <c r="Z104" s="288">
        <f t="shared" si="32"/>
        <v>1018170.3181818181</v>
      </c>
      <c r="AA104" s="288">
        <f t="shared" si="33"/>
        <v>0</v>
      </c>
      <c r="AB104" s="288">
        <f t="shared" si="34"/>
        <v>1018170.3181818181</v>
      </c>
      <c r="AC104" s="288">
        <f t="shared" si="55"/>
        <v>0</v>
      </c>
      <c r="AD104" s="287">
        <f t="shared" si="35"/>
        <v>1107281.2567783094</v>
      </c>
      <c r="AE104" s="287">
        <f t="shared" si="36"/>
        <v>885825.00542264758</v>
      </c>
      <c r="AF104" s="287">
        <f t="shared" si="37"/>
        <v>13287375.081339713</v>
      </c>
      <c r="AG104" s="287">
        <f t="shared" si="38"/>
        <v>10629900.065071771</v>
      </c>
      <c r="AH104" s="287">
        <f t="shared" si="39"/>
        <v>0</v>
      </c>
      <c r="AI104" s="287">
        <f t="shared" si="40"/>
        <v>0</v>
      </c>
      <c r="AJ104" s="287">
        <f t="shared" si="41"/>
        <v>0</v>
      </c>
      <c r="AK104" s="287">
        <f t="shared" si="42"/>
        <v>0</v>
      </c>
      <c r="AL104" s="287">
        <f t="shared" si="43"/>
        <v>0</v>
      </c>
      <c r="AM104" s="287">
        <f t="shared" si="44"/>
        <v>0</v>
      </c>
      <c r="AN104" s="287">
        <f t="shared" si="45"/>
        <v>0</v>
      </c>
      <c r="AO104" s="287">
        <f t="shared" si="46"/>
        <v>0</v>
      </c>
      <c r="AP104" s="287">
        <f t="shared" si="47"/>
        <v>2036340.6363636362</v>
      </c>
      <c r="AQ104" s="287">
        <f t="shared" si="48"/>
        <v>1629072.509090909</v>
      </c>
      <c r="AR104" s="287">
        <f t="shared" si="49"/>
        <v>212598.0013014354</v>
      </c>
      <c r="AS104" s="289" t="e">
        <f>IF(J104='2027 Avoided Costs'!#REF!,3,5)</f>
        <v>#REF!</v>
      </c>
      <c r="AT104" s="290" cm="1">
        <f t="array" ref="AT104">IFERROR(IF($J104="Baseload",IF($O104=1,0,NPV('2027 Avoided Costs'!$D$6,_xlfn._xlws.FILTER('2027 Avoided Costs'!$C$14:$C$47,('2027 Avoided Costs'!$B$14:$B$47&gt;=$B104+1)*('2027 Avoided Costs'!$B$14:$B$47&lt;$B104+ROUND($O104,0)))))+_xlfn.XLOOKUP($B104,'2027 Avoided Costs'!$B$13:$B$47,'2027 Avoided Costs'!$C$13:$C$47),IF($O104=1,0,NPV('2027 Avoided Costs'!$D$6,_xlfn._xlws.FILTER('2027 Avoided Costs'!$E$14:$E$47,('2027 Avoided Costs'!$B$14:$B$47&gt;=$B104+1)*('2027 Avoided Costs'!$B$14:$B$47&lt;$B104+ROUND($O104,0)))))+_xlfn.XLOOKUP($B104,'2027 Avoided Costs'!$B$13:$B$47,'2027 Avoided Costs'!$E$13:$E$47))*IF($AE104&gt;0,$AE104*(1+$W104),0),0)</f>
        <v>2574787.7655417346</v>
      </c>
      <c r="AU104" s="290" cm="1">
        <f t="array" ref="AU104">IFERROR((IF($O104=1,0,NPV('2027 Avoided Costs'!$D$6,_xlfn._xlws.FILTER('2027 Avoided Costs'!$M$14:$M$47,('2027 Avoided Costs'!$B$14:$B$47&gt;=$B104+1)*('2027 Avoided Costs'!$B$14:$B$47&lt;$B104+ROUND($O104,0)))))+_xlfn.XLOOKUP($B104,'2027 Avoided Costs'!$B$13:$B$47,'2027 Avoided Costs'!$M$13:$M$47))*IF($AK104&gt;0,$AK104*(1+$W104),0),0)</f>
        <v>0</v>
      </c>
      <c r="AV104" s="291" cm="1">
        <f t="array" ref="AV104">IFERROR((IF($O104=1,0,NPV('2027 Avoided Costs'!$D$6,_xlfn._xlws.FILTER('2027 Avoided Costs'!$Q$14:$Q$47,('2027 Avoided Costs'!$B$14:$B$47&gt;=$B104+1)*('2027 Avoided Costs'!$B$14:$B$47&lt;$B104+ROUND($O104,0)))))+_xlfn.XLOOKUP($B104,'2027 Avoided Costs'!$B$13:$B$47,'2027 Avoided Costs'!$Q$13:$Q$47))*IF($AI104&gt;0,$AI104*(1+$W104),0),0)</f>
        <v>0</v>
      </c>
      <c r="AW104" s="291" cm="1">
        <f t="array" ref="AW104">IFERROR((IF($O104=1,0,NPV('2027 Avoided Costs'!$D$6,_xlfn._xlws.FILTER('2027 Avoided Costs'!$W$14:$W$47,('2027 Avoided Costs'!$B$14:$B$47&gt;=$B104+1)*('2027 Avoided Costs'!$B$14:$B$47&lt;$B104+ROUND($O104,0)))))+_xlfn.XLOOKUP($B104,'2027 Avoided Costs'!$B$13:$B$47,'2027 Avoided Costs'!$W$13:$W$47))*IF($AM104&gt;0,$AM104*(1+$W104),0),0)</f>
        <v>0</v>
      </c>
      <c r="AX104" s="291" cm="1">
        <f t="array" ref="AX104">IFERROR((IF($O104=1,0,NPV('2027 Avoided Costs'!$D$6,_xlfn._xlws.FILTER('2027 Avoided Costs'!$AC$14:$AC$47,('2027 Avoided Costs'!$B$14:$B$47&gt;=$B104+1)*('2027 Avoided Costs'!$B$14:$B$47&lt;$B104+ROUND($O104,0)))))+_xlfn.XLOOKUP($B104,'2027 Avoided Costs'!$B$13:$B$47,'2027 Avoided Costs'!$AC$13:$AC$47))*IF($AO104&gt;0,$AO104*(1+$W104),0),0)</f>
        <v>0</v>
      </c>
      <c r="AY104" s="291" cm="1">
        <f t="array" ref="AY104">IFERROR((IF($O104=1,0,NPV('2027 Avoided Costs'!$D$4,_xlfn._xlws.FILTER('2027 Avoided Costs'!$I$14:$I$47,('2027 Avoided Costs'!$B$14:$B$47&gt;=$B104+1)*('2027 Avoided Costs'!$B$14:$B$47&lt;$B104+ROUND($O104,0)))))+_xlfn.XLOOKUP($B104,'2027 Avoided Costs'!$B$13:$B$47,'2027 Avoided Costs'!$I$13:$I$47))*IF($X104="Residential",'2027 Avoided Costs'!$J$5,IF($X104="Large Volume",'2027 Avoided Costs'!$J$7,'2027 Avoided Costs'!$J$6))*IF($AE104&gt;0,$AE104,0),0)</f>
        <v>0</v>
      </c>
      <c r="AZ104" s="291" cm="1">
        <f t="array" ref="AZ104">IFERROR(IF($J104="Baseload",IF($O104=1,0,NPV('2027 Avoided Costs'!$D$6,_xlfn._xlws.FILTER('2027 Avoided Costs'!$C$14:$C$47,('2027 Avoided Costs'!$B$14:$B$47&gt;=$B104+1)*('2027 Avoided Costs'!$B$14:$B$47&lt;$B104+ROUND($O104,0)))))+_xlfn.XLOOKUP($B104,'2027 Avoided Costs'!$B$13:$B$47,'2027 Avoided Costs'!$C$13:$C$47),IF($O104=1,0,NPV('2027 Avoided Costs'!$D$6,_xlfn._xlws.FILTER('2027 Avoided Costs'!$E$14:$E$47,('2027 Avoided Costs'!$B$14:$B$47&gt;=$B104+1)*('2027 Avoided Costs'!$B$14:$B$47&lt;$B104+ROUND($O104,0)))))+_xlfn.XLOOKUP($B104,'2027 Avoided Costs'!$B$13:$B$47,'2027 Avoided Costs'!$E$13:$E$47))*IF($AE104&lt;0,$AE104*(-1),0),0)</f>
        <v>0</v>
      </c>
      <c r="BA104" s="291" cm="1">
        <f t="array" ref="BA104">IFERROR((IF($O104=1,0,NPV('2027 Avoided Costs'!$D$6,_xlfn._xlws.FILTER('2027 Avoided Costs'!$M$14:$M$47,('2027 Avoided Costs'!$B$14:$B$47&gt;=$B104+1)*('2027 Avoided Costs'!$B$14:$B$47&lt;$B104+ROUND($O104,0)))))+_xlfn.XLOOKUP($B104,'2027 Avoided Costs'!$B$13:$B$47,'2027 Avoided Costs'!$M$13:$M$47))*IF($AK104&lt;0,$AK104*(-1),0),0)</f>
        <v>0</v>
      </c>
      <c r="BB104" s="291" cm="1">
        <f t="array" ref="BB104">IFERROR((IF($O104=1,0,NPV('2027 Avoided Costs'!$D$6,_xlfn._xlws.FILTER('2027 Avoided Costs'!$S$14:$S$47,('2027 Avoided Costs'!$B$14:$B$47&gt;=$B104+1)*('2027 Avoided Costs'!$B$14:$B$47&lt;$B104+ROUND($O104,0)))))+_xlfn.XLOOKUP($B104,'2027 Avoided Costs'!$B$13:$B$47,'2027 Avoided Costs'!$S$13:$S$47))*IF($AI104&lt;0,$AI104*(-1),0),0)</f>
        <v>0</v>
      </c>
      <c r="BC104" s="291" cm="1">
        <f t="array" ref="BC104">IFERROR((IF($O104=1,0,NPV('2027 Avoided Costs'!$D$6,_xlfn._xlws.FILTER('2027 Avoided Costs'!$Y$14:$Y$47,('2027 Avoided Costs'!$B$14:$B$47&gt;=$B104+1)*('2027 Avoided Costs'!$B$14:$B$47&lt;$B104+ROUND($O104,0)))))+_xlfn.XLOOKUP($B104,'2027 Avoided Costs'!$B$13:$B$47,'2027 Avoided Costs'!$Y$13:$Y$47))*IF($AM104&lt;0,$AM104*(-1),0),0)</f>
        <v>0</v>
      </c>
      <c r="BD104" s="291" cm="1">
        <f t="array" ref="BD104">IFERROR((IF($O104=1,0,NPV('2027 Avoided Costs'!$D$6,_xlfn._xlws.FILTER('2027 Avoided Costs'!$AE$14:$AE$47,('2027 Avoided Costs'!$B$14:$B$47&gt;=$B104+1)*('2027 Avoided Costs'!$B$14:$B$47&lt;$B104+ROUND($O104,0)))))+_xlfn.XLOOKUP($B104,'2027 Avoided Costs'!$B$13:$B$47,'2027 Avoided Costs'!$AE$13:$AE$47))*IF($AO104&lt;0,$AO104*(-1),0),0)</f>
        <v>0</v>
      </c>
      <c r="BE104" s="291" cm="1">
        <f t="array" ref="BE104">IFERROR((IF($O104=1,0,NPV('2027 Avoided Costs'!$D$4,_xlfn._xlws.FILTER('2027 Avoided Costs'!$I$14:$I$47,('2027 Avoided Costs'!$B$14:$B$47&gt;=$B104+1)*('2027 Avoided Costs'!$B$14:$B$47&lt;$B104+ROUND($O104,0)))))+_xlfn.XLOOKUP($B104,'2027 Avoided Costs'!$B$13:$B$47,'2027 Avoided Costs'!$I$13:$I$47))*IF($X104="Residential",'2027 Avoided Costs'!$J$5,IF($X104="Large Volume",'2027 Avoided Costs'!$J$7,'2027 Avoided Costs'!$J$6))*IF($AE104&lt;0,$AE104*(-1),0),0)</f>
        <v>0</v>
      </c>
      <c r="BF104" s="291">
        <f t="shared" si="50"/>
        <v>2574787.7655417346</v>
      </c>
      <c r="BG104" s="291">
        <f t="shared" si="51"/>
        <v>1629072.509090909</v>
      </c>
      <c r="BH104" s="291">
        <f t="shared" si="52"/>
        <v>945715.2564508256</v>
      </c>
      <c r="BI104" s="292">
        <f t="shared" si="56"/>
        <v>1.5805237343171266</v>
      </c>
      <c r="BJ104" s="196" cm="1">
        <f t="array" ref="BJ104">IFERROR(IF($J104="Baseload",IF($O104=1,0,NPV('2027 Avoided Costs'!$D$6,_xlfn._xlws.FILTER('2027 Avoided Costs'!$C$14:$C$47,('2027 Avoided Costs'!$B$14:$B$47&gt;=$B104+1)*('2027 Avoided Costs'!$B$14:$B$47&lt;$B104+ROUND($O104,0)))))+_xlfn.XLOOKUP($B104,'2027 Avoided Costs'!$B$13:$B$47,'2027 Avoided Costs'!$C$13:$C$47),IF($O104=1,0,NPV('2027 Avoided Costs'!$D$6,_xlfn._xlws.FILTER('2027 Avoided Costs'!$E$14:$E$47,('2027 Avoided Costs'!$B$14:$B$47&gt;=$B104+1)*('2027 Avoided Costs'!$B$14:$B$47&lt;$B104+ROUND($O104,0)))))+_xlfn.XLOOKUP($B104,'2027 Avoided Costs'!$B$13:$B$47,'2027 Avoided Costs'!$E$13:$E$47))*IF($AE104&gt;0,$AE104*(1+0),0),0)</f>
        <v>2238945.8830797691</v>
      </c>
      <c r="BK104" s="293">
        <f t="shared" si="53"/>
        <v>2.1989895433977411</v>
      </c>
    </row>
    <row r="105" spans="1:63" s="56" customFormat="1" x14ac:dyDescent="0.25">
      <c r="A105" s="270" t="s">
        <v>133</v>
      </c>
      <c r="B105" s="271">
        <v>2027</v>
      </c>
      <c r="C105" s="272" t="s">
        <v>13</v>
      </c>
      <c r="D105" s="272" t="s">
        <v>165</v>
      </c>
      <c r="E105" s="272" t="s">
        <v>93</v>
      </c>
      <c r="F105" s="273">
        <v>10</v>
      </c>
      <c r="G105" s="274">
        <v>1522.5</v>
      </c>
      <c r="H105" s="275">
        <f t="shared" si="30"/>
        <v>0.18718622997848436</v>
      </c>
      <c r="I105" s="274">
        <v>0</v>
      </c>
      <c r="J105" s="276" t="s">
        <v>263</v>
      </c>
      <c r="K105" s="277">
        <f t="shared" si="54"/>
        <v>0.8</v>
      </c>
      <c r="L105" s="278">
        <v>0.2</v>
      </c>
      <c r="M105" s="278">
        <v>0</v>
      </c>
      <c r="N105" s="278">
        <v>1</v>
      </c>
      <c r="O105" s="279">
        <v>12</v>
      </c>
      <c r="P105" s="280">
        <v>8133.6111111111104</v>
      </c>
      <c r="Q105" s="281">
        <v>0</v>
      </c>
      <c r="R105" s="282">
        <v>0</v>
      </c>
      <c r="S105" s="282">
        <v>0</v>
      </c>
      <c r="T105" s="281">
        <v>1139.311049317778</v>
      </c>
      <c r="U105" s="283">
        <v>0.24</v>
      </c>
      <c r="V105" s="284">
        <v>3045</v>
      </c>
      <c r="W105" s="285">
        <v>0.15</v>
      </c>
      <c r="X105" s="286" t="s">
        <v>255</v>
      </c>
      <c r="Y105" s="287">
        <f t="shared" si="31"/>
        <v>10</v>
      </c>
      <c r="Z105" s="288">
        <f t="shared" si="32"/>
        <v>15225</v>
      </c>
      <c r="AA105" s="288">
        <f t="shared" si="33"/>
        <v>0</v>
      </c>
      <c r="AB105" s="288">
        <f t="shared" si="34"/>
        <v>15225</v>
      </c>
      <c r="AC105" s="288">
        <f t="shared" si="55"/>
        <v>0</v>
      </c>
      <c r="AD105" s="287">
        <f t="shared" si="35"/>
        <v>81336.111111111109</v>
      </c>
      <c r="AE105" s="287">
        <f t="shared" si="36"/>
        <v>65068.888888888891</v>
      </c>
      <c r="AF105" s="287">
        <f t="shared" si="37"/>
        <v>976033.33333333326</v>
      </c>
      <c r="AG105" s="287">
        <f t="shared" si="38"/>
        <v>780826.66666666674</v>
      </c>
      <c r="AH105" s="287">
        <f t="shared" si="39"/>
        <v>0</v>
      </c>
      <c r="AI105" s="287">
        <f t="shared" si="40"/>
        <v>0</v>
      </c>
      <c r="AJ105" s="287">
        <f t="shared" si="41"/>
        <v>11393.110493177781</v>
      </c>
      <c r="AK105" s="287">
        <f t="shared" si="42"/>
        <v>9114.4883945422243</v>
      </c>
      <c r="AL105" s="287">
        <f t="shared" si="43"/>
        <v>0</v>
      </c>
      <c r="AM105" s="287">
        <f t="shared" si="44"/>
        <v>0</v>
      </c>
      <c r="AN105" s="287">
        <f t="shared" si="45"/>
        <v>0</v>
      </c>
      <c r="AO105" s="287">
        <f t="shared" si="46"/>
        <v>0</v>
      </c>
      <c r="AP105" s="287">
        <f t="shared" si="47"/>
        <v>30450</v>
      </c>
      <c r="AQ105" s="287">
        <f t="shared" si="48"/>
        <v>24360</v>
      </c>
      <c r="AR105" s="287">
        <f t="shared" si="49"/>
        <v>15616.533333333333</v>
      </c>
      <c r="AS105" s="289" t="e">
        <f>IF(J105='2027 Avoided Costs'!#REF!,3,5)</f>
        <v>#REF!</v>
      </c>
      <c r="AT105" s="290" cm="1">
        <f t="array" ref="AT105">IFERROR(IF($J105="Baseload",IF($O105=1,0,NPV('2027 Avoided Costs'!$D$6,_xlfn._xlws.FILTER('2027 Avoided Costs'!$C$14:$C$47,('2027 Avoided Costs'!$B$14:$B$47&gt;=$B105+1)*('2027 Avoided Costs'!$B$14:$B$47&lt;$B105+ROUND($O105,0)))))+_xlfn.XLOOKUP($B105,'2027 Avoided Costs'!$B$13:$B$47,'2027 Avoided Costs'!$C$13:$C$47),IF($O105=1,0,NPV('2027 Avoided Costs'!$D$6,_xlfn._xlws.FILTER('2027 Avoided Costs'!$E$14:$E$47,('2027 Avoided Costs'!$B$14:$B$47&gt;=$B105+1)*('2027 Avoided Costs'!$B$14:$B$47&lt;$B105+ROUND($O105,0)))))+_xlfn.XLOOKUP($B105,'2027 Avoided Costs'!$B$13:$B$47,'2027 Avoided Costs'!$E$13:$E$47))*IF($AE105&gt;0,$AE105*(1+$W105),0),0)</f>
        <v>189132.81743335875</v>
      </c>
      <c r="AU105" s="290" cm="1">
        <f t="array" ref="AU105">IFERROR((IF($O105=1,0,NPV('2027 Avoided Costs'!$D$6,_xlfn._xlws.FILTER('2027 Avoided Costs'!$M$14:$M$47,('2027 Avoided Costs'!$B$14:$B$47&gt;=$B105+1)*('2027 Avoided Costs'!$B$14:$B$47&lt;$B105+ROUND($O105,0)))))+_xlfn.XLOOKUP($B105,'2027 Avoided Costs'!$B$13:$B$47,'2027 Avoided Costs'!$M$13:$M$47))*IF($AK105&gt;0,$AK105*(1+$W105),0),0)</f>
        <v>110298.7583471385</v>
      </c>
      <c r="AV105" s="291" cm="1">
        <f t="array" ref="AV105">IFERROR((IF($O105=1,0,NPV('2027 Avoided Costs'!$D$6,_xlfn._xlws.FILTER('2027 Avoided Costs'!$Q$14:$Q$47,('2027 Avoided Costs'!$B$14:$B$47&gt;=$B105+1)*('2027 Avoided Costs'!$B$14:$B$47&lt;$B105+ROUND($O105,0)))))+_xlfn.XLOOKUP($B105,'2027 Avoided Costs'!$B$13:$B$47,'2027 Avoided Costs'!$Q$13:$Q$47))*IF($AI105&gt;0,$AI105*(1+$W105),0),0)</f>
        <v>0</v>
      </c>
      <c r="AW105" s="291" cm="1">
        <f t="array" ref="AW105">IFERROR((IF($O105=1,0,NPV('2027 Avoided Costs'!$D$6,_xlfn._xlws.FILTER('2027 Avoided Costs'!$W$14:$W$47,('2027 Avoided Costs'!$B$14:$B$47&gt;=$B105+1)*('2027 Avoided Costs'!$B$14:$B$47&lt;$B105+ROUND($O105,0)))))+_xlfn.XLOOKUP($B105,'2027 Avoided Costs'!$B$13:$B$47,'2027 Avoided Costs'!$W$13:$W$47))*IF($AM105&gt;0,$AM105*(1+$W105),0),0)</f>
        <v>0</v>
      </c>
      <c r="AX105" s="291" cm="1">
        <f t="array" ref="AX105">IFERROR((IF($O105=1,0,NPV('2027 Avoided Costs'!$D$6,_xlfn._xlws.FILTER('2027 Avoided Costs'!$AC$14:$AC$47,('2027 Avoided Costs'!$B$14:$B$47&gt;=$B105+1)*('2027 Avoided Costs'!$B$14:$B$47&lt;$B105+ROUND($O105,0)))))+_xlfn.XLOOKUP($B105,'2027 Avoided Costs'!$B$13:$B$47,'2027 Avoided Costs'!$AC$13:$AC$47))*IF($AO105&gt;0,$AO105*(1+$W105),0),0)</f>
        <v>0</v>
      </c>
      <c r="AY105" s="291" cm="1">
        <f t="array" ref="AY105">IFERROR((IF($O105=1,0,NPV('2027 Avoided Costs'!$D$4,_xlfn._xlws.FILTER('2027 Avoided Costs'!$I$14:$I$47,('2027 Avoided Costs'!$B$14:$B$47&gt;=$B105+1)*('2027 Avoided Costs'!$B$14:$B$47&lt;$B105+ROUND($O105,0)))))+_xlfn.XLOOKUP($B105,'2027 Avoided Costs'!$B$13:$B$47,'2027 Avoided Costs'!$I$13:$I$47))*IF($X105="Residential",'2027 Avoided Costs'!$J$5,IF($X105="Large Volume",'2027 Avoided Costs'!$J$7,'2027 Avoided Costs'!$J$6))*IF($AE105&gt;0,$AE105,0),0)</f>
        <v>0</v>
      </c>
      <c r="AZ105" s="291" cm="1">
        <f t="array" ref="AZ105">IFERROR(IF($J105="Baseload",IF($O105=1,0,NPV('2027 Avoided Costs'!$D$6,_xlfn._xlws.FILTER('2027 Avoided Costs'!$C$14:$C$47,('2027 Avoided Costs'!$B$14:$B$47&gt;=$B105+1)*('2027 Avoided Costs'!$B$14:$B$47&lt;$B105+ROUND($O105,0)))))+_xlfn.XLOOKUP($B105,'2027 Avoided Costs'!$B$13:$B$47,'2027 Avoided Costs'!$C$13:$C$47),IF($O105=1,0,NPV('2027 Avoided Costs'!$D$6,_xlfn._xlws.FILTER('2027 Avoided Costs'!$E$14:$E$47,('2027 Avoided Costs'!$B$14:$B$47&gt;=$B105+1)*('2027 Avoided Costs'!$B$14:$B$47&lt;$B105+ROUND($O105,0)))))+_xlfn.XLOOKUP($B105,'2027 Avoided Costs'!$B$13:$B$47,'2027 Avoided Costs'!$E$13:$E$47))*IF($AE105&lt;0,$AE105*(-1),0),0)</f>
        <v>0</v>
      </c>
      <c r="BA105" s="291" cm="1">
        <f t="array" ref="BA105">IFERROR((IF($O105=1,0,NPV('2027 Avoided Costs'!$D$6,_xlfn._xlws.FILTER('2027 Avoided Costs'!$M$14:$M$47,('2027 Avoided Costs'!$B$14:$B$47&gt;=$B105+1)*('2027 Avoided Costs'!$B$14:$B$47&lt;$B105+ROUND($O105,0)))))+_xlfn.XLOOKUP($B105,'2027 Avoided Costs'!$B$13:$B$47,'2027 Avoided Costs'!$M$13:$M$47))*IF($AK105&lt;0,$AK105*(-1),0),0)</f>
        <v>0</v>
      </c>
      <c r="BB105" s="291" cm="1">
        <f t="array" ref="BB105">IFERROR((IF($O105=1,0,NPV('2027 Avoided Costs'!$D$6,_xlfn._xlws.FILTER('2027 Avoided Costs'!$S$14:$S$47,('2027 Avoided Costs'!$B$14:$B$47&gt;=$B105+1)*('2027 Avoided Costs'!$B$14:$B$47&lt;$B105+ROUND($O105,0)))))+_xlfn.XLOOKUP($B105,'2027 Avoided Costs'!$B$13:$B$47,'2027 Avoided Costs'!$S$13:$S$47))*IF($AI105&lt;0,$AI105*(-1),0),0)</f>
        <v>0</v>
      </c>
      <c r="BC105" s="291" cm="1">
        <f t="array" ref="BC105">IFERROR((IF($O105=1,0,NPV('2027 Avoided Costs'!$D$6,_xlfn._xlws.FILTER('2027 Avoided Costs'!$Y$14:$Y$47,('2027 Avoided Costs'!$B$14:$B$47&gt;=$B105+1)*('2027 Avoided Costs'!$B$14:$B$47&lt;$B105+ROUND($O105,0)))))+_xlfn.XLOOKUP($B105,'2027 Avoided Costs'!$B$13:$B$47,'2027 Avoided Costs'!$Y$13:$Y$47))*IF($AM105&lt;0,$AM105*(-1),0),0)</f>
        <v>0</v>
      </c>
      <c r="BD105" s="291" cm="1">
        <f t="array" ref="BD105">IFERROR((IF($O105=1,0,NPV('2027 Avoided Costs'!$D$6,_xlfn._xlws.FILTER('2027 Avoided Costs'!$AE$14:$AE$47,('2027 Avoided Costs'!$B$14:$B$47&gt;=$B105+1)*('2027 Avoided Costs'!$B$14:$B$47&lt;$B105+ROUND($O105,0)))))+_xlfn.XLOOKUP($B105,'2027 Avoided Costs'!$B$13:$B$47,'2027 Avoided Costs'!$AE$13:$AE$47))*IF($AO105&lt;0,$AO105*(-1),0),0)</f>
        <v>0</v>
      </c>
      <c r="BE105" s="291" cm="1">
        <f t="array" ref="BE105">IFERROR((IF($O105=1,0,NPV('2027 Avoided Costs'!$D$4,_xlfn._xlws.FILTER('2027 Avoided Costs'!$I$14:$I$47,('2027 Avoided Costs'!$B$14:$B$47&gt;=$B105+1)*('2027 Avoided Costs'!$B$14:$B$47&lt;$B105+ROUND($O105,0)))))+_xlfn.XLOOKUP($B105,'2027 Avoided Costs'!$B$13:$B$47,'2027 Avoided Costs'!$I$13:$I$47))*IF($X105="Residential",'2027 Avoided Costs'!$J$5,IF($X105="Large Volume",'2027 Avoided Costs'!$J$7,'2027 Avoided Costs'!$J$6))*IF($AE105&lt;0,$AE105*(-1),0),0)</f>
        <v>0</v>
      </c>
      <c r="BF105" s="291">
        <f t="shared" si="50"/>
        <v>299431.57578049728</v>
      </c>
      <c r="BG105" s="291">
        <f t="shared" si="51"/>
        <v>24360</v>
      </c>
      <c r="BH105" s="291">
        <f t="shared" si="52"/>
        <v>275071.57578049728</v>
      </c>
      <c r="BI105" s="292">
        <f t="shared" si="56"/>
        <v>12.291936608394797</v>
      </c>
      <c r="BJ105" s="196" cm="1">
        <f t="array" ref="BJ105">IFERROR(IF($J105="Baseload",IF($O105=1,0,NPV('2027 Avoided Costs'!$D$6,_xlfn._xlws.FILTER('2027 Avoided Costs'!$C$14:$C$47,('2027 Avoided Costs'!$B$14:$B$47&gt;=$B105+1)*('2027 Avoided Costs'!$B$14:$B$47&lt;$B105+ROUND($O105,0)))))+_xlfn.XLOOKUP($B105,'2027 Avoided Costs'!$B$13:$B$47,'2027 Avoided Costs'!$C$13:$C$47),IF($O105=1,0,NPV('2027 Avoided Costs'!$D$6,_xlfn._xlws.FILTER('2027 Avoided Costs'!$E$14:$E$47,('2027 Avoided Costs'!$B$14:$B$47&gt;=$B105+1)*('2027 Avoided Costs'!$B$14:$B$47&lt;$B105+ROUND($O105,0)))))+_xlfn.XLOOKUP($B105,'2027 Avoided Costs'!$B$13:$B$47,'2027 Avoided Costs'!$E$13:$E$47))*IF($AE105&gt;0,$AE105*(1+0),0),0)</f>
        <v>164463.31950726849</v>
      </c>
      <c r="BK105" s="293">
        <f t="shared" si="53"/>
        <v>10.80218847338381</v>
      </c>
    </row>
    <row r="106" spans="1:63" s="56" customFormat="1" x14ac:dyDescent="0.25">
      <c r="A106" s="270" t="s">
        <v>133</v>
      </c>
      <c r="B106" s="271">
        <v>2027</v>
      </c>
      <c r="C106" s="272" t="s">
        <v>13</v>
      </c>
      <c r="D106" s="272" t="s">
        <v>165</v>
      </c>
      <c r="E106" s="272" t="s">
        <v>91</v>
      </c>
      <c r="F106" s="273">
        <v>267</v>
      </c>
      <c r="G106" s="274">
        <v>600</v>
      </c>
      <c r="H106" s="275">
        <f t="shared" si="30"/>
        <v>0.62893081761006286</v>
      </c>
      <c r="I106" s="274">
        <v>0</v>
      </c>
      <c r="J106" s="276" t="s">
        <v>263</v>
      </c>
      <c r="K106" s="277">
        <f t="shared" si="54"/>
        <v>0.8</v>
      </c>
      <c r="L106" s="278">
        <v>0.2</v>
      </c>
      <c r="M106" s="278">
        <v>0</v>
      </c>
      <c r="N106" s="278">
        <v>1</v>
      </c>
      <c r="O106" s="279">
        <v>12</v>
      </c>
      <c r="P106" s="280">
        <v>954</v>
      </c>
      <c r="Q106" s="281">
        <v>44.2</v>
      </c>
      <c r="R106" s="282">
        <v>5.0456621004565747E-3</v>
      </c>
      <c r="S106" s="282">
        <v>5.0456621004566372E-3</v>
      </c>
      <c r="T106" s="281">
        <v>0</v>
      </c>
      <c r="U106" s="283">
        <v>0.24</v>
      </c>
      <c r="V106" s="284">
        <v>1200</v>
      </c>
      <c r="W106" s="285">
        <v>0.15</v>
      </c>
      <c r="X106" s="286" t="s">
        <v>255</v>
      </c>
      <c r="Y106" s="287">
        <f t="shared" si="31"/>
        <v>267</v>
      </c>
      <c r="Z106" s="288">
        <f t="shared" si="32"/>
        <v>160200</v>
      </c>
      <c r="AA106" s="288">
        <f t="shared" si="33"/>
        <v>0</v>
      </c>
      <c r="AB106" s="288">
        <f t="shared" si="34"/>
        <v>160200</v>
      </c>
      <c r="AC106" s="288">
        <f t="shared" si="55"/>
        <v>0</v>
      </c>
      <c r="AD106" s="287">
        <f t="shared" si="35"/>
        <v>254718</v>
      </c>
      <c r="AE106" s="287">
        <f t="shared" si="36"/>
        <v>203774.40000000002</v>
      </c>
      <c r="AF106" s="287">
        <f t="shared" si="37"/>
        <v>3056616</v>
      </c>
      <c r="AG106" s="287">
        <f t="shared" si="38"/>
        <v>2445292.8000000003</v>
      </c>
      <c r="AH106" s="287">
        <f t="shared" si="39"/>
        <v>12651.100800000002</v>
      </c>
      <c r="AI106" s="287">
        <f t="shared" si="40"/>
        <v>10120.880640000003</v>
      </c>
      <c r="AJ106" s="287">
        <f t="shared" si="41"/>
        <v>0</v>
      </c>
      <c r="AK106" s="287">
        <f t="shared" si="42"/>
        <v>0</v>
      </c>
      <c r="AL106" s="287">
        <f t="shared" si="43"/>
        <v>1.4441895890410827</v>
      </c>
      <c r="AM106" s="287">
        <f t="shared" si="44"/>
        <v>1.1553516712328662</v>
      </c>
      <c r="AN106" s="287">
        <f t="shared" si="45"/>
        <v>1.4441895890411005</v>
      </c>
      <c r="AO106" s="287">
        <f t="shared" si="46"/>
        <v>1.1553516712328806</v>
      </c>
      <c r="AP106" s="287">
        <f t="shared" si="47"/>
        <v>320400</v>
      </c>
      <c r="AQ106" s="287">
        <f t="shared" si="48"/>
        <v>256320</v>
      </c>
      <c r="AR106" s="287">
        <f t="shared" si="49"/>
        <v>48905.856000000007</v>
      </c>
      <c r="AS106" s="289" t="e">
        <f>IF(J106='2027 Avoided Costs'!#REF!,3,5)</f>
        <v>#REF!</v>
      </c>
      <c r="AT106" s="290" cm="1">
        <f t="array" ref="AT106">IFERROR(IF($J106="Baseload",IF($O106=1,0,NPV('2027 Avoided Costs'!$D$6,_xlfn._xlws.FILTER('2027 Avoided Costs'!$C$14:$C$47,('2027 Avoided Costs'!$B$14:$B$47&gt;=$B106+1)*('2027 Avoided Costs'!$B$14:$B$47&lt;$B106+ROUND($O106,0)))))+_xlfn.XLOOKUP($B106,'2027 Avoided Costs'!$B$13:$B$47,'2027 Avoided Costs'!$C$13:$C$47),IF($O106=1,0,NPV('2027 Avoided Costs'!$D$6,_xlfn._xlws.FILTER('2027 Avoided Costs'!$E$14:$E$47,('2027 Avoided Costs'!$B$14:$B$47&gt;=$B106+1)*('2027 Avoided Costs'!$B$14:$B$47&lt;$B106+ROUND($O106,0)))))+_xlfn.XLOOKUP($B106,'2027 Avoided Costs'!$B$13:$B$47,'2027 Avoided Costs'!$E$13:$E$47))*IF($AE106&gt;0,$AE106*(1+$W106),0),0)</f>
        <v>592301.8980484443</v>
      </c>
      <c r="AU106" s="290" cm="1">
        <f t="array" ref="AU106">IFERROR((IF($O106=1,0,NPV('2027 Avoided Costs'!$D$6,_xlfn._xlws.FILTER('2027 Avoided Costs'!$M$14:$M$47,('2027 Avoided Costs'!$B$14:$B$47&gt;=$B106+1)*('2027 Avoided Costs'!$B$14:$B$47&lt;$B106+ROUND($O106,0)))))+_xlfn.XLOOKUP($B106,'2027 Avoided Costs'!$B$13:$B$47,'2027 Avoided Costs'!$M$13:$M$47))*IF($AK106&gt;0,$AK106*(1+$W106),0),0)</f>
        <v>0</v>
      </c>
      <c r="AV106" s="291" cm="1">
        <f t="array" ref="AV106">IFERROR((IF($O106=1,0,NPV('2027 Avoided Costs'!$D$6,_xlfn._xlws.FILTER('2027 Avoided Costs'!$Q$14:$Q$47,('2027 Avoided Costs'!$B$14:$B$47&gt;=$B106+1)*('2027 Avoided Costs'!$B$14:$B$47&lt;$B106+ROUND($O106,0)))))+_xlfn.XLOOKUP($B106,'2027 Avoided Costs'!$B$13:$B$47,'2027 Avoided Costs'!$Q$13:$Q$47))*IF($AI106&gt;0,$AI106*(1+$W106),0),0)</f>
        <v>5734.8562916374121</v>
      </c>
      <c r="AW106" s="291" cm="1">
        <f t="array" ref="AW106">IFERROR((IF($O106=1,0,NPV('2027 Avoided Costs'!$D$6,_xlfn._xlws.FILTER('2027 Avoided Costs'!$W$14:$W$47,('2027 Avoided Costs'!$B$14:$B$47&gt;=$B106+1)*('2027 Avoided Costs'!$B$14:$B$47&lt;$B106+ROUND($O106,0)))))+_xlfn.XLOOKUP($B106,'2027 Avoided Costs'!$B$13:$B$47,'2027 Avoided Costs'!$W$13:$W$47))*IF($AM106&gt;0,$AM106*(1+$W106),0),0)</f>
        <v>3932.1493917662124</v>
      </c>
      <c r="AX106" s="291" cm="1">
        <f t="array" ref="AX106">IFERROR((IF($O106=1,0,NPV('2027 Avoided Costs'!$D$6,_xlfn._xlws.FILTER('2027 Avoided Costs'!$AC$14:$AC$47,('2027 Avoided Costs'!$B$14:$B$47&gt;=$B106+1)*('2027 Avoided Costs'!$B$14:$B$47&lt;$B106+ROUND($O106,0)))))+_xlfn.XLOOKUP($B106,'2027 Avoided Costs'!$B$13:$B$47,'2027 Avoided Costs'!$AC$13:$AC$47))*IF($AO106&gt;0,$AO106*(1+$W106),0),0)</f>
        <v>0</v>
      </c>
      <c r="AY106" s="291" cm="1">
        <f t="array" ref="AY106">IFERROR((IF($O106=1,0,NPV('2027 Avoided Costs'!$D$4,_xlfn._xlws.FILTER('2027 Avoided Costs'!$I$14:$I$47,('2027 Avoided Costs'!$B$14:$B$47&gt;=$B106+1)*('2027 Avoided Costs'!$B$14:$B$47&lt;$B106+ROUND($O106,0)))))+_xlfn.XLOOKUP($B106,'2027 Avoided Costs'!$B$13:$B$47,'2027 Avoided Costs'!$I$13:$I$47))*IF($X106="Residential",'2027 Avoided Costs'!$J$5,IF($X106="Large Volume",'2027 Avoided Costs'!$J$7,'2027 Avoided Costs'!$J$6))*IF($AE106&gt;0,$AE106,0),0)</f>
        <v>0</v>
      </c>
      <c r="AZ106" s="291" cm="1">
        <f t="array" ref="AZ106">IFERROR(IF($J106="Baseload",IF($O106=1,0,NPV('2027 Avoided Costs'!$D$6,_xlfn._xlws.FILTER('2027 Avoided Costs'!$C$14:$C$47,('2027 Avoided Costs'!$B$14:$B$47&gt;=$B106+1)*('2027 Avoided Costs'!$B$14:$B$47&lt;$B106+ROUND($O106,0)))))+_xlfn.XLOOKUP($B106,'2027 Avoided Costs'!$B$13:$B$47,'2027 Avoided Costs'!$C$13:$C$47),IF($O106=1,0,NPV('2027 Avoided Costs'!$D$6,_xlfn._xlws.FILTER('2027 Avoided Costs'!$E$14:$E$47,('2027 Avoided Costs'!$B$14:$B$47&gt;=$B106+1)*('2027 Avoided Costs'!$B$14:$B$47&lt;$B106+ROUND($O106,0)))))+_xlfn.XLOOKUP($B106,'2027 Avoided Costs'!$B$13:$B$47,'2027 Avoided Costs'!$E$13:$E$47))*IF($AE106&lt;0,$AE106*(-1),0),0)</f>
        <v>0</v>
      </c>
      <c r="BA106" s="291" cm="1">
        <f t="array" ref="BA106">IFERROR((IF($O106=1,0,NPV('2027 Avoided Costs'!$D$6,_xlfn._xlws.FILTER('2027 Avoided Costs'!$M$14:$M$47,('2027 Avoided Costs'!$B$14:$B$47&gt;=$B106+1)*('2027 Avoided Costs'!$B$14:$B$47&lt;$B106+ROUND($O106,0)))))+_xlfn.XLOOKUP($B106,'2027 Avoided Costs'!$B$13:$B$47,'2027 Avoided Costs'!$M$13:$M$47))*IF($AK106&lt;0,$AK106*(-1),0),0)</f>
        <v>0</v>
      </c>
      <c r="BB106" s="291" cm="1">
        <f t="array" ref="BB106">IFERROR((IF($O106=1,0,NPV('2027 Avoided Costs'!$D$6,_xlfn._xlws.FILTER('2027 Avoided Costs'!$S$14:$S$47,('2027 Avoided Costs'!$B$14:$B$47&gt;=$B106+1)*('2027 Avoided Costs'!$B$14:$B$47&lt;$B106+ROUND($O106,0)))))+_xlfn.XLOOKUP($B106,'2027 Avoided Costs'!$B$13:$B$47,'2027 Avoided Costs'!$S$13:$S$47))*IF($AI106&lt;0,$AI106*(-1),0),0)</f>
        <v>0</v>
      </c>
      <c r="BC106" s="291" cm="1">
        <f t="array" ref="BC106">IFERROR((IF($O106=1,0,NPV('2027 Avoided Costs'!$D$6,_xlfn._xlws.FILTER('2027 Avoided Costs'!$Y$14:$Y$47,('2027 Avoided Costs'!$B$14:$B$47&gt;=$B106+1)*('2027 Avoided Costs'!$B$14:$B$47&lt;$B106+ROUND($O106,0)))))+_xlfn.XLOOKUP($B106,'2027 Avoided Costs'!$B$13:$B$47,'2027 Avoided Costs'!$Y$13:$Y$47))*IF($AM106&lt;0,$AM106*(-1),0),0)</f>
        <v>0</v>
      </c>
      <c r="BD106" s="291" cm="1">
        <f t="array" ref="BD106">IFERROR((IF($O106=1,0,NPV('2027 Avoided Costs'!$D$6,_xlfn._xlws.FILTER('2027 Avoided Costs'!$AE$14:$AE$47,('2027 Avoided Costs'!$B$14:$B$47&gt;=$B106+1)*('2027 Avoided Costs'!$B$14:$B$47&lt;$B106+ROUND($O106,0)))))+_xlfn.XLOOKUP($B106,'2027 Avoided Costs'!$B$13:$B$47,'2027 Avoided Costs'!$AE$13:$AE$47))*IF($AO106&lt;0,$AO106*(-1),0),0)</f>
        <v>0</v>
      </c>
      <c r="BE106" s="291" cm="1">
        <f t="array" ref="BE106">IFERROR((IF($O106=1,0,NPV('2027 Avoided Costs'!$D$4,_xlfn._xlws.FILTER('2027 Avoided Costs'!$I$14:$I$47,('2027 Avoided Costs'!$B$14:$B$47&gt;=$B106+1)*('2027 Avoided Costs'!$B$14:$B$47&lt;$B106+ROUND($O106,0)))))+_xlfn.XLOOKUP($B106,'2027 Avoided Costs'!$B$13:$B$47,'2027 Avoided Costs'!$I$13:$I$47))*IF($X106="Residential",'2027 Avoided Costs'!$J$5,IF($X106="Large Volume",'2027 Avoided Costs'!$J$7,'2027 Avoided Costs'!$J$6))*IF($AE106&lt;0,$AE106*(-1),0),0)</f>
        <v>0</v>
      </c>
      <c r="BF106" s="291">
        <f t="shared" si="50"/>
        <v>601968.90373184788</v>
      </c>
      <c r="BG106" s="291">
        <f t="shared" si="51"/>
        <v>256320</v>
      </c>
      <c r="BH106" s="291">
        <f t="shared" si="52"/>
        <v>345648.90373184788</v>
      </c>
      <c r="BI106" s="292">
        <f t="shared" si="56"/>
        <v>2.3485053984544626</v>
      </c>
      <c r="BJ106" s="196" cm="1">
        <f t="array" ref="BJ106">IFERROR(IF($J106="Baseload",IF($O106=1,0,NPV('2027 Avoided Costs'!$D$6,_xlfn._xlws.FILTER('2027 Avoided Costs'!$C$14:$C$47,('2027 Avoided Costs'!$B$14:$B$47&gt;=$B106+1)*('2027 Avoided Costs'!$B$14:$B$47&lt;$B106+ROUND($O106,0)))))+_xlfn.XLOOKUP($B106,'2027 Avoided Costs'!$B$13:$B$47,'2027 Avoided Costs'!$C$13:$C$47),IF($O106=1,0,NPV('2027 Avoided Costs'!$D$6,_xlfn._xlws.FILTER('2027 Avoided Costs'!$E$14:$E$47,('2027 Avoided Costs'!$B$14:$B$47&gt;=$B106+1)*('2027 Avoided Costs'!$B$14:$B$47&lt;$B106+ROUND($O106,0)))))+_xlfn.XLOOKUP($B106,'2027 Avoided Costs'!$B$13:$B$47,'2027 Avoided Costs'!$E$13:$E$47))*IF($AE106&gt;0,$AE106*(1+0),0),0)</f>
        <v>515045.12873777776</v>
      </c>
      <c r="BK106" s="293">
        <f t="shared" si="53"/>
        <v>3.2150132880011095</v>
      </c>
    </row>
    <row r="107" spans="1:63" s="56" customFormat="1" x14ac:dyDescent="0.25">
      <c r="A107" s="270" t="s">
        <v>133</v>
      </c>
      <c r="B107" s="271">
        <v>2027</v>
      </c>
      <c r="C107" s="272" t="s">
        <v>13</v>
      </c>
      <c r="D107" s="272" t="s">
        <v>165</v>
      </c>
      <c r="E107" s="272" t="s">
        <v>285</v>
      </c>
      <c r="F107" s="273">
        <v>4</v>
      </c>
      <c r="G107" s="274">
        <v>772</v>
      </c>
      <c r="H107" s="275">
        <f t="shared" si="30"/>
        <v>1.0124590163934426</v>
      </c>
      <c r="I107" s="274">
        <v>0</v>
      </c>
      <c r="J107" s="276" t="s">
        <v>263</v>
      </c>
      <c r="K107" s="277">
        <f t="shared" si="54"/>
        <v>0.8</v>
      </c>
      <c r="L107" s="278">
        <v>0.2</v>
      </c>
      <c r="M107" s="278">
        <v>0</v>
      </c>
      <c r="N107" s="278">
        <v>1</v>
      </c>
      <c r="O107" s="279">
        <v>12</v>
      </c>
      <c r="P107" s="280">
        <v>762.5</v>
      </c>
      <c r="Q107" s="281">
        <v>826</v>
      </c>
      <c r="R107" s="282">
        <v>9.4292237442921506E-2</v>
      </c>
      <c r="S107" s="282">
        <v>9.4292237442922672E-2</v>
      </c>
      <c r="T107" s="281">
        <v>0</v>
      </c>
      <c r="U107" s="283">
        <v>0.24</v>
      </c>
      <c r="V107" s="284">
        <v>1544</v>
      </c>
      <c r="W107" s="285">
        <v>0.15</v>
      </c>
      <c r="X107" s="286" t="s">
        <v>255</v>
      </c>
      <c r="Y107" s="287">
        <f t="shared" si="31"/>
        <v>4</v>
      </c>
      <c r="Z107" s="288">
        <f t="shared" si="32"/>
        <v>3088</v>
      </c>
      <c r="AA107" s="288">
        <f t="shared" si="33"/>
        <v>0</v>
      </c>
      <c r="AB107" s="288">
        <f t="shared" si="34"/>
        <v>3088</v>
      </c>
      <c r="AC107" s="288">
        <f t="shared" si="55"/>
        <v>0</v>
      </c>
      <c r="AD107" s="287">
        <f t="shared" si="35"/>
        <v>3050</v>
      </c>
      <c r="AE107" s="287">
        <f t="shared" si="36"/>
        <v>2440</v>
      </c>
      <c r="AF107" s="287">
        <f t="shared" si="37"/>
        <v>36600</v>
      </c>
      <c r="AG107" s="287">
        <f t="shared" si="38"/>
        <v>29280</v>
      </c>
      <c r="AH107" s="287">
        <f t="shared" si="39"/>
        <v>3541.8880000000004</v>
      </c>
      <c r="AI107" s="287">
        <f t="shared" si="40"/>
        <v>2833.5104000000006</v>
      </c>
      <c r="AJ107" s="287">
        <f t="shared" si="41"/>
        <v>0</v>
      </c>
      <c r="AK107" s="287">
        <f t="shared" si="42"/>
        <v>0</v>
      </c>
      <c r="AL107" s="287">
        <f t="shared" si="43"/>
        <v>0.40432511415524747</v>
      </c>
      <c r="AM107" s="287">
        <f t="shared" si="44"/>
        <v>0.32346009132419795</v>
      </c>
      <c r="AN107" s="287">
        <f t="shared" si="45"/>
        <v>0.40432511415525246</v>
      </c>
      <c r="AO107" s="287">
        <f t="shared" si="46"/>
        <v>0.32346009132420195</v>
      </c>
      <c r="AP107" s="287">
        <f t="shared" si="47"/>
        <v>6176</v>
      </c>
      <c r="AQ107" s="287">
        <f t="shared" si="48"/>
        <v>4940.8</v>
      </c>
      <c r="AR107" s="287">
        <f t="shared" si="49"/>
        <v>585.6</v>
      </c>
      <c r="AS107" s="289" t="e">
        <f>IF(J107='2027 Avoided Costs'!#REF!,3,5)</f>
        <v>#REF!</v>
      </c>
      <c r="AT107" s="290" cm="1">
        <f t="array" ref="AT107">IFERROR(IF($J107="Baseload",IF($O107=1,0,NPV('2027 Avoided Costs'!$D$6,_xlfn._xlws.FILTER('2027 Avoided Costs'!$C$14:$C$47,('2027 Avoided Costs'!$B$14:$B$47&gt;=$B107+1)*('2027 Avoided Costs'!$B$14:$B$47&lt;$B107+ROUND($O107,0)))))+_xlfn.XLOOKUP($B107,'2027 Avoided Costs'!$B$13:$B$47,'2027 Avoided Costs'!$C$13:$C$47),IF($O107=1,0,NPV('2027 Avoided Costs'!$D$6,_xlfn._xlws.FILTER('2027 Avoided Costs'!$E$14:$E$47,('2027 Avoided Costs'!$B$14:$B$47&gt;=$B107+1)*('2027 Avoided Costs'!$B$14:$B$47&lt;$B107+ROUND($O107,0)))))+_xlfn.XLOOKUP($B107,'2027 Avoided Costs'!$B$13:$B$47,'2027 Avoided Costs'!$E$13:$E$47))*IF($AE107&gt;0,$AE107*(1+$W107),0),0)</f>
        <v>7092.2384324930126</v>
      </c>
      <c r="AU107" s="290" cm="1">
        <f t="array" ref="AU107">IFERROR((IF($O107=1,0,NPV('2027 Avoided Costs'!$D$6,_xlfn._xlws.FILTER('2027 Avoided Costs'!$M$14:$M$47,('2027 Avoided Costs'!$B$14:$B$47&gt;=$B107+1)*('2027 Avoided Costs'!$B$14:$B$47&lt;$B107+ROUND($O107,0)))))+_xlfn.XLOOKUP($B107,'2027 Avoided Costs'!$B$13:$B$47,'2027 Avoided Costs'!$M$13:$M$47))*IF($AK107&gt;0,$AK107*(1+$W107),0),0)</f>
        <v>0</v>
      </c>
      <c r="AV107" s="291" cm="1">
        <f t="array" ref="AV107">IFERROR((IF($O107=1,0,NPV('2027 Avoided Costs'!$D$6,_xlfn._xlws.FILTER('2027 Avoided Costs'!$Q$14:$Q$47,('2027 Avoided Costs'!$B$14:$B$47&gt;=$B107+1)*('2027 Avoided Costs'!$B$14:$B$47&lt;$B107+ROUND($O107,0)))))+_xlfn.XLOOKUP($B107,'2027 Avoided Costs'!$B$13:$B$47,'2027 Avoided Costs'!$Q$13:$Q$47))*IF($AI107&gt;0,$AI107*(1+$W107),0),0)</f>
        <v>1605.569270389107</v>
      </c>
      <c r="AW107" s="291" cm="1">
        <f t="array" ref="AW107">IFERROR((IF($O107=1,0,NPV('2027 Avoided Costs'!$D$6,_xlfn._xlws.FILTER('2027 Avoided Costs'!$W$14:$W$47,('2027 Avoided Costs'!$B$14:$B$47&gt;=$B107+1)*('2027 Avoided Costs'!$B$14:$B$47&lt;$B107+ROUND($O107,0)))))+_xlfn.XLOOKUP($B107,'2027 Avoided Costs'!$B$13:$B$47,'2027 Avoided Costs'!$W$13:$W$47))*IF($AM107&gt;0,$AM107*(1+$W107),0),0)</f>
        <v>1100.871217855133</v>
      </c>
      <c r="AX107" s="291" cm="1">
        <f t="array" ref="AX107">IFERROR((IF($O107=1,0,NPV('2027 Avoided Costs'!$D$6,_xlfn._xlws.FILTER('2027 Avoided Costs'!$AC$14:$AC$47,('2027 Avoided Costs'!$B$14:$B$47&gt;=$B107+1)*('2027 Avoided Costs'!$B$14:$B$47&lt;$B107+ROUND($O107,0)))))+_xlfn.XLOOKUP($B107,'2027 Avoided Costs'!$B$13:$B$47,'2027 Avoided Costs'!$AC$13:$AC$47))*IF($AO107&gt;0,$AO107*(1+$W107),0),0)</f>
        <v>0</v>
      </c>
      <c r="AY107" s="291" cm="1">
        <f t="array" ref="AY107">IFERROR((IF($O107=1,0,NPV('2027 Avoided Costs'!$D$4,_xlfn._xlws.FILTER('2027 Avoided Costs'!$I$14:$I$47,('2027 Avoided Costs'!$B$14:$B$47&gt;=$B107+1)*('2027 Avoided Costs'!$B$14:$B$47&lt;$B107+ROUND($O107,0)))))+_xlfn.XLOOKUP($B107,'2027 Avoided Costs'!$B$13:$B$47,'2027 Avoided Costs'!$I$13:$I$47))*IF($X107="Residential",'2027 Avoided Costs'!$J$5,IF($X107="Large Volume",'2027 Avoided Costs'!$J$7,'2027 Avoided Costs'!$J$6))*IF($AE107&gt;0,$AE107,0),0)</f>
        <v>0</v>
      </c>
      <c r="AZ107" s="291" cm="1">
        <f t="array" ref="AZ107">IFERROR(IF($J107="Baseload",IF($O107=1,0,NPV('2027 Avoided Costs'!$D$6,_xlfn._xlws.FILTER('2027 Avoided Costs'!$C$14:$C$47,('2027 Avoided Costs'!$B$14:$B$47&gt;=$B107+1)*('2027 Avoided Costs'!$B$14:$B$47&lt;$B107+ROUND($O107,0)))))+_xlfn.XLOOKUP($B107,'2027 Avoided Costs'!$B$13:$B$47,'2027 Avoided Costs'!$C$13:$C$47),IF($O107=1,0,NPV('2027 Avoided Costs'!$D$6,_xlfn._xlws.FILTER('2027 Avoided Costs'!$E$14:$E$47,('2027 Avoided Costs'!$B$14:$B$47&gt;=$B107+1)*('2027 Avoided Costs'!$B$14:$B$47&lt;$B107+ROUND($O107,0)))))+_xlfn.XLOOKUP($B107,'2027 Avoided Costs'!$B$13:$B$47,'2027 Avoided Costs'!$E$13:$E$47))*IF($AE107&lt;0,$AE107*(-1),0),0)</f>
        <v>0</v>
      </c>
      <c r="BA107" s="291" cm="1">
        <f t="array" ref="BA107">IFERROR((IF($O107=1,0,NPV('2027 Avoided Costs'!$D$6,_xlfn._xlws.FILTER('2027 Avoided Costs'!$M$14:$M$47,('2027 Avoided Costs'!$B$14:$B$47&gt;=$B107+1)*('2027 Avoided Costs'!$B$14:$B$47&lt;$B107+ROUND($O107,0)))))+_xlfn.XLOOKUP($B107,'2027 Avoided Costs'!$B$13:$B$47,'2027 Avoided Costs'!$M$13:$M$47))*IF($AK107&lt;0,$AK107*(-1),0),0)</f>
        <v>0</v>
      </c>
      <c r="BB107" s="291" cm="1">
        <f t="array" ref="BB107">IFERROR((IF($O107=1,0,NPV('2027 Avoided Costs'!$D$6,_xlfn._xlws.FILTER('2027 Avoided Costs'!$S$14:$S$47,('2027 Avoided Costs'!$B$14:$B$47&gt;=$B107+1)*('2027 Avoided Costs'!$B$14:$B$47&lt;$B107+ROUND($O107,0)))))+_xlfn.XLOOKUP($B107,'2027 Avoided Costs'!$B$13:$B$47,'2027 Avoided Costs'!$S$13:$S$47))*IF($AI107&lt;0,$AI107*(-1),0),0)</f>
        <v>0</v>
      </c>
      <c r="BC107" s="291" cm="1">
        <f t="array" ref="BC107">IFERROR((IF($O107=1,0,NPV('2027 Avoided Costs'!$D$6,_xlfn._xlws.FILTER('2027 Avoided Costs'!$Y$14:$Y$47,('2027 Avoided Costs'!$B$14:$B$47&gt;=$B107+1)*('2027 Avoided Costs'!$B$14:$B$47&lt;$B107+ROUND($O107,0)))))+_xlfn.XLOOKUP($B107,'2027 Avoided Costs'!$B$13:$B$47,'2027 Avoided Costs'!$Y$13:$Y$47))*IF($AM107&lt;0,$AM107*(-1),0),0)</f>
        <v>0</v>
      </c>
      <c r="BD107" s="291" cm="1">
        <f t="array" ref="BD107">IFERROR((IF($O107=1,0,NPV('2027 Avoided Costs'!$D$6,_xlfn._xlws.FILTER('2027 Avoided Costs'!$AE$14:$AE$47,('2027 Avoided Costs'!$B$14:$B$47&gt;=$B107+1)*('2027 Avoided Costs'!$B$14:$B$47&lt;$B107+ROUND($O107,0)))))+_xlfn.XLOOKUP($B107,'2027 Avoided Costs'!$B$13:$B$47,'2027 Avoided Costs'!$AE$13:$AE$47))*IF($AO107&lt;0,$AO107*(-1),0),0)</f>
        <v>0</v>
      </c>
      <c r="BE107" s="291" cm="1">
        <f t="array" ref="BE107">IFERROR((IF($O107=1,0,NPV('2027 Avoided Costs'!$D$4,_xlfn._xlws.FILTER('2027 Avoided Costs'!$I$14:$I$47,('2027 Avoided Costs'!$B$14:$B$47&gt;=$B107+1)*('2027 Avoided Costs'!$B$14:$B$47&lt;$B107+ROUND($O107,0)))))+_xlfn.XLOOKUP($B107,'2027 Avoided Costs'!$B$13:$B$47,'2027 Avoided Costs'!$I$13:$I$47))*IF($X107="Residential",'2027 Avoided Costs'!$J$5,IF($X107="Large Volume",'2027 Avoided Costs'!$J$7,'2027 Avoided Costs'!$J$6))*IF($AE107&lt;0,$AE107*(-1),0),0)</f>
        <v>0</v>
      </c>
      <c r="BF107" s="291">
        <f t="shared" si="50"/>
        <v>9798.6789207372512</v>
      </c>
      <c r="BG107" s="291">
        <f t="shared" si="51"/>
        <v>4940.8</v>
      </c>
      <c r="BH107" s="291">
        <f t="shared" si="52"/>
        <v>4857.8789207372511</v>
      </c>
      <c r="BI107" s="292">
        <f t="shared" si="56"/>
        <v>1.9832170743072479</v>
      </c>
      <c r="BJ107" s="196" cm="1">
        <f t="array" ref="BJ107">IFERROR(IF($J107="Baseload",IF($O107=1,0,NPV('2027 Avoided Costs'!$D$6,_xlfn._xlws.FILTER('2027 Avoided Costs'!$C$14:$C$47,('2027 Avoided Costs'!$B$14:$B$47&gt;=$B107+1)*('2027 Avoided Costs'!$B$14:$B$47&lt;$B107+ROUND($O107,0)))))+_xlfn.XLOOKUP($B107,'2027 Avoided Costs'!$B$13:$B$47,'2027 Avoided Costs'!$C$13:$C$47),IF($O107=1,0,NPV('2027 Avoided Costs'!$D$6,_xlfn._xlws.FILTER('2027 Avoided Costs'!$E$14:$E$47,('2027 Avoided Costs'!$B$14:$B$47&gt;=$B107+1)*('2027 Avoided Costs'!$B$14:$B$47&lt;$B107+ROUND($O107,0)))))+_xlfn.XLOOKUP($B107,'2027 Avoided Costs'!$B$13:$B$47,'2027 Avoided Costs'!$E$13:$E$47))*IF($AE107&gt;0,$AE107*(1+0),0),0)</f>
        <v>6167.1638543417503</v>
      </c>
      <c r="BK107" s="293">
        <f t="shared" si="53"/>
        <v>1.9971385538671471</v>
      </c>
    </row>
    <row r="108" spans="1:63" s="56" customFormat="1" x14ac:dyDescent="0.25">
      <c r="A108" s="270" t="s">
        <v>133</v>
      </c>
      <c r="B108" s="271">
        <v>2027</v>
      </c>
      <c r="C108" s="272" t="s">
        <v>13</v>
      </c>
      <c r="D108" s="272" t="s">
        <v>165</v>
      </c>
      <c r="E108" s="272" t="s">
        <v>286</v>
      </c>
      <c r="F108" s="273">
        <v>79</v>
      </c>
      <c r="G108" s="274">
        <v>1295.5</v>
      </c>
      <c r="H108" s="275">
        <f t="shared" si="30"/>
        <v>1.0833818573764806</v>
      </c>
      <c r="I108" s="274">
        <v>0</v>
      </c>
      <c r="J108" s="276" t="s">
        <v>263</v>
      </c>
      <c r="K108" s="277">
        <f t="shared" si="54"/>
        <v>0.8</v>
      </c>
      <c r="L108" s="278">
        <v>0.2</v>
      </c>
      <c r="M108" s="278">
        <v>0</v>
      </c>
      <c r="N108" s="278">
        <v>1</v>
      </c>
      <c r="O108" s="279">
        <v>12</v>
      </c>
      <c r="P108" s="280">
        <v>1195.7925925925924</v>
      </c>
      <c r="Q108" s="281">
        <v>1858</v>
      </c>
      <c r="R108" s="282">
        <v>0.21210045662100263</v>
      </c>
      <c r="S108" s="282">
        <v>0.21210045662100524</v>
      </c>
      <c r="T108" s="281">
        <v>0</v>
      </c>
      <c r="U108" s="283">
        <v>0.24</v>
      </c>
      <c r="V108" s="284">
        <v>2591</v>
      </c>
      <c r="W108" s="285">
        <v>0.15</v>
      </c>
      <c r="X108" s="286" t="s">
        <v>255</v>
      </c>
      <c r="Y108" s="287">
        <f t="shared" si="31"/>
        <v>79</v>
      </c>
      <c r="Z108" s="288">
        <f t="shared" si="32"/>
        <v>102344.5</v>
      </c>
      <c r="AA108" s="288">
        <f t="shared" si="33"/>
        <v>0</v>
      </c>
      <c r="AB108" s="288">
        <f t="shared" si="34"/>
        <v>102344.5</v>
      </c>
      <c r="AC108" s="288">
        <f t="shared" si="55"/>
        <v>0</v>
      </c>
      <c r="AD108" s="287">
        <f t="shared" si="35"/>
        <v>94467.614814814806</v>
      </c>
      <c r="AE108" s="287">
        <f t="shared" si="36"/>
        <v>75574.091851851845</v>
      </c>
      <c r="AF108" s="287">
        <f t="shared" si="37"/>
        <v>1133611.3777777776</v>
      </c>
      <c r="AG108" s="287">
        <f t="shared" si="38"/>
        <v>906889.10222222214</v>
      </c>
      <c r="AH108" s="287">
        <f t="shared" si="39"/>
        <v>157350.304</v>
      </c>
      <c r="AI108" s="287">
        <f t="shared" si="40"/>
        <v>125880.24320000001</v>
      </c>
      <c r="AJ108" s="287">
        <f t="shared" si="41"/>
        <v>0</v>
      </c>
      <c r="AK108" s="287">
        <f t="shared" si="42"/>
        <v>0</v>
      </c>
      <c r="AL108" s="287">
        <f t="shared" si="43"/>
        <v>17.96236347031947</v>
      </c>
      <c r="AM108" s="287">
        <f t="shared" si="44"/>
        <v>14.369890776255577</v>
      </c>
      <c r="AN108" s="287">
        <f t="shared" si="45"/>
        <v>17.962363470319691</v>
      </c>
      <c r="AO108" s="287">
        <f t="shared" si="46"/>
        <v>14.369890776255755</v>
      </c>
      <c r="AP108" s="287">
        <f t="shared" si="47"/>
        <v>204689</v>
      </c>
      <c r="AQ108" s="287">
        <f t="shared" si="48"/>
        <v>163751.20000000001</v>
      </c>
      <c r="AR108" s="287">
        <f t="shared" si="49"/>
        <v>18137.782044444441</v>
      </c>
      <c r="AS108" s="289" t="e">
        <f>IF(J108='2027 Avoided Costs'!#REF!,3,5)</f>
        <v>#REF!</v>
      </c>
      <c r="AT108" s="290" cm="1">
        <f t="array" ref="AT108">IFERROR(IF($J108="Baseload",IF($O108=1,0,NPV('2027 Avoided Costs'!$D$6,_xlfn._xlws.FILTER('2027 Avoided Costs'!$C$14:$C$47,('2027 Avoided Costs'!$B$14:$B$47&gt;=$B108+1)*('2027 Avoided Costs'!$B$14:$B$47&lt;$B108+ROUND($O108,0)))))+_xlfn.XLOOKUP($B108,'2027 Avoided Costs'!$B$13:$B$47,'2027 Avoided Costs'!$C$13:$C$47),IF($O108=1,0,NPV('2027 Avoided Costs'!$D$6,_xlfn._xlws.FILTER('2027 Avoided Costs'!$E$14:$E$47,('2027 Avoided Costs'!$B$14:$B$47&gt;=$B108+1)*('2027 Avoided Costs'!$B$14:$B$47&lt;$B108+ROUND($O108,0)))))+_xlfn.XLOOKUP($B108,'2027 Avoided Costs'!$B$13:$B$47,'2027 Avoided Costs'!$E$13:$E$47))*IF($AE108&gt;0,$AE108*(1+$W108),0),0)</f>
        <v>219667.81915264783</v>
      </c>
      <c r="AU108" s="290" cm="1">
        <f t="array" ref="AU108">IFERROR((IF($O108=1,0,NPV('2027 Avoided Costs'!$D$6,_xlfn._xlws.FILTER('2027 Avoided Costs'!$M$14:$M$47,('2027 Avoided Costs'!$B$14:$B$47&gt;=$B108+1)*('2027 Avoided Costs'!$B$14:$B$47&lt;$B108+ROUND($O108,0)))))+_xlfn.XLOOKUP($B108,'2027 Avoided Costs'!$B$13:$B$47,'2027 Avoided Costs'!$M$13:$M$47))*IF($AK108&gt;0,$AK108*(1+$W108),0),0)</f>
        <v>0</v>
      </c>
      <c r="AV108" s="291" cm="1">
        <f t="array" ref="AV108">IFERROR((IF($O108=1,0,NPV('2027 Avoided Costs'!$D$6,_xlfn._xlws.FILTER('2027 Avoided Costs'!$Q$14:$Q$47,('2027 Avoided Costs'!$B$14:$B$47&gt;=$B108+1)*('2027 Avoided Costs'!$B$14:$B$47&lt;$B108+ROUND($O108,0)))))+_xlfn.XLOOKUP($B108,'2027 Avoided Costs'!$B$13:$B$47,'2027 Avoided Costs'!$Q$13:$Q$47))*IF($AI108&gt;0,$AI108*(1+$W108),0),0)</f>
        <v>71328.28954184441</v>
      </c>
      <c r="AW108" s="291" cm="1">
        <f t="array" ref="AW108">IFERROR((IF($O108=1,0,NPV('2027 Avoided Costs'!$D$6,_xlfn._xlws.FILTER('2027 Avoided Costs'!$W$14:$W$47,('2027 Avoided Costs'!$B$14:$B$47&gt;=$B108+1)*('2027 Avoided Costs'!$B$14:$B$47&lt;$B108+ROUND($O108,0)))))+_xlfn.XLOOKUP($B108,'2027 Avoided Costs'!$B$13:$B$47,'2027 Avoided Costs'!$W$13:$W$47))*IF($AM108&gt;0,$AM108*(1+$W108),0),0)</f>
        <v>48906.803601456457</v>
      </c>
      <c r="AX108" s="291" cm="1">
        <f t="array" ref="AX108">IFERROR((IF($O108=1,0,NPV('2027 Avoided Costs'!$D$6,_xlfn._xlws.FILTER('2027 Avoided Costs'!$AC$14:$AC$47,('2027 Avoided Costs'!$B$14:$B$47&gt;=$B108+1)*('2027 Avoided Costs'!$B$14:$B$47&lt;$B108+ROUND($O108,0)))))+_xlfn.XLOOKUP($B108,'2027 Avoided Costs'!$B$13:$B$47,'2027 Avoided Costs'!$AC$13:$AC$47))*IF($AO108&gt;0,$AO108*(1+$W108),0),0)</f>
        <v>0</v>
      </c>
      <c r="AY108" s="291" cm="1">
        <f t="array" ref="AY108">IFERROR((IF($O108=1,0,NPV('2027 Avoided Costs'!$D$4,_xlfn._xlws.FILTER('2027 Avoided Costs'!$I$14:$I$47,('2027 Avoided Costs'!$B$14:$B$47&gt;=$B108+1)*('2027 Avoided Costs'!$B$14:$B$47&lt;$B108+ROUND($O108,0)))))+_xlfn.XLOOKUP($B108,'2027 Avoided Costs'!$B$13:$B$47,'2027 Avoided Costs'!$I$13:$I$47))*IF($X108="Residential",'2027 Avoided Costs'!$J$5,IF($X108="Large Volume",'2027 Avoided Costs'!$J$7,'2027 Avoided Costs'!$J$6))*IF($AE108&gt;0,$AE108,0),0)</f>
        <v>0</v>
      </c>
      <c r="AZ108" s="291" cm="1">
        <f t="array" ref="AZ108">IFERROR(IF($J108="Baseload",IF($O108=1,0,NPV('2027 Avoided Costs'!$D$6,_xlfn._xlws.FILTER('2027 Avoided Costs'!$C$14:$C$47,('2027 Avoided Costs'!$B$14:$B$47&gt;=$B108+1)*('2027 Avoided Costs'!$B$14:$B$47&lt;$B108+ROUND($O108,0)))))+_xlfn.XLOOKUP($B108,'2027 Avoided Costs'!$B$13:$B$47,'2027 Avoided Costs'!$C$13:$C$47),IF($O108=1,0,NPV('2027 Avoided Costs'!$D$6,_xlfn._xlws.FILTER('2027 Avoided Costs'!$E$14:$E$47,('2027 Avoided Costs'!$B$14:$B$47&gt;=$B108+1)*('2027 Avoided Costs'!$B$14:$B$47&lt;$B108+ROUND($O108,0)))))+_xlfn.XLOOKUP($B108,'2027 Avoided Costs'!$B$13:$B$47,'2027 Avoided Costs'!$E$13:$E$47))*IF($AE108&lt;0,$AE108*(-1),0),0)</f>
        <v>0</v>
      </c>
      <c r="BA108" s="291" cm="1">
        <f t="array" ref="BA108">IFERROR((IF($O108=1,0,NPV('2027 Avoided Costs'!$D$6,_xlfn._xlws.FILTER('2027 Avoided Costs'!$M$14:$M$47,('2027 Avoided Costs'!$B$14:$B$47&gt;=$B108+1)*('2027 Avoided Costs'!$B$14:$B$47&lt;$B108+ROUND($O108,0)))))+_xlfn.XLOOKUP($B108,'2027 Avoided Costs'!$B$13:$B$47,'2027 Avoided Costs'!$M$13:$M$47))*IF($AK108&lt;0,$AK108*(-1),0),0)</f>
        <v>0</v>
      </c>
      <c r="BB108" s="291" cm="1">
        <f t="array" ref="BB108">IFERROR((IF($O108=1,0,NPV('2027 Avoided Costs'!$D$6,_xlfn._xlws.FILTER('2027 Avoided Costs'!$S$14:$S$47,('2027 Avoided Costs'!$B$14:$B$47&gt;=$B108+1)*('2027 Avoided Costs'!$B$14:$B$47&lt;$B108+ROUND($O108,0)))))+_xlfn.XLOOKUP($B108,'2027 Avoided Costs'!$B$13:$B$47,'2027 Avoided Costs'!$S$13:$S$47))*IF($AI108&lt;0,$AI108*(-1),0),0)</f>
        <v>0</v>
      </c>
      <c r="BC108" s="291" cm="1">
        <f t="array" ref="BC108">IFERROR((IF($O108=1,0,NPV('2027 Avoided Costs'!$D$6,_xlfn._xlws.FILTER('2027 Avoided Costs'!$Y$14:$Y$47,('2027 Avoided Costs'!$B$14:$B$47&gt;=$B108+1)*('2027 Avoided Costs'!$B$14:$B$47&lt;$B108+ROUND($O108,0)))))+_xlfn.XLOOKUP($B108,'2027 Avoided Costs'!$B$13:$B$47,'2027 Avoided Costs'!$Y$13:$Y$47))*IF($AM108&lt;0,$AM108*(-1),0),0)</f>
        <v>0</v>
      </c>
      <c r="BD108" s="291" cm="1">
        <f t="array" ref="BD108">IFERROR((IF($O108=1,0,NPV('2027 Avoided Costs'!$D$6,_xlfn._xlws.FILTER('2027 Avoided Costs'!$AE$14:$AE$47,('2027 Avoided Costs'!$B$14:$B$47&gt;=$B108+1)*('2027 Avoided Costs'!$B$14:$B$47&lt;$B108+ROUND($O108,0)))))+_xlfn.XLOOKUP($B108,'2027 Avoided Costs'!$B$13:$B$47,'2027 Avoided Costs'!$AE$13:$AE$47))*IF($AO108&lt;0,$AO108*(-1),0),0)</f>
        <v>0</v>
      </c>
      <c r="BE108" s="291" cm="1">
        <f t="array" ref="BE108">IFERROR((IF($O108=1,0,NPV('2027 Avoided Costs'!$D$4,_xlfn._xlws.FILTER('2027 Avoided Costs'!$I$14:$I$47,('2027 Avoided Costs'!$B$14:$B$47&gt;=$B108+1)*('2027 Avoided Costs'!$B$14:$B$47&lt;$B108+ROUND($O108,0)))))+_xlfn.XLOOKUP($B108,'2027 Avoided Costs'!$B$13:$B$47,'2027 Avoided Costs'!$I$13:$I$47))*IF($X108="Residential",'2027 Avoided Costs'!$J$5,IF($X108="Large Volume",'2027 Avoided Costs'!$J$7,'2027 Avoided Costs'!$J$6))*IF($AE108&lt;0,$AE108*(-1),0),0)</f>
        <v>0</v>
      </c>
      <c r="BF108" s="291">
        <f t="shared" si="50"/>
        <v>339902.91229594871</v>
      </c>
      <c r="BG108" s="291">
        <f t="shared" si="51"/>
        <v>163751.20000000001</v>
      </c>
      <c r="BH108" s="291">
        <f t="shared" si="52"/>
        <v>176151.7122959487</v>
      </c>
      <c r="BI108" s="292">
        <f t="shared" si="56"/>
        <v>2.0757277644130161</v>
      </c>
      <c r="BJ108" s="196" cm="1">
        <f t="array" ref="BJ108">IFERROR(IF($J108="Baseload",IF($O108=1,0,NPV('2027 Avoided Costs'!$D$6,_xlfn._xlws.FILTER('2027 Avoided Costs'!$C$14:$C$47,('2027 Avoided Costs'!$B$14:$B$47&gt;=$B108+1)*('2027 Avoided Costs'!$B$14:$B$47&lt;$B108+ROUND($O108,0)))))+_xlfn.XLOOKUP($B108,'2027 Avoided Costs'!$B$13:$B$47,'2027 Avoided Costs'!$C$13:$C$47),IF($O108=1,0,NPV('2027 Avoided Costs'!$D$6,_xlfn._xlws.FILTER('2027 Avoided Costs'!$E$14:$E$47,('2027 Avoided Costs'!$B$14:$B$47&gt;=$B108+1)*('2027 Avoided Costs'!$B$14:$B$47&lt;$B108+ROUND($O108,0)))))+_xlfn.XLOOKUP($B108,'2027 Avoided Costs'!$B$13:$B$47,'2027 Avoided Costs'!$E$13:$E$47))*IF($AE108&gt;0,$AE108*(1+0),0),0)</f>
        <v>191015.49491534595</v>
      </c>
      <c r="BK108" s="293">
        <f t="shared" si="53"/>
        <v>1.8663972652692224</v>
      </c>
    </row>
    <row r="109" spans="1:63" s="56" customFormat="1" x14ac:dyDescent="0.25">
      <c r="A109" s="270" t="s">
        <v>133</v>
      </c>
      <c r="B109" s="271">
        <v>2027</v>
      </c>
      <c r="C109" s="272" t="s">
        <v>13</v>
      </c>
      <c r="D109" s="272" t="s">
        <v>165</v>
      </c>
      <c r="E109" s="272" t="s">
        <v>259</v>
      </c>
      <c r="F109" s="273">
        <v>1</v>
      </c>
      <c r="G109" s="274">
        <v>2506.98</v>
      </c>
      <c r="H109" s="275">
        <f t="shared" si="30"/>
        <v>1.27</v>
      </c>
      <c r="I109" s="274">
        <v>0</v>
      </c>
      <c r="J109" s="276" t="s">
        <v>263</v>
      </c>
      <c r="K109" s="277">
        <f t="shared" si="54"/>
        <v>0.8</v>
      </c>
      <c r="L109" s="278">
        <v>0.2</v>
      </c>
      <c r="M109" s="278">
        <v>0</v>
      </c>
      <c r="N109" s="278">
        <v>1</v>
      </c>
      <c r="O109" s="279">
        <v>12</v>
      </c>
      <c r="P109" s="280">
        <v>1974</v>
      </c>
      <c r="Q109" s="281">
        <v>0</v>
      </c>
      <c r="R109" s="282">
        <v>0</v>
      </c>
      <c r="S109" s="282">
        <v>0</v>
      </c>
      <c r="T109" s="281">
        <v>0</v>
      </c>
      <c r="U109" s="283">
        <v>0.24</v>
      </c>
      <c r="V109" s="284">
        <v>6000</v>
      </c>
      <c r="W109" s="285">
        <v>0.15</v>
      </c>
      <c r="X109" s="286" t="s">
        <v>255</v>
      </c>
      <c r="Y109" s="287">
        <f t="shared" si="31"/>
        <v>1</v>
      </c>
      <c r="Z109" s="288">
        <f t="shared" si="32"/>
        <v>2506.98</v>
      </c>
      <c r="AA109" s="288">
        <f t="shared" si="33"/>
        <v>0</v>
      </c>
      <c r="AB109" s="288">
        <f t="shared" si="34"/>
        <v>2506.98</v>
      </c>
      <c r="AC109" s="288">
        <f t="shared" si="55"/>
        <v>0</v>
      </c>
      <c r="AD109" s="287">
        <f t="shared" si="35"/>
        <v>1974</v>
      </c>
      <c r="AE109" s="287">
        <f t="shared" si="36"/>
        <v>1579.2</v>
      </c>
      <c r="AF109" s="287">
        <f t="shared" si="37"/>
        <v>23688</v>
      </c>
      <c r="AG109" s="287">
        <f t="shared" si="38"/>
        <v>18950.400000000001</v>
      </c>
      <c r="AH109" s="287">
        <f t="shared" si="39"/>
        <v>0</v>
      </c>
      <c r="AI109" s="287">
        <f t="shared" si="40"/>
        <v>0</v>
      </c>
      <c r="AJ109" s="287">
        <f t="shared" si="41"/>
        <v>0</v>
      </c>
      <c r="AK109" s="287">
        <f t="shared" si="42"/>
        <v>0</v>
      </c>
      <c r="AL109" s="287">
        <f t="shared" si="43"/>
        <v>0</v>
      </c>
      <c r="AM109" s="287">
        <f t="shared" si="44"/>
        <v>0</v>
      </c>
      <c r="AN109" s="287">
        <f t="shared" si="45"/>
        <v>0</v>
      </c>
      <c r="AO109" s="287">
        <f t="shared" si="46"/>
        <v>0</v>
      </c>
      <c r="AP109" s="287">
        <f t="shared" si="47"/>
        <v>6000</v>
      </c>
      <c r="AQ109" s="287">
        <f t="shared" si="48"/>
        <v>4800</v>
      </c>
      <c r="AR109" s="287">
        <f t="shared" si="49"/>
        <v>379.00799999999998</v>
      </c>
      <c r="AS109" s="289" t="e">
        <f>IF(J109='2027 Avoided Costs'!#REF!,3,5)</f>
        <v>#REF!</v>
      </c>
      <c r="AT109" s="290" cm="1">
        <f t="array" ref="AT109">IFERROR(IF($J109="Baseload",IF($O109=1,0,NPV('2027 Avoided Costs'!$D$6,_xlfn._xlws.FILTER('2027 Avoided Costs'!$C$14:$C$47,('2027 Avoided Costs'!$B$14:$B$47&gt;=$B109+1)*('2027 Avoided Costs'!$B$14:$B$47&lt;$B109+ROUND($O109,0)))))+_xlfn.XLOOKUP($B109,'2027 Avoided Costs'!$B$13:$B$47,'2027 Avoided Costs'!$C$13:$C$47),IF($O109=1,0,NPV('2027 Avoided Costs'!$D$6,_xlfn._xlws.FILTER('2027 Avoided Costs'!$E$14:$E$47,('2027 Avoided Costs'!$B$14:$B$47&gt;=$B109+1)*('2027 Avoided Costs'!$B$14:$B$47&lt;$B109+ROUND($O109,0)))))+_xlfn.XLOOKUP($B109,'2027 Avoided Costs'!$B$13:$B$47,'2027 Avoided Costs'!$E$13:$E$47))*IF($AE109&gt;0,$AE109*(1+$W109),0),0)</f>
        <v>4590.1897264725267</v>
      </c>
      <c r="AU109" s="290" cm="1">
        <f t="array" ref="AU109">IFERROR((IF($O109=1,0,NPV('2027 Avoided Costs'!$D$6,_xlfn._xlws.FILTER('2027 Avoided Costs'!$M$14:$M$47,('2027 Avoided Costs'!$B$14:$B$47&gt;=$B109+1)*('2027 Avoided Costs'!$B$14:$B$47&lt;$B109+ROUND($O109,0)))))+_xlfn.XLOOKUP($B109,'2027 Avoided Costs'!$B$13:$B$47,'2027 Avoided Costs'!$M$13:$M$47))*IF($AK109&gt;0,$AK109*(1+$W109),0),0)</f>
        <v>0</v>
      </c>
      <c r="AV109" s="291" cm="1">
        <f t="array" ref="AV109">IFERROR((IF($O109=1,0,NPV('2027 Avoided Costs'!$D$6,_xlfn._xlws.FILTER('2027 Avoided Costs'!$Q$14:$Q$47,('2027 Avoided Costs'!$B$14:$B$47&gt;=$B109+1)*('2027 Avoided Costs'!$B$14:$B$47&lt;$B109+ROUND($O109,0)))))+_xlfn.XLOOKUP($B109,'2027 Avoided Costs'!$B$13:$B$47,'2027 Avoided Costs'!$Q$13:$Q$47))*IF($AI109&gt;0,$AI109*(1+$W109),0),0)</f>
        <v>0</v>
      </c>
      <c r="AW109" s="291" cm="1">
        <f t="array" ref="AW109">IFERROR((IF($O109=1,0,NPV('2027 Avoided Costs'!$D$6,_xlfn._xlws.FILTER('2027 Avoided Costs'!$W$14:$W$47,('2027 Avoided Costs'!$B$14:$B$47&gt;=$B109+1)*('2027 Avoided Costs'!$B$14:$B$47&lt;$B109+ROUND($O109,0)))))+_xlfn.XLOOKUP($B109,'2027 Avoided Costs'!$B$13:$B$47,'2027 Avoided Costs'!$W$13:$W$47))*IF($AM109&gt;0,$AM109*(1+$W109),0),0)</f>
        <v>0</v>
      </c>
      <c r="AX109" s="291" cm="1">
        <f t="array" ref="AX109">IFERROR((IF($O109=1,0,NPV('2027 Avoided Costs'!$D$6,_xlfn._xlws.FILTER('2027 Avoided Costs'!$AC$14:$AC$47,('2027 Avoided Costs'!$B$14:$B$47&gt;=$B109+1)*('2027 Avoided Costs'!$B$14:$B$47&lt;$B109+ROUND($O109,0)))))+_xlfn.XLOOKUP($B109,'2027 Avoided Costs'!$B$13:$B$47,'2027 Avoided Costs'!$AC$13:$AC$47))*IF($AO109&gt;0,$AO109*(1+$W109),0),0)</f>
        <v>0</v>
      </c>
      <c r="AY109" s="291" cm="1">
        <f t="array" ref="AY109">IFERROR((IF($O109=1,0,NPV('2027 Avoided Costs'!$D$4,_xlfn._xlws.FILTER('2027 Avoided Costs'!$I$14:$I$47,('2027 Avoided Costs'!$B$14:$B$47&gt;=$B109+1)*('2027 Avoided Costs'!$B$14:$B$47&lt;$B109+ROUND($O109,0)))))+_xlfn.XLOOKUP($B109,'2027 Avoided Costs'!$B$13:$B$47,'2027 Avoided Costs'!$I$13:$I$47))*IF($X109="Residential",'2027 Avoided Costs'!$J$5,IF($X109="Large Volume",'2027 Avoided Costs'!$J$7,'2027 Avoided Costs'!$J$6))*IF($AE109&gt;0,$AE109,0),0)</f>
        <v>0</v>
      </c>
      <c r="AZ109" s="291" cm="1">
        <f t="array" ref="AZ109">IFERROR(IF($J109="Baseload",IF($O109=1,0,NPV('2027 Avoided Costs'!$D$6,_xlfn._xlws.FILTER('2027 Avoided Costs'!$C$14:$C$47,('2027 Avoided Costs'!$B$14:$B$47&gt;=$B109+1)*('2027 Avoided Costs'!$B$14:$B$47&lt;$B109+ROUND($O109,0)))))+_xlfn.XLOOKUP($B109,'2027 Avoided Costs'!$B$13:$B$47,'2027 Avoided Costs'!$C$13:$C$47),IF($O109=1,0,NPV('2027 Avoided Costs'!$D$6,_xlfn._xlws.FILTER('2027 Avoided Costs'!$E$14:$E$47,('2027 Avoided Costs'!$B$14:$B$47&gt;=$B109+1)*('2027 Avoided Costs'!$B$14:$B$47&lt;$B109+ROUND($O109,0)))))+_xlfn.XLOOKUP($B109,'2027 Avoided Costs'!$B$13:$B$47,'2027 Avoided Costs'!$E$13:$E$47))*IF($AE109&lt;0,$AE109*(-1),0),0)</f>
        <v>0</v>
      </c>
      <c r="BA109" s="291" cm="1">
        <f t="array" ref="BA109">IFERROR((IF($O109=1,0,NPV('2027 Avoided Costs'!$D$6,_xlfn._xlws.FILTER('2027 Avoided Costs'!$M$14:$M$47,('2027 Avoided Costs'!$B$14:$B$47&gt;=$B109+1)*('2027 Avoided Costs'!$B$14:$B$47&lt;$B109+ROUND($O109,0)))))+_xlfn.XLOOKUP($B109,'2027 Avoided Costs'!$B$13:$B$47,'2027 Avoided Costs'!$M$13:$M$47))*IF($AK109&lt;0,$AK109*(-1),0),0)</f>
        <v>0</v>
      </c>
      <c r="BB109" s="291" cm="1">
        <f t="array" ref="BB109">IFERROR((IF($O109=1,0,NPV('2027 Avoided Costs'!$D$6,_xlfn._xlws.FILTER('2027 Avoided Costs'!$S$14:$S$47,('2027 Avoided Costs'!$B$14:$B$47&gt;=$B109+1)*('2027 Avoided Costs'!$B$14:$B$47&lt;$B109+ROUND($O109,0)))))+_xlfn.XLOOKUP($B109,'2027 Avoided Costs'!$B$13:$B$47,'2027 Avoided Costs'!$S$13:$S$47))*IF($AI109&lt;0,$AI109*(-1),0),0)</f>
        <v>0</v>
      </c>
      <c r="BC109" s="291" cm="1">
        <f t="array" ref="BC109">IFERROR((IF($O109=1,0,NPV('2027 Avoided Costs'!$D$6,_xlfn._xlws.FILTER('2027 Avoided Costs'!$Y$14:$Y$47,('2027 Avoided Costs'!$B$14:$B$47&gt;=$B109+1)*('2027 Avoided Costs'!$B$14:$B$47&lt;$B109+ROUND($O109,0)))))+_xlfn.XLOOKUP($B109,'2027 Avoided Costs'!$B$13:$B$47,'2027 Avoided Costs'!$Y$13:$Y$47))*IF($AM109&lt;0,$AM109*(-1),0),0)</f>
        <v>0</v>
      </c>
      <c r="BD109" s="291" cm="1">
        <f t="array" ref="BD109">IFERROR((IF($O109=1,0,NPV('2027 Avoided Costs'!$D$6,_xlfn._xlws.FILTER('2027 Avoided Costs'!$AE$14:$AE$47,('2027 Avoided Costs'!$B$14:$B$47&gt;=$B109+1)*('2027 Avoided Costs'!$B$14:$B$47&lt;$B109+ROUND($O109,0)))))+_xlfn.XLOOKUP($B109,'2027 Avoided Costs'!$B$13:$B$47,'2027 Avoided Costs'!$AE$13:$AE$47))*IF($AO109&lt;0,$AO109*(-1),0),0)</f>
        <v>0</v>
      </c>
      <c r="BE109" s="291" cm="1">
        <f t="array" ref="BE109">IFERROR((IF($O109=1,0,NPV('2027 Avoided Costs'!$D$4,_xlfn._xlws.FILTER('2027 Avoided Costs'!$I$14:$I$47,('2027 Avoided Costs'!$B$14:$B$47&gt;=$B109+1)*('2027 Avoided Costs'!$B$14:$B$47&lt;$B109+ROUND($O109,0)))))+_xlfn.XLOOKUP($B109,'2027 Avoided Costs'!$B$13:$B$47,'2027 Avoided Costs'!$I$13:$I$47))*IF($X109="Residential",'2027 Avoided Costs'!$J$5,IF($X109="Large Volume",'2027 Avoided Costs'!$J$7,'2027 Avoided Costs'!$J$6))*IF($AE109&lt;0,$AE109*(-1),0),0)</f>
        <v>0</v>
      </c>
      <c r="BF109" s="291">
        <f t="shared" si="50"/>
        <v>4590.1897264725267</v>
      </c>
      <c r="BG109" s="291">
        <f t="shared" si="51"/>
        <v>4800</v>
      </c>
      <c r="BH109" s="291">
        <f t="shared" si="52"/>
        <v>-209.81027352747333</v>
      </c>
      <c r="BI109" s="292">
        <f t="shared" si="56"/>
        <v>0.95628952634844311</v>
      </c>
      <c r="BJ109" s="196" cm="1">
        <f t="array" ref="BJ109">IFERROR(IF($J109="Baseload",IF($O109=1,0,NPV('2027 Avoided Costs'!$D$6,_xlfn._xlws.FILTER('2027 Avoided Costs'!$C$14:$C$47,('2027 Avoided Costs'!$B$14:$B$47&gt;=$B109+1)*('2027 Avoided Costs'!$B$14:$B$47&lt;$B109+ROUND($O109,0)))))+_xlfn.XLOOKUP($B109,'2027 Avoided Costs'!$B$13:$B$47,'2027 Avoided Costs'!$C$13:$C$47),IF($O109=1,0,NPV('2027 Avoided Costs'!$D$6,_xlfn._xlws.FILTER('2027 Avoided Costs'!$E$14:$E$47,('2027 Avoided Costs'!$B$14:$B$47&gt;=$B109+1)*('2027 Avoided Costs'!$B$14:$B$47&lt;$B109+ROUND($O109,0)))))+_xlfn.XLOOKUP($B109,'2027 Avoided Costs'!$B$13:$B$47,'2027 Avoided Costs'!$E$13:$E$47))*IF($AE109&gt;0,$AE109*(1+0),0),0)</f>
        <v>3991.4693273674147</v>
      </c>
      <c r="BK109" s="293">
        <f t="shared" si="53"/>
        <v>1.5921424691730348</v>
      </c>
    </row>
    <row r="110" spans="1:63" s="56" customFormat="1" x14ac:dyDescent="0.25">
      <c r="A110" s="270" t="s">
        <v>133</v>
      </c>
      <c r="B110" s="271">
        <v>2027</v>
      </c>
      <c r="C110" s="272" t="s">
        <v>13</v>
      </c>
      <c r="D110" s="272" t="s">
        <v>165</v>
      </c>
      <c r="E110" s="272" t="s">
        <v>94</v>
      </c>
      <c r="F110" s="273">
        <v>4</v>
      </c>
      <c r="G110" s="274">
        <v>1391</v>
      </c>
      <c r="H110" s="275">
        <f t="shared" si="30"/>
        <v>0.45646466856267776</v>
      </c>
      <c r="I110" s="274">
        <v>0</v>
      </c>
      <c r="J110" s="276" t="s">
        <v>263</v>
      </c>
      <c r="K110" s="277">
        <f t="shared" si="54"/>
        <v>0.8</v>
      </c>
      <c r="L110" s="278">
        <v>0.2</v>
      </c>
      <c r="M110" s="278">
        <v>0</v>
      </c>
      <c r="N110" s="278">
        <v>1</v>
      </c>
      <c r="O110" s="279">
        <v>12</v>
      </c>
      <c r="P110" s="280">
        <v>3047.3333333333335</v>
      </c>
      <c r="Q110" s="281">
        <v>3839</v>
      </c>
      <c r="R110" s="282">
        <v>0.43824200913241607</v>
      </c>
      <c r="S110" s="282">
        <v>0.43824200913242151</v>
      </c>
      <c r="T110" s="281">
        <v>0</v>
      </c>
      <c r="U110" s="283">
        <v>0.24</v>
      </c>
      <c r="V110" s="284">
        <v>2782</v>
      </c>
      <c r="W110" s="285">
        <v>0.15</v>
      </c>
      <c r="X110" s="286" t="s">
        <v>255</v>
      </c>
      <c r="Y110" s="287">
        <f t="shared" si="31"/>
        <v>4</v>
      </c>
      <c r="Z110" s="288">
        <f t="shared" si="32"/>
        <v>5564</v>
      </c>
      <c r="AA110" s="288">
        <f t="shared" si="33"/>
        <v>0</v>
      </c>
      <c r="AB110" s="288">
        <f t="shared" si="34"/>
        <v>5564</v>
      </c>
      <c r="AC110" s="288">
        <f t="shared" si="55"/>
        <v>0</v>
      </c>
      <c r="AD110" s="287">
        <f t="shared" si="35"/>
        <v>12189.333333333334</v>
      </c>
      <c r="AE110" s="287">
        <f t="shared" si="36"/>
        <v>9751.4666666666672</v>
      </c>
      <c r="AF110" s="287">
        <f t="shared" si="37"/>
        <v>146272</v>
      </c>
      <c r="AG110" s="287">
        <f t="shared" si="38"/>
        <v>117017.60000000001</v>
      </c>
      <c r="AH110" s="287">
        <f t="shared" si="39"/>
        <v>16461.632000000001</v>
      </c>
      <c r="AI110" s="287">
        <f t="shared" si="40"/>
        <v>13169.305600000002</v>
      </c>
      <c r="AJ110" s="287">
        <f t="shared" si="41"/>
        <v>0</v>
      </c>
      <c r="AK110" s="287">
        <f t="shared" si="42"/>
        <v>0</v>
      </c>
      <c r="AL110" s="287">
        <f t="shared" si="43"/>
        <v>1.8791817351598001</v>
      </c>
      <c r="AM110" s="287">
        <f t="shared" si="44"/>
        <v>1.5033453881278402</v>
      </c>
      <c r="AN110" s="287">
        <f t="shared" si="45"/>
        <v>1.8791817351598235</v>
      </c>
      <c r="AO110" s="287">
        <f t="shared" si="46"/>
        <v>1.5033453881278591</v>
      </c>
      <c r="AP110" s="287">
        <f t="shared" si="47"/>
        <v>11128</v>
      </c>
      <c r="AQ110" s="287">
        <f t="shared" si="48"/>
        <v>8902.4</v>
      </c>
      <c r="AR110" s="287">
        <f t="shared" si="49"/>
        <v>2340.3519999999999</v>
      </c>
      <c r="AS110" s="289" t="e">
        <f>IF(J110='2027 Avoided Costs'!#REF!,3,5)</f>
        <v>#REF!</v>
      </c>
      <c r="AT110" s="290" cm="1">
        <f t="array" ref="AT110">IFERROR(IF($J110="Baseload",IF($O110=1,0,NPV('2027 Avoided Costs'!$D$6,_xlfn._xlws.FILTER('2027 Avoided Costs'!$C$14:$C$47,('2027 Avoided Costs'!$B$14:$B$47&gt;=$B110+1)*('2027 Avoided Costs'!$B$14:$B$47&lt;$B110+ROUND($O110,0)))))+_xlfn.XLOOKUP($B110,'2027 Avoided Costs'!$B$13:$B$47,'2027 Avoided Costs'!$C$13:$C$47),IF($O110=1,0,NPV('2027 Avoided Costs'!$D$6,_xlfn._xlws.FILTER('2027 Avoided Costs'!$E$14:$E$47,('2027 Avoided Costs'!$B$14:$B$47&gt;=$B110+1)*('2027 Avoided Costs'!$B$14:$B$47&lt;$B110+ROUND($O110,0)))))+_xlfn.XLOOKUP($B110,'2027 Avoided Costs'!$B$13:$B$47,'2027 Avoided Costs'!$E$13:$E$47))*IF($AE110&gt;0,$AE110*(1+$W110),0),0)</f>
        <v>28344.150273158961</v>
      </c>
      <c r="AU110" s="290" cm="1">
        <f t="array" ref="AU110">IFERROR((IF($O110=1,0,NPV('2027 Avoided Costs'!$D$6,_xlfn._xlws.FILTER('2027 Avoided Costs'!$M$14:$M$47,('2027 Avoided Costs'!$B$14:$B$47&gt;=$B110+1)*('2027 Avoided Costs'!$B$14:$B$47&lt;$B110+ROUND($O110,0)))))+_xlfn.XLOOKUP($B110,'2027 Avoided Costs'!$B$13:$B$47,'2027 Avoided Costs'!$M$13:$M$47))*IF($AK110&gt;0,$AK110*(1+$W110),0),0)</f>
        <v>0</v>
      </c>
      <c r="AV110" s="291" cm="1">
        <f t="array" ref="AV110">IFERROR((IF($O110=1,0,NPV('2027 Avoided Costs'!$D$6,_xlfn._xlws.FILTER('2027 Avoided Costs'!$Q$14:$Q$47,('2027 Avoided Costs'!$B$14:$B$47&gt;=$B110+1)*('2027 Avoided Costs'!$B$14:$B$47&lt;$B110+ROUND($O110,0)))))+_xlfn.XLOOKUP($B110,'2027 Avoided Costs'!$B$13:$B$47,'2027 Avoided Costs'!$Q$13:$Q$47))*IF($AI110&gt;0,$AI110*(1+$W110),0),0)</f>
        <v>7462.20390922976</v>
      </c>
      <c r="AW110" s="291" cm="1">
        <f t="array" ref="AW110">IFERROR((IF($O110=1,0,NPV('2027 Avoided Costs'!$D$6,_xlfn._xlws.FILTER('2027 Avoided Costs'!$W$14:$W$47,('2027 Avoided Costs'!$B$14:$B$47&gt;=$B110+1)*('2027 Avoided Costs'!$B$14:$B$47&lt;$B110+ROUND($O110,0)))))+_xlfn.XLOOKUP($B110,'2027 Avoided Costs'!$B$13:$B$47,'2027 Avoided Costs'!$W$13:$W$47))*IF($AM110&gt;0,$AM110*(1+$W110),0),0)</f>
        <v>5116.5188926705277</v>
      </c>
      <c r="AX110" s="291" cm="1">
        <f t="array" ref="AX110">IFERROR((IF($O110=1,0,NPV('2027 Avoided Costs'!$D$6,_xlfn._xlws.FILTER('2027 Avoided Costs'!$AC$14:$AC$47,('2027 Avoided Costs'!$B$14:$B$47&gt;=$B110+1)*('2027 Avoided Costs'!$B$14:$B$47&lt;$B110+ROUND($O110,0)))))+_xlfn.XLOOKUP($B110,'2027 Avoided Costs'!$B$13:$B$47,'2027 Avoided Costs'!$AC$13:$AC$47))*IF($AO110&gt;0,$AO110*(1+$W110),0),0)</f>
        <v>0</v>
      </c>
      <c r="AY110" s="291" cm="1">
        <f t="array" ref="AY110">IFERROR((IF($O110=1,0,NPV('2027 Avoided Costs'!$D$4,_xlfn._xlws.FILTER('2027 Avoided Costs'!$I$14:$I$47,('2027 Avoided Costs'!$B$14:$B$47&gt;=$B110+1)*('2027 Avoided Costs'!$B$14:$B$47&lt;$B110+ROUND($O110,0)))))+_xlfn.XLOOKUP($B110,'2027 Avoided Costs'!$B$13:$B$47,'2027 Avoided Costs'!$I$13:$I$47))*IF($X110="Residential",'2027 Avoided Costs'!$J$5,IF($X110="Large Volume",'2027 Avoided Costs'!$J$7,'2027 Avoided Costs'!$J$6))*IF($AE110&gt;0,$AE110,0),0)</f>
        <v>0</v>
      </c>
      <c r="AZ110" s="291" cm="1">
        <f t="array" ref="AZ110">IFERROR(IF($J110="Baseload",IF($O110=1,0,NPV('2027 Avoided Costs'!$D$6,_xlfn._xlws.FILTER('2027 Avoided Costs'!$C$14:$C$47,('2027 Avoided Costs'!$B$14:$B$47&gt;=$B110+1)*('2027 Avoided Costs'!$B$14:$B$47&lt;$B110+ROUND($O110,0)))))+_xlfn.XLOOKUP($B110,'2027 Avoided Costs'!$B$13:$B$47,'2027 Avoided Costs'!$C$13:$C$47),IF($O110=1,0,NPV('2027 Avoided Costs'!$D$6,_xlfn._xlws.FILTER('2027 Avoided Costs'!$E$14:$E$47,('2027 Avoided Costs'!$B$14:$B$47&gt;=$B110+1)*('2027 Avoided Costs'!$B$14:$B$47&lt;$B110+ROUND($O110,0)))))+_xlfn.XLOOKUP($B110,'2027 Avoided Costs'!$B$13:$B$47,'2027 Avoided Costs'!$E$13:$E$47))*IF($AE110&lt;0,$AE110*(-1),0),0)</f>
        <v>0</v>
      </c>
      <c r="BA110" s="291" cm="1">
        <f t="array" ref="BA110">IFERROR((IF($O110=1,0,NPV('2027 Avoided Costs'!$D$6,_xlfn._xlws.FILTER('2027 Avoided Costs'!$M$14:$M$47,('2027 Avoided Costs'!$B$14:$B$47&gt;=$B110+1)*('2027 Avoided Costs'!$B$14:$B$47&lt;$B110+ROUND($O110,0)))))+_xlfn.XLOOKUP($B110,'2027 Avoided Costs'!$B$13:$B$47,'2027 Avoided Costs'!$M$13:$M$47))*IF($AK110&lt;0,$AK110*(-1),0),0)</f>
        <v>0</v>
      </c>
      <c r="BB110" s="291" cm="1">
        <f t="array" ref="BB110">IFERROR((IF($O110=1,0,NPV('2027 Avoided Costs'!$D$6,_xlfn._xlws.FILTER('2027 Avoided Costs'!$S$14:$S$47,('2027 Avoided Costs'!$B$14:$B$47&gt;=$B110+1)*('2027 Avoided Costs'!$B$14:$B$47&lt;$B110+ROUND($O110,0)))))+_xlfn.XLOOKUP($B110,'2027 Avoided Costs'!$B$13:$B$47,'2027 Avoided Costs'!$S$13:$S$47))*IF($AI110&lt;0,$AI110*(-1),0),0)</f>
        <v>0</v>
      </c>
      <c r="BC110" s="291" cm="1">
        <f t="array" ref="BC110">IFERROR((IF($O110=1,0,NPV('2027 Avoided Costs'!$D$6,_xlfn._xlws.FILTER('2027 Avoided Costs'!$Y$14:$Y$47,('2027 Avoided Costs'!$B$14:$B$47&gt;=$B110+1)*('2027 Avoided Costs'!$B$14:$B$47&lt;$B110+ROUND($O110,0)))))+_xlfn.XLOOKUP($B110,'2027 Avoided Costs'!$B$13:$B$47,'2027 Avoided Costs'!$Y$13:$Y$47))*IF($AM110&lt;0,$AM110*(-1),0),0)</f>
        <v>0</v>
      </c>
      <c r="BD110" s="291" cm="1">
        <f t="array" ref="BD110">IFERROR((IF($O110=1,0,NPV('2027 Avoided Costs'!$D$6,_xlfn._xlws.FILTER('2027 Avoided Costs'!$AE$14:$AE$47,('2027 Avoided Costs'!$B$14:$B$47&gt;=$B110+1)*('2027 Avoided Costs'!$B$14:$B$47&lt;$B110+ROUND($O110,0)))))+_xlfn.XLOOKUP($B110,'2027 Avoided Costs'!$B$13:$B$47,'2027 Avoided Costs'!$AE$13:$AE$47))*IF($AO110&lt;0,$AO110*(-1),0),0)</f>
        <v>0</v>
      </c>
      <c r="BE110" s="291" cm="1">
        <f t="array" ref="BE110">IFERROR((IF($O110=1,0,NPV('2027 Avoided Costs'!$D$4,_xlfn._xlws.FILTER('2027 Avoided Costs'!$I$14:$I$47,('2027 Avoided Costs'!$B$14:$B$47&gt;=$B110+1)*('2027 Avoided Costs'!$B$14:$B$47&lt;$B110+ROUND($O110,0)))))+_xlfn.XLOOKUP($B110,'2027 Avoided Costs'!$B$13:$B$47,'2027 Avoided Costs'!$I$13:$I$47))*IF($X110="Residential",'2027 Avoided Costs'!$J$5,IF($X110="Large Volume",'2027 Avoided Costs'!$J$7,'2027 Avoided Costs'!$J$6))*IF($AE110&lt;0,$AE110*(-1),0),0)</f>
        <v>0</v>
      </c>
      <c r="BF110" s="291">
        <f t="shared" si="50"/>
        <v>40922.873075059251</v>
      </c>
      <c r="BG110" s="291">
        <f t="shared" si="51"/>
        <v>8902.4</v>
      </c>
      <c r="BH110" s="291">
        <f t="shared" si="52"/>
        <v>32020.47307505925</v>
      </c>
      <c r="BI110" s="292">
        <f t="shared" si="56"/>
        <v>4.5968360301782951</v>
      </c>
      <c r="BJ110" s="196" cm="1">
        <f t="array" ref="BJ110">IFERROR(IF($J110="Baseload",IF($O110=1,0,NPV('2027 Avoided Costs'!$D$6,_xlfn._xlws.FILTER('2027 Avoided Costs'!$C$14:$C$47,('2027 Avoided Costs'!$B$14:$B$47&gt;=$B110+1)*('2027 Avoided Costs'!$B$14:$B$47&lt;$B110+ROUND($O110,0)))))+_xlfn.XLOOKUP($B110,'2027 Avoided Costs'!$B$13:$B$47,'2027 Avoided Costs'!$C$13:$C$47),IF($O110=1,0,NPV('2027 Avoided Costs'!$D$6,_xlfn._xlws.FILTER('2027 Avoided Costs'!$E$14:$E$47,('2027 Avoided Costs'!$B$14:$B$47&gt;=$B110+1)*('2027 Avoided Costs'!$B$14:$B$47&lt;$B110+ROUND($O110,0)))))+_xlfn.XLOOKUP($B110,'2027 Avoided Costs'!$B$13:$B$47,'2027 Avoided Costs'!$E$13:$E$47))*IF($AE110&gt;0,$AE110*(1+0),0),0)</f>
        <v>24647.08719405127</v>
      </c>
      <c r="BK110" s="293">
        <f t="shared" si="53"/>
        <v>4.4297424863499764</v>
      </c>
    </row>
    <row r="111" spans="1:63" s="56" customFormat="1" x14ac:dyDescent="0.25">
      <c r="A111" s="270" t="s">
        <v>133</v>
      </c>
      <c r="B111" s="271">
        <v>2027</v>
      </c>
      <c r="C111" s="272" t="s">
        <v>13</v>
      </c>
      <c r="D111" s="272" t="s">
        <v>165</v>
      </c>
      <c r="E111" s="272" t="s">
        <v>88</v>
      </c>
      <c r="F111" s="273">
        <v>302</v>
      </c>
      <c r="G111" s="274">
        <v>1509.139031007752</v>
      </c>
      <c r="H111" s="275">
        <f t="shared" si="30"/>
        <v>1.27</v>
      </c>
      <c r="I111" s="274">
        <v>0</v>
      </c>
      <c r="J111" s="276" t="s">
        <v>263</v>
      </c>
      <c r="K111" s="277">
        <f t="shared" si="54"/>
        <v>0.8</v>
      </c>
      <c r="L111" s="278">
        <v>0.2</v>
      </c>
      <c r="M111" s="278">
        <v>0</v>
      </c>
      <c r="N111" s="278">
        <v>1</v>
      </c>
      <c r="O111" s="279">
        <v>12</v>
      </c>
      <c r="P111" s="280">
        <v>1188.2984496124031</v>
      </c>
      <c r="Q111" s="281">
        <v>2088</v>
      </c>
      <c r="R111" s="282">
        <v>0.23835616438355944</v>
      </c>
      <c r="S111" s="282">
        <v>0.23835616438356241</v>
      </c>
      <c r="T111" s="281">
        <v>145.15408121212127</v>
      </c>
      <c r="U111" s="283">
        <v>0.24</v>
      </c>
      <c r="V111" s="284">
        <v>5474</v>
      </c>
      <c r="W111" s="285">
        <v>0.15</v>
      </c>
      <c r="X111" s="286" t="s">
        <v>255</v>
      </c>
      <c r="Y111" s="287">
        <f t="shared" si="31"/>
        <v>302</v>
      </c>
      <c r="Z111" s="288">
        <f t="shared" si="32"/>
        <v>455759.9873643411</v>
      </c>
      <c r="AA111" s="288">
        <f t="shared" si="33"/>
        <v>0</v>
      </c>
      <c r="AB111" s="288">
        <f t="shared" si="34"/>
        <v>455759.9873643411</v>
      </c>
      <c r="AC111" s="288">
        <f t="shared" si="55"/>
        <v>0</v>
      </c>
      <c r="AD111" s="287">
        <f t="shared" si="35"/>
        <v>358866.13178294577</v>
      </c>
      <c r="AE111" s="287">
        <f t="shared" si="36"/>
        <v>287092.90542635665</v>
      </c>
      <c r="AF111" s="287">
        <f t="shared" si="37"/>
        <v>4306393.5813953495</v>
      </c>
      <c r="AG111" s="287">
        <f t="shared" si="38"/>
        <v>3445114.8651162796</v>
      </c>
      <c r="AH111" s="287">
        <f t="shared" si="39"/>
        <v>675977.47200000007</v>
      </c>
      <c r="AI111" s="287">
        <f t="shared" si="40"/>
        <v>540781.9776000001</v>
      </c>
      <c r="AJ111" s="287">
        <f t="shared" si="41"/>
        <v>43836.532526060626</v>
      </c>
      <c r="AK111" s="287">
        <f t="shared" si="42"/>
        <v>35069.226020848502</v>
      </c>
      <c r="AL111" s="287">
        <f t="shared" si="43"/>
        <v>77.166378082191073</v>
      </c>
      <c r="AM111" s="287">
        <f t="shared" si="44"/>
        <v>61.733102465752864</v>
      </c>
      <c r="AN111" s="287">
        <f t="shared" si="45"/>
        <v>77.16637808219204</v>
      </c>
      <c r="AO111" s="287">
        <f t="shared" si="46"/>
        <v>61.733102465753632</v>
      </c>
      <c r="AP111" s="287">
        <f t="shared" si="47"/>
        <v>1653148</v>
      </c>
      <c r="AQ111" s="287">
        <f t="shared" si="48"/>
        <v>1322518.4000000001</v>
      </c>
      <c r="AR111" s="287">
        <f t="shared" si="49"/>
        <v>68902.297302325591</v>
      </c>
      <c r="AS111" s="289" t="e">
        <f>IF(J111='2027 Avoided Costs'!#REF!,3,5)</f>
        <v>#REF!</v>
      </c>
      <c r="AT111" s="290" cm="1">
        <f t="array" ref="AT111">IFERROR(IF($J111="Baseload",IF($O111=1,0,NPV('2027 Avoided Costs'!$D$6,_xlfn._xlws.FILTER('2027 Avoided Costs'!$C$14:$C$47,('2027 Avoided Costs'!$B$14:$B$47&gt;=$B111+1)*('2027 Avoided Costs'!$B$14:$B$47&lt;$B111+ROUND($O111,0)))))+_xlfn.XLOOKUP($B111,'2027 Avoided Costs'!$B$13:$B$47,'2027 Avoided Costs'!$C$13:$C$47),IF($O111=1,0,NPV('2027 Avoided Costs'!$D$6,_xlfn._xlws.FILTER('2027 Avoided Costs'!$E$14:$E$47,('2027 Avoided Costs'!$B$14:$B$47&gt;=$B111+1)*('2027 Avoided Costs'!$B$14:$B$47&lt;$B111+ROUND($O111,0)))))+_xlfn.XLOOKUP($B111,'2027 Avoided Costs'!$B$13:$B$47,'2027 Avoided Costs'!$E$13:$E$47))*IF($AE111&gt;0,$AE111*(1+$W111),0),0)</f>
        <v>834480.05637741322</v>
      </c>
      <c r="AU111" s="290" cm="1">
        <f t="array" ref="AU111">IFERROR((IF($O111=1,0,NPV('2027 Avoided Costs'!$D$6,_xlfn._xlws.FILTER('2027 Avoided Costs'!$M$14:$M$47,('2027 Avoided Costs'!$B$14:$B$47&gt;=$B111+1)*('2027 Avoided Costs'!$B$14:$B$47&lt;$B111+ROUND($O111,0)))))+_xlfn.XLOOKUP($B111,'2027 Avoided Costs'!$B$13:$B$47,'2027 Avoided Costs'!$M$13:$M$47))*IF($AK111&gt;0,$AK111*(1+$W111),0),0)</f>
        <v>424389.38082481653</v>
      </c>
      <c r="AV111" s="291" cm="1">
        <f t="array" ref="AV111">IFERROR((IF($O111=1,0,NPV('2027 Avoided Costs'!$D$6,_xlfn._xlws.FILTER('2027 Avoided Costs'!$Q$14:$Q$47,('2027 Avoided Costs'!$B$14:$B$47&gt;=$B111+1)*('2027 Avoided Costs'!$B$14:$B$47&lt;$B111+ROUND($O111,0)))))+_xlfn.XLOOKUP($B111,'2027 Avoided Costs'!$B$13:$B$47,'2027 Avoided Costs'!$Q$13:$Q$47))*IF($AI111&gt;0,$AI111*(1+$W111),0),0)</f>
        <v>306426.58845184068</v>
      </c>
      <c r="AW111" s="291" cm="1">
        <f t="array" ref="AW111">IFERROR((IF($O111=1,0,NPV('2027 Avoided Costs'!$D$6,_xlfn._xlws.FILTER('2027 Avoided Costs'!$W$14:$W$47,('2027 Avoided Costs'!$B$14:$B$47&gt;=$B111+1)*('2027 Avoided Costs'!$B$14:$B$47&lt;$B111+ROUND($O111,0)))))+_xlfn.XLOOKUP($B111,'2027 Avoided Costs'!$B$13:$B$47,'2027 Avoided Costs'!$W$13:$W$47))*IF($AM111&gt;0,$AM111*(1+$W111),0),0)</f>
        <v>210103.80419800797</v>
      </c>
      <c r="AX111" s="291" cm="1">
        <f t="array" ref="AX111">IFERROR((IF($O111=1,0,NPV('2027 Avoided Costs'!$D$6,_xlfn._xlws.FILTER('2027 Avoided Costs'!$AC$14:$AC$47,('2027 Avoided Costs'!$B$14:$B$47&gt;=$B111+1)*('2027 Avoided Costs'!$B$14:$B$47&lt;$B111+ROUND($O111,0)))))+_xlfn.XLOOKUP($B111,'2027 Avoided Costs'!$B$13:$B$47,'2027 Avoided Costs'!$AC$13:$AC$47))*IF($AO111&gt;0,$AO111*(1+$W111),0),0)</f>
        <v>0</v>
      </c>
      <c r="AY111" s="291" cm="1">
        <f t="array" ref="AY111">IFERROR((IF($O111=1,0,NPV('2027 Avoided Costs'!$D$4,_xlfn._xlws.FILTER('2027 Avoided Costs'!$I$14:$I$47,('2027 Avoided Costs'!$B$14:$B$47&gt;=$B111+1)*('2027 Avoided Costs'!$B$14:$B$47&lt;$B111+ROUND($O111,0)))))+_xlfn.XLOOKUP($B111,'2027 Avoided Costs'!$B$13:$B$47,'2027 Avoided Costs'!$I$13:$I$47))*IF($X111="Residential",'2027 Avoided Costs'!$J$5,IF($X111="Large Volume",'2027 Avoided Costs'!$J$7,'2027 Avoided Costs'!$J$6))*IF($AE111&gt;0,$AE111,0),0)</f>
        <v>0</v>
      </c>
      <c r="AZ111" s="291" cm="1">
        <f t="array" ref="AZ111">IFERROR(IF($J111="Baseload",IF($O111=1,0,NPV('2027 Avoided Costs'!$D$6,_xlfn._xlws.FILTER('2027 Avoided Costs'!$C$14:$C$47,('2027 Avoided Costs'!$B$14:$B$47&gt;=$B111+1)*('2027 Avoided Costs'!$B$14:$B$47&lt;$B111+ROUND($O111,0)))))+_xlfn.XLOOKUP($B111,'2027 Avoided Costs'!$B$13:$B$47,'2027 Avoided Costs'!$C$13:$C$47),IF($O111=1,0,NPV('2027 Avoided Costs'!$D$6,_xlfn._xlws.FILTER('2027 Avoided Costs'!$E$14:$E$47,('2027 Avoided Costs'!$B$14:$B$47&gt;=$B111+1)*('2027 Avoided Costs'!$B$14:$B$47&lt;$B111+ROUND($O111,0)))))+_xlfn.XLOOKUP($B111,'2027 Avoided Costs'!$B$13:$B$47,'2027 Avoided Costs'!$E$13:$E$47))*IF($AE111&lt;0,$AE111*(-1),0),0)</f>
        <v>0</v>
      </c>
      <c r="BA111" s="291" cm="1">
        <f t="array" ref="BA111">IFERROR((IF($O111=1,0,NPV('2027 Avoided Costs'!$D$6,_xlfn._xlws.FILTER('2027 Avoided Costs'!$M$14:$M$47,('2027 Avoided Costs'!$B$14:$B$47&gt;=$B111+1)*('2027 Avoided Costs'!$B$14:$B$47&lt;$B111+ROUND($O111,0)))))+_xlfn.XLOOKUP($B111,'2027 Avoided Costs'!$B$13:$B$47,'2027 Avoided Costs'!$M$13:$M$47))*IF($AK111&lt;0,$AK111*(-1),0),0)</f>
        <v>0</v>
      </c>
      <c r="BB111" s="291" cm="1">
        <f t="array" ref="BB111">IFERROR((IF($O111=1,0,NPV('2027 Avoided Costs'!$D$6,_xlfn._xlws.FILTER('2027 Avoided Costs'!$S$14:$S$47,('2027 Avoided Costs'!$B$14:$B$47&gt;=$B111+1)*('2027 Avoided Costs'!$B$14:$B$47&lt;$B111+ROUND($O111,0)))))+_xlfn.XLOOKUP($B111,'2027 Avoided Costs'!$B$13:$B$47,'2027 Avoided Costs'!$S$13:$S$47))*IF($AI111&lt;0,$AI111*(-1),0),0)</f>
        <v>0</v>
      </c>
      <c r="BC111" s="291" cm="1">
        <f t="array" ref="BC111">IFERROR((IF($O111=1,0,NPV('2027 Avoided Costs'!$D$6,_xlfn._xlws.FILTER('2027 Avoided Costs'!$Y$14:$Y$47,('2027 Avoided Costs'!$B$14:$B$47&gt;=$B111+1)*('2027 Avoided Costs'!$B$14:$B$47&lt;$B111+ROUND($O111,0)))))+_xlfn.XLOOKUP($B111,'2027 Avoided Costs'!$B$13:$B$47,'2027 Avoided Costs'!$Y$13:$Y$47))*IF($AM111&lt;0,$AM111*(-1),0),0)</f>
        <v>0</v>
      </c>
      <c r="BD111" s="291" cm="1">
        <f t="array" ref="BD111">IFERROR((IF($O111=1,0,NPV('2027 Avoided Costs'!$D$6,_xlfn._xlws.FILTER('2027 Avoided Costs'!$AE$14:$AE$47,('2027 Avoided Costs'!$B$14:$B$47&gt;=$B111+1)*('2027 Avoided Costs'!$B$14:$B$47&lt;$B111+ROUND($O111,0)))))+_xlfn.XLOOKUP($B111,'2027 Avoided Costs'!$B$13:$B$47,'2027 Avoided Costs'!$AE$13:$AE$47))*IF($AO111&lt;0,$AO111*(-1),0),0)</f>
        <v>0</v>
      </c>
      <c r="BE111" s="291" cm="1">
        <f t="array" ref="BE111">IFERROR((IF($O111=1,0,NPV('2027 Avoided Costs'!$D$4,_xlfn._xlws.FILTER('2027 Avoided Costs'!$I$14:$I$47,('2027 Avoided Costs'!$B$14:$B$47&gt;=$B111+1)*('2027 Avoided Costs'!$B$14:$B$47&lt;$B111+ROUND($O111,0)))))+_xlfn.XLOOKUP($B111,'2027 Avoided Costs'!$B$13:$B$47,'2027 Avoided Costs'!$I$13:$I$47))*IF($X111="Residential",'2027 Avoided Costs'!$J$5,IF($X111="Large Volume",'2027 Avoided Costs'!$J$7,'2027 Avoided Costs'!$J$6))*IF($AE111&lt;0,$AE111*(-1),0),0)</f>
        <v>0</v>
      </c>
      <c r="BF111" s="291">
        <f t="shared" si="50"/>
        <v>1775399.8298520783</v>
      </c>
      <c r="BG111" s="291">
        <f t="shared" si="51"/>
        <v>1322518.4000000001</v>
      </c>
      <c r="BH111" s="291">
        <f t="shared" si="52"/>
        <v>452881.4298520782</v>
      </c>
      <c r="BI111" s="292">
        <f t="shared" si="56"/>
        <v>1.3424386608549856</v>
      </c>
      <c r="BJ111" s="196" cm="1">
        <f t="array" ref="BJ111">IFERROR(IF($J111="Baseload",IF($O111=1,0,NPV('2027 Avoided Costs'!$D$6,_xlfn._xlws.FILTER('2027 Avoided Costs'!$C$14:$C$47,('2027 Avoided Costs'!$B$14:$B$47&gt;=$B111+1)*('2027 Avoided Costs'!$B$14:$B$47&lt;$B111+ROUND($O111,0)))))+_xlfn.XLOOKUP($B111,'2027 Avoided Costs'!$B$13:$B$47,'2027 Avoided Costs'!$C$13:$C$47),IF($O111=1,0,NPV('2027 Avoided Costs'!$D$6,_xlfn._xlws.FILTER('2027 Avoided Costs'!$E$14:$E$47,('2027 Avoided Costs'!$B$14:$B$47&gt;=$B111+1)*('2027 Avoided Costs'!$B$14:$B$47&lt;$B111+ROUND($O111,0)))))+_xlfn.XLOOKUP($B111,'2027 Avoided Costs'!$B$13:$B$47,'2027 Avoided Costs'!$E$13:$E$47))*IF($AE111&gt;0,$AE111*(1+0),0),0)</f>
        <v>725634.83163253334</v>
      </c>
      <c r="BK111" s="293">
        <f t="shared" si="53"/>
        <v>1.5921424691730353</v>
      </c>
    </row>
    <row r="112" spans="1:63" s="56" customFormat="1" x14ac:dyDescent="0.25">
      <c r="A112" s="270" t="s">
        <v>133</v>
      </c>
      <c r="B112" s="271">
        <v>2027</v>
      </c>
      <c r="C112" s="272" t="s">
        <v>13</v>
      </c>
      <c r="D112" s="272" t="s">
        <v>165</v>
      </c>
      <c r="E112" s="272" t="s">
        <v>89</v>
      </c>
      <c r="F112" s="273">
        <v>29</v>
      </c>
      <c r="G112" s="274">
        <v>500.4375</v>
      </c>
      <c r="H112" s="275">
        <f t="shared" si="30"/>
        <v>0.69027845627747919</v>
      </c>
      <c r="I112" s="274">
        <v>0</v>
      </c>
      <c r="J112" s="276" t="s">
        <v>263</v>
      </c>
      <c r="K112" s="277">
        <f t="shared" si="54"/>
        <v>0.8</v>
      </c>
      <c r="L112" s="278">
        <v>0.2</v>
      </c>
      <c r="M112" s="278">
        <v>0</v>
      </c>
      <c r="N112" s="278">
        <v>1</v>
      </c>
      <c r="O112" s="279">
        <v>12</v>
      </c>
      <c r="P112" s="280">
        <v>724.97916666666674</v>
      </c>
      <c r="Q112" s="281">
        <v>866.75</v>
      </c>
      <c r="R112" s="282">
        <v>9.8944063926939732E-2</v>
      </c>
      <c r="S112" s="282">
        <v>9.8944063926940953E-2</v>
      </c>
      <c r="T112" s="281">
        <v>0</v>
      </c>
      <c r="U112" s="283">
        <v>0.24</v>
      </c>
      <c r="V112" s="284">
        <v>1000.875</v>
      </c>
      <c r="W112" s="285">
        <v>0.15</v>
      </c>
      <c r="X112" s="286" t="s">
        <v>255</v>
      </c>
      <c r="Y112" s="287">
        <f t="shared" si="31"/>
        <v>29</v>
      </c>
      <c r="Z112" s="288">
        <f t="shared" si="32"/>
        <v>14512.6875</v>
      </c>
      <c r="AA112" s="288">
        <f t="shared" si="33"/>
        <v>0</v>
      </c>
      <c r="AB112" s="288">
        <f t="shared" si="34"/>
        <v>14512.6875</v>
      </c>
      <c r="AC112" s="288">
        <f t="shared" si="55"/>
        <v>0</v>
      </c>
      <c r="AD112" s="287">
        <f t="shared" si="35"/>
        <v>21024.395833333336</v>
      </c>
      <c r="AE112" s="287">
        <f t="shared" si="36"/>
        <v>16819.51666666667</v>
      </c>
      <c r="AF112" s="287">
        <f t="shared" si="37"/>
        <v>252292.75000000003</v>
      </c>
      <c r="AG112" s="287">
        <f t="shared" si="38"/>
        <v>201834.20000000004</v>
      </c>
      <c r="AH112" s="287">
        <f t="shared" si="39"/>
        <v>26945.524000000001</v>
      </c>
      <c r="AI112" s="287">
        <f t="shared" si="40"/>
        <v>21556.419200000004</v>
      </c>
      <c r="AJ112" s="287">
        <f t="shared" si="41"/>
        <v>0</v>
      </c>
      <c r="AK112" s="287">
        <f t="shared" si="42"/>
        <v>0</v>
      </c>
      <c r="AL112" s="287">
        <f t="shared" si="43"/>
        <v>3.0759730593607029</v>
      </c>
      <c r="AM112" s="287">
        <f t="shared" si="44"/>
        <v>2.4607784474885621</v>
      </c>
      <c r="AN112" s="287">
        <f t="shared" si="45"/>
        <v>3.0759730593607406</v>
      </c>
      <c r="AO112" s="287">
        <f t="shared" si="46"/>
        <v>2.4607784474885923</v>
      </c>
      <c r="AP112" s="287">
        <f t="shared" si="47"/>
        <v>29025.375</v>
      </c>
      <c r="AQ112" s="287">
        <f t="shared" si="48"/>
        <v>23220.300000000003</v>
      </c>
      <c r="AR112" s="287">
        <f t="shared" si="49"/>
        <v>4036.6840000000007</v>
      </c>
      <c r="AS112" s="289" t="e">
        <f>IF(J112='2027 Avoided Costs'!#REF!,3,5)</f>
        <v>#REF!</v>
      </c>
      <c r="AT112" s="290" cm="1">
        <f t="array" ref="AT112">IFERROR(IF($J112="Baseload",IF($O112=1,0,NPV('2027 Avoided Costs'!$D$6,_xlfn._xlws.FILTER('2027 Avoided Costs'!$C$14:$C$47,('2027 Avoided Costs'!$B$14:$B$47&gt;=$B112+1)*('2027 Avoided Costs'!$B$14:$B$47&lt;$B112+ROUND($O112,0)))))+_xlfn.XLOOKUP($B112,'2027 Avoided Costs'!$B$13:$B$47,'2027 Avoided Costs'!$C$13:$C$47),IF($O112=1,0,NPV('2027 Avoided Costs'!$D$6,_xlfn._xlws.FILTER('2027 Avoided Costs'!$E$14:$E$47,('2027 Avoided Costs'!$B$14:$B$47&gt;=$B112+1)*('2027 Avoided Costs'!$B$14:$B$47&lt;$B112+ROUND($O112,0)))))+_xlfn.XLOOKUP($B112,'2027 Avoided Costs'!$B$13:$B$47,'2027 Avoided Costs'!$E$13:$E$47))*IF($AE112&gt;0,$AE112*(1+$W112),0),0)</f>
        <v>48888.533819381191</v>
      </c>
      <c r="AU112" s="290" cm="1">
        <f t="array" ref="AU112">IFERROR((IF($O112=1,0,NPV('2027 Avoided Costs'!$D$6,_xlfn._xlws.FILTER('2027 Avoided Costs'!$M$14:$M$47,('2027 Avoided Costs'!$B$14:$B$47&gt;=$B112+1)*('2027 Avoided Costs'!$B$14:$B$47&lt;$B112+ROUND($O112,0)))))+_xlfn.XLOOKUP($B112,'2027 Avoided Costs'!$B$13:$B$47,'2027 Avoided Costs'!$M$13:$M$47))*IF($AK112&gt;0,$AK112*(1+$W112),0),0)</f>
        <v>0</v>
      </c>
      <c r="AV112" s="291" cm="1">
        <f t="array" ref="AV112">IFERROR((IF($O112=1,0,NPV('2027 Avoided Costs'!$D$6,_xlfn._xlws.FILTER('2027 Avoided Costs'!$Q$14:$Q$47,('2027 Avoided Costs'!$B$14:$B$47&gt;=$B112+1)*('2027 Avoided Costs'!$B$14:$B$47&lt;$B112+ROUND($O112,0)))))+_xlfn.XLOOKUP($B112,'2027 Avoided Costs'!$B$13:$B$47,'2027 Avoided Costs'!$Q$13:$Q$47))*IF($AI112&gt;0,$AI112*(1+$W112),0),0)</f>
        <v>12214.645214341102</v>
      </c>
      <c r="AW112" s="291" cm="1">
        <f t="array" ref="AW112">IFERROR((IF($O112=1,0,NPV('2027 Avoided Costs'!$D$6,_xlfn._xlws.FILTER('2027 Avoided Costs'!$W$14:$W$47,('2027 Avoided Costs'!$B$14:$B$47&gt;=$B112+1)*('2027 Avoided Costs'!$B$14:$B$47&lt;$B112+ROUND($O112,0)))))+_xlfn.XLOOKUP($B112,'2027 Avoided Costs'!$B$13:$B$47,'2027 Avoided Costs'!$W$13:$W$47))*IF($AM112&gt;0,$AM112*(1+$W112),0),0)</f>
        <v>8375.0677101096117</v>
      </c>
      <c r="AX112" s="291" cm="1">
        <f t="array" ref="AX112">IFERROR((IF($O112=1,0,NPV('2027 Avoided Costs'!$D$6,_xlfn._xlws.FILTER('2027 Avoided Costs'!$AC$14:$AC$47,('2027 Avoided Costs'!$B$14:$B$47&gt;=$B112+1)*('2027 Avoided Costs'!$B$14:$B$47&lt;$B112+ROUND($O112,0)))))+_xlfn.XLOOKUP($B112,'2027 Avoided Costs'!$B$13:$B$47,'2027 Avoided Costs'!$AC$13:$AC$47))*IF($AO112&gt;0,$AO112*(1+$W112),0),0)</f>
        <v>0</v>
      </c>
      <c r="AY112" s="291" cm="1">
        <f t="array" ref="AY112">IFERROR((IF($O112=1,0,NPV('2027 Avoided Costs'!$D$4,_xlfn._xlws.FILTER('2027 Avoided Costs'!$I$14:$I$47,('2027 Avoided Costs'!$B$14:$B$47&gt;=$B112+1)*('2027 Avoided Costs'!$B$14:$B$47&lt;$B112+ROUND($O112,0)))))+_xlfn.XLOOKUP($B112,'2027 Avoided Costs'!$B$13:$B$47,'2027 Avoided Costs'!$I$13:$I$47))*IF($X112="Residential",'2027 Avoided Costs'!$J$5,IF($X112="Large Volume",'2027 Avoided Costs'!$J$7,'2027 Avoided Costs'!$J$6))*IF($AE112&gt;0,$AE112,0),0)</f>
        <v>0</v>
      </c>
      <c r="AZ112" s="291" cm="1">
        <f t="array" ref="AZ112">IFERROR(IF($J112="Baseload",IF($O112=1,0,NPV('2027 Avoided Costs'!$D$6,_xlfn._xlws.FILTER('2027 Avoided Costs'!$C$14:$C$47,('2027 Avoided Costs'!$B$14:$B$47&gt;=$B112+1)*('2027 Avoided Costs'!$B$14:$B$47&lt;$B112+ROUND($O112,0)))))+_xlfn.XLOOKUP($B112,'2027 Avoided Costs'!$B$13:$B$47,'2027 Avoided Costs'!$C$13:$C$47),IF($O112=1,0,NPV('2027 Avoided Costs'!$D$6,_xlfn._xlws.FILTER('2027 Avoided Costs'!$E$14:$E$47,('2027 Avoided Costs'!$B$14:$B$47&gt;=$B112+1)*('2027 Avoided Costs'!$B$14:$B$47&lt;$B112+ROUND($O112,0)))))+_xlfn.XLOOKUP($B112,'2027 Avoided Costs'!$B$13:$B$47,'2027 Avoided Costs'!$E$13:$E$47))*IF($AE112&lt;0,$AE112*(-1),0),0)</f>
        <v>0</v>
      </c>
      <c r="BA112" s="291" cm="1">
        <f t="array" ref="BA112">IFERROR((IF($O112=1,0,NPV('2027 Avoided Costs'!$D$6,_xlfn._xlws.FILTER('2027 Avoided Costs'!$M$14:$M$47,('2027 Avoided Costs'!$B$14:$B$47&gt;=$B112+1)*('2027 Avoided Costs'!$B$14:$B$47&lt;$B112+ROUND($O112,0)))))+_xlfn.XLOOKUP($B112,'2027 Avoided Costs'!$B$13:$B$47,'2027 Avoided Costs'!$M$13:$M$47))*IF($AK112&lt;0,$AK112*(-1),0),0)</f>
        <v>0</v>
      </c>
      <c r="BB112" s="291" cm="1">
        <f t="array" ref="BB112">IFERROR((IF($O112=1,0,NPV('2027 Avoided Costs'!$D$6,_xlfn._xlws.FILTER('2027 Avoided Costs'!$S$14:$S$47,('2027 Avoided Costs'!$B$14:$B$47&gt;=$B112+1)*('2027 Avoided Costs'!$B$14:$B$47&lt;$B112+ROUND($O112,0)))))+_xlfn.XLOOKUP($B112,'2027 Avoided Costs'!$B$13:$B$47,'2027 Avoided Costs'!$S$13:$S$47))*IF($AI112&lt;0,$AI112*(-1),0),0)</f>
        <v>0</v>
      </c>
      <c r="BC112" s="291" cm="1">
        <f t="array" ref="BC112">IFERROR((IF($O112=1,0,NPV('2027 Avoided Costs'!$D$6,_xlfn._xlws.FILTER('2027 Avoided Costs'!$Y$14:$Y$47,('2027 Avoided Costs'!$B$14:$B$47&gt;=$B112+1)*('2027 Avoided Costs'!$B$14:$B$47&lt;$B112+ROUND($O112,0)))))+_xlfn.XLOOKUP($B112,'2027 Avoided Costs'!$B$13:$B$47,'2027 Avoided Costs'!$Y$13:$Y$47))*IF($AM112&lt;0,$AM112*(-1),0),0)</f>
        <v>0</v>
      </c>
      <c r="BD112" s="291" cm="1">
        <f t="array" ref="BD112">IFERROR((IF($O112=1,0,NPV('2027 Avoided Costs'!$D$6,_xlfn._xlws.FILTER('2027 Avoided Costs'!$AE$14:$AE$47,('2027 Avoided Costs'!$B$14:$B$47&gt;=$B112+1)*('2027 Avoided Costs'!$B$14:$B$47&lt;$B112+ROUND($O112,0)))))+_xlfn.XLOOKUP($B112,'2027 Avoided Costs'!$B$13:$B$47,'2027 Avoided Costs'!$AE$13:$AE$47))*IF($AO112&lt;0,$AO112*(-1),0),0)</f>
        <v>0</v>
      </c>
      <c r="BE112" s="291" cm="1">
        <f t="array" ref="BE112">IFERROR((IF($O112=1,0,NPV('2027 Avoided Costs'!$D$4,_xlfn._xlws.FILTER('2027 Avoided Costs'!$I$14:$I$47,('2027 Avoided Costs'!$B$14:$B$47&gt;=$B112+1)*('2027 Avoided Costs'!$B$14:$B$47&lt;$B112+ROUND($O112,0)))))+_xlfn.XLOOKUP($B112,'2027 Avoided Costs'!$B$13:$B$47,'2027 Avoided Costs'!$I$13:$I$47))*IF($X112="Residential",'2027 Avoided Costs'!$J$5,IF($X112="Large Volume",'2027 Avoided Costs'!$J$7,'2027 Avoided Costs'!$J$6))*IF($AE112&lt;0,$AE112*(-1),0),0)</f>
        <v>0</v>
      </c>
      <c r="BF112" s="291">
        <f t="shared" si="50"/>
        <v>69478.2467438319</v>
      </c>
      <c r="BG112" s="291">
        <f t="shared" si="51"/>
        <v>23220.300000000003</v>
      </c>
      <c r="BH112" s="291">
        <f t="shared" si="52"/>
        <v>46257.946743831897</v>
      </c>
      <c r="BI112" s="292">
        <f t="shared" si="56"/>
        <v>2.9921338976598877</v>
      </c>
      <c r="BJ112" s="196" cm="1">
        <f t="array" ref="BJ112">IFERROR(IF($J112="Baseload",IF($O112=1,0,NPV('2027 Avoided Costs'!$D$6,_xlfn._xlws.FILTER('2027 Avoided Costs'!$C$14:$C$47,('2027 Avoided Costs'!$B$14:$B$47&gt;=$B112+1)*('2027 Avoided Costs'!$B$14:$B$47&lt;$B112+ROUND($O112,0)))))+_xlfn.XLOOKUP($B112,'2027 Avoided Costs'!$B$13:$B$47,'2027 Avoided Costs'!$C$13:$C$47),IF($O112=1,0,NPV('2027 Avoided Costs'!$D$6,_xlfn._xlws.FILTER('2027 Avoided Costs'!$E$14:$E$47,('2027 Avoided Costs'!$B$14:$B$47&gt;=$B112+1)*('2027 Avoided Costs'!$B$14:$B$47&lt;$B112+ROUND($O112,0)))))+_xlfn.XLOOKUP($B112,'2027 Avoided Costs'!$B$13:$B$47,'2027 Avoided Costs'!$E$13:$E$47))*IF($AE112&gt;0,$AE112*(1+0),0),0)</f>
        <v>42511.768538592347</v>
      </c>
      <c r="BK112" s="293">
        <f t="shared" si="53"/>
        <v>2.9292829834992551</v>
      </c>
    </row>
    <row r="113" spans="1:63" s="56" customFormat="1" x14ac:dyDescent="0.25">
      <c r="A113" s="270" t="s">
        <v>133</v>
      </c>
      <c r="B113" s="271">
        <v>2027</v>
      </c>
      <c r="C113" s="272" t="s">
        <v>13</v>
      </c>
      <c r="D113" s="272" t="s">
        <v>165</v>
      </c>
      <c r="E113" s="272" t="s">
        <v>90</v>
      </c>
      <c r="F113" s="273">
        <v>287</v>
      </c>
      <c r="G113" s="274">
        <v>1173.5426829268292</v>
      </c>
      <c r="H113" s="275">
        <f t="shared" si="30"/>
        <v>0.77065781465227279</v>
      </c>
      <c r="I113" s="274">
        <v>0</v>
      </c>
      <c r="J113" s="276" t="s">
        <v>263</v>
      </c>
      <c r="K113" s="277">
        <f t="shared" si="54"/>
        <v>0.8</v>
      </c>
      <c r="L113" s="278">
        <v>0.2</v>
      </c>
      <c r="M113" s="278">
        <v>0</v>
      </c>
      <c r="N113" s="278">
        <v>1</v>
      </c>
      <c r="O113" s="279">
        <v>15</v>
      </c>
      <c r="P113" s="280">
        <v>1522.780487804878</v>
      </c>
      <c r="Q113" s="281">
        <v>6919.8841463414637</v>
      </c>
      <c r="R113" s="282">
        <v>0.78994111259605027</v>
      </c>
      <c r="S113" s="282">
        <v>0.78994111259606004</v>
      </c>
      <c r="T113" s="281">
        <v>263.51141883531534</v>
      </c>
      <c r="U113" s="283">
        <v>0.24</v>
      </c>
      <c r="V113" s="284">
        <v>2347.0853658536585</v>
      </c>
      <c r="W113" s="285">
        <v>0.15</v>
      </c>
      <c r="X113" s="286" t="s">
        <v>255</v>
      </c>
      <c r="Y113" s="287">
        <f t="shared" si="31"/>
        <v>287</v>
      </c>
      <c r="Z113" s="288">
        <f t="shared" si="32"/>
        <v>336806.75</v>
      </c>
      <c r="AA113" s="288">
        <f t="shared" si="33"/>
        <v>0</v>
      </c>
      <c r="AB113" s="288">
        <f t="shared" si="34"/>
        <v>336806.75</v>
      </c>
      <c r="AC113" s="288">
        <f t="shared" si="55"/>
        <v>0</v>
      </c>
      <c r="AD113" s="287">
        <f t="shared" si="35"/>
        <v>437038</v>
      </c>
      <c r="AE113" s="287">
        <f t="shared" si="36"/>
        <v>349630.4</v>
      </c>
      <c r="AF113" s="287">
        <f t="shared" si="37"/>
        <v>6555570</v>
      </c>
      <c r="AG113" s="287">
        <f t="shared" si="38"/>
        <v>5244456</v>
      </c>
      <c r="AH113" s="287">
        <f t="shared" si="39"/>
        <v>2128999.236</v>
      </c>
      <c r="AI113" s="287">
        <f t="shared" si="40"/>
        <v>1703199.3888000005</v>
      </c>
      <c r="AJ113" s="287">
        <f t="shared" si="41"/>
        <v>75627.777205735503</v>
      </c>
      <c r="AK113" s="287">
        <f t="shared" si="42"/>
        <v>60502.221764588408</v>
      </c>
      <c r="AL113" s="287">
        <f t="shared" si="43"/>
        <v>243.03644246575121</v>
      </c>
      <c r="AM113" s="287">
        <f t="shared" si="44"/>
        <v>194.429153972601</v>
      </c>
      <c r="AN113" s="287">
        <f t="shared" si="45"/>
        <v>243.03644246575422</v>
      </c>
      <c r="AO113" s="287">
        <f t="shared" si="46"/>
        <v>194.42915397260342</v>
      </c>
      <c r="AP113" s="287">
        <f t="shared" si="47"/>
        <v>673613.5</v>
      </c>
      <c r="AQ113" s="287">
        <f t="shared" si="48"/>
        <v>538890.80000000005</v>
      </c>
      <c r="AR113" s="287">
        <f t="shared" si="49"/>
        <v>83911.296000000002</v>
      </c>
      <c r="AS113" s="289" t="e">
        <f>IF(J113='2027 Avoided Costs'!#REF!,3,5)</f>
        <v>#REF!</v>
      </c>
      <c r="AT113" s="290" cm="1">
        <f t="array" ref="AT113">IFERROR(IF($J113="Baseload",IF($O113=1,0,NPV('2027 Avoided Costs'!$D$6,_xlfn._xlws.FILTER('2027 Avoided Costs'!$C$14:$C$47,('2027 Avoided Costs'!$B$14:$B$47&gt;=$B113+1)*('2027 Avoided Costs'!$B$14:$B$47&lt;$B113+ROUND($O113,0)))))+_xlfn.XLOOKUP($B113,'2027 Avoided Costs'!$B$13:$B$47,'2027 Avoided Costs'!$C$13:$C$47),IF($O113=1,0,NPV('2027 Avoided Costs'!$D$6,_xlfn._xlws.FILTER('2027 Avoided Costs'!$E$14:$E$47,('2027 Avoided Costs'!$B$14:$B$47&gt;=$B113+1)*('2027 Avoided Costs'!$B$14:$B$47&lt;$B113+ROUND($O113,0)))))+_xlfn.XLOOKUP($B113,'2027 Avoided Costs'!$B$13:$B$47,'2027 Avoided Costs'!$E$13:$E$47))*IF($AE113&gt;0,$AE113*(1+$W113),0),0)</f>
        <v>1222189.6042566369</v>
      </c>
      <c r="AU113" s="290" cm="1">
        <f t="array" ref="AU113">IFERROR((IF($O113=1,0,NPV('2027 Avoided Costs'!$D$6,_xlfn._xlws.FILTER('2027 Avoided Costs'!$M$14:$M$47,('2027 Avoided Costs'!$B$14:$B$47&gt;=$B113+1)*('2027 Avoided Costs'!$B$14:$B$47&lt;$B113+ROUND($O113,0)))))+_xlfn.XLOOKUP($B113,'2027 Avoided Costs'!$B$13:$B$47,'2027 Avoided Costs'!$M$13:$M$47))*IF($AK113&gt;0,$AK113*(1+$W113),0),0)</f>
        <v>867388.70704254904</v>
      </c>
      <c r="AV113" s="291" cm="1">
        <f t="array" ref="AV113">IFERROR((IF($O113=1,0,NPV('2027 Avoided Costs'!$D$6,_xlfn._xlws.FILTER('2027 Avoided Costs'!$Q$14:$Q$47,('2027 Avoided Costs'!$B$14:$B$47&gt;=$B113+1)*('2027 Avoided Costs'!$B$14:$B$47&lt;$B113+ROUND($O113,0)))))+_xlfn.XLOOKUP($B113,'2027 Avoided Costs'!$B$13:$B$47,'2027 Avoided Costs'!$Q$13:$Q$47))*IF($AI113&gt;0,$AI113*(1+$W113),0),0)</f>
        <v>1127600.7371011984</v>
      </c>
      <c r="AW113" s="291" cm="1">
        <f t="array" ref="AW113">IFERROR((IF($O113=1,0,NPV('2027 Avoided Costs'!$D$6,_xlfn._xlws.FILTER('2027 Avoided Costs'!$W$14:$W$47,('2027 Avoided Costs'!$B$14:$B$47&gt;=$B113+1)*('2027 Avoided Costs'!$B$14:$B$47&lt;$B113+ROUND($O113,0)))))+_xlfn.XLOOKUP($B113,'2027 Avoided Costs'!$B$13:$B$47,'2027 Avoided Costs'!$W$13:$W$47))*IF($AM113&gt;0,$AM113*(1+$W113),0),0)</f>
        <v>753513.85432376561</v>
      </c>
      <c r="AX113" s="291" cm="1">
        <f t="array" ref="AX113">IFERROR((IF($O113=1,0,NPV('2027 Avoided Costs'!$D$6,_xlfn._xlws.FILTER('2027 Avoided Costs'!$AC$14:$AC$47,('2027 Avoided Costs'!$B$14:$B$47&gt;=$B113+1)*('2027 Avoided Costs'!$B$14:$B$47&lt;$B113+ROUND($O113,0)))))+_xlfn.XLOOKUP($B113,'2027 Avoided Costs'!$B$13:$B$47,'2027 Avoided Costs'!$AC$13:$AC$47))*IF($AO113&gt;0,$AO113*(1+$W113),0),0)</f>
        <v>47474.189096938695</v>
      </c>
      <c r="AY113" s="291" cm="1">
        <f t="array" ref="AY113">IFERROR((IF($O113=1,0,NPV('2027 Avoided Costs'!$D$4,_xlfn._xlws.FILTER('2027 Avoided Costs'!$I$14:$I$47,('2027 Avoided Costs'!$B$14:$B$47&gt;=$B113+1)*('2027 Avoided Costs'!$B$14:$B$47&lt;$B113+ROUND($O113,0)))))+_xlfn.XLOOKUP($B113,'2027 Avoided Costs'!$B$13:$B$47,'2027 Avoided Costs'!$I$13:$I$47))*IF($X113="Residential",'2027 Avoided Costs'!$J$5,IF($X113="Large Volume",'2027 Avoided Costs'!$J$7,'2027 Avoided Costs'!$J$6))*IF($AE113&gt;0,$AE113,0),0)</f>
        <v>0</v>
      </c>
      <c r="AZ113" s="291" cm="1">
        <f t="array" ref="AZ113">IFERROR(IF($J113="Baseload",IF($O113=1,0,NPV('2027 Avoided Costs'!$D$6,_xlfn._xlws.FILTER('2027 Avoided Costs'!$C$14:$C$47,('2027 Avoided Costs'!$B$14:$B$47&gt;=$B113+1)*('2027 Avoided Costs'!$B$14:$B$47&lt;$B113+ROUND($O113,0)))))+_xlfn.XLOOKUP($B113,'2027 Avoided Costs'!$B$13:$B$47,'2027 Avoided Costs'!$C$13:$C$47),IF($O113=1,0,NPV('2027 Avoided Costs'!$D$6,_xlfn._xlws.FILTER('2027 Avoided Costs'!$E$14:$E$47,('2027 Avoided Costs'!$B$14:$B$47&gt;=$B113+1)*('2027 Avoided Costs'!$B$14:$B$47&lt;$B113+ROUND($O113,0)))))+_xlfn.XLOOKUP($B113,'2027 Avoided Costs'!$B$13:$B$47,'2027 Avoided Costs'!$E$13:$E$47))*IF($AE113&lt;0,$AE113*(-1),0),0)</f>
        <v>0</v>
      </c>
      <c r="BA113" s="291" cm="1">
        <f t="array" ref="BA113">IFERROR((IF($O113=1,0,NPV('2027 Avoided Costs'!$D$6,_xlfn._xlws.FILTER('2027 Avoided Costs'!$M$14:$M$47,('2027 Avoided Costs'!$B$14:$B$47&gt;=$B113+1)*('2027 Avoided Costs'!$B$14:$B$47&lt;$B113+ROUND($O113,0)))))+_xlfn.XLOOKUP($B113,'2027 Avoided Costs'!$B$13:$B$47,'2027 Avoided Costs'!$M$13:$M$47))*IF($AK113&lt;0,$AK113*(-1),0),0)</f>
        <v>0</v>
      </c>
      <c r="BB113" s="291" cm="1">
        <f t="array" ref="BB113">IFERROR((IF($O113=1,0,NPV('2027 Avoided Costs'!$D$6,_xlfn._xlws.FILTER('2027 Avoided Costs'!$S$14:$S$47,('2027 Avoided Costs'!$B$14:$B$47&gt;=$B113+1)*('2027 Avoided Costs'!$B$14:$B$47&lt;$B113+ROUND($O113,0)))))+_xlfn.XLOOKUP($B113,'2027 Avoided Costs'!$B$13:$B$47,'2027 Avoided Costs'!$S$13:$S$47))*IF($AI113&lt;0,$AI113*(-1),0),0)</f>
        <v>0</v>
      </c>
      <c r="BC113" s="291" cm="1">
        <f t="array" ref="BC113">IFERROR((IF($O113=1,0,NPV('2027 Avoided Costs'!$D$6,_xlfn._xlws.FILTER('2027 Avoided Costs'!$Y$14:$Y$47,('2027 Avoided Costs'!$B$14:$B$47&gt;=$B113+1)*('2027 Avoided Costs'!$B$14:$B$47&lt;$B113+ROUND($O113,0)))))+_xlfn.XLOOKUP($B113,'2027 Avoided Costs'!$B$13:$B$47,'2027 Avoided Costs'!$Y$13:$Y$47))*IF($AM113&lt;0,$AM113*(-1),0),0)</f>
        <v>0</v>
      </c>
      <c r="BD113" s="291" cm="1">
        <f t="array" ref="BD113">IFERROR((IF($O113=1,0,NPV('2027 Avoided Costs'!$D$6,_xlfn._xlws.FILTER('2027 Avoided Costs'!$AE$14:$AE$47,('2027 Avoided Costs'!$B$14:$B$47&gt;=$B113+1)*('2027 Avoided Costs'!$B$14:$B$47&lt;$B113+ROUND($O113,0)))))+_xlfn.XLOOKUP($B113,'2027 Avoided Costs'!$B$13:$B$47,'2027 Avoided Costs'!$AE$13:$AE$47))*IF($AO113&lt;0,$AO113*(-1),0),0)</f>
        <v>0</v>
      </c>
      <c r="BE113" s="291" cm="1">
        <f t="array" ref="BE113">IFERROR((IF($O113=1,0,NPV('2027 Avoided Costs'!$D$4,_xlfn._xlws.FILTER('2027 Avoided Costs'!$I$14:$I$47,('2027 Avoided Costs'!$B$14:$B$47&gt;=$B113+1)*('2027 Avoided Costs'!$B$14:$B$47&lt;$B113+ROUND($O113,0)))))+_xlfn.XLOOKUP($B113,'2027 Avoided Costs'!$B$13:$B$47,'2027 Avoided Costs'!$I$13:$I$47))*IF($X113="Residential",'2027 Avoided Costs'!$J$5,IF($X113="Large Volume",'2027 Avoided Costs'!$J$7,'2027 Avoided Costs'!$J$6))*IF($AE113&lt;0,$AE113*(-1),0),0)</f>
        <v>0</v>
      </c>
      <c r="BF113" s="291">
        <f t="shared" si="50"/>
        <v>4018167.0918210889</v>
      </c>
      <c r="BG113" s="291">
        <f t="shared" si="51"/>
        <v>538890.80000000005</v>
      </c>
      <c r="BH113" s="291">
        <f t="shared" si="52"/>
        <v>3479276.2918210886</v>
      </c>
      <c r="BI113" s="292">
        <f t="shared" si="56"/>
        <v>7.4563660983284343</v>
      </c>
      <c r="BJ113" s="196" cm="1">
        <f t="array" ref="BJ113">IFERROR(IF($J113="Baseload",IF($O113=1,0,NPV('2027 Avoided Costs'!$D$6,_xlfn._xlws.FILTER('2027 Avoided Costs'!$C$14:$C$47,('2027 Avoided Costs'!$B$14:$B$47&gt;=$B113+1)*('2027 Avoided Costs'!$B$14:$B$47&lt;$B113+ROUND($O113,0)))))+_xlfn.XLOOKUP($B113,'2027 Avoided Costs'!$B$13:$B$47,'2027 Avoided Costs'!$C$13:$C$47),IF($O113=1,0,NPV('2027 Avoided Costs'!$D$6,_xlfn._xlws.FILTER('2027 Avoided Costs'!$E$14:$E$47,('2027 Avoided Costs'!$B$14:$B$47&gt;=$B113+1)*('2027 Avoided Costs'!$B$14:$B$47&lt;$B113+ROUND($O113,0)))))+_xlfn.XLOOKUP($B113,'2027 Avoided Costs'!$B$13:$B$47,'2027 Avoided Costs'!$E$13:$E$47))*IF($AE113&gt;0,$AE113*(1+0),0),0)</f>
        <v>1062773.5689188146</v>
      </c>
      <c r="BK113" s="293">
        <f t="shared" si="53"/>
        <v>3.1554402306925695</v>
      </c>
    </row>
    <row r="114" spans="1:63" s="56" customFormat="1" x14ac:dyDescent="0.25">
      <c r="A114" s="270" t="s">
        <v>133</v>
      </c>
      <c r="B114" s="271">
        <v>2028</v>
      </c>
      <c r="C114" s="272" t="s">
        <v>13</v>
      </c>
      <c r="D114" s="272" t="s">
        <v>165</v>
      </c>
      <c r="E114" s="272" t="s">
        <v>92</v>
      </c>
      <c r="F114" s="273">
        <v>843</v>
      </c>
      <c r="G114" s="274">
        <v>1389.0454545454545</v>
      </c>
      <c r="H114" s="275">
        <f t="shared" si="30"/>
        <v>0.91952276077013717</v>
      </c>
      <c r="I114" s="274">
        <v>0</v>
      </c>
      <c r="J114" s="276" t="s">
        <v>263</v>
      </c>
      <c r="K114" s="277">
        <f t="shared" si="54"/>
        <v>0.8</v>
      </c>
      <c r="L114" s="278">
        <v>0.2</v>
      </c>
      <c r="M114" s="278">
        <v>0</v>
      </c>
      <c r="N114" s="278">
        <v>1</v>
      </c>
      <c r="O114" s="279">
        <v>12</v>
      </c>
      <c r="P114" s="280">
        <v>1510.6156299840509</v>
      </c>
      <c r="Q114" s="281">
        <v>0</v>
      </c>
      <c r="R114" s="282">
        <v>0</v>
      </c>
      <c r="S114" s="282">
        <v>0</v>
      </c>
      <c r="T114" s="281">
        <v>0</v>
      </c>
      <c r="U114" s="283">
        <v>0.24</v>
      </c>
      <c r="V114" s="284">
        <v>2778.090909090909</v>
      </c>
      <c r="W114" s="285">
        <v>0.15</v>
      </c>
      <c r="X114" s="286" t="s">
        <v>255</v>
      </c>
      <c r="Y114" s="287">
        <f t="shared" si="31"/>
        <v>843</v>
      </c>
      <c r="Z114" s="288">
        <f t="shared" si="32"/>
        <v>1170965.3181818181</v>
      </c>
      <c r="AA114" s="288">
        <f t="shared" si="33"/>
        <v>0</v>
      </c>
      <c r="AB114" s="288">
        <f t="shared" si="34"/>
        <v>1194384.6245454545</v>
      </c>
      <c r="AC114" s="288">
        <f t="shared" si="55"/>
        <v>0</v>
      </c>
      <c r="AD114" s="287">
        <f t="shared" si="35"/>
        <v>1273448.976076555</v>
      </c>
      <c r="AE114" s="287">
        <f t="shared" si="36"/>
        <v>1018759.180861244</v>
      </c>
      <c r="AF114" s="287">
        <f t="shared" si="37"/>
        <v>15281387.71291866</v>
      </c>
      <c r="AG114" s="287">
        <f t="shared" si="38"/>
        <v>12225110.170334928</v>
      </c>
      <c r="AH114" s="287">
        <f t="shared" si="39"/>
        <v>0</v>
      </c>
      <c r="AI114" s="287">
        <f t="shared" si="40"/>
        <v>0</v>
      </c>
      <c r="AJ114" s="287">
        <f t="shared" si="41"/>
        <v>0</v>
      </c>
      <c r="AK114" s="287">
        <f t="shared" si="42"/>
        <v>0</v>
      </c>
      <c r="AL114" s="287">
        <f t="shared" si="43"/>
        <v>0</v>
      </c>
      <c r="AM114" s="287">
        <f t="shared" si="44"/>
        <v>0</v>
      </c>
      <c r="AN114" s="287">
        <f t="shared" si="45"/>
        <v>0</v>
      </c>
      <c r="AO114" s="287">
        <f t="shared" si="46"/>
        <v>0</v>
      </c>
      <c r="AP114" s="287">
        <f t="shared" si="47"/>
        <v>2341930.6363636362</v>
      </c>
      <c r="AQ114" s="287">
        <f t="shared" si="48"/>
        <v>1873544.509090909</v>
      </c>
      <c r="AR114" s="287">
        <f t="shared" si="49"/>
        <v>244502.20340669854</v>
      </c>
      <c r="AS114" s="289" t="e">
        <f>IF(J114='2027 Avoided Costs'!#REF!,3,5)</f>
        <v>#REF!</v>
      </c>
      <c r="AT114" s="290" cm="1">
        <f t="array" ref="AT114">IFERROR(IF($J114="Baseload",IF($O114=1,0,NPV('2027 Avoided Costs'!$D$6,_xlfn._xlws.FILTER('2027 Avoided Costs'!$C$14:$C$47,('2027 Avoided Costs'!$B$14:$B$47&gt;=$B114+1)*('2027 Avoided Costs'!$B$14:$B$47&lt;$B114+ROUND($O114,0)))))+_xlfn.XLOOKUP($B114,'2027 Avoided Costs'!$B$13:$B$47,'2027 Avoided Costs'!$C$13:$C$47),IF($O114=1,0,NPV('2027 Avoided Costs'!$D$6,_xlfn._xlws.FILTER('2027 Avoided Costs'!$E$14:$E$47,('2027 Avoided Costs'!$B$14:$B$47&gt;=$B114+1)*('2027 Avoided Costs'!$B$14:$B$47&lt;$B114+ROUND($O114,0)))))+_xlfn.XLOOKUP($B114,'2027 Avoided Costs'!$B$13:$B$47,'2027 Avoided Costs'!$E$13:$E$47))*IF($AE114&gt;0,$AE114*(1+$W114),0),0)</f>
        <v>3106351.9907704541</v>
      </c>
      <c r="AU114" s="290" cm="1">
        <f t="array" ref="AU114">IFERROR((IF($O114=1,0,NPV('2027 Avoided Costs'!$D$6,_xlfn._xlws.FILTER('2027 Avoided Costs'!$M$14:$M$47,('2027 Avoided Costs'!$B$14:$B$47&gt;=$B114+1)*('2027 Avoided Costs'!$B$14:$B$47&lt;$B114+ROUND($O114,0)))))+_xlfn.XLOOKUP($B114,'2027 Avoided Costs'!$B$13:$B$47,'2027 Avoided Costs'!$M$13:$M$47))*IF($AK114&gt;0,$AK114*(1+$W114),0),0)</f>
        <v>0</v>
      </c>
      <c r="AV114" s="291" cm="1">
        <f t="array" ref="AV114">IFERROR((IF($O114=1,0,NPV('2027 Avoided Costs'!$D$6,_xlfn._xlws.FILTER('2027 Avoided Costs'!$Q$14:$Q$47,('2027 Avoided Costs'!$B$14:$B$47&gt;=$B114+1)*('2027 Avoided Costs'!$B$14:$B$47&lt;$B114+ROUND($O114,0)))))+_xlfn.XLOOKUP($B114,'2027 Avoided Costs'!$B$13:$B$47,'2027 Avoided Costs'!$Q$13:$Q$47))*IF($AI114&gt;0,$AI114*(1+$W114),0),0)</f>
        <v>0</v>
      </c>
      <c r="AW114" s="291" cm="1">
        <f t="array" ref="AW114">IFERROR((IF($O114=1,0,NPV('2027 Avoided Costs'!$D$6,_xlfn._xlws.FILTER('2027 Avoided Costs'!$W$14:$W$47,('2027 Avoided Costs'!$B$14:$B$47&gt;=$B114+1)*('2027 Avoided Costs'!$B$14:$B$47&lt;$B114+ROUND($O114,0)))))+_xlfn.XLOOKUP($B114,'2027 Avoided Costs'!$B$13:$B$47,'2027 Avoided Costs'!$W$13:$W$47))*IF($AM114&gt;0,$AM114*(1+$W114),0),0)</f>
        <v>0</v>
      </c>
      <c r="AX114" s="291" cm="1">
        <f t="array" ref="AX114">IFERROR((IF($O114=1,0,NPV('2027 Avoided Costs'!$D$6,_xlfn._xlws.FILTER('2027 Avoided Costs'!$AC$14:$AC$47,('2027 Avoided Costs'!$B$14:$B$47&gt;=$B114+1)*('2027 Avoided Costs'!$B$14:$B$47&lt;$B114+ROUND($O114,0)))))+_xlfn.XLOOKUP($B114,'2027 Avoided Costs'!$B$13:$B$47,'2027 Avoided Costs'!$AC$13:$AC$47))*IF($AO114&gt;0,$AO114*(1+$W114),0),0)</f>
        <v>0</v>
      </c>
      <c r="AY114" s="291" cm="1">
        <f t="array" ref="AY114">IFERROR((IF($O114=1,0,NPV('2027 Avoided Costs'!$D$4,_xlfn._xlws.FILTER('2027 Avoided Costs'!$I$14:$I$47,('2027 Avoided Costs'!$B$14:$B$47&gt;=$B114+1)*('2027 Avoided Costs'!$B$14:$B$47&lt;$B114+ROUND($O114,0)))))+_xlfn.XLOOKUP($B114,'2027 Avoided Costs'!$B$13:$B$47,'2027 Avoided Costs'!$I$13:$I$47))*IF($X114="Residential",'2027 Avoided Costs'!$J$5,IF($X114="Large Volume",'2027 Avoided Costs'!$J$7,'2027 Avoided Costs'!$J$6))*IF($AE114&gt;0,$AE114,0),0)</f>
        <v>0</v>
      </c>
      <c r="AZ114" s="291" cm="1">
        <f t="array" ref="AZ114">IFERROR(IF($J114="Baseload",IF($O114=1,0,NPV('2027 Avoided Costs'!$D$6,_xlfn._xlws.FILTER('2027 Avoided Costs'!$C$14:$C$47,('2027 Avoided Costs'!$B$14:$B$47&gt;=$B114+1)*('2027 Avoided Costs'!$B$14:$B$47&lt;$B114+ROUND($O114,0)))))+_xlfn.XLOOKUP($B114,'2027 Avoided Costs'!$B$13:$B$47,'2027 Avoided Costs'!$C$13:$C$47),IF($O114=1,0,NPV('2027 Avoided Costs'!$D$6,_xlfn._xlws.FILTER('2027 Avoided Costs'!$E$14:$E$47,('2027 Avoided Costs'!$B$14:$B$47&gt;=$B114+1)*('2027 Avoided Costs'!$B$14:$B$47&lt;$B114+ROUND($O114,0)))))+_xlfn.XLOOKUP($B114,'2027 Avoided Costs'!$B$13:$B$47,'2027 Avoided Costs'!$E$13:$E$47))*IF($AE114&lt;0,$AE114*(-1),0),0)</f>
        <v>0</v>
      </c>
      <c r="BA114" s="291" cm="1">
        <f t="array" ref="BA114">IFERROR((IF($O114=1,0,NPV('2027 Avoided Costs'!$D$6,_xlfn._xlws.FILTER('2027 Avoided Costs'!$M$14:$M$47,('2027 Avoided Costs'!$B$14:$B$47&gt;=$B114+1)*('2027 Avoided Costs'!$B$14:$B$47&lt;$B114+ROUND($O114,0)))))+_xlfn.XLOOKUP($B114,'2027 Avoided Costs'!$B$13:$B$47,'2027 Avoided Costs'!$M$13:$M$47))*IF($AK114&lt;0,$AK114*(-1),0),0)</f>
        <v>0</v>
      </c>
      <c r="BB114" s="291" cm="1">
        <f t="array" ref="BB114">IFERROR((IF($O114=1,0,NPV('2027 Avoided Costs'!$D$6,_xlfn._xlws.FILTER('2027 Avoided Costs'!$S$14:$S$47,('2027 Avoided Costs'!$B$14:$B$47&gt;=$B114+1)*('2027 Avoided Costs'!$B$14:$B$47&lt;$B114+ROUND($O114,0)))))+_xlfn.XLOOKUP($B114,'2027 Avoided Costs'!$B$13:$B$47,'2027 Avoided Costs'!$S$13:$S$47))*IF($AI114&lt;0,$AI114*(-1),0),0)</f>
        <v>0</v>
      </c>
      <c r="BC114" s="291" cm="1">
        <f t="array" ref="BC114">IFERROR((IF($O114=1,0,NPV('2027 Avoided Costs'!$D$6,_xlfn._xlws.FILTER('2027 Avoided Costs'!$Y$14:$Y$47,('2027 Avoided Costs'!$B$14:$B$47&gt;=$B114+1)*('2027 Avoided Costs'!$B$14:$B$47&lt;$B114+ROUND($O114,0)))))+_xlfn.XLOOKUP($B114,'2027 Avoided Costs'!$B$13:$B$47,'2027 Avoided Costs'!$Y$13:$Y$47))*IF($AM114&lt;0,$AM114*(-1),0),0)</f>
        <v>0</v>
      </c>
      <c r="BD114" s="291" cm="1">
        <f t="array" ref="BD114">IFERROR((IF($O114=1,0,NPV('2027 Avoided Costs'!$D$6,_xlfn._xlws.FILTER('2027 Avoided Costs'!$AE$14:$AE$47,('2027 Avoided Costs'!$B$14:$B$47&gt;=$B114+1)*('2027 Avoided Costs'!$B$14:$B$47&lt;$B114+ROUND($O114,0)))))+_xlfn.XLOOKUP($B114,'2027 Avoided Costs'!$B$13:$B$47,'2027 Avoided Costs'!$AE$13:$AE$47))*IF($AO114&lt;0,$AO114*(-1),0),0)</f>
        <v>0</v>
      </c>
      <c r="BE114" s="291" cm="1">
        <f t="array" ref="BE114">IFERROR((IF($O114=1,0,NPV('2027 Avoided Costs'!$D$4,_xlfn._xlws.FILTER('2027 Avoided Costs'!$I$14:$I$47,('2027 Avoided Costs'!$B$14:$B$47&gt;=$B114+1)*('2027 Avoided Costs'!$B$14:$B$47&lt;$B114+ROUND($O114,0)))))+_xlfn.XLOOKUP($B114,'2027 Avoided Costs'!$B$13:$B$47,'2027 Avoided Costs'!$I$13:$I$47))*IF($X114="Residential",'2027 Avoided Costs'!$J$5,IF($X114="Large Volume",'2027 Avoided Costs'!$J$7,'2027 Avoided Costs'!$J$6))*IF($AE114&lt;0,$AE114*(-1),0),0)</f>
        <v>0</v>
      </c>
      <c r="BF114" s="291">
        <f t="shared" si="50"/>
        <v>3106351.9907704541</v>
      </c>
      <c r="BG114" s="291">
        <f t="shared" si="51"/>
        <v>1873544.509090909</v>
      </c>
      <c r="BH114" s="291">
        <f t="shared" si="52"/>
        <v>1232807.481679545</v>
      </c>
      <c r="BI114" s="292">
        <f t="shared" si="56"/>
        <v>1.6580081101343753</v>
      </c>
      <c r="BJ114" s="196" cm="1">
        <f t="array" ref="BJ114">IFERROR(IF($J114="Baseload",IF($O114=1,0,NPV('2027 Avoided Costs'!$D$6,_xlfn._xlws.FILTER('2027 Avoided Costs'!$C$14:$C$47,('2027 Avoided Costs'!$B$14:$B$47&gt;=$B114+1)*('2027 Avoided Costs'!$B$14:$B$47&lt;$B114+ROUND($O114,0)))))+_xlfn.XLOOKUP($B114,'2027 Avoided Costs'!$B$13:$B$47,'2027 Avoided Costs'!$C$13:$C$47),IF($O114=1,0,NPV('2027 Avoided Costs'!$D$6,_xlfn._xlws.FILTER('2027 Avoided Costs'!$E$14:$E$47,('2027 Avoided Costs'!$B$14:$B$47&gt;=$B114+1)*('2027 Avoided Costs'!$B$14:$B$47&lt;$B114+ROUND($O114,0)))))+_xlfn.XLOOKUP($B114,'2027 Avoided Costs'!$B$13:$B$47,'2027 Avoided Costs'!$E$13:$E$47))*IF($AE114&gt;0,$AE114*(1+0),0),0)</f>
        <v>2701175.6441482212</v>
      </c>
      <c r="BK114" s="293">
        <f t="shared" si="53"/>
        <v>2.2615626395694806</v>
      </c>
    </row>
    <row r="115" spans="1:63" s="56" customFormat="1" x14ac:dyDescent="0.25">
      <c r="A115" s="270" t="s">
        <v>133</v>
      </c>
      <c r="B115" s="271">
        <v>2028</v>
      </c>
      <c r="C115" s="272" t="s">
        <v>13</v>
      </c>
      <c r="D115" s="272" t="s">
        <v>165</v>
      </c>
      <c r="E115" s="272" t="s">
        <v>93</v>
      </c>
      <c r="F115" s="273">
        <v>12</v>
      </c>
      <c r="G115" s="274">
        <v>1522.5</v>
      </c>
      <c r="H115" s="275">
        <f t="shared" si="30"/>
        <v>0.18718622997848436</v>
      </c>
      <c r="I115" s="274">
        <v>0</v>
      </c>
      <c r="J115" s="276" t="s">
        <v>263</v>
      </c>
      <c r="K115" s="277">
        <f t="shared" si="54"/>
        <v>0.8</v>
      </c>
      <c r="L115" s="278">
        <v>0.2</v>
      </c>
      <c r="M115" s="278">
        <v>0</v>
      </c>
      <c r="N115" s="278">
        <v>1</v>
      </c>
      <c r="O115" s="279">
        <v>12</v>
      </c>
      <c r="P115" s="280">
        <v>8133.6111111111104</v>
      </c>
      <c r="Q115" s="281">
        <v>0</v>
      </c>
      <c r="R115" s="282">
        <v>0</v>
      </c>
      <c r="S115" s="282">
        <v>0</v>
      </c>
      <c r="T115" s="281">
        <v>1139.311049317778</v>
      </c>
      <c r="U115" s="283">
        <v>0.24</v>
      </c>
      <c r="V115" s="284">
        <v>3045</v>
      </c>
      <c r="W115" s="285">
        <v>0.15</v>
      </c>
      <c r="X115" s="286" t="s">
        <v>255</v>
      </c>
      <c r="Y115" s="287">
        <f t="shared" si="31"/>
        <v>12</v>
      </c>
      <c r="Z115" s="288">
        <f t="shared" si="32"/>
        <v>18270</v>
      </c>
      <c r="AA115" s="288">
        <f t="shared" si="33"/>
        <v>0</v>
      </c>
      <c r="AB115" s="288">
        <f t="shared" si="34"/>
        <v>18635.400000000001</v>
      </c>
      <c r="AC115" s="288">
        <f t="shared" si="55"/>
        <v>0</v>
      </c>
      <c r="AD115" s="287">
        <f t="shared" si="35"/>
        <v>97603.333333333328</v>
      </c>
      <c r="AE115" s="287">
        <f t="shared" si="36"/>
        <v>78082.666666666672</v>
      </c>
      <c r="AF115" s="287">
        <f t="shared" si="37"/>
        <v>1171240</v>
      </c>
      <c r="AG115" s="287">
        <f t="shared" si="38"/>
        <v>936992</v>
      </c>
      <c r="AH115" s="287">
        <f t="shared" si="39"/>
        <v>0</v>
      </c>
      <c r="AI115" s="287">
        <f t="shared" si="40"/>
        <v>0</v>
      </c>
      <c r="AJ115" s="287">
        <f t="shared" si="41"/>
        <v>13671.732591813336</v>
      </c>
      <c r="AK115" s="287">
        <f t="shared" si="42"/>
        <v>10937.386073450671</v>
      </c>
      <c r="AL115" s="287">
        <f t="shared" si="43"/>
        <v>0</v>
      </c>
      <c r="AM115" s="287">
        <f t="shared" si="44"/>
        <v>0</v>
      </c>
      <c r="AN115" s="287">
        <f t="shared" si="45"/>
        <v>0</v>
      </c>
      <c r="AO115" s="287">
        <f t="shared" si="46"/>
        <v>0</v>
      </c>
      <c r="AP115" s="287">
        <f t="shared" si="47"/>
        <v>36540</v>
      </c>
      <c r="AQ115" s="287">
        <f t="shared" si="48"/>
        <v>29232</v>
      </c>
      <c r="AR115" s="287">
        <f t="shared" si="49"/>
        <v>18739.84</v>
      </c>
      <c r="AS115" s="289" t="e">
        <f>IF(J115='2027 Avoided Costs'!#REF!,3,5)</f>
        <v>#REF!</v>
      </c>
      <c r="AT115" s="290" cm="1">
        <f t="array" ref="AT115">IFERROR(IF($J115="Baseload",IF($O115=1,0,NPV('2027 Avoided Costs'!$D$6,_xlfn._xlws.FILTER('2027 Avoided Costs'!$C$14:$C$47,('2027 Avoided Costs'!$B$14:$B$47&gt;=$B115+1)*('2027 Avoided Costs'!$B$14:$B$47&lt;$B115+ROUND($O115,0)))))+_xlfn.XLOOKUP($B115,'2027 Avoided Costs'!$B$13:$B$47,'2027 Avoided Costs'!$C$13:$C$47),IF($O115=1,0,NPV('2027 Avoided Costs'!$D$6,_xlfn._xlws.FILTER('2027 Avoided Costs'!$E$14:$E$47,('2027 Avoided Costs'!$B$14:$B$47&gt;=$B115+1)*('2027 Avoided Costs'!$B$14:$B$47&lt;$B115+ROUND($O115,0)))))+_xlfn.XLOOKUP($B115,'2027 Avoided Costs'!$B$13:$B$47,'2027 Avoided Costs'!$E$13:$E$47))*IF($AE115&gt;0,$AE115*(1+$W115),0),0)</f>
        <v>238085.94965457462</v>
      </c>
      <c r="AU115" s="290" cm="1">
        <f t="array" ref="AU115">IFERROR((IF($O115=1,0,NPV('2027 Avoided Costs'!$D$6,_xlfn._xlws.FILTER('2027 Avoided Costs'!$M$14:$M$47,('2027 Avoided Costs'!$B$14:$B$47&gt;=$B115+1)*('2027 Avoided Costs'!$B$14:$B$47&lt;$B115+ROUND($O115,0)))))+_xlfn.XLOOKUP($B115,'2027 Avoided Costs'!$B$13:$B$47,'2027 Avoided Costs'!$M$13:$M$47))*IF($AK115&gt;0,$AK115*(1+$W115),0),0)</f>
        <v>135005.68021689754</v>
      </c>
      <c r="AV115" s="291" cm="1">
        <f t="array" ref="AV115">IFERROR((IF($O115=1,0,NPV('2027 Avoided Costs'!$D$6,_xlfn._xlws.FILTER('2027 Avoided Costs'!$Q$14:$Q$47,('2027 Avoided Costs'!$B$14:$B$47&gt;=$B115+1)*('2027 Avoided Costs'!$B$14:$B$47&lt;$B115+ROUND($O115,0)))))+_xlfn.XLOOKUP($B115,'2027 Avoided Costs'!$B$13:$B$47,'2027 Avoided Costs'!$Q$13:$Q$47))*IF($AI115&gt;0,$AI115*(1+$W115),0),0)</f>
        <v>0</v>
      </c>
      <c r="AW115" s="291" cm="1">
        <f t="array" ref="AW115">IFERROR((IF($O115=1,0,NPV('2027 Avoided Costs'!$D$6,_xlfn._xlws.FILTER('2027 Avoided Costs'!$W$14:$W$47,('2027 Avoided Costs'!$B$14:$B$47&gt;=$B115+1)*('2027 Avoided Costs'!$B$14:$B$47&lt;$B115+ROUND($O115,0)))))+_xlfn.XLOOKUP($B115,'2027 Avoided Costs'!$B$13:$B$47,'2027 Avoided Costs'!$W$13:$W$47))*IF($AM115&gt;0,$AM115*(1+$W115),0),0)</f>
        <v>0</v>
      </c>
      <c r="AX115" s="291" cm="1">
        <f t="array" ref="AX115">IFERROR((IF($O115=1,0,NPV('2027 Avoided Costs'!$D$6,_xlfn._xlws.FILTER('2027 Avoided Costs'!$AC$14:$AC$47,('2027 Avoided Costs'!$B$14:$B$47&gt;=$B115+1)*('2027 Avoided Costs'!$B$14:$B$47&lt;$B115+ROUND($O115,0)))))+_xlfn.XLOOKUP($B115,'2027 Avoided Costs'!$B$13:$B$47,'2027 Avoided Costs'!$AC$13:$AC$47))*IF($AO115&gt;0,$AO115*(1+$W115),0),0)</f>
        <v>0</v>
      </c>
      <c r="AY115" s="291" cm="1">
        <f t="array" ref="AY115">IFERROR((IF($O115=1,0,NPV('2027 Avoided Costs'!$D$4,_xlfn._xlws.FILTER('2027 Avoided Costs'!$I$14:$I$47,('2027 Avoided Costs'!$B$14:$B$47&gt;=$B115+1)*('2027 Avoided Costs'!$B$14:$B$47&lt;$B115+ROUND($O115,0)))))+_xlfn.XLOOKUP($B115,'2027 Avoided Costs'!$B$13:$B$47,'2027 Avoided Costs'!$I$13:$I$47))*IF($X115="Residential",'2027 Avoided Costs'!$J$5,IF($X115="Large Volume",'2027 Avoided Costs'!$J$7,'2027 Avoided Costs'!$J$6))*IF($AE115&gt;0,$AE115,0),0)</f>
        <v>0</v>
      </c>
      <c r="AZ115" s="291" cm="1">
        <f t="array" ref="AZ115">IFERROR(IF($J115="Baseload",IF($O115=1,0,NPV('2027 Avoided Costs'!$D$6,_xlfn._xlws.FILTER('2027 Avoided Costs'!$C$14:$C$47,('2027 Avoided Costs'!$B$14:$B$47&gt;=$B115+1)*('2027 Avoided Costs'!$B$14:$B$47&lt;$B115+ROUND($O115,0)))))+_xlfn.XLOOKUP($B115,'2027 Avoided Costs'!$B$13:$B$47,'2027 Avoided Costs'!$C$13:$C$47),IF($O115=1,0,NPV('2027 Avoided Costs'!$D$6,_xlfn._xlws.FILTER('2027 Avoided Costs'!$E$14:$E$47,('2027 Avoided Costs'!$B$14:$B$47&gt;=$B115+1)*('2027 Avoided Costs'!$B$14:$B$47&lt;$B115+ROUND($O115,0)))))+_xlfn.XLOOKUP($B115,'2027 Avoided Costs'!$B$13:$B$47,'2027 Avoided Costs'!$E$13:$E$47))*IF($AE115&lt;0,$AE115*(-1),0),0)</f>
        <v>0</v>
      </c>
      <c r="BA115" s="291" cm="1">
        <f t="array" ref="BA115">IFERROR((IF($O115=1,0,NPV('2027 Avoided Costs'!$D$6,_xlfn._xlws.FILTER('2027 Avoided Costs'!$M$14:$M$47,('2027 Avoided Costs'!$B$14:$B$47&gt;=$B115+1)*('2027 Avoided Costs'!$B$14:$B$47&lt;$B115+ROUND($O115,0)))))+_xlfn.XLOOKUP($B115,'2027 Avoided Costs'!$B$13:$B$47,'2027 Avoided Costs'!$M$13:$M$47))*IF($AK115&lt;0,$AK115*(-1),0),0)</f>
        <v>0</v>
      </c>
      <c r="BB115" s="291" cm="1">
        <f t="array" ref="BB115">IFERROR((IF($O115=1,0,NPV('2027 Avoided Costs'!$D$6,_xlfn._xlws.FILTER('2027 Avoided Costs'!$S$14:$S$47,('2027 Avoided Costs'!$B$14:$B$47&gt;=$B115+1)*('2027 Avoided Costs'!$B$14:$B$47&lt;$B115+ROUND($O115,0)))))+_xlfn.XLOOKUP($B115,'2027 Avoided Costs'!$B$13:$B$47,'2027 Avoided Costs'!$S$13:$S$47))*IF($AI115&lt;0,$AI115*(-1),0),0)</f>
        <v>0</v>
      </c>
      <c r="BC115" s="291" cm="1">
        <f t="array" ref="BC115">IFERROR((IF($O115=1,0,NPV('2027 Avoided Costs'!$D$6,_xlfn._xlws.FILTER('2027 Avoided Costs'!$Y$14:$Y$47,('2027 Avoided Costs'!$B$14:$B$47&gt;=$B115+1)*('2027 Avoided Costs'!$B$14:$B$47&lt;$B115+ROUND($O115,0)))))+_xlfn.XLOOKUP($B115,'2027 Avoided Costs'!$B$13:$B$47,'2027 Avoided Costs'!$Y$13:$Y$47))*IF($AM115&lt;0,$AM115*(-1),0),0)</f>
        <v>0</v>
      </c>
      <c r="BD115" s="291" cm="1">
        <f t="array" ref="BD115">IFERROR((IF($O115=1,0,NPV('2027 Avoided Costs'!$D$6,_xlfn._xlws.FILTER('2027 Avoided Costs'!$AE$14:$AE$47,('2027 Avoided Costs'!$B$14:$B$47&gt;=$B115+1)*('2027 Avoided Costs'!$B$14:$B$47&lt;$B115+ROUND($O115,0)))))+_xlfn.XLOOKUP($B115,'2027 Avoided Costs'!$B$13:$B$47,'2027 Avoided Costs'!$AE$13:$AE$47))*IF($AO115&lt;0,$AO115*(-1),0),0)</f>
        <v>0</v>
      </c>
      <c r="BE115" s="291" cm="1">
        <f t="array" ref="BE115">IFERROR((IF($O115=1,0,NPV('2027 Avoided Costs'!$D$4,_xlfn._xlws.FILTER('2027 Avoided Costs'!$I$14:$I$47,('2027 Avoided Costs'!$B$14:$B$47&gt;=$B115+1)*('2027 Avoided Costs'!$B$14:$B$47&lt;$B115+ROUND($O115,0)))))+_xlfn.XLOOKUP($B115,'2027 Avoided Costs'!$B$13:$B$47,'2027 Avoided Costs'!$I$13:$I$47))*IF($X115="Residential",'2027 Avoided Costs'!$J$5,IF($X115="Large Volume",'2027 Avoided Costs'!$J$7,'2027 Avoided Costs'!$J$6))*IF($AE115&lt;0,$AE115*(-1),0),0)</f>
        <v>0</v>
      </c>
      <c r="BF115" s="291">
        <f t="shared" si="50"/>
        <v>373091.62987147213</v>
      </c>
      <c r="BG115" s="291">
        <f t="shared" si="51"/>
        <v>29232</v>
      </c>
      <c r="BH115" s="291">
        <f t="shared" si="52"/>
        <v>343859.62987147213</v>
      </c>
      <c r="BI115" s="292">
        <f t="shared" si="56"/>
        <v>12.763123627239741</v>
      </c>
      <c r="BJ115" s="196" cm="1">
        <f t="array" ref="BJ115">IFERROR(IF($J115="Baseload",IF($O115=1,0,NPV('2027 Avoided Costs'!$D$6,_xlfn._xlws.FILTER('2027 Avoided Costs'!$C$14:$C$47,('2027 Avoided Costs'!$B$14:$B$47&gt;=$B115+1)*('2027 Avoided Costs'!$B$14:$B$47&lt;$B115+ROUND($O115,0)))))+_xlfn.XLOOKUP($B115,'2027 Avoided Costs'!$B$13:$B$47,'2027 Avoided Costs'!$C$13:$C$47),IF($O115=1,0,NPV('2027 Avoided Costs'!$D$6,_xlfn._xlws.FILTER('2027 Avoided Costs'!$E$14:$E$47,('2027 Avoided Costs'!$B$14:$B$47&gt;=$B115+1)*('2027 Avoided Costs'!$B$14:$B$47&lt;$B115+ROUND($O115,0)))))+_xlfn.XLOOKUP($B115,'2027 Avoided Costs'!$B$13:$B$47,'2027 Avoided Costs'!$E$13:$E$47))*IF($AE115&gt;0,$AE115*(1+0),0),0)</f>
        <v>207031.26056919532</v>
      </c>
      <c r="BK115" s="293">
        <f t="shared" si="53"/>
        <v>11.10956891556904</v>
      </c>
    </row>
    <row r="116" spans="1:63" s="56" customFormat="1" x14ac:dyDescent="0.25">
      <c r="A116" s="270" t="s">
        <v>133</v>
      </c>
      <c r="B116" s="271">
        <v>2028</v>
      </c>
      <c r="C116" s="272" t="s">
        <v>13</v>
      </c>
      <c r="D116" s="272" t="s">
        <v>165</v>
      </c>
      <c r="E116" s="272" t="s">
        <v>91</v>
      </c>
      <c r="F116" s="273">
        <v>307</v>
      </c>
      <c r="G116" s="274">
        <v>600</v>
      </c>
      <c r="H116" s="275">
        <f t="shared" si="30"/>
        <v>0.62893081761006286</v>
      </c>
      <c r="I116" s="274">
        <v>0</v>
      </c>
      <c r="J116" s="276" t="s">
        <v>263</v>
      </c>
      <c r="K116" s="277">
        <f t="shared" si="54"/>
        <v>0.8</v>
      </c>
      <c r="L116" s="278">
        <v>0.2</v>
      </c>
      <c r="M116" s="278">
        <v>0</v>
      </c>
      <c r="N116" s="278">
        <v>1</v>
      </c>
      <c r="O116" s="279">
        <v>12</v>
      </c>
      <c r="P116" s="280">
        <v>954</v>
      </c>
      <c r="Q116" s="281">
        <v>44.2</v>
      </c>
      <c r="R116" s="282">
        <v>5.0456621004565747E-3</v>
      </c>
      <c r="S116" s="282">
        <v>5.0456621004566372E-3</v>
      </c>
      <c r="T116" s="281">
        <v>0</v>
      </c>
      <c r="U116" s="283">
        <v>0.24</v>
      </c>
      <c r="V116" s="284">
        <v>1200</v>
      </c>
      <c r="W116" s="285">
        <v>0.15</v>
      </c>
      <c r="X116" s="286" t="s">
        <v>255</v>
      </c>
      <c r="Y116" s="287">
        <f t="shared" si="31"/>
        <v>307</v>
      </c>
      <c r="Z116" s="288">
        <f t="shared" si="32"/>
        <v>184200</v>
      </c>
      <c r="AA116" s="288">
        <f t="shared" si="33"/>
        <v>0</v>
      </c>
      <c r="AB116" s="288">
        <f t="shared" si="34"/>
        <v>187884</v>
      </c>
      <c r="AC116" s="288">
        <f t="shared" si="55"/>
        <v>0</v>
      </c>
      <c r="AD116" s="287">
        <f t="shared" si="35"/>
        <v>292878</v>
      </c>
      <c r="AE116" s="287">
        <f t="shared" si="36"/>
        <v>234302.40000000002</v>
      </c>
      <c r="AF116" s="287">
        <f t="shared" si="37"/>
        <v>3514536</v>
      </c>
      <c r="AG116" s="287">
        <f t="shared" si="38"/>
        <v>2811628.8000000003</v>
      </c>
      <c r="AH116" s="287">
        <f t="shared" si="39"/>
        <v>14546.396800000002</v>
      </c>
      <c r="AI116" s="287">
        <f t="shared" si="40"/>
        <v>11637.117440000004</v>
      </c>
      <c r="AJ116" s="287">
        <f t="shared" si="41"/>
        <v>0</v>
      </c>
      <c r="AK116" s="287">
        <f t="shared" si="42"/>
        <v>0</v>
      </c>
      <c r="AL116" s="287">
        <f t="shared" si="43"/>
        <v>1.6605475799086606</v>
      </c>
      <c r="AM116" s="287">
        <f t="shared" si="44"/>
        <v>1.3284380639269289</v>
      </c>
      <c r="AN116" s="287">
        <f t="shared" si="45"/>
        <v>1.6605475799086811</v>
      </c>
      <c r="AO116" s="287">
        <f t="shared" si="46"/>
        <v>1.3284380639269451</v>
      </c>
      <c r="AP116" s="287">
        <f t="shared" si="47"/>
        <v>368400</v>
      </c>
      <c r="AQ116" s="287">
        <f t="shared" si="48"/>
        <v>294720</v>
      </c>
      <c r="AR116" s="287">
        <f t="shared" si="49"/>
        <v>56232.576000000001</v>
      </c>
      <c r="AS116" s="289" t="e">
        <f>IF(J116='2027 Avoided Costs'!#REF!,3,5)</f>
        <v>#REF!</v>
      </c>
      <c r="AT116" s="290" cm="1">
        <f t="array" ref="AT116">IFERROR(IF($J116="Baseload",IF($O116=1,0,NPV('2027 Avoided Costs'!$D$6,_xlfn._xlws.FILTER('2027 Avoided Costs'!$C$14:$C$47,('2027 Avoided Costs'!$B$14:$B$47&gt;=$B116+1)*('2027 Avoided Costs'!$B$14:$B$47&lt;$B116+ROUND($O116,0)))))+_xlfn.XLOOKUP($B116,'2027 Avoided Costs'!$B$13:$B$47,'2027 Avoided Costs'!$C$13:$C$47),IF($O116=1,0,NPV('2027 Avoided Costs'!$D$6,_xlfn._xlws.FILTER('2027 Avoided Costs'!$E$14:$E$47,('2027 Avoided Costs'!$B$14:$B$47&gt;=$B116+1)*('2027 Avoided Costs'!$B$14:$B$47&lt;$B116+ROUND($O116,0)))))+_xlfn.XLOOKUP($B116,'2027 Avoided Costs'!$B$13:$B$47,'2027 Avoided Costs'!$E$13:$E$47))*IF($AE116&gt;0,$AE116*(1+$W116),0),0)</f>
        <v>714423.72285371926</v>
      </c>
      <c r="AU116" s="290" cm="1">
        <f t="array" ref="AU116">IFERROR((IF($O116=1,0,NPV('2027 Avoided Costs'!$D$6,_xlfn._xlws.FILTER('2027 Avoided Costs'!$M$14:$M$47,('2027 Avoided Costs'!$B$14:$B$47&gt;=$B116+1)*('2027 Avoided Costs'!$B$14:$B$47&lt;$B116+ROUND($O116,0)))))+_xlfn.XLOOKUP($B116,'2027 Avoided Costs'!$B$13:$B$47,'2027 Avoided Costs'!$M$13:$M$47))*IF($AK116&gt;0,$AK116*(1+$W116),0),0)</f>
        <v>0</v>
      </c>
      <c r="AV116" s="291" cm="1">
        <f t="array" ref="AV116">IFERROR((IF($O116=1,0,NPV('2027 Avoided Costs'!$D$6,_xlfn._xlws.FILTER('2027 Avoided Costs'!$Q$14:$Q$47,('2027 Avoided Costs'!$B$14:$B$47&gt;=$B116+1)*('2027 Avoided Costs'!$B$14:$B$47&lt;$B116+ROUND($O116,0)))))+_xlfn.XLOOKUP($B116,'2027 Avoided Costs'!$B$13:$B$47,'2027 Avoided Costs'!$Q$13:$Q$47))*IF($AI116&gt;0,$AI116*(1+$W116),0),0)</f>
        <v>6463.6639976421538</v>
      </c>
      <c r="AW116" s="291" cm="1">
        <f t="array" ref="AW116">IFERROR((IF($O116=1,0,NPV('2027 Avoided Costs'!$D$6,_xlfn._xlws.FILTER('2027 Avoided Costs'!$W$14:$W$47,('2027 Avoided Costs'!$B$14:$B$47&gt;=$B116+1)*('2027 Avoided Costs'!$B$14:$B$47&lt;$B116+ROUND($O116,0)))))+_xlfn.XLOOKUP($B116,'2027 Avoided Costs'!$B$13:$B$47,'2027 Avoided Costs'!$W$13:$W$47))*IF($AM116&gt;0,$AM116*(1+$W116),0),0)</f>
        <v>4454.4295453752457</v>
      </c>
      <c r="AX116" s="291" cm="1">
        <f t="array" ref="AX116">IFERROR((IF($O116=1,0,NPV('2027 Avoided Costs'!$D$6,_xlfn._xlws.FILTER('2027 Avoided Costs'!$AC$14:$AC$47,('2027 Avoided Costs'!$B$14:$B$47&gt;=$B116+1)*('2027 Avoided Costs'!$B$14:$B$47&lt;$B116+ROUND($O116,0)))))+_xlfn.XLOOKUP($B116,'2027 Avoided Costs'!$B$13:$B$47,'2027 Avoided Costs'!$AC$13:$AC$47))*IF($AO116&gt;0,$AO116*(1+$W116),0),0)</f>
        <v>344.08915993520435</v>
      </c>
      <c r="AY116" s="291" cm="1">
        <f t="array" ref="AY116">IFERROR((IF($O116=1,0,NPV('2027 Avoided Costs'!$D$4,_xlfn._xlws.FILTER('2027 Avoided Costs'!$I$14:$I$47,('2027 Avoided Costs'!$B$14:$B$47&gt;=$B116+1)*('2027 Avoided Costs'!$B$14:$B$47&lt;$B116+ROUND($O116,0)))))+_xlfn.XLOOKUP($B116,'2027 Avoided Costs'!$B$13:$B$47,'2027 Avoided Costs'!$I$13:$I$47))*IF($X116="Residential",'2027 Avoided Costs'!$J$5,IF($X116="Large Volume",'2027 Avoided Costs'!$J$7,'2027 Avoided Costs'!$J$6))*IF($AE116&gt;0,$AE116,0),0)</f>
        <v>0</v>
      </c>
      <c r="AZ116" s="291" cm="1">
        <f t="array" ref="AZ116">IFERROR(IF($J116="Baseload",IF($O116=1,0,NPV('2027 Avoided Costs'!$D$6,_xlfn._xlws.FILTER('2027 Avoided Costs'!$C$14:$C$47,('2027 Avoided Costs'!$B$14:$B$47&gt;=$B116+1)*('2027 Avoided Costs'!$B$14:$B$47&lt;$B116+ROUND($O116,0)))))+_xlfn.XLOOKUP($B116,'2027 Avoided Costs'!$B$13:$B$47,'2027 Avoided Costs'!$C$13:$C$47),IF($O116=1,0,NPV('2027 Avoided Costs'!$D$6,_xlfn._xlws.FILTER('2027 Avoided Costs'!$E$14:$E$47,('2027 Avoided Costs'!$B$14:$B$47&gt;=$B116+1)*('2027 Avoided Costs'!$B$14:$B$47&lt;$B116+ROUND($O116,0)))))+_xlfn.XLOOKUP($B116,'2027 Avoided Costs'!$B$13:$B$47,'2027 Avoided Costs'!$E$13:$E$47))*IF($AE116&lt;0,$AE116*(-1),0),0)</f>
        <v>0</v>
      </c>
      <c r="BA116" s="291" cm="1">
        <f t="array" ref="BA116">IFERROR((IF($O116=1,0,NPV('2027 Avoided Costs'!$D$6,_xlfn._xlws.FILTER('2027 Avoided Costs'!$M$14:$M$47,('2027 Avoided Costs'!$B$14:$B$47&gt;=$B116+1)*('2027 Avoided Costs'!$B$14:$B$47&lt;$B116+ROUND($O116,0)))))+_xlfn.XLOOKUP($B116,'2027 Avoided Costs'!$B$13:$B$47,'2027 Avoided Costs'!$M$13:$M$47))*IF($AK116&lt;0,$AK116*(-1),0),0)</f>
        <v>0</v>
      </c>
      <c r="BB116" s="291" cm="1">
        <f t="array" ref="BB116">IFERROR((IF($O116=1,0,NPV('2027 Avoided Costs'!$D$6,_xlfn._xlws.FILTER('2027 Avoided Costs'!$S$14:$S$47,('2027 Avoided Costs'!$B$14:$B$47&gt;=$B116+1)*('2027 Avoided Costs'!$B$14:$B$47&lt;$B116+ROUND($O116,0)))))+_xlfn.XLOOKUP($B116,'2027 Avoided Costs'!$B$13:$B$47,'2027 Avoided Costs'!$S$13:$S$47))*IF($AI116&lt;0,$AI116*(-1),0),0)</f>
        <v>0</v>
      </c>
      <c r="BC116" s="291" cm="1">
        <f t="array" ref="BC116">IFERROR((IF($O116=1,0,NPV('2027 Avoided Costs'!$D$6,_xlfn._xlws.FILTER('2027 Avoided Costs'!$Y$14:$Y$47,('2027 Avoided Costs'!$B$14:$B$47&gt;=$B116+1)*('2027 Avoided Costs'!$B$14:$B$47&lt;$B116+ROUND($O116,0)))))+_xlfn.XLOOKUP($B116,'2027 Avoided Costs'!$B$13:$B$47,'2027 Avoided Costs'!$Y$13:$Y$47))*IF($AM116&lt;0,$AM116*(-1),0),0)</f>
        <v>0</v>
      </c>
      <c r="BD116" s="291" cm="1">
        <f t="array" ref="BD116">IFERROR((IF($O116=1,0,NPV('2027 Avoided Costs'!$D$6,_xlfn._xlws.FILTER('2027 Avoided Costs'!$AE$14:$AE$47,('2027 Avoided Costs'!$B$14:$B$47&gt;=$B116+1)*('2027 Avoided Costs'!$B$14:$B$47&lt;$B116+ROUND($O116,0)))))+_xlfn.XLOOKUP($B116,'2027 Avoided Costs'!$B$13:$B$47,'2027 Avoided Costs'!$AE$13:$AE$47))*IF($AO116&lt;0,$AO116*(-1),0),0)</f>
        <v>0</v>
      </c>
      <c r="BE116" s="291" cm="1">
        <f t="array" ref="BE116">IFERROR((IF($O116=1,0,NPV('2027 Avoided Costs'!$D$4,_xlfn._xlws.FILTER('2027 Avoided Costs'!$I$14:$I$47,('2027 Avoided Costs'!$B$14:$B$47&gt;=$B116+1)*('2027 Avoided Costs'!$B$14:$B$47&lt;$B116+ROUND($O116,0)))))+_xlfn.XLOOKUP($B116,'2027 Avoided Costs'!$B$13:$B$47,'2027 Avoided Costs'!$I$13:$I$47))*IF($X116="Residential",'2027 Avoided Costs'!$J$5,IF($X116="Large Volume",'2027 Avoided Costs'!$J$7,'2027 Avoided Costs'!$J$6))*IF($AE116&lt;0,$AE116*(-1),0),0)</f>
        <v>0</v>
      </c>
      <c r="BF116" s="291">
        <f t="shared" si="50"/>
        <v>725685.9055566719</v>
      </c>
      <c r="BG116" s="291">
        <f t="shared" si="51"/>
        <v>294720</v>
      </c>
      <c r="BH116" s="291">
        <f t="shared" si="52"/>
        <v>430965.9055566719</v>
      </c>
      <c r="BI116" s="292">
        <f t="shared" si="56"/>
        <v>2.4622893103850161</v>
      </c>
      <c r="BJ116" s="196" cm="1">
        <f t="array" ref="BJ116">IFERROR(IF($J116="Baseload",IF($O116=1,0,NPV('2027 Avoided Costs'!$D$6,_xlfn._xlws.FILTER('2027 Avoided Costs'!$C$14:$C$47,('2027 Avoided Costs'!$B$14:$B$47&gt;=$B116+1)*('2027 Avoided Costs'!$B$14:$B$47&lt;$B116+ROUND($O116,0)))))+_xlfn.XLOOKUP($B116,'2027 Avoided Costs'!$B$13:$B$47,'2027 Avoided Costs'!$C$13:$C$47),IF($O116=1,0,NPV('2027 Avoided Costs'!$D$6,_xlfn._xlws.FILTER('2027 Avoided Costs'!$E$14:$E$47,('2027 Avoided Costs'!$B$14:$B$47&gt;=$B116+1)*('2027 Avoided Costs'!$B$14:$B$47&lt;$B116+ROUND($O116,0)))))+_xlfn.XLOOKUP($B116,'2027 Avoided Costs'!$B$13:$B$47,'2027 Avoided Costs'!$E$13:$E$47))*IF($AE116&gt;0,$AE116*(1+0),0),0)</f>
        <v>621238.0198727994</v>
      </c>
      <c r="BK116" s="293">
        <f t="shared" si="53"/>
        <v>3.3064977319665294</v>
      </c>
    </row>
    <row r="117" spans="1:63" s="56" customFormat="1" x14ac:dyDescent="0.25">
      <c r="A117" s="270" t="s">
        <v>133</v>
      </c>
      <c r="B117" s="271">
        <v>2028</v>
      </c>
      <c r="C117" s="272" t="s">
        <v>13</v>
      </c>
      <c r="D117" s="272" t="s">
        <v>165</v>
      </c>
      <c r="E117" s="272" t="s">
        <v>285</v>
      </c>
      <c r="F117" s="273">
        <v>5</v>
      </c>
      <c r="G117" s="274">
        <v>772</v>
      </c>
      <c r="H117" s="275">
        <f t="shared" si="30"/>
        <v>1.0124590163934426</v>
      </c>
      <c r="I117" s="274">
        <v>0</v>
      </c>
      <c r="J117" s="276" t="s">
        <v>263</v>
      </c>
      <c r="K117" s="277">
        <f t="shared" si="54"/>
        <v>0.8</v>
      </c>
      <c r="L117" s="278">
        <v>0.2</v>
      </c>
      <c r="M117" s="278">
        <v>0</v>
      </c>
      <c r="N117" s="278">
        <v>1</v>
      </c>
      <c r="O117" s="279">
        <v>12</v>
      </c>
      <c r="P117" s="280">
        <v>762.5</v>
      </c>
      <c r="Q117" s="281">
        <v>826</v>
      </c>
      <c r="R117" s="282">
        <v>9.4292237442921506E-2</v>
      </c>
      <c r="S117" s="282">
        <v>9.4292237442922672E-2</v>
      </c>
      <c r="T117" s="281">
        <v>0</v>
      </c>
      <c r="U117" s="283">
        <v>0.24</v>
      </c>
      <c r="V117" s="284">
        <v>1544</v>
      </c>
      <c r="W117" s="285">
        <v>0.15</v>
      </c>
      <c r="X117" s="286" t="s">
        <v>255</v>
      </c>
      <c r="Y117" s="287">
        <f t="shared" si="31"/>
        <v>5</v>
      </c>
      <c r="Z117" s="288">
        <f t="shared" si="32"/>
        <v>3860</v>
      </c>
      <c r="AA117" s="288">
        <f t="shared" si="33"/>
        <v>0</v>
      </c>
      <c r="AB117" s="288">
        <f t="shared" si="34"/>
        <v>3937.2000000000003</v>
      </c>
      <c r="AC117" s="288">
        <f t="shared" si="55"/>
        <v>0</v>
      </c>
      <c r="AD117" s="287">
        <f t="shared" si="35"/>
        <v>3812.5</v>
      </c>
      <c r="AE117" s="287">
        <f t="shared" si="36"/>
        <v>3050</v>
      </c>
      <c r="AF117" s="287">
        <f t="shared" si="37"/>
        <v>45750</v>
      </c>
      <c r="AG117" s="287">
        <f t="shared" si="38"/>
        <v>36600</v>
      </c>
      <c r="AH117" s="287">
        <f t="shared" si="39"/>
        <v>4427.3600000000006</v>
      </c>
      <c r="AI117" s="287">
        <f t="shared" si="40"/>
        <v>3541.8880000000008</v>
      </c>
      <c r="AJ117" s="287">
        <f t="shared" si="41"/>
        <v>0</v>
      </c>
      <c r="AK117" s="287">
        <f t="shared" si="42"/>
        <v>0</v>
      </c>
      <c r="AL117" s="287">
        <f t="shared" si="43"/>
        <v>0.50540639269405929</v>
      </c>
      <c r="AM117" s="287">
        <f t="shared" si="44"/>
        <v>0.40432511415524747</v>
      </c>
      <c r="AN117" s="287">
        <f t="shared" si="45"/>
        <v>0.50540639269406562</v>
      </c>
      <c r="AO117" s="287">
        <f t="shared" si="46"/>
        <v>0.40432511415525246</v>
      </c>
      <c r="AP117" s="287">
        <f t="shared" si="47"/>
        <v>7720</v>
      </c>
      <c r="AQ117" s="287">
        <f t="shared" si="48"/>
        <v>6176</v>
      </c>
      <c r="AR117" s="287">
        <f t="shared" si="49"/>
        <v>732</v>
      </c>
      <c r="AS117" s="289" t="e">
        <f>IF(J117='2027 Avoided Costs'!#REF!,3,5)</f>
        <v>#REF!</v>
      </c>
      <c r="AT117" s="290" cm="1">
        <f t="array" ref="AT117">IFERROR(IF($J117="Baseload",IF($O117=1,0,NPV('2027 Avoided Costs'!$D$6,_xlfn._xlws.FILTER('2027 Avoided Costs'!$C$14:$C$47,('2027 Avoided Costs'!$B$14:$B$47&gt;=$B117+1)*('2027 Avoided Costs'!$B$14:$B$47&lt;$B117+ROUND($O117,0)))))+_xlfn.XLOOKUP($B117,'2027 Avoided Costs'!$B$13:$B$47,'2027 Avoided Costs'!$C$13:$C$47),IF($O117=1,0,NPV('2027 Avoided Costs'!$D$6,_xlfn._xlws.FILTER('2027 Avoided Costs'!$E$14:$E$47,('2027 Avoided Costs'!$B$14:$B$47&gt;=$B117+1)*('2027 Avoided Costs'!$B$14:$B$47&lt;$B117+ROUND($O117,0)))))+_xlfn.XLOOKUP($B117,'2027 Avoided Costs'!$B$13:$B$47,'2027 Avoided Costs'!$E$13:$E$47))*IF($AE117&gt;0,$AE117*(1+$W117),0),0)</f>
        <v>9299.9147883412352</v>
      </c>
      <c r="AU117" s="290" cm="1">
        <f t="array" ref="AU117">IFERROR((IF($O117=1,0,NPV('2027 Avoided Costs'!$D$6,_xlfn._xlws.FILTER('2027 Avoided Costs'!$M$14:$M$47,('2027 Avoided Costs'!$B$14:$B$47&gt;=$B117+1)*('2027 Avoided Costs'!$B$14:$B$47&lt;$B117+ROUND($O117,0)))))+_xlfn.XLOOKUP($B117,'2027 Avoided Costs'!$B$13:$B$47,'2027 Avoided Costs'!$M$13:$M$47))*IF($AK117&gt;0,$AK117*(1+$W117),0),0)</f>
        <v>0</v>
      </c>
      <c r="AV117" s="291" cm="1">
        <f t="array" ref="AV117">IFERROR((IF($O117=1,0,NPV('2027 Avoided Costs'!$D$6,_xlfn._xlws.FILTER('2027 Avoided Costs'!$Q$14:$Q$47,('2027 Avoided Costs'!$B$14:$B$47&gt;=$B117+1)*('2027 Avoided Costs'!$B$14:$B$47&lt;$B117+ROUND($O117,0)))))+_xlfn.XLOOKUP($B117,'2027 Avoided Costs'!$B$13:$B$47,'2027 Avoided Costs'!$Q$13:$Q$47))*IF($AI117&gt;0,$AI117*(1+$W117),0),0)</f>
        <v>1967.2890702803436</v>
      </c>
      <c r="AW117" s="291" cm="1">
        <f t="array" ref="AW117">IFERROR((IF($O117=1,0,NPV('2027 Avoided Costs'!$D$6,_xlfn._xlws.FILTER('2027 Avoided Costs'!$W$14:$W$47,('2027 Avoided Costs'!$B$14:$B$47&gt;=$B117+1)*('2027 Avoided Costs'!$B$14:$B$47&lt;$B117+ROUND($O117,0)))))+_xlfn.XLOOKUP($B117,'2027 Avoided Costs'!$B$13:$B$47,'2027 Avoided Costs'!$W$13:$W$47))*IF($AM117&gt;0,$AM117*(1+$W117),0),0)</f>
        <v>1355.7558935840761</v>
      </c>
      <c r="AX117" s="291" cm="1">
        <f t="array" ref="AX117">IFERROR((IF($O117=1,0,NPV('2027 Avoided Costs'!$D$6,_xlfn._xlws.FILTER('2027 Avoided Costs'!$AC$14:$AC$47,('2027 Avoided Costs'!$B$14:$B$47&gt;=$B117+1)*('2027 Avoided Costs'!$B$14:$B$47&lt;$B117+ROUND($O117,0)))))+_xlfn.XLOOKUP($B117,'2027 Avoided Costs'!$B$13:$B$47,'2027 Avoided Costs'!$AC$13:$AC$47))*IF($AO117&gt;0,$AO117*(1+$W117),0),0)</f>
        <v>104.72741834807684</v>
      </c>
      <c r="AY117" s="291" cm="1">
        <f t="array" ref="AY117">IFERROR((IF($O117=1,0,NPV('2027 Avoided Costs'!$D$4,_xlfn._xlws.FILTER('2027 Avoided Costs'!$I$14:$I$47,('2027 Avoided Costs'!$B$14:$B$47&gt;=$B117+1)*('2027 Avoided Costs'!$B$14:$B$47&lt;$B117+ROUND($O117,0)))))+_xlfn.XLOOKUP($B117,'2027 Avoided Costs'!$B$13:$B$47,'2027 Avoided Costs'!$I$13:$I$47))*IF($X117="Residential",'2027 Avoided Costs'!$J$5,IF($X117="Large Volume",'2027 Avoided Costs'!$J$7,'2027 Avoided Costs'!$J$6))*IF($AE117&gt;0,$AE117,0),0)</f>
        <v>0</v>
      </c>
      <c r="AZ117" s="291" cm="1">
        <f t="array" ref="AZ117">IFERROR(IF($J117="Baseload",IF($O117=1,0,NPV('2027 Avoided Costs'!$D$6,_xlfn._xlws.FILTER('2027 Avoided Costs'!$C$14:$C$47,('2027 Avoided Costs'!$B$14:$B$47&gt;=$B117+1)*('2027 Avoided Costs'!$B$14:$B$47&lt;$B117+ROUND($O117,0)))))+_xlfn.XLOOKUP($B117,'2027 Avoided Costs'!$B$13:$B$47,'2027 Avoided Costs'!$C$13:$C$47),IF($O117=1,0,NPV('2027 Avoided Costs'!$D$6,_xlfn._xlws.FILTER('2027 Avoided Costs'!$E$14:$E$47,('2027 Avoided Costs'!$B$14:$B$47&gt;=$B117+1)*('2027 Avoided Costs'!$B$14:$B$47&lt;$B117+ROUND($O117,0)))))+_xlfn.XLOOKUP($B117,'2027 Avoided Costs'!$B$13:$B$47,'2027 Avoided Costs'!$E$13:$E$47))*IF($AE117&lt;0,$AE117*(-1),0),0)</f>
        <v>0</v>
      </c>
      <c r="BA117" s="291" cm="1">
        <f t="array" ref="BA117">IFERROR((IF($O117=1,0,NPV('2027 Avoided Costs'!$D$6,_xlfn._xlws.FILTER('2027 Avoided Costs'!$M$14:$M$47,('2027 Avoided Costs'!$B$14:$B$47&gt;=$B117+1)*('2027 Avoided Costs'!$B$14:$B$47&lt;$B117+ROUND($O117,0)))))+_xlfn.XLOOKUP($B117,'2027 Avoided Costs'!$B$13:$B$47,'2027 Avoided Costs'!$M$13:$M$47))*IF($AK117&lt;0,$AK117*(-1),0),0)</f>
        <v>0</v>
      </c>
      <c r="BB117" s="291" cm="1">
        <f t="array" ref="BB117">IFERROR((IF($O117=1,0,NPV('2027 Avoided Costs'!$D$6,_xlfn._xlws.FILTER('2027 Avoided Costs'!$S$14:$S$47,('2027 Avoided Costs'!$B$14:$B$47&gt;=$B117+1)*('2027 Avoided Costs'!$B$14:$B$47&lt;$B117+ROUND($O117,0)))))+_xlfn.XLOOKUP($B117,'2027 Avoided Costs'!$B$13:$B$47,'2027 Avoided Costs'!$S$13:$S$47))*IF($AI117&lt;0,$AI117*(-1),0),0)</f>
        <v>0</v>
      </c>
      <c r="BC117" s="291" cm="1">
        <f t="array" ref="BC117">IFERROR((IF($O117=1,0,NPV('2027 Avoided Costs'!$D$6,_xlfn._xlws.FILTER('2027 Avoided Costs'!$Y$14:$Y$47,('2027 Avoided Costs'!$B$14:$B$47&gt;=$B117+1)*('2027 Avoided Costs'!$B$14:$B$47&lt;$B117+ROUND($O117,0)))))+_xlfn.XLOOKUP($B117,'2027 Avoided Costs'!$B$13:$B$47,'2027 Avoided Costs'!$Y$13:$Y$47))*IF($AM117&lt;0,$AM117*(-1),0),0)</f>
        <v>0</v>
      </c>
      <c r="BD117" s="291" cm="1">
        <f t="array" ref="BD117">IFERROR((IF($O117=1,0,NPV('2027 Avoided Costs'!$D$6,_xlfn._xlws.FILTER('2027 Avoided Costs'!$AE$14:$AE$47,('2027 Avoided Costs'!$B$14:$B$47&gt;=$B117+1)*('2027 Avoided Costs'!$B$14:$B$47&lt;$B117+ROUND($O117,0)))))+_xlfn.XLOOKUP($B117,'2027 Avoided Costs'!$B$13:$B$47,'2027 Avoided Costs'!$AE$13:$AE$47))*IF($AO117&lt;0,$AO117*(-1),0),0)</f>
        <v>0</v>
      </c>
      <c r="BE117" s="291" cm="1">
        <f t="array" ref="BE117">IFERROR((IF($O117=1,0,NPV('2027 Avoided Costs'!$D$4,_xlfn._xlws.FILTER('2027 Avoided Costs'!$I$14:$I$47,('2027 Avoided Costs'!$B$14:$B$47&gt;=$B117+1)*('2027 Avoided Costs'!$B$14:$B$47&lt;$B117+ROUND($O117,0)))))+_xlfn.XLOOKUP($B117,'2027 Avoided Costs'!$B$13:$B$47,'2027 Avoided Costs'!$I$13:$I$47))*IF($X117="Residential",'2027 Avoided Costs'!$J$5,IF($X117="Large Volume",'2027 Avoided Costs'!$J$7,'2027 Avoided Costs'!$J$6))*IF($AE117&lt;0,$AE117*(-1),0),0)</f>
        <v>0</v>
      </c>
      <c r="BF117" s="291">
        <f t="shared" si="50"/>
        <v>12727.687170553731</v>
      </c>
      <c r="BG117" s="291">
        <f t="shared" si="51"/>
        <v>6176</v>
      </c>
      <c r="BH117" s="291">
        <f t="shared" si="52"/>
        <v>6551.6871705537305</v>
      </c>
      <c r="BI117" s="292">
        <f t="shared" si="56"/>
        <v>2.0608301765792958</v>
      </c>
      <c r="BJ117" s="196" cm="1">
        <f t="array" ref="BJ117">IFERROR(IF($J117="Baseload",IF($O117=1,0,NPV('2027 Avoided Costs'!$D$6,_xlfn._xlws.FILTER('2027 Avoided Costs'!$C$14:$C$47,('2027 Avoided Costs'!$B$14:$B$47&gt;=$B117+1)*('2027 Avoided Costs'!$B$14:$B$47&lt;$B117+ROUND($O117,0)))))+_xlfn.XLOOKUP($B117,'2027 Avoided Costs'!$B$13:$B$47,'2027 Avoided Costs'!$C$13:$C$47),IF($O117=1,0,NPV('2027 Avoided Costs'!$D$6,_xlfn._xlws.FILTER('2027 Avoided Costs'!$E$14:$E$47,('2027 Avoided Costs'!$B$14:$B$47&gt;=$B117+1)*('2027 Avoided Costs'!$B$14:$B$47&lt;$B117+ROUND($O117,0)))))+_xlfn.XLOOKUP($B117,'2027 Avoided Costs'!$B$13:$B$47,'2027 Avoided Costs'!$E$13:$E$47))*IF($AE117&gt;0,$AE117*(1+0),0),0)</f>
        <v>8086.8824246445529</v>
      </c>
      <c r="BK117" s="293">
        <f t="shared" si="53"/>
        <v>2.0539679022260877</v>
      </c>
    </row>
    <row r="118" spans="1:63" s="56" customFormat="1" x14ac:dyDescent="0.25">
      <c r="A118" s="270" t="s">
        <v>133</v>
      </c>
      <c r="B118" s="271">
        <v>2028</v>
      </c>
      <c r="C118" s="272" t="s">
        <v>13</v>
      </c>
      <c r="D118" s="272" t="s">
        <v>165</v>
      </c>
      <c r="E118" s="272" t="s">
        <v>286</v>
      </c>
      <c r="F118" s="273">
        <v>91</v>
      </c>
      <c r="G118" s="274">
        <v>1295.5</v>
      </c>
      <c r="H118" s="275">
        <f t="shared" si="30"/>
        <v>1.0833818573764806</v>
      </c>
      <c r="I118" s="274">
        <v>0</v>
      </c>
      <c r="J118" s="276" t="s">
        <v>263</v>
      </c>
      <c r="K118" s="277">
        <f t="shared" si="54"/>
        <v>0.8</v>
      </c>
      <c r="L118" s="278">
        <v>0.2</v>
      </c>
      <c r="M118" s="278">
        <v>0</v>
      </c>
      <c r="N118" s="278">
        <v>1</v>
      </c>
      <c r="O118" s="279">
        <v>12</v>
      </c>
      <c r="P118" s="280">
        <v>1195.7925925925924</v>
      </c>
      <c r="Q118" s="281">
        <v>1858</v>
      </c>
      <c r="R118" s="282">
        <v>0.21210045662100263</v>
      </c>
      <c r="S118" s="282">
        <v>0.21210045662100524</v>
      </c>
      <c r="T118" s="281">
        <v>0</v>
      </c>
      <c r="U118" s="283">
        <v>0.24</v>
      </c>
      <c r="V118" s="284">
        <v>2591</v>
      </c>
      <c r="W118" s="285">
        <v>0.15</v>
      </c>
      <c r="X118" s="286" t="s">
        <v>255</v>
      </c>
      <c r="Y118" s="287">
        <f t="shared" si="31"/>
        <v>91</v>
      </c>
      <c r="Z118" s="288">
        <f t="shared" si="32"/>
        <v>117890.5</v>
      </c>
      <c r="AA118" s="288">
        <f t="shared" si="33"/>
        <v>0</v>
      </c>
      <c r="AB118" s="288">
        <f t="shared" si="34"/>
        <v>120248.31</v>
      </c>
      <c r="AC118" s="288">
        <f t="shared" si="55"/>
        <v>0</v>
      </c>
      <c r="AD118" s="287">
        <f t="shared" si="35"/>
        <v>108817.12592592591</v>
      </c>
      <c r="AE118" s="287">
        <f t="shared" si="36"/>
        <v>87053.700740740736</v>
      </c>
      <c r="AF118" s="287">
        <f t="shared" si="37"/>
        <v>1305805.5111111109</v>
      </c>
      <c r="AG118" s="287">
        <f t="shared" si="38"/>
        <v>1044644.4088888888</v>
      </c>
      <c r="AH118" s="287">
        <f t="shared" si="39"/>
        <v>181251.61600000001</v>
      </c>
      <c r="AI118" s="287">
        <f t="shared" si="40"/>
        <v>145001.2928</v>
      </c>
      <c r="AJ118" s="287">
        <f t="shared" si="41"/>
        <v>0</v>
      </c>
      <c r="AK118" s="287">
        <f t="shared" si="42"/>
        <v>0</v>
      </c>
      <c r="AL118" s="287">
        <f t="shared" si="43"/>
        <v>20.69082374429205</v>
      </c>
      <c r="AM118" s="287">
        <f t="shared" si="44"/>
        <v>16.552658995433642</v>
      </c>
      <c r="AN118" s="287">
        <f t="shared" si="45"/>
        <v>20.690823744292306</v>
      </c>
      <c r="AO118" s="287">
        <f t="shared" si="46"/>
        <v>16.552658995433841</v>
      </c>
      <c r="AP118" s="287">
        <f t="shared" si="47"/>
        <v>235781</v>
      </c>
      <c r="AQ118" s="287">
        <f t="shared" si="48"/>
        <v>188624.80000000002</v>
      </c>
      <c r="AR118" s="287">
        <f t="shared" si="49"/>
        <v>20892.888177777775</v>
      </c>
      <c r="AS118" s="289" t="e">
        <f>IF(J118='2027 Avoided Costs'!#REF!,3,5)</f>
        <v>#REF!</v>
      </c>
      <c r="AT118" s="290" cm="1">
        <f t="array" ref="AT118">IFERROR(IF($J118="Baseload",IF($O118=1,0,NPV('2027 Avoided Costs'!$D$6,_xlfn._xlws.FILTER('2027 Avoided Costs'!$C$14:$C$47,('2027 Avoided Costs'!$B$14:$B$47&gt;=$B118+1)*('2027 Avoided Costs'!$B$14:$B$47&lt;$B118+ROUND($O118,0)))))+_xlfn.XLOOKUP($B118,'2027 Avoided Costs'!$B$13:$B$47,'2027 Avoided Costs'!$C$13:$C$47),IF($O118=1,0,NPV('2027 Avoided Costs'!$D$6,_xlfn._xlws.FILTER('2027 Avoided Costs'!$E$14:$E$47,('2027 Avoided Costs'!$B$14:$B$47&gt;=$B118+1)*('2027 Avoided Costs'!$B$14:$B$47&lt;$B118+ROUND($O118,0)))))+_xlfn.XLOOKUP($B118,'2027 Avoided Costs'!$B$13:$B$47,'2027 Avoided Costs'!$E$13:$E$47))*IF($AE118&gt;0,$AE118*(1+$W118),0),0)</f>
        <v>265439.99963890068</v>
      </c>
      <c r="AU118" s="290" cm="1">
        <f t="array" ref="AU118">IFERROR((IF($O118=1,0,NPV('2027 Avoided Costs'!$D$6,_xlfn._xlws.FILTER('2027 Avoided Costs'!$M$14:$M$47,('2027 Avoided Costs'!$B$14:$B$47&gt;=$B118+1)*('2027 Avoided Costs'!$B$14:$B$47&lt;$B118+ROUND($O118,0)))))+_xlfn.XLOOKUP($B118,'2027 Avoided Costs'!$B$13:$B$47,'2027 Avoided Costs'!$M$13:$M$47))*IF($AK118&gt;0,$AK118*(1+$W118),0),0)</f>
        <v>0</v>
      </c>
      <c r="AV118" s="291" cm="1">
        <f t="array" ref="AV118">IFERROR((IF($O118=1,0,NPV('2027 Avoided Costs'!$D$6,_xlfn._xlws.FILTER('2027 Avoided Costs'!$Q$14:$Q$47,('2027 Avoided Costs'!$B$14:$B$47&gt;=$B118+1)*('2027 Avoided Costs'!$B$14:$B$47&lt;$B118+ROUND($O118,0)))))+_xlfn.XLOOKUP($B118,'2027 Avoided Costs'!$B$13:$B$47,'2027 Avoided Costs'!$Q$13:$Q$47))*IF($AI118&gt;0,$AI118*(1+$W118),0),0)</f>
        <v>80538.813904324415</v>
      </c>
      <c r="AW118" s="291" cm="1">
        <f t="array" ref="AW118">IFERROR((IF($O118=1,0,NPV('2027 Avoided Costs'!$D$6,_xlfn._xlws.FILTER('2027 Avoided Costs'!$W$14:$W$47,('2027 Avoided Costs'!$B$14:$B$47&gt;=$B118+1)*('2027 Avoided Costs'!$B$14:$B$47&lt;$B118+ROUND($O118,0)))))+_xlfn.XLOOKUP($B118,'2027 Avoided Costs'!$B$13:$B$47,'2027 Avoided Costs'!$W$13:$W$47))*IF($AM118&gt;0,$AM118*(1+$W118),0),0)</f>
        <v>55503.267548525051</v>
      </c>
      <c r="AX118" s="291" cm="1">
        <f t="array" ref="AX118">IFERROR((IF($O118=1,0,NPV('2027 Avoided Costs'!$D$6,_xlfn._xlws.FILTER('2027 Avoided Costs'!$AC$14:$AC$47,('2027 Avoided Costs'!$B$14:$B$47&gt;=$B118+1)*('2027 Avoided Costs'!$B$14:$B$47&lt;$B118+ROUND($O118,0)))))+_xlfn.XLOOKUP($B118,'2027 Avoided Costs'!$B$13:$B$47,'2027 Avoided Costs'!$AC$13:$AC$47))*IF($AO118&gt;0,$AO118*(1+$W118),0),0)</f>
        <v>4287.4340047109281</v>
      </c>
      <c r="AY118" s="291" cm="1">
        <f t="array" ref="AY118">IFERROR((IF($O118=1,0,NPV('2027 Avoided Costs'!$D$4,_xlfn._xlws.FILTER('2027 Avoided Costs'!$I$14:$I$47,('2027 Avoided Costs'!$B$14:$B$47&gt;=$B118+1)*('2027 Avoided Costs'!$B$14:$B$47&lt;$B118+ROUND($O118,0)))))+_xlfn.XLOOKUP($B118,'2027 Avoided Costs'!$B$13:$B$47,'2027 Avoided Costs'!$I$13:$I$47))*IF($X118="Residential",'2027 Avoided Costs'!$J$5,IF($X118="Large Volume",'2027 Avoided Costs'!$J$7,'2027 Avoided Costs'!$J$6))*IF($AE118&gt;0,$AE118,0),0)</f>
        <v>0</v>
      </c>
      <c r="AZ118" s="291" cm="1">
        <f t="array" ref="AZ118">IFERROR(IF($J118="Baseload",IF($O118=1,0,NPV('2027 Avoided Costs'!$D$6,_xlfn._xlws.FILTER('2027 Avoided Costs'!$C$14:$C$47,('2027 Avoided Costs'!$B$14:$B$47&gt;=$B118+1)*('2027 Avoided Costs'!$B$14:$B$47&lt;$B118+ROUND($O118,0)))))+_xlfn.XLOOKUP($B118,'2027 Avoided Costs'!$B$13:$B$47,'2027 Avoided Costs'!$C$13:$C$47),IF($O118=1,0,NPV('2027 Avoided Costs'!$D$6,_xlfn._xlws.FILTER('2027 Avoided Costs'!$E$14:$E$47,('2027 Avoided Costs'!$B$14:$B$47&gt;=$B118+1)*('2027 Avoided Costs'!$B$14:$B$47&lt;$B118+ROUND($O118,0)))))+_xlfn.XLOOKUP($B118,'2027 Avoided Costs'!$B$13:$B$47,'2027 Avoided Costs'!$E$13:$E$47))*IF($AE118&lt;0,$AE118*(-1),0),0)</f>
        <v>0</v>
      </c>
      <c r="BA118" s="291" cm="1">
        <f t="array" ref="BA118">IFERROR((IF($O118=1,0,NPV('2027 Avoided Costs'!$D$6,_xlfn._xlws.FILTER('2027 Avoided Costs'!$M$14:$M$47,('2027 Avoided Costs'!$B$14:$B$47&gt;=$B118+1)*('2027 Avoided Costs'!$B$14:$B$47&lt;$B118+ROUND($O118,0)))))+_xlfn.XLOOKUP($B118,'2027 Avoided Costs'!$B$13:$B$47,'2027 Avoided Costs'!$M$13:$M$47))*IF($AK118&lt;0,$AK118*(-1),0),0)</f>
        <v>0</v>
      </c>
      <c r="BB118" s="291" cm="1">
        <f t="array" ref="BB118">IFERROR((IF($O118=1,0,NPV('2027 Avoided Costs'!$D$6,_xlfn._xlws.FILTER('2027 Avoided Costs'!$S$14:$S$47,('2027 Avoided Costs'!$B$14:$B$47&gt;=$B118+1)*('2027 Avoided Costs'!$B$14:$B$47&lt;$B118+ROUND($O118,0)))))+_xlfn.XLOOKUP($B118,'2027 Avoided Costs'!$B$13:$B$47,'2027 Avoided Costs'!$S$13:$S$47))*IF($AI118&lt;0,$AI118*(-1),0),0)</f>
        <v>0</v>
      </c>
      <c r="BC118" s="291" cm="1">
        <f t="array" ref="BC118">IFERROR((IF($O118=1,0,NPV('2027 Avoided Costs'!$D$6,_xlfn._xlws.FILTER('2027 Avoided Costs'!$Y$14:$Y$47,('2027 Avoided Costs'!$B$14:$B$47&gt;=$B118+1)*('2027 Avoided Costs'!$B$14:$B$47&lt;$B118+ROUND($O118,0)))))+_xlfn.XLOOKUP($B118,'2027 Avoided Costs'!$B$13:$B$47,'2027 Avoided Costs'!$Y$13:$Y$47))*IF($AM118&lt;0,$AM118*(-1),0),0)</f>
        <v>0</v>
      </c>
      <c r="BD118" s="291" cm="1">
        <f t="array" ref="BD118">IFERROR((IF($O118=1,0,NPV('2027 Avoided Costs'!$D$6,_xlfn._xlws.FILTER('2027 Avoided Costs'!$AE$14:$AE$47,('2027 Avoided Costs'!$B$14:$B$47&gt;=$B118+1)*('2027 Avoided Costs'!$B$14:$B$47&lt;$B118+ROUND($O118,0)))))+_xlfn.XLOOKUP($B118,'2027 Avoided Costs'!$B$13:$B$47,'2027 Avoided Costs'!$AE$13:$AE$47))*IF($AO118&lt;0,$AO118*(-1),0),0)</f>
        <v>0</v>
      </c>
      <c r="BE118" s="291" cm="1">
        <f t="array" ref="BE118">IFERROR((IF($O118=1,0,NPV('2027 Avoided Costs'!$D$4,_xlfn._xlws.FILTER('2027 Avoided Costs'!$I$14:$I$47,('2027 Avoided Costs'!$B$14:$B$47&gt;=$B118+1)*('2027 Avoided Costs'!$B$14:$B$47&lt;$B118+ROUND($O118,0)))))+_xlfn.XLOOKUP($B118,'2027 Avoided Costs'!$B$13:$B$47,'2027 Avoided Costs'!$I$13:$I$47))*IF($X118="Residential",'2027 Avoided Costs'!$J$5,IF($X118="Large Volume",'2027 Avoided Costs'!$J$7,'2027 Avoided Costs'!$J$6))*IF($AE118&lt;0,$AE118*(-1),0),0)</f>
        <v>0</v>
      </c>
      <c r="BF118" s="291">
        <f t="shared" si="50"/>
        <v>405769.51509646111</v>
      </c>
      <c r="BG118" s="291">
        <f t="shared" si="51"/>
        <v>188624.80000000002</v>
      </c>
      <c r="BH118" s="291">
        <f t="shared" si="52"/>
        <v>217144.71509646109</v>
      </c>
      <c r="BI118" s="292">
        <f t="shared" si="56"/>
        <v>2.1511991800466381</v>
      </c>
      <c r="BJ118" s="196" cm="1">
        <f t="array" ref="BJ118">IFERROR(IF($J118="Baseload",IF($O118=1,0,NPV('2027 Avoided Costs'!$D$6,_xlfn._xlws.FILTER('2027 Avoided Costs'!$C$14:$C$47,('2027 Avoided Costs'!$B$14:$B$47&gt;=$B118+1)*('2027 Avoided Costs'!$B$14:$B$47&lt;$B118+ROUND($O118,0)))))+_xlfn.XLOOKUP($B118,'2027 Avoided Costs'!$B$13:$B$47,'2027 Avoided Costs'!$C$13:$C$47),IF($O118=1,0,NPV('2027 Avoided Costs'!$D$6,_xlfn._xlws.FILTER('2027 Avoided Costs'!$E$14:$E$47,('2027 Avoided Costs'!$B$14:$B$47&gt;=$B118+1)*('2027 Avoided Costs'!$B$14:$B$47&lt;$B118+ROUND($O118,0)))))+_xlfn.XLOOKUP($B118,'2027 Avoided Costs'!$B$13:$B$47,'2027 Avoided Costs'!$E$13:$E$47))*IF($AE118&gt;0,$AE118*(1+0),0),0)</f>
        <v>230817.39099034845</v>
      </c>
      <c r="BK118" s="293">
        <f t="shared" si="53"/>
        <v>1.9195063198006563</v>
      </c>
    </row>
    <row r="119" spans="1:63" s="56" customFormat="1" x14ac:dyDescent="0.25">
      <c r="A119" s="270" t="s">
        <v>133</v>
      </c>
      <c r="B119" s="271">
        <v>2028</v>
      </c>
      <c r="C119" s="272" t="s">
        <v>13</v>
      </c>
      <c r="D119" s="272" t="s">
        <v>165</v>
      </c>
      <c r="E119" s="272" t="s">
        <v>259</v>
      </c>
      <c r="F119" s="273">
        <v>1</v>
      </c>
      <c r="G119" s="274">
        <v>2506.98</v>
      </c>
      <c r="H119" s="275">
        <f t="shared" si="30"/>
        <v>1.27</v>
      </c>
      <c r="I119" s="274">
        <v>0</v>
      </c>
      <c r="J119" s="276" t="s">
        <v>263</v>
      </c>
      <c r="K119" s="277">
        <f t="shared" si="54"/>
        <v>0.8</v>
      </c>
      <c r="L119" s="278">
        <v>0.2</v>
      </c>
      <c r="M119" s="278">
        <v>0</v>
      </c>
      <c r="N119" s="278">
        <v>1</v>
      </c>
      <c r="O119" s="279">
        <v>12</v>
      </c>
      <c r="P119" s="280">
        <v>1974</v>
      </c>
      <c r="Q119" s="281">
        <v>0</v>
      </c>
      <c r="R119" s="282">
        <v>0</v>
      </c>
      <c r="S119" s="282">
        <v>0</v>
      </c>
      <c r="T119" s="281">
        <v>0</v>
      </c>
      <c r="U119" s="283">
        <v>0.24</v>
      </c>
      <c r="V119" s="284">
        <v>6000</v>
      </c>
      <c r="W119" s="285">
        <v>0.15</v>
      </c>
      <c r="X119" s="286" t="s">
        <v>255</v>
      </c>
      <c r="Y119" s="287">
        <f t="shared" si="31"/>
        <v>1</v>
      </c>
      <c r="Z119" s="288">
        <f t="shared" si="32"/>
        <v>2506.98</v>
      </c>
      <c r="AA119" s="288">
        <f t="shared" si="33"/>
        <v>0</v>
      </c>
      <c r="AB119" s="288">
        <f t="shared" si="34"/>
        <v>2557.1196</v>
      </c>
      <c r="AC119" s="288">
        <f t="shared" si="55"/>
        <v>0</v>
      </c>
      <c r="AD119" s="287">
        <f t="shared" si="35"/>
        <v>1974</v>
      </c>
      <c r="AE119" s="287">
        <f t="shared" si="36"/>
        <v>1579.2</v>
      </c>
      <c r="AF119" s="287">
        <f t="shared" si="37"/>
        <v>23688</v>
      </c>
      <c r="AG119" s="287">
        <f t="shared" si="38"/>
        <v>18950.400000000001</v>
      </c>
      <c r="AH119" s="287">
        <f t="shared" si="39"/>
        <v>0</v>
      </c>
      <c r="AI119" s="287">
        <f t="shared" si="40"/>
        <v>0</v>
      </c>
      <c r="AJ119" s="287">
        <f t="shared" si="41"/>
        <v>0</v>
      </c>
      <c r="AK119" s="287">
        <f t="shared" si="42"/>
        <v>0</v>
      </c>
      <c r="AL119" s="287">
        <f t="shared" si="43"/>
        <v>0</v>
      </c>
      <c r="AM119" s="287">
        <f t="shared" si="44"/>
        <v>0</v>
      </c>
      <c r="AN119" s="287">
        <f t="shared" si="45"/>
        <v>0</v>
      </c>
      <c r="AO119" s="287">
        <f t="shared" si="46"/>
        <v>0</v>
      </c>
      <c r="AP119" s="287">
        <f t="shared" si="47"/>
        <v>6000</v>
      </c>
      <c r="AQ119" s="287">
        <f t="shared" si="48"/>
        <v>4800</v>
      </c>
      <c r="AR119" s="287">
        <f t="shared" si="49"/>
        <v>379.00799999999998</v>
      </c>
      <c r="AS119" s="289" t="e">
        <f>IF(J119='2027 Avoided Costs'!#REF!,3,5)</f>
        <v>#REF!</v>
      </c>
      <c r="AT119" s="290" cm="1">
        <f t="array" ref="AT119">IFERROR(IF($J119="Baseload",IF($O119=1,0,NPV('2027 Avoided Costs'!$D$6,_xlfn._xlws.FILTER('2027 Avoided Costs'!$C$14:$C$47,('2027 Avoided Costs'!$B$14:$B$47&gt;=$B119+1)*('2027 Avoided Costs'!$B$14:$B$47&lt;$B119+ROUND($O119,0)))))+_xlfn.XLOOKUP($B119,'2027 Avoided Costs'!$B$13:$B$47,'2027 Avoided Costs'!$C$13:$C$47),IF($O119=1,0,NPV('2027 Avoided Costs'!$D$6,_xlfn._xlws.FILTER('2027 Avoided Costs'!$E$14:$E$47,('2027 Avoided Costs'!$B$14:$B$47&gt;=$B119+1)*('2027 Avoided Costs'!$B$14:$B$47&lt;$B119+ROUND($O119,0)))))+_xlfn.XLOOKUP($B119,'2027 Avoided Costs'!$B$13:$B$47,'2027 Avoided Costs'!$E$13:$E$47))*IF($AE119&gt;0,$AE119*(1+$W119),0),0)</f>
        <v>4815.2214536880256</v>
      </c>
      <c r="AU119" s="290" cm="1">
        <f t="array" ref="AU119">IFERROR((IF($O119=1,0,NPV('2027 Avoided Costs'!$D$6,_xlfn._xlws.FILTER('2027 Avoided Costs'!$M$14:$M$47,('2027 Avoided Costs'!$B$14:$B$47&gt;=$B119+1)*('2027 Avoided Costs'!$B$14:$B$47&lt;$B119+ROUND($O119,0)))))+_xlfn.XLOOKUP($B119,'2027 Avoided Costs'!$B$13:$B$47,'2027 Avoided Costs'!$M$13:$M$47))*IF($AK119&gt;0,$AK119*(1+$W119),0),0)</f>
        <v>0</v>
      </c>
      <c r="AV119" s="291" cm="1">
        <f t="array" ref="AV119">IFERROR((IF($O119=1,0,NPV('2027 Avoided Costs'!$D$6,_xlfn._xlws.FILTER('2027 Avoided Costs'!$Q$14:$Q$47,('2027 Avoided Costs'!$B$14:$B$47&gt;=$B119+1)*('2027 Avoided Costs'!$B$14:$B$47&lt;$B119+ROUND($O119,0)))))+_xlfn.XLOOKUP($B119,'2027 Avoided Costs'!$B$13:$B$47,'2027 Avoided Costs'!$Q$13:$Q$47))*IF($AI119&gt;0,$AI119*(1+$W119),0),0)</f>
        <v>0</v>
      </c>
      <c r="AW119" s="291" cm="1">
        <f t="array" ref="AW119">IFERROR((IF($O119=1,0,NPV('2027 Avoided Costs'!$D$6,_xlfn._xlws.FILTER('2027 Avoided Costs'!$W$14:$W$47,('2027 Avoided Costs'!$B$14:$B$47&gt;=$B119+1)*('2027 Avoided Costs'!$B$14:$B$47&lt;$B119+ROUND($O119,0)))))+_xlfn.XLOOKUP($B119,'2027 Avoided Costs'!$B$13:$B$47,'2027 Avoided Costs'!$W$13:$W$47))*IF($AM119&gt;0,$AM119*(1+$W119),0),0)</f>
        <v>0</v>
      </c>
      <c r="AX119" s="291" cm="1">
        <f t="array" ref="AX119">IFERROR((IF($O119=1,0,NPV('2027 Avoided Costs'!$D$6,_xlfn._xlws.FILTER('2027 Avoided Costs'!$AC$14:$AC$47,('2027 Avoided Costs'!$B$14:$B$47&gt;=$B119+1)*('2027 Avoided Costs'!$B$14:$B$47&lt;$B119+ROUND($O119,0)))))+_xlfn.XLOOKUP($B119,'2027 Avoided Costs'!$B$13:$B$47,'2027 Avoided Costs'!$AC$13:$AC$47))*IF($AO119&gt;0,$AO119*(1+$W119),0),0)</f>
        <v>0</v>
      </c>
      <c r="AY119" s="291" cm="1">
        <f t="array" ref="AY119">IFERROR((IF($O119=1,0,NPV('2027 Avoided Costs'!$D$4,_xlfn._xlws.FILTER('2027 Avoided Costs'!$I$14:$I$47,('2027 Avoided Costs'!$B$14:$B$47&gt;=$B119+1)*('2027 Avoided Costs'!$B$14:$B$47&lt;$B119+ROUND($O119,0)))))+_xlfn.XLOOKUP($B119,'2027 Avoided Costs'!$B$13:$B$47,'2027 Avoided Costs'!$I$13:$I$47))*IF($X119="Residential",'2027 Avoided Costs'!$J$5,IF($X119="Large Volume",'2027 Avoided Costs'!$J$7,'2027 Avoided Costs'!$J$6))*IF($AE119&gt;0,$AE119,0),0)</f>
        <v>0</v>
      </c>
      <c r="AZ119" s="291" cm="1">
        <f t="array" ref="AZ119">IFERROR(IF($J119="Baseload",IF($O119=1,0,NPV('2027 Avoided Costs'!$D$6,_xlfn._xlws.FILTER('2027 Avoided Costs'!$C$14:$C$47,('2027 Avoided Costs'!$B$14:$B$47&gt;=$B119+1)*('2027 Avoided Costs'!$B$14:$B$47&lt;$B119+ROUND($O119,0)))))+_xlfn.XLOOKUP($B119,'2027 Avoided Costs'!$B$13:$B$47,'2027 Avoided Costs'!$C$13:$C$47),IF($O119=1,0,NPV('2027 Avoided Costs'!$D$6,_xlfn._xlws.FILTER('2027 Avoided Costs'!$E$14:$E$47,('2027 Avoided Costs'!$B$14:$B$47&gt;=$B119+1)*('2027 Avoided Costs'!$B$14:$B$47&lt;$B119+ROUND($O119,0)))))+_xlfn.XLOOKUP($B119,'2027 Avoided Costs'!$B$13:$B$47,'2027 Avoided Costs'!$E$13:$E$47))*IF($AE119&lt;0,$AE119*(-1),0),0)</f>
        <v>0</v>
      </c>
      <c r="BA119" s="291" cm="1">
        <f t="array" ref="BA119">IFERROR((IF($O119=1,0,NPV('2027 Avoided Costs'!$D$6,_xlfn._xlws.FILTER('2027 Avoided Costs'!$M$14:$M$47,('2027 Avoided Costs'!$B$14:$B$47&gt;=$B119+1)*('2027 Avoided Costs'!$B$14:$B$47&lt;$B119+ROUND($O119,0)))))+_xlfn.XLOOKUP($B119,'2027 Avoided Costs'!$B$13:$B$47,'2027 Avoided Costs'!$M$13:$M$47))*IF($AK119&lt;0,$AK119*(-1),0),0)</f>
        <v>0</v>
      </c>
      <c r="BB119" s="291" cm="1">
        <f t="array" ref="BB119">IFERROR((IF($O119=1,0,NPV('2027 Avoided Costs'!$D$6,_xlfn._xlws.FILTER('2027 Avoided Costs'!$S$14:$S$47,('2027 Avoided Costs'!$B$14:$B$47&gt;=$B119+1)*('2027 Avoided Costs'!$B$14:$B$47&lt;$B119+ROUND($O119,0)))))+_xlfn.XLOOKUP($B119,'2027 Avoided Costs'!$B$13:$B$47,'2027 Avoided Costs'!$S$13:$S$47))*IF($AI119&lt;0,$AI119*(-1),0),0)</f>
        <v>0</v>
      </c>
      <c r="BC119" s="291" cm="1">
        <f t="array" ref="BC119">IFERROR((IF($O119=1,0,NPV('2027 Avoided Costs'!$D$6,_xlfn._xlws.FILTER('2027 Avoided Costs'!$Y$14:$Y$47,('2027 Avoided Costs'!$B$14:$B$47&gt;=$B119+1)*('2027 Avoided Costs'!$B$14:$B$47&lt;$B119+ROUND($O119,0)))))+_xlfn.XLOOKUP($B119,'2027 Avoided Costs'!$B$13:$B$47,'2027 Avoided Costs'!$Y$13:$Y$47))*IF($AM119&lt;0,$AM119*(-1),0),0)</f>
        <v>0</v>
      </c>
      <c r="BD119" s="291" cm="1">
        <f t="array" ref="BD119">IFERROR((IF($O119=1,0,NPV('2027 Avoided Costs'!$D$6,_xlfn._xlws.FILTER('2027 Avoided Costs'!$AE$14:$AE$47,('2027 Avoided Costs'!$B$14:$B$47&gt;=$B119+1)*('2027 Avoided Costs'!$B$14:$B$47&lt;$B119+ROUND($O119,0)))))+_xlfn.XLOOKUP($B119,'2027 Avoided Costs'!$B$13:$B$47,'2027 Avoided Costs'!$AE$13:$AE$47))*IF($AO119&lt;0,$AO119*(-1),0),0)</f>
        <v>0</v>
      </c>
      <c r="BE119" s="291" cm="1">
        <f t="array" ref="BE119">IFERROR((IF($O119=1,0,NPV('2027 Avoided Costs'!$D$4,_xlfn._xlws.FILTER('2027 Avoided Costs'!$I$14:$I$47,('2027 Avoided Costs'!$B$14:$B$47&gt;=$B119+1)*('2027 Avoided Costs'!$B$14:$B$47&lt;$B119+ROUND($O119,0)))))+_xlfn.XLOOKUP($B119,'2027 Avoided Costs'!$B$13:$B$47,'2027 Avoided Costs'!$I$13:$I$47))*IF($X119="Residential",'2027 Avoided Costs'!$J$5,IF($X119="Large Volume",'2027 Avoided Costs'!$J$7,'2027 Avoided Costs'!$J$6))*IF($AE119&lt;0,$AE119*(-1),0),0)</f>
        <v>0</v>
      </c>
      <c r="BF119" s="291">
        <f t="shared" si="50"/>
        <v>4815.2214536880256</v>
      </c>
      <c r="BG119" s="291">
        <f t="shared" si="51"/>
        <v>4800</v>
      </c>
      <c r="BH119" s="291">
        <f t="shared" si="52"/>
        <v>15.221453688025576</v>
      </c>
      <c r="BI119" s="292">
        <f t="shared" si="56"/>
        <v>1.0031711361850053</v>
      </c>
      <c r="BJ119" s="196" cm="1">
        <f t="array" ref="BJ119">IFERROR(IF($J119="Baseload",IF($O119=1,0,NPV('2027 Avoided Costs'!$D$6,_xlfn._xlws.FILTER('2027 Avoided Costs'!$C$14:$C$47,('2027 Avoided Costs'!$B$14:$B$47&gt;=$B119+1)*('2027 Avoided Costs'!$B$14:$B$47&lt;$B119+ROUND($O119,0)))))+_xlfn.XLOOKUP($B119,'2027 Avoided Costs'!$B$13:$B$47,'2027 Avoided Costs'!$C$13:$C$47),IF($O119=1,0,NPV('2027 Avoided Costs'!$D$6,_xlfn._xlws.FILTER('2027 Avoided Costs'!$E$14:$E$47,('2027 Avoided Costs'!$B$14:$B$47&gt;=$B119+1)*('2027 Avoided Costs'!$B$14:$B$47&lt;$B119+ROUND($O119,0)))))+_xlfn.XLOOKUP($B119,'2027 Avoided Costs'!$B$13:$B$47,'2027 Avoided Costs'!$E$13:$E$47))*IF($AE119&gt;0,$AE119*(1+0),0),0)</f>
        <v>4187.1490901635007</v>
      </c>
      <c r="BK119" s="293">
        <f t="shared" si="53"/>
        <v>1.637447497631124</v>
      </c>
    </row>
    <row r="120" spans="1:63" s="56" customFormat="1" x14ac:dyDescent="0.25">
      <c r="A120" s="270" t="s">
        <v>133</v>
      </c>
      <c r="B120" s="271">
        <v>2028</v>
      </c>
      <c r="C120" s="272" t="s">
        <v>13</v>
      </c>
      <c r="D120" s="272" t="s">
        <v>165</v>
      </c>
      <c r="E120" s="272" t="s">
        <v>94</v>
      </c>
      <c r="F120" s="273">
        <v>5</v>
      </c>
      <c r="G120" s="274">
        <v>1391</v>
      </c>
      <c r="H120" s="275">
        <f t="shared" si="30"/>
        <v>0.45646466856267776</v>
      </c>
      <c r="I120" s="274">
        <v>0</v>
      </c>
      <c r="J120" s="276" t="s">
        <v>263</v>
      </c>
      <c r="K120" s="277">
        <f t="shared" si="54"/>
        <v>0.8</v>
      </c>
      <c r="L120" s="278">
        <v>0.2</v>
      </c>
      <c r="M120" s="278">
        <v>0</v>
      </c>
      <c r="N120" s="278">
        <v>1</v>
      </c>
      <c r="O120" s="279">
        <v>12</v>
      </c>
      <c r="P120" s="280">
        <v>3047.3333333333335</v>
      </c>
      <c r="Q120" s="281">
        <v>3839</v>
      </c>
      <c r="R120" s="282">
        <v>0.43824200913241607</v>
      </c>
      <c r="S120" s="282">
        <v>0.43824200913242151</v>
      </c>
      <c r="T120" s="281">
        <v>0</v>
      </c>
      <c r="U120" s="283">
        <v>0.24</v>
      </c>
      <c r="V120" s="284">
        <v>2782</v>
      </c>
      <c r="W120" s="285">
        <v>0.15</v>
      </c>
      <c r="X120" s="286" t="s">
        <v>255</v>
      </c>
      <c r="Y120" s="287">
        <f t="shared" si="31"/>
        <v>5</v>
      </c>
      <c r="Z120" s="288">
        <f t="shared" si="32"/>
        <v>6955</v>
      </c>
      <c r="AA120" s="288">
        <f t="shared" si="33"/>
        <v>0</v>
      </c>
      <c r="AB120" s="288">
        <f t="shared" si="34"/>
        <v>7094.1</v>
      </c>
      <c r="AC120" s="288">
        <f t="shared" si="55"/>
        <v>0</v>
      </c>
      <c r="AD120" s="287">
        <f t="shared" si="35"/>
        <v>15236.666666666668</v>
      </c>
      <c r="AE120" s="287">
        <f t="shared" si="36"/>
        <v>12189.333333333336</v>
      </c>
      <c r="AF120" s="287">
        <f t="shared" si="37"/>
        <v>182840</v>
      </c>
      <c r="AG120" s="287">
        <f t="shared" si="38"/>
        <v>146272.00000000003</v>
      </c>
      <c r="AH120" s="287">
        <f t="shared" si="39"/>
        <v>20577.04</v>
      </c>
      <c r="AI120" s="287">
        <f t="shared" si="40"/>
        <v>16461.632000000001</v>
      </c>
      <c r="AJ120" s="287">
        <f t="shared" si="41"/>
        <v>0</v>
      </c>
      <c r="AK120" s="287">
        <f t="shared" si="42"/>
        <v>0</v>
      </c>
      <c r="AL120" s="287">
        <f t="shared" si="43"/>
        <v>2.3489771689497503</v>
      </c>
      <c r="AM120" s="287">
        <f t="shared" si="44"/>
        <v>1.8791817351598001</v>
      </c>
      <c r="AN120" s="287">
        <f t="shared" si="45"/>
        <v>2.3489771689497796</v>
      </c>
      <c r="AO120" s="287">
        <f t="shared" si="46"/>
        <v>1.8791817351598237</v>
      </c>
      <c r="AP120" s="287">
        <f t="shared" si="47"/>
        <v>13910</v>
      </c>
      <c r="AQ120" s="287">
        <f t="shared" si="48"/>
        <v>11128</v>
      </c>
      <c r="AR120" s="287">
        <f t="shared" si="49"/>
        <v>2925.4400000000005</v>
      </c>
      <c r="AS120" s="289" t="e">
        <f>IF(J120='2027 Avoided Costs'!#REF!,3,5)</f>
        <v>#REF!</v>
      </c>
      <c r="AT120" s="290" cm="1">
        <f t="array" ref="AT120">IFERROR(IF($J120="Baseload",IF($O120=1,0,NPV('2027 Avoided Costs'!$D$6,_xlfn._xlws.FILTER('2027 Avoided Costs'!$C$14:$C$47,('2027 Avoided Costs'!$B$14:$B$47&gt;=$B120+1)*('2027 Avoided Costs'!$B$14:$B$47&lt;$B120+ROUND($O120,0)))))+_xlfn.XLOOKUP($B120,'2027 Avoided Costs'!$B$13:$B$47,'2027 Avoided Costs'!$C$13:$C$47),IF($O120=1,0,NPV('2027 Avoided Costs'!$D$6,_xlfn._xlws.FILTER('2027 Avoided Costs'!$E$14:$E$47,('2027 Avoided Costs'!$B$14:$B$47&gt;=$B120+1)*('2027 Avoided Costs'!$B$14:$B$47&lt;$B120+ROUND($O120,0)))))+_xlfn.XLOOKUP($B120,'2027 Avoided Costs'!$B$13:$B$47,'2027 Avoided Costs'!$E$13:$E$47))*IF($AE120&gt;0,$AE120*(1+$W120),0),0)</f>
        <v>37167.134861209001</v>
      </c>
      <c r="AU120" s="290" cm="1">
        <f t="array" ref="AU120">IFERROR((IF($O120=1,0,NPV('2027 Avoided Costs'!$D$6,_xlfn._xlws.FILTER('2027 Avoided Costs'!$M$14:$M$47,('2027 Avoided Costs'!$B$14:$B$47&gt;=$B120+1)*('2027 Avoided Costs'!$B$14:$B$47&lt;$B120+ROUND($O120,0)))))+_xlfn.XLOOKUP($B120,'2027 Avoided Costs'!$B$13:$B$47,'2027 Avoided Costs'!$M$13:$M$47))*IF($AK120&gt;0,$AK120*(1+$W120),0),0)</f>
        <v>0</v>
      </c>
      <c r="AV120" s="291" cm="1">
        <f t="array" ref="AV120">IFERROR((IF($O120=1,0,NPV('2027 Avoided Costs'!$D$6,_xlfn._xlws.FILTER('2027 Avoided Costs'!$Q$14:$Q$47,('2027 Avoided Costs'!$B$14:$B$47&gt;=$B120+1)*('2027 Avoided Costs'!$B$14:$B$47&lt;$B120+ROUND($O120,0)))))+_xlfn.XLOOKUP($B120,'2027 Avoided Costs'!$B$13:$B$47,'2027 Avoided Costs'!$Q$13:$Q$47))*IF($AI120&gt;0,$AI120*(1+$W120),0),0)</f>
        <v>9143.3689356007726</v>
      </c>
      <c r="AW120" s="291" cm="1">
        <f t="array" ref="AW120">IFERROR((IF($O120=1,0,NPV('2027 Avoided Costs'!$D$6,_xlfn._xlws.FILTER('2027 Avoided Costs'!$W$14:$W$47,('2027 Avoided Costs'!$B$14:$B$47&gt;=$B120+1)*('2027 Avoided Costs'!$B$14:$B$47&lt;$B120+ROUND($O120,0)))))+_xlfn.XLOOKUP($B120,'2027 Avoided Costs'!$B$13:$B$47,'2027 Avoided Costs'!$W$13:$W$47))*IF($AM120&gt;0,$AM120*(1+$W120),0),0)</f>
        <v>6301.1463383405171</v>
      </c>
      <c r="AX120" s="291" cm="1">
        <f t="array" ref="AX120">IFERROR((IF($O120=1,0,NPV('2027 Avoided Costs'!$D$6,_xlfn._xlws.FILTER('2027 Avoided Costs'!$AC$14:$AC$47,('2027 Avoided Costs'!$B$14:$B$47&gt;=$B120+1)*('2027 Avoided Costs'!$B$14:$B$47&lt;$B120+ROUND($O120,0)))))+_xlfn.XLOOKUP($B120,'2027 Avoided Costs'!$B$13:$B$47,'2027 Avoided Costs'!$AC$13:$AC$47))*IF($AO120&gt;0,$AO120*(1+$W120),0),0)</f>
        <v>486.7415968986283</v>
      </c>
      <c r="AY120" s="291" cm="1">
        <f t="array" ref="AY120">IFERROR((IF($O120=1,0,NPV('2027 Avoided Costs'!$D$4,_xlfn._xlws.FILTER('2027 Avoided Costs'!$I$14:$I$47,('2027 Avoided Costs'!$B$14:$B$47&gt;=$B120+1)*('2027 Avoided Costs'!$B$14:$B$47&lt;$B120+ROUND($O120,0)))))+_xlfn.XLOOKUP($B120,'2027 Avoided Costs'!$B$13:$B$47,'2027 Avoided Costs'!$I$13:$I$47))*IF($X120="Residential",'2027 Avoided Costs'!$J$5,IF($X120="Large Volume",'2027 Avoided Costs'!$J$7,'2027 Avoided Costs'!$J$6))*IF($AE120&gt;0,$AE120,0),0)</f>
        <v>0</v>
      </c>
      <c r="AZ120" s="291" cm="1">
        <f t="array" ref="AZ120">IFERROR(IF($J120="Baseload",IF($O120=1,0,NPV('2027 Avoided Costs'!$D$6,_xlfn._xlws.FILTER('2027 Avoided Costs'!$C$14:$C$47,('2027 Avoided Costs'!$B$14:$B$47&gt;=$B120+1)*('2027 Avoided Costs'!$B$14:$B$47&lt;$B120+ROUND($O120,0)))))+_xlfn.XLOOKUP($B120,'2027 Avoided Costs'!$B$13:$B$47,'2027 Avoided Costs'!$C$13:$C$47),IF($O120=1,0,NPV('2027 Avoided Costs'!$D$6,_xlfn._xlws.FILTER('2027 Avoided Costs'!$E$14:$E$47,('2027 Avoided Costs'!$B$14:$B$47&gt;=$B120+1)*('2027 Avoided Costs'!$B$14:$B$47&lt;$B120+ROUND($O120,0)))))+_xlfn.XLOOKUP($B120,'2027 Avoided Costs'!$B$13:$B$47,'2027 Avoided Costs'!$E$13:$E$47))*IF($AE120&lt;0,$AE120*(-1),0),0)</f>
        <v>0</v>
      </c>
      <c r="BA120" s="291" cm="1">
        <f t="array" ref="BA120">IFERROR((IF($O120=1,0,NPV('2027 Avoided Costs'!$D$6,_xlfn._xlws.FILTER('2027 Avoided Costs'!$M$14:$M$47,('2027 Avoided Costs'!$B$14:$B$47&gt;=$B120+1)*('2027 Avoided Costs'!$B$14:$B$47&lt;$B120+ROUND($O120,0)))))+_xlfn.XLOOKUP($B120,'2027 Avoided Costs'!$B$13:$B$47,'2027 Avoided Costs'!$M$13:$M$47))*IF($AK120&lt;0,$AK120*(-1),0),0)</f>
        <v>0</v>
      </c>
      <c r="BB120" s="291" cm="1">
        <f t="array" ref="BB120">IFERROR((IF($O120=1,0,NPV('2027 Avoided Costs'!$D$6,_xlfn._xlws.FILTER('2027 Avoided Costs'!$S$14:$S$47,('2027 Avoided Costs'!$B$14:$B$47&gt;=$B120+1)*('2027 Avoided Costs'!$B$14:$B$47&lt;$B120+ROUND($O120,0)))))+_xlfn.XLOOKUP($B120,'2027 Avoided Costs'!$B$13:$B$47,'2027 Avoided Costs'!$S$13:$S$47))*IF($AI120&lt;0,$AI120*(-1),0),0)</f>
        <v>0</v>
      </c>
      <c r="BC120" s="291" cm="1">
        <f t="array" ref="BC120">IFERROR((IF($O120=1,0,NPV('2027 Avoided Costs'!$D$6,_xlfn._xlws.FILTER('2027 Avoided Costs'!$Y$14:$Y$47,('2027 Avoided Costs'!$B$14:$B$47&gt;=$B120+1)*('2027 Avoided Costs'!$B$14:$B$47&lt;$B120+ROUND($O120,0)))))+_xlfn.XLOOKUP($B120,'2027 Avoided Costs'!$B$13:$B$47,'2027 Avoided Costs'!$Y$13:$Y$47))*IF($AM120&lt;0,$AM120*(-1),0),0)</f>
        <v>0</v>
      </c>
      <c r="BD120" s="291" cm="1">
        <f t="array" ref="BD120">IFERROR((IF($O120=1,0,NPV('2027 Avoided Costs'!$D$6,_xlfn._xlws.FILTER('2027 Avoided Costs'!$AE$14:$AE$47,('2027 Avoided Costs'!$B$14:$B$47&gt;=$B120+1)*('2027 Avoided Costs'!$B$14:$B$47&lt;$B120+ROUND($O120,0)))))+_xlfn.XLOOKUP($B120,'2027 Avoided Costs'!$B$13:$B$47,'2027 Avoided Costs'!$AE$13:$AE$47))*IF($AO120&lt;0,$AO120*(-1),0),0)</f>
        <v>0</v>
      </c>
      <c r="BE120" s="291" cm="1">
        <f t="array" ref="BE120">IFERROR((IF($O120=1,0,NPV('2027 Avoided Costs'!$D$4,_xlfn._xlws.FILTER('2027 Avoided Costs'!$I$14:$I$47,('2027 Avoided Costs'!$B$14:$B$47&gt;=$B120+1)*('2027 Avoided Costs'!$B$14:$B$47&lt;$B120+ROUND($O120,0)))))+_xlfn.XLOOKUP($B120,'2027 Avoided Costs'!$B$13:$B$47,'2027 Avoided Costs'!$I$13:$I$47))*IF($X120="Residential",'2027 Avoided Costs'!$J$5,IF($X120="Large Volume",'2027 Avoided Costs'!$J$7,'2027 Avoided Costs'!$J$6))*IF($AE120&lt;0,$AE120*(-1),0),0)</f>
        <v>0</v>
      </c>
      <c r="BF120" s="291">
        <f t="shared" si="50"/>
        <v>53098.391732048927</v>
      </c>
      <c r="BG120" s="291">
        <f t="shared" si="51"/>
        <v>11128</v>
      </c>
      <c r="BH120" s="291">
        <f t="shared" si="52"/>
        <v>41970.391732048927</v>
      </c>
      <c r="BI120" s="292">
        <f t="shared" si="56"/>
        <v>4.7716024202056904</v>
      </c>
      <c r="BJ120" s="196" cm="1">
        <f t="array" ref="BJ120">IFERROR(IF($J120="Baseload",IF($O120=1,0,NPV('2027 Avoided Costs'!$D$6,_xlfn._xlws.FILTER('2027 Avoided Costs'!$C$14:$C$47,('2027 Avoided Costs'!$B$14:$B$47&gt;=$B120+1)*('2027 Avoided Costs'!$B$14:$B$47&lt;$B120+ROUND($O120,0)))))+_xlfn.XLOOKUP($B120,'2027 Avoided Costs'!$B$13:$B$47,'2027 Avoided Costs'!$C$13:$C$47),IF($O120=1,0,NPV('2027 Avoided Costs'!$D$6,_xlfn._xlws.FILTER('2027 Avoided Costs'!$E$14:$E$47,('2027 Avoided Costs'!$B$14:$B$47&gt;=$B120+1)*('2027 Avoided Costs'!$B$14:$B$47&lt;$B120+ROUND($O120,0)))))+_xlfn.XLOOKUP($B120,'2027 Avoided Costs'!$B$13:$B$47,'2027 Avoided Costs'!$E$13:$E$47))*IF($AE120&gt;0,$AE120*(1+0),0),0)</f>
        <v>32319.247705399132</v>
      </c>
      <c r="BK120" s="293">
        <f t="shared" si="53"/>
        <v>4.5557925184870713</v>
      </c>
    </row>
    <row r="121" spans="1:63" s="56" customFormat="1" x14ac:dyDescent="0.25">
      <c r="A121" s="270" t="s">
        <v>133</v>
      </c>
      <c r="B121" s="271">
        <v>2028</v>
      </c>
      <c r="C121" s="272" t="s">
        <v>13</v>
      </c>
      <c r="D121" s="272" t="s">
        <v>165</v>
      </c>
      <c r="E121" s="272" t="s">
        <v>88</v>
      </c>
      <c r="F121" s="273">
        <v>347</v>
      </c>
      <c r="G121" s="274">
        <v>1509.139031007752</v>
      </c>
      <c r="H121" s="275">
        <f t="shared" si="30"/>
        <v>1.27</v>
      </c>
      <c r="I121" s="274">
        <v>0</v>
      </c>
      <c r="J121" s="276" t="s">
        <v>263</v>
      </c>
      <c r="K121" s="277">
        <f t="shared" si="54"/>
        <v>0.8</v>
      </c>
      <c r="L121" s="278">
        <v>0.2</v>
      </c>
      <c r="M121" s="278">
        <v>0</v>
      </c>
      <c r="N121" s="278">
        <v>1</v>
      </c>
      <c r="O121" s="279">
        <v>12</v>
      </c>
      <c r="P121" s="280">
        <v>1188.2984496124031</v>
      </c>
      <c r="Q121" s="281">
        <v>2088</v>
      </c>
      <c r="R121" s="282">
        <v>0.23835616438355944</v>
      </c>
      <c r="S121" s="282">
        <v>0.23835616438356241</v>
      </c>
      <c r="T121" s="281">
        <v>145.15408121212127</v>
      </c>
      <c r="U121" s="283">
        <v>0.24</v>
      </c>
      <c r="V121" s="284">
        <v>5474</v>
      </c>
      <c r="W121" s="285">
        <v>0.15</v>
      </c>
      <c r="X121" s="286" t="s">
        <v>255</v>
      </c>
      <c r="Y121" s="287">
        <f t="shared" si="31"/>
        <v>347</v>
      </c>
      <c r="Z121" s="288">
        <f t="shared" si="32"/>
        <v>523671.24375968997</v>
      </c>
      <c r="AA121" s="288">
        <f t="shared" si="33"/>
        <v>0</v>
      </c>
      <c r="AB121" s="288">
        <f t="shared" si="34"/>
        <v>534144.66863488383</v>
      </c>
      <c r="AC121" s="288">
        <f t="shared" si="55"/>
        <v>0</v>
      </c>
      <c r="AD121" s="287">
        <f t="shared" si="35"/>
        <v>412339.56201550388</v>
      </c>
      <c r="AE121" s="287">
        <f t="shared" si="36"/>
        <v>329871.64961240313</v>
      </c>
      <c r="AF121" s="287">
        <f t="shared" si="37"/>
        <v>4948074.7441860465</v>
      </c>
      <c r="AG121" s="287">
        <f t="shared" si="38"/>
        <v>3958459.7953488375</v>
      </c>
      <c r="AH121" s="287">
        <f t="shared" si="39"/>
        <v>776702.59200000006</v>
      </c>
      <c r="AI121" s="287">
        <f t="shared" si="40"/>
        <v>621362.07360000012</v>
      </c>
      <c r="AJ121" s="287">
        <f t="shared" si="41"/>
        <v>50368.466180606083</v>
      </c>
      <c r="AK121" s="287">
        <f t="shared" si="42"/>
        <v>40294.772944484866</v>
      </c>
      <c r="AL121" s="287">
        <f t="shared" si="43"/>
        <v>88.664679452053988</v>
      </c>
      <c r="AM121" s="287">
        <f t="shared" si="44"/>
        <v>70.931743561643188</v>
      </c>
      <c r="AN121" s="287">
        <f t="shared" si="45"/>
        <v>88.664679452055083</v>
      </c>
      <c r="AO121" s="287">
        <f t="shared" si="46"/>
        <v>70.931743561644069</v>
      </c>
      <c r="AP121" s="287">
        <f t="shared" si="47"/>
        <v>1899478</v>
      </c>
      <c r="AQ121" s="287">
        <f t="shared" si="48"/>
        <v>1519582.4000000001</v>
      </c>
      <c r="AR121" s="287">
        <f t="shared" si="49"/>
        <v>79169.195906976747</v>
      </c>
      <c r="AS121" s="289" t="e">
        <f>IF(J121='2027 Avoided Costs'!#REF!,3,5)</f>
        <v>#REF!</v>
      </c>
      <c r="AT121" s="290" cm="1">
        <f t="array" ref="AT121">IFERROR(IF($J121="Baseload",IF($O121=1,0,NPV('2027 Avoided Costs'!$D$6,_xlfn._xlws.FILTER('2027 Avoided Costs'!$C$14:$C$47,('2027 Avoided Costs'!$B$14:$B$47&gt;=$B121+1)*('2027 Avoided Costs'!$B$14:$B$47&lt;$B121+ROUND($O121,0)))))+_xlfn.XLOOKUP($B121,'2027 Avoided Costs'!$B$13:$B$47,'2027 Avoided Costs'!$C$13:$C$47),IF($O121=1,0,NPV('2027 Avoided Costs'!$D$6,_xlfn._xlws.FILTER('2027 Avoided Costs'!$E$14:$E$47,('2027 Avoided Costs'!$B$14:$B$47&gt;=$B121+1)*('2027 Avoided Costs'!$B$14:$B$47&lt;$B121+ROUND($O121,0)))))+_xlfn.XLOOKUP($B121,'2027 Avoided Costs'!$B$13:$B$47,'2027 Avoided Costs'!$E$13:$E$47))*IF($AE121&gt;0,$AE121*(1+$W121),0),0)</f>
        <v>1005828.9286835757</v>
      </c>
      <c r="AU121" s="290" cm="1">
        <f t="array" ref="AU121">IFERROR((IF($O121=1,0,NPV('2027 Avoided Costs'!$D$6,_xlfn._xlws.FILTER('2027 Avoided Costs'!$M$14:$M$47,('2027 Avoided Costs'!$B$14:$B$47&gt;=$B121+1)*('2027 Avoided Costs'!$B$14:$B$47&lt;$B121+ROUND($O121,0)))))+_xlfn.XLOOKUP($B121,'2027 Avoided Costs'!$B$13:$B$47,'2027 Avoided Costs'!$M$13:$M$47))*IF($AK121&gt;0,$AK121*(1+$W121),0),0)</f>
        <v>497378.73327528324</v>
      </c>
      <c r="AV121" s="291" cm="1">
        <f t="array" ref="AV121">IFERROR((IF($O121=1,0,NPV('2027 Avoided Costs'!$D$6,_xlfn._xlws.FILTER('2027 Avoided Costs'!$Q$14:$Q$47,('2027 Avoided Costs'!$B$14:$B$47&gt;=$B121+1)*('2027 Avoided Costs'!$B$14:$B$47&lt;$B121+ROUND($O121,0)))))+_xlfn.XLOOKUP($B121,'2027 Avoided Costs'!$B$13:$B$47,'2027 Avoided Costs'!$Q$13:$Q$47))*IF($AI121&gt;0,$AI121*(1+$W121),0),0)</f>
        <v>345126.332645191</v>
      </c>
      <c r="AW121" s="291" cm="1">
        <f t="array" ref="AW121">IFERROR((IF($O121=1,0,NPV('2027 Avoided Costs'!$D$6,_xlfn._xlws.FILTER('2027 Avoided Costs'!$W$14:$W$47,('2027 Avoided Costs'!$B$14:$B$47&gt;=$B121+1)*('2027 Avoided Costs'!$B$14:$B$47&lt;$B121+ROUND($O121,0)))))+_xlfn.XLOOKUP($B121,'2027 Avoided Costs'!$B$13:$B$47,'2027 Avoided Costs'!$W$13:$W$47))*IF($AM121&gt;0,$AM121*(1+$W121),0),0)</f>
        <v>237843.5719403952</v>
      </c>
      <c r="AX121" s="291" cm="1">
        <f t="array" ref="AX121">IFERROR((IF($O121=1,0,NPV('2027 Avoided Costs'!$D$6,_xlfn._xlws.FILTER('2027 Avoided Costs'!$AC$14:$AC$47,('2027 Avoided Costs'!$B$14:$B$47&gt;=$B121+1)*('2027 Avoided Costs'!$B$14:$B$47&lt;$B121+ROUND($O121,0)))))+_xlfn.XLOOKUP($B121,'2027 Avoided Costs'!$B$13:$B$47,'2027 Avoided Costs'!$AC$13:$AC$47))*IF($AO121&gt;0,$AO121*(1+$W121),0),0)</f>
        <v>18372.587113860096</v>
      </c>
      <c r="AY121" s="291" cm="1">
        <f t="array" ref="AY121">IFERROR((IF($O121=1,0,NPV('2027 Avoided Costs'!$D$4,_xlfn._xlws.FILTER('2027 Avoided Costs'!$I$14:$I$47,('2027 Avoided Costs'!$B$14:$B$47&gt;=$B121+1)*('2027 Avoided Costs'!$B$14:$B$47&lt;$B121+ROUND($O121,0)))))+_xlfn.XLOOKUP($B121,'2027 Avoided Costs'!$B$13:$B$47,'2027 Avoided Costs'!$I$13:$I$47))*IF($X121="Residential",'2027 Avoided Costs'!$J$5,IF($X121="Large Volume",'2027 Avoided Costs'!$J$7,'2027 Avoided Costs'!$J$6))*IF($AE121&gt;0,$AE121,0),0)</f>
        <v>0</v>
      </c>
      <c r="AZ121" s="291" cm="1">
        <f t="array" ref="AZ121">IFERROR(IF($J121="Baseload",IF($O121=1,0,NPV('2027 Avoided Costs'!$D$6,_xlfn._xlws.FILTER('2027 Avoided Costs'!$C$14:$C$47,('2027 Avoided Costs'!$B$14:$B$47&gt;=$B121+1)*('2027 Avoided Costs'!$B$14:$B$47&lt;$B121+ROUND($O121,0)))))+_xlfn.XLOOKUP($B121,'2027 Avoided Costs'!$B$13:$B$47,'2027 Avoided Costs'!$C$13:$C$47),IF($O121=1,0,NPV('2027 Avoided Costs'!$D$6,_xlfn._xlws.FILTER('2027 Avoided Costs'!$E$14:$E$47,('2027 Avoided Costs'!$B$14:$B$47&gt;=$B121+1)*('2027 Avoided Costs'!$B$14:$B$47&lt;$B121+ROUND($O121,0)))))+_xlfn.XLOOKUP($B121,'2027 Avoided Costs'!$B$13:$B$47,'2027 Avoided Costs'!$E$13:$E$47))*IF($AE121&lt;0,$AE121*(-1),0),0)</f>
        <v>0</v>
      </c>
      <c r="BA121" s="291" cm="1">
        <f t="array" ref="BA121">IFERROR((IF($O121=1,0,NPV('2027 Avoided Costs'!$D$6,_xlfn._xlws.FILTER('2027 Avoided Costs'!$M$14:$M$47,('2027 Avoided Costs'!$B$14:$B$47&gt;=$B121+1)*('2027 Avoided Costs'!$B$14:$B$47&lt;$B121+ROUND($O121,0)))))+_xlfn.XLOOKUP($B121,'2027 Avoided Costs'!$B$13:$B$47,'2027 Avoided Costs'!$M$13:$M$47))*IF($AK121&lt;0,$AK121*(-1),0),0)</f>
        <v>0</v>
      </c>
      <c r="BB121" s="291" cm="1">
        <f t="array" ref="BB121">IFERROR((IF($O121=1,0,NPV('2027 Avoided Costs'!$D$6,_xlfn._xlws.FILTER('2027 Avoided Costs'!$S$14:$S$47,('2027 Avoided Costs'!$B$14:$B$47&gt;=$B121+1)*('2027 Avoided Costs'!$B$14:$B$47&lt;$B121+ROUND($O121,0)))))+_xlfn.XLOOKUP($B121,'2027 Avoided Costs'!$B$13:$B$47,'2027 Avoided Costs'!$S$13:$S$47))*IF($AI121&lt;0,$AI121*(-1),0),0)</f>
        <v>0</v>
      </c>
      <c r="BC121" s="291" cm="1">
        <f t="array" ref="BC121">IFERROR((IF($O121=1,0,NPV('2027 Avoided Costs'!$D$6,_xlfn._xlws.FILTER('2027 Avoided Costs'!$Y$14:$Y$47,('2027 Avoided Costs'!$B$14:$B$47&gt;=$B121+1)*('2027 Avoided Costs'!$B$14:$B$47&lt;$B121+ROUND($O121,0)))))+_xlfn.XLOOKUP($B121,'2027 Avoided Costs'!$B$13:$B$47,'2027 Avoided Costs'!$Y$13:$Y$47))*IF($AM121&lt;0,$AM121*(-1),0),0)</f>
        <v>0</v>
      </c>
      <c r="BD121" s="291" cm="1">
        <f t="array" ref="BD121">IFERROR((IF($O121=1,0,NPV('2027 Avoided Costs'!$D$6,_xlfn._xlws.FILTER('2027 Avoided Costs'!$AE$14:$AE$47,('2027 Avoided Costs'!$B$14:$B$47&gt;=$B121+1)*('2027 Avoided Costs'!$B$14:$B$47&lt;$B121+ROUND($O121,0)))))+_xlfn.XLOOKUP($B121,'2027 Avoided Costs'!$B$13:$B$47,'2027 Avoided Costs'!$AE$13:$AE$47))*IF($AO121&lt;0,$AO121*(-1),0),0)</f>
        <v>0</v>
      </c>
      <c r="BE121" s="291" cm="1">
        <f t="array" ref="BE121">IFERROR((IF($O121=1,0,NPV('2027 Avoided Costs'!$D$4,_xlfn._xlws.FILTER('2027 Avoided Costs'!$I$14:$I$47,('2027 Avoided Costs'!$B$14:$B$47&gt;=$B121+1)*('2027 Avoided Costs'!$B$14:$B$47&lt;$B121+ROUND($O121,0)))))+_xlfn.XLOOKUP($B121,'2027 Avoided Costs'!$B$13:$B$47,'2027 Avoided Costs'!$I$13:$I$47))*IF($X121="Residential",'2027 Avoided Costs'!$J$5,IF($X121="Large Volume",'2027 Avoided Costs'!$J$7,'2027 Avoided Costs'!$J$6))*IF($AE121&lt;0,$AE121*(-1),0),0)</f>
        <v>0</v>
      </c>
      <c r="BF121" s="291">
        <f t="shared" si="50"/>
        <v>2104550.1536583053</v>
      </c>
      <c r="BG121" s="291">
        <f t="shared" si="51"/>
        <v>1519582.4000000001</v>
      </c>
      <c r="BH121" s="291">
        <f t="shared" si="52"/>
        <v>584967.75365830516</v>
      </c>
      <c r="BI121" s="292">
        <f t="shared" si="56"/>
        <v>1.3849529671166927</v>
      </c>
      <c r="BJ121" s="196" cm="1">
        <f t="array" ref="BJ121">IFERROR(IF($J121="Baseload",IF($O121=1,0,NPV('2027 Avoided Costs'!$D$6,_xlfn._xlws.FILTER('2027 Avoided Costs'!$C$14:$C$47,('2027 Avoided Costs'!$B$14:$B$47&gt;=$B121+1)*('2027 Avoided Costs'!$B$14:$B$47&lt;$B121+ROUND($O121,0)))))+_xlfn.XLOOKUP($B121,'2027 Avoided Costs'!$B$13:$B$47,'2027 Avoided Costs'!$C$13:$C$47),IF($O121=1,0,NPV('2027 Avoided Costs'!$D$6,_xlfn._xlws.FILTER('2027 Avoided Costs'!$E$14:$E$47,('2027 Avoided Costs'!$B$14:$B$47&gt;=$B121+1)*('2027 Avoided Costs'!$B$14:$B$47&lt;$B121+ROUND($O121,0)))))+_xlfn.XLOOKUP($B121,'2027 Avoided Costs'!$B$13:$B$47,'2027 Avoided Costs'!$E$13:$E$47))*IF($AE121&gt;0,$AE121*(1+0),0),0)</f>
        <v>874633.8510291964</v>
      </c>
      <c r="BK121" s="293">
        <f t="shared" si="53"/>
        <v>1.637447497631124</v>
      </c>
    </row>
    <row r="122" spans="1:63" s="56" customFormat="1" x14ac:dyDescent="0.25">
      <c r="A122" s="270" t="s">
        <v>133</v>
      </c>
      <c r="B122" s="271">
        <v>2028</v>
      </c>
      <c r="C122" s="272" t="s">
        <v>13</v>
      </c>
      <c r="D122" s="272" t="s">
        <v>165</v>
      </c>
      <c r="E122" s="272" t="s">
        <v>89</v>
      </c>
      <c r="F122" s="273">
        <v>33</v>
      </c>
      <c r="G122" s="274">
        <v>500.4375</v>
      </c>
      <c r="H122" s="275">
        <f t="shared" si="30"/>
        <v>0.69027845627747919</v>
      </c>
      <c r="I122" s="274">
        <v>0</v>
      </c>
      <c r="J122" s="276" t="s">
        <v>263</v>
      </c>
      <c r="K122" s="277">
        <f t="shared" si="54"/>
        <v>0.8</v>
      </c>
      <c r="L122" s="278">
        <v>0.2</v>
      </c>
      <c r="M122" s="278">
        <v>0</v>
      </c>
      <c r="N122" s="278">
        <v>1</v>
      </c>
      <c r="O122" s="279">
        <v>12</v>
      </c>
      <c r="P122" s="280">
        <v>724.97916666666674</v>
      </c>
      <c r="Q122" s="281">
        <v>866.75</v>
      </c>
      <c r="R122" s="282">
        <v>9.8944063926939732E-2</v>
      </c>
      <c r="S122" s="282">
        <v>9.8944063926940953E-2</v>
      </c>
      <c r="T122" s="281">
        <v>0</v>
      </c>
      <c r="U122" s="283">
        <v>0.24</v>
      </c>
      <c r="V122" s="284">
        <v>1000.875</v>
      </c>
      <c r="W122" s="285">
        <v>0.15</v>
      </c>
      <c r="X122" s="286" t="s">
        <v>255</v>
      </c>
      <c r="Y122" s="287">
        <f t="shared" si="31"/>
        <v>33</v>
      </c>
      <c r="Z122" s="288">
        <f t="shared" si="32"/>
        <v>16514.4375</v>
      </c>
      <c r="AA122" s="288">
        <f t="shared" si="33"/>
        <v>0</v>
      </c>
      <c r="AB122" s="288">
        <f t="shared" si="34"/>
        <v>16844.72625</v>
      </c>
      <c r="AC122" s="288">
        <f t="shared" si="55"/>
        <v>0</v>
      </c>
      <c r="AD122" s="287">
        <f t="shared" si="35"/>
        <v>23924.312500000004</v>
      </c>
      <c r="AE122" s="287">
        <f t="shared" si="36"/>
        <v>19139.450000000004</v>
      </c>
      <c r="AF122" s="287">
        <f t="shared" si="37"/>
        <v>287091.75000000006</v>
      </c>
      <c r="AG122" s="287">
        <f t="shared" si="38"/>
        <v>229673.40000000005</v>
      </c>
      <c r="AH122" s="287">
        <f t="shared" si="39"/>
        <v>30662.148000000001</v>
      </c>
      <c r="AI122" s="287">
        <f t="shared" si="40"/>
        <v>24529.718400000005</v>
      </c>
      <c r="AJ122" s="287">
        <f t="shared" si="41"/>
        <v>0</v>
      </c>
      <c r="AK122" s="287">
        <f t="shared" si="42"/>
        <v>0</v>
      </c>
      <c r="AL122" s="287">
        <f t="shared" si="43"/>
        <v>3.5002452054794202</v>
      </c>
      <c r="AM122" s="287">
        <f t="shared" si="44"/>
        <v>2.8001961643835362</v>
      </c>
      <c r="AN122" s="287">
        <f t="shared" si="45"/>
        <v>3.5002452054794633</v>
      </c>
      <c r="AO122" s="287">
        <f t="shared" si="46"/>
        <v>2.8001961643835709</v>
      </c>
      <c r="AP122" s="287">
        <f t="shared" si="47"/>
        <v>33028.875</v>
      </c>
      <c r="AQ122" s="287">
        <f t="shared" si="48"/>
        <v>26423.100000000002</v>
      </c>
      <c r="AR122" s="287">
        <f t="shared" si="49"/>
        <v>4593.4680000000008</v>
      </c>
      <c r="AS122" s="289" t="e">
        <f>IF(J122='2027 Avoided Costs'!#REF!,3,5)</f>
        <v>#REF!</v>
      </c>
      <c r="AT122" s="290" cm="1">
        <f t="array" ref="AT122">IFERROR(IF($J122="Baseload",IF($O122=1,0,NPV('2027 Avoided Costs'!$D$6,_xlfn._xlws.FILTER('2027 Avoided Costs'!$C$14:$C$47,('2027 Avoided Costs'!$B$14:$B$47&gt;=$B122+1)*('2027 Avoided Costs'!$B$14:$B$47&lt;$B122+ROUND($O122,0)))))+_xlfn.XLOOKUP($B122,'2027 Avoided Costs'!$B$13:$B$47,'2027 Avoided Costs'!$C$13:$C$47),IF($O122=1,0,NPV('2027 Avoided Costs'!$D$6,_xlfn._xlws.FILTER('2027 Avoided Costs'!$E$14:$E$47,('2027 Avoided Costs'!$B$14:$B$47&gt;=$B122+1)*('2027 Avoided Costs'!$B$14:$B$47&lt;$B122+ROUND($O122,0)))))+_xlfn.XLOOKUP($B122,'2027 Avoided Costs'!$B$13:$B$47,'2027 Avoided Costs'!$E$13:$E$47))*IF($AE122&gt;0,$AE122*(1+$W122),0),0)</f>
        <v>58359.099703513995</v>
      </c>
      <c r="AU122" s="290" cm="1">
        <f t="array" ref="AU122">IFERROR((IF($O122=1,0,NPV('2027 Avoided Costs'!$D$6,_xlfn._xlws.FILTER('2027 Avoided Costs'!$M$14:$M$47,('2027 Avoided Costs'!$B$14:$B$47&gt;=$B122+1)*('2027 Avoided Costs'!$B$14:$B$47&lt;$B122+ROUND($O122,0)))))+_xlfn.XLOOKUP($B122,'2027 Avoided Costs'!$B$13:$B$47,'2027 Avoided Costs'!$M$13:$M$47))*IF($AK122&gt;0,$AK122*(1+$W122),0),0)</f>
        <v>0</v>
      </c>
      <c r="AV122" s="291" cm="1">
        <f t="array" ref="AV122">IFERROR((IF($O122=1,0,NPV('2027 Avoided Costs'!$D$6,_xlfn._xlws.FILTER('2027 Avoided Costs'!$Q$14:$Q$47,('2027 Avoided Costs'!$B$14:$B$47&gt;=$B122+1)*('2027 Avoided Costs'!$B$14:$B$47&lt;$B122+ROUND($O122,0)))))+_xlfn.XLOOKUP($B122,'2027 Avoided Costs'!$B$13:$B$47,'2027 Avoided Costs'!$Q$13:$Q$47))*IF($AI122&gt;0,$AI122*(1+$W122),0),0)</f>
        <v>13624.66766463949</v>
      </c>
      <c r="AW122" s="291" cm="1">
        <f t="array" ref="AW122">IFERROR((IF($O122=1,0,NPV('2027 Avoided Costs'!$D$6,_xlfn._xlws.FILTER('2027 Avoided Costs'!$W$14:$W$47,('2027 Avoided Costs'!$B$14:$B$47&gt;=$B122+1)*('2027 Avoided Costs'!$B$14:$B$47&lt;$B122+ROUND($O122,0)))))+_xlfn.XLOOKUP($B122,'2027 Avoided Costs'!$B$13:$B$47,'2027 Avoided Costs'!$W$13:$W$47))*IF($AM122&gt;0,$AM122*(1+$W122),0),0)</f>
        <v>9389.4302385501051</v>
      </c>
      <c r="AX122" s="291" cm="1">
        <f t="array" ref="AX122">IFERROR((IF($O122=1,0,NPV('2027 Avoided Costs'!$D$6,_xlfn._xlws.FILTER('2027 Avoided Costs'!$AC$14:$AC$47,('2027 Avoided Costs'!$B$14:$B$47&gt;=$B122+1)*('2027 Avoided Costs'!$B$14:$B$47&lt;$B122+ROUND($O122,0)))))+_xlfn.XLOOKUP($B122,'2027 Avoided Costs'!$B$13:$B$47,'2027 Avoided Costs'!$AC$13:$AC$47))*IF($AO122&gt;0,$AO122*(1+$W122),0),0)</f>
        <v>725.30076638146602</v>
      </c>
      <c r="AY122" s="291" cm="1">
        <f t="array" ref="AY122">IFERROR((IF($O122=1,0,NPV('2027 Avoided Costs'!$D$4,_xlfn._xlws.FILTER('2027 Avoided Costs'!$I$14:$I$47,('2027 Avoided Costs'!$B$14:$B$47&gt;=$B122+1)*('2027 Avoided Costs'!$B$14:$B$47&lt;$B122+ROUND($O122,0)))))+_xlfn.XLOOKUP($B122,'2027 Avoided Costs'!$B$13:$B$47,'2027 Avoided Costs'!$I$13:$I$47))*IF($X122="Residential",'2027 Avoided Costs'!$J$5,IF($X122="Large Volume",'2027 Avoided Costs'!$J$7,'2027 Avoided Costs'!$J$6))*IF($AE122&gt;0,$AE122,0),0)</f>
        <v>0</v>
      </c>
      <c r="AZ122" s="291" cm="1">
        <f t="array" ref="AZ122">IFERROR(IF($J122="Baseload",IF($O122=1,0,NPV('2027 Avoided Costs'!$D$6,_xlfn._xlws.FILTER('2027 Avoided Costs'!$C$14:$C$47,('2027 Avoided Costs'!$B$14:$B$47&gt;=$B122+1)*('2027 Avoided Costs'!$B$14:$B$47&lt;$B122+ROUND($O122,0)))))+_xlfn.XLOOKUP($B122,'2027 Avoided Costs'!$B$13:$B$47,'2027 Avoided Costs'!$C$13:$C$47),IF($O122=1,0,NPV('2027 Avoided Costs'!$D$6,_xlfn._xlws.FILTER('2027 Avoided Costs'!$E$14:$E$47,('2027 Avoided Costs'!$B$14:$B$47&gt;=$B122+1)*('2027 Avoided Costs'!$B$14:$B$47&lt;$B122+ROUND($O122,0)))))+_xlfn.XLOOKUP($B122,'2027 Avoided Costs'!$B$13:$B$47,'2027 Avoided Costs'!$E$13:$E$47))*IF($AE122&lt;0,$AE122*(-1),0),0)</f>
        <v>0</v>
      </c>
      <c r="BA122" s="291" cm="1">
        <f t="array" ref="BA122">IFERROR((IF($O122=1,0,NPV('2027 Avoided Costs'!$D$6,_xlfn._xlws.FILTER('2027 Avoided Costs'!$M$14:$M$47,('2027 Avoided Costs'!$B$14:$B$47&gt;=$B122+1)*('2027 Avoided Costs'!$B$14:$B$47&lt;$B122+ROUND($O122,0)))))+_xlfn.XLOOKUP($B122,'2027 Avoided Costs'!$B$13:$B$47,'2027 Avoided Costs'!$M$13:$M$47))*IF($AK122&lt;0,$AK122*(-1),0),0)</f>
        <v>0</v>
      </c>
      <c r="BB122" s="291" cm="1">
        <f t="array" ref="BB122">IFERROR((IF($O122=1,0,NPV('2027 Avoided Costs'!$D$6,_xlfn._xlws.FILTER('2027 Avoided Costs'!$S$14:$S$47,('2027 Avoided Costs'!$B$14:$B$47&gt;=$B122+1)*('2027 Avoided Costs'!$B$14:$B$47&lt;$B122+ROUND($O122,0)))))+_xlfn.XLOOKUP($B122,'2027 Avoided Costs'!$B$13:$B$47,'2027 Avoided Costs'!$S$13:$S$47))*IF($AI122&lt;0,$AI122*(-1),0),0)</f>
        <v>0</v>
      </c>
      <c r="BC122" s="291" cm="1">
        <f t="array" ref="BC122">IFERROR((IF($O122=1,0,NPV('2027 Avoided Costs'!$D$6,_xlfn._xlws.FILTER('2027 Avoided Costs'!$Y$14:$Y$47,('2027 Avoided Costs'!$B$14:$B$47&gt;=$B122+1)*('2027 Avoided Costs'!$B$14:$B$47&lt;$B122+ROUND($O122,0)))))+_xlfn.XLOOKUP($B122,'2027 Avoided Costs'!$B$13:$B$47,'2027 Avoided Costs'!$Y$13:$Y$47))*IF($AM122&lt;0,$AM122*(-1),0),0)</f>
        <v>0</v>
      </c>
      <c r="BD122" s="291" cm="1">
        <f t="array" ref="BD122">IFERROR((IF($O122=1,0,NPV('2027 Avoided Costs'!$D$6,_xlfn._xlws.FILTER('2027 Avoided Costs'!$AE$14:$AE$47,('2027 Avoided Costs'!$B$14:$B$47&gt;=$B122+1)*('2027 Avoided Costs'!$B$14:$B$47&lt;$B122+ROUND($O122,0)))))+_xlfn.XLOOKUP($B122,'2027 Avoided Costs'!$B$13:$B$47,'2027 Avoided Costs'!$AE$13:$AE$47))*IF($AO122&lt;0,$AO122*(-1),0),0)</f>
        <v>0</v>
      </c>
      <c r="BE122" s="291" cm="1">
        <f t="array" ref="BE122">IFERROR((IF($O122=1,0,NPV('2027 Avoided Costs'!$D$4,_xlfn._xlws.FILTER('2027 Avoided Costs'!$I$14:$I$47,('2027 Avoided Costs'!$B$14:$B$47&gt;=$B122+1)*('2027 Avoided Costs'!$B$14:$B$47&lt;$B122+ROUND($O122,0)))))+_xlfn.XLOOKUP($B122,'2027 Avoided Costs'!$B$13:$B$47,'2027 Avoided Costs'!$I$13:$I$47))*IF($X122="Residential",'2027 Avoided Costs'!$J$5,IF($X122="Large Volume",'2027 Avoided Costs'!$J$7,'2027 Avoided Costs'!$J$6))*IF($AE122&lt;0,$AE122*(-1),0),0)</f>
        <v>0</v>
      </c>
      <c r="BF122" s="291">
        <f t="shared" si="50"/>
        <v>82098.498373085051</v>
      </c>
      <c r="BG122" s="291">
        <f t="shared" si="51"/>
        <v>26423.100000000002</v>
      </c>
      <c r="BH122" s="291">
        <f t="shared" si="52"/>
        <v>55675.398373085045</v>
      </c>
      <c r="BI122" s="292">
        <f t="shared" si="56"/>
        <v>3.1070729162393906</v>
      </c>
      <c r="BJ122" s="196" cm="1">
        <f t="array" ref="BJ122">IFERROR(IF($J122="Baseload",IF($O122=1,0,NPV('2027 Avoided Costs'!$D$6,_xlfn._xlws.FILTER('2027 Avoided Costs'!$C$14:$C$47,('2027 Avoided Costs'!$B$14:$B$47&gt;=$B122+1)*('2027 Avoided Costs'!$B$14:$B$47&lt;$B122+ROUND($O122,0)))))+_xlfn.XLOOKUP($B122,'2027 Avoided Costs'!$B$13:$B$47,'2027 Avoided Costs'!$C$13:$C$47),IF($O122=1,0,NPV('2027 Avoided Costs'!$D$6,_xlfn._xlws.FILTER('2027 Avoided Costs'!$E$14:$E$47,('2027 Avoided Costs'!$B$14:$B$47&gt;=$B122+1)*('2027 Avoided Costs'!$B$14:$B$47&lt;$B122+ROUND($O122,0)))))+_xlfn.XLOOKUP($B122,'2027 Avoided Costs'!$B$13:$B$47,'2027 Avoided Costs'!$E$13:$E$47))*IF($AE122&gt;0,$AE122*(1+0),0),0)</f>
        <v>50747.043220446954</v>
      </c>
      <c r="BK122" s="293">
        <f t="shared" si="53"/>
        <v>3.0126368613705998</v>
      </c>
    </row>
    <row r="123" spans="1:63" s="56" customFormat="1" x14ac:dyDescent="0.25">
      <c r="A123" s="270" t="s">
        <v>133</v>
      </c>
      <c r="B123" s="271">
        <v>2028</v>
      </c>
      <c r="C123" s="272" t="s">
        <v>13</v>
      </c>
      <c r="D123" s="272" t="s">
        <v>165</v>
      </c>
      <c r="E123" s="272" t="s">
        <v>90</v>
      </c>
      <c r="F123" s="273">
        <v>330</v>
      </c>
      <c r="G123" s="274">
        <v>1173.5426829268292</v>
      </c>
      <c r="H123" s="275">
        <f t="shared" si="30"/>
        <v>0.77065781465227279</v>
      </c>
      <c r="I123" s="274">
        <v>0</v>
      </c>
      <c r="J123" s="276" t="s">
        <v>263</v>
      </c>
      <c r="K123" s="277">
        <f t="shared" si="54"/>
        <v>0.8</v>
      </c>
      <c r="L123" s="278">
        <v>0.2</v>
      </c>
      <c r="M123" s="278">
        <v>0</v>
      </c>
      <c r="N123" s="278">
        <v>1</v>
      </c>
      <c r="O123" s="279">
        <v>15</v>
      </c>
      <c r="P123" s="280">
        <v>1522.780487804878</v>
      </c>
      <c r="Q123" s="281">
        <v>6919.8841463414637</v>
      </c>
      <c r="R123" s="282">
        <v>0.78994111259605027</v>
      </c>
      <c r="S123" s="282">
        <v>0.78994111259606004</v>
      </c>
      <c r="T123" s="281">
        <v>263.51141883531534</v>
      </c>
      <c r="U123" s="283">
        <v>0.24</v>
      </c>
      <c r="V123" s="284">
        <v>2347.0853658536585</v>
      </c>
      <c r="W123" s="285">
        <v>0.15</v>
      </c>
      <c r="X123" s="286" t="s">
        <v>255</v>
      </c>
      <c r="Y123" s="287">
        <f t="shared" si="31"/>
        <v>330</v>
      </c>
      <c r="Z123" s="288">
        <f t="shared" si="32"/>
        <v>387269.08536585362</v>
      </c>
      <c r="AA123" s="288">
        <f t="shared" si="33"/>
        <v>0</v>
      </c>
      <c r="AB123" s="288">
        <f t="shared" si="34"/>
        <v>395014.4670731707</v>
      </c>
      <c r="AC123" s="288">
        <f t="shared" si="55"/>
        <v>0</v>
      </c>
      <c r="AD123" s="287">
        <f t="shared" si="35"/>
        <v>502517.56097560975</v>
      </c>
      <c r="AE123" s="287">
        <f t="shared" si="36"/>
        <v>402014.04878048785</v>
      </c>
      <c r="AF123" s="287">
        <f t="shared" si="37"/>
        <v>7537763.4146341467</v>
      </c>
      <c r="AG123" s="287">
        <f t="shared" si="38"/>
        <v>6030210.7317073178</v>
      </c>
      <c r="AH123" s="287">
        <f t="shared" si="39"/>
        <v>2447978.2156097563</v>
      </c>
      <c r="AI123" s="287">
        <f t="shared" si="40"/>
        <v>1958382.5724878055</v>
      </c>
      <c r="AJ123" s="287">
        <f t="shared" si="41"/>
        <v>86958.768215654069</v>
      </c>
      <c r="AK123" s="287">
        <f t="shared" si="42"/>
        <v>69567.014572523258</v>
      </c>
      <c r="AL123" s="287">
        <f t="shared" si="43"/>
        <v>279.44956799197877</v>
      </c>
      <c r="AM123" s="287">
        <f t="shared" si="44"/>
        <v>223.55965439358303</v>
      </c>
      <c r="AN123" s="287">
        <f t="shared" si="45"/>
        <v>279.44956799198218</v>
      </c>
      <c r="AO123" s="287">
        <f t="shared" si="46"/>
        <v>223.55965439358579</v>
      </c>
      <c r="AP123" s="287">
        <f t="shared" si="47"/>
        <v>774538.17073170724</v>
      </c>
      <c r="AQ123" s="287">
        <f t="shared" si="48"/>
        <v>619630.53658536577</v>
      </c>
      <c r="AR123" s="287">
        <f t="shared" si="49"/>
        <v>96483.371707317085</v>
      </c>
      <c r="AS123" s="289" t="e">
        <f>IF(J123='2027 Avoided Costs'!#REF!,3,5)</f>
        <v>#REF!</v>
      </c>
      <c r="AT123" s="290" cm="1">
        <f t="array" ref="AT123">IFERROR(IF($J123="Baseload",IF($O123=1,0,NPV('2027 Avoided Costs'!$D$6,_xlfn._xlws.FILTER('2027 Avoided Costs'!$C$14:$C$47,('2027 Avoided Costs'!$B$14:$B$47&gt;=$B123+1)*('2027 Avoided Costs'!$B$14:$B$47&lt;$B123+ROUND($O123,0)))))+_xlfn.XLOOKUP($B123,'2027 Avoided Costs'!$B$13:$B$47,'2027 Avoided Costs'!$C$13:$C$47),IF($O123=1,0,NPV('2027 Avoided Costs'!$D$6,_xlfn._xlws.FILTER('2027 Avoided Costs'!$E$14:$E$47,('2027 Avoided Costs'!$B$14:$B$47&gt;=$B123+1)*('2027 Avoided Costs'!$B$14:$B$47&lt;$B123+ROUND($O123,0)))))+_xlfn.XLOOKUP($B123,'2027 Avoided Costs'!$B$13:$B$47,'2027 Avoided Costs'!$E$13:$E$47))*IF($AE123&gt;0,$AE123*(1+$W123),0),0)</f>
        <v>1469990.2759041819</v>
      </c>
      <c r="AU123" s="290" cm="1">
        <f t="array" ref="AU123">IFERROR((IF($O123=1,0,NPV('2027 Avoided Costs'!$D$6,_xlfn._xlws.FILTER('2027 Avoided Costs'!$M$14:$M$47,('2027 Avoided Costs'!$B$14:$B$47&gt;=$B123+1)*('2027 Avoided Costs'!$B$14:$B$47&lt;$B123+ROUND($O123,0)))))+_xlfn.XLOOKUP($B123,'2027 Avoided Costs'!$B$13:$B$47,'2027 Avoided Costs'!$M$13:$M$47))*IF($AK123&gt;0,$AK123*(1+$W123),0),0)</f>
        <v>1017292.8180854421</v>
      </c>
      <c r="AV123" s="291" cm="1">
        <f t="array" ref="AV123">IFERROR((IF($O123=1,0,NPV('2027 Avoided Costs'!$D$6,_xlfn._xlws.FILTER('2027 Avoided Costs'!$Q$14:$Q$47,('2027 Avoided Costs'!$B$14:$B$47&gt;=$B123+1)*('2027 Avoided Costs'!$B$14:$B$47&lt;$B123+ROUND($O123,0)))))+_xlfn.XLOOKUP($B123,'2027 Avoided Costs'!$B$13:$B$47,'2027 Avoided Costs'!$Q$13:$Q$47))*IF($AI123&gt;0,$AI123*(1+$W123),0),0)</f>
        <v>1279409.4010401862</v>
      </c>
      <c r="AW123" s="291" cm="1">
        <f t="array" ref="AW123">IFERROR((IF($O123=1,0,NPV('2027 Avoided Costs'!$D$6,_xlfn._xlws.FILTER('2027 Avoided Costs'!$W$14:$W$47,('2027 Avoided Costs'!$B$14:$B$47&gt;=$B123+1)*('2027 Avoided Costs'!$B$14:$B$47&lt;$B123+ROUND($O123,0)))))+_xlfn.XLOOKUP($B123,'2027 Avoided Costs'!$B$13:$B$47,'2027 Avoided Costs'!$W$13:$W$47))*IF($AM123&gt;0,$AM123*(1+$W123),0),0)</f>
        <v>915676.82686817017</v>
      </c>
      <c r="AX123" s="291" cm="1">
        <f t="array" ref="AX123">IFERROR((IF($O123=1,0,NPV('2027 Avoided Costs'!$D$6,_xlfn._xlws.FILTER('2027 Avoided Costs'!$AC$14:$AC$47,('2027 Avoided Costs'!$B$14:$B$47&gt;=$B123+1)*('2027 Avoided Costs'!$B$14:$B$47&lt;$B123+ROUND($O123,0)))))+_xlfn.XLOOKUP($B123,'2027 Avoided Costs'!$B$13:$B$47,'2027 Avoided Costs'!$AC$13:$AC$47))*IF($AO123&gt;0,$AO123*(1+$W123),0),0)</f>
        <v>57905.939135995621</v>
      </c>
      <c r="AY123" s="291" cm="1">
        <f t="array" ref="AY123">IFERROR((IF($O123=1,0,NPV('2027 Avoided Costs'!$D$4,_xlfn._xlws.FILTER('2027 Avoided Costs'!$I$14:$I$47,('2027 Avoided Costs'!$B$14:$B$47&gt;=$B123+1)*('2027 Avoided Costs'!$B$14:$B$47&lt;$B123+ROUND($O123,0)))))+_xlfn.XLOOKUP($B123,'2027 Avoided Costs'!$B$13:$B$47,'2027 Avoided Costs'!$I$13:$I$47))*IF($X123="Residential",'2027 Avoided Costs'!$J$5,IF($X123="Large Volume",'2027 Avoided Costs'!$J$7,'2027 Avoided Costs'!$J$6))*IF($AE123&gt;0,$AE123,0),0)</f>
        <v>0</v>
      </c>
      <c r="AZ123" s="291" cm="1">
        <f t="array" ref="AZ123">IFERROR(IF($J123="Baseload",IF($O123=1,0,NPV('2027 Avoided Costs'!$D$6,_xlfn._xlws.FILTER('2027 Avoided Costs'!$C$14:$C$47,('2027 Avoided Costs'!$B$14:$B$47&gt;=$B123+1)*('2027 Avoided Costs'!$B$14:$B$47&lt;$B123+ROUND($O123,0)))))+_xlfn.XLOOKUP($B123,'2027 Avoided Costs'!$B$13:$B$47,'2027 Avoided Costs'!$C$13:$C$47),IF($O123=1,0,NPV('2027 Avoided Costs'!$D$6,_xlfn._xlws.FILTER('2027 Avoided Costs'!$E$14:$E$47,('2027 Avoided Costs'!$B$14:$B$47&gt;=$B123+1)*('2027 Avoided Costs'!$B$14:$B$47&lt;$B123+ROUND($O123,0)))))+_xlfn.XLOOKUP($B123,'2027 Avoided Costs'!$B$13:$B$47,'2027 Avoided Costs'!$E$13:$E$47))*IF($AE123&lt;0,$AE123*(-1),0),0)</f>
        <v>0</v>
      </c>
      <c r="BA123" s="291" cm="1">
        <f t="array" ref="BA123">IFERROR((IF($O123=1,0,NPV('2027 Avoided Costs'!$D$6,_xlfn._xlws.FILTER('2027 Avoided Costs'!$M$14:$M$47,('2027 Avoided Costs'!$B$14:$B$47&gt;=$B123+1)*('2027 Avoided Costs'!$B$14:$B$47&lt;$B123+ROUND($O123,0)))))+_xlfn.XLOOKUP($B123,'2027 Avoided Costs'!$B$13:$B$47,'2027 Avoided Costs'!$M$13:$M$47))*IF($AK123&lt;0,$AK123*(-1),0),0)</f>
        <v>0</v>
      </c>
      <c r="BB123" s="291" cm="1">
        <f t="array" ref="BB123">IFERROR((IF($O123=1,0,NPV('2027 Avoided Costs'!$D$6,_xlfn._xlws.FILTER('2027 Avoided Costs'!$S$14:$S$47,('2027 Avoided Costs'!$B$14:$B$47&gt;=$B123+1)*('2027 Avoided Costs'!$B$14:$B$47&lt;$B123+ROUND($O123,0)))))+_xlfn.XLOOKUP($B123,'2027 Avoided Costs'!$B$13:$B$47,'2027 Avoided Costs'!$S$13:$S$47))*IF($AI123&lt;0,$AI123*(-1),0),0)</f>
        <v>0</v>
      </c>
      <c r="BC123" s="291" cm="1">
        <f t="array" ref="BC123">IFERROR((IF($O123=1,0,NPV('2027 Avoided Costs'!$D$6,_xlfn._xlws.FILTER('2027 Avoided Costs'!$Y$14:$Y$47,('2027 Avoided Costs'!$B$14:$B$47&gt;=$B123+1)*('2027 Avoided Costs'!$B$14:$B$47&lt;$B123+ROUND($O123,0)))))+_xlfn.XLOOKUP($B123,'2027 Avoided Costs'!$B$13:$B$47,'2027 Avoided Costs'!$Y$13:$Y$47))*IF($AM123&lt;0,$AM123*(-1),0),0)</f>
        <v>0</v>
      </c>
      <c r="BD123" s="291" cm="1">
        <f t="array" ref="BD123">IFERROR((IF($O123=1,0,NPV('2027 Avoided Costs'!$D$6,_xlfn._xlws.FILTER('2027 Avoided Costs'!$AE$14:$AE$47,('2027 Avoided Costs'!$B$14:$B$47&gt;=$B123+1)*('2027 Avoided Costs'!$B$14:$B$47&lt;$B123+ROUND($O123,0)))))+_xlfn.XLOOKUP($B123,'2027 Avoided Costs'!$B$13:$B$47,'2027 Avoided Costs'!$AE$13:$AE$47))*IF($AO123&lt;0,$AO123*(-1),0),0)</f>
        <v>0</v>
      </c>
      <c r="BE123" s="291" cm="1">
        <f t="array" ref="BE123">IFERROR((IF($O123=1,0,NPV('2027 Avoided Costs'!$D$4,_xlfn._xlws.FILTER('2027 Avoided Costs'!$I$14:$I$47,('2027 Avoided Costs'!$B$14:$B$47&gt;=$B123+1)*('2027 Avoided Costs'!$B$14:$B$47&lt;$B123+ROUND($O123,0)))))+_xlfn.XLOOKUP($B123,'2027 Avoided Costs'!$B$13:$B$47,'2027 Avoided Costs'!$I$13:$I$47))*IF($X123="Residential",'2027 Avoided Costs'!$J$5,IF($X123="Large Volume",'2027 Avoided Costs'!$J$7,'2027 Avoided Costs'!$J$6))*IF($AE123&lt;0,$AE123*(-1),0),0)</f>
        <v>0</v>
      </c>
      <c r="BF123" s="291">
        <f t="shared" si="50"/>
        <v>4740275.2610339755</v>
      </c>
      <c r="BG123" s="291">
        <f t="shared" si="51"/>
        <v>619630.53658536577</v>
      </c>
      <c r="BH123" s="291">
        <f t="shared" si="52"/>
        <v>4120644.7244486096</v>
      </c>
      <c r="BI123" s="292">
        <f t="shared" si="56"/>
        <v>7.6501640593061913</v>
      </c>
      <c r="BJ123" s="196" cm="1">
        <f t="array" ref="BJ123">IFERROR(IF($J123="Baseload",IF($O123=1,0,NPV('2027 Avoided Costs'!$D$6,_xlfn._xlws.FILTER('2027 Avoided Costs'!$C$14:$C$47,('2027 Avoided Costs'!$B$14:$B$47&gt;=$B123+1)*('2027 Avoided Costs'!$B$14:$B$47&lt;$B123+ROUND($O123,0)))))+_xlfn.XLOOKUP($B123,'2027 Avoided Costs'!$B$13:$B$47,'2027 Avoided Costs'!$C$13:$C$47),IF($O123=1,0,NPV('2027 Avoided Costs'!$D$6,_xlfn._xlws.FILTER('2027 Avoided Costs'!$E$14:$E$47,('2027 Avoided Costs'!$B$14:$B$47&gt;=$B123+1)*('2027 Avoided Costs'!$B$14:$B$47&lt;$B123+ROUND($O123,0)))))+_xlfn.XLOOKUP($B123,'2027 Avoided Costs'!$B$13:$B$47,'2027 Avoided Costs'!$E$13:$E$47))*IF($AE123&gt;0,$AE123*(1+0),0),0)</f>
        <v>1278252.4138297234</v>
      </c>
      <c r="BK123" s="293">
        <f t="shared" si="53"/>
        <v>3.2359635415402281</v>
      </c>
    </row>
    <row r="124" spans="1:63" s="56" customFormat="1" x14ac:dyDescent="0.25">
      <c r="A124" s="270" t="s">
        <v>133</v>
      </c>
      <c r="B124" s="271">
        <v>2029</v>
      </c>
      <c r="C124" s="272" t="s">
        <v>13</v>
      </c>
      <c r="D124" s="272" t="s">
        <v>165</v>
      </c>
      <c r="E124" s="272" t="s">
        <v>92</v>
      </c>
      <c r="F124" s="273">
        <v>927</v>
      </c>
      <c r="G124" s="274">
        <v>1389.0454545454545</v>
      </c>
      <c r="H124" s="275">
        <f t="shared" si="30"/>
        <v>0.91952276077013717</v>
      </c>
      <c r="I124" s="274">
        <v>0</v>
      </c>
      <c r="J124" s="276" t="s">
        <v>263</v>
      </c>
      <c r="K124" s="277">
        <f t="shared" si="54"/>
        <v>0.8</v>
      </c>
      <c r="L124" s="278">
        <v>0.2</v>
      </c>
      <c r="M124" s="278">
        <v>0</v>
      </c>
      <c r="N124" s="278">
        <v>1</v>
      </c>
      <c r="O124" s="279">
        <v>12</v>
      </c>
      <c r="P124" s="280">
        <v>1510.6156299840509</v>
      </c>
      <c r="Q124" s="281">
        <v>0</v>
      </c>
      <c r="R124" s="282">
        <v>0</v>
      </c>
      <c r="S124" s="282">
        <v>0</v>
      </c>
      <c r="T124" s="281">
        <v>0</v>
      </c>
      <c r="U124" s="283">
        <v>0.24</v>
      </c>
      <c r="V124" s="284">
        <v>2778.090909090909</v>
      </c>
      <c r="W124" s="285">
        <v>0.15</v>
      </c>
      <c r="X124" s="286" t="s">
        <v>255</v>
      </c>
      <c r="Y124" s="287">
        <f t="shared" si="31"/>
        <v>927</v>
      </c>
      <c r="Z124" s="288">
        <f t="shared" si="32"/>
        <v>1287645.1363636362</v>
      </c>
      <c r="AA124" s="288">
        <f t="shared" si="33"/>
        <v>0</v>
      </c>
      <c r="AB124" s="288">
        <f t="shared" si="34"/>
        <v>1339665.9998727271</v>
      </c>
      <c r="AC124" s="288">
        <f t="shared" si="55"/>
        <v>0</v>
      </c>
      <c r="AD124" s="287">
        <f t="shared" si="35"/>
        <v>1400340.6889952151</v>
      </c>
      <c r="AE124" s="287">
        <f t="shared" si="36"/>
        <v>1120272.5511961721</v>
      </c>
      <c r="AF124" s="287">
        <f t="shared" si="37"/>
        <v>16804088.267942581</v>
      </c>
      <c r="AG124" s="287">
        <f t="shared" si="38"/>
        <v>13443270.614354067</v>
      </c>
      <c r="AH124" s="287">
        <f t="shared" si="39"/>
        <v>0</v>
      </c>
      <c r="AI124" s="287">
        <f t="shared" si="40"/>
        <v>0</v>
      </c>
      <c r="AJ124" s="287">
        <f t="shared" si="41"/>
        <v>0</v>
      </c>
      <c r="AK124" s="287">
        <f t="shared" si="42"/>
        <v>0</v>
      </c>
      <c r="AL124" s="287">
        <f t="shared" si="43"/>
        <v>0</v>
      </c>
      <c r="AM124" s="287">
        <f t="shared" si="44"/>
        <v>0</v>
      </c>
      <c r="AN124" s="287">
        <f t="shared" si="45"/>
        <v>0</v>
      </c>
      <c r="AO124" s="287">
        <f t="shared" si="46"/>
        <v>0</v>
      </c>
      <c r="AP124" s="287">
        <f t="shared" si="47"/>
        <v>2575290.2727272725</v>
      </c>
      <c r="AQ124" s="287">
        <f t="shared" si="48"/>
        <v>2060232.218181818</v>
      </c>
      <c r="AR124" s="287">
        <f t="shared" si="49"/>
        <v>268865.4122870813</v>
      </c>
      <c r="AS124" s="289" t="e">
        <f>IF(J124='2027 Avoided Costs'!#REF!,3,5)</f>
        <v>#REF!</v>
      </c>
      <c r="AT124" s="290" cm="1">
        <f t="array" ref="AT124">IFERROR(IF($J124="Baseload",IF($O124=1,0,NPV('2027 Avoided Costs'!$D$6,_xlfn._xlws.FILTER('2027 Avoided Costs'!$C$14:$C$47,('2027 Avoided Costs'!$B$14:$B$47&gt;=$B124+1)*('2027 Avoided Costs'!$B$14:$B$47&lt;$B124+ROUND($O124,0)))))+_xlfn.XLOOKUP($B124,'2027 Avoided Costs'!$B$13:$B$47,'2027 Avoided Costs'!$C$13:$C$47),IF($O124=1,0,NPV('2027 Avoided Costs'!$D$6,_xlfn._xlws.FILTER('2027 Avoided Costs'!$E$14:$E$47,('2027 Avoided Costs'!$B$14:$B$47&gt;=$B124+1)*('2027 Avoided Costs'!$B$14:$B$47&lt;$B124+ROUND($O124,0)))))+_xlfn.XLOOKUP($B124,'2027 Avoided Costs'!$B$13:$B$47,'2027 Avoided Costs'!$E$13:$E$47))*IF($AE124&gt;0,$AE124*(1+$W124),0),0)</f>
        <v>3547161.68933659</v>
      </c>
      <c r="AU124" s="290" cm="1">
        <f t="array" ref="AU124">IFERROR((IF($O124=1,0,NPV('2027 Avoided Costs'!$D$6,_xlfn._xlws.FILTER('2027 Avoided Costs'!$M$14:$M$47,('2027 Avoided Costs'!$B$14:$B$47&gt;=$B124+1)*('2027 Avoided Costs'!$B$14:$B$47&lt;$B124+ROUND($O124,0)))))+_xlfn.XLOOKUP($B124,'2027 Avoided Costs'!$B$13:$B$47,'2027 Avoided Costs'!$M$13:$M$47))*IF($AK124&gt;0,$AK124*(1+$W124),0),0)</f>
        <v>0</v>
      </c>
      <c r="AV124" s="291" cm="1">
        <f t="array" ref="AV124">IFERROR((IF($O124=1,0,NPV('2027 Avoided Costs'!$D$6,_xlfn._xlws.FILTER('2027 Avoided Costs'!$Q$14:$Q$47,('2027 Avoided Costs'!$B$14:$B$47&gt;=$B124+1)*('2027 Avoided Costs'!$B$14:$B$47&lt;$B124+ROUND($O124,0)))))+_xlfn.XLOOKUP($B124,'2027 Avoided Costs'!$B$13:$B$47,'2027 Avoided Costs'!$Q$13:$Q$47))*IF($AI124&gt;0,$AI124*(1+$W124),0),0)</f>
        <v>0</v>
      </c>
      <c r="AW124" s="291" cm="1">
        <f t="array" ref="AW124">IFERROR((IF($O124=1,0,NPV('2027 Avoided Costs'!$D$6,_xlfn._xlws.FILTER('2027 Avoided Costs'!$W$14:$W$47,('2027 Avoided Costs'!$B$14:$B$47&gt;=$B124+1)*('2027 Avoided Costs'!$B$14:$B$47&lt;$B124+ROUND($O124,0)))))+_xlfn.XLOOKUP($B124,'2027 Avoided Costs'!$B$13:$B$47,'2027 Avoided Costs'!$W$13:$W$47))*IF($AM124&gt;0,$AM124*(1+$W124),0),0)</f>
        <v>0</v>
      </c>
      <c r="AX124" s="291" cm="1">
        <f t="array" ref="AX124">IFERROR((IF($O124=1,0,NPV('2027 Avoided Costs'!$D$6,_xlfn._xlws.FILTER('2027 Avoided Costs'!$AC$14:$AC$47,('2027 Avoided Costs'!$B$14:$B$47&gt;=$B124+1)*('2027 Avoided Costs'!$B$14:$B$47&lt;$B124+ROUND($O124,0)))))+_xlfn.XLOOKUP($B124,'2027 Avoided Costs'!$B$13:$B$47,'2027 Avoided Costs'!$AC$13:$AC$47))*IF($AO124&gt;0,$AO124*(1+$W124),0),0)</f>
        <v>0</v>
      </c>
      <c r="AY124" s="291" cm="1">
        <f t="array" ref="AY124">IFERROR((IF($O124=1,0,NPV('2027 Avoided Costs'!$D$4,_xlfn._xlws.FILTER('2027 Avoided Costs'!$I$14:$I$47,('2027 Avoided Costs'!$B$14:$B$47&gt;=$B124+1)*('2027 Avoided Costs'!$B$14:$B$47&lt;$B124+ROUND($O124,0)))))+_xlfn.XLOOKUP($B124,'2027 Avoided Costs'!$B$13:$B$47,'2027 Avoided Costs'!$I$13:$I$47))*IF($X124="Residential",'2027 Avoided Costs'!$J$5,IF($X124="Large Volume",'2027 Avoided Costs'!$J$7,'2027 Avoided Costs'!$J$6))*IF($AE124&gt;0,$AE124,0),0)</f>
        <v>0</v>
      </c>
      <c r="AZ124" s="291" cm="1">
        <f t="array" ref="AZ124">IFERROR(IF($J124="Baseload",IF($O124=1,0,NPV('2027 Avoided Costs'!$D$6,_xlfn._xlws.FILTER('2027 Avoided Costs'!$C$14:$C$47,('2027 Avoided Costs'!$B$14:$B$47&gt;=$B124+1)*('2027 Avoided Costs'!$B$14:$B$47&lt;$B124+ROUND($O124,0)))))+_xlfn.XLOOKUP($B124,'2027 Avoided Costs'!$B$13:$B$47,'2027 Avoided Costs'!$C$13:$C$47),IF($O124=1,0,NPV('2027 Avoided Costs'!$D$6,_xlfn._xlws.FILTER('2027 Avoided Costs'!$E$14:$E$47,('2027 Avoided Costs'!$B$14:$B$47&gt;=$B124+1)*('2027 Avoided Costs'!$B$14:$B$47&lt;$B124+ROUND($O124,0)))))+_xlfn.XLOOKUP($B124,'2027 Avoided Costs'!$B$13:$B$47,'2027 Avoided Costs'!$E$13:$E$47))*IF($AE124&lt;0,$AE124*(-1),0),0)</f>
        <v>0</v>
      </c>
      <c r="BA124" s="291" cm="1">
        <f t="array" ref="BA124">IFERROR((IF($O124=1,0,NPV('2027 Avoided Costs'!$D$6,_xlfn._xlws.FILTER('2027 Avoided Costs'!$M$14:$M$47,('2027 Avoided Costs'!$B$14:$B$47&gt;=$B124+1)*('2027 Avoided Costs'!$B$14:$B$47&lt;$B124+ROUND($O124,0)))))+_xlfn.XLOOKUP($B124,'2027 Avoided Costs'!$B$13:$B$47,'2027 Avoided Costs'!$M$13:$M$47))*IF($AK124&lt;0,$AK124*(-1),0),0)</f>
        <v>0</v>
      </c>
      <c r="BB124" s="291" cm="1">
        <f t="array" ref="BB124">IFERROR((IF($O124=1,0,NPV('2027 Avoided Costs'!$D$6,_xlfn._xlws.FILTER('2027 Avoided Costs'!$S$14:$S$47,('2027 Avoided Costs'!$B$14:$B$47&gt;=$B124+1)*('2027 Avoided Costs'!$B$14:$B$47&lt;$B124+ROUND($O124,0)))))+_xlfn.XLOOKUP($B124,'2027 Avoided Costs'!$B$13:$B$47,'2027 Avoided Costs'!$S$13:$S$47))*IF($AI124&lt;0,$AI124*(-1),0),0)</f>
        <v>0</v>
      </c>
      <c r="BC124" s="291" cm="1">
        <f t="array" ref="BC124">IFERROR((IF($O124=1,0,NPV('2027 Avoided Costs'!$D$6,_xlfn._xlws.FILTER('2027 Avoided Costs'!$Y$14:$Y$47,('2027 Avoided Costs'!$B$14:$B$47&gt;=$B124+1)*('2027 Avoided Costs'!$B$14:$B$47&lt;$B124+ROUND($O124,0)))))+_xlfn.XLOOKUP($B124,'2027 Avoided Costs'!$B$13:$B$47,'2027 Avoided Costs'!$Y$13:$Y$47))*IF($AM124&lt;0,$AM124*(-1),0),0)</f>
        <v>0</v>
      </c>
      <c r="BD124" s="291" cm="1">
        <f t="array" ref="BD124">IFERROR((IF($O124=1,0,NPV('2027 Avoided Costs'!$D$6,_xlfn._xlws.FILTER('2027 Avoided Costs'!$AE$14:$AE$47,('2027 Avoided Costs'!$B$14:$B$47&gt;=$B124+1)*('2027 Avoided Costs'!$B$14:$B$47&lt;$B124+ROUND($O124,0)))))+_xlfn.XLOOKUP($B124,'2027 Avoided Costs'!$B$13:$B$47,'2027 Avoided Costs'!$AE$13:$AE$47))*IF($AO124&lt;0,$AO124*(-1),0),0)</f>
        <v>0</v>
      </c>
      <c r="BE124" s="291" cm="1">
        <f t="array" ref="BE124">IFERROR((IF($O124=1,0,NPV('2027 Avoided Costs'!$D$4,_xlfn._xlws.FILTER('2027 Avoided Costs'!$I$14:$I$47,('2027 Avoided Costs'!$B$14:$B$47&gt;=$B124+1)*('2027 Avoided Costs'!$B$14:$B$47&lt;$B124+ROUND($O124,0)))))+_xlfn.XLOOKUP($B124,'2027 Avoided Costs'!$B$13:$B$47,'2027 Avoided Costs'!$I$13:$I$47))*IF($X124="Residential",'2027 Avoided Costs'!$J$5,IF($X124="Large Volume",'2027 Avoided Costs'!$J$7,'2027 Avoided Costs'!$J$6))*IF($AE124&lt;0,$AE124*(-1),0),0)</f>
        <v>0</v>
      </c>
      <c r="BF124" s="291">
        <f t="shared" si="50"/>
        <v>3547161.68933659</v>
      </c>
      <c r="BG124" s="291">
        <f t="shared" si="51"/>
        <v>2060232.218181818</v>
      </c>
      <c r="BH124" s="291">
        <f t="shared" si="52"/>
        <v>1486929.471154772</v>
      </c>
      <c r="BI124" s="292">
        <f t="shared" si="56"/>
        <v>1.7217290643415948</v>
      </c>
      <c r="BJ124" s="196" cm="1">
        <f t="array" ref="BJ124">IFERROR(IF($J124="Baseload",IF($O124=1,0,NPV('2027 Avoided Costs'!$D$6,_xlfn._xlws.FILTER('2027 Avoided Costs'!$C$14:$C$47,('2027 Avoided Costs'!$B$14:$B$47&gt;=$B124+1)*('2027 Avoided Costs'!$B$14:$B$47&lt;$B124+ROUND($O124,0)))))+_xlfn.XLOOKUP($B124,'2027 Avoided Costs'!$B$13:$B$47,'2027 Avoided Costs'!$C$13:$C$47),IF($O124=1,0,NPV('2027 Avoided Costs'!$D$6,_xlfn._xlws.FILTER('2027 Avoided Costs'!$E$14:$E$47,('2027 Avoided Costs'!$B$14:$B$47&gt;=$B124+1)*('2027 Avoided Costs'!$B$14:$B$47&lt;$B124+ROUND($O124,0)))))+_xlfn.XLOOKUP($B124,'2027 Avoided Costs'!$B$13:$B$47,'2027 Avoided Costs'!$E$13:$E$47))*IF($AE124&gt;0,$AE124*(1+0),0),0)</f>
        <v>3084488.4255100787</v>
      </c>
      <c r="BK124" s="293">
        <f t="shared" si="53"/>
        <v>2.3024309236803173</v>
      </c>
    </row>
    <row r="125" spans="1:63" s="56" customFormat="1" x14ac:dyDescent="0.25">
      <c r="A125" s="270" t="s">
        <v>133</v>
      </c>
      <c r="B125" s="271">
        <v>2029</v>
      </c>
      <c r="C125" s="272" t="s">
        <v>13</v>
      </c>
      <c r="D125" s="272" t="s">
        <v>165</v>
      </c>
      <c r="E125" s="272" t="s">
        <v>93</v>
      </c>
      <c r="F125" s="273">
        <v>13</v>
      </c>
      <c r="G125" s="274">
        <v>1522.5</v>
      </c>
      <c r="H125" s="275">
        <f t="shared" si="30"/>
        <v>0.18718622997848436</v>
      </c>
      <c r="I125" s="274">
        <v>0</v>
      </c>
      <c r="J125" s="276" t="s">
        <v>263</v>
      </c>
      <c r="K125" s="277">
        <f t="shared" si="54"/>
        <v>0.8</v>
      </c>
      <c r="L125" s="278">
        <v>0.2</v>
      </c>
      <c r="M125" s="278">
        <v>0</v>
      </c>
      <c r="N125" s="278">
        <v>1</v>
      </c>
      <c r="O125" s="279">
        <v>12</v>
      </c>
      <c r="P125" s="280">
        <v>8133.6111111111104</v>
      </c>
      <c r="Q125" s="281">
        <v>0</v>
      </c>
      <c r="R125" s="282">
        <v>0</v>
      </c>
      <c r="S125" s="282">
        <v>0</v>
      </c>
      <c r="T125" s="281">
        <v>1139.311049317778</v>
      </c>
      <c r="U125" s="283">
        <v>0.24</v>
      </c>
      <c r="V125" s="284">
        <v>3045</v>
      </c>
      <c r="W125" s="285">
        <v>0.15</v>
      </c>
      <c r="X125" s="286" t="s">
        <v>255</v>
      </c>
      <c r="Y125" s="287">
        <f t="shared" si="31"/>
        <v>13</v>
      </c>
      <c r="Z125" s="288">
        <f t="shared" si="32"/>
        <v>19792.5</v>
      </c>
      <c r="AA125" s="288">
        <f t="shared" si="33"/>
        <v>0</v>
      </c>
      <c r="AB125" s="288">
        <f t="shared" si="34"/>
        <v>20592.116999999998</v>
      </c>
      <c r="AC125" s="288">
        <f t="shared" si="55"/>
        <v>0</v>
      </c>
      <c r="AD125" s="287">
        <f t="shared" si="35"/>
        <v>105736.94444444444</v>
      </c>
      <c r="AE125" s="287">
        <f t="shared" si="36"/>
        <v>84589.555555555562</v>
      </c>
      <c r="AF125" s="287">
        <f t="shared" si="37"/>
        <v>1268843.3333333333</v>
      </c>
      <c r="AG125" s="287">
        <f t="shared" si="38"/>
        <v>1015074.6666666667</v>
      </c>
      <c r="AH125" s="287">
        <f t="shared" si="39"/>
        <v>0</v>
      </c>
      <c r="AI125" s="287">
        <f t="shared" si="40"/>
        <v>0</v>
      </c>
      <c r="AJ125" s="287">
        <f t="shared" si="41"/>
        <v>14811.043641131115</v>
      </c>
      <c r="AK125" s="287">
        <f t="shared" si="42"/>
        <v>11848.834912904893</v>
      </c>
      <c r="AL125" s="287">
        <f t="shared" si="43"/>
        <v>0</v>
      </c>
      <c r="AM125" s="287">
        <f t="shared" si="44"/>
        <v>0</v>
      </c>
      <c r="AN125" s="287">
        <f t="shared" si="45"/>
        <v>0</v>
      </c>
      <c r="AO125" s="287">
        <f t="shared" si="46"/>
        <v>0</v>
      </c>
      <c r="AP125" s="287">
        <f t="shared" si="47"/>
        <v>39585</v>
      </c>
      <c r="AQ125" s="287">
        <f t="shared" si="48"/>
        <v>31668</v>
      </c>
      <c r="AR125" s="287">
        <f t="shared" si="49"/>
        <v>20301.493333333336</v>
      </c>
      <c r="AS125" s="289" t="e">
        <f>IF(J125='2027 Avoided Costs'!#REF!,3,5)</f>
        <v>#REF!</v>
      </c>
      <c r="AT125" s="290" cm="1">
        <f t="array" ref="AT125">IFERROR(IF($J125="Baseload",IF($O125=1,0,NPV('2027 Avoided Costs'!$D$6,_xlfn._xlws.FILTER('2027 Avoided Costs'!$C$14:$C$47,('2027 Avoided Costs'!$B$14:$B$47&gt;=$B125+1)*('2027 Avoided Costs'!$B$14:$B$47&lt;$B125+ROUND($O125,0)))))+_xlfn.XLOOKUP($B125,'2027 Avoided Costs'!$B$13:$B$47,'2027 Avoided Costs'!$C$13:$C$47),IF($O125=1,0,NPV('2027 Avoided Costs'!$D$6,_xlfn._xlws.FILTER('2027 Avoided Costs'!$E$14:$E$47,('2027 Avoided Costs'!$B$14:$B$47&gt;=$B125+1)*('2027 Avoided Costs'!$B$14:$B$47&lt;$B125+ROUND($O125,0)))))+_xlfn.XLOOKUP($B125,'2027 Avoided Costs'!$B$13:$B$47,'2027 Avoided Costs'!$E$13:$E$47))*IF($AE125&gt;0,$AE125*(1+$W125),0),0)</f>
        <v>267839.1347393936</v>
      </c>
      <c r="AU125" s="290" cm="1">
        <f t="array" ref="AU125">IFERROR((IF($O125=1,0,NPV('2027 Avoided Costs'!$D$6,_xlfn._xlws.FILTER('2027 Avoided Costs'!$M$14:$M$47,('2027 Avoided Costs'!$B$14:$B$47&gt;=$B125+1)*('2027 Avoided Costs'!$B$14:$B$47&lt;$B125+ROUND($O125,0)))))+_xlfn.XLOOKUP($B125,'2027 Avoided Costs'!$B$13:$B$47,'2027 Avoided Costs'!$M$13:$M$47))*IF($AK125&gt;0,$AK125*(1+$W125),0),0)</f>
        <v>149181.27663967182</v>
      </c>
      <c r="AV125" s="291" cm="1">
        <f t="array" ref="AV125">IFERROR((IF($O125=1,0,NPV('2027 Avoided Costs'!$D$6,_xlfn._xlws.FILTER('2027 Avoided Costs'!$Q$14:$Q$47,('2027 Avoided Costs'!$B$14:$B$47&gt;=$B125+1)*('2027 Avoided Costs'!$B$14:$B$47&lt;$B125+ROUND($O125,0)))))+_xlfn.XLOOKUP($B125,'2027 Avoided Costs'!$B$13:$B$47,'2027 Avoided Costs'!$Q$13:$Q$47))*IF($AI125&gt;0,$AI125*(1+$W125),0),0)</f>
        <v>0</v>
      </c>
      <c r="AW125" s="291" cm="1">
        <f t="array" ref="AW125">IFERROR((IF($O125=1,0,NPV('2027 Avoided Costs'!$D$6,_xlfn._xlws.FILTER('2027 Avoided Costs'!$W$14:$W$47,('2027 Avoided Costs'!$B$14:$B$47&gt;=$B125+1)*('2027 Avoided Costs'!$B$14:$B$47&lt;$B125+ROUND($O125,0)))))+_xlfn.XLOOKUP($B125,'2027 Avoided Costs'!$B$13:$B$47,'2027 Avoided Costs'!$W$13:$W$47))*IF($AM125&gt;0,$AM125*(1+$W125),0),0)</f>
        <v>0</v>
      </c>
      <c r="AX125" s="291" cm="1">
        <f t="array" ref="AX125">IFERROR((IF($O125=1,0,NPV('2027 Avoided Costs'!$D$6,_xlfn._xlws.FILTER('2027 Avoided Costs'!$AC$14:$AC$47,('2027 Avoided Costs'!$B$14:$B$47&gt;=$B125+1)*('2027 Avoided Costs'!$B$14:$B$47&lt;$B125+ROUND($O125,0)))))+_xlfn.XLOOKUP($B125,'2027 Avoided Costs'!$B$13:$B$47,'2027 Avoided Costs'!$AC$13:$AC$47))*IF($AO125&gt;0,$AO125*(1+$W125),0),0)</f>
        <v>0</v>
      </c>
      <c r="AY125" s="291" cm="1">
        <f t="array" ref="AY125">IFERROR((IF($O125=1,0,NPV('2027 Avoided Costs'!$D$4,_xlfn._xlws.FILTER('2027 Avoided Costs'!$I$14:$I$47,('2027 Avoided Costs'!$B$14:$B$47&gt;=$B125+1)*('2027 Avoided Costs'!$B$14:$B$47&lt;$B125+ROUND($O125,0)))))+_xlfn.XLOOKUP($B125,'2027 Avoided Costs'!$B$13:$B$47,'2027 Avoided Costs'!$I$13:$I$47))*IF($X125="Residential",'2027 Avoided Costs'!$J$5,IF($X125="Large Volume",'2027 Avoided Costs'!$J$7,'2027 Avoided Costs'!$J$6))*IF($AE125&gt;0,$AE125,0),0)</f>
        <v>0</v>
      </c>
      <c r="AZ125" s="291" cm="1">
        <f t="array" ref="AZ125">IFERROR(IF($J125="Baseload",IF($O125=1,0,NPV('2027 Avoided Costs'!$D$6,_xlfn._xlws.FILTER('2027 Avoided Costs'!$C$14:$C$47,('2027 Avoided Costs'!$B$14:$B$47&gt;=$B125+1)*('2027 Avoided Costs'!$B$14:$B$47&lt;$B125+ROUND($O125,0)))))+_xlfn.XLOOKUP($B125,'2027 Avoided Costs'!$B$13:$B$47,'2027 Avoided Costs'!$C$13:$C$47),IF($O125=1,0,NPV('2027 Avoided Costs'!$D$6,_xlfn._xlws.FILTER('2027 Avoided Costs'!$E$14:$E$47,('2027 Avoided Costs'!$B$14:$B$47&gt;=$B125+1)*('2027 Avoided Costs'!$B$14:$B$47&lt;$B125+ROUND($O125,0)))))+_xlfn.XLOOKUP($B125,'2027 Avoided Costs'!$B$13:$B$47,'2027 Avoided Costs'!$E$13:$E$47))*IF($AE125&lt;0,$AE125*(-1),0),0)</f>
        <v>0</v>
      </c>
      <c r="BA125" s="291" cm="1">
        <f t="array" ref="BA125">IFERROR((IF($O125=1,0,NPV('2027 Avoided Costs'!$D$6,_xlfn._xlws.FILTER('2027 Avoided Costs'!$M$14:$M$47,('2027 Avoided Costs'!$B$14:$B$47&gt;=$B125+1)*('2027 Avoided Costs'!$B$14:$B$47&lt;$B125+ROUND($O125,0)))))+_xlfn.XLOOKUP($B125,'2027 Avoided Costs'!$B$13:$B$47,'2027 Avoided Costs'!$M$13:$M$47))*IF($AK125&lt;0,$AK125*(-1),0),0)</f>
        <v>0</v>
      </c>
      <c r="BB125" s="291" cm="1">
        <f t="array" ref="BB125">IFERROR((IF($O125=1,0,NPV('2027 Avoided Costs'!$D$6,_xlfn._xlws.FILTER('2027 Avoided Costs'!$S$14:$S$47,('2027 Avoided Costs'!$B$14:$B$47&gt;=$B125+1)*('2027 Avoided Costs'!$B$14:$B$47&lt;$B125+ROUND($O125,0)))))+_xlfn.XLOOKUP($B125,'2027 Avoided Costs'!$B$13:$B$47,'2027 Avoided Costs'!$S$13:$S$47))*IF($AI125&lt;0,$AI125*(-1),0),0)</f>
        <v>0</v>
      </c>
      <c r="BC125" s="291" cm="1">
        <f t="array" ref="BC125">IFERROR((IF($O125=1,0,NPV('2027 Avoided Costs'!$D$6,_xlfn._xlws.FILTER('2027 Avoided Costs'!$Y$14:$Y$47,('2027 Avoided Costs'!$B$14:$B$47&gt;=$B125+1)*('2027 Avoided Costs'!$B$14:$B$47&lt;$B125+ROUND($O125,0)))))+_xlfn.XLOOKUP($B125,'2027 Avoided Costs'!$B$13:$B$47,'2027 Avoided Costs'!$Y$13:$Y$47))*IF($AM125&lt;0,$AM125*(-1),0),0)</f>
        <v>0</v>
      </c>
      <c r="BD125" s="291" cm="1">
        <f t="array" ref="BD125">IFERROR((IF($O125=1,0,NPV('2027 Avoided Costs'!$D$6,_xlfn._xlws.FILTER('2027 Avoided Costs'!$AE$14:$AE$47,('2027 Avoided Costs'!$B$14:$B$47&gt;=$B125+1)*('2027 Avoided Costs'!$B$14:$B$47&lt;$B125+ROUND($O125,0)))))+_xlfn.XLOOKUP($B125,'2027 Avoided Costs'!$B$13:$B$47,'2027 Avoided Costs'!$AE$13:$AE$47))*IF($AO125&lt;0,$AO125*(-1),0),0)</f>
        <v>0</v>
      </c>
      <c r="BE125" s="291" cm="1">
        <f t="array" ref="BE125">IFERROR((IF($O125=1,0,NPV('2027 Avoided Costs'!$D$4,_xlfn._xlws.FILTER('2027 Avoided Costs'!$I$14:$I$47,('2027 Avoided Costs'!$B$14:$B$47&gt;=$B125+1)*('2027 Avoided Costs'!$B$14:$B$47&lt;$B125+ROUND($O125,0)))))+_xlfn.XLOOKUP($B125,'2027 Avoided Costs'!$B$13:$B$47,'2027 Avoided Costs'!$I$13:$I$47))*IF($X125="Residential",'2027 Avoided Costs'!$J$5,IF($X125="Large Volume",'2027 Avoided Costs'!$J$7,'2027 Avoided Costs'!$J$6))*IF($AE125&lt;0,$AE125*(-1),0),0)</f>
        <v>0</v>
      </c>
      <c r="BF125" s="291">
        <f t="shared" si="50"/>
        <v>417020.41137906542</v>
      </c>
      <c r="BG125" s="291">
        <f t="shared" si="51"/>
        <v>31668</v>
      </c>
      <c r="BH125" s="291">
        <f t="shared" si="52"/>
        <v>385352.41137906542</v>
      </c>
      <c r="BI125" s="292">
        <f t="shared" si="56"/>
        <v>13.168511158869061</v>
      </c>
      <c r="BJ125" s="196" cm="1">
        <f t="array" ref="BJ125">IFERROR(IF($J125="Baseload",IF($O125=1,0,NPV('2027 Avoided Costs'!$D$6,_xlfn._xlws.FILTER('2027 Avoided Costs'!$C$14:$C$47,('2027 Avoided Costs'!$B$14:$B$47&gt;=$B125+1)*('2027 Avoided Costs'!$B$14:$B$47&lt;$B125+ROUND($O125,0)))))+_xlfn.XLOOKUP($B125,'2027 Avoided Costs'!$B$13:$B$47,'2027 Avoided Costs'!$C$13:$C$47),IF($O125=1,0,NPV('2027 Avoided Costs'!$D$6,_xlfn._xlws.FILTER('2027 Avoided Costs'!$E$14:$E$47,('2027 Avoided Costs'!$B$14:$B$47&gt;=$B125+1)*('2027 Avoided Costs'!$B$14:$B$47&lt;$B125+ROUND($O125,0)))))+_xlfn.XLOOKUP($B125,'2027 Avoided Costs'!$B$13:$B$47,'2027 Avoided Costs'!$E$13:$E$47))*IF($AE125&gt;0,$AE125*(1+0),0),0)</f>
        <v>232903.5954255597</v>
      </c>
      <c r="BK125" s="293">
        <f t="shared" si="53"/>
        <v>11.310327900019203</v>
      </c>
    </row>
    <row r="126" spans="1:63" s="56" customFormat="1" x14ac:dyDescent="0.25">
      <c r="A126" s="270" t="s">
        <v>133</v>
      </c>
      <c r="B126" s="271">
        <v>2029</v>
      </c>
      <c r="C126" s="272" t="s">
        <v>13</v>
      </c>
      <c r="D126" s="272" t="s">
        <v>165</v>
      </c>
      <c r="E126" s="272" t="s">
        <v>91</v>
      </c>
      <c r="F126" s="273">
        <v>338</v>
      </c>
      <c r="G126" s="274">
        <v>600</v>
      </c>
      <c r="H126" s="275">
        <f t="shared" si="30"/>
        <v>0.62893081761006286</v>
      </c>
      <c r="I126" s="274">
        <v>0</v>
      </c>
      <c r="J126" s="276" t="s">
        <v>263</v>
      </c>
      <c r="K126" s="277">
        <f t="shared" si="54"/>
        <v>0.8</v>
      </c>
      <c r="L126" s="278">
        <v>0.2</v>
      </c>
      <c r="M126" s="278">
        <v>0</v>
      </c>
      <c r="N126" s="278">
        <v>1</v>
      </c>
      <c r="O126" s="279">
        <v>12</v>
      </c>
      <c r="P126" s="280">
        <v>954</v>
      </c>
      <c r="Q126" s="281">
        <v>44.2</v>
      </c>
      <c r="R126" s="282">
        <v>5.0456621004565747E-3</v>
      </c>
      <c r="S126" s="282">
        <v>5.0456621004566372E-3</v>
      </c>
      <c r="T126" s="281">
        <v>0</v>
      </c>
      <c r="U126" s="283">
        <v>0.24</v>
      </c>
      <c r="V126" s="284">
        <v>1200</v>
      </c>
      <c r="W126" s="285">
        <v>0.15</v>
      </c>
      <c r="X126" s="286" t="s">
        <v>255</v>
      </c>
      <c r="Y126" s="287">
        <f t="shared" si="31"/>
        <v>338</v>
      </c>
      <c r="Z126" s="288">
        <f t="shared" si="32"/>
        <v>202800</v>
      </c>
      <c r="AA126" s="288">
        <f t="shared" si="33"/>
        <v>0</v>
      </c>
      <c r="AB126" s="288">
        <f t="shared" si="34"/>
        <v>210993.12</v>
      </c>
      <c r="AC126" s="288">
        <f t="shared" si="55"/>
        <v>0</v>
      </c>
      <c r="AD126" s="287">
        <f t="shared" si="35"/>
        <v>322452</v>
      </c>
      <c r="AE126" s="287">
        <f t="shared" si="36"/>
        <v>257961.60000000001</v>
      </c>
      <c r="AF126" s="287">
        <f t="shared" si="37"/>
        <v>3869424</v>
      </c>
      <c r="AG126" s="287">
        <f t="shared" si="38"/>
        <v>3095539.2</v>
      </c>
      <c r="AH126" s="287">
        <f t="shared" si="39"/>
        <v>16015.251200000001</v>
      </c>
      <c r="AI126" s="287">
        <f t="shared" si="40"/>
        <v>12812.200960000004</v>
      </c>
      <c r="AJ126" s="287">
        <f t="shared" si="41"/>
        <v>0</v>
      </c>
      <c r="AK126" s="287">
        <f t="shared" si="42"/>
        <v>0</v>
      </c>
      <c r="AL126" s="287">
        <f t="shared" si="43"/>
        <v>1.8282250228310335</v>
      </c>
      <c r="AM126" s="287">
        <f t="shared" si="44"/>
        <v>1.4625800182648272</v>
      </c>
      <c r="AN126" s="287">
        <f t="shared" si="45"/>
        <v>1.8282250228310564</v>
      </c>
      <c r="AO126" s="287">
        <f t="shared" si="46"/>
        <v>1.462580018264845</v>
      </c>
      <c r="AP126" s="287">
        <f t="shared" si="47"/>
        <v>405600</v>
      </c>
      <c r="AQ126" s="287">
        <f t="shared" si="48"/>
        <v>324480</v>
      </c>
      <c r="AR126" s="287">
        <f t="shared" si="49"/>
        <v>61910.784</v>
      </c>
      <c r="AS126" s="289" t="e">
        <f>IF(J126='2027 Avoided Costs'!#REF!,3,5)</f>
        <v>#REF!</v>
      </c>
      <c r="AT126" s="290" cm="1">
        <f t="array" ref="AT126">IFERROR(IF($J126="Baseload",IF($O126=1,0,NPV('2027 Avoided Costs'!$D$6,_xlfn._xlws.FILTER('2027 Avoided Costs'!$C$14:$C$47,('2027 Avoided Costs'!$B$14:$B$47&gt;=$B126+1)*('2027 Avoided Costs'!$B$14:$B$47&lt;$B126+ROUND($O126,0)))))+_xlfn.XLOOKUP($B126,'2027 Avoided Costs'!$B$13:$B$47,'2027 Avoided Costs'!$C$13:$C$47),IF($O126=1,0,NPV('2027 Avoided Costs'!$D$6,_xlfn._xlws.FILTER('2027 Avoided Costs'!$E$14:$E$47,('2027 Avoided Costs'!$B$14:$B$47&gt;=$B126+1)*('2027 Avoided Costs'!$B$14:$B$47&lt;$B126+ROUND($O126,0)))))+_xlfn.XLOOKUP($B126,'2027 Avoided Costs'!$B$13:$B$47,'2027 Avoided Costs'!$E$13:$E$47))*IF($AE126&gt;0,$AE126*(1+$W126),0),0)</f>
        <v>816793.64888744603</v>
      </c>
      <c r="AU126" s="290" cm="1">
        <f t="array" ref="AU126">IFERROR((IF($O126=1,0,NPV('2027 Avoided Costs'!$D$6,_xlfn._xlws.FILTER('2027 Avoided Costs'!$M$14:$M$47,('2027 Avoided Costs'!$B$14:$B$47&gt;=$B126+1)*('2027 Avoided Costs'!$B$14:$B$47&lt;$B126+ROUND($O126,0)))))+_xlfn.XLOOKUP($B126,'2027 Avoided Costs'!$B$13:$B$47,'2027 Avoided Costs'!$M$13:$M$47))*IF($AK126&gt;0,$AK126*(1+$W126),0),0)</f>
        <v>0</v>
      </c>
      <c r="AV126" s="291" cm="1">
        <f t="array" ref="AV126">IFERROR((IF($O126=1,0,NPV('2027 Avoided Costs'!$D$6,_xlfn._xlws.FILTER('2027 Avoided Costs'!$Q$14:$Q$47,('2027 Avoided Costs'!$B$14:$B$47&gt;=$B126+1)*('2027 Avoided Costs'!$B$14:$B$47&lt;$B126+ROUND($O126,0)))))+_xlfn.XLOOKUP($B126,'2027 Avoided Costs'!$B$13:$B$47,'2027 Avoided Costs'!$Q$13:$Q$47))*IF($AI126&gt;0,$AI126*(1+$W126),0),0)</f>
        <v>6973.5009005822831</v>
      </c>
      <c r="AW126" s="291" cm="1">
        <f t="array" ref="AW126">IFERROR((IF($O126=1,0,NPV('2027 Avoided Costs'!$D$6,_xlfn._xlws.FILTER('2027 Avoided Costs'!$W$14:$W$47,('2027 Avoided Costs'!$B$14:$B$47&gt;=$B126+1)*('2027 Avoided Costs'!$B$14:$B$47&lt;$B126+ROUND($O126,0)))))+_xlfn.XLOOKUP($B126,'2027 Avoided Costs'!$B$13:$B$47,'2027 Avoided Costs'!$W$13:$W$47))*IF($AM126&gt;0,$AM126*(1+$W126),0),0)</f>
        <v>5161.9070644196436</v>
      </c>
      <c r="AX126" s="291" cm="1">
        <f t="array" ref="AX126">IFERROR((IF($O126=1,0,NPV('2027 Avoided Costs'!$D$6,_xlfn._xlws.FILTER('2027 Avoided Costs'!$AC$14:$AC$47,('2027 Avoided Costs'!$B$14:$B$47&gt;=$B126+1)*('2027 Avoided Costs'!$B$14:$B$47&lt;$B126+ROUND($O126,0)))))+_xlfn.XLOOKUP($B126,'2027 Avoided Costs'!$B$13:$B$47,'2027 Avoided Costs'!$AC$13:$AC$47))*IF($AO126&gt;0,$AO126*(1+$W126),0),0)</f>
        <v>401.8674460274641</v>
      </c>
      <c r="AY126" s="291" cm="1">
        <f t="array" ref="AY126">IFERROR((IF($O126=1,0,NPV('2027 Avoided Costs'!$D$4,_xlfn._xlws.FILTER('2027 Avoided Costs'!$I$14:$I$47,('2027 Avoided Costs'!$B$14:$B$47&gt;=$B126+1)*('2027 Avoided Costs'!$B$14:$B$47&lt;$B126+ROUND($O126,0)))))+_xlfn.XLOOKUP($B126,'2027 Avoided Costs'!$B$13:$B$47,'2027 Avoided Costs'!$I$13:$I$47))*IF($X126="Residential",'2027 Avoided Costs'!$J$5,IF($X126="Large Volume",'2027 Avoided Costs'!$J$7,'2027 Avoided Costs'!$J$6))*IF($AE126&gt;0,$AE126,0),0)</f>
        <v>0</v>
      </c>
      <c r="AZ126" s="291" cm="1">
        <f t="array" ref="AZ126">IFERROR(IF($J126="Baseload",IF($O126=1,0,NPV('2027 Avoided Costs'!$D$6,_xlfn._xlws.FILTER('2027 Avoided Costs'!$C$14:$C$47,('2027 Avoided Costs'!$B$14:$B$47&gt;=$B126+1)*('2027 Avoided Costs'!$B$14:$B$47&lt;$B126+ROUND($O126,0)))))+_xlfn.XLOOKUP($B126,'2027 Avoided Costs'!$B$13:$B$47,'2027 Avoided Costs'!$C$13:$C$47),IF($O126=1,0,NPV('2027 Avoided Costs'!$D$6,_xlfn._xlws.FILTER('2027 Avoided Costs'!$E$14:$E$47,('2027 Avoided Costs'!$B$14:$B$47&gt;=$B126+1)*('2027 Avoided Costs'!$B$14:$B$47&lt;$B126+ROUND($O126,0)))))+_xlfn.XLOOKUP($B126,'2027 Avoided Costs'!$B$13:$B$47,'2027 Avoided Costs'!$E$13:$E$47))*IF($AE126&lt;0,$AE126*(-1),0),0)</f>
        <v>0</v>
      </c>
      <c r="BA126" s="291" cm="1">
        <f t="array" ref="BA126">IFERROR((IF($O126=1,0,NPV('2027 Avoided Costs'!$D$6,_xlfn._xlws.FILTER('2027 Avoided Costs'!$M$14:$M$47,('2027 Avoided Costs'!$B$14:$B$47&gt;=$B126+1)*('2027 Avoided Costs'!$B$14:$B$47&lt;$B126+ROUND($O126,0)))))+_xlfn.XLOOKUP($B126,'2027 Avoided Costs'!$B$13:$B$47,'2027 Avoided Costs'!$M$13:$M$47))*IF($AK126&lt;0,$AK126*(-1),0),0)</f>
        <v>0</v>
      </c>
      <c r="BB126" s="291" cm="1">
        <f t="array" ref="BB126">IFERROR((IF($O126=1,0,NPV('2027 Avoided Costs'!$D$6,_xlfn._xlws.FILTER('2027 Avoided Costs'!$S$14:$S$47,('2027 Avoided Costs'!$B$14:$B$47&gt;=$B126+1)*('2027 Avoided Costs'!$B$14:$B$47&lt;$B126+ROUND($O126,0)))))+_xlfn.XLOOKUP($B126,'2027 Avoided Costs'!$B$13:$B$47,'2027 Avoided Costs'!$S$13:$S$47))*IF($AI126&lt;0,$AI126*(-1),0),0)</f>
        <v>0</v>
      </c>
      <c r="BC126" s="291" cm="1">
        <f t="array" ref="BC126">IFERROR((IF($O126=1,0,NPV('2027 Avoided Costs'!$D$6,_xlfn._xlws.FILTER('2027 Avoided Costs'!$Y$14:$Y$47,('2027 Avoided Costs'!$B$14:$B$47&gt;=$B126+1)*('2027 Avoided Costs'!$B$14:$B$47&lt;$B126+ROUND($O126,0)))))+_xlfn.XLOOKUP($B126,'2027 Avoided Costs'!$B$13:$B$47,'2027 Avoided Costs'!$Y$13:$Y$47))*IF($AM126&lt;0,$AM126*(-1),0),0)</f>
        <v>0</v>
      </c>
      <c r="BD126" s="291" cm="1">
        <f t="array" ref="BD126">IFERROR((IF($O126=1,0,NPV('2027 Avoided Costs'!$D$6,_xlfn._xlws.FILTER('2027 Avoided Costs'!$AE$14:$AE$47,('2027 Avoided Costs'!$B$14:$B$47&gt;=$B126+1)*('2027 Avoided Costs'!$B$14:$B$47&lt;$B126+ROUND($O126,0)))))+_xlfn.XLOOKUP($B126,'2027 Avoided Costs'!$B$13:$B$47,'2027 Avoided Costs'!$AE$13:$AE$47))*IF($AO126&lt;0,$AO126*(-1),0),0)</f>
        <v>0</v>
      </c>
      <c r="BE126" s="291" cm="1">
        <f t="array" ref="BE126">IFERROR((IF($O126=1,0,NPV('2027 Avoided Costs'!$D$4,_xlfn._xlws.FILTER('2027 Avoided Costs'!$I$14:$I$47,('2027 Avoided Costs'!$B$14:$B$47&gt;=$B126+1)*('2027 Avoided Costs'!$B$14:$B$47&lt;$B126+ROUND($O126,0)))))+_xlfn.XLOOKUP($B126,'2027 Avoided Costs'!$B$13:$B$47,'2027 Avoided Costs'!$I$13:$I$47))*IF($X126="Residential",'2027 Avoided Costs'!$J$5,IF($X126="Large Volume",'2027 Avoided Costs'!$J$7,'2027 Avoided Costs'!$J$6))*IF($AE126&lt;0,$AE126*(-1),0),0)</f>
        <v>0</v>
      </c>
      <c r="BF126" s="291">
        <f t="shared" si="50"/>
        <v>829330.92429847538</v>
      </c>
      <c r="BG126" s="291">
        <f t="shared" si="51"/>
        <v>324480</v>
      </c>
      <c r="BH126" s="291">
        <f t="shared" si="52"/>
        <v>504850.92429847538</v>
      </c>
      <c r="BI126" s="292">
        <f t="shared" si="56"/>
        <v>2.5558768623596997</v>
      </c>
      <c r="BJ126" s="196" cm="1">
        <f t="array" ref="BJ126">IFERROR(IF($J126="Baseload",IF($O126=1,0,NPV('2027 Avoided Costs'!$D$6,_xlfn._xlws.FILTER('2027 Avoided Costs'!$C$14:$C$47,('2027 Avoided Costs'!$B$14:$B$47&gt;=$B126+1)*('2027 Avoided Costs'!$B$14:$B$47&lt;$B126+ROUND($O126,0)))))+_xlfn.XLOOKUP($B126,'2027 Avoided Costs'!$B$13:$B$47,'2027 Avoided Costs'!$C$13:$C$47),IF($O126=1,0,NPV('2027 Avoided Costs'!$D$6,_xlfn._xlws.FILTER('2027 Avoided Costs'!$E$14:$E$47,('2027 Avoided Costs'!$B$14:$B$47&gt;=$B126+1)*('2027 Avoided Costs'!$B$14:$B$47&lt;$B126+ROUND($O126,0)))))+_xlfn.XLOOKUP($B126,'2027 Avoided Costs'!$B$13:$B$47,'2027 Avoided Costs'!$E$13:$E$47))*IF($AE126&gt;0,$AE126*(1+0),0),0)</f>
        <v>710255.34685864882</v>
      </c>
      <c r="BK126" s="293">
        <f t="shared" si="53"/>
        <v>3.3662488466858487</v>
      </c>
    </row>
    <row r="127" spans="1:63" s="56" customFormat="1" x14ac:dyDescent="0.25">
      <c r="A127" s="270" t="s">
        <v>133</v>
      </c>
      <c r="B127" s="271">
        <v>2029</v>
      </c>
      <c r="C127" s="272" t="s">
        <v>13</v>
      </c>
      <c r="D127" s="272" t="s">
        <v>165</v>
      </c>
      <c r="E127" s="272" t="s">
        <v>285</v>
      </c>
      <c r="F127" s="273">
        <v>6</v>
      </c>
      <c r="G127" s="274">
        <v>772</v>
      </c>
      <c r="H127" s="275">
        <f t="shared" si="30"/>
        <v>1.0124590163934426</v>
      </c>
      <c r="I127" s="274">
        <v>0</v>
      </c>
      <c r="J127" s="276" t="s">
        <v>263</v>
      </c>
      <c r="K127" s="277">
        <f t="shared" si="54"/>
        <v>0.8</v>
      </c>
      <c r="L127" s="278">
        <v>0.2</v>
      </c>
      <c r="M127" s="278">
        <v>0</v>
      </c>
      <c r="N127" s="278">
        <v>1</v>
      </c>
      <c r="O127" s="279">
        <v>12</v>
      </c>
      <c r="P127" s="280">
        <v>762.5</v>
      </c>
      <c r="Q127" s="281">
        <v>826</v>
      </c>
      <c r="R127" s="282">
        <v>9.4292237442921506E-2</v>
      </c>
      <c r="S127" s="282">
        <v>9.4292237442922672E-2</v>
      </c>
      <c r="T127" s="281">
        <v>0</v>
      </c>
      <c r="U127" s="283">
        <v>0.24</v>
      </c>
      <c r="V127" s="284">
        <v>1544</v>
      </c>
      <c r="W127" s="285">
        <v>0.15</v>
      </c>
      <c r="X127" s="286" t="s">
        <v>255</v>
      </c>
      <c r="Y127" s="287">
        <f t="shared" si="31"/>
        <v>6</v>
      </c>
      <c r="Z127" s="288">
        <f t="shared" si="32"/>
        <v>4632</v>
      </c>
      <c r="AA127" s="288">
        <f t="shared" si="33"/>
        <v>0</v>
      </c>
      <c r="AB127" s="288">
        <f t="shared" si="34"/>
        <v>4819.1328000000003</v>
      </c>
      <c r="AC127" s="288">
        <f t="shared" si="55"/>
        <v>0</v>
      </c>
      <c r="AD127" s="287">
        <f t="shared" si="35"/>
        <v>4575</v>
      </c>
      <c r="AE127" s="287">
        <f t="shared" si="36"/>
        <v>3660</v>
      </c>
      <c r="AF127" s="287">
        <f t="shared" si="37"/>
        <v>54900</v>
      </c>
      <c r="AG127" s="287">
        <f t="shared" si="38"/>
        <v>43920</v>
      </c>
      <c r="AH127" s="287">
        <f t="shared" si="39"/>
        <v>5312.8320000000003</v>
      </c>
      <c r="AI127" s="287">
        <f t="shared" si="40"/>
        <v>4250.2656000000006</v>
      </c>
      <c r="AJ127" s="287">
        <f t="shared" si="41"/>
        <v>0</v>
      </c>
      <c r="AK127" s="287">
        <f t="shared" si="42"/>
        <v>0</v>
      </c>
      <c r="AL127" s="287">
        <f t="shared" si="43"/>
        <v>0.60648767123287117</v>
      </c>
      <c r="AM127" s="287">
        <f t="shared" si="44"/>
        <v>0.48519013698629698</v>
      </c>
      <c r="AN127" s="287">
        <f t="shared" si="45"/>
        <v>0.60648767123287861</v>
      </c>
      <c r="AO127" s="287">
        <f t="shared" si="46"/>
        <v>0.48519013698630292</v>
      </c>
      <c r="AP127" s="287">
        <f t="shared" si="47"/>
        <v>9264</v>
      </c>
      <c r="AQ127" s="287">
        <f t="shared" si="48"/>
        <v>7411.2000000000007</v>
      </c>
      <c r="AR127" s="287">
        <f t="shared" si="49"/>
        <v>878.4</v>
      </c>
      <c r="AS127" s="289" t="e">
        <f>IF(J127='2027 Avoided Costs'!#REF!,3,5)</f>
        <v>#REF!</v>
      </c>
      <c r="AT127" s="290" cm="1">
        <f t="array" ref="AT127">IFERROR(IF($J127="Baseload",IF($O127=1,0,NPV('2027 Avoided Costs'!$D$6,_xlfn._xlws.FILTER('2027 Avoided Costs'!$C$14:$C$47,('2027 Avoided Costs'!$B$14:$B$47&gt;=$B127+1)*('2027 Avoided Costs'!$B$14:$B$47&lt;$B127+ROUND($O127,0)))))+_xlfn.XLOOKUP($B127,'2027 Avoided Costs'!$B$13:$B$47,'2027 Avoided Costs'!$C$13:$C$47),IF($O127=1,0,NPV('2027 Avoided Costs'!$D$6,_xlfn._xlws.FILTER('2027 Avoided Costs'!$E$14:$E$47,('2027 Avoided Costs'!$B$14:$B$47&gt;=$B127+1)*('2027 Avoided Costs'!$B$14:$B$47&lt;$B127+ROUND($O127,0)))))+_xlfn.XLOOKUP($B127,'2027 Avoided Costs'!$B$13:$B$47,'2027 Avoided Costs'!$E$13:$E$47))*IF($AE127&gt;0,$AE127*(1+$W127),0),0)</f>
        <v>11588.797537804281</v>
      </c>
      <c r="AU127" s="290" cm="1">
        <f t="array" ref="AU127">IFERROR((IF($O127=1,0,NPV('2027 Avoided Costs'!$D$6,_xlfn._xlws.FILTER('2027 Avoided Costs'!$M$14:$M$47,('2027 Avoided Costs'!$B$14:$B$47&gt;=$B127+1)*('2027 Avoided Costs'!$B$14:$B$47&lt;$B127+ROUND($O127,0)))))+_xlfn.XLOOKUP($B127,'2027 Avoided Costs'!$B$13:$B$47,'2027 Avoided Costs'!$M$13:$M$47))*IF($AK127&gt;0,$AK127*(1+$W127),0),0)</f>
        <v>0</v>
      </c>
      <c r="AV127" s="291" cm="1">
        <f t="array" ref="AV127">IFERROR((IF($O127=1,0,NPV('2027 Avoided Costs'!$D$6,_xlfn._xlws.FILTER('2027 Avoided Costs'!$Q$14:$Q$47,('2027 Avoided Costs'!$B$14:$B$47&gt;=$B127+1)*('2027 Avoided Costs'!$B$14:$B$47&lt;$B127+ROUND($O127,0)))))+_xlfn.XLOOKUP($B127,'2027 Avoided Costs'!$B$13:$B$47,'2027 Avoided Costs'!$Q$13:$Q$47))*IF($AI127&gt;0,$AI127*(1+$W127),0),0)</f>
        <v>2313.3598264535722</v>
      </c>
      <c r="AW127" s="291" cm="1">
        <f t="array" ref="AW127">IFERROR((IF($O127=1,0,NPV('2027 Avoided Costs'!$D$6,_xlfn._xlws.FILTER('2027 Avoided Costs'!$W$14:$W$47,('2027 Avoided Costs'!$B$14:$B$47&gt;=$B127+1)*('2027 Avoided Costs'!$B$14:$B$47&lt;$B127+ROUND($O127,0)))))+_xlfn.XLOOKUP($B127,'2027 Avoided Costs'!$B$13:$B$47,'2027 Avoided Costs'!$W$13:$W$47))*IF($AM127&gt;0,$AM127*(1+$W127),0),0)</f>
        <v>1712.3893150595566</v>
      </c>
      <c r="AX127" s="291" cm="1">
        <f t="array" ref="AX127">IFERROR((IF($O127=1,0,NPV('2027 Avoided Costs'!$D$6,_xlfn._xlws.FILTER('2027 Avoided Costs'!$AC$14:$AC$47,('2027 Avoided Costs'!$B$14:$B$47&gt;=$B127+1)*('2027 Avoided Costs'!$B$14:$B$47&lt;$B127+ROUND($O127,0)))))+_xlfn.XLOOKUP($B127,'2027 Avoided Costs'!$B$13:$B$47,'2027 Avoided Costs'!$AC$13:$AC$47))*IF($AO127&gt;0,$AO127*(1+$W127),0),0)</f>
        <v>133.31381446036787</v>
      </c>
      <c r="AY127" s="291" cm="1">
        <f t="array" ref="AY127">IFERROR((IF($O127=1,0,NPV('2027 Avoided Costs'!$D$4,_xlfn._xlws.FILTER('2027 Avoided Costs'!$I$14:$I$47,('2027 Avoided Costs'!$B$14:$B$47&gt;=$B127+1)*('2027 Avoided Costs'!$B$14:$B$47&lt;$B127+ROUND($O127,0)))))+_xlfn.XLOOKUP($B127,'2027 Avoided Costs'!$B$13:$B$47,'2027 Avoided Costs'!$I$13:$I$47))*IF($X127="Residential",'2027 Avoided Costs'!$J$5,IF($X127="Large Volume",'2027 Avoided Costs'!$J$7,'2027 Avoided Costs'!$J$6))*IF($AE127&gt;0,$AE127,0),0)</f>
        <v>0</v>
      </c>
      <c r="AZ127" s="291" cm="1">
        <f t="array" ref="AZ127">IFERROR(IF($J127="Baseload",IF($O127=1,0,NPV('2027 Avoided Costs'!$D$6,_xlfn._xlws.FILTER('2027 Avoided Costs'!$C$14:$C$47,('2027 Avoided Costs'!$B$14:$B$47&gt;=$B127+1)*('2027 Avoided Costs'!$B$14:$B$47&lt;$B127+ROUND($O127,0)))))+_xlfn.XLOOKUP($B127,'2027 Avoided Costs'!$B$13:$B$47,'2027 Avoided Costs'!$C$13:$C$47),IF($O127=1,0,NPV('2027 Avoided Costs'!$D$6,_xlfn._xlws.FILTER('2027 Avoided Costs'!$E$14:$E$47,('2027 Avoided Costs'!$B$14:$B$47&gt;=$B127+1)*('2027 Avoided Costs'!$B$14:$B$47&lt;$B127+ROUND($O127,0)))))+_xlfn.XLOOKUP($B127,'2027 Avoided Costs'!$B$13:$B$47,'2027 Avoided Costs'!$E$13:$E$47))*IF($AE127&lt;0,$AE127*(-1),0),0)</f>
        <v>0</v>
      </c>
      <c r="BA127" s="291" cm="1">
        <f t="array" ref="BA127">IFERROR((IF($O127=1,0,NPV('2027 Avoided Costs'!$D$6,_xlfn._xlws.FILTER('2027 Avoided Costs'!$M$14:$M$47,('2027 Avoided Costs'!$B$14:$B$47&gt;=$B127+1)*('2027 Avoided Costs'!$B$14:$B$47&lt;$B127+ROUND($O127,0)))))+_xlfn.XLOOKUP($B127,'2027 Avoided Costs'!$B$13:$B$47,'2027 Avoided Costs'!$M$13:$M$47))*IF($AK127&lt;0,$AK127*(-1),0),0)</f>
        <v>0</v>
      </c>
      <c r="BB127" s="291" cm="1">
        <f t="array" ref="BB127">IFERROR((IF($O127=1,0,NPV('2027 Avoided Costs'!$D$6,_xlfn._xlws.FILTER('2027 Avoided Costs'!$S$14:$S$47,('2027 Avoided Costs'!$B$14:$B$47&gt;=$B127+1)*('2027 Avoided Costs'!$B$14:$B$47&lt;$B127+ROUND($O127,0)))))+_xlfn.XLOOKUP($B127,'2027 Avoided Costs'!$B$13:$B$47,'2027 Avoided Costs'!$S$13:$S$47))*IF($AI127&lt;0,$AI127*(-1),0),0)</f>
        <v>0</v>
      </c>
      <c r="BC127" s="291" cm="1">
        <f t="array" ref="BC127">IFERROR((IF($O127=1,0,NPV('2027 Avoided Costs'!$D$6,_xlfn._xlws.FILTER('2027 Avoided Costs'!$Y$14:$Y$47,('2027 Avoided Costs'!$B$14:$B$47&gt;=$B127+1)*('2027 Avoided Costs'!$B$14:$B$47&lt;$B127+ROUND($O127,0)))))+_xlfn.XLOOKUP($B127,'2027 Avoided Costs'!$B$13:$B$47,'2027 Avoided Costs'!$Y$13:$Y$47))*IF($AM127&lt;0,$AM127*(-1),0),0)</f>
        <v>0</v>
      </c>
      <c r="BD127" s="291" cm="1">
        <f t="array" ref="BD127">IFERROR((IF($O127=1,0,NPV('2027 Avoided Costs'!$D$6,_xlfn._xlws.FILTER('2027 Avoided Costs'!$AE$14:$AE$47,('2027 Avoided Costs'!$B$14:$B$47&gt;=$B127+1)*('2027 Avoided Costs'!$B$14:$B$47&lt;$B127+ROUND($O127,0)))))+_xlfn.XLOOKUP($B127,'2027 Avoided Costs'!$B$13:$B$47,'2027 Avoided Costs'!$AE$13:$AE$47))*IF($AO127&lt;0,$AO127*(-1),0),0)</f>
        <v>0</v>
      </c>
      <c r="BE127" s="291" cm="1">
        <f t="array" ref="BE127">IFERROR((IF($O127=1,0,NPV('2027 Avoided Costs'!$D$4,_xlfn._xlws.FILTER('2027 Avoided Costs'!$I$14:$I$47,('2027 Avoided Costs'!$B$14:$B$47&gt;=$B127+1)*('2027 Avoided Costs'!$B$14:$B$47&lt;$B127+ROUND($O127,0)))))+_xlfn.XLOOKUP($B127,'2027 Avoided Costs'!$B$13:$B$47,'2027 Avoided Costs'!$I$13:$I$47))*IF($X127="Residential",'2027 Avoided Costs'!$J$5,IF($X127="Large Volume",'2027 Avoided Costs'!$J$7,'2027 Avoided Costs'!$J$6))*IF($AE127&lt;0,$AE127*(-1),0),0)</f>
        <v>0</v>
      </c>
      <c r="BF127" s="291">
        <f t="shared" si="50"/>
        <v>15747.860493777776</v>
      </c>
      <c r="BG127" s="291">
        <f t="shared" si="51"/>
        <v>7411.2000000000007</v>
      </c>
      <c r="BH127" s="291">
        <f t="shared" si="52"/>
        <v>8336.6604937777756</v>
      </c>
      <c r="BI127" s="292">
        <f t="shared" si="56"/>
        <v>2.1248732315654379</v>
      </c>
      <c r="BJ127" s="196" cm="1">
        <f t="array" ref="BJ127">IFERROR(IF($J127="Baseload",IF($O127=1,0,NPV('2027 Avoided Costs'!$D$6,_xlfn._xlws.FILTER('2027 Avoided Costs'!$C$14:$C$47,('2027 Avoided Costs'!$B$14:$B$47&gt;=$B127+1)*('2027 Avoided Costs'!$B$14:$B$47&lt;$B127+ROUND($O127,0)))))+_xlfn.XLOOKUP($B127,'2027 Avoided Costs'!$B$13:$B$47,'2027 Avoided Costs'!$C$13:$C$47),IF($O127=1,0,NPV('2027 Avoided Costs'!$D$6,_xlfn._xlws.FILTER('2027 Avoided Costs'!$E$14:$E$47,('2027 Avoided Costs'!$B$14:$B$47&gt;=$B127+1)*('2027 Avoided Costs'!$B$14:$B$47&lt;$B127+ROUND($O127,0)))))+_xlfn.XLOOKUP($B127,'2027 Avoided Costs'!$B$13:$B$47,'2027 Avoided Costs'!$E$13:$E$47))*IF($AE127&gt;0,$AE127*(1+0),0),0)</f>
        <v>10077.215250264593</v>
      </c>
      <c r="BK127" s="293">
        <f t="shared" si="53"/>
        <v>2.0910847798725514</v>
      </c>
    </row>
    <row r="128" spans="1:63" s="56" customFormat="1" x14ac:dyDescent="0.25">
      <c r="A128" s="270" t="s">
        <v>133</v>
      </c>
      <c r="B128" s="271">
        <v>2029</v>
      </c>
      <c r="C128" s="272" t="s">
        <v>13</v>
      </c>
      <c r="D128" s="272" t="s">
        <v>165</v>
      </c>
      <c r="E128" s="272" t="s">
        <v>286</v>
      </c>
      <c r="F128" s="273">
        <v>100</v>
      </c>
      <c r="G128" s="274">
        <v>1295.5</v>
      </c>
      <c r="H128" s="275">
        <f t="shared" si="30"/>
        <v>1.0833818573764806</v>
      </c>
      <c r="I128" s="274">
        <v>0</v>
      </c>
      <c r="J128" s="276" t="s">
        <v>263</v>
      </c>
      <c r="K128" s="277">
        <f t="shared" si="54"/>
        <v>0.8</v>
      </c>
      <c r="L128" s="278">
        <v>0.2</v>
      </c>
      <c r="M128" s="278">
        <v>0</v>
      </c>
      <c r="N128" s="278">
        <v>1</v>
      </c>
      <c r="O128" s="279">
        <v>12</v>
      </c>
      <c r="P128" s="280">
        <v>1195.7925925925924</v>
      </c>
      <c r="Q128" s="281">
        <v>1858</v>
      </c>
      <c r="R128" s="282">
        <v>0.21210045662100263</v>
      </c>
      <c r="S128" s="282">
        <v>0.21210045662100524</v>
      </c>
      <c r="T128" s="281">
        <v>0</v>
      </c>
      <c r="U128" s="283">
        <v>0.24</v>
      </c>
      <c r="V128" s="284">
        <v>2591</v>
      </c>
      <c r="W128" s="285">
        <v>0.15</v>
      </c>
      <c r="X128" s="286" t="s">
        <v>255</v>
      </c>
      <c r="Y128" s="287">
        <f t="shared" si="31"/>
        <v>100</v>
      </c>
      <c r="Z128" s="288">
        <f t="shared" si="32"/>
        <v>129550</v>
      </c>
      <c r="AA128" s="288">
        <f t="shared" si="33"/>
        <v>0</v>
      </c>
      <c r="AB128" s="288">
        <f t="shared" si="34"/>
        <v>134783.82</v>
      </c>
      <c r="AC128" s="288">
        <f t="shared" si="55"/>
        <v>0</v>
      </c>
      <c r="AD128" s="287">
        <f t="shared" si="35"/>
        <v>119579.25925925924</v>
      </c>
      <c r="AE128" s="287">
        <f t="shared" si="36"/>
        <v>95663.407407407401</v>
      </c>
      <c r="AF128" s="287">
        <f t="shared" si="37"/>
        <v>1434951.111111111</v>
      </c>
      <c r="AG128" s="287">
        <f t="shared" si="38"/>
        <v>1147960.8888888888</v>
      </c>
      <c r="AH128" s="287">
        <f t="shared" si="39"/>
        <v>199177.60000000001</v>
      </c>
      <c r="AI128" s="287">
        <f t="shared" si="40"/>
        <v>159342.08000000002</v>
      </c>
      <c r="AJ128" s="287">
        <f t="shared" si="41"/>
        <v>0</v>
      </c>
      <c r="AK128" s="287">
        <f t="shared" si="42"/>
        <v>0</v>
      </c>
      <c r="AL128" s="287">
        <f t="shared" si="43"/>
        <v>22.737168949771483</v>
      </c>
      <c r="AM128" s="287">
        <f t="shared" si="44"/>
        <v>18.189735159817189</v>
      </c>
      <c r="AN128" s="287">
        <f t="shared" si="45"/>
        <v>22.73716894977176</v>
      </c>
      <c r="AO128" s="287">
        <f t="shared" si="46"/>
        <v>18.18973515981741</v>
      </c>
      <c r="AP128" s="287">
        <f t="shared" si="47"/>
        <v>259100</v>
      </c>
      <c r="AQ128" s="287">
        <f t="shared" si="48"/>
        <v>207280</v>
      </c>
      <c r="AR128" s="287">
        <f t="shared" si="49"/>
        <v>22959.217777777776</v>
      </c>
      <c r="AS128" s="289" t="e">
        <f>IF(J128='2027 Avoided Costs'!#REF!,3,5)</f>
        <v>#REF!</v>
      </c>
      <c r="AT128" s="290" cm="1">
        <f t="array" ref="AT128">IFERROR(IF($J128="Baseload",IF($O128=1,0,NPV('2027 Avoided Costs'!$D$6,_xlfn._xlws.FILTER('2027 Avoided Costs'!$C$14:$C$47,('2027 Avoided Costs'!$B$14:$B$47&gt;=$B128+1)*('2027 Avoided Costs'!$B$14:$B$47&lt;$B128+ROUND($O128,0)))))+_xlfn.XLOOKUP($B128,'2027 Avoided Costs'!$B$13:$B$47,'2027 Avoided Costs'!$C$13:$C$47),IF($O128=1,0,NPV('2027 Avoided Costs'!$D$6,_xlfn._xlws.FILTER('2027 Avoided Costs'!$E$14:$E$47,('2027 Avoided Costs'!$B$14:$B$47&gt;=$B128+1)*('2027 Avoided Costs'!$B$14:$B$47&lt;$B128+ROUND($O128,0)))))+_xlfn.XLOOKUP($B128,'2027 Avoided Costs'!$B$13:$B$47,'2027 Avoided Costs'!$E$13:$E$47))*IF($AE128&gt;0,$AE128*(1+$W128),0),0)</f>
        <v>302902.69404943462</v>
      </c>
      <c r="AU128" s="290" cm="1">
        <f t="array" ref="AU128">IFERROR((IF($O128=1,0,NPV('2027 Avoided Costs'!$D$6,_xlfn._xlws.FILTER('2027 Avoided Costs'!$M$14:$M$47,('2027 Avoided Costs'!$B$14:$B$47&gt;=$B128+1)*('2027 Avoided Costs'!$B$14:$B$47&lt;$B128+ROUND($O128,0)))))+_xlfn.XLOOKUP($B128,'2027 Avoided Costs'!$B$13:$B$47,'2027 Avoided Costs'!$M$13:$M$47))*IF($AK128&gt;0,$AK128*(1+$W128),0),0)</f>
        <v>0</v>
      </c>
      <c r="AV128" s="291" cm="1">
        <f t="array" ref="AV128">IFERROR((IF($O128=1,0,NPV('2027 Avoided Costs'!$D$6,_xlfn._xlws.FILTER('2027 Avoided Costs'!$Q$14:$Q$47,('2027 Avoided Costs'!$B$14:$B$47&gt;=$B128+1)*('2027 Avoided Costs'!$B$14:$B$47&lt;$B128+ROUND($O128,0)))))+_xlfn.XLOOKUP($B128,'2027 Avoided Costs'!$B$13:$B$47,'2027 Avoided Costs'!$Q$13:$Q$47))*IF($AI128&gt;0,$AI128*(1+$W128),0),0)</f>
        <v>86727.654510708977</v>
      </c>
      <c r="AW128" s="291" cm="1">
        <f t="array" ref="AW128">IFERROR((IF($O128=1,0,NPV('2027 Avoided Costs'!$D$6,_xlfn._xlws.FILTER('2027 Avoided Costs'!$W$14:$W$47,('2027 Avoided Costs'!$B$14:$B$47&gt;=$B128+1)*('2027 Avoided Costs'!$B$14:$B$47&lt;$B128+ROUND($O128,0)))))+_xlfn.XLOOKUP($B128,'2027 Avoided Costs'!$B$13:$B$47,'2027 Avoided Costs'!$W$13:$W$47))*IF($AM128&gt;0,$AM128*(1+$W128),0),0)</f>
        <v>64197.323393475715</v>
      </c>
      <c r="AX128" s="291" cm="1">
        <f t="array" ref="AX128">IFERROR((IF($O128=1,0,NPV('2027 Avoided Costs'!$D$6,_xlfn._xlws.FILTER('2027 Avoided Costs'!$AC$14:$AC$47,('2027 Avoided Costs'!$B$14:$B$47&gt;=$B128+1)*('2027 Avoided Costs'!$B$14:$B$47&lt;$B128+ROUND($O128,0)))))+_xlfn.XLOOKUP($B128,'2027 Avoided Costs'!$B$13:$B$47,'2027 Avoided Costs'!$AC$13:$AC$47))*IF($AO128&gt;0,$AO128*(1+$W128),0),0)</f>
        <v>4997.9230683487385</v>
      </c>
      <c r="AY128" s="291" cm="1">
        <f t="array" ref="AY128">IFERROR((IF($O128=1,0,NPV('2027 Avoided Costs'!$D$4,_xlfn._xlws.FILTER('2027 Avoided Costs'!$I$14:$I$47,('2027 Avoided Costs'!$B$14:$B$47&gt;=$B128+1)*('2027 Avoided Costs'!$B$14:$B$47&lt;$B128+ROUND($O128,0)))))+_xlfn.XLOOKUP($B128,'2027 Avoided Costs'!$B$13:$B$47,'2027 Avoided Costs'!$I$13:$I$47))*IF($X128="Residential",'2027 Avoided Costs'!$J$5,IF($X128="Large Volume",'2027 Avoided Costs'!$J$7,'2027 Avoided Costs'!$J$6))*IF($AE128&gt;0,$AE128,0),0)</f>
        <v>0</v>
      </c>
      <c r="AZ128" s="291" cm="1">
        <f t="array" ref="AZ128">IFERROR(IF($J128="Baseload",IF($O128=1,0,NPV('2027 Avoided Costs'!$D$6,_xlfn._xlws.FILTER('2027 Avoided Costs'!$C$14:$C$47,('2027 Avoided Costs'!$B$14:$B$47&gt;=$B128+1)*('2027 Avoided Costs'!$B$14:$B$47&lt;$B128+ROUND($O128,0)))))+_xlfn.XLOOKUP($B128,'2027 Avoided Costs'!$B$13:$B$47,'2027 Avoided Costs'!$C$13:$C$47),IF($O128=1,0,NPV('2027 Avoided Costs'!$D$6,_xlfn._xlws.FILTER('2027 Avoided Costs'!$E$14:$E$47,('2027 Avoided Costs'!$B$14:$B$47&gt;=$B128+1)*('2027 Avoided Costs'!$B$14:$B$47&lt;$B128+ROUND($O128,0)))))+_xlfn.XLOOKUP($B128,'2027 Avoided Costs'!$B$13:$B$47,'2027 Avoided Costs'!$E$13:$E$47))*IF($AE128&lt;0,$AE128*(-1),0),0)</f>
        <v>0</v>
      </c>
      <c r="BA128" s="291" cm="1">
        <f t="array" ref="BA128">IFERROR((IF($O128=1,0,NPV('2027 Avoided Costs'!$D$6,_xlfn._xlws.FILTER('2027 Avoided Costs'!$M$14:$M$47,('2027 Avoided Costs'!$B$14:$B$47&gt;=$B128+1)*('2027 Avoided Costs'!$B$14:$B$47&lt;$B128+ROUND($O128,0)))))+_xlfn.XLOOKUP($B128,'2027 Avoided Costs'!$B$13:$B$47,'2027 Avoided Costs'!$M$13:$M$47))*IF($AK128&lt;0,$AK128*(-1),0),0)</f>
        <v>0</v>
      </c>
      <c r="BB128" s="291" cm="1">
        <f t="array" ref="BB128">IFERROR((IF($O128=1,0,NPV('2027 Avoided Costs'!$D$6,_xlfn._xlws.FILTER('2027 Avoided Costs'!$S$14:$S$47,('2027 Avoided Costs'!$B$14:$B$47&gt;=$B128+1)*('2027 Avoided Costs'!$B$14:$B$47&lt;$B128+ROUND($O128,0)))))+_xlfn.XLOOKUP($B128,'2027 Avoided Costs'!$B$13:$B$47,'2027 Avoided Costs'!$S$13:$S$47))*IF($AI128&lt;0,$AI128*(-1),0),0)</f>
        <v>0</v>
      </c>
      <c r="BC128" s="291" cm="1">
        <f t="array" ref="BC128">IFERROR((IF($O128=1,0,NPV('2027 Avoided Costs'!$D$6,_xlfn._xlws.FILTER('2027 Avoided Costs'!$Y$14:$Y$47,('2027 Avoided Costs'!$B$14:$B$47&gt;=$B128+1)*('2027 Avoided Costs'!$B$14:$B$47&lt;$B128+ROUND($O128,0)))))+_xlfn.XLOOKUP($B128,'2027 Avoided Costs'!$B$13:$B$47,'2027 Avoided Costs'!$Y$13:$Y$47))*IF($AM128&lt;0,$AM128*(-1),0),0)</f>
        <v>0</v>
      </c>
      <c r="BD128" s="291" cm="1">
        <f t="array" ref="BD128">IFERROR((IF($O128=1,0,NPV('2027 Avoided Costs'!$D$6,_xlfn._xlws.FILTER('2027 Avoided Costs'!$AE$14:$AE$47,('2027 Avoided Costs'!$B$14:$B$47&gt;=$B128+1)*('2027 Avoided Costs'!$B$14:$B$47&lt;$B128+ROUND($O128,0)))))+_xlfn.XLOOKUP($B128,'2027 Avoided Costs'!$B$13:$B$47,'2027 Avoided Costs'!$AE$13:$AE$47))*IF($AO128&lt;0,$AO128*(-1),0),0)</f>
        <v>0</v>
      </c>
      <c r="BE128" s="291" cm="1">
        <f t="array" ref="BE128">IFERROR((IF($O128=1,0,NPV('2027 Avoided Costs'!$D$4,_xlfn._xlws.FILTER('2027 Avoided Costs'!$I$14:$I$47,('2027 Avoided Costs'!$B$14:$B$47&gt;=$B128+1)*('2027 Avoided Costs'!$B$14:$B$47&lt;$B128+ROUND($O128,0)))))+_xlfn.XLOOKUP($B128,'2027 Avoided Costs'!$B$13:$B$47,'2027 Avoided Costs'!$I$13:$I$47))*IF($X128="Residential",'2027 Avoided Costs'!$J$5,IF($X128="Large Volume",'2027 Avoided Costs'!$J$7,'2027 Avoided Costs'!$J$6))*IF($AE128&lt;0,$AE128*(-1),0),0)</f>
        <v>0</v>
      </c>
      <c r="BF128" s="291">
        <f t="shared" si="50"/>
        <v>458825.59502196807</v>
      </c>
      <c r="BG128" s="291">
        <f t="shared" si="51"/>
        <v>207280</v>
      </c>
      <c r="BH128" s="291">
        <f t="shared" si="52"/>
        <v>251545.59502196807</v>
      </c>
      <c r="BI128" s="292">
        <f t="shared" si="56"/>
        <v>2.2135545881028951</v>
      </c>
      <c r="BJ128" s="196" cm="1">
        <f t="array" ref="BJ128">IFERROR(IF($J128="Baseload",IF($O128=1,0,NPV('2027 Avoided Costs'!$D$6,_xlfn._xlws.FILTER('2027 Avoided Costs'!$C$14:$C$47,('2027 Avoided Costs'!$B$14:$B$47&gt;=$B128+1)*('2027 Avoided Costs'!$B$14:$B$47&lt;$B128+ROUND($O128,0)))))+_xlfn.XLOOKUP($B128,'2027 Avoided Costs'!$B$13:$B$47,'2027 Avoided Costs'!$C$13:$C$47),IF($O128=1,0,NPV('2027 Avoided Costs'!$D$6,_xlfn._xlws.FILTER('2027 Avoided Costs'!$E$14:$E$47,('2027 Avoided Costs'!$B$14:$B$47&gt;=$B128+1)*('2027 Avoided Costs'!$B$14:$B$47&lt;$B128+ROUND($O128,0)))))+_xlfn.XLOOKUP($B128,'2027 Avoided Costs'!$B$13:$B$47,'2027 Avoided Costs'!$E$13:$E$47))*IF($AE128&gt;0,$AE128*(1+0),0),0)</f>
        <v>263393.64699950838</v>
      </c>
      <c r="BK128" s="293">
        <f t="shared" si="53"/>
        <v>1.9541933668262879</v>
      </c>
    </row>
    <row r="129" spans="1:63" s="56" customFormat="1" x14ac:dyDescent="0.25">
      <c r="A129" s="270" t="s">
        <v>133</v>
      </c>
      <c r="B129" s="271">
        <v>2029</v>
      </c>
      <c r="C129" s="272" t="s">
        <v>13</v>
      </c>
      <c r="D129" s="272" t="s">
        <v>165</v>
      </c>
      <c r="E129" s="272" t="s">
        <v>259</v>
      </c>
      <c r="F129" s="273">
        <v>1</v>
      </c>
      <c r="G129" s="274">
        <v>2506.98</v>
      </c>
      <c r="H129" s="275">
        <f t="shared" si="30"/>
        <v>1.27</v>
      </c>
      <c r="I129" s="274">
        <v>0</v>
      </c>
      <c r="J129" s="276" t="s">
        <v>263</v>
      </c>
      <c r="K129" s="277">
        <f t="shared" si="54"/>
        <v>0.8</v>
      </c>
      <c r="L129" s="278">
        <v>0.2</v>
      </c>
      <c r="M129" s="278">
        <v>0</v>
      </c>
      <c r="N129" s="278">
        <v>1</v>
      </c>
      <c r="O129" s="279">
        <v>12</v>
      </c>
      <c r="P129" s="280">
        <v>1974</v>
      </c>
      <c r="Q129" s="281">
        <v>0</v>
      </c>
      <c r="R129" s="282">
        <v>0</v>
      </c>
      <c r="S129" s="282">
        <v>0</v>
      </c>
      <c r="T129" s="281">
        <v>0</v>
      </c>
      <c r="U129" s="283">
        <v>0.24</v>
      </c>
      <c r="V129" s="284">
        <v>6000</v>
      </c>
      <c r="W129" s="285">
        <v>0.15</v>
      </c>
      <c r="X129" s="286" t="s">
        <v>255</v>
      </c>
      <c r="Y129" s="287">
        <f t="shared" si="31"/>
        <v>1</v>
      </c>
      <c r="Z129" s="288">
        <f t="shared" si="32"/>
        <v>2506.98</v>
      </c>
      <c r="AA129" s="288">
        <f t="shared" si="33"/>
        <v>0</v>
      </c>
      <c r="AB129" s="288">
        <f t="shared" si="34"/>
        <v>2608.2619920000002</v>
      </c>
      <c r="AC129" s="288">
        <f t="shared" si="55"/>
        <v>0</v>
      </c>
      <c r="AD129" s="287">
        <f t="shared" si="35"/>
        <v>1974</v>
      </c>
      <c r="AE129" s="287">
        <f t="shared" si="36"/>
        <v>1579.2</v>
      </c>
      <c r="AF129" s="287">
        <f t="shared" si="37"/>
        <v>23688</v>
      </c>
      <c r="AG129" s="287">
        <f t="shared" si="38"/>
        <v>18950.400000000001</v>
      </c>
      <c r="AH129" s="287">
        <f t="shared" si="39"/>
        <v>0</v>
      </c>
      <c r="AI129" s="287">
        <f t="shared" si="40"/>
        <v>0</v>
      </c>
      <c r="AJ129" s="287">
        <f t="shared" si="41"/>
        <v>0</v>
      </c>
      <c r="AK129" s="287">
        <f t="shared" si="42"/>
        <v>0</v>
      </c>
      <c r="AL129" s="287">
        <f t="shared" si="43"/>
        <v>0</v>
      </c>
      <c r="AM129" s="287">
        <f t="shared" si="44"/>
        <v>0</v>
      </c>
      <c r="AN129" s="287">
        <f t="shared" si="45"/>
        <v>0</v>
      </c>
      <c r="AO129" s="287">
        <f t="shared" si="46"/>
        <v>0</v>
      </c>
      <c r="AP129" s="287">
        <f t="shared" si="47"/>
        <v>6000</v>
      </c>
      <c r="AQ129" s="287">
        <f t="shared" si="48"/>
        <v>4800</v>
      </c>
      <c r="AR129" s="287">
        <f t="shared" si="49"/>
        <v>379.00799999999998</v>
      </c>
      <c r="AS129" s="289" t="e">
        <f>IF(J129='2027 Avoided Costs'!#REF!,3,5)</f>
        <v>#REF!</v>
      </c>
      <c r="AT129" s="290" cm="1">
        <f t="array" ref="AT129">IFERROR(IF($J129="Baseload",IF($O129=1,0,NPV('2027 Avoided Costs'!$D$6,_xlfn._xlws.FILTER('2027 Avoided Costs'!$C$14:$C$47,('2027 Avoided Costs'!$B$14:$B$47&gt;=$B129+1)*('2027 Avoided Costs'!$B$14:$B$47&lt;$B129+ROUND($O129,0)))))+_xlfn.XLOOKUP($B129,'2027 Avoided Costs'!$B$13:$B$47,'2027 Avoided Costs'!$C$13:$C$47),IF($O129=1,0,NPV('2027 Avoided Costs'!$D$6,_xlfn._xlws.FILTER('2027 Avoided Costs'!$E$14:$E$47,('2027 Avoided Costs'!$B$14:$B$47&gt;=$B129+1)*('2027 Avoided Costs'!$B$14:$B$47&lt;$B129+ROUND($O129,0)))))+_xlfn.XLOOKUP($B129,'2027 Avoided Costs'!$B$13:$B$47,'2027 Avoided Costs'!$E$13:$E$47))*IF($AE129&gt;0,$AE129*(1+$W129),0),0)</f>
        <v>5000.2811671312902</v>
      </c>
      <c r="AU129" s="290" cm="1">
        <f t="array" ref="AU129">IFERROR((IF($O129=1,0,NPV('2027 Avoided Costs'!$D$6,_xlfn._xlws.FILTER('2027 Avoided Costs'!$M$14:$M$47,('2027 Avoided Costs'!$B$14:$B$47&gt;=$B129+1)*('2027 Avoided Costs'!$B$14:$B$47&lt;$B129+ROUND($O129,0)))))+_xlfn.XLOOKUP($B129,'2027 Avoided Costs'!$B$13:$B$47,'2027 Avoided Costs'!$M$13:$M$47))*IF($AK129&gt;0,$AK129*(1+$W129),0),0)</f>
        <v>0</v>
      </c>
      <c r="AV129" s="291" cm="1">
        <f t="array" ref="AV129">IFERROR((IF($O129=1,0,NPV('2027 Avoided Costs'!$D$6,_xlfn._xlws.FILTER('2027 Avoided Costs'!$Q$14:$Q$47,('2027 Avoided Costs'!$B$14:$B$47&gt;=$B129+1)*('2027 Avoided Costs'!$B$14:$B$47&lt;$B129+ROUND($O129,0)))))+_xlfn.XLOOKUP($B129,'2027 Avoided Costs'!$B$13:$B$47,'2027 Avoided Costs'!$Q$13:$Q$47))*IF($AI129&gt;0,$AI129*(1+$W129),0),0)</f>
        <v>0</v>
      </c>
      <c r="AW129" s="291" cm="1">
        <f t="array" ref="AW129">IFERROR((IF($O129=1,0,NPV('2027 Avoided Costs'!$D$6,_xlfn._xlws.FILTER('2027 Avoided Costs'!$W$14:$W$47,('2027 Avoided Costs'!$B$14:$B$47&gt;=$B129+1)*('2027 Avoided Costs'!$B$14:$B$47&lt;$B129+ROUND($O129,0)))))+_xlfn.XLOOKUP($B129,'2027 Avoided Costs'!$B$13:$B$47,'2027 Avoided Costs'!$W$13:$W$47))*IF($AM129&gt;0,$AM129*(1+$W129),0),0)</f>
        <v>0</v>
      </c>
      <c r="AX129" s="291" cm="1">
        <f t="array" ref="AX129">IFERROR((IF($O129=1,0,NPV('2027 Avoided Costs'!$D$6,_xlfn._xlws.FILTER('2027 Avoided Costs'!$AC$14:$AC$47,('2027 Avoided Costs'!$B$14:$B$47&gt;=$B129+1)*('2027 Avoided Costs'!$B$14:$B$47&lt;$B129+ROUND($O129,0)))))+_xlfn.XLOOKUP($B129,'2027 Avoided Costs'!$B$13:$B$47,'2027 Avoided Costs'!$AC$13:$AC$47))*IF($AO129&gt;0,$AO129*(1+$W129),0),0)</f>
        <v>0</v>
      </c>
      <c r="AY129" s="291" cm="1">
        <f t="array" ref="AY129">IFERROR((IF($O129=1,0,NPV('2027 Avoided Costs'!$D$4,_xlfn._xlws.FILTER('2027 Avoided Costs'!$I$14:$I$47,('2027 Avoided Costs'!$B$14:$B$47&gt;=$B129+1)*('2027 Avoided Costs'!$B$14:$B$47&lt;$B129+ROUND($O129,0)))))+_xlfn.XLOOKUP($B129,'2027 Avoided Costs'!$B$13:$B$47,'2027 Avoided Costs'!$I$13:$I$47))*IF($X129="Residential",'2027 Avoided Costs'!$J$5,IF($X129="Large Volume",'2027 Avoided Costs'!$J$7,'2027 Avoided Costs'!$J$6))*IF($AE129&gt;0,$AE129,0),0)</f>
        <v>0</v>
      </c>
      <c r="AZ129" s="291" cm="1">
        <f t="array" ref="AZ129">IFERROR(IF($J129="Baseload",IF($O129=1,0,NPV('2027 Avoided Costs'!$D$6,_xlfn._xlws.FILTER('2027 Avoided Costs'!$C$14:$C$47,('2027 Avoided Costs'!$B$14:$B$47&gt;=$B129+1)*('2027 Avoided Costs'!$B$14:$B$47&lt;$B129+ROUND($O129,0)))))+_xlfn.XLOOKUP($B129,'2027 Avoided Costs'!$B$13:$B$47,'2027 Avoided Costs'!$C$13:$C$47),IF($O129=1,0,NPV('2027 Avoided Costs'!$D$6,_xlfn._xlws.FILTER('2027 Avoided Costs'!$E$14:$E$47,('2027 Avoided Costs'!$B$14:$B$47&gt;=$B129+1)*('2027 Avoided Costs'!$B$14:$B$47&lt;$B129+ROUND($O129,0)))))+_xlfn.XLOOKUP($B129,'2027 Avoided Costs'!$B$13:$B$47,'2027 Avoided Costs'!$E$13:$E$47))*IF($AE129&lt;0,$AE129*(-1),0),0)</f>
        <v>0</v>
      </c>
      <c r="BA129" s="291" cm="1">
        <f t="array" ref="BA129">IFERROR((IF($O129=1,0,NPV('2027 Avoided Costs'!$D$6,_xlfn._xlws.FILTER('2027 Avoided Costs'!$M$14:$M$47,('2027 Avoided Costs'!$B$14:$B$47&gt;=$B129+1)*('2027 Avoided Costs'!$B$14:$B$47&lt;$B129+ROUND($O129,0)))))+_xlfn.XLOOKUP($B129,'2027 Avoided Costs'!$B$13:$B$47,'2027 Avoided Costs'!$M$13:$M$47))*IF($AK129&lt;0,$AK129*(-1),0),0)</f>
        <v>0</v>
      </c>
      <c r="BB129" s="291" cm="1">
        <f t="array" ref="BB129">IFERROR((IF($O129=1,0,NPV('2027 Avoided Costs'!$D$6,_xlfn._xlws.FILTER('2027 Avoided Costs'!$S$14:$S$47,('2027 Avoided Costs'!$B$14:$B$47&gt;=$B129+1)*('2027 Avoided Costs'!$B$14:$B$47&lt;$B129+ROUND($O129,0)))))+_xlfn.XLOOKUP($B129,'2027 Avoided Costs'!$B$13:$B$47,'2027 Avoided Costs'!$S$13:$S$47))*IF($AI129&lt;0,$AI129*(-1),0),0)</f>
        <v>0</v>
      </c>
      <c r="BC129" s="291" cm="1">
        <f t="array" ref="BC129">IFERROR((IF($O129=1,0,NPV('2027 Avoided Costs'!$D$6,_xlfn._xlws.FILTER('2027 Avoided Costs'!$Y$14:$Y$47,('2027 Avoided Costs'!$B$14:$B$47&gt;=$B129+1)*('2027 Avoided Costs'!$B$14:$B$47&lt;$B129+ROUND($O129,0)))))+_xlfn.XLOOKUP($B129,'2027 Avoided Costs'!$B$13:$B$47,'2027 Avoided Costs'!$Y$13:$Y$47))*IF($AM129&lt;0,$AM129*(-1),0),0)</f>
        <v>0</v>
      </c>
      <c r="BD129" s="291" cm="1">
        <f t="array" ref="BD129">IFERROR((IF($O129=1,0,NPV('2027 Avoided Costs'!$D$6,_xlfn._xlws.FILTER('2027 Avoided Costs'!$AE$14:$AE$47,('2027 Avoided Costs'!$B$14:$B$47&gt;=$B129+1)*('2027 Avoided Costs'!$B$14:$B$47&lt;$B129+ROUND($O129,0)))))+_xlfn.XLOOKUP($B129,'2027 Avoided Costs'!$B$13:$B$47,'2027 Avoided Costs'!$AE$13:$AE$47))*IF($AO129&lt;0,$AO129*(-1),0),0)</f>
        <v>0</v>
      </c>
      <c r="BE129" s="291" cm="1">
        <f t="array" ref="BE129">IFERROR((IF($O129=1,0,NPV('2027 Avoided Costs'!$D$4,_xlfn._xlws.FILTER('2027 Avoided Costs'!$I$14:$I$47,('2027 Avoided Costs'!$B$14:$B$47&gt;=$B129+1)*('2027 Avoided Costs'!$B$14:$B$47&lt;$B129+ROUND($O129,0)))))+_xlfn.XLOOKUP($B129,'2027 Avoided Costs'!$B$13:$B$47,'2027 Avoided Costs'!$I$13:$I$47))*IF($X129="Residential",'2027 Avoided Costs'!$J$5,IF($X129="Large Volume",'2027 Avoided Costs'!$J$7,'2027 Avoided Costs'!$J$6))*IF($AE129&lt;0,$AE129*(-1),0),0)</f>
        <v>0</v>
      </c>
      <c r="BF129" s="291">
        <f t="shared" si="50"/>
        <v>5000.2811671312902</v>
      </c>
      <c r="BG129" s="291">
        <f t="shared" si="51"/>
        <v>4800</v>
      </c>
      <c r="BH129" s="291">
        <f t="shared" si="52"/>
        <v>200.2811671312902</v>
      </c>
      <c r="BI129" s="292">
        <f t="shared" si="56"/>
        <v>1.041725243152352</v>
      </c>
      <c r="BJ129" s="196" cm="1">
        <f t="array" ref="BJ129">IFERROR(IF($J129="Baseload",IF($O129=1,0,NPV('2027 Avoided Costs'!$D$6,_xlfn._xlws.FILTER('2027 Avoided Costs'!$C$14:$C$47,('2027 Avoided Costs'!$B$14:$B$47&gt;=$B129+1)*('2027 Avoided Costs'!$B$14:$B$47&lt;$B129+ROUND($O129,0)))))+_xlfn.XLOOKUP($B129,'2027 Avoided Costs'!$B$13:$B$47,'2027 Avoided Costs'!$C$13:$C$47),IF($O129=1,0,NPV('2027 Avoided Costs'!$D$6,_xlfn._xlws.FILTER('2027 Avoided Costs'!$E$14:$E$47,('2027 Avoided Costs'!$B$14:$B$47&gt;=$B129+1)*('2027 Avoided Costs'!$B$14:$B$47&lt;$B129+ROUND($O129,0)))))+_xlfn.XLOOKUP($B129,'2027 Avoided Costs'!$B$13:$B$47,'2027 Avoided Costs'!$E$13:$E$47))*IF($AE129&gt;0,$AE129*(1+0),0),0)</f>
        <v>4348.0705801141658</v>
      </c>
      <c r="BK129" s="293">
        <f t="shared" si="53"/>
        <v>1.6670375113583167</v>
      </c>
    </row>
    <row r="130" spans="1:63" s="56" customFormat="1" x14ac:dyDescent="0.25">
      <c r="A130" s="270" t="s">
        <v>133</v>
      </c>
      <c r="B130" s="271">
        <v>2029</v>
      </c>
      <c r="C130" s="272" t="s">
        <v>13</v>
      </c>
      <c r="D130" s="272" t="s">
        <v>165</v>
      </c>
      <c r="E130" s="272" t="s">
        <v>94</v>
      </c>
      <c r="F130" s="273">
        <v>6</v>
      </c>
      <c r="G130" s="274">
        <v>1391</v>
      </c>
      <c r="H130" s="275">
        <f t="shared" si="30"/>
        <v>0.45646466856267776</v>
      </c>
      <c r="I130" s="274">
        <v>0</v>
      </c>
      <c r="J130" s="276" t="s">
        <v>263</v>
      </c>
      <c r="K130" s="277">
        <f t="shared" si="54"/>
        <v>0.8</v>
      </c>
      <c r="L130" s="278">
        <v>0.2</v>
      </c>
      <c r="M130" s="278">
        <v>0</v>
      </c>
      <c r="N130" s="278">
        <v>1</v>
      </c>
      <c r="O130" s="279">
        <v>12</v>
      </c>
      <c r="P130" s="280">
        <v>3047.3333333333335</v>
      </c>
      <c r="Q130" s="281">
        <v>3839</v>
      </c>
      <c r="R130" s="282">
        <v>0.43824200913241607</v>
      </c>
      <c r="S130" s="282">
        <v>0.43824200913242151</v>
      </c>
      <c r="T130" s="281">
        <v>0</v>
      </c>
      <c r="U130" s="283">
        <v>0.24</v>
      </c>
      <c r="V130" s="284">
        <v>2782</v>
      </c>
      <c r="W130" s="285">
        <v>0.15</v>
      </c>
      <c r="X130" s="286" t="s">
        <v>255</v>
      </c>
      <c r="Y130" s="287">
        <f t="shared" si="31"/>
        <v>6</v>
      </c>
      <c r="Z130" s="288">
        <f t="shared" si="32"/>
        <v>8346</v>
      </c>
      <c r="AA130" s="288">
        <f t="shared" si="33"/>
        <v>0</v>
      </c>
      <c r="AB130" s="288">
        <f t="shared" si="34"/>
        <v>8683.1784000000007</v>
      </c>
      <c r="AC130" s="288">
        <f t="shared" si="55"/>
        <v>0</v>
      </c>
      <c r="AD130" s="287">
        <f t="shared" si="35"/>
        <v>18284</v>
      </c>
      <c r="AE130" s="287">
        <f t="shared" si="36"/>
        <v>14627.2</v>
      </c>
      <c r="AF130" s="287">
        <f t="shared" si="37"/>
        <v>219408</v>
      </c>
      <c r="AG130" s="287">
        <f t="shared" si="38"/>
        <v>175526.40000000002</v>
      </c>
      <c r="AH130" s="287">
        <f t="shared" si="39"/>
        <v>24692.448</v>
      </c>
      <c r="AI130" s="287">
        <f t="shared" si="40"/>
        <v>19753.958400000003</v>
      </c>
      <c r="AJ130" s="287">
        <f t="shared" si="41"/>
        <v>0</v>
      </c>
      <c r="AK130" s="287">
        <f t="shared" si="42"/>
        <v>0</v>
      </c>
      <c r="AL130" s="287">
        <f t="shared" si="43"/>
        <v>2.8187726027397004</v>
      </c>
      <c r="AM130" s="287">
        <f t="shared" si="44"/>
        <v>2.2550180821917603</v>
      </c>
      <c r="AN130" s="287">
        <f t="shared" si="45"/>
        <v>2.8187726027397355</v>
      </c>
      <c r="AO130" s="287">
        <f t="shared" si="46"/>
        <v>2.2550180821917887</v>
      </c>
      <c r="AP130" s="287">
        <f t="shared" si="47"/>
        <v>16692</v>
      </c>
      <c r="AQ130" s="287">
        <f t="shared" si="48"/>
        <v>13353.6</v>
      </c>
      <c r="AR130" s="287">
        <f t="shared" si="49"/>
        <v>3510.5280000000002</v>
      </c>
      <c r="AS130" s="289" t="e">
        <f>IF(J130='2027 Avoided Costs'!#REF!,3,5)</f>
        <v>#REF!</v>
      </c>
      <c r="AT130" s="290" cm="1">
        <f t="array" ref="AT130">IFERROR(IF($J130="Baseload",IF($O130=1,0,NPV('2027 Avoided Costs'!$D$6,_xlfn._xlws.FILTER('2027 Avoided Costs'!$C$14:$C$47,('2027 Avoided Costs'!$B$14:$B$47&gt;=$B130+1)*('2027 Avoided Costs'!$B$14:$B$47&lt;$B130+ROUND($O130,0)))))+_xlfn.XLOOKUP($B130,'2027 Avoided Costs'!$B$13:$B$47,'2027 Avoided Costs'!$C$13:$C$47),IF($O130=1,0,NPV('2027 Avoided Costs'!$D$6,_xlfn._xlws.FILTER('2027 Avoided Costs'!$E$14:$E$47,('2027 Avoided Costs'!$B$14:$B$47&gt;=$B130+1)*('2027 Avoided Costs'!$B$14:$B$47&lt;$B130+ROUND($O130,0)))))+_xlfn.XLOOKUP($B130,'2027 Avoided Costs'!$B$13:$B$47,'2027 Avoided Costs'!$E$13:$E$47))*IF($AE130&gt;0,$AE130*(1+$W130),0),0)</f>
        <v>46314.66102321606</v>
      </c>
      <c r="AU130" s="290" cm="1">
        <f t="array" ref="AU130">IFERROR((IF($O130=1,0,NPV('2027 Avoided Costs'!$D$6,_xlfn._xlws.FILTER('2027 Avoided Costs'!$M$14:$M$47,('2027 Avoided Costs'!$B$14:$B$47&gt;=$B130+1)*('2027 Avoided Costs'!$B$14:$B$47&lt;$B130+ROUND($O130,0)))))+_xlfn.XLOOKUP($B130,'2027 Avoided Costs'!$B$13:$B$47,'2027 Avoided Costs'!$M$13:$M$47))*IF($AK130&gt;0,$AK130*(1+$W130),0),0)</f>
        <v>0</v>
      </c>
      <c r="AV130" s="291" cm="1">
        <f t="array" ref="AV130">IFERROR((IF($O130=1,0,NPV('2027 Avoided Costs'!$D$6,_xlfn._xlws.FILTER('2027 Avoided Costs'!$Q$14:$Q$47,('2027 Avoided Costs'!$B$14:$B$47&gt;=$B130+1)*('2027 Avoided Costs'!$B$14:$B$47&lt;$B130+ROUND($O130,0)))))+_xlfn.XLOOKUP($B130,'2027 Avoided Costs'!$B$13:$B$47,'2027 Avoided Costs'!$Q$13:$Q$47))*IF($AI130&gt;0,$AI130*(1+$W130),0),0)</f>
        <v>10751.801905272718</v>
      </c>
      <c r="AW130" s="291" cm="1">
        <f t="array" ref="AW130">IFERROR((IF($O130=1,0,NPV('2027 Avoided Costs'!$D$6,_xlfn._xlws.FILTER('2027 Avoided Costs'!$W$14:$W$47,('2027 Avoided Costs'!$B$14:$B$47&gt;=$B130+1)*('2027 Avoided Costs'!$B$14:$B$47&lt;$B130+ROUND($O130,0)))))+_xlfn.XLOOKUP($B130,'2027 Avoided Costs'!$B$13:$B$47,'2027 Avoided Costs'!$W$13:$W$47))*IF($AM130&gt;0,$AM130*(1+$W130),0),0)</f>
        <v>7958.6714049801894</v>
      </c>
      <c r="AX130" s="291" cm="1">
        <f t="array" ref="AX130">IFERROR((IF($O130=1,0,NPV('2027 Avoided Costs'!$D$6,_xlfn._xlws.FILTER('2027 Avoided Costs'!$AC$14:$AC$47,('2027 Avoided Costs'!$B$14:$B$47&gt;=$B130+1)*('2027 Avoided Costs'!$B$14:$B$47&lt;$B130+ROUND($O130,0)))))+_xlfn.XLOOKUP($B130,'2027 Avoided Costs'!$B$13:$B$47,'2027 Avoided Costs'!$AC$13:$AC$47))*IF($AO130&gt;0,$AO130*(1+$W130),0),0)</f>
        <v>619.60258318807803</v>
      </c>
      <c r="AY130" s="291" cm="1">
        <f t="array" ref="AY130">IFERROR((IF($O130=1,0,NPV('2027 Avoided Costs'!$D$4,_xlfn._xlws.FILTER('2027 Avoided Costs'!$I$14:$I$47,('2027 Avoided Costs'!$B$14:$B$47&gt;=$B130+1)*('2027 Avoided Costs'!$B$14:$B$47&lt;$B130+ROUND($O130,0)))))+_xlfn.XLOOKUP($B130,'2027 Avoided Costs'!$B$13:$B$47,'2027 Avoided Costs'!$I$13:$I$47))*IF($X130="Residential",'2027 Avoided Costs'!$J$5,IF($X130="Large Volume",'2027 Avoided Costs'!$J$7,'2027 Avoided Costs'!$J$6))*IF($AE130&gt;0,$AE130,0),0)</f>
        <v>0</v>
      </c>
      <c r="AZ130" s="291" cm="1">
        <f t="array" ref="AZ130">IFERROR(IF($J130="Baseload",IF($O130=1,0,NPV('2027 Avoided Costs'!$D$6,_xlfn._xlws.FILTER('2027 Avoided Costs'!$C$14:$C$47,('2027 Avoided Costs'!$B$14:$B$47&gt;=$B130+1)*('2027 Avoided Costs'!$B$14:$B$47&lt;$B130+ROUND($O130,0)))))+_xlfn.XLOOKUP($B130,'2027 Avoided Costs'!$B$13:$B$47,'2027 Avoided Costs'!$C$13:$C$47),IF($O130=1,0,NPV('2027 Avoided Costs'!$D$6,_xlfn._xlws.FILTER('2027 Avoided Costs'!$E$14:$E$47,('2027 Avoided Costs'!$B$14:$B$47&gt;=$B130+1)*('2027 Avoided Costs'!$B$14:$B$47&lt;$B130+ROUND($O130,0)))))+_xlfn.XLOOKUP($B130,'2027 Avoided Costs'!$B$13:$B$47,'2027 Avoided Costs'!$E$13:$E$47))*IF($AE130&lt;0,$AE130*(-1),0),0)</f>
        <v>0</v>
      </c>
      <c r="BA130" s="291" cm="1">
        <f t="array" ref="BA130">IFERROR((IF($O130=1,0,NPV('2027 Avoided Costs'!$D$6,_xlfn._xlws.FILTER('2027 Avoided Costs'!$M$14:$M$47,('2027 Avoided Costs'!$B$14:$B$47&gt;=$B130+1)*('2027 Avoided Costs'!$B$14:$B$47&lt;$B130+ROUND($O130,0)))))+_xlfn.XLOOKUP($B130,'2027 Avoided Costs'!$B$13:$B$47,'2027 Avoided Costs'!$M$13:$M$47))*IF($AK130&lt;0,$AK130*(-1),0),0)</f>
        <v>0</v>
      </c>
      <c r="BB130" s="291" cm="1">
        <f t="array" ref="BB130">IFERROR((IF($O130=1,0,NPV('2027 Avoided Costs'!$D$6,_xlfn._xlws.FILTER('2027 Avoided Costs'!$S$14:$S$47,('2027 Avoided Costs'!$B$14:$B$47&gt;=$B130+1)*('2027 Avoided Costs'!$B$14:$B$47&lt;$B130+ROUND($O130,0)))))+_xlfn.XLOOKUP($B130,'2027 Avoided Costs'!$B$13:$B$47,'2027 Avoided Costs'!$S$13:$S$47))*IF($AI130&lt;0,$AI130*(-1),0),0)</f>
        <v>0</v>
      </c>
      <c r="BC130" s="291" cm="1">
        <f t="array" ref="BC130">IFERROR((IF($O130=1,0,NPV('2027 Avoided Costs'!$D$6,_xlfn._xlws.FILTER('2027 Avoided Costs'!$Y$14:$Y$47,('2027 Avoided Costs'!$B$14:$B$47&gt;=$B130+1)*('2027 Avoided Costs'!$B$14:$B$47&lt;$B130+ROUND($O130,0)))))+_xlfn.XLOOKUP($B130,'2027 Avoided Costs'!$B$13:$B$47,'2027 Avoided Costs'!$Y$13:$Y$47))*IF($AM130&lt;0,$AM130*(-1),0),0)</f>
        <v>0</v>
      </c>
      <c r="BD130" s="291" cm="1">
        <f t="array" ref="BD130">IFERROR((IF($O130=1,0,NPV('2027 Avoided Costs'!$D$6,_xlfn._xlws.FILTER('2027 Avoided Costs'!$AE$14:$AE$47,('2027 Avoided Costs'!$B$14:$B$47&gt;=$B130+1)*('2027 Avoided Costs'!$B$14:$B$47&lt;$B130+ROUND($O130,0)))))+_xlfn.XLOOKUP($B130,'2027 Avoided Costs'!$B$13:$B$47,'2027 Avoided Costs'!$AE$13:$AE$47))*IF($AO130&lt;0,$AO130*(-1),0),0)</f>
        <v>0</v>
      </c>
      <c r="BE130" s="291" cm="1">
        <f t="array" ref="BE130">IFERROR((IF($O130=1,0,NPV('2027 Avoided Costs'!$D$4,_xlfn._xlws.FILTER('2027 Avoided Costs'!$I$14:$I$47,('2027 Avoided Costs'!$B$14:$B$47&gt;=$B130+1)*('2027 Avoided Costs'!$B$14:$B$47&lt;$B130+ROUND($O130,0)))))+_xlfn.XLOOKUP($B130,'2027 Avoided Costs'!$B$13:$B$47,'2027 Avoided Costs'!$I$13:$I$47))*IF($X130="Residential",'2027 Avoided Costs'!$J$5,IF($X130="Large Volume",'2027 Avoided Costs'!$J$7,'2027 Avoided Costs'!$J$6))*IF($AE130&lt;0,$AE130*(-1),0),0)</f>
        <v>0</v>
      </c>
      <c r="BF130" s="291">
        <f t="shared" si="50"/>
        <v>65644.736916657042</v>
      </c>
      <c r="BG130" s="291">
        <f t="shared" si="51"/>
        <v>13353.6</v>
      </c>
      <c r="BH130" s="291">
        <f t="shared" si="52"/>
        <v>52291.136916657044</v>
      </c>
      <c r="BI130" s="292">
        <f t="shared" si="56"/>
        <v>4.9158831263971541</v>
      </c>
      <c r="BJ130" s="196" cm="1">
        <f t="array" ref="BJ130">IFERROR(IF($J130="Baseload",IF($O130=1,0,NPV('2027 Avoided Costs'!$D$6,_xlfn._xlws.FILTER('2027 Avoided Costs'!$C$14:$C$47,('2027 Avoided Costs'!$B$14:$B$47&gt;=$B130+1)*('2027 Avoided Costs'!$B$14:$B$47&lt;$B130+ROUND($O130,0)))))+_xlfn.XLOOKUP($B130,'2027 Avoided Costs'!$B$13:$B$47,'2027 Avoided Costs'!$C$13:$C$47),IF($O130=1,0,NPV('2027 Avoided Costs'!$D$6,_xlfn._xlws.FILTER('2027 Avoided Costs'!$E$14:$E$47,('2027 Avoided Costs'!$B$14:$B$47&gt;=$B130+1)*('2027 Avoided Costs'!$B$14:$B$47&lt;$B130+ROUND($O130,0)))))+_xlfn.XLOOKUP($B130,'2027 Avoided Costs'!$B$13:$B$47,'2027 Avoided Costs'!$E$13:$E$47))*IF($AE130&gt;0,$AE130*(1+0),0),0)</f>
        <v>40273.618281057446</v>
      </c>
      <c r="BK130" s="293">
        <f t="shared" si="53"/>
        <v>4.6381194104059231</v>
      </c>
    </row>
    <row r="131" spans="1:63" s="56" customFormat="1" x14ac:dyDescent="0.25">
      <c r="A131" s="270" t="s">
        <v>133</v>
      </c>
      <c r="B131" s="271">
        <v>2029</v>
      </c>
      <c r="C131" s="272" t="s">
        <v>13</v>
      </c>
      <c r="D131" s="272" t="s">
        <v>165</v>
      </c>
      <c r="E131" s="272" t="s">
        <v>88</v>
      </c>
      <c r="F131" s="273">
        <v>382</v>
      </c>
      <c r="G131" s="274">
        <v>1509.139031007752</v>
      </c>
      <c r="H131" s="275">
        <f t="shared" si="30"/>
        <v>1.27</v>
      </c>
      <c r="I131" s="274">
        <v>0</v>
      </c>
      <c r="J131" s="276" t="s">
        <v>263</v>
      </c>
      <c r="K131" s="277">
        <f t="shared" si="54"/>
        <v>0.8</v>
      </c>
      <c r="L131" s="278">
        <v>0.2</v>
      </c>
      <c r="M131" s="278">
        <v>0</v>
      </c>
      <c r="N131" s="278">
        <v>1</v>
      </c>
      <c r="O131" s="279">
        <v>12</v>
      </c>
      <c r="P131" s="280">
        <v>1188.2984496124031</v>
      </c>
      <c r="Q131" s="281">
        <v>2088</v>
      </c>
      <c r="R131" s="282">
        <v>0.23835616438355944</v>
      </c>
      <c r="S131" s="282">
        <v>0.23835616438356241</v>
      </c>
      <c r="T131" s="281">
        <v>145.15408121212127</v>
      </c>
      <c r="U131" s="283">
        <v>0.24</v>
      </c>
      <c r="V131" s="284">
        <v>5474</v>
      </c>
      <c r="W131" s="285">
        <v>0.15</v>
      </c>
      <c r="X131" s="286" t="s">
        <v>255</v>
      </c>
      <c r="Y131" s="287">
        <f t="shared" si="31"/>
        <v>382</v>
      </c>
      <c r="Z131" s="288">
        <f t="shared" si="32"/>
        <v>576491.10984496132</v>
      </c>
      <c r="AA131" s="288">
        <f t="shared" si="33"/>
        <v>0</v>
      </c>
      <c r="AB131" s="288">
        <f t="shared" si="34"/>
        <v>599781.35068269772</v>
      </c>
      <c r="AC131" s="288">
        <f t="shared" si="55"/>
        <v>0</v>
      </c>
      <c r="AD131" s="287">
        <f t="shared" si="35"/>
        <v>453930.00775193801</v>
      </c>
      <c r="AE131" s="287">
        <f t="shared" si="36"/>
        <v>363144.00620155042</v>
      </c>
      <c r="AF131" s="287">
        <f t="shared" si="37"/>
        <v>5447160.0930232564</v>
      </c>
      <c r="AG131" s="287">
        <f t="shared" si="38"/>
        <v>4357728.0744186053</v>
      </c>
      <c r="AH131" s="287">
        <f t="shared" si="39"/>
        <v>855044.35200000007</v>
      </c>
      <c r="AI131" s="287">
        <f t="shared" si="40"/>
        <v>684035.48160000006</v>
      </c>
      <c r="AJ131" s="287">
        <f t="shared" si="41"/>
        <v>55448.859023030323</v>
      </c>
      <c r="AK131" s="287">
        <f t="shared" si="42"/>
        <v>44359.087218424262</v>
      </c>
      <c r="AL131" s="287">
        <f t="shared" si="43"/>
        <v>97.60780273972513</v>
      </c>
      <c r="AM131" s="287">
        <f t="shared" si="44"/>
        <v>78.086242191780116</v>
      </c>
      <c r="AN131" s="287">
        <f t="shared" si="45"/>
        <v>97.607802739726353</v>
      </c>
      <c r="AO131" s="287">
        <f t="shared" si="46"/>
        <v>78.086242191781082</v>
      </c>
      <c r="AP131" s="287">
        <f t="shared" si="47"/>
        <v>2091068</v>
      </c>
      <c r="AQ131" s="287">
        <f t="shared" si="48"/>
        <v>1672854.4000000001</v>
      </c>
      <c r="AR131" s="287">
        <f t="shared" si="49"/>
        <v>87154.561488372099</v>
      </c>
      <c r="AS131" s="289" t="e">
        <f>IF(J131='2027 Avoided Costs'!#REF!,3,5)</f>
        <v>#REF!</v>
      </c>
      <c r="AT131" s="290" cm="1">
        <f t="array" ref="AT131">IFERROR(IF($J131="Baseload",IF($O131=1,0,NPV('2027 Avoided Costs'!$D$6,_xlfn._xlws.FILTER('2027 Avoided Costs'!$C$14:$C$47,('2027 Avoided Costs'!$B$14:$B$47&gt;=$B131+1)*('2027 Avoided Costs'!$B$14:$B$47&lt;$B131+ROUND($O131,0)))))+_xlfn.XLOOKUP($B131,'2027 Avoided Costs'!$B$13:$B$47,'2027 Avoided Costs'!$C$13:$C$47),IF($O131=1,0,NPV('2027 Avoided Costs'!$D$6,_xlfn._xlws.FILTER('2027 Avoided Costs'!$E$14:$E$47,('2027 Avoided Costs'!$B$14:$B$47&gt;=$B131+1)*('2027 Avoided Costs'!$B$14:$B$47&lt;$B131+ROUND($O131,0)))))+_xlfn.XLOOKUP($B131,'2027 Avoided Costs'!$B$13:$B$47,'2027 Avoided Costs'!$E$13:$E$47))*IF($AE131&gt;0,$AE131*(1+$W131),0),0)</f>
        <v>1149836.7117313961</v>
      </c>
      <c r="AU131" s="290" cm="1">
        <f t="array" ref="AU131">IFERROR((IF($O131=1,0,NPV('2027 Avoided Costs'!$D$6,_xlfn._xlws.FILTER('2027 Avoided Costs'!$M$14:$M$47,('2027 Avoided Costs'!$B$14:$B$47&gt;=$B131+1)*('2027 Avoided Costs'!$B$14:$B$47&lt;$B131+ROUND($O131,0)))))+_xlfn.XLOOKUP($B131,'2027 Avoided Costs'!$B$13:$B$47,'2027 Avoided Costs'!$M$13:$M$47))*IF($AK131&gt;0,$AK131*(1+$W131),0),0)</f>
        <v>558497.54937573895</v>
      </c>
      <c r="AV131" s="291" cm="1">
        <f t="array" ref="AV131">IFERROR((IF($O131=1,0,NPV('2027 Avoided Costs'!$D$6,_xlfn._xlws.FILTER('2027 Avoided Costs'!$Q$14:$Q$47,('2027 Avoided Costs'!$B$14:$B$47&gt;=$B131+1)*('2027 Avoided Costs'!$B$14:$B$47&lt;$B131+ROUND($O131,0)))))+_xlfn.XLOOKUP($B131,'2027 Avoided Costs'!$B$13:$B$47,'2027 Avoided Costs'!$Q$13:$Q$47))*IF($AI131&gt;0,$AI131*(1+$W131),0),0)</f>
        <v>372310.89817122521</v>
      </c>
      <c r="AW131" s="291" cm="1">
        <f t="array" ref="AW131">IFERROR((IF($O131=1,0,NPV('2027 Avoided Costs'!$D$6,_xlfn._xlws.FILTER('2027 Avoided Costs'!$W$14:$W$47,('2027 Avoided Costs'!$B$14:$B$47&gt;=$B131+1)*('2027 Avoided Costs'!$B$14:$B$47&lt;$B131+ROUND($O131,0)))))+_xlfn.XLOOKUP($B131,'2027 Avoided Costs'!$B$13:$B$47,'2027 Avoided Costs'!$W$13:$W$47))*IF($AM131&gt;0,$AM131*(1+$W131),0),0)</f>
        <v>275591.02419704263</v>
      </c>
      <c r="AX131" s="291" cm="1">
        <f t="array" ref="AX131">IFERROR((IF($O131=1,0,NPV('2027 Avoided Costs'!$D$6,_xlfn._xlws.FILTER('2027 Avoided Costs'!$AC$14:$AC$47,('2027 Avoided Costs'!$B$14:$B$47&gt;=$B131+1)*('2027 Avoided Costs'!$B$14:$B$47&lt;$B131+ROUND($O131,0)))))+_xlfn.XLOOKUP($B131,'2027 Avoided Costs'!$B$13:$B$47,'2027 Avoided Costs'!$AC$13:$AC$47))*IF($AO131&gt;0,$AO131*(1+$W131),0),0)</f>
        <v>21455.454284628893</v>
      </c>
      <c r="AY131" s="291" cm="1">
        <f t="array" ref="AY131">IFERROR((IF($O131=1,0,NPV('2027 Avoided Costs'!$D$4,_xlfn._xlws.FILTER('2027 Avoided Costs'!$I$14:$I$47,('2027 Avoided Costs'!$B$14:$B$47&gt;=$B131+1)*('2027 Avoided Costs'!$B$14:$B$47&lt;$B131+ROUND($O131,0)))))+_xlfn.XLOOKUP($B131,'2027 Avoided Costs'!$B$13:$B$47,'2027 Avoided Costs'!$I$13:$I$47))*IF($X131="Residential",'2027 Avoided Costs'!$J$5,IF($X131="Large Volume",'2027 Avoided Costs'!$J$7,'2027 Avoided Costs'!$J$6))*IF($AE131&gt;0,$AE131,0),0)</f>
        <v>0</v>
      </c>
      <c r="AZ131" s="291" cm="1">
        <f t="array" ref="AZ131">IFERROR(IF($J131="Baseload",IF($O131=1,0,NPV('2027 Avoided Costs'!$D$6,_xlfn._xlws.FILTER('2027 Avoided Costs'!$C$14:$C$47,('2027 Avoided Costs'!$B$14:$B$47&gt;=$B131+1)*('2027 Avoided Costs'!$B$14:$B$47&lt;$B131+ROUND($O131,0)))))+_xlfn.XLOOKUP($B131,'2027 Avoided Costs'!$B$13:$B$47,'2027 Avoided Costs'!$C$13:$C$47),IF($O131=1,0,NPV('2027 Avoided Costs'!$D$6,_xlfn._xlws.FILTER('2027 Avoided Costs'!$E$14:$E$47,('2027 Avoided Costs'!$B$14:$B$47&gt;=$B131+1)*('2027 Avoided Costs'!$B$14:$B$47&lt;$B131+ROUND($O131,0)))))+_xlfn.XLOOKUP($B131,'2027 Avoided Costs'!$B$13:$B$47,'2027 Avoided Costs'!$E$13:$E$47))*IF($AE131&lt;0,$AE131*(-1),0),0)</f>
        <v>0</v>
      </c>
      <c r="BA131" s="291" cm="1">
        <f t="array" ref="BA131">IFERROR((IF($O131=1,0,NPV('2027 Avoided Costs'!$D$6,_xlfn._xlws.FILTER('2027 Avoided Costs'!$M$14:$M$47,('2027 Avoided Costs'!$B$14:$B$47&gt;=$B131+1)*('2027 Avoided Costs'!$B$14:$B$47&lt;$B131+ROUND($O131,0)))))+_xlfn.XLOOKUP($B131,'2027 Avoided Costs'!$B$13:$B$47,'2027 Avoided Costs'!$M$13:$M$47))*IF($AK131&lt;0,$AK131*(-1),0),0)</f>
        <v>0</v>
      </c>
      <c r="BB131" s="291" cm="1">
        <f t="array" ref="BB131">IFERROR((IF($O131=1,0,NPV('2027 Avoided Costs'!$D$6,_xlfn._xlws.FILTER('2027 Avoided Costs'!$S$14:$S$47,('2027 Avoided Costs'!$B$14:$B$47&gt;=$B131+1)*('2027 Avoided Costs'!$B$14:$B$47&lt;$B131+ROUND($O131,0)))))+_xlfn.XLOOKUP($B131,'2027 Avoided Costs'!$B$13:$B$47,'2027 Avoided Costs'!$S$13:$S$47))*IF($AI131&lt;0,$AI131*(-1),0),0)</f>
        <v>0</v>
      </c>
      <c r="BC131" s="291" cm="1">
        <f t="array" ref="BC131">IFERROR((IF($O131=1,0,NPV('2027 Avoided Costs'!$D$6,_xlfn._xlws.FILTER('2027 Avoided Costs'!$Y$14:$Y$47,('2027 Avoided Costs'!$B$14:$B$47&gt;=$B131+1)*('2027 Avoided Costs'!$B$14:$B$47&lt;$B131+ROUND($O131,0)))))+_xlfn.XLOOKUP($B131,'2027 Avoided Costs'!$B$13:$B$47,'2027 Avoided Costs'!$Y$13:$Y$47))*IF($AM131&lt;0,$AM131*(-1),0),0)</f>
        <v>0</v>
      </c>
      <c r="BD131" s="291" cm="1">
        <f t="array" ref="BD131">IFERROR((IF($O131=1,0,NPV('2027 Avoided Costs'!$D$6,_xlfn._xlws.FILTER('2027 Avoided Costs'!$AE$14:$AE$47,('2027 Avoided Costs'!$B$14:$B$47&gt;=$B131+1)*('2027 Avoided Costs'!$B$14:$B$47&lt;$B131+ROUND($O131,0)))))+_xlfn.XLOOKUP($B131,'2027 Avoided Costs'!$B$13:$B$47,'2027 Avoided Costs'!$AE$13:$AE$47))*IF($AO131&lt;0,$AO131*(-1),0),0)</f>
        <v>0</v>
      </c>
      <c r="BE131" s="291" cm="1">
        <f t="array" ref="BE131">IFERROR((IF($O131=1,0,NPV('2027 Avoided Costs'!$D$4,_xlfn._xlws.FILTER('2027 Avoided Costs'!$I$14:$I$47,('2027 Avoided Costs'!$B$14:$B$47&gt;=$B131+1)*('2027 Avoided Costs'!$B$14:$B$47&lt;$B131+ROUND($O131,0)))))+_xlfn.XLOOKUP($B131,'2027 Avoided Costs'!$B$13:$B$47,'2027 Avoided Costs'!$I$13:$I$47))*IF($X131="Residential",'2027 Avoided Costs'!$J$5,IF($X131="Large Volume",'2027 Avoided Costs'!$J$7,'2027 Avoided Costs'!$J$6))*IF($AE131&lt;0,$AE131*(-1),0),0)</f>
        <v>0</v>
      </c>
      <c r="BF131" s="291">
        <f t="shared" si="50"/>
        <v>2377691.6377600315</v>
      </c>
      <c r="BG131" s="291">
        <f t="shared" si="51"/>
        <v>1672854.4000000001</v>
      </c>
      <c r="BH131" s="291">
        <f t="shared" si="52"/>
        <v>704837.23776003136</v>
      </c>
      <c r="BI131" s="292">
        <f t="shared" si="56"/>
        <v>1.4213380660982995</v>
      </c>
      <c r="BJ131" s="196" cm="1">
        <f t="array" ref="BJ131">IFERROR(IF($J131="Baseload",IF($O131=1,0,NPV('2027 Avoided Costs'!$D$6,_xlfn._xlws.FILTER('2027 Avoided Costs'!$C$14:$C$47,('2027 Avoided Costs'!$B$14:$B$47&gt;=$B131+1)*('2027 Avoided Costs'!$B$14:$B$47&lt;$B131+ROUND($O131,0)))))+_xlfn.XLOOKUP($B131,'2027 Avoided Costs'!$B$13:$B$47,'2027 Avoided Costs'!$C$13:$C$47),IF($O131=1,0,NPV('2027 Avoided Costs'!$D$6,_xlfn._xlws.FILTER('2027 Avoided Costs'!$E$14:$E$47,('2027 Avoided Costs'!$B$14:$B$47&gt;=$B131+1)*('2027 Avoided Costs'!$B$14:$B$47&lt;$B131+ROUND($O131,0)))))+_xlfn.XLOOKUP($B131,'2027 Avoided Costs'!$B$13:$B$47,'2027 Avoided Costs'!$E$13:$E$47))*IF($AE131&gt;0,$AE131*(1+0),0),0)</f>
        <v>999858.01020121411</v>
      </c>
      <c r="BK131" s="293">
        <f t="shared" si="53"/>
        <v>1.6670375113583165</v>
      </c>
    </row>
    <row r="132" spans="1:63" s="56" customFormat="1" x14ac:dyDescent="0.25">
      <c r="A132" s="270" t="s">
        <v>133</v>
      </c>
      <c r="B132" s="271">
        <v>2029</v>
      </c>
      <c r="C132" s="272" t="s">
        <v>13</v>
      </c>
      <c r="D132" s="272" t="s">
        <v>165</v>
      </c>
      <c r="E132" s="272" t="s">
        <v>89</v>
      </c>
      <c r="F132" s="273">
        <v>36</v>
      </c>
      <c r="G132" s="274">
        <v>500.4375</v>
      </c>
      <c r="H132" s="275">
        <f t="shared" si="30"/>
        <v>0.69027845627747919</v>
      </c>
      <c r="I132" s="274">
        <v>0</v>
      </c>
      <c r="J132" s="276" t="s">
        <v>263</v>
      </c>
      <c r="K132" s="277">
        <f t="shared" si="54"/>
        <v>0.8</v>
      </c>
      <c r="L132" s="278">
        <v>0.2</v>
      </c>
      <c r="M132" s="278">
        <v>0</v>
      </c>
      <c r="N132" s="278">
        <v>1</v>
      </c>
      <c r="O132" s="279">
        <v>12</v>
      </c>
      <c r="P132" s="280">
        <v>724.97916666666674</v>
      </c>
      <c r="Q132" s="281">
        <v>866.75</v>
      </c>
      <c r="R132" s="282">
        <v>9.8944063926939732E-2</v>
      </c>
      <c r="S132" s="282">
        <v>9.8944063926940953E-2</v>
      </c>
      <c r="T132" s="281">
        <v>0</v>
      </c>
      <c r="U132" s="283">
        <v>0.24</v>
      </c>
      <c r="V132" s="284">
        <v>1000.875</v>
      </c>
      <c r="W132" s="285">
        <v>0.15</v>
      </c>
      <c r="X132" s="286" t="s">
        <v>255</v>
      </c>
      <c r="Y132" s="287">
        <f t="shared" si="31"/>
        <v>36</v>
      </c>
      <c r="Z132" s="288">
        <f t="shared" si="32"/>
        <v>18015.75</v>
      </c>
      <c r="AA132" s="288">
        <f t="shared" si="33"/>
        <v>0</v>
      </c>
      <c r="AB132" s="288">
        <f t="shared" si="34"/>
        <v>18743.586299999999</v>
      </c>
      <c r="AC132" s="288">
        <f t="shared" si="55"/>
        <v>0</v>
      </c>
      <c r="AD132" s="287">
        <f t="shared" si="35"/>
        <v>26099.250000000004</v>
      </c>
      <c r="AE132" s="287">
        <f t="shared" si="36"/>
        <v>20879.400000000005</v>
      </c>
      <c r="AF132" s="287">
        <f t="shared" si="37"/>
        <v>313191.00000000006</v>
      </c>
      <c r="AG132" s="287">
        <f t="shared" si="38"/>
        <v>250552.80000000005</v>
      </c>
      <c r="AH132" s="287">
        <f t="shared" si="39"/>
        <v>33449.616000000002</v>
      </c>
      <c r="AI132" s="287">
        <f t="shared" si="40"/>
        <v>26759.692800000004</v>
      </c>
      <c r="AJ132" s="287">
        <f t="shared" si="41"/>
        <v>0</v>
      </c>
      <c r="AK132" s="287">
        <f t="shared" si="42"/>
        <v>0</v>
      </c>
      <c r="AL132" s="287">
        <f t="shared" si="43"/>
        <v>3.8184493150684586</v>
      </c>
      <c r="AM132" s="287">
        <f t="shared" si="44"/>
        <v>3.0547594520547667</v>
      </c>
      <c r="AN132" s="287">
        <f t="shared" si="45"/>
        <v>3.8184493150685057</v>
      </c>
      <c r="AO132" s="287">
        <f t="shared" si="46"/>
        <v>3.0547594520548045</v>
      </c>
      <c r="AP132" s="287">
        <f t="shared" si="47"/>
        <v>36031.5</v>
      </c>
      <c r="AQ132" s="287">
        <f t="shared" si="48"/>
        <v>28825.200000000001</v>
      </c>
      <c r="AR132" s="287">
        <f t="shared" si="49"/>
        <v>5011.0560000000014</v>
      </c>
      <c r="AS132" s="289" t="e">
        <f>IF(J132='2027 Avoided Costs'!#REF!,3,5)</f>
        <v>#REF!</v>
      </c>
      <c r="AT132" s="290" cm="1">
        <f t="array" ref="AT132">IFERROR(IF($J132="Baseload",IF($O132=1,0,NPV('2027 Avoided Costs'!$D$6,_xlfn._xlws.FILTER('2027 Avoided Costs'!$C$14:$C$47,('2027 Avoided Costs'!$B$14:$B$47&gt;=$B132+1)*('2027 Avoided Costs'!$B$14:$B$47&lt;$B132+ROUND($O132,0)))))+_xlfn.XLOOKUP($B132,'2027 Avoided Costs'!$B$13:$B$47,'2027 Avoided Costs'!$C$13:$C$47),IF($O132=1,0,NPV('2027 Avoided Costs'!$D$6,_xlfn._xlws.FILTER('2027 Avoided Costs'!$E$14:$E$47,('2027 Avoided Costs'!$B$14:$B$47&gt;=$B132+1)*('2027 Avoided Costs'!$B$14:$B$47&lt;$B132+ROUND($O132,0)))))+_xlfn.XLOOKUP($B132,'2027 Avoided Costs'!$B$13:$B$47,'2027 Avoided Costs'!$E$13:$E$47))*IF($AE132&gt;0,$AE132*(1+$W132),0),0)</f>
        <v>66111.240248860864</v>
      </c>
      <c r="AU132" s="290" cm="1">
        <f t="array" ref="AU132">IFERROR((IF($O132=1,0,NPV('2027 Avoided Costs'!$D$6,_xlfn._xlws.FILTER('2027 Avoided Costs'!$M$14:$M$47,('2027 Avoided Costs'!$B$14:$B$47&gt;=$B132+1)*('2027 Avoided Costs'!$B$14:$B$47&lt;$B132+ROUND($O132,0)))))+_xlfn.XLOOKUP($B132,'2027 Avoided Costs'!$B$13:$B$47,'2027 Avoided Costs'!$M$13:$M$47))*IF($AK132&gt;0,$AK132*(1+$W132),0),0)</f>
        <v>0</v>
      </c>
      <c r="AV132" s="291" cm="1">
        <f t="array" ref="AV132">IFERROR((IF($O132=1,0,NPV('2027 Avoided Costs'!$D$6,_xlfn._xlws.FILTER('2027 Avoided Costs'!$Q$14:$Q$47,('2027 Avoided Costs'!$B$14:$B$47&gt;=$B132+1)*('2027 Avoided Costs'!$B$14:$B$47&lt;$B132+ROUND($O132,0)))))+_xlfn.XLOOKUP($B132,'2027 Avoided Costs'!$B$13:$B$47,'2027 Avoided Costs'!$Q$13:$Q$47))*IF($AI132&gt;0,$AI132*(1+$W132),0),0)</f>
        <v>14564.924670062715</v>
      </c>
      <c r="AW132" s="291" cm="1">
        <f t="array" ref="AW132">IFERROR((IF($O132=1,0,NPV('2027 Avoided Costs'!$D$6,_xlfn._xlws.FILTER('2027 Avoided Costs'!$W$14:$W$47,('2027 Avoided Costs'!$B$14:$B$47&gt;=$B132+1)*('2027 Avoided Costs'!$B$14:$B$47&lt;$B132+ROUND($O132,0)))))+_xlfn.XLOOKUP($B132,'2027 Avoided Costs'!$B$13:$B$47,'2027 Avoided Costs'!$W$13:$W$47))*IF($AM132&gt;0,$AM132*(1+$W132),0),0)</f>
        <v>10781.21142005717</v>
      </c>
      <c r="AX132" s="291" cm="1">
        <f t="array" ref="AX132">IFERROR((IF($O132=1,0,NPV('2027 Avoided Costs'!$D$6,_xlfn._xlws.FILTER('2027 Avoided Costs'!$AC$14:$AC$47,('2027 Avoided Costs'!$B$14:$B$47&gt;=$B132+1)*('2027 Avoided Costs'!$B$14:$B$47&lt;$B132+ROUND($O132,0)))))+_xlfn.XLOOKUP($B132,'2027 Avoided Costs'!$B$13:$B$47,'2027 Avoided Costs'!$AC$13:$AC$47))*IF($AO132&gt;0,$AO132*(1+$W132),0),0)</f>
        <v>839.34442142995533</v>
      </c>
      <c r="AY132" s="291" cm="1">
        <f t="array" ref="AY132">IFERROR((IF($O132=1,0,NPV('2027 Avoided Costs'!$D$4,_xlfn._xlws.FILTER('2027 Avoided Costs'!$I$14:$I$47,('2027 Avoided Costs'!$B$14:$B$47&gt;=$B132+1)*('2027 Avoided Costs'!$B$14:$B$47&lt;$B132+ROUND($O132,0)))))+_xlfn.XLOOKUP($B132,'2027 Avoided Costs'!$B$13:$B$47,'2027 Avoided Costs'!$I$13:$I$47))*IF($X132="Residential",'2027 Avoided Costs'!$J$5,IF($X132="Large Volume",'2027 Avoided Costs'!$J$7,'2027 Avoided Costs'!$J$6))*IF($AE132&gt;0,$AE132,0),0)</f>
        <v>0</v>
      </c>
      <c r="AZ132" s="291" cm="1">
        <f t="array" ref="AZ132">IFERROR(IF($J132="Baseload",IF($O132=1,0,NPV('2027 Avoided Costs'!$D$6,_xlfn._xlws.FILTER('2027 Avoided Costs'!$C$14:$C$47,('2027 Avoided Costs'!$B$14:$B$47&gt;=$B132+1)*('2027 Avoided Costs'!$B$14:$B$47&lt;$B132+ROUND($O132,0)))))+_xlfn.XLOOKUP($B132,'2027 Avoided Costs'!$B$13:$B$47,'2027 Avoided Costs'!$C$13:$C$47),IF($O132=1,0,NPV('2027 Avoided Costs'!$D$6,_xlfn._xlws.FILTER('2027 Avoided Costs'!$E$14:$E$47,('2027 Avoided Costs'!$B$14:$B$47&gt;=$B132+1)*('2027 Avoided Costs'!$B$14:$B$47&lt;$B132+ROUND($O132,0)))))+_xlfn.XLOOKUP($B132,'2027 Avoided Costs'!$B$13:$B$47,'2027 Avoided Costs'!$E$13:$E$47))*IF($AE132&lt;0,$AE132*(-1),0),0)</f>
        <v>0</v>
      </c>
      <c r="BA132" s="291" cm="1">
        <f t="array" ref="BA132">IFERROR((IF($O132=1,0,NPV('2027 Avoided Costs'!$D$6,_xlfn._xlws.FILTER('2027 Avoided Costs'!$M$14:$M$47,('2027 Avoided Costs'!$B$14:$B$47&gt;=$B132+1)*('2027 Avoided Costs'!$B$14:$B$47&lt;$B132+ROUND($O132,0)))))+_xlfn.XLOOKUP($B132,'2027 Avoided Costs'!$B$13:$B$47,'2027 Avoided Costs'!$M$13:$M$47))*IF($AK132&lt;0,$AK132*(-1),0),0)</f>
        <v>0</v>
      </c>
      <c r="BB132" s="291" cm="1">
        <f t="array" ref="BB132">IFERROR((IF($O132=1,0,NPV('2027 Avoided Costs'!$D$6,_xlfn._xlws.FILTER('2027 Avoided Costs'!$S$14:$S$47,('2027 Avoided Costs'!$B$14:$B$47&gt;=$B132+1)*('2027 Avoided Costs'!$B$14:$B$47&lt;$B132+ROUND($O132,0)))))+_xlfn.XLOOKUP($B132,'2027 Avoided Costs'!$B$13:$B$47,'2027 Avoided Costs'!$S$13:$S$47))*IF($AI132&lt;0,$AI132*(-1),0),0)</f>
        <v>0</v>
      </c>
      <c r="BC132" s="291" cm="1">
        <f t="array" ref="BC132">IFERROR((IF($O132=1,0,NPV('2027 Avoided Costs'!$D$6,_xlfn._xlws.FILTER('2027 Avoided Costs'!$Y$14:$Y$47,('2027 Avoided Costs'!$B$14:$B$47&gt;=$B132+1)*('2027 Avoided Costs'!$B$14:$B$47&lt;$B132+ROUND($O132,0)))))+_xlfn.XLOOKUP($B132,'2027 Avoided Costs'!$B$13:$B$47,'2027 Avoided Costs'!$Y$13:$Y$47))*IF($AM132&lt;0,$AM132*(-1),0),0)</f>
        <v>0</v>
      </c>
      <c r="BD132" s="291" cm="1">
        <f t="array" ref="BD132">IFERROR((IF($O132=1,0,NPV('2027 Avoided Costs'!$D$6,_xlfn._xlws.FILTER('2027 Avoided Costs'!$AE$14:$AE$47,('2027 Avoided Costs'!$B$14:$B$47&gt;=$B132+1)*('2027 Avoided Costs'!$B$14:$B$47&lt;$B132+ROUND($O132,0)))))+_xlfn.XLOOKUP($B132,'2027 Avoided Costs'!$B$13:$B$47,'2027 Avoided Costs'!$AE$13:$AE$47))*IF($AO132&lt;0,$AO132*(-1),0),0)</f>
        <v>0</v>
      </c>
      <c r="BE132" s="291" cm="1">
        <f t="array" ref="BE132">IFERROR((IF($O132=1,0,NPV('2027 Avoided Costs'!$D$4,_xlfn._xlws.FILTER('2027 Avoided Costs'!$I$14:$I$47,('2027 Avoided Costs'!$B$14:$B$47&gt;=$B132+1)*('2027 Avoided Costs'!$B$14:$B$47&lt;$B132+ROUND($O132,0)))))+_xlfn.XLOOKUP($B132,'2027 Avoided Costs'!$B$13:$B$47,'2027 Avoided Costs'!$I$13:$I$47))*IF($X132="Residential",'2027 Avoided Costs'!$J$5,IF($X132="Large Volume",'2027 Avoided Costs'!$J$7,'2027 Avoided Costs'!$J$6))*IF($AE132&lt;0,$AE132*(-1),0),0)</f>
        <v>0</v>
      </c>
      <c r="BF132" s="291">
        <f t="shared" si="50"/>
        <v>92296.720760410695</v>
      </c>
      <c r="BG132" s="291">
        <f t="shared" si="51"/>
        <v>28825.200000000001</v>
      </c>
      <c r="BH132" s="291">
        <f t="shared" si="52"/>
        <v>63471.520760410698</v>
      </c>
      <c r="BI132" s="292">
        <f t="shared" si="56"/>
        <v>3.2019455462723831</v>
      </c>
      <c r="BJ132" s="196" cm="1">
        <f t="array" ref="BJ132">IFERROR(IF($J132="Baseload",IF($O132=1,0,NPV('2027 Avoided Costs'!$D$6,_xlfn._xlws.FILTER('2027 Avoided Costs'!$C$14:$C$47,('2027 Avoided Costs'!$B$14:$B$47&gt;=$B132+1)*('2027 Avoided Costs'!$B$14:$B$47&lt;$B132+ROUND($O132,0)))))+_xlfn.XLOOKUP($B132,'2027 Avoided Costs'!$B$13:$B$47,'2027 Avoided Costs'!$C$13:$C$47),IF($O132=1,0,NPV('2027 Avoided Costs'!$D$6,_xlfn._xlws.FILTER('2027 Avoided Costs'!$E$14:$E$47,('2027 Avoided Costs'!$B$14:$B$47&gt;=$B132+1)*('2027 Avoided Costs'!$B$14:$B$47&lt;$B132+ROUND($O132,0)))))+_xlfn.XLOOKUP($B132,'2027 Avoided Costs'!$B$13:$B$47,'2027 Avoided Costs'!$E$13:$E$47))*IF($AE132&gt;0,$AE132*(1+0),0),0)</f>
        <v>57488.034999009447</v>
      </c>
      <c r="BK132" s="293">
        <f t="shared" si="53"/>
        <v>3.0670776701366615</v>
      </c>
    </row>
    <row r="133" spans="1:63" s="56" customFormat="1" x14ac:dyDescent="0.25">
      <c r="A133" s="270" t="s">
        <v>133</v>
      </c>
      <c r="B133" s="271">
        <v>2029</v>
      </c>
      <c r="C133" s="272" t="s">
        <v>13</v>
      </c>
      <c r="D133" s="272" t="s">
        <v>165</v>
      </c>
      <c r="E133" s="272" t="s">
        <v>90</v>
      </c>
      <c r="F133" s="273">
        <v>363</v>
      </c>
      <c r="G133" s="274">
        <v>1173.5426829268292</v>
      </c>
      <c r="H133" s="275">
        <f t="shared" si="30"/>
        <v>0.77065781465227279</v>
      </c>
      <c r="I133" s="274">
        <v>0</v>
      </c>
      <c r="J133" s="276" t="s">
        <v>263</v>
      </c>
      <c r="K133" s="277">
        <f t="shared" si="54"/>
        <v>0.8</v>
      </c>
      <c r="L133" s="278">
        <v>0.2</v>
      </c>
      <c r="M133" s="278">
        <v>0</v>
      </c>
      <c r="N133" s="278">
        <v>1</v>
      </c>
      <c r="O133" s="279">
        <v>15</v>
      </c>
      <c r="P133" s="280">
        <v>1522.780487804878</v>
      </c>
      <c r="Q133" s="281">
        <v>6919.8841463414637</v>
      </c>
      <c r="R133" s="282">
        <v>0.78994111259605027</v>
      </c>
      <c r="S133" s="282">
        <v>0.78994111259606004</v>
      </c>
      <c r="T133" s="281">
        <v>263.51141883531534</v>
      </c>
      <c r="U133" s="283">
        <v>0.24</v>
      </c>
      <c r="V133" s="284">
        <v>2347.0853658536585</v>
      </c>
      <c r="W133" s="285">
        <v>0.15</v>
      </c>
      <c r="X133" s="286" t="s">
        <v>255</v>
      </c>
      <c r="Y133" s="287">
        <f t="shared" si="31"/>
        <v>363</v>
      </c>
      <c r="Z133" s="288">
        <f t="shared" si="32"/>
        <v>425995.99390243902</v>
      </c>
      <c r="AA133" s="288">
        <f t="shared" si="33"/>
        <v>0</v>
      </c>
      <c r="AB133" s="288">
        <f t="shared" si="34"/>
        <v>443206.23205609753</v>
      </c>
      <c r="AC133" s="288">
        <f t="shared" si="55"/>
        <v>0</v>
      </c>
      <c r="AD133" s="287">
        <f t="shared" si="35"/>
        <v>552769.31707317068</v>
      </c>
      <c r="AE133" s="287">
        <f t="shared" si="36"/>
        <v>442215.45365853654</v>
      </c>
      <c r="AF133" s="287">
        <f t="shared" si="37"/>
        <v>8291539.7560975598</v>
      </c>
      <c r="AG133" s="287">
        <f t="shared" si="38"/>
        <v>6633231.8048780486</v>
      </c>
      <c r="AH133" s="287">
        <f t="shared" si="39"/>
        <v>2692776.0371707319</v>
      </c>
      <c r="AI133" s="287">
        <f t="shared" si="40"/>
        <v>2154220.8297365857</v>
      </c>
      <c r="AJ133" s="287">
        <f t="shared" si="41"/>
        <v>95654.645037219467</v>
      </c>
      <c r="AK133" s="287">
        <f t="shared" si="42"/>
        <v>76523.716029775576</v>
      </c>
      <c r="AL133" s="287">
        <f t="shared" si="43"/>
        <v>307.39452479117665</v>
      </c>
      <c r="AM133" s="287">
        <f t="shared" si="44"/>
        <v>245.91561983294136</v>
      </c>
      <c r="AN133" s="287">
        <f t="shared" si="45"/>
        <v>307.39452479118046</v>
      </c>
      <c r="AO133" s="287">
        <f t="shared" si="46"/>
        <v>245.91561983294437</v>
      </c>
      <c r="AP133" s="287">
        <f t="shared" si="47"/>
        <v>851991.98780487804</v>
      </c>
      <c r="AQ133" s="287">
        <f t="shared" si="48"/>
        <v>681593.59024390252</v>
      </c>
      <c r="AR133" s="287">
        <f t="shared" si="49"/>
        <v>106131.70887804877</v>
      </c>
      <c r="AS133" s="289" t="e">
        <f>IF(J133='2027 Avoided Costs'!#REF!,3,5)</f>
        <v>#REF!</v>
      </c>
      <c r="AT133" s="290" cm="1">
        <f t="array" ref="AT133">IFERROR(IF($J133="Baseload",IF($O133=1,0,NPV('2027 Avoided Costs'!$D$6,_xlfn._xlws.FILTER('2027 Avoided Costs'!$C$14:$C$47,('2027 Avoided Costs'!$B$14:$B$47&gt;=$B133+1)*('2027 Avoided Costs'!$B$14:$B$47&lt;$B133+ROUND($O133,0)))))+_xlfn.XLOOKUP($B133,'2027 Avoided Costs'!$B$13:$B$47,'2027 Avoided Costs'!$C$13:$C$47),IF($O133=1,0,NPV('2027 Avoided Costs'!$D$6,_xlfn._xlws.FILTER('2027 Avoided Costs'!$E$14:$E$47,('2027 Avoided Costs'!$B$14:$B$47&gt;=$B133+1)*('2027 Avoided Costs'!$B$14:$B$47&lt;$B133+ROUND($O133,0)))))+_xlfn.XLOOKUP($B133,'2027 Avoided Costs'!$B$13:$B$47,'2027 Avoided Costs'!$E$13:$E$47))*IF($AE133&gt;0,$AE133*(1+$W133),0),0)</f>
        <v>1679162.634864762</v>
      </c>
      <c r="AU133" s="290" cm="1">
        <f t="array" ref="AU133">IFERROR((IF($O133=1,0,NPV('2027 Avoided Costs'!$D$6,_xlfn._xlws.FILTER('2027 Avoided Costs'!$M$14:$M$47,('2027 Avoided Costs'!$B$14:$B$47&gt;=$B133+1)*('2027 Avoided Costs'!$B$14:$B$47&lt;$B133+ROUND($O133,0)))))+_xlfn.XLOOKUP($B133,'2027 Avoided Costs'!$B$13:$B$47,'2027 Avoided Costs'!$M$13:$M$47))*IF($AK133&gt;0,$AK133*(1+$W133),0),0)</f>
        <v>1141402.5418918661</v>
      </c>
      <c r="AV133" s="291" cm="1">
        <f t="array" ref="AV133">IFERROR((IF($O133=1,0,NPV('2027 Avoided Costs'!$D$6,_xlfn._xlws.FILTER('2027 Avoided Costs'!$Q$14:$Q$47,('2027 Avoided Costs'!$B$14:$B$47&gt;=$B133+1)*('2027 Avoided Costs'!$B$14:$B$47&lt;$B133+ROUND($O133,0)))))+_xlfn.XLOOKUP($B133,'2027 Avoided Costs'!$B$13:$B$47,'2027 Avoided Costs'!$Q$13:$Q$47))*IF($AI133&gt;0,$AI133*(1+$W133),0),0)</f>
        <v>1406604.3340821883</v>
      </c>
      <c r="AW133" s="291" cm="1">
        <f t="array" ref="AW133">IFERROR((IF($O133=1,0,NPV('2027 Avoided Costs'!$D$6,_xlfn._xlws.FILTER('2027 Avoided Costs'!$W$14:$W$47,('2027 Avoided Costs'!$B$14:$B$47&gt;=$B133+1)*('2027 Avoided Costs'!$B$14:$B$47&lt;$B133+ROUND($O133,0)))))+_xlfn.XLOOKUP($B133,'2027 Avoided Costs'!$B$13:$B$47,'2027 Avoided Costs'!$W$13:$W$47))*IF($AM133&gt;0,$AM133*(1+$W133),0),0)</f>
        <v>995645.36549589003</v>
      </c>
      <c r="AX133" s="291" cm="1">
        <f t="array" ref="AX133">IFERROR((IF($O133=1,0,NPV('2027 Avoided Costs'!$D$6,_xlfn._xlws.FILTER('2027 Avoided Costs'!$AC$14:$AC$47,('2027 Avoided Costs'!$B$14:$B$47&gt;=$B133+1)*('2027 Avoided Costs'!$B$14:$B$47&lt;$B133+ROUND($O133,0)))))+_xlfn.XLOOKUP($B133,'2027 Avoided Costs'!$B$13:$B$47,'2027 Avoided Costs'!$AC$13:$AC$47))*IF($AO133&gt;0,$AO133*(1+$W133),0),0)</f>
        <v>131162.24205984766</v>
      </c>
      <c r="AY133" s="291" cm="1">
        <f t="array" ref="AY133">IFERROR((IF($O133=1,0,NPV('2027 Avoided Costs'!$D$4,_xlfn._xlws.FILTER('2027 Avoided Costs'!$I$14:$I$47,('2027 Avoided Costs'!$B$14:$B$47&gt;=$B133+1)*('2027 Avoided Costs'!$B$14:$B$47&lt;$B133+ROUND($O133,0)))))+_xlfn.XLOOKUP($B133,'2027 Avoided Costs'!$B$13:$B$47,'2027 Avoided Costs'!$I$13:$I$47))*IF($X133="Residential",'2027 Avoided Costs'!$J$5,IF($X133="Large Volume",'2027 Avoided Costs'!$J$7,'2027 Avoided Costs'!$J$6))*IF($AE133&gt;0,$AE133,0),0)</f>
        <v>0</v>
      </c>
      <c r="AZ133" s="291" cm="1">
        <f t="array" ref="AZ133">IFERROR(IF($J133="Baseload",IF($O133=1,0,NPV('2027 Avoided Costs'!$D$6,_xlfn._xlws.FILTER('2027 Avoided Costs'!$C$14:$C$47,('2027 Avoided Costs'!$B$14:$B$47&gt;=$B133+1)*('2027 Avoided Costs'!$B$14:$B$47&lt;$B133+ROUND($O133,0)))))+_xlfn.XLOOKUP($B133,'2027 Avoided Costs'!$B$13:$B$47,'2027 Avoided Costs'!$C$13:$C$47),IF($O133=1,0,NPV('2027 Avoided Costs'!$D$6,_xlfn._xlws.FILTER('2027 Avoided Costs'!$E$14:$E$47,('2027 Avoided Costs'!$B$14:$B$47&gt;=$B133+1)*('2027 Avoided Costs'!$B$14:$B$47&lt;$B133+ROUND($O133,0)))))+_xlfn.XLOOKUP($B133,'2027 Avoided Costs'!$B$13:$B$47,'2027 Avoided Costs'!$E$13:$E$47))*IF($AE133&lt;0,$AE133*(-1),0),0)</f>
        <v>0</v>
      </c>
      <c r="BA133" s="291" cm="1">
        <f t="array" ref="BA133">IFERROR((IF($O133=1,0,NPV('2027 Avoided Costs'!$D$6,_xlfn._xlws.FILTER('2027 Avoided Costs'!$M$14:$M$47,('2027 Avoided Costs'!$B$14:$B$47&gt;=$B133+1)*('2027 Avoided Costs'!$B$14:$B$47&lt;$B133+ROUND($O133,0)))))+_xlfn.XLOOKUP($B133,'2027 Avoided Costs'!$B$13:$B$47,'2027 Avoided Costs'!$M$13:$M$47))*IF($AK133&lt;0,$AK133*(-1),0),0)</f>
        <v>0</v>
      </c>
      <c r="BB133" s="291" cm="1">
        <f t="array" ref="BB133">IFERROR((IF($O133=1,0,NPV('2027 Avoided Costs'!$D$6,_xlfn._xlws.FILTER('2027 Avoided Costs'!$S$14:$S$47,('2027 Avoided Costs'!$B$14:$B$47&gt;=$B133+1)*('2027 Avoided Costs'!$B$14:$B$47&lt;$B133+ROUND($O133,0)))))+_xlfn.XLOOKUP($B133,'2027 Avoided Costs'!$B$13:$B$47,'2027 Avoided Costs'!$S$13:$S$47))*IF($AI133&lt;0,$AI133*(-1),0),0)</f>
        <v>0</v>
      </c>
      <c r="BC133" s="291" cm="1">
        <f t="array" ref="BC133">IFERROR((IF($O133=1,0,NPV('2027 Avoided Costs'!$D$6,_xlfn._xlws.FILTER('2027 Avoided Costs'!$Y$14:$Y$47,('2027 Avoided Costs'!$B$14:$B$47&gt;=$B133+1)*('2027 Avoided Costs'!$B$14:$B$47&lt;$B133+ROUND($O133,0)))))+_xlfn.XLOOKUP($B133,'2027 Avoided Costs'!$B$13:$B$47,'2027 Avoided Costs'!$Y$13:$Y$47))*IF($AM133&lt;0,$AM133*(-1),0),0)</f>
        <v>0</v>
      </c>
      <c r="BD133" s="291" cm="1">
        <f t="array" ref="BD133">IFERROR((IF($O133=1,0,NPV('2027 Avoided Costs'!$D$6,_xlfn._xlws.FILTER('2027 Avoided Costs'!$AE$14:$AE$47,('2027 Avoided Costs'!$B$14:$B$47&gt;=$B133+1)*('2027 Avoided Costs'!$B$14:$B$47&lt;$B133+ROUND($O133,0)))))+_xlfn.XLOOKUP($B133,'2027 Avoided Costs'!$B$13:$B$47,'2027 Avoided Costs'!$AE$13:$AE$47))*IF($AO133&lt;0,$AO133*(-1),0),0)</f>
        <v>0</v>
      </c>
      <c r="BE133" s="291" cm="1">
        <f t="array" ref="BE133">IFERROR((IF($O133=1,0,NPV('2027 Avoided Costs'!$D$4,_xlfn._xlws.FILTER('2027 Avoided Costs'!$I$14:$I$47,('2027 Avoided Costs'!$B$14:$B$47&gt;=$B133+1)*('2027 Avoided Costs'!$B$14:$B$47&lt;$B133+ROUND($O133,0)))))+_xlfn.XLOOKUP($B133,'2027 Avoided Costs'!$B$13:$B$47,'2027 Avoided Costs'!$I$13:$I$47))*IF($X133="Residential",'2027 Avoided Costs'!$J$5,IF($X133="Large Volume",'2027 Avoided Costs'!$J$7,'2027 Avoided Costs'!$J$6))*IF($AE133&lt;0,$AE133*(-1),0),0)</f>
        <v>0</v>
      </c>
      <c r="BF133" s="291">
        <f t="shared" si="50"/>
        <v>5353977.1183945537</v>
      </c>
      <c r="BG133" s="291">
        <f t="shared" si="51"/>
        <v>681593.59024390252</v>
      </c>
      <c r="BH133" s="291">
        <f t="shared" si="52"/>
        <v>4672383.5281506516</v>
      </c>
      <c r="BI133" s="292">
        <f t="shared" si="56"/>
        <v>7.8550872470480222</v>
      </c>
      <c r="BJ133" s="196" cm="1">
        <f t="array" ref="BJ133">IFERROR(IF($J133="Baseload",IF($O133=1,0,NPV('2027 Avoided Costs'!$D$6,_xlfn._xlws.FILTER('2027 Avoided Costs'!$C$14:$C$47,('2027 Avoided Costs'!$B$14:$B$47&gt;=$B133+1)*('2027 Avoided Costs'!$B$14:$B$47&lt;$B133+ROUND($O133,0)))))+_xlfn.XLOOKUP($B133,'2027 Avoided Costs'!$B$13:$B$47,'2027 Avoided Costs'!$C$13:$C$47),IF($O133=1,0,NPV('2027 Avoided Costs'!$D$6,_xlfn._xlws.FILTER('2027 Avoided Costs'!$E$14:$E$47,('2027 Avoided Costs'!$B$14:$B$47&gt;=$B133+1)*('2027 Avoided Costs'!$B$14:$B$47&lt;$B133+ROUND($O133,0)))))+_xlfn.XLOOKUP($B133,'2027 Avoided Costs'!$B$13:$B$47,'2027 Avoided Costs'!$E$13:$E$47))*IF($AE133&gt;0,$AE133*(1+0),0),0)</f>
        <v>1460141.4216215324</v>
      </c>
      <c r="BK133" s="293">
        <f t="shared" si="53"/>
        <v>3.2944965932625228</v>
      </c>
    </row>
    <row r="134" spans="1:63" s="56" customFormat="1" x14ac:dyDescent="0.25">
      <c r="A134" s="270" t="s">
        <v>133</v>
      </c>
      <c r="B134" s="271">
        <v>2030</v>
      </c>
      <c r="C134" s="272" t="s">
        <v>13</v>
      </c>
      <c r="D134" s="272" t="s">
        <v>165</v>
      </c>
      <c r="E134" s="272" t="s">
        <v>92</v>
      </c>
      <c r="F134" s="273">
        <v>973</v>
      </c>
      <c r="G134" s="274">
        <v>1389.0454545454545</v>
      </c>
      <c r="H134" s="275">
        <f t="shared" si="30"/>
        <v>0.91952276077013717</v>
      </c>
      <c r="I134" s="274">
        <v>0</v>
      </c>
      <c r="J134" s="276" t="s">
        <v>263</v>
      </c>
      <c r="K134" s="277">
        <f t="shared" ref="K134:K196" si="57">1-L134+M134</f>
        <v>0.8</v>
      </c>
      <c r="L134" s="278">
        <v>0.2</v>
      </c>
      <c r="M134" s="278">
        <v>0</v>
      </c>
      <c r="N134" s="278">
        <v>1</v>
      </c>
      <c r="O134" s="279">
        <v>12</v>
      </c>
      <c r="P134" s="280">
        <v>1510.6156299840509</v>
      </c>
      <c r="Q134" s="281">
        <v>0</v>
      </c>
      <c r="R134" s="282">
        <v>0</v>
      </c>
      <c r="S134" s="282">
        <v>0</v>
      </c>
      <c r="T134" s="281">
        <v>0</v>
      </c>
      <c r="U134" s="283">
        <v>0.24</v>
      </c>
      <c r="V134" s="284">
        <v>2778.090909090909</v>
      </c>
      <c r="W134" s="285">
        <v>0.15</v>
      </c>
      <c r="X134" s="286" t="s">
        <v>255</v>
      </c>
      <c r="Y134" s="287">
        <f t="shared" si="31"/>
        <v>973</v>
      </c>
      <c r="Z134" s="288">
        <f t="shared" si="32"/>
        <v>1351541.2272727273</v>
      </c>
      <c r="AA134" s="288">
        <f t="shared" si="33"/>
        <v>0</v>
      </c>
      <c r="AB134" s="288">
        <f t="shared" si="34"/>
        <v>1434266.3627116363</v>
      </c>
      <c r="AC134" s="288">
        <f t="shared" si="55"/>
        <v>0</v>
      </c>
      <c r="AD134" s="287">
        <f t="shared" si="35"/>
        <v>1469829.0079744814</v>
      </c>
      <c r="AE134" s="287">
        <f t="shared" si="36"/>
        <v>1175863.2063795852</v>
      </c>
      <c r="AF134" s="287">
        <f t="shared" si="37"/>
        <v>17637948.095693778</v>
      </c>
      <c r="AG134" s="287">
        <f t="shared" si="38"/>
        <v>14110358.476555023</v>
      </c>
      <c r="AH134" s="287">
        <f t="shared" si="39"/>
        <v>0</v>
      </c>
      <c r="AI134" s="287">
        <f t="shared" si="40"/>
        <v>0</v>
      </c>
      <c r="AJ134" s="287">
        <f t="shared" si="41"/>
        <v>0</v>
      </c>
      <c r="AK134" s="287">
        <f t="shared" si="42"/>
        <v>0</v>
      </c>
      <c r="AL134" s="287">
        <f t="shared" si="43"/>
        <v>0</v>
      </c>
      <c r="AM134" s="287">
        <f t="shared" si="44"/>
        <v>0</v>
      </c>
      <c r="AN134" s="287">
        <f t="shared" si="45"/>
        <v>0</v>
      </c>
      <c r="AO134" s="287">
        <f t="shared" si="46"/>
        <v>0</v>
      </c>
      <c r="AP134" s="287">
        <f t="shared" si="47"/>
        <v>2703082.4545454546</v>
      </c>
      <c r="AQ134" s="287">
        <f t="shared" si="48"/>
        <v>2162465.9636363639</v>
      </c>
      <c r="AR134" s="287">
        <f t="shared" si="49"/>
        <v>282207.16953110043</v>
      </c>
      <c r="AS134" s="289" t="e">
        <f>IF(J134='2027 Avoided Costs'!#REF!,3,5)</f>
        <v>#REF!</v>
      </c>
      <c r="AT134" s="290" cm="1">
        <f t="array" ref="AT134">IFERROR(IF($J134="Baseload",IF($O134=1,0,NPV('2027 Avoided Costs'!$D$6,_xlfn._xlws.FILTER('2027 Avoided Costs'!$C$14:$C$47,('2027 Avoided Costs'!$B$14:$B$47&gt;=$B134+1)*('2027 Avoided Costs'!$B$14:$B$47&lt;$B134+ROUND($O134,0)))))+_xlfn.XLOOKUP($B134,'2027 Avoided Costs'!$B$13:$B$47,'2027 Avoided Costs'!$C$13:$C$47),IF($O134=1,0,NPV('2027 Avoided Costs'!$D$6,_xlfn._xlws.FILTER('2027 Avoided Costs'!$E$14:$E$47,('2027 Avoided Costs'!$B$14:$B$47&gt;=$B134+1)*('2027 Avoided Costs'!$B$14:$B$47&lt;$B134+ROUND($O134,0)))))+_xlfn.XLOOKUP($B134,'2027 Avoided Costs'!$B$13:$B$47,'2027 Avoided Costs'!$E$13:$E$47))*IF($AE134&gt;0,$AE134*(1+$W134),0),0)</f>
        <v>3842775.1698269099</v>
      </c>
      <c r="AU134" s="290" cm="1">
        <f t="array" ref="AU134">IFERROR((IF($O134=1,0,NPV('2027 Avoided Costs'!$D$6,_xlfn._xlws.FILTER('2027 Avoided Costs'!$M$14:$M$47,('2027 Avoided Costs'!$B$14:$B$47&gt;=$B134+1)*('2027 Avoided Costs'!$B$14:$B$47&lt;$B134+ROUND($O134,0)))))+_xlfn.XLOOKUP($B134,'2027 Avoided Costs'!$B$13:$B$47,'2027 Avoided Costs'!$M$13:$M$47))*IF($AK134&gt;0,$AK134*(1+$W134),0),0)</f>
        <v>0</v>
      </c>
      <c r="AV134" s="291" cm="1">
        <f t="array" ref="AV134">IFERROR((IF($O134=1,0,NPV('2027 Avoided Costs'!$D$6,_xlfn._xlws.FILTER('2027 Avoided Costs'!$Q$14:$Q$47,('2027 Avoided Costs'!$B$14:$B$47&gt;=$B134+1)*('2027 Avoided Costs'!$B$14:$B$47&lt;$B134+ROUND($O134,0)))))+_xlfn.XLOOKUP($B134,'2027 Avoided Costs'!$B$13:$B$47,'2027 Avoided Costs'!$Q$13:$Q$47))*IF($AI134&gt;0,$AI134*(1+$W134),0),0)</f>
        <v>0</v>
      </c>
      <c r="AW134" s="291" cm="1">
        <f t="array" ref="AW134">IFERROR((IF($O134=1,0,NPV('2027 Avoided Costs'!$D$6,_xlfn._xlws.FILTER('2027 Avoided Costs'!$W$14:$W$47,('2027 Avoided Costs'!$B$14:$B$47&gt;=$B134+1)*('2027 Avoided Costs'!$B$14:$B$47&lt;$B134+ROUND($O134,0)))))+_xlfn.XLOOKUP($B134,'2027 Avoided Costs'!$B$13:$B$47,'2027 Avoided Costs'!$W$13:$W$47))*IF($AM134&gt;0,$AM134*(1+$W134),0),0)</f>
        <v>0</v>
      </c>
      <c r="AX134" s="291" cm="1">
        <f t="array" ref="AX134">IFERROR((IF($O134=1,0,NPV('2027 Avoided Costs'!$D$6,_xlfn._xlws.FILTER('2027 Avoided Costs'!$AC$14:$AC$47,('2027 Avoided Costs'!$B$14:$B$47&gt;=$B134+1)*('2027 Avoided Costs'!$B$14:$B$47&lt;$B134+ROUND($O134,0)))))+_xlfn.XLOOKUP($B134,'2027 Avoided Costs'!$B$13:$B$47,'2027 Avoided Costs'!$AC$13:$AC$47))*IF($AO134&gt;0,$AO134*(1+$W134),0),0)</f>
        <v>0</v>
      </c>
      <c r="AY134" s="291" cm="1">
        <f t="array" ref="AY134">IFERROR((IF($O134=1,0,NPV('2027 Avoided Costs'!$D$4,_xlfn._xlws.FILTER('2027 Avoided Costs'!$I$14:$I$47,('2027 Avoided Costs'!$B$14:$B$47&gt;=$B134+1)*('2027 Avoided Costs'!$B$14:$B$47&lt;$B134+ROUND($O134,0)))))+_xlfn.XLOOKUP($B134,'2027 Avoided Costs'!$B$13:$B$47,'2027 Avoided Costs'!$I$13:$I$47))*IF($X134="Residential",'2027 Avoided Costs'!$J$5,IF($X134="Large Volume",'2027 Avoided Costs'!$J$7,'2027 Avoided Costs'!$J$6))*IF($AE134&gt;0,$AE134,0),0)</f>
        <v>0</v>
      </c>
      <c r="AZ134" s="291" cm="1">
        <f t="array" ref="AZ134">IFERROR(IF($J134="Baseload",IF($O134=1,0,NPV('2027 Avoided Costs'!$D$6,_xlfn._xlws.FILTER('2027 Avoided Costs'!$C$14:$C$47,('2027 Avoided Costs'!$B$14:$B$47&gt;=$B134+1)*('2027 Avoided Costs'!$B$14:$B$47&lt;$B134+ROUND($O134,0)))))+_xlfn.XLOOKUP($B134,'2027 Avoided Costs'!$B$13:$B$47,'2027 Avoided Costs'!$C$13:$C$47),IF($O134=1,0,NPV('2027 Avoided Costs'!$D$6,_xlfn._xlws.FILTER('2027 Avoided Costs'!$E$14:$E$47,('2027 Avoided Costs'!$B$14:$B$47&gt;=$B134+1)*('2027 Avoided Costs'!$B$14:$B$47&lt;$B134+ROUND($O134,0)))))+_xlfn.XLOOKUP($B134,'2027 Avoided Costs'!$B$13:$B$47,'2027 Avoided Costs'!$E$13:$E$47))*IF($AE134&lt;0,$AE134*(-1),0),0)</f>
        <v>0</v>
      </c>
      <c r="BA134" s="291" cm="1">
        <f t="array" ref="BA134">IFERROR((IF($O134=1,0,NPV('2027 Avoided Costs'!$D$6,_xlfn._xlws.FILTER('2027 Avoided Costs'!$M$14:$M$47,('2027 Avoided Costs'!$B$14:$B$47&gt;=$B134+1)*('2027 Avoided Costs'!$B$14:$B$47&lt;$B134+ROUND($O134,0)))))+_xlfn.XLOOKUP($B134,'2027 Avoided Costs'!$B$13:$B$47,'2027 Avoided Costs'!$M$13:$M$47))*IF($AK134&lt;0,$AK134*(-1),0),0)</f>
        <v>0</v>
      </c>
      <c r="BB134" s="291" cm="1">
        <f t="array" ref="BB134">IFERROR((IF($O134=1,0,NPV('2027 Avoided Costs'!$D$6,_xlfn._xlws.FILTER('2027 Avoided Costs'!$S$14:$S$47,('2027 Avoided Costs'!$B$14:$B$47&gt;=$B134+1)*('2027 Avoided Costs'!$B$14:$B$47&lt;$B134+ROUND($O134,0)))))+_xlfn.XLOOKUP($B134,'2027 Avoided Costs'!$B$13:$B$47,'2027 Avoided Costs'!$S$13:$S$47))*IF($AI134&lt;0,$AI134*(-1),0),0)</f>
        <v>0</v>
      </c>
      <c r="BC134" s="291" cm="1">
        <f t="array" ref="BC134">IFERROR((IF($O134=1,0,NPV('2027 Avoided Costs'!$D$6,_xlfn._xlws.FILTER('2027 Avoided Costs'!$Y$14:$Y$47,('2027 Avoided Costs'!$B$14:$B$47&gt;=$B134+1)*('2027 Avoided Costs'!$B$14:$B$47&lt;$B134+ROUND($O134,0)))))+_xlfn.XLOOKUP($B134,'2027 Avoided Costs'!$B$13:$B$47,'2027 Avoided Costs'!$Y$13:$Y$47))*IF($AM134&lt;0,$AM134*(-1),0),0)</f>
        <v>0</v>
      </c>
      <c r="BD134" s="291" cm="1">
        <f t="array" ref="BD134">IFERROR((IF($O134=1,0,NPV('2027 Avoided Costs'!$D$6,_xlfn._xlws.FILTER('2027 Avoided Costs'!$AE$14:$AE$47,('2027 Avoided Costs'!$B$14:$B$47&gt;=$B134+1)*('2027 Avoided Costs'!$B$14:$B$47&lt;$B134+ROUND($O134,0)))))+_xlfn.XLOOKUP($B134,'2027 Avoided Costs'!$B$13:$B$47,'2027 Avoided Costs'!$AE$13:$AE$47))*IF($AO134&lt;0,$AO134*(-1),0),0)</f>
        <v>0</v>
      </c>
      <c r="BE134" s="291" cm="1">
        <f t="array" ref="BE134">IFERROR((IF($O134=1,0,NPV('2027 Avoided Costs'!$D$4,_xlfn._xlws.FILTER('2027 Avoided Costs'!$I$14:$I$47,('2027 Avoided Costs'!$B$14:$B$47&gt;=$B134+1)*('2027 Avoided Costs'!$B$14:$B$47&lt;$B134+ROUND($O134,0)))))+_xlfn.XLOOKUP($B134,'2027 Avoided Costs'!$B$13:$B$47,'2027 Avoided Costs'!$I$13:$I$47))*IF($X134="Residential",'2027 Avoided Costs'!$J$5,IF($X134="Large Volume",'2027 Avoided Costs'!$J$7,'2027 Avoided Costs'!$J$6))*IF($AE134&lt;0,$AE134*(-1),0),0)</f>
        <v>0</v>
      </c>
      <c r="BF134" s="291">
        <f t="shared" ref="BF134:BF195" si="58">SUM(AT134:AY134)+IF(AQ134&lt;0,AQ134*(-1),0)</f>
        <v>3842775.1698269099</v>
      </c>
      <c r="BG134" s="291">
        <f t="shared" ref="BG134:BG195" si="59">SUM(AZ134:BE134)+IF(AQ134&gt;=0,AQ134,0)</f>
        <v>2162465.9636363639</v>
      </c>
      <c r="BH134" s="291">
        <f t="shared" ref="BH134:BH195" si="60">BF134-BG134</f>
        <v>1680309.206190546</v>
      </c>
      <c r="BI134" s="292">
        <f t="shared" si="56"/>
        <v>1.7770338282527085</v>
      </c>
      <c r="BJ134" s="196" cm="1">
        <f t="array" ref="BJ134">IFERROR(IF($J134="Baseload",IF($O134=1,0,NPV('2027 Avoided Costs'!$D$6,_xlfn._xlws.FILTER('2027 Avoided Costs'!$C$14:$C$47,('2027 Avoided Costs'!$B$14:$B$47&gt;=$B134+1)*('2027 Avoided Costs'!$B$14:$B$47&lt;$B134+ROUND($O134,0)))))+_xlfn.XLOOKUP($B134,'2027 Avoided Costs'!$B$13:$B$47,'2027 Avoided Costs'!$C$13:$C$47),IF($O134=1,0,NPV('2027 Avoided Costs'!$D$6,_xlfn._xlws.FILTER('2027 Avoided Costs'!$E$14:$E$47,('2027 Avoided Costs'!$B$14:$B$47&gt;=$B134+1)*('2027 Avoided Costs'!$B$14:$B$47&lt;$B134+ROUND($O134,0)))))+_xlfn.XLOOKUP($B134,'2027 Avoided Costs'!$B$13:$B$47,'2027 Avoided Costs'!$E$13:$E$47))*IF($AE134&gt;0,$AE134*(1+0),0),0)</f>
        <v>3341543.6259364435</v>
      </c>
      <c r="BK134" s="293">
        <f t="shared" si="53"/>
        <v>2.3297929260635328</v>
      </c>
    </row>
    <row r="135" spans="1:63" s="56" customFormat="1" x14ac:dyDescent="0.25">
      <c r="A135" s="270" t="s">
        <v>133</v>
      </c>
      <c r="B135" s="271">
        <v>2030</v>
      </c>
      <c r="C135" s="272" t="s">
        <v>13</v>
      </c>
      <c r="D135" s="272" t="s">
        <v>165</v>
      </c>
      <c r="E135" s="272" t="s">
        <v>93</v>
      </c>
      <c r="F135" s="273">
        <v>14</v>
      </c>
      <c r="G135" s="274">
        <v>1522.5</v>
      </c>
      <c r="H135" s="275">
        <f t="shared" si="30"/>
        <v>0.18718622997848436</v>
      </c>
      <c r="I135" s="274">
        <v>0</v>
      </c>
      <c r="J135" s="276" t="s">
        <v>263</v>
      </c>
      <c r="K135" s="277">
        <f t="shared" si="57"/>
        <v>0.8</v>
      </c>
      <c r="L135" s="278">
        <v>0.2</v>
      </c>
      <c r="M135" s="278">
        <v>0</v>
      </c>
      <c r="N135" s="278">
        <v>1</v>
      </c>
      <c r="O135" s="279">
        <v>12</v>
      </c>
      <c r="P135" s="280">
        <v>8133.6111111111104</v>
      </c>
      <c r="Q135" s="281">
        <v>0</v>
      </c>
      <c r="R135" s="282">
        <v>0</v>
      </c>
      <c r="S135" s="282">
        <v>0</v>
      </c>
      <c r="T135" s="281">
        <v>1139.311049317778</v>
      </c>
      <c r="U135" s="283">
        <v>0.24</v>
      </c>
      <c r="V135" s="284">
        <v>3045</v>
      </c>
      <c r="W135" s="285">
        <v>0.15</v>
      </c>
      <c r="X135" s="286" t="s">
        <v>255</v>
      </c>
      <c r="Y135" s="287">
        <f t="shared" si="31"/>
        <v>14</v>
      </c>
      <c r="Z135" s="288">
        <f t="shared" si="32"/>
        <v>21315</v>
      </c>
      <c r="AA135" s="288">
        <f t="shared" si="33"/>
        <v>0</v>
      </c>
      <c r="AB135" s="288">
        <f t="shared" si="34"/>
        <v>22619.648519999999</v>
      </c>
      <c r="AC135" s="288">
        <f t="shared" si="55"/>
        <v>0</v>
      </c>
      <c r="AD135" s="287">
        <f t="shared" si="35"/>
        <v>113870.55555555555</v>
      </c>
      <c r="AE135" s="287">
        <f t="shared" si="36"/>
        <v>91096.444444444438</v>
      </c>
      <c r="AF135" s="287">
        <f t="shared" si="37"/>
        <v>1366446.6666666665</v>
      </c>
      <c r="AG135" s="287">
        <f t="shared" si="38"/>
        <v>1093157.3333333333</v>
      </c>
      <c r="AH135" s="287">
        <f t="shared" si="39"/>
        <v>0</v>
      </c>
      <c r="AI135" s="287">
        <f t="shared" si="40"/>
        <v>0</v>
      </c>
      <c r="AJ135" s="287">
        <f t="shared" si="41"/>
        <v>15950.354690448892</v>
      </c>
      <c r="AK135" s="287">
        <f t="shared" si="42"/>
        <v>12760.283752359115</v>
      </c>
      <c r="AL135" s="287">
        <f t="shared" si="43"/>
        <v>0</v>
      </c>
      <c r="AM135" s="287">
        <f t="shared" si="44"/>
        <v>0</v>
      </c>
      <c r="AN135" s="287">
        <f t="shared" si="45"/>
        <v>0</v>
      </c>
      <c r="AO135" s="287">
        <f t="shared" si="46"/>
        <v>0</v>
      </c>
      <c r="AP135" s="287">
        <f t="shared" si="47"/>
        <v>42630</v>
      </c>
      <c r="AQ135" s="287">
        <f t="shared" si="48"/>
        <v>34104</v>
      </c>
      <c r="AR135" s="287">
        <f t="shared" si="49"/>
        <v>21863.146666666664</v>
      </c>
      <c r="AS135" s="289" t="e">
        <f>IF(J135='2027 Avoided Costs'!#REF!,3,5)</f>
        <v>#REF!</v>
      </c>
      <c r="AT135" s="290" cm="1">
        <f t="array" ref="AT135">IFERROR(IF($J135="Baseload",IF($O135=1,0,NPV('2027 Avoided Costs'!$D$6,_xlfn._xlws.FILTER('2027 Avoided Costs'!$C$14:$C$47,('2027 Avoided Costs'!$B$14:$B$47&gt;=$B135+1)*('2027 Avoided Costs'!$B$14:$B$47&lt;$B135+ROUND($O135,0)))))+_xlfn.XLOOKUP($B135,'2027 Avoided Costs'!$B$13:$B$47,'2027 Avoided Costs'!$C$13:$C$47),IF($O135=1,0,NPV('2027 Avoided Costs'!$D$6,_xlfn._xlws.FILTER('2027 Avoided Costs'!$E$14:$E$47,('2027 Avoided Costs'!$B$14:$B$47&gt;=$B135+1)*('2027 Avoided Costs'!$B$14:$B$47&lt;$B135+ROUND($O135,0)))))+_xlfn.XLOOKUP($B135,'2027 Avoided Costs'!$B$13:$B$47,'2027 Avoided Costs'!$E$13:$E$47))*IF($AE135&gt;0,$AE135*(1+$W135),0),0)</f>
        <v>297707.38030697621</v>
      </c>
      <c r="AU135" s="290" cm="1">
        <f t="array" ref="AU135">IFERROR((IF($O135=1,0,NPV('2027 Avoided Costs'!$D$6,_xlfn._xlws.FILTER('2027 Avoided Costs'!$M$14:$M$47,('2027 Avoided Costs'!$B$14:$B$47&gt;=$B135+1)*('2027 Avoided Costs'!$B$14:$B$47&lt;$B135+ROUND($O135,0)))))+_xlfn.XLOOKUP($B135,'2027 Avoided Costs'!$B$13:$B$47,'2027 Avoided Costs'!$M$13:$M$47))*IF($AK135&gt;0,$AK135*(1+$W135),0),0)</f>
        <v>163869.89464727024</v>
      </c>
      <c r="AV135" s="291" cm="1">
        <f t="array" ref="AV135">IFERROR((IF($O135=1,0,NPV('2027 Avoided Costs'!$D$6,_xlfn._xlws.FILTER('2027 Avoided Costs'!$Q$14:$Q$47,('2027 Avoided Costs'!$B$14:$B$47&gt;=$B135+1)*('2027 Avoided Costs'!$B$14:$B$47&lt;$B135+ROUND($O135,0)))))+_xlfn.XLOOKUP($B135,'2027 Avoided Costs'!$B$13:$B$47,'2027 Avoided Costs'!$Q$13:$Q$47))*IF($AI135&gt;0,$AI135*(1+$W135),0),0)</f>
        <v>0</v>
      </c>
      <c r="AW135" s="291" cm="1">
        <f t="array" ref="AW135">IFERROR((IF($O135=1,0,NPV('2027 Avoided Costs'!$D$6,_xlfn._xlws.FILTER('2027 Avoided Costs'!$W$14:$W$47,('2027 Avoided Costs'!$B$14:$B$47&gt;=$B135+1)*('2027 Avoided Costs'!$B$14:$B$47&lt;$B135+ROUND($O135,0)))))+_xlfn.XLOOKUP($B135,'2027 Avoided Costs'!$B$13:$B$47,'2027 Avoided Costs'!$W$13:$W$47))*IF($AM135&gt;0,$AM135*(1+$W135),0),0)</f>
        <v>0</v>
      </c>
      <c r="AX135" s="291" cm="1">
        <f t="array" ref="AX135">IFERROR((IF($O135=1,0,NPV('2027 Avoided Costs'!$D$6,_xlfn._xlws.FILTER('2027 Avoided Costs'!$AC$14:$AC$47,('2027 Avoided Costs'!$B$14:$B$47&gt;=$B135+1)*('2027 Avoided Costs'!$B$14:$B$47&lt;$B135+ROUND($O135,0)))))+_xlfn.XLOOKUP($B135,'2027 Avoided Costs'!$B$13:$B$47,'2027 Avoided Costs'!$AC$13:$AC$47))*IF($AO135&gt;0,$AO135*(1+$W135),0),0)</f>
        <v>0</v>
      </c>
      <c r="AY135" s="291" cm="1">
        <f t="array" ref="AY135">IFERROR((IF($O135=1,0,NPV('2027 Avoided Costs'!$D$4,_xlfn._xlws.FILTER('2027 Avoided Costs'!$I$14:$I$47,('2027 Avoided Costs'!$B$14:$B$47&gt;=$B135+1)*('2027 Avoided Costs'!$B$14:$B$47&lt;$B135+ROUND($O135,0)))))+_xlfn.XLOOKUP($B135,'2027 Avoided Costs'!$B$13:$B$47,'2027 Avoided Costs'!$I$13:$I$47))*IF($X135="Residential",'2027 Avoided Costs'!$J$5,IF($X135="Large Volume",'2027 Avoided Costs'!$J$7,'2027 Avoided Costs'!$J$6))*IF($AE135&gt;0,$AE135,0),0)</f>
        <v>0</v>
      </c>
      <c r="AZ135" s="291" cm="1">
        <f t="array" ref="AZ135">IFERROR(IF($J135="Baseload",IF($O135=1,0,NPV('2027 Avoided Costs'!$D$6,_xlfn._xlws.FILTER('2027 Avoided Costs'!$C$14:$C$47,('2027 Avoided Costs'!$B$14:$B$47&gt;=$B135+1)*('2027 Avoided Costs'!$B$14:$B$47&lt;$B135+ROUND($O135,0)))))+_xlfn.XLOOKUP($B135,'2027 Avoided Costs'!$B$13:$B$47,'2027 Avoided Costs'!$C$13:$C$47),IF($O135=1,0,NPV('2027 Avoided Costs'!$D$6,_xlfn._xlws.FILTER('2027 Avoided Costs'!$E$14:$E$47,('2027 Avoided Costs'!$B$14:$B$47&gt;=$B135+1)*('2027 Avoided Costs'!$B$14:$B$47&lt;$B135+ROUND($O135,0)))))+_xlfn.XLOOKUP($B135,'2027 Avoided Costs'!$B$13:$B$47,'2027 Avoided Costs'!$E$13:$E$47))*IF($AE135&lt;0,$AE135*(-1),0),0)</f>
        <v>0</v>
      </c>
      <c r="BA135" s="291" cm="1">
        <f t="array" ref="BA135">IFERROR((IF($O135=1,0,NPV('2027 Avoided Costs'!$D$6,_xlfn._xlws.FILTER('2027 Avoided Costs'!$M$14:$M$47,('2027 Avoided Costs'!$B$14:$B$47&gt;=$B135+1)*('2027 Avoided Costs'!$B$14:$B$47&lt;$B135+ROUND($O135,0)))))+_xlfn.XLOOKUP($B135,'2027 Avoided Costs'!$B$13:$B$47,'2027 Avoided Costs'!$M$13:$M$47))*IF($AK135&lt;0,$AK135*(-1),0),0)</f>
        <v>0</v>
      </c>
      <c r="BB135" s="291" cm="1">
        <f t="array" ref="BB135">IFERROR((IF($O135=1,0,NPV('2027 Avoided Costs'!$D$6,_xlfn._xlws.FILTER('2027 Avoided Costs'!$S$14:$S$47,('2027 Avoided Costs'!$B$14:$B$47&gt;=$B135+1)*('2027 Avoided Costs'!$B$14:$B$47&lt;$B135+ROUND($O135,0)))))+_xlfn.XLOOKUP($B135,'2027 Avoided Costs'!$B$13:$B$47,'2027 Avoided Costs'!$S$13:$S$47))*IF($AI135&lt;0,$AI135*(-1),0),0)</f>
        <v>0</v>
      </c>
      <c r="BC135" s="291" cm="1">
        <f t="array" ref="BC135">IFERROR((IF($O135=1,0,NPV('2027 Avoided Costs'!$D$6,_xlfn._xlws.FILTER('2027 Avoided Costs'!$Y$14:$Y$47,('2027 Avoided Costs'!$B$14:$B$47&gt;=$B135+1)*('2027 Avoided Costs'!$B$14:$B$47&lt;$B135+ROUND($O135,0)))))+_xlfn.XLOOKUP($B135,'2027 Avoided Costs'!$B$13:$B$47,'2027 Avoided Costs'!$Y$13:$Y$47))*IF($AM135&lt;0,$AM135*(-1),0),0)</f>
        <v>0</v>
      </c>
      <c r="BD135" s="291" cm="1">
        <f t="array" ref="BD135">IFERROR((IF($O135=1,0,NPV('2027 Avoided Costs'!$D$6,_xlfn._xlws.FILTER('2027 Avoided Costs'!$AE$14:$AE$47,('2027 Avoided Costs'!$B$14:$B$47&gt;=$B135+1)*('2027 Avoided Costs'!$B$14:$B$47&lt;$B135+ROUND($O135,0)))))+_xlfn.XLOOKUP($B135,'2027 Avoided Costs'!$B$13:$B$47,'2027 Avoided Costs'!$AE$13:$AE$47))*IF($AO135&lt;0,$AO135*(-1),0),0)</f>
        <v>0</v>
      </c>
      <c r="BE135" s="291" cm="1">
        <f t="array" ref="BE135">IFERROR((IF($O135=1,0,NPV('2027 Avoided Costs'!$D$4,_xlfn._xlws.FILTER('2027 Avoided Costs'!$I$14:$I$47,('2027 Avoided Costs'!$B$14:$B$47&gt;=$B135+1)*('2027 Avoided Costs'!$B$14:$B$47&lt;$B135+ROUND($O135,0)))))+_xlfn.XLOOKUP($B135,'2027 Avoided Costs'!$B$13:$B$47,'2027 Avoided Costs'!$I$13:$I$47))*IF($X135="Residential",'2027 Avoided Costs'!$J$5,IF($X135="Large Volume",'2027 Avoided Costs'!$J$7,'2027 Avoided Costs'!$J$6))*IF($AE135&lt;0,$AE135*(-1),0),0)</f>
        <v>0</v>
      </c>
      <c r="BF135" s="291">
        <f t="shared" si="58"/>
        <v>461577.27495424647</v>
      </c>
      <c r="BG135" s="291">
        <f t="shared" si="59"/>
        <v>34104</v>
      </c>
      <c r="BH135" s="291">
        <f t="shared" si="60"/>
        <v>427473.27495424647</v>
      </c>
      <c r="BI135" s="292">
        <f t="shared" si="56"/>
        <v>13.534402854628386</v>
      </c>
      <c r="BJ135" s="196" cm="1">
        <f t="array" ref="BJ135">IFERROR(IF($J135="Baseload",IF($O135=1,0,NPV('2027 Avoided Costs'!$D$6,_xlfn._xlws.FILTER('2027 Avoided Costs'!$C$14:$C$47,('2027 Avoided Costs'!$B$14:$B$47&gt;=$B135+1)*('2027 Avoided Costs'!$B$14:$B$47&lt;$B135+ROUND($O135,0)))))+_xlfn.XLOOKUP($B135,'2027 Avoided Costs'!$B$13:$B$47,'2027 Avoided Costs'!$C$13:$C$47),IF($O135=1,0,NPV('2027 Avoided Costs'!$D$6,_xlfn._xlws.FILTER('2027 Avoided Costs'!$E$14:$E$47,('2027 Avoided Costs'!$B$14:$B$47&gt;=$B135+1)*('2027 Avoided Costs'!$B$14:$B$47&lt;$B135+ROUND($O135,0)))))+_xlfn.XLOOKUP($B135,'2027 Avoided Costs'!$B$13:$B$47,'2027 Avoided Costs'!$E$13:$E$47))*IF($AE135&gt;0,$AE135*(1+0),0),0)</f>
        <v>258875.98287563151</v>
      </c>
      <c r="BK135" s="293">
        <f t="shared" si="53"/>
        <v>11.444739410815192</v>
      </c>
    </row>
    <row r="136" spans="1:63" s="56" customFormat="1" x14ac:dyDescent="0.25">
      <c r="A136" s="270" t="s">
        <v>133</v>
      </c>
      <c r="B136" s="271">
        <v>2030</v>
      </c>
      <c r="C136" s="272" t="s">
        <v>13</v>
      </c>
      <c r="D136" s="272" t="s">
        <v>165</v>
      </c>
      <c r="E136" s="272" t="s">
        <v>91</v>
      </c>
      <c r="F136" s="273">
        <v>355</v>
      </c>
      <c r="G136" s="274">
        <v>600</v>
      </c>
      <c r="H136" s="275">
        <f t="shared" si="30"/>
        <v>0.62893081761006286</v>
      </c>
      <c r="I136" s="274">
        <v>0</v>
      </c>
      <c r="J136" s="276" t="s">
        <v>263</v>
      </c>
      <c r="K136" s="277">
        <f t="shared" si="57"/>
        <v>0.8</v>
      </c>
      <c r="L136" s="278">
        <v>0.2</v>
      </c>
      <c r="M136" s="278">
        <v>0</v>
      </c>
      <c r="N136" s="278">
        <v>1</v>
      </c>
      <c r="O136" s="279">
        <v>12</v>
      </c>
      <c r="P136" s="280">
        <v>954</v>
      </c>
      <c r="Q136" s="281">
        <v>44.2</v>
      </c>
      <c r="R136" s="282">
        <v>5.0456621004565747E-3</v>
      </c>
      <c r="S136" s="282">
        <v>5.0456621004566372E-3</v>
      </c>
      <c r="T136" s="281">
        <v>0</v>
      </c>
      <c r="U136" s="283">
        <v>0.24</v>
      </c>
      <c r="V136" s="284">
        <v>1200</v>
      </c>
      <c r="W136" s="285">
        <v>0.15</v>
      </c>
      <c r="X136" s="286" t="s">
        <v>255</v>
      </c>
      <c r="Y136" s="287">
        <f t="shared" si="31"/>
        <v>355</v>
      </c>
      <c r="Z136" s="288">
        <f t="shared" si="32"/>
        <v>213000</v>
      </c>
      <c r="AA136" s="288">
        <f t="shared" si="33"/>
        <v>0</v>
      </c>
      <c r="AB136" s="288">
        <f t="shared" si="34"/>
        <v>226037.30399999997</v>
      </c>
      <c r="AC136" s="288">
        <f t="shared" si="55"/>
        <v>0</v>
      </c>
      <c r="AD136" s="287">
        <f t="shared" si="35"/>
        <v>338670</v>
      </c>
      <c r="AE136" s="287">
        <f t="shared" si="36"/>
        <v>270936</v>
      </c>
      <c r="AF136" s="287">
        <f t="shared" si="37"/>
        <v>4064040</v>
      </c>
      <c r="AG136" s="287">
        <f t="shared" si="38"/>
        <v>3251232</v>
      </c>
      <c r="AH136" s="287">
        <f t="shared" si="39"/>
        <v>16820.752000000004</v>
      </c>
      <c r="AI136" s="287">
        <f t="shared" si="40"/>
        <v>13456.601600000004</v>
      </c>
      <c r="AJ136" s="287">
        <f t="shared" si="41"/>
        <v>0</v>
      </c>
      <c r="AK136" s="287">
        <f t="shared" si="42"/>
        <v>0</v>
      </c>
      <c r="AL136" s="287">
        <f t="shared" si="43"/>
        <v>1.9201771689497542</v>
      </c>
      <c r="AM136" s="287">
        <f t="shared" si="44"/>
        <v>1.5361417351598035</v>
      </c>
      <c r="AN136" s="287">
        <f t="shared" si="45"/>
        <v>1.920177168949778</v>
      </c>
      <c r="AO136" s="287">
        <f t="shared" si="46"/>
        <v>1.5361417351598223</v>
      </c>
      <c r="AP136" s="287">
        <f t="shared" si="47"/>
        <v>426000</v>
      </c>
      <c r="AQ136" s="287">
        <f t="shared" si="48"/>
        <v>340800</v>
      </c>
      <c r="AR136" s="287">
        <f t="shared" si="49"/>
        <v>65024.639999999999</v>
      </c>
      <c r="AS136" s="289" t="e">
        <f>IF(J136='2027 Avoided Costs'!#REF!,3,5)</f>
        <v>#REF!</v>
      </c>
      <c r="AT136" s="290" cm="1">
        <f t="array" ref="AT136">IFERROR(IF($J136="Baseload",IF($O136=1,0,NPV('2027 Avoided Costs'!$D$6,_xlfn._xlws.FILTER('2027 Avoided Costs'!$C$14:$C$47,('2027 Avoided Costs'!$B$14:$B$47&gt;=$B136+1)*('2027 Avoided Costs'!$B$14:$B$47&lt;$B136+ROUND($O136,0)))))+_xlfn.XLOOKUP($B136,'2027 Avoided Costs'!$B$13:$B$47,'2027 Avoided Costs'!$C$13:$C$47),IF($O136=1,0,NPV('2027 Avoided Costs'!$D$6,_xlfn._xlws.FILTER('2027 Avoided Costs'!$E$14:$E$47,('2027 Avoided Costs'!$B$14:$B$47&gt;=$B136+1)*('2027 Avoided Costs'!$B$14:$B$47&lt;$B136+ROUND($O136,0)))))+_xlfn.XLOOKUP($B136,'2027 Avoided Costs'!$B$13:$B$47,'2027 Avoided Costs'!$E$13:$E$47))*IF($AE136&gt;0,$AE136*(1+$W136),0),0)</f>
        <v>885431.33909075381</v>
      </c>
      <c r="AU136" s="290" cm="1">
        <f t="array" ref="AU136">IFERROR((IF($O136=1,0,NPV('2027 Avoided Costs'!$D$6,_xlfn._xlws.FILTER('2027 Avoided Costs'!$M$14:$M$47,('2027 Avoided Costs'!$B$14:$B$47&gt;=$B136+1)*('2027 Avoided Costs'!$B$14:$B$47&lt;$B136+ROUND($O136,0)))))+_xlfn.XLOOKUP($B136,'2027 Avoided Costs'!$B$13:$B$47,'2027 Avoided Costs'!$M$13:$M$47))*IF($AK136&gt;0,$AK136*(1+$W136),0),0)</f>
        <v>0</v>
      </c>
      <c r="AV136" s="291" cm="1">
        <f t="array" ref="AV136">IFERROR((IF($O136=1,0,NPV('2027 Avoided Costs'!$D$6,_xlfn._xlws.FILTER('2027 Avoided Costs'!$Q$14:$Q$47,('2027 Avoided Costs'!$B$14:$B$47&gt;=$B136+1)*('2027 Avoided Costs'!$B$14:$B$47&lt;$B136+ROUND($O136,0)))))+_xlfn.XLOOKUP($B136,'2027 Avoided Costs'!$B$13:$B$47,'2027 Avoided Costs'!$Q$13:$Q$47))*IF($AI136&gt;0,$AI136*(1+$W136),0),0)</f>
        <v>7087.8982727727307</v>
      </c>
      <c r="AW136" s="291" cm="1">
        <f t="array" ref="AW136">IFERROR((IF($O136=1,0,NPV('2027 Avoided Costs'!$D$6,_xlfn._xlws.FILTER('2027 Avoided Costs'!$W$14:$W$47,('2027 Avoided Costs'!$B$14:$B$47&gt;=$B136+1)*('2027 Avoided Costs'!$B$14:$B$47&lt;$B136+ROUND($O136,0)))))+_xlfn.XLOOKUP($B136,'2027 Avoided Costs'!$B$13:$B$47,'2027 Avoided Costs'!$W$13:$W$47))*IF($AM136&gt;0,$AM136*(1+$W136),0),0)</f>
        <v>5685.570694480547</v>
      </c>
      <c r="AX136" s="291" cm="1">
        <f t="array" ref="AX136">IFERROR((IF($O136=1,0,NPV('2027 Avoided Costs'!$D$6,_xlfn._xlws.FILTER('2027 Avoided Costs'!$AC$14:$AC$47,('2027 Avoided Costs'!$B$14:$B$47&gt;=$B136+1)*('2027 Avoided Costs'!$B$14:$B$47&lt;$B136+ROUND($O136,0)))))+_xlfn.XLOOKUP($B136,'2027 Avoided Costs'!$B$13:$B$47,'2027 Avoided Costs'!$AC$13:$AC$47))*IF($AO136&gt;0,$AO136*(1+$W136),0),0)</f>
        <v>447.7421606355224</v>
      </c>
      <c r="AY136" s="291" cm="1">
        <f t="array" ref="AY136">IFERROR((IF($O136=1,0,NPV('2027 Avoided Costs'!$D$4,_xlfn._xlws.FILTER('2027 Avoided Costs'!$I$14:$I$47,('2027 Avoided Costs'!$B$14:$B$47&gt;=$B136+1)*('2027 Avoided Costs'!$B$14:$B$47&lt;$B136+ROUND($O136,0)))))+_xlfn.XLOOKUP($B136,'2027 Avoided Costs'!$B$13:$B$47,'2027 Avoided Costs'!$I$13:$I$47))*IF($X136="Residential",'2027 Avoided Costs'!$J$5,IF($X136="Large Volume",'2027 Avoided Costs'!$J$7,'2027 Avoided Costs'!$J$6))*IF($AE136&gt;0,$AE136,0),0)</f>
        <v>0</v>
      </c>
      <c r="AZ136" s="291" cm="1">
        <f t="array" ref="AZ136">IFERROR(IF($J136="Baseload",IF($O136=1,0,NPV('2027 Avoided Costs'!$D$6,_xlfn._xlws.FILTER('2027 Avoided Costs'!$C$14:$C$47,('2027 Avoided Costs'!$B$14:$B$47&gt;=$B136+1)*('2027 Avoided Costs'!$B$14:$B$47&lt;$B136+ROUND($O136,0)))))+_xlfn.XLOOKUP($B136,'2027 Avoided Costs'!$B$13:$B$47,'2027 Avoided Costs'!$C$13:$C$47),IF($O136=1,0,NPV('2027 Avoided Costs'!$D$6,_xlfn._xlws.FILTER('2027 Avoided Costs'!$E$14:$E$47,('2027 Avoided Costs'!$B$14:$B$47&gt;=$B136+1)*('2027 Avoided Costs'!$B$14:$B$47&lt;$B136+ROUND($O136,0)))))+_xlfn.XLOOKUP($B136,'2027 Avoided Costs'!$B$13:$B$47,'2027 Avoided Costs'!$E$13:$E$47))*IF($AE136&lt;0,$AE136*(-1),0),0)</f>
        <v>0</v>
      </c>
      <c r="BA136" s="291" cm="1">
        <f t="array" ref="BA136">IFERROR((IF($O136=1,0,NPV('2027 Avoided Costs'!$D$6,_xlfn._xlws.FILTER('2027 Avoided Costs'!$M$14:$M$47,('2027 Avoided Costs'!$B$14:$B$47&gt;=$B136+1)*('2027 Avoided Costs'!$B$14:$B$47&lt;$B136+ROUND($O136,0)))))+_xlfn.XLOOKUP($B136,'2027 Avoided Costs'!$B$13:$B$47,'2027 Avoided Costs'!$M$13:$M$47))*IF($AK136&lt;0,$AK136*(-1),0),0)</f>
        <v>0</v>
      </c>
      <c r="BB136" s="291" cm="1">
        <f t="array" ref="BB136">IFERROR((IF($O136=1,0,NPV('2027 Avoided Costs'!$D$6,_xlfn._xlws.FILTER('2027 Avoided Costs'!$S$14:$S$47,('2027 Avoided Costs'!$B$14:$B$47&gt;=$B136+1)*('2027 Avoided Costs'!$B$14:$B$47&lt;$B136+ROUND($O136,0)))))+_xlfn.XLOOKUP($B136,'2027 Avoided Costs'!$B$13:$B$47,'2027 Avoided Costs'!$S$13:$S$47))*IF($AI136&lt;0,$AI136*(-1),0),0)</f>
        <v>0</v>
      </c>
      <c r="BC136" s="291" cm="1">
        <f t="array" ref="BC136">IFERROR((IF($O136=1,0,NPV('2027 Avoided Costs'!$D$6,_xlfn._xlws.FILTER('2027 Avoided Costs'!$Y$14:$Y$47,('2027 Avoided Costs'!$B$14:$B$47&gt;=$B136+1)*('2027 Avoided Costs'!$B$14:$B$47&lt;$B136+ROUND($O136,0)))))+_xlfn.XLOOKUP($B136,'2027 Avoided Costs'!$B$13:$B$47,'2027 Avoided Costs'!$Y$13:$Y$47))*IF($AM136&lt;0,$AM136*(-1),0),0)</f>
        <v>0</v>
      </c>
      <c r="BD136" s="291" cm="1">
        <f t="array" ref="BD136">IFERROR((IF($O136=1,0,NPV('2027 Avoided Costs'!$D$6,_xlfn._xlws.FILTER('2027 Avoided Costs'!$AE$14:$AE$47,('2027 Avoided Costs'!$B$14:$B$47&gt;=$B136+1)*('2027 Avoided Costs'!$B$14:$B$47&lt;$B136+ROUND($O136,0)))))+_xlfn.XLOOKUP($B136,'2027 Avoided Costs'!$B$13:$B$47,'2027 Avoided Costs'!$AE$13:$AE$47))*IF($AO136&lt;0,$AO136*(-1),0),0)</f>
        <v>0</v>
      </c>
      <c r="BE136" s="291" cm="1">
        <f t="array" ref="BE136">IFERROR((IF($O136=1,0,NPV('2027 Avoided Costs'!$D$4,_xlfn._xlws.FILTER('2027 Avoided Costs'!$I$14:$I$47,('2027 Avoided Costs'!$B$14:$B$47&gt;=$B136+1)*('2027 Avoided Costs'!$B$14:$B$47&lt;$B136+ROUND($O136,0)))))+_xlfn.XLOOKUP($B136,'2027 Avoided Costs'!$B$13:$B$47,'2027 Avoided Costs'!$I$13:$I$47))*IF($X136="Residential",'2027 Avoided Costs'!$J$5,IF($X136="Large Volume",'2027 Avoided Costs'!$J$7,'2027 Avoided Costs'!$J$6))*IF($AE136&lt;0,$AE136*(-1),0),0)</f>
        <v>0</v>
      </c>
      <c r="BF136" s="291">
        <f t="shared" si="58"/>
        <v>898652.55021864269</v>
      </c>
      <c r="BG136" s="291">
        <f t="shared" si="59"/>
        <v>340800</v>
      </c>
      <c r="BH136" s="291">
        <f t="shared" si="60"/>
        <v>557852.55021864269</v>
      </c>
      <c r="BI136" s="292">
        <f t="shared" si="56"/>
        <v>2.6368912858528248</v>
      </c>
      <c r="BJ136" s="196" cm="1">
        <f t="array" ref="BJ136">IFERROR(IF($J136="Baseload",IF($O136=1,0,NPV('2027 Avoided Costs'!$D$6,_xlfn._xlws.FILTER('2027 Avoided Costs'!$C$14:$C$47,('2027 Avoided Costs'!$B$14:$B$47&gt;=$B136+1)*('2027 Avoided Costs'!$B$14:$B$47&lt;$B136+ROUND($O136,0)))))+_xlfn.XLOOKUP($B136,'2027 Avoided Costs'!$B$13:$B$47,'2027 Avoided Costs'!$C$13:$C$47),IF($O136=1,0,NPV('2027 Avoided Costs'!$D$6,_xlfn._xlws.FILTER('2027 Avoided Costs'!$E$14:$E$47,('2027 Avoided Costs'!$B$14:$B$47&gt;=$B136+1)*('2027 Avoided Costs'!$B$14:$B$47&lt;$B136+ROUND($O136,0)))))+_xlfn.XLOOKUP($B136,'2027 Avoided Costs'!$B$13:$B$47,'2027 Avoided Costs'!$E$13:$E$47))*IF($AE136&gt;0,$AE136*(1+0),0),0)</f>
        <v>769940.29486152518</v>
      </c>
      <c r="BK136" s="293">
        <f t="shared" si="53"/>
        <v>3.4062532212007151</v>
      </c>
    </row>
    <row r="137" spans="1:63" s="56" customFormat="1" x14ac:dyDescent="0.25">
      <c r="A137" s="270" t="s">
        <v>133</v>
      </c>
      <c r="B137" s="271">
        <v>2030</v>
      </c>
      <c r="C137" s="272" t="s">
        <v>13</v>
      </c>
      <c r="D137" s="272" t="s">
        <v>165</v>
      </c>
      <c r="E137" s="272" t="s">
        <v>285</v>
      </c>
      <c r="F137" s="273">
        <v>6</v>
      </c>
      <c r="G137" s="274">
        <v>772</v>
      </c>
      <c r="H137" s="275">
        <f t="shared" ref="H137:H200" si="61">IFERROR(G137/P137,0)</f>
        <v>1.0124590163934426</v>
      </c>
      <c r="I137" s="274">
        <v>0</v>
      </c>
      <c r="J137" s="276" t="s">
        <v>263</v>
      </c>
      <c r="K137" s="277">
        <f t="shared" si="57"/>
        <v>0.8</v>
      </c>
      <c r="L137" s="278">
        <v>0.2</v>
      </c>
      <c r="M137" s="278">
        <v>0</v>
      </c>
      <c r="N137" s="278">
        <v>1</v>
      </c>
      <c r="O137" s="279">
        <v>12</v>
      </c>
      <c r="P137" s="280">
        <v>762.5</v>
      </c>
      <c r="Q137" s="281">
        <v>826</v>
      </c>
      <c r="R137" s="282">
        <v>9.4292237442921506E-2</v>
      </c>
      <c r="S137" s="282">
        <v>9.4292237442922672E-2</v>
      </c>
      <c r="T137" s="281">
        <v>0</v>
      </c>
      <c r="U137" s="283">
        <v>0.24</v>
      </c>
      <c r="V137" s="284">
        <v>1544</v>
      </c>
      <c r="W137" s="285">
        <v>0.15</v>
      </c>
      <c r="X137" s="286" t="s">
        <v>255</v>
      </c>
      <c r="Y137" s="287">
        <f t="shared" ref="Y137:Y200" si="62">F137</f>
        <v>6</v>
      </c>
      <c r="Z137" s="288">
        <f t="shared" ref="Z137:Z200" si="63">F137*G137</f>
        <v>4632</v>
      </c>
      <c r="AA137" s="288">
        <f t="shared" ref="AA137:AA200" si="64">F137*I137</f>
        <v>0</v>
      </c>
      <c r="AB137" s="288">
        <f t="shared" ref="AB137:AB200" si="65">Z137*(1+$AB$1)^($B137-2027)</f>
        <v>4915.5154560000001</v>
      </c>
      <c r="AC137" s="288">
        <f t="shared" si="55"/>
        <v>0</v>
      </c>
      <c r="AD137" s="287">
        <f t="shared" ref="AD137:AD200" si="66">IF($AD$2="Yes",P137*F137,P137*F137*N137)</f>
        <v>4575</v>
      </c>
      <c r="AE137" s="287">
        <f t="shared" ref="AE137:AE200" si="67">AD137*(1-L137+M137)</f>
        <v>3660</v>
      </c>
      <c r="AF137" s="287">
        <f t="shared" ref="AF137:AF200" si="68">AD137*O137</f>
        <v>54900</v>
      </c>
      <c r="AG137" s="287">
        <f t="shared" ref="AG137:AG200" si="69">AE137*O137</f>
        <v>43920</v>
      </c>
      <c r="AH137" s="287">
        <f t="shared" ref="AH137:AH200" si="70">$Q137*N137*$F137*1.072</f>
        <v>5312.8320000000003</v>
      </c>
      <c r="AI137" s="287">
        <f t="shared" ref="AI137:AI200" si="71">$Q137*(1-L137+$M137)*N137*$F137*1.072</f>
        <v>4250.2656000000006</v>
      </c>
      <c r="AJ137" s="287">
        <f t="shared" ref="AJ137:AJ200" si="72">$T137*N137*$F137</f>
        <v>0</v>
      </c>
      <c r="AK137" s="287">
        <f t="shared" ref="AK137:AK200" si="73">$T137*(1-L137+$M137)*N137*$F137</f>
        <v>0</v>
      </c>
      <c r="AL137" s="287">
        <f t="shared" ref="AL137:AL200" si="74">R137*N137*$F137*1.072</f>
        <v>0.60648767123287117</v>
      </c>
      <c r="AM137" s="287">
        <f t="shared" ref="AM137:AM200" si="75">R137*(1-L137+$M137)*N137*$F137*1.072</f>
        <v>0.48519013698629698</v>
      </c>
      <c r="AN137" s="287">
        <f t="shared" ref="AN137:AN200" si="76">S137*N137*$F137*1.072</f>
        <v>0.60648767123287861</v>
      </c>
      <c r="AO137" s="287">
        <f t="shared" ref="AO137:AO200" si="77">S137*(1-L137+$M137)*N137*$F137*1.072</f>
        <v>0.48519013698630292</v>
      </c>
      <c r="AP137" s="287">
        <f t="shared" ref="AP137:AP200" si="78">V137*F137</f>
        <v>9264</v>
      </c>
      <c r="AQ137" s="287">
        <f t="shared" ref="AQ137:AQ200" si="79">V137*F137*(1-L137+M137)</f>
        <v>7411.2000000000007</v>
      </c>
      <c r="AR137" s="287">
        <f t="shared" ref="AR137:AR200" si="80">AE137*U137</f>
        <v>878.4</v>
      </c>
      <c r="AS137" s="289" t="e">
        <f>IF(J137='2027 Avoided Costs'!#REF!,3,5)</f>
        <v>#REF!</v>
      </c>
      <c r="AT137" s="290" cm="1">
        <f t="array" ref="AT137">IFERROR(IF($J137="Baseload",IF($O137=1,0,NPV('2027 Avoided Costs'!$D$6,_xlfn._xlws.FILTER('2027 Avoided Costs'!$C$14:$C$47,('2027 Avoided Costs'!$B$14:$B$47&gt;=$B137+1)*('2027 Avoided Costs'!$B$14:$B$47&lt;$B137+ROUND($O137,0)))))+_xlfn.XLOOKUP($B137,'2027 Avoided Costs'!$B$13:$B$47,'2027 Avoided Costs'!$C$13:$C$47),IF($O137=1,0,NPV('2027 Avoided Costs'!$D$6,_xlfn._xlws.FILTER('2027 Avoided Costs'!$E$14:$E$47,('2027 Avoided Costs'!$B$14:$B$47&gt;=$B137+1)*('2027 Avoided Costs'!$B$14:$B$47&lt;$B137+ROUND($O137,0)))))+_xlfn.XLOOKUP($B137,'2027 Avoided Costs'!$B$13:$B$47,'2027 Avoided Costs'!$E$13:$E$47))*IF($AE137&gt;0,$AE137*(1+$W137),0),0)</f>
        <v>11961.048738713791</v>
      </c>
      <c r="AU137" s="290" cm="1">
        <f t="array" ref="AU137">IFERROR((IF($O137=1,0,NPV('2027 Avoided Costs'!$D$6,_xlfn._xlws.FILTER('2027 Avoided Costs'!$M$14:$M$47,('2027 Avoided Costs'!$B$14:$B$47&gt;=$B137+1)*('2027 Avoided Costs'!$B$14:$B$47&lt;$B137+ROUND($O137,0)))))+_xlfn.XLOOKUP($B137,'2027 Avoided Costs'!$B$13:$B$47,'2027 Avoided Costs'!$M$13:$M$47))*IF($AK137&gt;0,$AK137*(1+$W137),0),0)</f>
        <v>0</v>
      </c>
      <c r="AV137" s="291" cm="1">
        <f t="array" ref="AV137">IFERROR((IF($O137=1,0,NPV('2027 Avoided Costs'!$D$6,_xlfn._xlws.FILTER('2027 Avoided Costs'!$Q$14:$Q$47,('2027 Avoided Costs'!$B$14:$B$47&gt;=$B137+1)*('2027 Avoided Costs'!$B$14:$B$47&lt;$B137+ROUND($O137,0)))))+_xlfn.XLOOKUP($B137,'2027 Avoided Costs'!$B$13:$B$47,'2027 Avoided Costs'!$Q$13:$Q$47))*IF($AI137&gt;0,$AI137*(1+$W137),0),0)</f>
        <v>2238.7116079192942</v>
      </c>
      <c r="AW137" s="291" cm="1">
        <f t="array" ref="AW137">IFERROR((IF($O137=1,0,NPV('2027 Avoided Costs'!$D$6,_xlfn._xlws.FILTER('2027 Avoided Costs'!$W$14:$W$47,('2027 Avoided Costs'!$B$14:$B$47&gt;=$B137+1)*('2027 Avoided Costs'!$B$14:$B$47&lt;$B137+ROUND($O137,0)))))+_xlfn.XLOOKUP($B137,'2027 Avoided Costs'!$B$13:$B$47,'2027 Avoided Costs'!$W$13:$W$47))*IF($AM137&gt;0,$AM137*(1+$W137),0),0)</f>
        <v>1795.7866523386397</v>
      </c>
      <c r="AX137" s="291" cm="1">
        <f t="array" ref="AX137">IFERROR((IF($O137=1,0,NPV('2027 Avoided Costs'!$D$6,_xlfn._xlws.FILTER('2027 Avoided Costs'!$AC$14:$AC$47,('2027 Avoided Costs'!$B$14:$B$47&gt;=$B137+1)*('2027 Avoided Costs'!$B$14:$B$47&lt;$B137+ROUND($O137,0)))))+_xlfn.XLOOKUP($B137,'2027 Avoided Costs'!$B$13:$B$47,'2027 Avoided Costs'!$AC$13:$AC$47))*IF($AO137&gt;0,$AO137*(1+$W137),0),0)</f>
        <v>141.41929437955827</v>
      </c>
      <c r="AY137" s="291" cm="1">
        <f t="array" ref="AY137">IFERROR((IF($O137=1,0,NPV('2027 Avoided Costs'!$D$4,_xlfn._xlws.FILTER('2027 Avoided Costs'!$I$14:$I$47,('2027 Avoided Costs'!$B$14:$B$47&gt;=$B137+1)*('2027 Avoided Costs'!$B$14:$B$47&lt;$B137+ROUND($O137,0)))))+_xlfn.XLOOKUP($B137,'2027 Avoided Costs'!$B$13:$B$47,'2027 Avoided Costs'!$I$13:$I$47))*IF($X137="Residential",'2027 Avoided Costs'!$J$5,IF($X137="Large Volume",'2027 Avoided Costs'!$J$7,'2027 Avoided Costs'!$J$6))*IF($AE137&gt;0,$AE137,0),0)</f>
        <v>0</v>
      </c>
      <c r="AZ137" s="291" cm="1">
        <f t="array" ref="AZ137">IFERROR(IF($J137="Baseload",IF($O137=1,0,NPV('2027 Avoided Costs'!$D$6,_xlfn._xlws.FILTER('2027 Avoided Costs'!$C$14:$C$47,('2027 Avoided Costs'!$B$14:$B$47&gt;=$B137+1)*('2027 Avoided Costs'!$B$14:$B$47&lt;$B137+ROUND($O137,0)))))+_xlfn.XLOOKUP($B137,'2027 Avoided Costs'!$B$13:$B$47,'2027 Avoided Costs'!$C$13:$C$47),IF($O137=1,0,NPV('2027 Avoided Costs'!$D$6,_xlfn._xlws.FILTER('2027 Avoided Costs'!$E$14:$E$47,('2027 Avoided Costs'!$B$14:$B$47&gt;=$B137+1)*('2027 Avoided Costs'!$B$14:$B$47&lt;$B137+ROUND($O137,0)))))+_xlfn.XLOOKUP($B137,'2027 Avoided Costs'!$B$13:$B$47,'2027 Avoided Costs'!$E$13:$E$47))*IF($AE137&lt;0,$AE137*(-1),0),0)</f>
        <v>0</v>
      </c>
      <c r="BA137" s="291" cm="1">
        <f t="array" ref="BA137">IFERROR((IF($O137=1,0,NPV('2027 Avoided Costs'!$D$6,_xlfn._xlws.FILTER('2027 Avoided Costs'!$M$14:$M$47,('2027 Avoided Costs'!$B$14:$B$47&gt;=$B137+1)*('2027 Avoided Costs'!$B$14:$B$47&lt;$B137+ROUND($O137,0)))))+_xlfn.XLOOKUP($B137,'2027 Avoided Costs'!$B$13:$B$47,'2027 Avoided Costs'!$M$13:$M$47))*IF($AK137&lt;0,$AK137*(-1),0),0)</f>
        <v>0</v>
      </c>
      <c r="BB137" s="291" cm="1">
        <f t="array" ref="BB137">IFERROR((IF($O137=1,0,NPV('2027 Avoided Costs'!$D$6,_xlfn._xlws.FILTER('2027 Avoided Costs'!$S$14:$S$47,('2027 Avoided Costs'!$B$14:$B$47&gt;=$B137+1)*('2027 Avoided Costs'!$B$14:$B$47&lt;$B137+ROUND($O137,0)))))+_xlfn.XLOOKUP($B137,'2027 Avoided Costs'!$B$13:$B$47,'2027 Avoided Costs'!$S$13:$S$47))*IF($AI137&lt;0,$AI137*(-1),0),0)</f>
        <v>0</v>
      </c>
      <c r="BC137" s="291" cm="1">
        <f t="array" ref="BC137">IFERROR((IF($O137=1,0,NPV('2027 Avoided Costs'!$D$6,_xlfn._xlws.FILTER('2027 Avoided Costs'!$Y$14:$Y$47,('2027 Avoided Costs'!$B$14:$B$47&gt;=$B137+1)*('2027 Avoided Costs'!$B$14:$B$47&lt;$B137+ROUND($O137,0)))))+_xlfn.XLOOKUP($B137,'2027 Avoided Costs'!$B$13:$B$47,'2027 Avoided Costs'!$Y$13:$Y$47))*IF($AM137&lt;0,$AM137*(-1),0),0)</f>
        <v>0</v>
      </c>
      <c r="BD137" s="291" cm="1">
        <f t="array" ref="BD137">IFERROR((IF($O137=1,0,NPV('2027 Avoided Costs'!$D$6,_xlfn._xlws.FILTER('2027 Avoided Costs'!$AE$14:$AE$47,('2027 Avoided Costs'!$B$14:$B$47&gt;=$B137+1)*('2027 Avoided Costs'!$B$14:$B$47&lt;$B137+ROUND($O137,0)))))+_xlfn.XLOOKUP($B137,'2027 Avoided Costs'!$B$13:$B$47,'2027 Avoided Costs'!$AE$13:$AE$47))*IF($AO137&lt;0,$AO137*(-1),0),0)</f>
        <v>0</v>
      </c>
      <c r="BE137" s="291" cm="1">
        <f t="array" ref="BE137">IFERROR((IF($O137=1,0,NPV('2027 Avoided Costs'!$D$4,_xlfn._xlws.FILTER('2027 Avoided Costs'!$I$14:$I$47,('2027 Avoided Costs'!$B$14:$B$47&gt;=$B137+1)*('2027 Avoided Costs'!$B$14:$B$47&lt;$B137+ROUND($O137,0)))))+_xlfn.XLOOKUP($B137,'2027 Avoided Costs'!$B$13:$B$47,'2027 Avoided Costs'!$I$13:$I$47))*IF($X137="Residential",'2027 Avoided Costs'!$J$5,IF($X137="Large Volume",'2027 Avoided Costs'!$J$7,'2027 Avoided Costs'!$J$6))*IF($AE137&lt;0,$AE137*(-1),0),0)</f>
        <v>0</v>
      </c>
      <c r="BF137" s="291">
        <f t="shared" si="58"/>
        <v>16136.966293351285</v>
      </c>
      <c r="BG137" s="291">
        <f t="shared" si="59"/>
        <v>7411.2000000000007</v>
      </c>
      <c r="BH137" s="291">
        <f t="shared" si="60"/>
        <v>8725.7662933512838</v>
      </c>
      <c r="BI137" s="292">
        <f t="shared" si="56"/>
        <v>2.1773756332781846</v>
      </c>
      <c r="BJ137" s="196" cm="1">
        <f t="array" ref="BJ137">IFERROR(IF($J137="Baseload",IF($O137=1,0,NPV('2027 Avoided Costs'!$D$6,_xlfn._xlws.FILTER('2027 Avoided Costs'!$C$14:$C$47,('2027 Avoided Costs'!$B$14:$B$47&gt;=$B137+1)*('2027 Avoided Costs'!$B$14:$B$47&lt;$B137+ROUND($O137,0)))))+_xlfn.XLOOKUP($B137,'2027 Avoided Costs'!$B$13:$B$47,'2027 Avoided Costs'!$C$13:$C$47),IF($O137=1,0,NPV('2027 Avoided Costs'!$D$6,_xlfn._xlws.FILTER('2027 Avoided Costs'!$E$14:$E$47,('2027 Avoided Costs'!$B$14:$B$47&gt;=$B137+1)*('2027 Avoided Costs'!$B$14:$B$47&lt;$B137+ROUND($O137,0)))))+_xlfn.XLOOKUP($B137,'2027 Avoided Costs'!$B$13:$B$47,'2027 Avoided Costs'!$E$13:$E$47))*IF($AE137&gt;0,$AE137*(1+0),0),0)</f>
        <v>10400.911946707643</v>
      </c>
      <c r="BK137" s="293">
        <f t="shared" ref="BK137:BK200" si="81">IFERROR(BJ137/(AB137+AC137),0)</f>
        <v>2.1159351526424421</v>
      </c>
    </row>
    <row r="138" spans="1:63" s="56" customFormat="1" x14ac:dyDescent="0.25">
      <c r="A138" s="270" t="s">
        <v>133</v>
      </c>
      <c r="B138" s="271">
        <v>2030</v>
      </c>
      <c r="C138" s="272" t="s">
        <v>13</v>
      </c>
      <c r="D138" s="272" t="s">
        <v>165</v>
      </c>
      <c r="E138" s="272" t="s">
        <v>286</v>
      </c>
      <c r="F138" s="273">
        <v>105</v>
      </c>
      <c r="G138" s="274">
        <v>1295.5</v>
      </c>
      <c r="H138" s="275">
        <f t="shared" si="61"/>
        <v>1.0833818573764806</v>
      </c>
      <c r="I138" s="274">
        <v>0</v>
      </c>
      <c r="J138" s="276" t="s">
        <v>263</v>
      </c>
      <c r="K138" s="277">
        <f t="shared" si="57"/>
        <v>0.8</v>
      </c>
      <c r="L138" s="278">
        <v>0.2</v>
      </c>
      <c r="M138" s="278">
        <v>0</v>
      </c>
      <c r="N138" s="278">
        <v>1</v>
      </c>
      <c r="O138" s="279">
        <v>12</v>
      </c>
      <c r="P138" s="280">
        <v>1195.7925925925924</v>
      </c>
      <c r="Q138" s="281">
        <v>1858</v>
      </c>
      <c r="R138" s="282">
        <v>0.21210045662100263</v>
      </c>
      <c r="S138" s="282">
        <v>0.21210045662100524</v>
      </c>
      <c r="T138" s="281">
        <v>0</v>
      </c>
      <c r="U138" s="283">
        <v>0.24</v>
      </c>
      <c r="V138" s="284">
        <v>2591</v>
      </c>
      <c r="W138" s="285">
        <v>0.15</v>
      </c>
      <c r="X138" s="286" t="s">
        <v>255</v>
      </c>
      <c r="Y138" s="287">
        <f t="shared" si="62"/>
        <v>105</v>
      </c>
      <c r="Z138" s="288">
        <f t="shared" si="63"/>
        <v>136027.5</v>
      </c>
      <c r="AA138" s="288">
        <f t="shared" si="64"/>
        <v>0</v>
      </c>
      <c r="AB138" s="288">
        <f t="shared" si="65"/>
        <v>144353.47121999998</v>
      </c>
      <c r="AC138" s="288">
        <f t="shared" ref="AC138:AC201" si="82">AA138*(1+$AC$1)^($B138-2027)</f>
        <v>0</v>
      </c>
      <c r="AD138" s="287">
        <f t="shared" si="66"/>
        <v>125558.2222222222</v>
      </c>
      <c r="AE138" s="287">
        <f t="shared" si="67"/>
        <v>100446.57777777777</v>
      </c>
      <c r="AF138" s="287">
        <f t="shared" si="68"/>
        <v>1506698.6666666665</v>
      </c>
      <c r="AG138" s="287">
        <f t="shared" si="69"/>
        <v>1205358.9333333331</v>
      </c>
      <c r="AH138" s="287">
        <f t="shared" si="70"/>
        <v>209136.48</v>
      </c>
      <c r="AI138" s="287">
        <f t="shared" si="71"/>
        <v>167309.18400000001</v>
      </c>
      <c r="AJ138" s="287">
        <f t="shared" si="72"/>
        <v>0</v>
      </c>
      <c r="AK138" s="287">
        <f t="shared" si="73"/>
        <v>0</v>
      </c>
      <c r="AL138" s="287">
        <f t="shared" si="74"/>
        <v>23.874027397260058</v>
      </c>
      <c r="AM138" s="287">
        <f t="shared" si="75"/>
        <v>19.099221917808048</v>
      </c>
      <c r="AN138" s="287">
        <f t="shared" si="76"/>
        <v>23.874027397260353</v>
      </c>
      <c r="AO138" s="287">
        <f t="shared" si="77"/>
        <v>19.099221917808279</v>
      </c>
      <c r="AP138" s="287">
        <f t="shared" si="78"/>
        <v>272055</v>
      </c>
      <c r="AQ138" s="287">
        <f t="shared" si="79"/>
        <v>217644</v>
      </c>
      <c r="AR138" s="287">
        <f t="shared" si="80"/>
        <v>24107.178666666663</v>
      </c>
      <c r="AS138" s="289" t="e">
        <f>IF(J138='2027 Avoided Costs'!#REF!,3,5)</f>
        <v>#REF!</v>
      </c>
      <c r="AT138" s="290" cm="1">
        <f t="array" ref="AT138">IFERROR(IF($J138="Baseload",IF($O138=1,0,NPV('2027 Avoided Costs'!$D$6,_xlfn._xlws.FILTER('2027 Avoided Costs'!$C$14:$C$47,('2027 Avoided Costs'!$B$14:$B$47&gt;=$B138+1)*('2027 Avoided Costs'!$B$14:$B$47&lt;$B138+ROUND($O138,0)))))+_xlfn.XLOOKUP($B138,'2027 Avoided Costs'!$B$13:$B$47,'2027 Avoided Costs'!$C$13:$C$47),IF($O138=1,0,NPV('2027 Avoided Costs'!$D$6,_xlfn._xlws.FILTER('2027 Avoided Costs'!$E$14:$E$47,('2027 Avoided Costs'!$B$14:$B$47&gt;=$B138+1)*('2027 Avoided Costs'!$B$14:$B$47&lt;$B138+ROUND($O138,0)))))+_xlfn.XLOOKUP($B138,'2027 Avoided Costs'!$B$13:$B$47,'2027 Avoided Costs'!$E$13:$E$47))*IF($AE138&gt;0,$AE138*(1+$W138),0),0)</f>
        <v>328264.04711393587</v>
      </c>
      <c r="AU138" s="290" cm="1">
        <f t="array" ref="AU138">IFERROR((IF($O138=1,0,NPV('2027 Avoided Costs'!$D$6,_xlfn._xlws.FILTER('2027 Avoided Costs'!$M$14:$M$47,('2027 Avoided Costs'!$B$14:$B$47&gt;=$B138+1)*('2027 Avoided Costs'!$B$14:$B$47&lt;$B138+ROUND($O138,0)))))+_xlfn.XLOOKUP($B138,'2027 Avoided Costs'!$B$13:$B$47,'2027 Avoided Costs'!$M$13:$M$47))*IF($AK138&gt;0,$AK138*(1+$W138),0),0)</f>
        <v>0</v>
      </c>
      <c r="AV138" s="291" cm="1">
        <f t="array" ref="AV138">IFERROR((IF($O138=1,0,NPV('2027 Avoided Costs'!$D$6,_xlfn._xlws.FILTER('2027 Avoided Costs'!$Q$14:$Q$47,('2027 Avoided Costs'!$B$14:$B$47&gt;=$B138+1)*('2027 Avoided Costs'!$B$14:$B$47&lt;$B138+ROUND($O138,0)))))+_xlfn.XLOOKUP($B138,'2027 Avoided Costs'!$B$13:$B$47,'2027 Avoided Costs'!$Q$13:$Q$47))*IF($AI138&gt;0,$AI138*(1+$W138),0),0)</f>
        <v>88125.554396484076</v>
      </c>
      <c r="AW138" s="291" cm="1">
        <f t="array" ref="AW138">IFERROR((IF($O138=1,0,NPV('2027 Avoided Costs'!$D$6,_xlfn._xlws.FILTER('2027 Avoided Costs'!$W$14:$W$47,('2027 Avoided Costs'!$B$14:$B$47&gt;=$B138+1)*('2027 Avoided Costs'!$B$14:$B$47&lt;$B138+ROUND($O138,0)))))+_xlfn.XLOOKUP($B138,'2027 Avoided Costs'!$B$13:$B$47,'2027 Avoided Costs'!$W$13:$W$47))*IF($AM138&gt;0,$AM138*(1+$W138),0),0)</f>
        <v>70690.07627214391</v>
      </c>
      <c r="AX138" s="291" cm="1">
        <f t="array" ref="AX138">IFERROR((IF($O138=1,0,NPV('2027 Avoided Costs'!$D$6,_xlfn._xlws.FILTER('2027 Avoided Costs'!$AC$14:$AC$47,('2027 Avoided Costs'!$B$14:$B$47&gt;=$B138+1)*('2027 Avoided Costs'!$B$14:$B$47&lt;$B138+ROUND($O138,0)))))+_xlfn.XLOOKUP($B138,'2027 Avoided Costs'!$B$13:$B$47,'2027 Avoided Costs'!$AC$13:$AC$47))*IF($AO138&gt;0,$AO138*(1+$W138),0),0)</f>
        <v>5566.8866304495605</v>
      </c>
      <c r="AY138" s="291" cm="1">
        <f t="array" ref="AY138">IFERROR((IF($O138=1,0,NPV('2027 Avoided Costs'!$D$4,_xlfn._xlws.FILTER('2027 Avoided Costs'!$I$14:$I$47,('2027 Avoided Costs'!$B$14:$B$47&gt;=$B138+1)*('2027 Avoided Costs'!$B$14:$B$47&lt;$B138+ROUND($O138,0)))))+_xlfn.XLOOKUP($B138,'2027 Avoided Costs'!$B$13:$B$47,'2027 Avoided Costs'!$I$13:$I$47))*IF($X138="Residential",'2027 Avoided Costs'!$J$5,IF($X138="Large Volume",'2027 Avoided Costs'!$J$7,'2027 Avoided Costs'!$J$6))*IF($AE138&gt;0,$AE138,0),0)</f>
        <v>0</v>
      </c>
      <c r="AZ138" s="291" cm="1">
        <f t="array" ref="AZ138">IFERROR(IF($J138="Baseload",IF($O138=1,0,NPV('2027 Avoided Costs'!$D$6,_xlfn._xlws.FILTER('2027 Avoided Costs'!$C$14:$C$47,('2027 Avoided Costs'!$B$14:$B$47&gt;=$B138+1)*('2027 Avoided Costs'!$B$14:$B$47&lt;$B138+ROUND($O138,0)))))+_xlfn.XLOOKUP($B138,'2027 Avoided Costs'!$B$13:$B$47,'2027 Avoided Costs'!$C$13:$C$47),IF($O138=1,0,NPV('2027 Avoided Costs'!$D$6,_xlfn._xlws.FILTER('2027 Avoided Costs'!$E$14:$E$47,('2027 Avoided Costs'!$B$14:$B$47&gt;=$B138+1)*('2027 Avoided Costs'!$B$14:$B$47&lt;$B138+ROUND($O138,0)))))+_xlfn.XLOOKUP($B138,'2027 Avoided Costs'!$B$13:$B$47,'2027 Avoided Costs'!$E$13:$E$47))*IF($AE138&lt;0,$AE138*(-1),0),0)</f>
        <v>0</v>
      </c>
      <c r="BA138" s="291" cm="1">
        <f t="array" ref="BA138">IFERROR((IF($O138=1,0,NPV('2027 Avoided Costs'!$D$6,_xlfn._xlws.FILTER('2027 Avoided Costs'!$M$14:$M$47,('2027 Avoided Costs'!$B$14:$B$47&gt;=$B138+1)*('2027 Avoided Costs'!$B$14:$B$47&lt;$B138+ROUND($O138,0)))))+_xlfn.XLOOKUP($B138,'2027 Avoided Costs'!$B$13:$B$47,'2027 Avoided Costs'!$M$13:$M$47))*IF($AK138&lt;0,$AK138*(-1),0),0)</f>
        <v>0</v>
      </c>
      <c r="BB138" s="291" cm="1">
        <f t="array" ref="BB138">IFERROR((IF($O138=1,0,NPV('2027 Avoided Costs'!$D$6,_xlfn._xlws.FILTER('2027 Avoided Costs'!$S$14:$S$47,('2027 Avoided Costs'!$B$14:$B$47&gt;=$B138+1)*('2027 Avoided Costs'!$B$14:$B$47&lt;$B138+ROUND($O138,0)))))+_xlfn.XLOOKUP($B138,'2027 Avoided Costs'!$B$13:$B$47,'2027 Avoided Costs'!$S$13:$S$47))*IF($AI138&lt;0,$AI138*(-1),0),0)</f>
        <v>0</v>
      </c>
      <c r="BC138" s="291" cm="1">
        <f t="array" ref="BC138">IFERROR((IF($O138=1,0,NPV('2027 Avoided Costs'!$D$6,_xlfn._xlws.FILTER('2027 Avoided Costs'!$Y$14:$Y$47,('2027 Avoided Costs'!$B$14:$B$47&gt;=$B138+1)*('2027 Avoided Costs'!$B$14:$B$47&lt;$B138+ROUND($O138,0)))))+_xlfn.XLOOKUP($B138,'2027 Avoided Costs'!$B$13:$B$47,'2027 Avoided Costs'!$Y$13:$Y$47))*IF($AM138&lt;0,$AM138*(-1),0),0)</f>
        <v>0</v>
      </c>
      <c r="BD138" s="291" cm="1">
        <f t="array" ref="BD138">IFERROR((IF($O138=1,0,NPV('2027 Avoided Costs'!$D$6,_xlfn._xlws.FILTER('2027 Avoided Costs'!$AE$14:$AE$47,('2027 Avoided Costs'!$B$14:$B$47&gt;=$B138+1)*('2027 Avoided Costs'!$B$14:$B$47&lt;$B138+ROUND($O138,0)))))+_xlfn.XLOOKUP($B138,'2027 Avoided Costs'!$B$13:$B$47,'2027 Avoided Costs'!$AE$13:$AE$47))*IF($AO138&lt;0,$AO138*(-1),0),0)</f>
        <v>0</v>
      </c>
      <c r="BE138" s="291" cm="1">
        <f t="array" ref="BE138">IFERROR((IF($O138=1,0,NPV('2027 Avoided Costs'!$D$4,_xlfn._xlws.FILTER('2027 Avoided Costs'!$I$14:$I$47,('2027 Avoided Costs'!$B$14:$B$47&gt;=$B138+1)*('2027 Avoided Costs'!$B$14:$B$47&lt;$B138+ROUND($O138,0)))))+_xlfn.XLOOKUP($B138,'2027 Avoided Costs'!$B$13:$B$47,'2027 Avoided Costs'!$I$13:$I$47))*IF($X138="Residential",'2027 Avoided Costs'!$J$5,IF($X138="Large Volume",'2027 Avoided Costs'!$J$7,'2027 Avoided Costs'!$J$6))*IF($AE138&lt;0,$AE138*(-1),0),0)</f>
        <v>0</v>
      </c>
      <c r="BF138" s="291">
        <f t="shared" si="58"/>
        <v>492646.56441301346</v>
      </c>
      <c r="BG138" s="291">
        <f t="shared" si="59"/>
        <v>217644</v>
      </c>
      <c r="BH138" s="291">
        <f t="shared" si="60"/>
        <v>275002.56441301346</v>
      </c>
      <c r="BI138" s="292">
        <f t="shared" ref="BI138:BI201" si="83">IFERROR(BF138/BG138,0)</f>
        <v>2.263543053854062</v>
      </c>
      <c r="BJ138" s="196" cm="1">
        <f t="array" ref="BJ138">IFERROR(IF($J138="Baseload",IF($O138=1,0,NPV('2027 Avoided Costs'!$D$6,_xlfn._xlws.FILTER('2027 Avoided Costs'!$C$14:$C$47,('2027 Avoided Costs'!$B$14:$B$47&gt;=$B138+1)*('2027 Avoided Costs'!$B$14:$B$47&lt;$B138+ROUND($O138,0)))))+_xlfn.XLOOKUP($B138,'2027 Avoided Costs'!$B$13:$B$47,'2027 Avoided Costs'!$C$13:$C$47),IF($O138=1,0,NPV('2027 Avoided Costs'!$D$6,_xlfn._xlws.FILTER('2027 Avoided Costs'!$E$14:$E$47,('2027 Avoided Costs'!$B$14:$B$47&gt;=$B138+1)*('2027 Avoided Costs'!$B$14:$B$47&lt;$B138+ROUND($O138,0)))))+_xlfn.XLOOKUP($B138,'2027 Avoided Costs'!$B$13:$B$47,'2027 Avoided Costs'!$E$13:$E$47))*IF($AE138&gt;0,$AE138*(1+0),0),0)</f>
        <v>285446.99749037903</v>
      </c>
      <c r="BK138" s="293">
        <f t="shared" si="81"/>
        <v>1.9774169271991204</v>
      </c>
    </row>
    <row r="139" spans="1:63" s="56" customFormat="1" x14ac:dyDescent="0.25">
      <c r="A139" s="270" t="s">
        <v>133</v>
      </c>
      <c r="B139" s="271">
        <v>2030</v>
      </c>
      <c r="C139" s="272" t="s">
        <v>13</v>
      </c>
      <c r="D139" s="272" t="s">
        <v>165</v>
      </c>
      <c r="E139" s="272" t="s">
        <v>259</v>
      </c>
      <c r="F139" s="273">
        <v>1</v>
      </c>
      <c r="G139" s="274">
        <v>2506.98</v>
      </c>
      <c r="H139" s="275">
        <f t="shared" si="61"/>
        <v>1.27</v>
      </c>
      <c r="I139" s="274">
        <v>0</v>
      </c>
      <c r="J139" s="276" t="s">
        <v>263</v>
      </c>
      <c r="K139" s="277">
        <f t="shared" si="57"/>
        <v>0.8</v>
      </c>
      <c r="L139" s="278">
        <v>0.2</v>
      </c>
      <c r="M139" s="278">
        <v>0</v>
      </c>
      <c r="N139" s="278">
        <v>1</v>
      </c>
      <c r="O139" s="279">
        <v>12</v>
      </c>
      <c r="P139" s="280">
        <v>1974</v>
      </c>
      <c r="Q139" s="281">
        <v>0</v>
      </c>
      <c r="R139" s="282">
        <v>0</v>
      </c>
      <c r="S139" s="282">
        <v>0</v>
      </c>
      <c r="T139" s="281">
        <v>0</v>
      </c>
      <c r="U139" s="283">
        <v>0.24</v>
      </c>
      <c r="V139" s="284">
        <v>6000</v>
      </c>
      <c r="W139" s="285">
        <v>0.15</v>
      </c>
      <c r="X139" s="286" t="s">
        <v>255</v>
      </c>
      <c r="Y139" s="287">
        <f t="shared" si="62"/>
        <v>1</v>
      </c>
      <c r="Z139" s="288">
        <f t="shared" si="63"/>
        <v>2506.98</v>
      </c>
      <c r="AA139" s="288">
        <f t="shared" si="64"/>
        <v>0</v>
      </c>
      <c r="AB139" s="288">
        <f t="shared" si="65"/>
        <v>2660.4272318399999</v>
      </c>
      <c r="AC139" s="288">
        <f t="shared" si="82"/>
        <v>0</v>
      </c>
      <c r="AD139" s="287">
        <f t="shared" si="66"/>
        <v>1974</v>
      </c>
      <c r="AE139" s="287">
        <f t="shared" si="67"/>
        <v>1579.2</v>
      </c>
      <c r="AF139" s="287">
        <f t="shared" si="68"/>
        <v>23688</v>
      </c>
      <c r="AG139" s="287">
        <f t="shared" si="69"/>
        <v>18950.400000000001</v>
      </c>
      <c r="AH139" s="287">
        <f t="shared" si="70"/>
        <v>0</v>
      </c>
      <c r="AI139" s="287">
        <f t="shared" si="71"/>
        <v>0</v>
      </c>
      <c r="AJ139" s="287">
        <f t="shared" si="72"/>
        <v>0</v>
      </c>
      <c r="AK139" s="287">
        <f t="shared" si="73"/>
        <v>0</v>
      </c>
      <c r="AL139" s="287">
        <f t="shared" si="74"/>
        <v>0</v>
      </c>
      <c r="AM139" s="287">
        <f t="shared" si="75"/>
        <v>0</v>
      </c>
      <c r="AN139" s="287">
        <f t="shared" si="76"/>
        <v>0</v>
      </c>
      <c r="AO139" s="287">
        <f t="shared" si="77"/>
        <v>0</v>
      </c>
      <c r="AP139" s="287">
        <f t="shared" si="78"/>
        <v>6000</v>
      </c>
      <c r="AQ139" s="287">
        <f t="shared" si="79"/>
        <v>4800</v>
      </c>
      <c r="AR139" s="287">
        <f t="shared" si="80"/>
        <v>379.00799999999998</v>
      </c>
      <c r="AS139" s="289" t="e">
        <f>IF(J139='2027 Avoided Costs'!#REF!,3,5)</f>
        <v>#REF!</v>
      </c>
      <c r="AT139" s="290" cm="1">
        <f t="array" ref="AT139">IFERROR(IF($J139="Baseload",IF($O139=1,0,NPV('2027 Avoided Costs'!$D$6,_xlfn._xlws.FILTER('2027 Avoided Costs'!$C$14:$C$47,('2027 Avoided Costs'!$B$14:$B$47&gt;=$B139+1)*('2027 Avoided Costs'!$B$14:$B$47&lt;$B139+ROUND($O139,0)))))+_xlfn.XLOOKUP($B139,'2027 Avoided Costs'!$B$13:$B$47,'2027 Avoided Costs'!$C$13:$C$47),IF($O139=1,0,NPV('2027 Avoided Costs'!$D$6,_xlfn._xlws.FILTER('2027 Avoided Costs'!$E$14:$E$47,('2027 Avoided Costs'!$B$14:$B$47&gt;=$B139+1)*('2027 Avoided Costs'!$B$14:$B$47&lt;$B139+ROUND($O139,0)))))+_xlfn.XLOOKUP($B139,'2027 Avoided Costs'!$B$13:$B$47,'2027 Avoided Costs'!$E$13:$E$47))*IF($AE139&gt;0,$AE139*(1+$W139),0),0)</f>
        <v>5160.8984066056873</v>
      </c>
      <c r="AU139" s="290" cm="1">
        <f t="array" ref="AU139">IFERROR((IF($O139=1,0,NPV('2027 Avoided Costs'!$D$6,_xlfn._xlws.FILTER('2027 Avoided Costs'!$M$14:$M$47,('2027 Avoided Costs'!$B$14:$B$47&gt;=$B139+1)*('2027 Avoided Costs'!$B$14:$B$47&lt;$B139+ROUND($O139,0)))))+_xlfn.XLOOKUP($B139,'2027 Avoided Costs'!$B$13:$B$47,'2027 Avoided Costs'!$M$13:$M$47))*IF($AK139&gt;0,$AK139*(1+$W139),0),0)</f>
        <v>0</v>
      </c>
      <c r="AV139" s="291" cm="1">
        <f t="array" ref="AV139">IFERROR((IF($O139=1,0,NPV('2027 Avoided Costs'!$D$6,_xlfn._xlws.FILTER('2027 Avoided Costs'!$Q$14:$Q$47,('2027 Avoided Costs'!$B$14:$B$47&gt;=$B139+1)*('2027 Avoided Costs'!$B$14:$B$47&lt;$B139+ROUND($O139,0)))))+_xlfn.XLOOKUP($B139,'2027 Avoided Costs'!$B$13:$B$47,'2027 Avoided Costs'!$Q$13:$Q$47))*IF($AI139&gt;0,$AI139*(1+$W139),0),0)</f>
        <v>0</v>
      </c>
      <c r="AW139" s="291" cm="1">
        <f t="array" ref="AW139">IFERROR((IF($O139=1,0,NPV('2027 Avoided Costs'!$D$6,_xlfn._xlws.FILTER('2027 Avoided Costs'!$W$14:$W$47,('2027 Avoided Costs'!$B$14:$B$47&gt;=$B139+1)*('2027 Avoided Costs'!$B$14:$B$47&lt;$B139+ROUND($O139,0)))))+_xlfn.XLOOKUP($B139,'2027 Avoided Costs'!$B$13:$B$47,'2027 Avoided Costs'!$W$13:$W$47))*IF($AM139&gt;0,$AM139*(1+$W139),0),0)</f>
        <v>0</v>
      </c>
      <c r="AX139" s="291" cm="1">
        <f t="array" ref="AX139">IFERROR((IF($O139=1,0,NPV('2027 Avoided Costs'!$D$6,_xlfn._xlws.FILTER('2027 Avoided Costs'!$AC$14:$AC$47,('2027 Avoided Costs'!$B$14:$B$47&gt;=$B139+1)*('2027 Avoided Costs'!$B$14:$B$47&lt;$B139+ROUND($O139,0)))))+_xlfn.XLOOKUP($B139,'2027 Avoided Costs'!$B$13:$B$47,'2027 Avoided Costs'!$AC$13:$AC$47))*IF($AO139&gt;0,$AO139*(1+$W139),0),0)</f>
        <v>0</v>
      </c>
      <c r="AY139" s="291" cm="1">
        <f t="array" ref="AY139">IFERROR((IF($O139=1,0,NPV('2027 Avoided Costs'!$D$4,_xlfn._xlws.FILTER('2027 Avoided Costs'!$I$14:$I$47,('2027 Avoided Costs'!$B$14:$B$47&gt;=$B139+1)*('2027 Avoided Costs'!$B$14:$B$47&lt;$B139+ROUND($O139,0)))))+_xlfn.XLOOKUP($B139,'2027 Avoided Costs'!$B$13:$B$47,'2027 Avoided Costs'!$I$13:$I$47))*IF($X139="Residential",'2027 Avoided Costs'!$J$5,IF($X139="Large Volume",'2027 Avoided Costs'!$J$7,'2027 Avoided Costs'!$J$6))*IF($AE139&gt;0,$AE139,0),0)</f>
        <v>0</v>
      </c>
      <c r="AZ139" s="291" cm="1">
        <f t="array" ref="AZ139">IFERROR(IF($J139="Baseload",IF($O139=1,0,NPV('2027 Avoided Costs'!$D$6,_xlfn._xlws.FILTER('2027 Avoided Costs'!$C$14:$C$47,('2027 Avoided Costs'!$B$14:$B$47&gt;=$B139+1)*('2027 Avoided Costs'!$B$14:$B$47&lt;$B139+ROUND($O139,0)))))+_xlfn.XLOOKUP($B139,'2027 Avoided Costs'!$B$13:$B$47,'2027 Avoided Costs'!$C$13:$C$47),IF($O139=1,0,NPV('2027 Avoided Costs'!$D$6,_xlfn._xlws.FILTER('2027 Avoided Costs'!$E$14:$E$47,('2027 Avoided Costs'!$B$14:$B$47&gt;=$B139+1)*('2027 Avoided Costs'!$B$14:$B$47&lt;$B139+ROUND($O139,0)))))+_xlfn.XLOOKUP($B139,'2027 Avoided Costs'!$B$13:$B$47,'2027 Avoided Costs'!$E$13:$E$47))*IF($AE139&lt;0,$AE139*(-1),0),0)</f>
        <v>0</v>
      </c>
      <c r="BA139" s="291" cm="1">
        <f t="array" ref="BA139">IFERROR((IF($O139=1,0,NPV('2027 Avoided Costs'!$D$6,_xlfn._xlws.FILTER('2027 Avoided Costs'!$M$14:$M$47,('2027 Avoided Costs'!$B$14:$B$47&gt;=$B139+1)*('2027 Avoided Costs'!$B$14:$B$47&lt;$B139+ROUND($O139,0)))))+_xlfn.XLOOKUP($B139,'2027 Avoided Costs'!$B$13:$B$47,'2027 Avoided Costs'!$M$13:$M$47))*IF($AK139&lt;0,$AK139*(-1),0),0)</f>
        <v>0</v>
      </c>
      <c r="BB139" s="291" cm="1">
        <f t="array" ref="BB139">IFERROR((IF($O139=1,0,NPV('2027 Avoided Costs'!$D$6,_xlfn._xlws.FILTER('2027 Avoided Costs'!$S$14:$S$47,('2027 Avoided Costs'!$B$14:$B$47&gt;=$B139+1)*('2027 Avoided Costs'!$B$14:$B$47&lt;$B139+ROUND($O139,0)))))+_xlfn.XLOOKUP($B139,'2027 Avoided Costs'!$B$13:$B$47,'2027 Avoided Costs'!$S$13:$S$47))*IF($AI139&lt;0,$AI139*(-1),0),0)</f>
        <v>0</v>
      </c>
      <c r="BC139" s="291" cm="1">
        <f t="array" ref="BC139">IFERROR((IF($O139=1,0,NPV('2027 Avoided Costs'!$D$6,_xlfn._xlws.FILTER('2027 Avoided Costs'!$Y$14:$Y$47,('2027 Avoided Costs'!$B$14:$B$47&gt;=$B139+1)*('2027 Avoided Costs'!$B$14:$B$47&lt;$B139+ROUND($O139,0)))))+_xlfn.XLOOKUP($B139,'2027 Avoided Costs'!$B$13:$B$47,'2027 Avoided Costs'!$Y$13:$Y$47))*IF($AM139&lt;0,$AM139*(-1),0),0)</f>
        <v>0</v>
      </c>
      <c r="BD139" s="291" cm="1">
        <f t="array" ref="BD139">IFERROR((IF($O139=1,0,NPV('2027 Avoided Costs'!$D$6,_xlfn._xlws.FILTER('2027 Avoided Costs'!$AE$14:$AE$47,('2027 Avoided Costs'!$B$14:$B$47&gt;=$B139+1)*('2027 Avoided Costs'!$B$14:$B$47&lt;$B139+ROUND($O139,0)))))+_xlfn.XLOOKUP($B139,'2027 Avoided Costs'!$B$13:$B$47,'2027 Avoided Costs'!$AE$13:$AE$47))*IF($AO139&lt;0,$AO139*(-1),0),0)</f>
        <v>0</v>
      </c>
      <c r="BE139" s="291" cm="1">
        <f t="array" ref="BE139">IFERROR((IF($O139=1,0,NPV('2027 Avoided Costs'!$D$4,_xlfn._xlws.FILTER('2027 Avoided Costs'!$I$14:$I$47,('2027 Avoided Costs'!$B$14:$B$47&gt;=$B139+1)*('2027 Avoided Costs'!$B$14:$B$47&lt;$B139+ROUND($O139,0)))))+_xlfn.XLOOKUP($B139,'2027 Avoided Costs'!$B$13:$B$47,'2027 Avoided Costs'!$I$13:$I$47))*IF($X139="Residential",'2027 Avoided Costs'!$J$5,IF($X139="Large Volume",'2027 Avoided Costs'!$J$7,'2027 Avoided Costs'!$J$6))*IF($AE139&lt;0,$AE139*(-1),0),0)</f>
        <v>0</v>
      </c>
      <c r="BF139" s="291">
        <f t="shared" si="58"/>
        <v>5160.8984066056873</v>
      </c>
      <c r="BG139" s="291">
        <f t="shared" si="59"/>
        <v>4800</v>
      </c>
      <c r="BH139" s="291">
        <f t="shared" si="60"/>
        <v>360.89840660568734</v>
      </c>
      <c r="BI139" s="292">
        <f t="shared" si="83"/>
        <v>1.0751871680428515</v>
      </c>
      <c r="BJ139" s="196" cm="1">
        <f t="array" ref="BJ139">IFERROR(IF($J139="Baseload",IF($O139=1,0,NPV('2027 Avoided Costs'!$D$6,_xlfn._xlws.FILTER('2027 Avoided Costs'!$C$14:$C$47,('2027 Avoided Costs'!$B$14:$B$47&gt;=$B139+1)*('2027 Avoided Costs'!$B$14:$B$47&lt;$B139+ROUND($O139,0)))))+_xlfn.XLOOKUP($B139,'2027 Avoided Costs'!$B$13:$B$47,'2027 Avoided Costs'!$C$13:$C$47),IF($O139=1,0,NPV('2027 Avoided Costs'!$D$6,_xlfn._xlws.FILTER('2027 Avoided Costs'!$E$14:$E$47,('2027 Avoided Costs'!$B$14:$B$47&gt;=$B139+1)*('2027 Avoided Costs'!$B$14:$B$47&lt;$B139+ROUND($O139,0)))))+_xlfn.XLOOKUP($B139,'2027 Avoided Costs'!$B$13:$B$47,'2027 Avoided Costs'!$E$13:$E$47))*IF($AE139&gt;0,$AE139*(1+0),0),0)</f>
        <v>4487.737744874511</v>
      </c>
      <c r="BK139" s="293">
        <f t="shared" si="81"/>
        <v>1.6868485223595873</v>
      </c>
    </row>
    <row r="140" spans="1:63" s="56" customFormat="1" x14ac:dyDescent="0.25">
      <c r="A140" s="270" t="s">
        <v>133</v>
      </c>
      <c r="B140" s="271">
        <v>2030</v>
      </c>
      <c r="C140" s="272" t="s">
        <v>13</v>
      </c>
      <c r="D140" s="272" t="s">
        <v>165</v>
      </c>
      <c r="E140" s="272" t="s">
        <v>94</v>
      </c>
      <c r="F140" s="273">
        <v>6</v>
      </c>
      <c r="G140" s="274">
        <v>1391</v>
      </c>
      <c r="H140" s="275">
        <f t="shared" si="61"/>
        <v>0.45646466856267776</v>
      </c>
      <c r="I140" s="274">
        <v>0</v>
      </c>
      <c r="J140" s="276" t="s">
        <v>263</v>
      </c>
      <c r="K140" s="277">
        <f t="shared" si="57"/>
        <v>0.8</v>
      </c>
      <c r="L140" s="278">
        <v>0.2</v>
      </c>
      <c r="M140" s="278">
        <v>0</v>
      </c>
      <c r="N140" s="278">
        <v>1</v>
      </c>
      <c r="O140" s="279">
        <v>12</v>
      </c>
      <c r="P140" s="280">
        <v>3047.3333333333335</v>
      </c>
      <c r="Q140" s="281">
        <v>3839</v>
      </c>
      <c r="R140" s="282">
        <v>0.43824200913241607</v>
      </c>
      <c r="S140" s="282">
        <v>0.43824200913242151</v>
      </c>
      <c r="T140" s="281">
        <v>0</v>
      </c>
      <c r="U140" s="283">
        <v>0.24</v>
      </c>
      <c r="V140" s="284">
        <v>2782</v>
      </c>
      <c r="W140" s="285">
        <v>0.15</v>
      </c>
      <c r="X140" s="286" t="s">
        <v>255</v>
      </c>
      <c r="Y140" s="287">
        <f t="shared" si="62"/>
        <v>6</v>
      </c>
      <c r="Z140" s="288">
        <f t="shared" si="63"/>
        <v>8346</v>
      </c>
      <c r="AA140" s="288">
        <f t="shared" si="64"/>
        <v>0</v>
      </c>
      <c r="AB140" s="288">
        <f t="shared" si="65"/>
        <v>8856.8419679999988</v>
      </c>
      <c r="AC140" s="288">
        <f t="shared" si="82"/>
        <v>0</v>
      </c>
      <c r="AD140" s="287">
        <f t="shared" si="66"/>
        <v>18284</v>
      </c>
      <c r="AE140" s="287">
        <f t="shared" si="67"/>
        <v>14627.2</v>
      </c>
      <c r="AF140" s="287">
        <f t="shared" si="68"/>
        <v>219408</v>
      </c>
      <c r="AG140" s="287">
        <f t="shared" si="69"/>
        <v>175526.40000000002</v>
      </c>
      <c r="AH140" s="287">
        <f t="shared" si="70"/>
        <v>24692.448</v>
      </c>
      <c r="AI140" s="287">
        <f t="shared" si="71"/>
        <v>19753.958400000003</v>
      </c>
      <c r="AJ140" s="287">
        <f t="shared" si="72"/>
        <v>0</v>
      </c>
      <c r="AK140" s="287">
        <f t="shared" si="73"/>
        <v>0</v>
      </c>
      <c r="AL140" s="287">
        <f t="shared" si="74"/>
        <v>2.8187726027397004</v>
      </c>
      <c r="AM140" s="287">
        <f t="shared" si="75"/>
        <v>2.2550180821917603</v>
      </c>
      <c r="AN140" s="287">
        <f t="shared" si="76"/>
        <v>2.8187726027397355</v>
      </c>
      <c r="AO140" s="287">
        <f t="shared" si="77"/>
        <v>2.2550180821917887</v>
      </c>
      <c r="AP140" s="287">
        <f t="shared" si="78"/>
        <v>16692</v>
      </c>
      <c r="AQ140" s="287">
        <f t="shared" si="79"/>
        <v>13353.6</v>
      </c>
      <c r="AR140" s="287">
        <f t="shared" si="80"/>
        <v>3510.5280000000002</v>
      </c>
      <c r="AS140" s="289" t="e">
        <f>IF(J140='2027 Avoided Costs'!#REF!,3,5)</f>
        <v>#REF!</v>
      </c>
      <c r="AT140" s="290" cm="1">
        <f t="array" ref="AT140">IFERROR(IF($J140="Baseload",IF($O140=1,0,NPV('2027 Avoided Costs'!$D$6,_xlfn._xlws.FILTER('2027 Avoided Costs'!$C$14:$C$47,('2027 Avoided Costs'!$B$14:$B$47&gt;=$B140+1)*('2027 Avoided Costs'!$B$14:$B$47&lt;$B140+ROUND($O140,0)))))+_xlfn.XLOOKUP($B140,'2027 Avoided Costs'!$B$13:$B$47,'2027 Avoided Costs'!$C$13:$C$47),IF($O140=1,0,NPV('2027 Avoided Costs'!$D$6,_xlfn._xlws.FILTER('2027 Avoided Costs'!$E$14:$E$47,('2027 Avoided Costs'!$B$14:$B$47&gt;=$B140+1)*('2027 Avoided Costs'!$B$14:$B$47&lt;$B140+ROUND($O140,0)))))+_xlfn.XLOOKUP($B140,'2027 Avoided Costs'!$B$13:$B$47,'2027 Avoided Costs'!$E$13:$E$47))*IF($AE140&gt;0,$AE140*(1+$W140),0),0)</f>
        <v>47802.363964730692</v>
      </c>
      <c r="AU140" s="290" cm="1">
        <f t="array" ref="AU140">IFERROR((IF($O140=1,0,NPV('2027 Avoided Costs'!$D$6,_xlfn._xlws.FILTER('2027 Avoided Costs'!$M$14:$M$47,('2027 Avoided Costs'!$B$14:$B$47&gt;=$B140+1)*('2027 Avoided Costs'!$B$14:$B$47&lt;$B140+ROUND($O140,0)))))+_xlfn.XLOOKUP($B140,'2027 Avoided Costs'!$B$13:$B$47,'2027 Avoided Costs'!$M$13:$M$47))*IF($AK140&gt;0,$AK140*(1+$W140),0),0)</f>
        <v>0</v>
      </c>
      <c r="AV140" s="291" cm="1">
        <f t="array" ref="AV140">IFERROR((IF($O140=1,0,NPV('2027 Avoided Costs'!$D$6,_xlfn._xlws.FILTER('2027 Avoided Costs'!$Q$14:$Q$47,('2027 Avoided Costs'!$B$14:$B$47&gt;=$B140+1)*('2027 Avoided Costs'!$B$14:$B$47&lt;$B140+ROUND($O140,0)))))+_xlfn.XLOOKUP($B140,'2027 Avoided Costs'!$B$13:$B$47,'2027 Avoided Costs'!$Q$13:$Q$47))*IF($AI140&gt;0,$AI140*(1+$W140),0),0)</f>
        <v>10404.859398065582</v>
      </c>
      <c r="AW140" s="291" cm="1">
        <f t="array" ref="AW140">IFERROR((IF($O140=1,0,NPV('2027 Avoided Costs'!$D$6,_xlfn._xlws.FILTER('2027 Avoided Costs'!$W$14:$W$47,('2027 Avoided Costs'!$B$14:$B$47&gt;=$B140+1)*('2027 Avoided Costs'!$B$14:$B$47&lt;$B140+ROUND($O140,0)))))+_xlfn.XLOOKUP($B140,'2027 Avoided Costs'!$B$13:$B$47,'2027 Avoided Costs'!$W$13:$W$47))*IF($AM140&gt;0,$AM140*(1+$W140),0),0)</f>
        <v>8346.2771892591245</v>
      </c>
      <c r="AX140" s="291" cm="1">
        <f t="array" ref="AX140">IFERROR((IF($O140=1,0,NPV('2027 Avoided Costs'!$D$6,_xlfn._xlws.FILTER('2027 Avoided Costs'!$AC$14:$AC$47,('2027 Avoided Costs'!$B$14:$B$47&gt;=$B140+1)*('2027 Avoided Costs'!$B$14:$B$47&lt;$B140+ROUND($O140,0)))))+_xlfn.XLOOKUP($B140,'2027 Avoided Costs'!$B$13:$B$47,'2027 Avoided Costs'!$AC$13:$AC$47))*IF($AO140&gt;0,$AO140*(1+$W140),0),0)</f>
        <v>657.27442024591323</v>
      </c>
      <c r="AY140" s="291" cm="1">
        <f t="array" ref="AY140">IFERROR((IF($O140=1,0,NPV('2027 Avoided Costs'!$D$4,_xlfn._xlws.FILTER('2027 Avoided Costs'!$I$14:$I$47,('2027 Avoided Costs'!$B$14:$B$47&gt;=$B140+1)*('2027 Avoided Costs'!$B$14:$B$47&lt;$B140+ROUND($O140,0)))))+_xlfn.XLOOKUP($B140,'2027 Avoided Costs'!$B$13:$B$47,'2027 Avoided Costs'!$I$13:$I$47))*IF($X140="Residential",'2027 Avoided Costs'!$J$5,IF($X140="Large Volume",'2027 Avoided Costs'!$J$7,'2027 Avoided Costs'!$J$6))*IF($AE140&gt;0,$AE140,0),0)</f>
        <v>0</v>
      </c>
      <c r="AZ140" s="291" cm="1">
        <f t="array" ref="AZ140">IFERROR(IF($J140="Baseload",IF($O140=1,0,NPV('2027 Avoided Costs'!$D$6,_xlfn._xlws.FILTER('2027 Avoided Costs'!$C$14:$C$47,('2027 Avoided Costs'!$B$14:$B$47&gt;=$B140+1)*('2027 Avoided Costs'!$B$14:$B$47&lt;$B140+ROUND($O140,0)))))+_xlfn.XLOOKUP($B140,'2027 Avoided Costs'!$B$13:$B$47,'2027 Avoided Costs'!$C$13:$C$47),IF($O140=1,0,NPV('2027 Avoided Costs'!$D$6,_xlfn._xlws.FILTER('2027 Avoided Costs'!$E$14:$E$47,('2027 Avoided Costs'!$B$14:$B$47&gt;=$B140+1)*('2027 Avoided Costs'!$B$14:$B$47&lt;$B140+ROUND($O140,0)))))+_xlfn.XLOOKUP($B140,'2027 Avoided Costs'!$B$13:$B$47,'2027 Avoided Costs'!$E$13:$E$47))*IF($AE140&lt;0,$AE140*(-1),0),0)</f>
        <v>0</v>
      </c>
      <c r="BA140" s="291" cm="1">
        <f t="array" ref="BA140">IFERROR((IF($O140=1,0,NPV('2027 Avoided Costs'!$D$6,_xlfn._xlws.FILTER('2027 Avoided Costs'!$M$14:$M$47,('2027 Avoided Costs'!$B$14:$B$47&gt;=$B140+1)*('2027 Avoided Costs'!$B$14:$B$47&lt;$B140+ROUND($O140,0)))))+_xlfn.XLOOKUP($B140,'2027 Avoided Costs'!$B$13:$B$47,'2027 Avoided Costs'!$M$13:$M$47))*IF($AK140&lt;0,$AK140*(-1),0),0)</f>
        <v>0</v>
      </c>
      <c r="BB140" s="291" cm="1">
        <f t="array" ref="BB140">IFERROR((IF($O140=1,0,NPV('2027 Avoided Costs'!$D$6,_xlfn._xlws.FILTER('2027 Avoided Costs'!$S$14:$S$47,('2027 Avoided Costs'!$B$14:$B$47&gt;=$B140+1)*('2027 Avoided Costs'!$B$14:$B$47&lt;$B140+ROUND($O140,0)))))+_xlfn.XLOOKUP($B140,'2027 Avoided Costs'!$B$13:$B$47,'2027 Avoided Costs'!$S$13:$S$47))*IF($AI140&lt;0,$AI140*(-1),0),0)</f>
        <v>0</v>
      </c>
      <c r="BC140" s="291" cm="1">
        <f t="array" ref="BC140">IFERROR((IF($O140=1,0,NPV('2027 Avoided Costs'!$D$6,_xlfn._xlws.FILTER('2027 Avoided Costs'!$Y$14:$Y$47,('2027 Avoided Costs'!$B$14:$B$47&gt;=$B140+1)*('2027 Avoided Costs'!$B$14:$B$47&lt;$B140+ROUND($O140,0)))))+_xlfn.XLOOKUP($B140,'2027 Avoided Costs'!$B$13:$B$47,'2027 Avoided Costs'!$Y$13:$Y$47))*IF($AM140&lt;0,$AM140*(-1),0),0)</f>
        <v>0</v>
      </c>
      <c r="BD140" s="291" cm="1">
        <f t="array" ref="BD140">IFERROR((IF($O140=1,0,NPV('2027 Avoided Costs'!$D$6,_xlfn._xlws.FILTER('2027 Avoided Costs'!$AE$14:$AE$47,('2027 Avoided Costs'!$B$14:$B$47&gt;=$B140+1)*('2027 Avoided Costs'!$B$14:$B$47&lt;$B140+ROUND($O140,0)))))+_xlfn.XLOOKUP($B140,'2027 Avoided Costs'!$B$13:$B$47,'2027 Avoided Costs'!$AE$13:$AE$47))*IF($AO140&lt;0,$AO140*(-1),0),0)</f>
        <v>0</v>
      </c>
      <c r="BE140" s="291" cm="1">
        <f t="array" ref="BE140">IFERROR((IF($O140=1,0,NPV('2027 Avoided Costs'!$D$4,_xlfn._xlws.FILTER('2027 Avoided Costs'!$I$14:$I$47,('2027 Avoided Costs'!$B$14:$B$47&gt;=$B140+1)*('2027 Avoided Costs'!$B$14:$B$47&lt;$B140+ROUND($O140,0)))))+_xlfn.XLOOKUP($B140,'2027 Avoided Costs'!$B$13:$B$47,'2027 Avoided Costs'!$I$13:$I$47))*IF($X140="Residential",'2027 Avoided Costs'!$J$5,IF($X140="Large Volume",'2027 Avoided Costs'!$J$7,'2027 Avoided Costs'!$J$6))*IF($AE140&lt;0,$AE140*(-1),0),0)</f>
        <v>0</v>
      </c>
      <c r="BF140" s="291">
        <f t="shared" si="58"/>
        <v>67210.774972301311</v>
      </c>
      <c r="BG140" s="291">
        <f t="shared" si="59"/>
        <v>13353.6</v>
      </c>
      <c r="BH140" s="291">
        <f t="shared" si="60"/>
        <v>53857.174972301313</v>
      </c>
      <c r="BI140" s="292">
        <f t="shared" si="83"/>
        <v>5.0331577231833595</v>
      </c>
      <c r="BJ140" s="196" cm="1">
        <f t="array" ref="BJ140">IFERROR(IF($J140="Baseload",IF($O140=1,0,NPV('2027 Avoided Costs'!$D$6,_xlfn._xlws.FILTER('2027 Avoided Costs'!$C$14:$C$47,('2027 Avoided Costs'!$B$14:$B$47&gt;=$B140+1)*('2027 Avoided Costs'!$B$14:$B$47&lt;$B140+ROUND($O140,0)))))+_xlfn.XLOOKUP($B140,'2027 Avoided Costs'!$B$13:$B$47,'2027 Avoided Costs'!$C$13:$C$47),IF($O140=1,0,NPV('2027 Avoided Costs'!$D$6,_xlfn._xlws.FILTER('2027 Avoided Costs'!$E$14:$E$47,('2027 Avoided Costs'!$B$14:$B$47&gt;=$B140+1)*('2027 Avoided Costs'!$B$14:$B$47&lt;$B140+ROUND($O140,0)))))+_xlfn.XLOOKUP($B140,'2027 Avoided Costs'!$B$13:$B$47,'2027 Avoided Costs'!$E$13:$E$47))*IF($AE140&gt;0,$AE140*(1+0),0),0)</f>
        <v>41567.273012809303</v>
      </c>
      <c r="BK140" s="293">
        <f t="shared" si="81"/>
        <v>4.6932386467990446</v>
      </c>
    </row>
    <row r="141" spans="1:63" s="56" customFormat="1" x14ac:dyDescent="0.25">
      <c r="A141" s="270" t="s">
        <v>133</v>
      </c>
      <c r="B141" s="271">
        <v>2030</v>
      </c>
      <c r="C141" s="272" t="s">
        <v>13</v>
      </c>
      <c r="D141" s="272" t="s">
        <v>165</v>
      </c>
      <c r="E141" s="272" t="s">
        <v>88</v>
      </c>
      <c r="F141" s="273">
        <v>401</v>
      </c>
      <c r="G141" s="274">
        <v>1509.139031007752</v>
      </c>
      <c r="H141" s="275">
        <f t="shared" si="61"/>
        <v>1.27</v>
      </c>
      <c r="I141" s="274">
        <v>0</v>
      </c>
      <c r="J141" s="276" t="s">
        <v>263</v>
      </c>
      <c r="K141" s="277">
        <f t="shared" si="57"/>
        <v>0.8</v>
      </c>
      <c r="L141" s="278">
        <v>0.2</v>
      </c>
      <c r="M141" s="278">
        <v>0</v>
      </c>
      <c r="N141" s="278">
        <v>1</v>
      </c>
      <c r="O141" s="279">
        <v>12</v>
      </c>
      <c r="P141" s="280">
        <v>1188.2984496124031</v>
      </c>
      <c r="Q141" s="281">
        <v>2088</v>
      </c>
      <c r="R141" s="282">
        <v>0.23835616438355944</v>
      </c>
      <c r="S141" s="282">
        <v>0.23835616438356241</v>
      </c>
      <c r="T141" s="281">
        <v>145.15408121212127</v>
      </c>
      <c r="U141" s="283">
        <v>0.24</v>
      </c>
      <c r="V141" s="284">
        <v>5474</v>
      </c>
      <c r="W141" s="285">
        <v>0.15</v>
      </c>
      <c r="X141" s="286" t="s">
        <v>255</v>
      </c>
      <c r="Y141" s="287">
        <f t="shared" si="62"/>
        <v>401</v>
      </c>
      <c r="Z141" s="288">
        <f t="shared" si="63"/>
        <v>605164.75143410859</v>
      </c>
      <c r="AA141" s="288">
        <f t="shared" si="64"/>
        <v>0</v>
      </c>
      <c r="AB141" s="288">
        <f t="shared" si="65"/>
        <v>642205.67553988751</v>
      </c>
      <c r="AC141" s="288">
        <f t="shared" si="82"/>
        <v>0</v>
      </c>
      <c r="AD141" s="287">
        <f t="shared" si="66"/>
        <v>476507.67829457368</v>
      </c>
      <c r="AE141" s="287">
        <f t="shared" si="67"/>
        <v>381206.14263565897</v>
      </c>
      <c r="AF141" s="287">
        <f t="shared" si="68"/>
        <v>5718092.1395348841</v>
      </c>
      <c r="AG141" s="287">
        <f t="shared" si="69"/>
        <v>4574473.7116279081</v>
      </c>
      <c r="AH141" s="287">
        <f t="shared" si="70"/>
        <v>897572.73600000003</v>
      </c>
      <c r="AI141" s="287">
        <f t="shared" si="71"/>
        <v>718058.18880000012</v>
      </c>
      <c r="AJ141" s="287">
        <f t="shared" si="72"/>
        <v>58206.786566060626</v>
      </c>
      <c r="AK141" s="287">
        <f t="shared" si="73"/>
        <v>46565.429252848502</v>
      </c>
      <c r="AL141" s="287">
        <f t="shared" si="74"/>
        <v>102.46264109588948</v>
      </c>
      <c r="AM141" s="287">
        <f t="shared" si="75"/>
        <v>81.970112876711582</v>
      </c>
      <c r="AN141" s="287">
        <f t="shared" si="76"/>
        <v>102.46264109589075</v>
      </c>
      <c r="AO141" s="287">
        <f t="shared" si="77"/>
        <v>81.970112876712605</v>
      </c>
      <c r="AP141" s="287">
        <f t="shared" si="78"/>
        <v>2195074</v>
      </c>
      <c r="AQ141" s="287">
        <f t="shared" si="79"/>
        <v>1756059.2000000002</v>
      </c>
      <c r="AR141" s="287">
        <f t="shared" si="80"/>
        <v>91489.474232558146</v>
      </c>
      <c r="AS141" s="289" t="e">
        <f>IF(J141='2027 Avoided Costs'!#REF!,3,5)</f>
        <v>#REF!</v>
      </c>
      <c r="AT141" s="290" cm="1">
        <f t="array" ref="AT141">IFERROR(IF($J141="Baseload",IF($O141=1,0,NPV('2027 Avoided Costs'!$D$6,_xlfn._xlws.FILTER('2027 Avoided Costs'!$C$14:$C$47,('2027 Avoided Costs'!$B$14:$B$47&gt;=$B141+1)*('2027 Avoided Costs'!$B$14:$B$47&lt;$B141+ROUND($O141,0)))))+_xlfn.XLOOKUP($B141,'2027 Avoided Costs'!$B$13:$B$47,'2027 Avoided Costs'!$C$13:$C$47),IF($O141=1,0,NPV('2027 Avoided Costs'!$D$6,_xlfn._xlws.FILTER('2027 Avoided Costs'!$E$14:$E$47,('2027 Avoided Costs'!$B$14:$B$47&gt;=$B141+1)*('2027 Avoided Costs'!$B$14:$B$47&lt;$B141+ROUND($O141,0)))))+_xlfn.XLOOKUP($B141,'2027 Avoided Costs'!$B$13:$B$47,'2027 Avoided Costs'!$E$13:$E$47))*IF($AE141&gt;0,$AE141*(1+$W141),0),0)</f>
        <v>1245799.2490607097</v>
      </c>
      <c r="AU141" s="290" cm="1">
        <f t="array" ref="AU141">IFERROR((IF($O141=1,0,NPV('2027 Avoided Costs'!$D$6,_xlfn._xlws.FILTER('2027 Avoided Costs'!$M$14:$M$47,('2027 Avoided Costs'!$B$14:$B$47&gt;=$B141+1)*('2027 Avoided Costs'!$B$14:$B$47&lt;$B141+ROUND($O141,0)))))+_xlfn.XLOOKUP($B141,'2027 Avoided Costs'!$B$13:$B$47,'2027 Avoided Costs'!$M$13:$M$47))*IF($AK141&gt;0,$AK141*(1+$W141),0),0)</f>
        <v>598001.74776352011</v>
      </c>
      <c r="AV141" s="291" cm="1">
        <f t="array" ref="AV141">IFERROR((IF($O141=1,0,NPV('2027 Avoided Costs'!$D$6,_xlfn._xlws.FILTER('2027 Avoided Costs'!$Q$14:$Q$47,('2027 Avoided Costs'!$B$14:$B$47&gt;=$B141+1)*('2027 Avoided Costs'!$B$14:$B$47&lt;$B141+ROUND($O141,0)))))+_xlfn.XLOOKUP($B141,'2027 Avoided Costs'!$B$13:$B$47,'2027 Avoided Costs'!$Q$13:$Q$47))*IF($AI141&gt;0,$AI141*(1+$W141),0),0)</f>
        <v>378217.5877262975</v>
      </c>
      <c r="AW141" s="291" cm="1">
        <f t="array" ref="AW141">IFERROR((IF($O141=1,0,NPV('2027 Avoided Costs'!$D$6,_xlfn._xlws.FILTER('2027 Avoided Costs'!$W$14:$W$47,('2027 Avoided Costs'!$B$14:$B$47&gt;=$B141+1)*('2027 Avoided Costs'!$B$14:$B$47&lt;$B141+ROUND($O141,0)))))+_xlfn.XLOOKUP($B141,'2027 Avoided Costs'!$B$13:$B$47,'2027 Avoided Costs'!$W$13:$W$47))*IF($AM141&gt;0,$AM141*(1+$W141),0),0)</f>
        <v>303387.93675611675</v>
      </c>
      <c r="AX141" s="291" cm="1">
        <f t="array" ref="AX141">IFERROR((IF($O141=1,0,NPV('2027 Avoided Costs'!$D$6,_xlfn._xlws.FILTER('2027 Avoided Costs'!$AC$14:$AC$47,('2027 Avoided Costs'!$B$14:$B$47&gt;=$B141+1)*('2027 Avoided Costs'!$B$14:$B$47&lt;$B141+ROUND($O141,0)))))+_xlfn.XLOOKUP($B141,'2027 Avoided Costs'!$B$13:$B$47,'2027 Avoided Costs'!$AC$13:$AC$47))*IF($AO141&gt;0,$AO141*(1+$W141),0),0)</f>
        <v>23891.985099368765</v>
      </c>
      <c r="AY141" s="291" cm="1">
        <f t="array" ref="AY141">IFERROR((IF($O141=1,0,NPV('2027 Avoided Costs'!$D$4,_xlfn._xlws.FILTER('2027 Avoided Costs'!$I$14:$I$47,('2027 Avoided Costs'!$B$14:$B$47&gt;=$B141+1)*('2027 Avoided Costs'!$B$14:$B$47&lt;$B141+ROUND($O141,0)))))+_xlfn.XLOOKUP($B141,'2027 Avoided Costs'!$B$13:$B$47,'2027 Avoided Costs'!$I$13:$I$47))*IF($X141="Residential",'2027 Avoided Costs'!$J$5,IF($X141="Large Volume",'2027 Avoided Costs'!$J$7,'2027 Avoided Costs'!$J$6))*IF($AE141&gt;0,$AE141,0),0)</f>
        <v>0</v>
      </c>
      <c r="AZ141" s="291" cm="1">
        <f t="array" ref="AZ141">IFERROR(IF($J141="Baseload",IF($O141=1,0,NPV('2027 Avoided Costs'!$D$6,_xlfn._xlws.FILTER('2027 Avoided Costs'!$C$14:$C$47,('2027 Avoided Costs'!$B$14:$B$47&gt;=$B141+1)*('2027 Avoided Costs'!$B$14:$B$47&lt;$B141+ROUND($O141,0)))))+_xlfn.XLOOKUP($B141,'2027 Avoided Costs'!$B$13:$B$47,'2027 Avoided Costs'!$C$13:$C$47),IF($O141=1,0,NPV('2027 Avoided Costs'!$D$6,_xlfn._xlws.FILTER('2027 Avoided Costs'!$E$14:$E$47,('2027 Avoided Costs'!$B$14:$B$47&gt;=$B141+1)*('2027 Avoided Costs'!$B$14:$B$47&lt;$B141+ROUND($O141,0)))))+_xlfn.XLOOKUP($B141,'2027 Avoided Costs'!$B$13:$B$47,'2027 Avoided Costs'!$E$13:$E$47))*IF($AE141&lt;0,$AE141*(-1),0),0)</f>
        <v>0</v>
      </c>
      <c r="BA141" s="291" cm="1">
        <f t="array" ref="BA141">IFERROR((IF($O141=1,0,NPV('2027 Avoided Costs'!$D$6,_xlfn._xlws.FILTER('2027 Avoided Costs'!$M$14:$M$47,('2027 Avoided Costs'!$B$14:$B$47&gt;=$B141+1)*('2027 Avoided Costs'!$B$14:$B$47&lt;$B141+ROUND($O141,0)))))+_xlfn.XLOOKUP($B141,'2027 Avoided Costs'!$B$13:$B$47,'2027 Avoided Costs'!$M$13:$M$47))*IF($AK141&lt;0,$AK141*(-1),0),0)</f>
        <v>0</v>
      </c>
      <c r="BB141" s="291" cm="1">
        <f t="array" ref="BB141">IFERROR((IF($O141=1,0,NPV('2027 Avoided Costs'!$D$6,_xlfn._xlws.FILTER('2027 Avoided Costs'!$S$14:$S$47,('2027 Avoided Costs'!$B$14:$B$47&gt;=$B141+1)*('2027 Avoided Costs'!$B$14:$B$47&lt;$B141+ROUND($O141,0)))))+_xlfn.XLOOKUP($B141,'2027 Avoided Costs'!$B$13:$B$47,'2027 Avoided Costs'!$S$13:$S$47))*IF($AI141&lt;0,$AI141*(-1),0),0)</f>
        <v>0</v>
      </c>
      <c r="BC141" s="291" cm="1">
        <f t="array" ref="BC141">IFERROR((IF($O141=1,0,NPV('2027 Avoided Costs'!$D$6,_xlfn._xlws.FILTER('2027 Avoided Costs'!$Y$14:$Y$47,('2027 Avoided Costs'!$B$14:$B$47&gt;=$B141+1)*('2027 Avoided Costs'!$B$14:$B$47&lt;$B141+ROUND($O141,0)))))+_xlfn.XLOOKUP($B141,'2027 Avoided Costs'!$B$13:$B$47,'2027 Avoided Costs'!$Y$13:$Y$47))*IF($AM141&lt;0,$AM141*(-1),0),0)</f>
        <v>0</v>
      </c>
      <c r="BD141" s="291" cm="1">
        <f t="array" ref="BD141">IFERROR((IF($O141=1,0,NPV('2027 Avoided Costs'!$D$6,_xlfn._xlws.FILTER('2027 Avoided Costs'!$AE$14:$AE$47,('2027 Avoided Costs'!$B$14:$B$47&gt;=$B141+1)*('2027 Avoided Costs'!$B$14:$B$47&lt;$B141+ROUND($O141,0)))))+_xlfn.XLOOKUP($B141,'2027 Avoided Costs'!$B$13:$B$47,'2027 Avoided Costs'!$AE$13:$AE$47))*IF($AO141&lt;0,$AO141*(-1),0),0)</f>
        <v>0</v>
      </c>
      <c r="BE141" s="291" cm="1">
        <f t="array" ref="BE141">IFERROR((IF($O141=1,0,NPV('2027 Avoided Costs'!$D$4,_xlfn._xlws.FILTER('2027 Avoided Costs'!$I$14:$I$47,('2027 Avoided Costs'!$B$14:$B$47&gt;=$B141+1)*('2027 Avoided Costs'!$B$14:$B$47&lt;$B141+ROUND($O141,0)))))+_xlfn.XLOOKUP($B141,'2027 Avoided Costs'!$B$13:$B$47,'2027 Avoided Costs'!$I$13:$I$47))*IF($X141="Residential",'2027 Avoided Costs'!$J$5,IF($X141="Large Volume",'2027 Avoided Costs'!$J$7,'2027 Avoided Costs'!$J$6))*IF($AE141&lt;0,$AE141*(-1),0),0)</f>
        <v>0</v>
      </c>
      <c r="BF141" s="291">
        <f t="shared" si="58"/>
        <v>2549298.5064060129</v>
      </c>
      <c r="BG141" s="291">
        <f t="shared" si="59"/>
        <v>1756059.2000000002</v>
      </c>
      <c r="BH141" s="291">
        <f t="shared" si="60"/>
        <v>793239.30640601274</v>
      </c>
      <c r="BI141" s="292">
        <f t="shared" si="83"/>
        <v>1.4517155836238396</v>
      </c>
      <c r="BJ141" s="196" cm="1">
        <f t="array" ref="BJ141">IFERROR(IF($J141="Baseload",IF($O141=1,0,NPV('2027 Avoided Costs'!$D$6,_xlfn._xlws.FILTER('2027 Avoided Costs'!$C$14:$C$47,('2027 Avoided Costs'!$B$14:$B$47&gt;=$B141+1)*('2027 Avoided Costs'!$B$14:$B$47&lt;$B141+ROUND($O141,0)))))+_xlfn.XLOOKUP($B141,'2027 Avoided Costs'!$B$13:$B$47,'2027 Avoided Costs'!$C$13:$C$47),IF($O141=1,0,NPV('2027 Avoided Costs'!$D$6,_xlfn._xlws.FILTER('2027 Avoided Costs'!$E$14:$E$47,('2027 Avoided Costs'!$B$14:$B$47&gt;=$B141+1)*('2027 Avoided Costs'!$B$14:$B$47&lt;$B141+ROUND($O141,0)))))+_xlfn.XLOOKUP($B141,'2027 Avoided Costs'!$B$13:$B$47,'2027 Avoided Costs'!$E$13:$E$47))*IF($AE141&gt;0,$AE141*(1+0),0),0)</f>
        <v>1083303.6948353997</v>
      </c>
      <c r="BK141" s="293">
        <f t="shared" si="81"/>
        <v>1.6868485223595873</v>
      </c>
    </row>
    <row r="142" spans="1:63" s="56" customFormat="1" x14ac:dyDescent="0.25">
      <c r="A142" s="270" t="s">
        <v>133</v>
      </c>
      <c r="B142" s="271">
        <v>2030</v>
      </c>
      <c r="C142" s="272" t="s">
        <v>13</v>
      </c>
      <c r="D142" s="272" t="s">
        <v>165</v>
      </c>
      <c r="E142" s="272" t="s">
        <v>89</v>
      </c>
      <c r="F142" s="273">
        <v>38</v>
      </c>
      <c r="G142" s="274">
        <v>500.4375</v>
      </c>
      <c r="H142" s="275">
        <f t="shared" si="61"/>
        <v>0.69027845627747919</v>
      </c>
      <c r="I142" s="274">
        <v>0</v>
      </c>
      <c r="J142" s="276" t="s">
        <v>263</v>
      </c>
      <c r="K142" s="277">
        <f t="shared" si="57"/>
        <v>0.8</v>
      </c>
      <c r="L142" s="278">
        <v>0.2</v>
      </c>
      <c r="M142" s="278">
        <v>0</v>
      </c>
      <c r="N142" s="278">
        <v>1</v>
      </c>
      <c r="O142" s="279">
        <v>12</v>
      </c>
      <c r="P142" s="280">
        <v>724.97916666666674</v>
      </c>
      <c r="Q142" s="281">
        <v>866.75</v>
      </c>
      <c r="R142" s="282">
        <v>9.8944063926939732E-2</v>
      </c>
      <c r="S142" s="282">
        <v>9.8944063926940953E-2</v>
      </c>
      <c r="T142" s="281">
        <v>0</v>
      </c>
      <c r="U142" s="283">
        <v>0.24</v>
      </c>
      <c r="V142" s="284">
        <v>1000.875</v>
      </c>
      <c r="W142" s="285">
        <v>0.15</v>
      </c>
      <c r="X142" s="286" t="s">
        <v>255</v>
      </c>
      <c r="Y142" s="287">
        <f t="shared" si="62"/>
        <v>38</v>
      </c>
      <c r="Z142" s="288">
        <f t="shared" si="63"/>
        <v>19016.625</v>
      </c>
      <c r="AA142" s="288">
        <f t="shared" si="64"/>
        <v>0</v>
      </c>
      <c r="AB142" s="288">
        <f t="shared" si="65"/>
        <v>20180.594582999998</v>
      </c>
      <c r="AC142" s="288">
        <f t="shared" si="82"/>
        <v>0</v>
      </c>
      <c r="AD142" s="287">
        <f t="shared" si="66"/>
        <v>27549.208333333336</v>
      </c>
      <c r="AE142" s="287">
        <f t="shared" si="67"/>
        <v>22039.366666666669</v>
      </c>
      <c r="AF142" s="287">
        <f t="shared" si="68"/>
        <v>330590.5</v>
      </c>
      <c r="AG142" s="287">
        <f t="shared" si="69"/>
        <v>264472.40000000002</v>
      </c>
      <c r="AH142" s="287">
        <f t="shared" si="70"/>
        <v>35307.928</v>
      </c>
      <c r="AI142" s="287">
        <f t="shared" si="71"/>
        <v>28246.342400000005</v>
      </c>
      <c r="AJ142" s="287">
        <f t="shared" si="72"/>
        <v>0</v>
      </c>
      <c r="AK142" s="287">
        <f t="shared" si="73"/>
        <v>0</v>
      </c>
      <c r="AL142" s="287">
        <f t="shared" si="74"/>
        <v>4.0305853881278173</v>
      </c>
      <c r="AM142" s="287">
        <f t="shared" si="75"/>
        <v>3.224468310502254</v>
      </c>
      <c r="AN142" s="287">
        <f t="shared" si="76"/>
        <v>4.030585388127867</v>
      </c>
      <c r="AO142" s="287">
        <f t="shared" si="77"/>
        <v>3.2244683105022935</v>
      </c>
      <c r="AP142" s="287">
        <f t="shared" si="78"/>
        <v>38033.25</v>
      </c>
      <c r="AQ142" s="287">
        <f t="shared" si="79"/>
        <v>30426.600000000002</v>
      </c>
      <c r="AR142" s="287">
        <f t="shared" si="80"/>
        <v>5289.4480000000003</v>
      </c>
      <c r="AS142" s="289" t="e">
        <f>IF(J142='2027 Avoided Costs'!#REF!,3,5)</f>
        <v>#REF!</v>
      </c>
      <c r="AT142" s="290" cm="1">
        <f t="array" ref="AT142">IFERROR(IF($J142="Baseload",IF($O142=1,0,NPV('2027 Avoided Costs'!$D$6,_xlfn._xlws.FILTER('2027 Avoided Costs'!$C$14:$C$47,('2027 Avoided Costs'!$B$14:$B$47&gt;=$B142+1)*('2027 Avoided Costs'!$B$14:$B$47&lt;$B142+ROUND($O142,0)))))+_xlfn.XLOOKUP($B142,'2027 Avoided Costs'!$B$13:$B$47,'2027 Avoided Costs'!$C$13:$C$47),IF($O142=1,0,NPV('2027 Avoided Costs'!$D$6,_xlfn._xlws.FILTER('2027 Avoided Costs'!$E$14:$E$47,('2027 Avoided Costs'!$B$14:$B$47&gt;=$B142+1)*('2027 Avoided Costs'!$B$14:$B$47&lt;$B142+ROUND($O142,0)))))+_xlfn.XLOOKUP($B142,'2027 Avoided Costs'!$B$13:$B$47,'2027 Avoided Costs'!$E$13:$E$47))*IF($AE142&gt;0,$AE142*(1+$W142),0),0)</f>
        <v>72025.666358028437</v>
      </c>
      <c r="AU142" s="290" cm="1">
        <f t="array" ref="AU142">IFERROR((IF($O142=1,0,NPV('2027 Avoided Costs'!$D$6,_xlfn._xlws.FILTER('2027 Avoided Costs'!$M$14:$M$47,('2027 Avoided Costs'!$B$14:$B$47&gt;=$B142+1)*('2027 Avoided Costs'!$B$14:$B$47&lt;$B142+ROUND($O142,0)))))+_xlfn.XLOOKUP($B142,'2027 Avoided Costs'!$B$13:$B$47,'2027 Avoided Costs'!$M$13:$M$47))*IF($AK142&gt;0,$AK142*(1+$W142),0),0)</f>
        <v>0</v>
      </c>
      <c r="AV142" s="291" cm="1">
        <f t="array" ref="AV142">IFERROR((IF($O142=1,0,NPV('2027 Avoided Costs'!$D$6,_xlfn._xlws.FILTER('2027 Avoided Costs'!$Q$14:$Q$47,('2027 Avoided Costs'!$B$14:$B$47&gt;=$B142+1)*('2027 Avoided Costs'!$B$14:$B$47&lt;$B142+ROUND($O142,0)))))+_xlfn.XLOOKUP($B142,'2027 Avoided Costs'!$B$13:$B$47,'2027 Avoided Costs'!$Q$13:$Q$47))*IF($AI142&gt;0,$AI142*(1+$W142),0),0)</f>
        <v>14877.991298271558</v>
      </c>
      <c r="AW142" s="291" cm="1">
        <f t="array" ref="AW142">IFERROR((IF($O142=1,0,NPV('2027 Avoided Costs'!$D$6,_xlfn._xlws.FILTER('2027 Avoided Costs'!$W$14:$W$47,('2027 Avoided Costs'!$B$14:$B$47&gt;=$B142+1)*('2027 Avoided Costs'!$B$14:$B$47&lt;$B142+ROUND($O142,0)))))+_xlfn.XLOOKUP($B142,'2027 Avoided Costs'!$B$13:$B$47,'2027 Avoided Costs'!$W$13:$W$47))*IF($AM142&gt;0,$AM142*(1+$W142),0),0)</f>
        <v>11934.408207173446</v>
      </c>
      <c r="AX142" s="291" cm="1">
        <f t="array" ref="AX142">IFERROR((IF($O142=1,0,NPV('2027 Avoided Costs'!$D$6,_xlfn._xlws.FILTER('2027 Avoided Costs'!$AC$14:$AC$47,('2027 Avoided Costs'!$B$14:$B$47&gt;=$B142+1)*('2027 Avoided Costs'!$B$14:$B$47&lt;$B142+ROUND($O142,0)))))+_xlfn.XLOOKUP($B142,'2027 Avoided Costs'!$B$13:$B$47,'2027 Avoided Costs'!$AC$13:$AC$47))*IF($AO142&gt;0,$AO142*(1+$W142),0),0)</f>
        <v>939.84192682250227</v>
      </c>
      <c r="AY142" s="291" cm="1">
        <f t="array" ref="AY142">IFERROR((IF($O142=1,0,NPV('2027 Avoided Costs'!$D$4,_xlfn._xlws.FILTER('2027 Avoided Costs'!$I$14:$I$47,('2027 Avoided Costs'!$B$14:$B$47&gt;=$B142+1)*('2027 Avoided Costs'!$B$14:$B$47&lt;$B142+ROUND($O142,0)))))+_xlfn.XLOOKUP($B142,'2027 Avoided Costs'!$B$13:$B$47,'2027 Avoided Costs'!$I$13:$I$47))*IF($X142="Residential",'2027 Avoided Costs'!$J$5,IF($X142="Large Volume",'2027 Avoided Costs'!$J$7,'2027 Avoided Costs'!$J$6))*IF($AE142&gt;0,$AE142,0),0)</f>
        <v>0</v>
      </c>
      <c r="AZ142" s="291" cm="1">
        <f t="array" ref="AZ142">IFERROR(IF($J142="Baseload",IF($O142=1,0,NPV('2027 Avoided Costs'!$D$6,_xlfn._xlws.FILTER('2027 Avoided Costs'!$C$14:$C$47,('2027 Avoided Costs'!$B$14:$B$47&gt;=$B142+1)*('2027 Avoided Costs'!$B$14:$B$47&lt;$B142+ROUND($O142,0)))))+_xlfn.XLOOKUP($B142,'2027 Avoided Costs'!$B$13:$B$47,'2027 Avoided Costs'!$C$13:$C$47),IF($O142=1,0,NPV('2027 Avoided Costs'!$D$6,_xlfn._xlws.FILTER('2027 Avoided Costs'!$E$14:$E$47,('2027 Avoided Costs'!$B$14:$B$47&gt;=$B142+1)*('2027 Avoided Costs'!$B$14:$B$47&lt;$B142+ROUND($O142,0)))))+_xlfn.XLOOKUP($B142,'2027 Avoided Costs'!$B$13:$B$47,'2027 Avoided Costs'!$E$13:$E$47))*IF($AE142&lt;0,$AE142*(-1),0),0)</f>
        <v>0</v>
      </c>
      <c r="BA142" s="291" cm="1">
        <f t="array" ref="BA142">IFERROR((IF($O142=1,0,NPV('2027 Avoided Costs'!$D$6,_xlfn._xlws.FILTER('2027 Avoided Costs'!$M$14:$M$47,('2027 Avoided Costs'!$B$14:$B$47&gt;=$B142+1)*('2027 Avoided Costs'!$B$14:$B$47&lt;$B142+ROUND($O142,0)))))+_xlfn.XLOOKUP($B142,'2027 Avoided Costs'!$B$13:$B$47,'2027 Avoided Costs'!$M$13:$M$47))*IF($AK142&lt;0,$AK142*(-1),0),0)</f>
        <v>0</v>
      </c>
      <c r="BB142" s="291" cm="1">
        <f t="array" ref="BB142">IFERROR((IF($O142=1,0,NPV('2027 Avoided Costs'!$D$6,_xlfn._xlws.FILTER('2027 Avoided Costs'!$S$14:$S$47,('2027 Avoided Costs'!$B$14:$B$47&gt;=$B142+1)*('2027 Avoided Costs'!$B$14:$B$47&lt;$B142+ROUND($O142,0)))))+_xlfn.XLOOKUP($B142,'2027 Avoided Costs'!$B$13:$B$47,'2027 Avoided Costs'!$S$13:$S$47))*IF($AI142&lt;0,$AI142*(-1),0),0)</f>
        <v>0</v>
      </c>
      <c r="BC142" s="291" cm="1">
        <f t="array" ref="BC142">IFERROR((IF($O142=1,0,NPV('2027 Avoided Costs'!$D$6,_xlfn._xlws.FILTER('2027 Avoided Costs'!$Y$14:$Y$47,('2027 Avoided Costs'!$B$14:$B$47&gt;=$B142+1)*('2027 Avoided Costs'!$B$14:$B$47&lt;$B142+ROUND($O142,0)))))+_xlfn.XLOOKUP($B142,'2027 Avoided Costs'!$B$13:$B$47,'2027 Avoided Costs'!$Y$13:$Y$47))*IF($AM142&lt;0,$AM142*(-1),0),0)</f>
        <v>0</v>
      </c>
      <c r="BD142" s="291" cm="1">
        <f t="array" ref="BD142">IFERROR((IF($O142=1,0,NPV('2027 Avoided Costs'!$D$6,_xlfn._xlws.FILTER('2027 Avoided Costs'!$AE$14:$AE$47,('2027 Avoided Costs'!$B$14:$B$47&gt;=$B142+1)*('2027 Avoided Costs'!$B$14:$B$47&lt;$B142+ROUND($O142,0)))))+_xlfn.XLOOKUP($B142,'2027 Avoided Costs'!$B$13:$B$47,'2027 Avoided Costs'!$AE$13:$AE$47))*IF($AO142&lt;0,$AO142*(-1),0),0)</f>
        <v>0</v>
      </c>
      <c r="BE142" s="291" cm="1">
        <f t="array" ref="BE142">IFERROR((IF($O142=1,0,NPV('2027 Avoided Costs'!$D$4,_xlfn._xlws.FILTER('2027 Avoided Costs'!$I$14:$I$47,('2027 Avoided Costs'!$B$14:$B$47&gt;=$B142+1)*('2027 Avoided Costs'!$B$14:$B$47&lt;$B142+ROUND($O142,0)))))+_xlfn.XLOOKUP($B142,'2027 Avoided Costs'!$B$13:$B$47,'2027 Avoided Costs'!$I$13:$I$47))*IF($X142="Residential",'2027 Avoided Costs'!$J$5,IF($X142="Large Volume",'2027 Avoided Costs'!$J$7,'2027 Avoided Costs'!$J$6))*IF($AE142&lt;0,$AE142*(-1),0),0)</f>
        <v>0</v>
      </c>
      <c r="BF142" s="291">
        <f t="shared" si="58"/>
        <v>99777.90779029594</v>
      </c>
      <c r="BG142" s="291">
        <f t="shared" si="59"/>
        <v>30426.600000000002</v>
      </c>
      <c r="BH142" s="291">
        <f t="shared" si="60"/>
        <v>69351.307790295934</v>
      </c>
      <c r="BI142" s="292">
        <f t="shared" si="83"/>
        <v>3.2792986331136551</v>
      </c>
      <c r="BJ142" s="196" cm="1">
        <f t="array" ref="BJ142">IFERROR(IF($J142="Baseload",IF($O142=1,0,NPV('2027 Avoided Costs'!$D$6,_xlfn._xlws.FILTER('2027 Avoided Costs'!$C$14:$C$47,('2027 Avoided Costs'!$B$14:$B$47&gt;=$B142+1)*('2027 Avoided Costs'!$B$14:$B$47&lt;$B142+ROUND($O142,0)))))+_xlfn.XLOOKUP($B142,'2027 Avoided Costs'!$B$13:$B$47,'2027 Avoided Costs'!$C$13:$C$47),IF($O142=1,0,NPV('2027 Avoided Costs'!$D$6,_xlfn._xlws.FILTER('2027 Avoided Costs'!$E$14:$E$47,('2027 Avoided Costs'!$B$14:$B$47&gt;=$B142+1)*('2027 Avoided Costs'!$B$14:$B$47&lt;$B142+ROUND($O142,0)))))+_xlfn.XLOOKUP($B142,'2027 Avoided Costs'!$B$13:$B$47,'2027 Avoided Costs'!$E$13:$E$47))*IF($AE142&gt;0,$AE142*(1+0),0),0)</f>
        <v>62631.014224372564</v>
      </c>
      <c r="BK142" s="293">
        <f t="shared" si="81"/>
        <v>3.1035267056567561</v>
      </c>
    </row>
    <row r="143" spans="1:63" s="56" customFormat="1" x14ac:dyDescent="0.25">
      <c r="A143" s="270" t="s">
        <v>133</v>
      </c>
      <c r="B143" s="271">
        <v>2030</v>
      </c>
      <c r="C143" s="272" t="s">
        <v>13</v>
      </c>
      <c r="D143" s="272" t="s">
        <v>165</v>
      </c>
      <c r="E143" s="272" t="s">
        <v>90</v>
      </c>
      <c r="F143" s="273">
        <v>381</v>
      </c>
      <c r="G143" s="274">
        <v>1173.5426829268292</v>
      </c>
      <c r="H143" s="275">
        <f t="shared" si="61"/>
        <v>0.77065781465227279</v>
      </c>
      <c r="I143" s="274">
        <v>0</v>
      </c>
      <c r="J143" s="276" t="s">
        <v>263</v>
      </c>
      <c r="K143" s="277">
        <f t="shared" si="57"/>
        <v>0.8</v>
      </c>
      <c r="L143" s="278">
        <v>0.2</v>
      </c>
      <c r="M143" s="278">
        <v>0</v>
      </c>
      <c r="N143" s="278">
        <v>1</v>
      </c>
      <c r="O143" s="279">
        <v>15</v>
      </c>
      <c r="P143" s="280">
        <v>1522.780487804878</v>
      </c>
      <c r="Q143" s="281">
        <v>6919.8841463414637</v>
      </c>
      <c r="R143" s="282">
        <v>0.78994111259605027</v>
      </c>
      <c r="S143" s="282">
        <v>0.78994111259606004</v>
      </c>
      <c r="T143" s="281">
        <v>263.51141883531534</v>
      </c>
      <c r="U143" s="283">
        <v>0.24</v>
      </c>
      <c r="V143" s="284">
        <v>2347.0853658536585</v>
      </c>
      <c r="W143" s="285">
        <v>0.15</v>
      </c>
      <c r="X143" s="286" t="s">
        <v>255</v>
      </c>
      <c r="Y143" s="287">
        <f t="shared" si="62"/>
        <v>381</v>
      </c>
      <c r="Z143" s="288">
        <f t="shared" si="63"/>
        <v>447119.76219512196</v>
      </c>
      <c r="AA143" s="288">
        <f t="shared" si="64"/>
        <v>0</v>
      </c>
      <c r="AB143" s="288">
        <f t="shared" si="65"/>
        <v>474487.06859956094</v>
      </c>
      <c r="AC143" s="288">
        <f t="shared" si="82"/>
        <v>0</v>
      </c>
      <c r="AD143" s="287">
        <f t="shared" si="66"/>
        <v>580179.36585365853</v>
      </c>
      <c r="AE143" s="287">
        <f t="shared" si="67"/>
        <v>464143.49268292682</v>
      </c>
      <c r="AF143" s="287">
        <f t="shared" si="68"/>
        <v>8702690.4878048785</v>
      </c>
      <c r="AG143" s="287">
        <f t="shared" si="69"/>
        <v>6962152.3902439028</v>
      </c>
      <c r="AH143" s="287">
        <f t="shared" si="70"/>
        <v>2826302.1216585371</v>
      </c>
      <c r="AI143" s="287">
        <f t="shared" si="71"/>
        <v>2261041.6973268297</v>
      </c>
      <c r="AJ143" s="287">
        <f t="shared" si="72"/>
        <v>100397.85057625515</v>
      </c>
      <c r="AK143" s="287">
        <f t="shared" si="73"/>
        <v>80318.28046100412</v>
      </c>
      <c r="AL143" s="287">
        <f t="shared" si="74"/>
        <v>322.63722849982997</v>
      </c>
      <c r="AM143" s="287">
        <f t="shared" si="75"/>
        <v>258.10978279986404</v>
      </c>
      <c r="AN143" s="287">
        <f t="shared" si="76"/>
        <v>322.63722849983401</v>
      </c>
      <c r="AO143" s="287">
        <f t="shared" si="77"/>
        <v>258.10978279986722</v>
      </c>
      <c r="AP143" s="287">
        <f t="shared" si="78"/>
        <v>894239.52439024393</v>
      </c>
      <c r="AQ143" s="287">
        <f t="shared" si="79"/>
        <v>715391.61951219523</v>
      </c>
      <c r="AR143" s="287">
        <f t="shared" si="80"/>
        <v>111394.43824390243</v>
      </c>
      <c r="AS143" s="289" t="e">
        <f>IF(J143='2027 Avoided Costs'!#REF!,3,5)</f>
        <v>#REF!</v>
      </c>
      <c r="AT143" s="290" cm="1">
        <f t="array" ref="AT143">IFERROR(IF($J143="Baseload",IF($O143=1,0,NPV('2027 Avoided Costs'!$D$6,_xlfn._xlws.FILTER('2027 Avoided Costs'!$C$14:$C$47,('2027 Avoided Costs'!$B$14:$B$47&gt;=$B143+1)*('2027 Avoided Costs'!$B$14:$B$47&lt;$B143+ROUND($O143,0)))))+_xlfn.XLOOKUP($B143,'2027 Avoided Costs'!$B$13:$B$47,'2027 Avoided Costs'!$C$13:$C$47),IF($O143=1,0,NPV('2027 Avoided Costs'!$D$6,_xlfn._xlws.FILTER('2027 Avoided Costs'!$E$14:$E$47,('2027 Avoided Costs'!$B$14:$B$47&gt;=$B143+1)*('2027 Avoided Costs'!$B$14:$B$47&lt;$B143+ROUND($O143,0)))))+_xlfn.XLOOKUP($B143,'2027 Avoided Costs'!$B$13:$B$47,'2027 Avoided Costs'!$E$13:$E$47))*IF($AE143&gt;0,$AE143*(1+$W143),0),0)</f>
        <v>1820389.980364088</v>
      </c>
      <c r="AU143" s="290" cm="1">
        <f t="array" ref="AU143">IFERROR((IF($O143=1,0,NPV('2027 Avoided Costs'!$D$6,_xlfn._xlws.FILTER('2027 Avoided Costs'!$M$14:$M$47,('2027 Avoided Costs'!$B$14:$B$47&gt;=$B143+1)*('2027 Avoided Costs'!$B$14:$B$47&lt;$B143+ROUND($O143,0)))))+_xlfn.XLOOKUP($B143,'2027 Avoided Costs'!$B$13:$B$47,'2027 Avoided Costs'!$M$13:$M$47))*IF($AK143&gt;0,$AK143*(1+$W143),0),0)</f>
        <v>1221961.0353443995</v>
      </c>
      <c r="AV143" s="291" cm="1">
        <f t="array" ref="AV143">IFERROR((IF($O143=1,0,NPV('2027 Avoided Costs'!$D$6,_xlfn._xlws.FILTER('2027 Avoided Costs'!$Q$14:$Q$47,('2027 Avoided Costs'!$B$14:$B$47&gt;=$B143+1)*('2027 Avoided Costs'!$B$14:$B$47&lt;$B143+ROUND($O143,0)))))+_xlfn.XLOOKUP($B143,'2027 Avoided Costs'!$B$13:$B$47,'2027 Avoided Costs'!$Q$13:$Q$47))*IF($AI143&gt;0,$AI143*(1+$W143),0),0)</f>
        <v>1448981.388556856</v>
      </c>
      <c r="AW143" s="291" cm="1">
        <f t="array" ref="AW143">IFERROR((IF($O143=1,0,NPV('2027 Avoided Costs'!$D$6,_xlfn._xlws.FILTER('2027 Avoided Costs'!$W$14:$W$47,('2027 Avoided Costs'!$B$14:$B$47&gt;=$B143+1)*('2027 Avoided Costs'!$B$14:$B$47&lt;$B143+ROUND($O143,0)))))+_xlfn.XLOOKUP($B143,'2027 Avoided Costs'!$B$13:$B$47,'2027 Avoided Costs'!$W$13:$W$47))*IF($AM143&gt;0,$AM143*(1+$W143),0),0)</f>
        <v>1025594.1541923082</v>
      </c>
      <c r="AX143" s="291" cm="1">
        <f t="array" ref="AX143">IFERROR((IF($O143=1,0,NPV('2027 Avoided Costs'!$D$6,_xlfn._xlws.FILTER('2027 Avoided Costs'!$AC$14:$AC$47,('2027 Avoided Costs'!$B$14:$B$47&gt;=$B143+1)*('2027 Avoided Costs'!$B$14:$B$47&lt;$B143+ROUND($O143,0)))))+_xlfn.XLOOKUP($B143,'2027 Avoided Costs'!$B$13:$B$47,'2027 Avoided Costs'!$AC$13:$AC$47))*IF($AO143&gt;0,$AO143*(1+$W143),0),0)</f>
        <v>216910.07455085721</v>
      </c>
      <c r="AY143" s="291" cm="1">
        <f t="array" ref="AY143">IFERROR((IF($O143=1,0,NPV('2027 Avoided Costs'!$D$4,_xlfn._xlws.FILTER('2027 Avoided Costs'!$I$14:$I$47,('2027 Avoided Costs'!$B$14:$B$47&gt;=$B143+1)*('2027 Avoided Costs'!$B$14:$B$47&lt;$B143+ROUND($O143,0)))))+_xlfn.XLOOKUP($B143,'2027 Avoided Costs'!$B$13:$B$47,'2027 Avoided Costs'!$I$13:$I$47))*IF($X143="Residential",'2027 Avoided Costs'!$J$5,IF($X143="Large Volume",'2027 Avoided Costs'!$J$7,'2027 Avoided Costs'!$J$6))*IF($AE143&gt;0,$AE143,0),0)</f>
        <v>0</v>
      </c>
      <c r="AZ143" s="291" cm="1">
        <f t="array" ref="AZ143">IFERROR(IF($J143="Baseload",IF($O143=1,0,NPV('2027 Avoided Costs'!$D$6,_xlfn._xlws.FILTER('2027 Avoided Costs'!$C$14:$C$47,('2027 Avoided Costs'!$B$14:$B$47&gt;=$B143+1)*('2027 Avoided Costs'!$B$14:$B$47&lt;$B143+ROUND($O143,0)))))+_xlfn.XLOOKUP($B143,'2027 Avoided Costs'!$B$13:$B$47,'2027 Avoided Costs'!$C$13:$C$47),IF($O143=1,0,NPV('2027 Avoided Costs'!$D$6,_xlfn._xlws.FILTER('2027 Avoided Costs'!$E$14:$E$47,('2027 Avoided Costs'!$B$14:$B$47&gt;=$B143+1)*('2027 Avoided Costs'!$B$14:$B$47&lt;$B143+ROUND($O143,0)))))+_xlfn.XLOOKUP($B143,'2027 Avoided Costs'!$B$13:$B$47,'2027 Avoided Costs'!$E$13:$E$47))*IF($AE143&lt;0,$AE143*(-1),0),0)</f>
        <v>0</v>
      </c>
      <c r="BA143" s="291" cm="1">
        <f t="array" ref="BA143">IFERROR((IF($O143=1,0,NPV('2027 Avoided Costs'!$D$6,_xlfn._xlws.FILTER('2027 Avoided Costs'!$M$14:$M$47,('2027 Avoided Costs'!$B$14:$B$47&gt;=$B143+1)*('2027 Avoided Costs'!$B$14:$B$47&lt;$B143+ROUND($O143,0)))))+_xlfn.XLOOKUP($B143,'2027 Avoided Costs'!$B$13:$B$47,'2027 Avoided Costs'!$M$13:$M$47))*IF($AK143&lt;0,$AK143*(-1),0),0)</f>
        <v>0</v>
      </c>
      <c r="BB143" s="291" cm="1">
        <f t="array" ref="BB143">IFERROR((IF($O143=1,0,NPV('2027 Avoided Costs'!$D$6,_xlfn._xlws.FILTER('2027 Avoided Costs'!$S$14:$S$47,('2027 Avoided Costs'!$B$14:$B$47&gt;=$B143+1)*('2027 Avoided Costs'!$B$14:$B$47&lt;$B143+ROUND($O143,0)))))+_xlfn.XLOOKUP($B143,'2027 Avoided Costs'!$B$13:$B$47,'2027 Avoided Costs'!$S$13:$S$47))*IF($AI143&lt;0,$AI143*(-1),0),0)</f>
        <v>0</v>
      </c>
      <c r="BC143" s="291" cm="1">
        <f t="array" ref="BC143">IFERROR((IF($O143=1,0,NPV('2027 Avoided Costs'!$D$6,_xlfn._xlws.FILTER('2027 Avoided Costs'!$Y$14:$Y$47,('2027 Avoided Costs'!$B$14:$B$47&gt;=$B143+1)*('2027 Avoided Costs'!$B$14:$B$47&lt;$B143+ROUND($O143,0)))))+_xlfn.XLOOKUP($B143,'2027 Avoided Costs'!$B$13:$B$47,'2027 Avoided Costs'!$Y$13:$Y$47))*IF($AM143&lt;0,$AM143*(-1),0),0)</f>
        <v>0</v>
      </c>
      <c r="BD143" s="291" cm="1">
        <f t="array" ref="BD143">IFERROR((IF($O143=1,0,NPV('2027 Avoided Costs'!$D$6,_xlfn._xlws.FILTER('2027 Avoided Costs'!$AE$14:$AE$47,('2027 Avoided Costs'!$B$14:$B$47&gt;=$B143+1)*('2027 Avoided Costs'!$B$14:$B$47&lt;$B143+ROUND($O143,0)))))+_xlfn.XLOOKUP($B143,'2027 Avoided Costs'!$B$13:$B$47,'2027 Avoided Costs'!$AE$13:$AE$47))*IF($AO143&lt;0,$AO143*(-1),0),0)</f>
        <v>0</v>
      </c>
      <c r="BE143" s="291" cm="1">
        <f t="array" ref="BE143">IFERROR((IF($O143=1,0,NPV('2027 Avoided Costs'!$D$4,_xlfn._xlws.FILTER('2027 Avoided Costs'!$I$14:$I$47,('2027 Avoided Costs'!$B$14:$B$47&gt;=$B143+1)*('2027 Avoided Costs'!$B$14:$B$47&lt;$B143+ROUND($O143,0)))))+_xlfn.XLOOKUP($B143,'2027 Avoided Costs'!$B$13:$B$47,'2027 Avoided Costs'!$I$13:$I$47))*IF($X143="Residential",'2027 Avoided Costs'!$J$5,IF($X143="Large Volume",'2027 Avoided Costs'!$J$7,'2027 Avoided Costs'!$J$6))*IF($AE143&lt;0,$AE143*(-1),0),0)</f>
        <v>0</v>
      </c>
      <c r="BF143" s="291">
        <f t="shared" si="58"/>
        <v>5733836.633008508</v>
      </c>
      <c r="BG143" s="291">
        <f t="shared" si="59"/>
        <v>715391.61951219523</v>
      </c>
      <c r="BH143" s="291">
        <f t="shared" si="60"/>
        <v>5018445.0134963132</v>
      </c>
      <c r="BI143" s="292">
        <f t="shared" si="83"/>
        <v>8.0149619825267795</v>
      </c>
      <c r="BJ143" s="196" cm="1">
        <f t="array" ref="BJ143">IFERROR(IF($J143="Baseload",IF($O143=1,0,NPV('2027 Avoided Costs'!$D$6,_xlfn._xlws.FILTER('2027 Avoided Costs'!$C$14:$C$47,('2027 Avoided Costs'!$B$14:$B$47&gt;=$B143+1)*('2027 Avoided Costs'!$B$14:$B$47&lt;$B143+ROUND($O143,0)))))+_xlfn.XLOOKUP($B143,'2027 Avoided Costs'!$B$13:$B$47,'2027 Avoided Costs'!$C$13:$C$47),IF($O143=1,0,NPV('2027 Avoided Costs'!$D$6,_xlfn._xlws.FILTER('2027 Avoided Costs'!$E$14:$E$47,('2027 Avoided Costs'!$B$14:$B$47&gt;=$B143+1)*('2027 Avoided Costs'!$B$14:$B$47&lt;$B143+ROUND($O143,0)))))+_xlfn.XLOOKUP($B143,'2027 Avoided Costs'!$B$13:$B$47,'2027 Avoided Costs'!$E$13:$E$47))*IF($AE143&gt;0,$AE143*(1+0),0),0)</f>
        <v>1582947.8090122507</v>
      </c>
      <c r="BK143" s="293">
        <f t="shared" si="81"/>
        <v>3.3361242355545948</v>
      </c>
    </row>
    <row r="144" spans="1:63" s="56" customFormat="1" x14ac:dyDescent="0.25">
      <c r="A144" s="270" t="s">
        <v>133</v>
      </c>
      <c r="B144" s="271">
        <v>2027</v>
      </c>
      <c r="C144" s="272" t="s">
        <v>13</v>
      </c>
      <c r="D144" s="272" t="s">
        <v>166</v>
      </c>
      <c r="E144" s="272" t="s">
        <v>348</v>
      </c>
      <c r="F144" s="273">
        <v>61</v>
      </c>
      <c r="G144" s="274">
        <v>913.12506455749474</v>
      </c>
      <c r="H144" s="275">
        <f t="shared" si="61"/>
        <v>0.25</v>
      </c>
      <c r="I144" s="274">
        <v>0</v>
      </c>
      <c r="J144" s="276" t="s">
        <v>264</v>
      </c>
      <c r="K144" s="277">
        <f t="shared" si="57"/>
        <v>0.75</v>
      </c>
      <c r="L144" s="278">
        <v>0.28000000000000003</v>
      </c>
      <c r="M144" s="278">
        <v>0.03</v>
      </c>
      <c r="N144" s="278">
        <v>1</v>
      </c>
      <c r="O144" s="279">
        <v>5</v>
      </c>
      <c r="P144" s="280">
        <v>3652.500258229979</v>
      </c>
      <c r="Q144" s="281">
        <v>0</v>
      </c>
      <c r="R144" s="282">
        <v>0</v>
      </c>
      <c r="S144" s="282">
        <v>0</v>
      </c>
      <c r="T144" s="281">
        <v>0</v>
      </c>
      <c r="U144" s="283">
        <v>0.34722222222222221</v>
      </c>
      <c r="V144" s="284">
        <v>913.12506455749474</v>
      </c>
      <c r="W144" s="285">
        <v>0.15</v>
      </c>
      <c r="X144" s="286" t="s">
        <v>255</v>
      </c>
      <c r="Y144" s="287">
        <f t="shared" si="62"/>
        <v>61</v>
      </c>
      <c r="Z144" s="288">
        <f t="shared" si="63"/>
        <v>55700.628938007176</v>
      </c>
      <c r="AA144" s="288">
        <f t="shared" si="64"/>
        <v>0</v>
      </c>
      <c r="AB144" s="288">
        <f t="shared" si="65"/>
        <v>55700.628938007176</v>
      </c>
      <c r="AC144" s="288">
        <f t="shared" si="82"/>
        <v>0</v>
      </c>
      <c r="AD144" s="287">
        <f t="shared" si="66"/>
        <v>222802.5157520287</v>
      </c>
      <c r="AE144" s="287">
        <f t="shared" si="67"/>
        <v>167101.88681402153</v>
      </c>
      <c r="AF144" s="287">
        <f t="shared" si="68"/>
        <v>1114012.5787601436</v>
      </c>
      <c r="AG144" s="287">
        <f t="shared" si="69"/>
        <v>835509.43407010764</v>
      </c>
      <c r="AH144" s="287">
        <f t="shared" si="70"/>
        <v>0</v>
      </c>
      <c r="AI144" s="287">
        <f t="shared" si="71"/>
        <v>0</v>
      </c>
      <c r="AJ144" s="287">
        <f t="shared" si="72"/>
        <v>0</v>
      </c>
      <c r="AK144" s="287">
        <f t="shared" si="73"/>
        <v>0</v>
      </c>
      <c r="AL144" s="287">
        <f t="shared" si="74"/>
        <v>0</v>
      </c>
      <c r="AM144" s="287">
        <f t="shared" si="75"/>
        <v>0</v>
      </c>
      <c r="AN144" s="287">
        <f t="shared" si="76"/>
        <v>0</v>
      </c>
      <c r="AO144" s="287">
        <f t="shared" si="77"/>
        <v>0</v>
      </c>
      <c r="AP144" s="287">
        <f t="shared" si="78"/>
        <v>55700.628938007176</v>
      </c>
      <c r="AQ144" s="287">
        <f t="shared" si="79"/>
        <v>41775.471703505384</v>
      </c>
      <c r="AR144" s="287">
        <f t="shared" si="80"/>
        <v>58021.48847709081</v>
      </c>
      <c r="AS144" s="289" t="e">
        <f>IF(J144='2027 Avoided Costs'!#REF!,3,5)</f>
        <v>#REF!</v>
      </c>
      <c r="AT144" s="290" cm="1">
        <f t="array" ref="AT144">IFERROR(IF($J144="Baseload",IF($O144=1,0,NPV('2027 Avoided Costs'!$D$6,_xlfn._xlws.FILTER('2027 Avoided Costs'!$C$14:$C$47,('2027 Avoided Costs'!$B$14:$B$47&gt;=$B144+1)*('2027 Avoided Costs'!$B$14:$B$47&lt;$B144+ROUND($O144,0)))))+_xlfn.XLOOKUP($B144,'2027 Avoided Costs'!$B$13:$B$47,'2027 Avoided Costs'!$C$13:$C$47),IF($O144=1,0,NPV('2027 Avoided Costs'!$D$6,_xlfn._xlws.FILTER('2027 Avoided Costs'!$E$14:$E$47,('2027 Avoided Costs'!$B$14:$B$47&gt;=$B144+1)*('2027 Avoided Costs'!$B$14:$B$47&lt;$B144+ROUND($O144,0)))))+_xlfn.XLOOKUP($B144,'2027 Avoided Costs'!$B$13:$B$47,'2027 Avoided Costs'!$E$13:$E$47))*IF($AE144&gt;0,$AE144*(1+$W144),0),0)</f>
        <v>248737.45314397974</v>
      </c>
      <c r="AU144" s="290" cm="1">
        <f t="array" ref="AU144">IFERROR((IF($O144=1,0,NPV('2027 Avoided Costs'!$D$6,_xlfn._xlws.FILTER('2027 Avoided Costs'!$M$14:$M$47,('2027 Avoided Costs'!$B$14:$B$47&gt;=$B144+1)*('2027 Avoided Costs'!$B$14:$B$47&lt;$B144+ROUND($O144,0)))))+_xlfn.XLOOKUP($B144,'2027 Avoided Costs'!$B$13:$B$47,'2027 Avoided Costs'!$M$13:$M$47))*IF($AK144&gt;0,$AK144*(1+$W144),0),0)</f>
        <v>0</v>
      </c>
      <c r="AV144" s="291" cm="1">
        <f t="array" ref="AV144">IFERROR((IF($O144=1,0,NPV('2027 Avoided Costs'!$D$6,_xlfn._xlws.FILTER('2027 Avoided Costs'!$Q$14:$Q$47,('2027 Avoided Costs'!$B$14:$B$47&gt;=$B144+1)*('2027 Avoided Costs'!$B$14:$B$47&lt;$B144+ROUND($O144,0)))))+_xlfn.XLOOKUP($B144,'2027 Avoided Costs'!$B$13:$B$47,'2027 Avoided Costs'!$Q$13:$Q$47))*IF($AI144&gt;0,$AI144*(1+$W144),0),0)</f>
        <v>0</v>
      </c>
      <c r="AW144" s="291" cm="1">
        <f t="array" ref="AW144">IFERROR((IF($O144=1,0,NPV('2027 Avoided Costs'!$D$6,_xlfn._xlws.FILTER('2027 Avoided Costs'!$W$14:$W$47,('2027 Avoided Costs'!$B$14:$B$47&gt;=$B144+1)*('2027 Avoided Costs'!$B$14:$B$47&lt;$B144+ROUND($O144,0)))))+_xlfn.XLOOKUP($B144,'2027 Avoided Costs'!$B$13:$B$47,'2027 Avoided Costs'!$W$13:$W$47))*IF($AM144&gt;0,$AM144*(1+$W144),0),0)</f>
        <v>0</v>
      </c>
      <c r="AX144" s="291" cm="1">
        <f t="array" ref="AX144">IFERROR((IF($O144=1,0,NPV('2027 Avoided Costs'!$D$6,_xlfn._xlws.FILTER('2027 Avoided Costs'!$AC$14:$AC$47,('2027 Avoided Costs'!$B$14:$B$47&gt;=$B144+1)*('2027 Avoided Costs'!$B$14:$B$47&lt;$B144+ROUND($O144,0)))))+_xlfn.XLOOKUP($B144,'2027 Avoided Costs'!$B$13:$B$47,'2027 Avoided Costs'!$AC$13:$AC$47))*IF($AO144&gt;0,$AO144*(1+$W144),0),0)</f>
        <v>0</v>
      </c>
      <c r="AY144" s="291" cm="1">
        <f t="array" ref="AY144">IFERROR((IF($O144=1,0,NPV('2027 Avoided Costs'!$D$4,_xlfn._xlws.FILTER('2027 Avoided Costs'!$I$14:$I$47,('2027 Avoided Costs'!$B$14:$B$47&gt;=$B144+1)*('2027 Avoided Costs'!$B$14:$B$47&lt;$B144+ROUND($O144,0)))))+_xlfn.XLOOKUP($B144,'2027 Avoided Costs'!$B$13:$B$47,'2027 Avoided Costs'!$I$13:$I$47))*IF($X144="Residential",'2027 Avoided Costs'!$J$5,IF($X144="Large Volume",'2027 Avoided Costs'!$J$7,'2027 Avoided Costs'!$J$6))*IF($AE144&gt;0,$AE144,0),0)</f>
        <v>0</v>
      </c>
      <c r="AZ144" s="291" cm="1">
        <f t="array" ref="AZ144">IFERROR(IF($J144="Baseload",IF($O144=1,0,NPV('2027 Avoided Costs'!$D$6,_xlfn._xlws.FILTER('2027 Avoided Costs'!$C$14:$C$47,('2027 Avoided Costs'!$B$14:$B$47&gt;=$B144+1)*('2027 Avoided Costs'!$B$14:$B$47&lt;$B144+ROUND($O144,0)))))+_xlfn.XLOOKUP($B144,'2027 Avoided Costs'!$B$13:$B$47,'2027 Avoided Costs'!$C$13:$C$47),IF($O144=1,0,NPV('2027 Avoided Costs'!$D$6,_xlfn._xlws.FILTER('2027 Avoided Costs'!$E$14:$E$47,('2027 Avoided Costs'!$B$14:$B$47&gt;=$B144+1)*('2027 Avoided Costs'!$B$14:$B$47&lt;$B144+ROUND($O144,0)))))+_xlfn.XLOOKUP($B144,'2027 Avoided Costs'!$B$13:$B$47,'2027 Avoided Costs'!$E$13:$E$47))*IF($AE144&lt;0,$AE144*(-1),0),0)</f>
        <v>0</v>
      </c>
      <c r="BA144" s="291" cm="1">
        <f t="array" ref="BA144">IFERROR((IF($O144=1,0,NPV('2027 Avoided Costs'!$D$6,_xlfn._xlws.FILTER('2027 Avoided Costs'!$M$14:$M$47,('2027 Avoided Costs'!$B$14:$B$47&gt;=$B144+1)*('2027 Avoided Costs'!$B$14:$B$47&lt;$B144+ROUND($O144,0)))))+_xlfn.XLOOKUP($B144,'2027 Avoided Costs'!$B$13:$B$47,'2027 Avoided Costs'!$M$13:$M$47))*IF($AK144&lt;0,$AK144*(-1),0),0)</f>
        <v>0</v>
      </c>
      <c r="BB144" s="291" cm="1">
        <f t="array" ref="BB144">IFERROR((IF($O144=1,0,NPV('2027 Avoided Costs'!$D$6,_xlfn._xlws.FILTER('2027 Avoided Costs'!$S$14:$S$47,('2027 Avoided Costs'!$B$14:$B$47&gt;=$B144+1)*('2027 Avoided Costs'!$B$14:$B$47&lt;$B144+ROUND($O144,0)))))+_xlfn.XLOOKUP($B144,'2027 Avoided Costs'!$B$13:$B$47,'2027 Avoided Costs'!$S$13:$S$47))*IF($AI144&lt;0,$AI144*(-1),0),0)</f>
        <v>0</v>
      </c>
      <c r="BC144" s="291" cm="1">
        <f t="array" ref="BC144">IFERROR((IF($O144=1,0,NPV('2027 Avoided Costs'!$D$6,_xlfn._xlws.FILTER('2027 Avoided Costs'!$Y$14:$Y$47,('2027 Avoided Costs'!$B$14:$B$47&gt;=$B144+1)*('2027 Avoided Costs'!$B$14:$B$47&lt;$B144+ROUND($O144,0)))))+_xlfn.XLOOKUP($B144,'2027 Avoided Costs'!$B$13:$B$47,'2027 Avoided Costs'!$Y$13:$Y$47))*IF($AM144&lt;0,$AM144*(-1),0),0)</f>
        <v>0</v>
      </c>
      <c r="BD144" s="291" cm="1">
        <f t="array" ref="BD144">IFERROR((IF($O144=1,0,NPV('2027 Avoided Costs'!$D$6,_xlfn._xlws.FILTER('2027 Avoided Costs'!$AE$14:$AE$47,('2027 Avoided Costs'!$B$14:$B$47&gt;=$B144+1)*('2027 Avoided Costs'!$B$14:$B$47&lt;$B144+ROUND($O144,0)))))+_xlfn.XLOOKUP($B144,'2027 Avoided Costs'!$B$13:$B$47,'2027 Avoided Costs'!$AE$13:$AE$47))*IF($AO144&lt;0,$AO144*(-1),0),0)</f>
        <v>0</v>
      </c>
      <c r="BE144" s="291" cm="1">
        <f t="array" ref="BE144">IFERROR((IF($O144=1,0,NPV('2027 Avoided Costs'!$D$4,_xlfn._xlws.FILTER('2027 Avoided Costs'!$I$14:$I$47,('2027 Avoided Costs'!$B$14:$B$47&gt;=$B144+1)*('2027 Avoided Costs'!$B$14:$B$47&lt;$B144+ROUND($O144,0)))))+_xlfn.XLOOKUP($B144,'2027 Avoided Costs'!$B$13:$B$47,'2027 Avoided Costs'!$I$13:$I$47))*IF($X144="Residential",'2027 Avoided Costs'!$J$5,IF($X144="Large Volume",'2027 Avoided Costs'!$J$7,'2027 Avoided Costs'!$J$6))*IF($AE144&lt;0,$AE144*(-1),0),0)</f>
        <v>0</v>
      </c>
      <c r="BF144" s="291">
        <f t="shared" si="58"/>
        <v>248737.45314397974</v>
      </c>
      <c r="BG144" s="291">
        <f t="shared" si="59"/>
        <v>41775.471703505384</v>
      </c>
      <c r="BH144" s="291">
        <f t="shared" si="60"/>
        <v>206961.98144047437</v>
      </c>
      <c r="BI144" s="292">
        <f t="shared" si="83"/>
        <v>5.9541506774442512</v>
      </c>
      <c r="BJ144" s="196" cm="1">
        <f t="array" ref="BJ144">IFERROR(IF($J144="Baseload",IF($O144=1,0,NPV('2027 Avoided Costs'!$D$6,_xlfn._xlws.FILTER('2027 Avoided Costs'!$C$14:$C$47,('2027 Avoided Costs'!$B$14:$B$47&gt;=$B144+1)*('2027 Avoided Costs'!$B$14:$B$47&lt;$B144+ROUND($O144,0)))))+_xlfn.XLOOKUP($B144,'2027 Avoided Costs'!$B$13:$B$47,'2027 Avoided Costs'!$C$13:$C$47),IF($O144=1,0,NPV('2027 Avoided Costs'!$D$6,_xlfn._xlws.FILTER('2027 Avoided Costs'!$E$14:$E$47,('2027 Avoided Costs'!$B$14:$B$47&gt;=$B144+1)*('2027 Avoided Costs'!$B$14:$B$47&lt;$B144+ROUND($O144,0)))))+_xlfn.XLOOKUP($B144,'2027 Avoided Costs'!$B$13:$B$47,'2027 Avoided Costs'!$E$13:$E$47))*IF($AE144&gt;0,$AE144*(1+0),0),0)</f>
        <v>216293.43751650414</v>
      </c>
      <c r="BK144" s="293">
        <f t="shared" si="81"/>
        <v>3.883141746159295</v>
      </c>
    </row>
    <row r="145" spans="1:63" s="56" customFormat="1" x14ac:dyDescent="0.25">
      <c r="A145" s="270" t="s">
        <v>133</v>
      </c>
      <c r="B145" s="271">
        <v>2027</v>
      </c>
      <c r="C145" s="272" t="s">
        <v>13</v>
      </c>
      <c r="D145" s="272" t="s">
        <v>166</v>
      </c>
      <c r="E145" s="272" t="s">
        <v>349</v>
      </c>
      <c r="F145" s="273">
        <v>11</v>
      </c>
      <c r="G145" s="274">
        <v>893.59297761508833</v>
      </c>
      <c r="H145" s="275">
        <f t="shared" si="61"/>
        <v>0.25</v>
      </c>
      <c r="I145" s="274">
        <v>0</v>
      </c>
      <c r="J145" s="276" t="s">
        <v>263</v>
      </c>
      <c r="K145" s="277">
        <f t="shared" si="57"/>
        <v>0.75</v>
      </c>
      <c r="L145" s="278">
        <v>0.28000000000000003</v>
      </c>
      <c r="M145" s="278">
        <v>0.03</v>
      </c>
      <c r="N145" s="278">
        <v>1</v>
      </c>
      <c r="O145" s="279">
        <v>5</v>
      </c>
      <c r="P145" s="280">
        <v>3574.3719104603533</v>
      </c>
      <c r="Q145" s="281">
        <v>0</v>
      </c>
      <c r="R145" s="282">
        <v>0</v>
      </c>
      <c r="S145" s="282">
        <v>0</v>
      </c>
      <c r="T145" s="281">
        <v>0</v>
      </c>
      <c r="U145" s="283">
        <v>0.34722222222222221</v>
      </c>
      <c r="V145" s="284">
        <v>893.59297761508833</v>
      </c>
      <c r="W145" s="285">
        <v>0.15</v>
      </c>
      <c r="X145" s="286" t="s">
        <v>255</v>
      </c>
      <c r="Y145" s="287">
        <f t="shared" si="62"/>
        <v>11</v>
      </c>
      <c r="Z145" s="288">
        <f t="shared" si="63"/>
        <v>9829.5227537659721</v>
      </c>
      <c r="AA145" s="288">
        <f t="shared" si="64"/>
        <v>0</v>
      </c>
      <c r="AB145" s="288">
        <f t="shared" si="65"/>
        <v>9829.5227537659721</v>
      </c>
      <c r="AC145" s="288">
        <f t="shared" si="82"/>
        <v>0</v>
      </c>
      <c r="AD145" s="287">
        <f t="shared" si="66"/>
        <v>39318.091015063888</v>
      </c>
      <c r="AE145" s="287">
        <f t="shared" si="67"/>
        <v>29488.568261297914</v>
      </c>
      <c r="AF145" s="287">
        <f t="shared" si="68"/>
        <v>196590.45507531945</v>
      </c>
      <c r="AG145" s="287">
        <f t="shared" si="69"/>
        <v>147442.84130648957</v>
      </c>
      <c r="AH145" s="287">
        <f t="shared" si="70"/>
        <v>0</v>
      </c>
      <c r="AI145" s="287">
        <f t="shared" si="71"/>
        <v>0</v>
      </c>
      <c r="AJ145" s="287">
        <f t="shared" si="72"/>
        <v>0</v>
      </c>
      <c r="AK145" s="287">
        <f t="shared" si="73"/>
        <v>0</v>
      </c>
      <c r="AL145" s="287">
        <f t="shared" si="74"/>
        <v>0</v>
      </c>
      <c r="AM145" s="287">
        <f t="shared" si="75"/>
        <v>0</v>
      </c>
      <c r="AN145" s="287">
        <f t="shared" si="76"/>
        <v>0</v>
      </c>
      <c r="AO145" s="287">
        <f t="shared" si="77"/>
        <v>0</v>
      </c>
      <c r="AP145" s="287">
        <f t="shared" si="78"/>
        <v>9829.5227537659721</v>
      </c>
      <c r="AQ145" s="287">
        <f t="shared" si="79"/>
        <v>7372.1420653244786</v>
      </c>
      <c r="AR145" s="287">
        <f t="shared" si="80"/>
        <v>10239.086201839553</v>
      </c>
      <c r="AS145" s="289" t="e">
        <f>IF(J145='2027 Avoided Costs'!#REF!,3,5)</f>
        <v>#REF!</v>
      </c>
      <c r="AT145" s="290" cm="1">
        <f t="array" ref="AT145">IFERROR(IF($J145="Baseload",IF($O145=1,0,NPV('2027 Avoided Costs'!$D$6,_xlfn._xlws.FILTER('2027 Avoided Costs'!$C$14:$C$47,('2027 Avoided Costs'!$B$14:$B$47&gt;=$B145+1)*('2027 Avoided Costs'!$B$14:$B$47&lt;$B145+ROUND($O145,0)))))+_xlfn.XLOOKUP($B145,'2027 Avoided Costs'!$B$13:$B$47,'2027 Avoided Costs'!$C$13:$C$47),IF($O145=1,0,NPV('2027 Avoided Costs'!$D$6,_xlfn._xlws.FILTER('2027 Avoided Costs'!$E$14:$E$47,('2027 Avoided Costs'!$B$14:$B$47&gt;=$B145+1)*('2027 Avoided Costs'!$B$14:$B$47&lt;$B145+ROUND($O145,0)))))+_xlfn.XLOOKUP($B145,'2027 Avoided Costs'!$B$13:$B$47,'2027 Avoided Costs'!$E$13:$E$47))*IF($AE145&gt;0,$AE145*(1+$W145),0),0)</f>
        <v>38400.759880015059</v>
      </c>
      <c r="AU145" s="290" cm="1">
        <f t="array" ref="AU145">IFERROR((IF($O145=1,0,NPV('2027 Avoided Costs'!$D$6,_xlfn._xlws.FILTER('2027 Avoided Costs'!$M$14:$M$47,('2027 Avoided Costs'!$B$14:$B$47&gt;=$B145+1)*('2027 Avoided Costs'!$B$14:$B$47&lt;$B145+ROUND($O145,0)))))+_xlfn.XLOOKUP($B145,'2027 Avoided Costs'!$B$13:$B$47,'2027 Avoided Costs'!$M$13:$M$47))*IF($AK145&gt;0,$AK145*(1+$W145),0),0)</f>
        <v>0</v>
      </c>
      <c r="AV145" s="291" cm="1">
        <f t="array" ref="AV145">IFERROR((IF($O145=1,0,NPV('2027 Avoided Costs'!$D$6,_xlfn._xlws.FILTER('2027 Avoided Costs'!$Q$14:$Q$47,('2027 Avoided Costs'!$B$14:$B$47&gt;=$B145+1)*('2027 Avoided Costs'!$B$14:$B$47&lt;$B145+ROUND($O145,0)))))+_xlfn.XLOOKUP($B145,'2027 Avoided Costs'!$B$13:$B$47,'2027 Avoided Costs'!$Q$13:$Q$47))*IF($AI145&gt;0,$AI145*(1+$W145),0),0)</f>
        <v>0</v>
      </c>
      <c r="AW145" s="291" cm="1">
        <f t="array" ref="AW145">IFERROR((IF($O145=1,0,NPV('2027 Avoided Costs'!$D$6,_xlfn._xlws.FILTER('2027 Avoided Costs'!$W$14:$W$47,('2027 Avoided Costs'!$B$14:$B$47&gt;=$B145+1)*('2027 Avoided Costs'!$B$14:$B$47&lt;$B145+ROUND($O145,0)))))+_xlfn.XLOOKUP($B145,'2027 Avoided Costs'!$B$13:$B$47,'2027 Avoided Costs'!$W$13:$W$47))*IF($AM145&gt;0,$AM145*(1+$W145),0),0)</f>
        <v>0</v>
      </c>
      <c r="AX145" s="291" cm="1">
        <f t="array" ref="AX145">IFERROR((IF($O145=1,0,NPV('2027 Avoided Costs'!$D$6,_xlfn._xlws.FILTER('2027 Avoided Costs'!$AC$14:$AC$47,('2027 Avoided Costs'!$B$14:$B$47&gt;=$B145+1)*('2027 Avoided Costs'!$B$14:$B$47&lt;$B145+ROUND($O145,0)))))+_xlfn.XLOOKUP($B145,'2027 Avoided Costs'!$B$13:$B$47,'2027 Avoided Costs'!$AC$13:$AC$47))*IF($AO145&gt;0,$AO145*(1+$W145),0),0)</f>
        <v>0</v>
      </c>
      <c r="AY145" s="291" cm="1">
        <f t="array" ref="AY145">IFERROR((IF($O145=1,0,NPV('2027 Avoided Costs'!$D$4,_xlfn._xlws.FILTER('2027 Avoided Costs'!$I$14:$I$47,('2027 Avoided Costs'!$B$14:$B$47&gt;=$B145+1)*('2027 Avoided Costs'!$B$14:$B$47&lt;$B145+ROUND($O145,0)))))+_xlfn.XLOOKUP($B145,'2027 Avoided Costs'!$B$13:$B$47,'2027 Avoided Costs'!$I$13:$I$47))*IF($X145="Residential",'2027 Avoided Costs'!$J$5,IF($X145="Large Volume",'2027 Avoided Costs'!$J$7,'2027 Avoided Costs'!$J$6))*IF($AE145&gt;0,$AE145,0),0)</f>
        <v>0</v>
      </c>
      <c r="AZ145" s="291" cm="1">
        <f t="array" ref="AZ145">IFERROR(IF($J145="Baseload",IF($O145=1,0,NPV('2027 Avoided Costs'!$D$6,_xlfn._xlws.FILTER('2027 Avoided Costs'!$C$14:$C$47,('2027 Avoided Costs'!$B$14:$B$47&gt;=$B145+1)*('2027 Avoided Costs'!$B$14:$B$47&lt;$B145+ROUND($O145,0)))))+_xlfn.XLOOKUP($B145,'2027 Avoided Costs'!$B$13:$B$47,'2027 Avoided Costs'!$C$13:$C$47),IF($O145=1,0,NPV('2027 Avoided Costs'!$D$6,_xlfn._xlws.FILTER('2027 Avoided Costs'!$E$14:$E$47,('2027 Avoided Costs'!$B$14:$B$47&gt;=$B145+1)*('2027 Avoided Costs'!$B$14:$B$47&lt;$B145+ROUND($O145,0)))))+_xlfn.XLOOKUP($B145,'2027 Avoided Costs'!$B$13:$B$47,'2027 Avoided Costs'!$E$13:$E$47))*IF($AE145&lt;0,$AE145*(-1),0),0)</f>
        <v>0</v>
      </c>
      <c r="BA145" s="291" cm="1">
        <f t="array" ref="BA145">IFERROR((IF($O145=1,0,NPV('2027 Avoided Costs'!$D$6,_xlfn._xlws.FILTER('2027 Avoided Costs'!$M$14:$M$47,('2027 Avoided Costs'!$B$14:$B$47&gt;=$B145+1)*('2027 Avoided Costs'!$B$14:$B$47&lt;$B145+ROUND($O145,0)))))+_xlfn.XLOOKUP($B145,'2027 Avoided Costs'!$B$13:$B$47,'2027 Avoided Costs'!$M$13:$M$47))*IF($AK145&lt;0,$AK145*(-1),0),0)</f>
        <v>0</v>
      </c>
      <c r="BB145" s="291" cm="1">
        <f t="array" ref="BB145">IFERROR((IF($O145=1,0,NPV('2027 Avoided Costs'!$D$6,_xlfn._xlws.FILTER('2027 Avoided Costs'!$S$14:$S$47,('2027 Avoided Costs'!$B$14:$B$47&gt;=$B145+1)*('2027 Avoided Costs'!$B$14:$B$47&lt;$B145+ROUND($O145,0)))))+_xlfn.XLOOKUP($B145,'2027 Avoided Costs'!$B$13:$B$47,'2027 Avoided Costs'!$S$13:$S$47))*IF($AI145&lt;0,$AI145*(-1),0),0)</f>
        <v>0</v>
      </c>
      <c r="BC145" s="291" cm="1">
        <f t="array" ref="BC145">IFERROR((IF($O145=1,0,NPV('2027 Avoided Costs'!$D$6,_xlfn._xlws.FILTER('2027 Avoided Costs'!$Y$14:$Y$47,('2027 Avoided Costs'!$B$14:$B$47&gt;=$B145+1)*('2027 Avoided Costs'!$B$14:$B$47&lt;$B145+ROUND($O145,0)))))+_xlfn.XLOOKUP($B145,'2027 Avoided Costs'!$B$13:$B$47,'2027 Avoided Costs'!$Y$13:$Y$47))*IF($AM145&lt;0,$AM145*(-1),0),0)</f>
        <v>0</v>
      </c>
      <c r="BD145" s="291" cm="1">
        <f t="array" ref="BD145">IFERROR((IF($O145=1,0,NPV('2027 Avoided Costs'!$D$6,_xlfn._xlws.FILTER('2027 Avoided Costs'!$AE$14:$AE$47,('2027 Avoided Costs'!$B$14:$B$47&gt;=$B145+1)*('2027 Avoided Costs'!$B$14:$B$47&lt;$B145+ROUND($O145,0)))))+_xlfn.XLOOKUP($B145,'2027 Avoided Costs'!$B$13:$B$47,'2027 Avoided Costs'!$AE$13:$AE$47))*IF($AO145&lt;0,$AO145*(-1),0),0)</f>
        <v>0</v>
      </c>
      <c r="BE145" s="291" cm="1">
        <f t="array" ref="BE145">IFERROR((IF($O145=1,0,NPV('2027 Avoided Costs'!$D$4,_xlfn._xlws.FILTER('2027 Avoided Costs'!$I$14:$I$47,('2027 Avoided Costs'!$B$14:$B$47&gt;=$B145+1)*('2027 Avoided Costs'!$B$14:$B$47&lt;$B145+ROUND($O145,0)))))+_xlfn.XLOOKUP($B145,'2027 Avoided Costs'!$B$13:$B$47,'2027 Avoided Costs'!$I$13:$I$47))*IF($X145="Residential",'2027 Avoided Costs'!$J$5,IF($X145="Large Volume",'2027 Avoided Costs'!$J$7,'2027 Avoided Costs'!$J$6))*IF($AE145&lt;0,$AE145*(-1),0),0)</f>
        <v>0</v>
      </c>
      <c r="BF145" s="291">
        <f t="shared" si="58"/>
        <v>38400.759880015059</v>
      </c>
      <c r="BG145" s="291">
        <f t="shared" si="59"/>
        <v>7372.1420653244786</v>
      </c>
      <c r="BH145" s="291">
        <f t="shared" si="60"/>
        <v>31028.61781469058</v>
      </c>
      <c r="BI145" s="292">
        <f t="shared" si="83"/>
        <v>5.2089012311138747</v>
      </c>
      <c r="BJ145" s="196" cm="1">
        <f t="array" ref="BJ145">IFERROR(IF($J145="Baseload",IF($O145=1,0,NPV('2027 Avoided Costs'!$D$6,_xlfn._xlws.FILTER('2027 Avoided Costs'!$C$14:$C$47,('2027 Avoided Costs'!$B$14:$B$47&gt;=$B145+1)*('2027 Avoided Costs'!$B$14:$B$47&lt;$B145+ROUND($O145,0)))))+_xlfn.XLOOKUP($B145,'2027 Avoided Costs'!$B$13:$B$47,'2027 Avoided Costs'!$C$13:$C$47),IF($O145=1,0,NPV('2027 Avoided Costs'!$D$6,_xlfn._xlws.FILTER('2027 Avoided Costs'!$E$14:$E$47,('2027 Avoided Costs'!$B$14:$B$47&gt;=$B145+1)*('2027 Avoided Costs'!$B$14:$B$47&lt;$B145+ROUND($O145,0)))))+_xlfn.XLOOKUP($B145,'2027 Avoided Costs'!$B$13:$B$47,'2027 Avoided Costs'!$E$13:$E$47))*IF($AE145&gt;0,$AE145*(1+0),0),0)</f>
        <v>33391.965113056569</v>
      </c>
      <c r="BK145" s="293">
        <f t="shared" si="81"/>
        <v>3.3971094985525263</v>
      </c>
    </row>
    <row r="146" spans="1:63" s="56" customFormat="1" x14ac:dyDescent="0.25">
      <c r="A146" s="270" t="s">
        <v>133</v>
      </c>
      <c r="B146" s="271">
        <v>2028</v>
      </c>
      <c r="C146" s="272" t="s">
        <v>13</v>
      </c>
      <c r="D146" s="272" t="s">
        <v>166</v>
      </c>
      <c r="E146" s="272" t="s">
        <v>348</v>
      </c>
      <c r="F146" s="273">
        <v>89</v>
      </c>
      <c r="G146" s="274">
        <v>937.54416853440989</v>
      </c>
      <c r="H146" s="275">
        <f t="shared" si="61"/>
        <v>0.25</v>
      </c>
      <c r="I146" s="274">
        <v>0</v>
      </c>
      <c r="J146" s="276" t="s">
        <v>264</v>
      </c>
      <c r="K146" s="277">
        <f t="shared" si="57"/>
        <v>0.75</v>
      </c>
      <c r="L146" s="278">
        <v>0.28000000000000003</v>
      </c>
      <c r="M146" s="278">
        <v>0.03</v>
      </c>
      <c r="N146" s="278">
        <v>1</v>
      </c>
      <c r="O146" s="279">
        <v>5</v>
      </c>
      <c r="P146" s="280">
        <v>3750.1766741376396</v>
      </c>
      <c r="Q146" s="281">
        <v>0</v>
      </c>
      <c r="R146" s="282">
        <v>0</v>
      </c>
      <c r="S146" s="282">
        <v>0</v>
      </c>
      <c r="T146" s="281">
        <v>0</v>
      </c>
      <c r="U146" s="283">
        <v>0.3619047619047619</v>
      </c>
      <c r="V146" s="284">
        <v>937.54416853440989</v>
      </c>
      <c r="W146" s="285">
        <v>0.15</v>
      </c>
      <c r="X146" s="286" t="s">
        <v>255</v>
      </c>
      <c r="Y146" s="287">
        <f t="shared" si="62"/>
        <v>89</v>
      </c>
      <c r="Z146" s="288">
        <f t="shared" si="63"/>
        <v>83441.430999562479</v>
      </c>
      <c r="AA146" s="288">
        <f t="shared" si="64"/>
        <v>0</v>
      </c>
      <c r="AB146" s="288">
        <f t="shared" si="65"/>
        <v>85110.259619553734</v>
      </c>
      <c r="AC146" s="288">
        <f t="shared" si="82"/>
        <v>0</v>
      </c>
      <c r="AD146" s="287">
        <f t="shared" si="66"/>
        <v>333765.72399824992</v>
      </c>
      <c r="AE146" s="287">
        <f t="shared" si="67"/>
        <v>250324.29299868742</v>
      </c>
      <c r="AF146" s="287">
        <f t="shared" si="68"/>
        <v>1668828.6199912496</v>
      </c>
      <c r="AG146" s="287">
        <f t="shared" si="69"/>
        <v>1251621.4649934371</v>
      </c>
      <c r="AH146" s="287">
        <f t="shared" si="70"/>
        <v>0</v>
      </c>
      <c r="AI146" s="287">
        <f t="shared" si="71"/>
        <v>0</v>
      </c>
      <c r="AJ146" s="287">
        <f t="shared" si="72"/>
        <v>0</v>
      </c>
      <c r="AK146" s="287">
        <f t="shared" si="73"/>
        <v>0</v>
      </c>
      <c r="AL146" s="287">
        <f t="shared" si="74"/>
        <v>0</v>
      </c>
      <c r="AM146" s="287">
        <f t="shared" si="75"/>
        <v>0</v>
      </c>
      <c r="AN146" s="287">
        <f t="shared" si="76"/>
        <v>0</v>
      </c>
      <c r="AO146" s="287">
        <f t="shared" si="77"/>
        <v>0</v>
      </c>
      <c r="AP146" s="287">
        <f t="shared" si="78"/>
        <v>83441.430999562479</v>
      </c>
      <c r="AQ146" s="287">
        <f t="shared" si="79"/>
        <v>62581.073249671856</v>
      </c>
      <c r="AR146" s="287">
        <f t="shared" si="80"/>
        <v>90593.55365666782</v>
      </c>
      <c r="AS146" s="289" t="e">
        <f>IF(J146='2027 Avoided Costs'!#REF!,3,5)</f>
        <v>#REF!</v>
      </c>
      <c r="AT146" s="290" cm="1">
        <f t="array" ref="AT146">IFERROR(IF($J146="Baseload",IF($O146=1,0,NPV('2027 Avoided Costs'!$D$6,_xlfn._xlws.FILTER('2027 Avoided Costs'!$C$14:$C$47,('2027 Avoided Costs'!$B$14:$B$47&gt;=$B146+1)*('2027 Avoided Costs'!$B$14:$B$47&lt;$B146+ROUND($O146,0)))))+_xlfn.XLOOKUP($B146,'2027 Avoided Costs'!$B$13:$B$47,'2027 Avoided Costs'!$C$13:$C$47),IF($O146=1,0,NPV('2027 Avoided Costs'!$D$6,_xlfn._xlws.FILTER('2027 Avoided Costs'!$E$14:$E$47,('2027 Avoided Costs'!$B$14:$B$47&gt;=$B146+1)*('2027 Avoided Costs'!$B$14:$B$47&lt;$B146+ROUND($O146,0)))))+_xlfn.XLOOKUP($B146,'2027 Avoided Costs'!$B$13:$B$47,'2027 Avoided Costs'!$E$13:$E$47))*IF($AE146&gt;0,$AE146*(1+$W146),0),0)</f>
        <v>396486.66610070673</v>
      </c>
      <c r="AU146" s="290" cm="1">
        <f t="array" ref="AU146">IFERROR((IF($O146=1,0,NPV('2027 Avoided Costs'!$D$6,_xlfn._xlws.FILTER('2027 Avoided Costs'!$M$14:$M$47,('2027 Avoided Costs'!$B$14:$B$47&gt;=$B146+1)*('2027 Avoided Costs'!$B$14:$B$47&lt;$B146+ROUND($O146,0)))))+_xlfn.XLOOKUP($B146,'2027 Avoided Costs'!$B$13:$B$47,'2027 Avoided Costs'!$M$13:$M$47))*IF($AK146&gt;0,$AK146*(1+$W146),0),0)</f>
        <v>0</v>
      </c>
      <c r="AV146" s="291" cm="1">
        <f t="array" ref="AV146">IFERROR((IF($O146=1,0,NPV('2027 Avoided Costs'!$D$6,_xlfn._xlws.FILTER('2027 Avoided Costs'!$Q$14:$Q$47,('2027 Avoided Costs'!$B$14:$B$47&gt;=$B146+1)*('2027 Avoided Costs'!$B$14:$B$47&lt;$B146+ROUND($O146,0)))))+_xlfn.XLOOKUP($B146,'2027 Avoided Costs'!$B$13:$B$47,'2027 Avoided Costs'!$Q$13:$Q$47))*IF($AI146&gt;0,$AI146*(1+$W146),0),0)</f>
        <v>0</v>
      </c>
      <c r="AW146" s="291" cm="1">
        <f t="array" ref="AW146">IFERROR((IF($O146=1,0,NPV('2027 Avoided Costs'!$D$6,_xlfn._xlws.FILTER('2027 Avoided Costs'!$W$14:$W$47,('2027 Avoided Costs'!$B$14:$B$47&gt;=$B146+1)*('2027 Avoided Costs'!$B$14:$B$47&lt;$B146+ROUND($O146,0)))))+_xlfn.XLOOKUP($B146,'2027 Avoided Costs'!$B$13:$B$47,'2027 Avoided Costs'!$W$13:$W$47))*IF($AM146&gt;0,$AM146*(1+$W146),0),0)</f>
        <v>0</v>
      </c>
      <c r="AX146" s="291" cm="1">
        <f t="array" ref="AX146">IFERROR((IF($O146=1,0,NPV('2027 Avoided Costs'!$D$6,_xlfn._xlws.FILTER('2027 Avoided Costs'!$AC$14:$AC$47,('2027 Avoided Costs'!$B$14:$B$47&gt;=$B146+1)*('2027 Avoided Costs'!$B$14:$B$47&lt;$B146+ROUND($O146,0)))))+_xlfn.XLOOKUP($B146,'2027 Avoided Costs'!$B$13:$B$47,'2027 Avoided Costs'!$AC$13:$AC$47))*IF($AO146&gt;0,$AO146*(1+$W146),0),0)</f>
        <v>0</v>
      </c>
      <c r="AY146" s="291" cm="1">
        <f t="array" ref="AY146">IFERROR((IF($O146=1,0,NPV('2027 Avoided Costs'!$D$4,_xlfn._xlws.FILTER('2027 Avoided Costs'!$I$14:$I$47,('2027 Avoided Costs'!$B$14:$B$47&gt;=$B146+1)*('2027 Avoided Costs'!$B$14:$B$47&lt;$B146+ROUND($O146,0)))))+_xlfn.XLOOKUP($B146,'2027 Avoided Costs'!$B$13:$B$47,'2027 Avoided Costs'!$I$13:$I$47))*IF($X146="Residential",'2027 Avoided Costs'!$J$5,IF($X146="Large Volume",'2027 Avoided Costs'!$J$7,'2027 Avoided Costs'!$J$6))*IF($AE146&gt;0,$AE146,0),0)</f>
        <v>0</v>
      </c>
      <c r="AZ146" s="291" cm="1">
        <f t="array" ref="AZ146">IFERROR(IF($J146="Baseload",IF($O146=1,0,NPV('2027 Avoided Costs'!$D$6,_xlfn._xlws.FILTER('2027 Avoided Costs'!$C$14:$C$47,('2027 Avoided Costs'!$B$14:$B$47&gt;=$B146+1)*('2027 Avoided Costs'!$B$14:$B$47&lt;$B146+ROUND($O146,0)))))+_xlfn.XLOOKUP($B146,'2027 Avoided Costs'!$B$13:$B$47,'2027 Avoided Costs'!$C$13:$C$47),IF($O146=1,0,NPV('2027 Avoided Costs'!$D$6,_xlfn._xlws.FILTER('2027 Avoided Costs'!$E$14:$E$47,('2027 Avoided Costs'!$B$14:$B$47&gt;=$B146+1)*('2027 Avoided Costs'!$B$14:$B$47&lt;$B146+ROUND($O146,0)))))+_xlfn.XLOOKUP($B146,'2027 Avoided Costs'!$B$13:$B$47,'2027 Avoided Costs'!$E$13:$E$47))*IF($AE146&lt;0,$AE146*(-1),0),0)</f>
        <v>0</v>
      </c>
      <c r="BA146" s="291" cm="1">
        <f t="array" ref="BA146">IFERROR((IF($O146=1,0,NPV('2027 Avoided Costs'!$D$6,_xlfn._xlws.FILTER('2027 Avoided Costs'!$M$14:$M$47,('2027 Avoided Costs'!$B$14:$B$47&gt;=$B146+1)*('2027 Avoided Costs'!$B$14:$B$47&lt;$B146+ROUND($O146,0)))))+_xlfn.XLOOKUP($B146,'2027 Avoided Costs'!$B$13:$B$47,'2027 Avoided Costs'!$M$13:$M$47))*IF($AK146&lt;0,$AK146*(-1),0),0)</f>
        <v>0</v>
      </c>
      <c r="BB146" s="291" cm="1">
        <f t="array" ref="BB146">IFERROR((IF($O146=1,0,NPV('2027 Avoided Costs'!$D$6,_xlfn._xlws.FILTER('2027 Avoided Costs'!$S$14:$S$47,('2027 Avoided Costs'!$B$14:$B$47&gt;=$B146+1)*('2027 Avoided Costs'!$B$14:$B$47&lt;$B146+ROUND($O146,0)))))+_xlfn.XLOOKUP($B146,'2027 Avoided Costs'!$B$13:$B$47,'2027 Avoided Costs'!$S$13:$S$47))*IF($AI146&lt;0,$AI146*(-1),0),0)</f>
        <v>0</v>
      </c>
      <c r="BC146" s="291" cm="1">
        <f t="array" ref="BC146">IFERROR((IF($O146=1,0,NPV('2027 Avoided Costs'!$D$6,_xlfn._xlws.FILTER('2027 Avoided Costs'!$Y$14:$Y$47,('2027 Avoided Costs'!$B$14:$B$47&gt;=$B146+1)*('2027 Avoided Costs'!$B$14:$B$47&lt;$B146+ROUND($O146,0)))))+_xlfn.XLOOKUP($B146,'2027 Avoided Costs'!$B$13:$B$47,'2027 Avoided Costs'!$Y$13:$Y$47))*IF($AM146&lt;0,$AM146*(-1),0),0)</f>
        <v>0</v>
      </c>
      <c r="BD146" s="291" cm="1">
        <f t="array" ref="BD146">IFERROR((IF($O146=1,0,NPV('2027 Avoided Costs'!$D$6,_xlfn._xlws.FILTER('2027 Avoided Costs'!$AE$14:$AE$47,('2027 Avoided Costs'!$B$14:$B$47&gt;=$B146+1)*('2027 Avoided Costs'!$B$14:$B$47&lt;$B146+ROUND($O146,0)))))+_xlfn.XLOOKUP($B146,'2027 Avoided Costs'!$B$13:$B$47,'2027 Avoided Costs'!$AE$13:$AE$47))*IF($AO146&lt;0,$AO146*(-1),0),0)</f>
        <v>0</v>
      </c>
      <c r="BE146" s="291" cm="1">
        <f t="array" ref="BE146">IFERROR((IF($O146=1,0,NPV('2027 Avoided Costs'!$D$4,_xlfn._xlws.FILTER('2027 Avoided Costs'!$I$14:$I$47,('2027 Avoided Costs'!$B$14:$B$47&gt;=$B146+1)*('2027 Avoided Costs'!$B$14:$B$47&lt;$B146+ROUND($O146,0)))))+_xlfn.XLOOKUP($B146,'2027 Avoided Costs'!$B$13:$B$47,'2027 Avoided Costs'!$I$13:$I$47))*IF($X146="Residential",'2027 Avoided Costs'!$J$5,IF($X146="Large Volume",'2027 Avoided Costs'!$J$7,'2027 Avoided Costs'!$J$6))*IF($AE146&lt;0,$AE146*(-1),0),0)</f>
        <v>0</v>
      </c>
      <c r="BF146" s="291">
        <f t="shared" si="58"/>
        <v>396486.66610070673</v>
      </c>
      <c r="BG146" s="291">
        <f t="shared" si="59"/>
        <v>62581.073249671856</v>
      </c>
      <c r="BH146" s="291">
        <f t="shared" si="60"/>
        <v>333905.59285103489</v>
      </c>
      <c r="BI146" s="292">
        <f t="shared" si="83"/>
        <v>6.3355683357952914</v>
      </c>
      <c r="BJ146" s="196" cm="1">
        <f t="array" ref="BJ146">IFERROR(IF($J146="Baseload",IF($O146=1,0,NPV('2027 Avoided Costs'!$D$6,_xlfn._xlws.FILTER('2027 Avoided Costs'!$C$14:$C$47,('2027 Avoided Costs'!$B$14:$B$47&gt;=$B146+1)*('2027 Avoided Costs'!$B$14:$B$47&lt;$B146+ROUND($O146,0)))))+_xlfn.XLOOKUP($B146,'2027 Avoided Costs'!$B$13:$B$47,'2027 Avoided Costs'!$C$13:$C$47),IF($O146=1,0,NPV('2027 Avoided Costs'!$D$6,_xlfn._xlws.FILTER('2027 Avoided Costs'!$E$14:$E$47,('2027 Avoided Costs'!$B$14:$B$47&gt;=$B146+1)*('2027 Avoided Costs'!$B$14:$B$47&lt;$B146+ROUND($O146,0)))))+_xlfn.XLOOKUP($B146,'2027 Avoided Costs'!$B$13:$B$47,'2027 Avoided Costs'!$E$13:$E$47))*IF($AE146&gt;0,$AE146*(1+0),0),0)</f>
        <v>344771.01400061458</v>
      </c>
      <c r="BK146" s="293">
        <f t="shared" si="81"/>
        <v>4.0508748950097768</v>
      </c>
    </row>
    <row r="147" spans="1:63" s="56" customFormat="1" x14ac:dyDescent="0.25">
      <c r="A147" s="270" t="s">
        <v>133</v>
      </c>
      <c r="B147" s="271">
        <v>2028</v>
      </c>
      <c r="C147" s="272" t="s">
        <v>13</v>
      </c>
      <c r="D147" s="272" t="s">
        <v>166</v>
      </c>
      <c r="E147" s="272" t="s">
        <v>349</v>
      </c>
      <c r="F147" s="273">
        <v>16</v>
      </c>
      <c r="G147" s="274">
        <v>920.3099007304686</v>
      </c>
      <c r="H147" s="275">
        <f t="shared" si="61"/>
        <v>0.25</v>
      </c>
      <c r="I147" s="274">
        <v>0</v>
      </c>
      <c r="J147" s="276" t="s">
        <v>263</v>
      </c>
      <c r="K147" s="277">
        <f t="shared" si="57"/>
        <v>0.75</v>
      </c>
      <c r="L147" s="278">
        <v>0.28000000000000003</v>
      </c>
      <c r="M147" s="278">
        <v>0.03</v>
      </c>
      <c r="N147" s="278">
        <v>1</v>
      </c>
      <c r="O147" s="279">
        <v>5</v>
      </c>
      <c r="P147" s="280">
        <v>3681.2396029218744</v>
      </c>
      <c r="Q147" s="281">
        <v>0</v>
      </c>
      <c r="R147" s="282">
        <v>0</v>
      </c>
      <c r="S147" s="282">
        <v>0</v>
      </c>
      <c r="T147" s="281">
        <v>0</v>
      </c>
      <c r="U147" s="283">
        <v>0.3619047619047619</v>
      </c>
      <c r="V147" s="284">
        <v>920.3099007304686</v>
      </c>
      <c r="W147" s="285">
        <v>0.15</v>
      </c>
      <c r="X147" s="286" t="s">
        <v>255</v>
      </c>
      <c r="Y147" s="287">
        <f t="shared" si="62"/>
        <v>16</v>
      </c>
      <c r="Z147" s="288">
        <f t="shared" si="63"/>
        <v>14724.958411687498</v>
      </c>
      <c r="AA147" s="288">
        <f t="shared" si="64"/>
        <v>0</v>
      </c>
      <c r="AB147" s="288">
        <f t="shared" si="65"/>
        <v>15019.457579921247</v>
      </c>
      <c r="AC147" s="288">
        <f t="shared" si="82"/>
        <v>0</v>
      </c>
      <c r="AD147" s="287">
        <f t="shared" si="66"/>
        <v>58899.83364674999</v>
      </c>
      <c r="AE147" s="287">
        <f t="shared" si="67"/>
        <v>44174.875235062493</v>
      </c>
      <c r="AF147" s="287">
        <f t="shared" si="68"/>
        <v>294499.16823374992</v>
      </c>
      <c r="AG147" s="287">
        <f t="shared" si="69"/>
        <v>220874.37617531247</v>
      </c>
      <c r="AH147" s="287">
        <f t="shared" si="70"/>
        <v>0</v>
      </c>
      <c r="AI147" s="287">
        <f t="shared" si="71"/>
        <v>0</v>
      </c>
      <c r="AJ147" s="287">
        <f t="shared" si="72"/>
        <v>0</v>
      </c>
      <c r="AK147" s="287">
        <f t="shared" si="73"/>
        <v>0</v>
      </c>
      <c r="AL147" s="287">
        <f t="shared" si="74"/>
        <v>0</v>
      </c>
      <c r="AM147" s="287">
        <f t="shared" si="75"/>
        <v>0</v>
      </c>
      <c r="AN147" s="287">
        <f t="shared" si="76"/>
        <v>0</v>
      </c>
      <c r="AO147" s="287">
        <f t="shared" si="77"/>
        <v>0</v>
      </c>
      <c r="AP147" s="287">
        <f t="shared" si="78"/>
        <v>14724.958411687498</v>
      </c>
      <c r="AQ147" s="287">
        <f t="shared" si="79"/>
        <v>11043.718808765623</v>
      </c>
      <c r="AR147" s="287">
        <f t="shared" si="80"/>
        <v>15987.097704117854</v>
      </c>
      <c r="AS147" s="289" t="e">
        <f>IF(J147='2027 Avoided Costs'!#REF!,3,5)</f>
        <v>#REF!</v>
      </c>
      <c r="AT147" s="290" cm="1">
        <f t="array" ref="AT147">IFERROR(IF($J147="Baseload",IF($O147=1,0,NPV('2027 Avoided Costs'!$D$6,_xlfn._xlws.FILTER('2027 Avoided Costs'!$C$14:$C$47,('2027 Avoided Costs'!$B$14:$B$47&gt;=$B147+1)*('2027 Avoided Costs'!$B$14:$B$47&lt;$B147+ROUND($O147,0)))))+_xlfn.XLOOKUP($B147,'2027 Avoided Costs'!$B$13:$B$47,'2027 Avoided Costs'!$C$13:$C$47),IF($O147=1,0,NPV('2027 Avoided Costs'!$D$6,_xlfn._xlws.FILTER('2027 Avoided Costs'!$E$14:$E$47,('2027 Avoided Costs'!$B$14:$B$47&gt;=$B147+1)*('2027 Avoided Costs'!$B$14:$B$47&lt;$B147+ROUND($O147,0)))))+_xlfn.XLOOKUP($B147,'2027 Avoided Costs'!$B$13:$B$47,'2027 Avoided Costs'!$E$13:$E$47))*IF($AE147&gt;0,$AE147*(1+$W147),0),0)</f>
        <v>62097.333937625961</v>
      </c>
      <c r="AU147" s="290" cm="1">
        <f t="array" ref="AU147">IFERROR((IF($O147=1,0,NPV('2027 Avoided Costs'!$D$6,_xlfn._xlws.FILTER('2027 Avoided Costs'!$M$14:$M$47,('2027 Avoided Costs'!$B$14:$B$47&gt;=$B147+1)*('2027 Avoided Costs'!$B$14:$B$47&lt;$B147+ROUND($O147,0)))))+_xlfn.XLOOKUP($B147,'2027 Avoided Costs'!$B$13:$B$47,'2027 Avoided Costs'!$M$13:$M$47))*IF($AK147&gt;0,$AK147*(1+$W147),0),0)</f>
        <v>0</v>
      </c>
      <c r="AV147" s="291" cm="1">
        <f t="array" ref="AV147">IFERROR((IF($O147=1,0,NPV('2027 Avoided Costs'!$D$6,_xlfn._xlws.FILTER('2027 Avoided Costs'!$Q$14:$Q$47,('2027 Avoided Costs'!$B$14:$B$47&gt;=$B147+1)*('2027 Avoided Costs'!$B$14:$B$47&lt;$B147+ROUND($O147,0)))))+_xlfn.XLOOKUP($B147,'2027 Avoided Costs'!$B$13:$B$47,'2027 Avoided Costs'!$Q$13:$Q$47))*IF($AI147&gt;0,$AI147*(1+$W147),0),0)</f>
        <v>0</v>
      </c>
      <c r="AW147" s="291" cm="1">
        <f t="array" ref="AW147">IFERROR((IF($O147=1,0,NPV('2027 Avoided Costs'!$D$6,_xlfn._xlws.FILTER('2027 Avoided Costs'!$W$14:$W$47,('2027 Avoided Costs'!$B$14:$B$47&gt;=$B147+1)*('2027 Avoided Costs'!$B$14:$B$47&lt;$B147+ROUND($O147,0)))))+_xlfn.XLOOKUP($B147,'2027 Avoided Costs'!$B$13:$B$47,'2027 Avoided Costs'!$W$13:$W$47))*IF($AM147&gt;0,$AM147*(1+$W147),0),0)</f>
        <v>0</v>
      </c>
      <c r="AX147" s="291" cm="1">
        <f t="array" ref="AX147">IFERROR((IF($O147=1,0,NPV('2027 Avoided Costs'!$D$6,_xlfn._xlws.FILTER('2027 Avoided Costs'!$AC$14:$AC$47,('2027 Avoided Costs'!$B$14:$B$47&gt;=$B147+1)*('2027 Avoided Costs'!$B$14:$B$47&lt;$B147+ROUND($O147,0)))))+_xlfn.XLOOKUP($B147,'2027 Avoided Costs'!$B$13:$B$47,'2027 Avoided Costs'!$AC$13:$AC$47))*IF($AO147&gt;0,$AO147*(1+$W147),0),0)</f>
        <v>0</v>
      </c>
      <c r="AY147" s="291" cm="1">
        <f t="array" ref="AY147">IFERROR((IF($O147=1,0,NPV('2027 Avoided Costs'!$D$4,_xlfn._xlws.FILTER('2027 Avoided Costs'!$I$14:$I$47,('2027 Avoided Costs'!$B$14:$B$47&gt;=$B147+1)*('2027 Avoided Costs'!$B$14:$B$47&lt;$B147+ROUND($O147,0)))))+_xlfn.XLOOKUP($B147,'2027 Avoided Costs'!$B$13:$B$47,'2027 Avoided Costs'!$I$13:$I$47))*IF($X147="Residential",'2027 Avoided Costs'!$J$5,IF($X147="Large Volume",'2027 Avoided Costs'!$J$7,'2027 Avoided Costs'!$J$6))*IF($AE147&gt;0,$AE147,0),0)</f>
        <v>0</v>
      </c>
      <c r="AZ147" s="291" cm="1">
        <f t="array" ref="AZ147">IFERROR(IF($J147="Baseload",IF($O147=1,0,NPV('2027 Avoided Costs'!$D$6,_xlfn._xlws.FILTER('2027 Avoided Costs'!$C$14:$C$47,('2027 Avoided Costs'!$B$14:$B$47&gt;=$B147+1)*('2027 Avoided Costs'!$B$14:$B$47&lt;$B147+ROUND($O147,0)))))+_xlfn.XLOOKUP($B147,'2027 Avoided Costs'!$B$13:$B$47,'2027 Avoided Costs'!$C$13:$C$47),IF($O147=1,0,NPV('2027 Avoided Costs'!$D$6,_xlfn._xlws.FILTER('2027 Avoided Costs'!$E$14:$E$47,('2027 Avoided Costs'!$B$14:$B$47&gt;=$B147+1)*('2027 Avoided Costs'!$B$14:$B$47&lt;$B147+ROUND($O147,0)))))+_xlfn.XLOOKUP($B147,'2027 Avoided Costs'!$B$13:$B$47,'2027 Avoided Costs'!$E$13:$E$47))*IF($AE147&lt;0,$AE147*(-1),0),0)</f>
        <v>0</v>
      </c>
      <c r="BA147" s="291" cm="1">
        <f t="array" ref="BA147">IFERROR((IF($O147=1,0,NPV('2027 Avoided Costs'!$D$6,_xlfn._xlws.FILTER('2027 Avoided Costs'!$M$14:$M$47,('2027 Avoided Costs'!$B$14:$B$47&gt;=$B147+1)*('2027 Avoided Costs'!$B$14:$B$47&lt;$B147+ROUND($O147,0)))))+_xlfn.XLOOKUP($B147,'2027 Avoided Costs'!$B$13:$B$47,'2027 Avoided Costs'!$M$13:$M$47))*IF($AK147&lt;0,$AK147*(-1),0),0)</f>
        <v>0</v>
      </c>
      <c r="BB147" s="291" cm="1">
        <f t="array" ref="BB147">IFERROR((IF($O147=1,0,NPV('2027 Avoided Costs'!$D$6,_xlfn._xlws.FILTER('2027 Avoided Costs'!$S$14:$S$47,('2027 Avoided Costs'!$B$14:$B$47&gt;=$B147+1)*('2027 Avoided Costs'!$B$14:$B$47&lt;$B147+ROUND($O147,0)))))+_xlfn.XLOOKUP($B147,'2027 Avoided Costs'!$B$13:$B$47,'2027 Avoided Costs'!$S$13:$S$47))*IF($AI147&lt;0,$AI147*(-1),0),0)</f>
        <v>0</v>
      </c>
      <c r="BC147" s="291" cm="1">
        <f t="array" ref="BC147">IFERROR((IF($O147=1,0,NPV('2027 Avoided Costs'!$D$6,_xlfn._xlws.FILTER('2027 Avoided Costs'!$Y$14:$Y$47,('2027 Avoided Costs'!$B$14:$B$47&gt;=$B147+1)*('2027 Avoided Costs'!$B$14:$B$47&lt;$B147+ROUND($O147,0)))))+_xlfn.XLOOKUP($B147,'2027 Avoided Costs'!$B$13:$B$47,'2027 Avoided Costs'!$Y$13:$Y$47))*IF($AM147&lt;0,$AM147*(-1),0),0)</f>
        <v>0</v>
      </c>
      <c r="BD147" s="291" cm="1">
        <f t="array" ref="BD147">IFERROR((IF($O147=1,0,NPV('2027 Avoided Costs'!$D$6,_xlfn._xlws.FILTER('2027 Avoided Costs'!$AE$14:$AE$47,('2027 Avoided Costs'!$B$14:$B$47&gt;=$B147+1)*('2027 Avoided Costs'!$B$14:$B$47&lt;$B147+ROUND($O147,0)))))+_xlfn.XLOOKUP($B147,'2027 Avoided Costs'!$B$13:$B$47,'2027 Avoided Costs'!$AE$13:$AE$47))*IF($AO147&lt;0,$AO147*(-1),0),0)</f>
        <v>0</v>
      </c>
      <c r="BE147" s="291" cm="1">
        <f t="array" ref="BE147">IFERROR((IF($O147=1,0,NPV('2027 Avoided Costs'!$D$4,_xlfn._xlws.FILTER('2027 Avoided Costs'!$I$14:$I$47,('2027 Avoided Costs'!$B$14:$B$47&gt;=$B147+1)*('2027 Avoided Costs'!$B$14:$B$47&lt;$B147+ROUND($O147,0)))))+_xlfn.XLOOKUP($B147,'2027 Avoided Costs'!$B$13:$B$47,'2027 Avoided Costs'!$I$13:$I$47))*IF($X147="Residential",'2027 Avoided Costs'!$J$5,IF($X147="Large Volume",'2027 Avoided Costs'!$J$7,'2027 Avoided Costs'!$J$6))*IF($AE147&lt;0,$AE147*(-1),0),0)</f>
        <v>0</v>
      </c>
      <c r="BF147" s="291">
        <f t="shared" si="58"/>
        <v>62097.333937625961</v>
      </c>
      <c r="BG147" s="291">
        <f t="shared" si="59"/>
        <v>11043.718808765623</v>
      </c>
      <c r="BH147" s="291">
        <f t="shared" si="60"/>
        <v>51053.615128860336</v>
      </c>
      <c r="BI147" s="292">
        <f t="shared" si="83"/>
        <v>5.6228644547104958</v>
      </c>
      <c r="BJ147" s="196" cm="1">
        <f t="array" ref="BJ147">IFERROR(IF($J147="Baseload",IF($O147=1,0,NPV('2027 Avoided Costs'!$D$6,_xlfn._xlws.FILTER('2027 Avoided Costs'!$C$14:$C$47,('2027 Avoided Costs'!$B$14:$B$47&gt;=$B147+1)*('2027 Avoided Costs'!$B$14:$B$47&lt;$B147+ROUND($O147,0)))))+_xlfn.XLOOKUP($B147,'2027 Avoided Costs'!$B$13:$B$47,'2027 Avoided Costs'!$C$13:$C$47),IF($O147=1,0,NPV('2027 Avoided Costs'!$D$6,_xlfn._xlws.FILTER('2027 Avoided Costs'!$E$14:$E$47,('2027 Avoided Costs'!$B$14:$B$47&gt;=$B147+1)*('2027 Avoided Costs'!$B$14:$B$47&lt;$B147+ROUND($O147,0)))))+_xlfn.XLOOKUP($B147,'2027 Avoided Costs'!$B$13:$B$47,'2027 Avoided Costs'!$E$13:$E$47))*IF($AE147&gt;0,$AE147*(1+0),0),0)</f>
        <v>53997.681684892152</v>
      </c>
      <c r="BK147" s="293">
        <f t="shared" si="81"/>
        <v>3.5951818764133612</v>
      </c>
    </row>
    <row r="148" spans="1:63" s="56" customFormat="1" x14ac:dyDescent="0.25">
      <c r="A148" s="270" t="s">
        <v>133</v>
      </c>
      <c r="B148" s="271">
        <v>2029</v>
      </c>
      <c r="C148" s="272" t="s">
        <v>13</v>
      </c>
      <c r="D148" s="272" t="s">
        <v>166</v>
      </c>
      <c r="E148" s="272" t="s">
        <v>348</v>
      </c>
      <c r="F148" s="273">
        <v>94</v>
      </c>
      <c r="G148" s="274">
        <v>936.97276895356322</v>
      </c>
      <c r="H148" s="275">
        <f t="shared" si="61"/>
        <v>0.25</v>
      </c>
      <c r="I148" s="274">
        <v>0</v>
      </c>
      <c r="J148" s="276" t="s">
        <v>264</v>
      </c>
      <c r="K148" s="277">
        <f t="shared" si="57"/>
        <v>0.75</v>
      </c>
      <c r="L148" s="278">
        <v>0.28000000000000003</v>
      </c>
      <c r="M148" s="278">
        <v>0.03</v>
      </c>
      <c r="N148" s="278">
        <v>1</v>
      </c>
      <c r="O148" s="279">
        <v>5</v>
      </c>
      <c r="P148" s="280">
        <v>3747.8910758142529</v>
      </c>
      <c r="Q148" s="281">
        <v>0</v>
      </c>
      <c r="R148" s="282">
        <v>0</v>
      </c>
      <c r="S148" s="282">
        <v>0</v>
      </c>
      <c r="T148" s="281">
        <v>0</v>
      </c>
      <c r="U148" s="283">
        <v>0.36363636363636365</v>
      </c>
      <c r="V148" s="284">
        <v>936.97276895356322</v>
      </c>
      <c r="W148" s="285">
        <v>0.15</v>
      </c>
      <c r="X148" s="286" t="s">
        <v>255</v>
      </c>
      <c r="Y148" s="287">
        <f t="shared" si="62"/>
        <v>94</v>
      </c>
      <c r="Z148" s="288">
        <f t="shared" si="63"/>
        <v>88075.440281634947</v>
      </c>
      <c r="AA148" s="288">
        <f t="shared" si="64"/>
        <v>0</v>
      </c>
      <c r="AB148" s="288">
        <f t="shared" si="65"/>
        <v>91633.688069012991</v>
      </c>
      <c r="AC148" s="288">
        <f t="shared" si="82"/>
        <v>0</v>
      </c>
      <c r="AD148" s="287">
        <f t="shared" si="66"/>
        <v>352301.76112653979</v>
      </c>
      <c r="AE148" s="287">
        <f t="shared" si="67"/>
        <v>264226.32084490487</v>
      </c>
      <c r="AF148" s="287">
        <f t="shared" si="68"/>
        <v>1761508.8056326988</v>
      </c>
      <c r="AG148" s="287">
        <f t="shared" si="69"/>
        <v>1321131.6042245245</v>
      </c>
      <c r="AH148" s="287">
        <f t="shared" si="70"/>
        <v>0</v>
      </c>
      <c r="AI148" s="287">
        <f t="shared" si="71"/>
        <v>0</v>
      </c>
      <c r="AJ148" s="287">
        <f t="shared" si="72"/>
        <v>0</v>
      </c>
      <c r="AK148" s="287">
        <f t="shared" si="73"/>
        <v>0</v>
      </c>
      <c r="AL148" s="287">
        <f t="shared" si="74"/>
        <v>0</v>
      </c>
      <c r="AM148" s="287">
        <f t="shared" si="75"/>
        <v>0</v>
      </c>
      <c r="AN148" s="287">
        <f t="shared" si="76"/>
        <v>0</v>
      </c>
      <c r="AO148" s="287">
        <f t="shared" si="77"/>
        <v>0</v>
      </c>
      <c r="AP148" s="287">
        <f t="shared" si="78"/>
        <v>88075.440281634947</v>
      </c>
      <c r="AQ148" s="287">
        <f t="shared" si="79"/>
        <v>66056.580211226217</v>
      </c>
      <c r="AR148" s="287">
        <f t="shared" si="80"/>
        <v>96082.298489056324</v>
      </c>
      <c r="AS148" s="289" t="e">
        <f>IF(J148='2027 Avoided Costs'!#REF!,3,5)</f>
        <v>#REF!</v>
      </c>
      <c r="AT148" s="290" cm="1">
        <f t="array" ref="AT148">IFERROR(IF($J148="Baseload",IF($O148=1,0,NPV('2027 Avoided Costs'!$D$6,_xlfn._xlws.FILTER('2027 Avoided Costs'!$C$14:$C$47,('2027 Avoided Costs'!$B$14:$B$47&gt;=$B148+1)*('2027 Avoided Costs'!$B$14:$B$47&lt;$B148+ROUND($O148,0)))))+_xlfn.XLOOKUP($B148,'2027 Avoided Costs'!$B$13:$B$47,'2027 Avoided Costs'!$C$13:$C$47),IF($O148=1,0,NPV('2027 Avoided Costs'!$D$6,_xlfn._xlws.FILTER('2027 Avoided Costs'!$E$14:$E$47,('2027 Avoided Costs'!$B$14:$B$47&gt;=$B148+1)*('2027 Avoided Costs'!$B$14:$B$47&lt;$B148+ROUND($O148,0)))))+_xlfn.XLOOKUP($B148,'2027 Avoided Costs'!$B$13:$B$47,'2027 Avoided Costs'!$E$13:$E$47))*IF($AE148&gt;0,$AE148*(1+$W148),0),0)</f>
        <v>440568.38113770558</v>
      </c>
      <c r="AU148" s="290" cm="1">
        <f t="array" ref="AU148">IFERROR((IF($O148=1,0,NPV('2027 Avoided Costs'!$D$6,_xlfn._xlws.FILTER('2027 Avoided Costs'!$M$14:$M$47,('2027 Avoided Costs'!$B$14:$B$47&gt;=$B148+1)*('2027 Avoided Costs'!$B$14:$B$47&lt;$B148+ROUND($O148,0)))))+_xlfn.XLOOKUP($B148,'2027 Avoided Costs'!$B$13:$B$47,'2027 Avoided Costs'!$M$13:$M$47))*IF($AK148&gt;0,$AK148*(1+$W148),0),0)</f>
        <v>0</v>
      </c>
      <c r="AV148" s="291" cm="1">
        <f t="array" ref="AV148">IFERROR((IF($O148=1,0,NPV('2027 Avoided Costs'!$D$6,_xlfn._xlws.FILTER('2027 Avoided Costs'!$Q$14:$Q$47,('2027 Avoided Costs'!$B$14:$B$47&gt;=$B148+1)*('2027 Avoided Costs'!$B$14:$B$47&lt;$B148+ROUND($O148,0)))))+_xlfn.XLOOKUP($B148,'2027 Avoided Costs'!$B$13:$B$47,'2027 Avoided Costs'!$Q$13:$Q$47))*IF($AI148&gt;0,$AI148*(1+$W148),0),0)</f>
        <v>0</v>
      </c>
      <c r="AW148" s="291" cm="1">
        <f t="array" ref="AW148">IFERROR((IF($O148=1,0,NPV('2027 Avoided Costs'!$D$6,_xlfn._xlws.FILTER('2027 Avoided Costs'!$W$14:$W$47,('2027 Avoided Costs'!$B$14:$B$47&gt;=$B148+1)*('2027 Avoided Costs'!$B$14:$B$47&lt;$B148+ROUND($O148,0)))))+_xlfn.XLOOKUP($B148,'2027 Avoided Costs'!$B$13:$B$47,'2027 Avoided Costs'!$W$13:$W$47))*IF($AM148&gt;0,$AM148*(1+$W148),0),0)</f>
        <v>0</v>
      </c>
      <c r="AX148" s="291" cm="1">
        <f t="array" ref="AX148">IFERROR((IF($O148=1,0,NPV('2027 Avoided Costs'!$D$6,_xlfn._xlws.FILTER('2027 Avoided Costs'!$AC$14:$AC$47,('2027 Avoided Costs'!$B$14:$B$47&gt;=$B148+1)*('2027 Avoided Costs'!$B$14:$B$47&lt;$B148+ROUND($O148,0)))))+_xlfn.XLOOKUP($B148,'2027 Avoided Costs'!$B$13:$B$47,'2027 Avoided Costs'!$AC$13:$AC$47))*IF($AO148&gt;0,$AO148*(1+$W148),0),0)</f>
        <v>0</v>
      </c>
      <c r="AY148" s="291" cm="1">
        <f t="array" ref="AY148">IFERROR((IF($O148=1,0,NPV('2027 Avoided Costs'!$D$4,_xlfn._xlws.FILTER('2027 Avoided Costs'!$I$14:$I$47,('2027 Avoided Costs'!$B$14:$B$47&gt;=$B148+1)*('2027 Avoided Costs'!$B$14:$B$47&lt;$B148+ROUND($O148,0)))))+_xlfn.XLOOKUP($B148,'2027 Avoided Costs'!$B$13:$B$47,'2027 Avoided Costs'!$I$13:$I$47))*IF($X148="Residential",'2027 Avoided Costs'!$J$5,IF($X148="Large Volume",'2027 Avoided Costs'!$J$7,'2027 Avoided Costs'!$J$6))*IF($AE148&gt;0,$AE148,0),0)</f>
        <v>0</v>
      </c>
      <c r="AZ148" s="291" cm="1">
        <f t="array" ref="AZ148">IFERROR(IF($J148="Baseload",IF($O148=1,0,NPV('2027 Avoided Costs'!$D$6,_xlfn._xlws.FILTER('2027 Avoided Costs'!$C$14:$C$47,('2027 Avoided Costs'!$B$14:$B$47&gt;=$B148+1)*('2027 Avoided Costs'!$B$14:$B$47&lt;$B148+ROUND($O148,0)))))+_xlfn.XLOOKUP($B148,'2027 Avoided Costs'!$B$13:$B$47,'2027 Avoided Costs'!$C$13:$C$47),IF($O148=1,0,NPV('2027 Avoided Costs'!$D$6,_xlfn._xlws.FILTER('2027 Avoided Costs'!$E$14:$E$47,('2027 Avoided Costs'!$B$14:$B$47&gt;=$B148+1)*('2027 Avoided Costs'!$B$14:$B$47&lt;$B148+ROUND($O148,0)))))+_xlfn.XLOOKUP($B148,'2027 Avoided Costs'!$B$13:$B$47,'2027 Avoided Costs'!$E$13:$E$47))*IF($AE148&lt;0,$AE148*(-1),0),0)</f>
        <v>0</v>
      </c>
      <c r="BA148" s="291" cm="1">
        <f t="array" ref="BA148">IFERROR((IF($O148=1,0,NPV('2027 Avoided Costs'!$D$6,_xlfn._xlws.FILTER('2027 Avoided Costs'!$M$14:$M$47,('2027 Avoided Costs'!$B$14:$B$47&gt;=$B148+1)*('2027 Avoided Costs'!$B$14:$B$47&lt;$B148+ROUND($O148,0)))))+_xlfn.XLOOKUP($B148,'2027 Avoided Costs'!$B$13:$B$47,'2027 Avoided Costs'!$M$13:$M$47))*IF($AK148&lt;0,$AK148*(-1),0),0)</f>
        <v>0</v>
      </c>
      <c r="BB148" s="291" cm="1">
        <f t="array" ref="BB148">IFERROR((IF($O148=1,0,NPV('2027 Avoided Costs'!$D$6,_xlfn._xlws.FILTER('2027 Avoided Costs'!$S$14:$S$47,('2027 Avoided Costs'!$B$14:$B$47&gt;=$B148+1)*('2027 Avoided Costs'!$B$14:$B$47&lt;$B148+ROUND($O148,0)))))+_xlfn.XLOOKUP($B148,'2027 Avoided Costs'!$B$13:$B$47,'2027 Avoided Costs'!$S$13:$S$47))*IF($AI148&lt;0,$AI148*(-1),0),0)</f>
        <v>0</v>
      </c>
      <c r="BC148" s="291" cm="1">
        <f t="array" ref="BC148">IFERROR((IF($O148=1,0,NPV('2027 Avoided Costs'!$D$6,_xlfn._xlws.FILTER('2027 Avoided Costs'!$Y$14:$Y$47,('2027 Avoided Costs'!$B$14:$B$47&gt;=$B148+1)*('2027 Avoided Costs'!$B$14:$B$47&lt;$B148+ROUND($O148,0)))))+_xlfn.XLOOKUP($B148,'2027 Avoided Costs'!$B$13:$B$47,'2027 Avoided Costs'!$Y$13:$Y$47))*IF($AM148&lt;0,$AM148*(-1),0),0)</f>
        <v>0</v>
      </c>
      <c r="BD148" s="291" cm="1">
        <f t="array" ref="BD148">IFERROR((IF($O148=1,0,NPV('2027 Avoided Costs'!$D$6,_xlfn._xlws.FILTER('2027 Avoided Costs'!$AE$14:$AE$47,('2027 Avoided Costs'!$B$14:$B$47&gt;=$B148+1)*('2027 Avoided Costs'!$B$14:$B$47&lt;$B148+ROUND($O148,0)))))+_xlfn.XLOOKUP($B148,'2027 Avoided Costs'!$B$13:$B$47,'2027 Avoided Costs'!$AE$13:$AE$47))*IF($AO148&lt;0,$AO148*(-1),0),0)</f>
        <v>0</v>
      </c>
      <c r="BE148" s="291" cm="1">
        <f t="array" ref="BE148">IFERROR((IF($O148=1,0,NPV('2027 Avoided Costs'!$D$4,_xlfn._xlws.FILTER('2027 Avoided Costs'!$I$14:$I$47,('2027 Avoided Costs'!$B$14:$B$47&gt;=$B148+1)*('2027 Avoided Costs'!$B$14:$B$47&lt;$B148+ROUND($O148,0)))))+_xlfn.XLOOKUP($B148,'2027 Avoided Costs'!$B$13:$B$47,'2027 Avoided Costs'!$I$13:$I$47))*IF($X148="Residential",'2027 Avoided Costs'!$J$5,IF($X148="Large Volume",'2027 Avoided Costs'!$J$7,'2027 Avoided Costs'!$J$6))*IF($AE148&lt;0,$AE148*(-1),0),0)</f>
        <v>0</v>
      </c>
      <c r="BF148" s="291">
        <f t="shared" si="58"/>
        <v>440568.38113770558</v>
      </c>
      <c r="BG148" s="291">
        <f t="shared" si="59"/>
        <v>66056.580211226217</v>
      </c>
      <c r="BH148" s="291">
        <f t="shared" si="60"/>
        <v>374511.80092647939</v>
      </c>
      <c r="BI148" s="292">
        <f t="shared" si="83"/>
        <v>6.669560848123222</v>
      </c>
      <c r="BJ148" s="196" cm="1">
        <f t="array" ref="BJ148">IFERROR(IF($J148="Baseload",IF($O148=1,0,NPV('2027 Avoided Costs'!$D$6,_xlfn._xlws.FILTER('2027 Avoided Costs'!$C$14:$C$47,('2027 Avoided Costs'!$B$14:$B$47&gt;=$B148+1)*('2027 Avoided Costs'!$B$14:$B$47&lt;$B148+ROUND($O148,0)))))+_xlfn.XLOOKUP($B148,'2027 Avoided Costs'!$B$13:$B$47,'2027 Avoided Costs'!$C$13:$C$47),IF($O148=1,0,NPV('2027 Avoided Costs'!$D$6,_xlfn._xlws.FILTER('2027 Avoided Costs'!$E$14:$E$47,('2027 Avoided Costs'!$B$14:$B$47&gt;=$B148+1)*('2027 Avoided Costs'!$B$14:$B$47&lt;$B148+ROUND($O148,0)))))+_xlfn.XLOOKUP($B148,'2027 Avoided Costs'!$B$13:$B$47,'2027 Avoided Costs'!$E$13:$E$47))*IF($AE148&gt;0,$AE148*(1+0),0),0)</f>
        <v>383102.94011974405</v>
      </c>
      <c r="BK148" s="293">
        <f t="shared" si="81"/>
        <v>4.1808089163803377</v>
      </c>
    </row>
    <row r="149" spans="1:63" s="56" customFormat="1" x14ac:dyDescent="0.25">
      <c r="A149" s="270" t="s">
        <v>133</v>
      </c>
      <c r="B149" s="271">
        <v>2029</v>
      </c>
      <c r="C149" s="272" t="s">
        <v>13</v>
      </c>
      <c r="D149" s="272" t="s">
        <v>166</v>
      </c>
      <c r="E149" s="272" t="s">
        <v>349</v>
      </c>
      <c r="F149" s="273">
        <v>16</v>
      </c>
      <c r="G149" s="274">
        <v>971.42029722391476</v>
      </c>
      <c r="H149" s="275">
        <f t="shared" si="61"/>
        <v>0.25</v>
      </c>
      <c r="I149" s="274">
        <v>0</v>
      </c>
      <c r="J149" s="276" t="s">
        <v>263</v>
      </c>
      <c r="K149" s="277">
        <f t="shared" si="57"/>
        <v>0.75</v>
      </c>
      <c r="L149" s="278">
        <v>0.28000000000000003</v>
      </c>
      <c r="M149" s="278">
        <v>0.03</v>
      </c>
      <c r="N149" s="278">
        <v>1</v>
      </c>
      <c r="O149" s="279">
        <v>5</v>
      </c>
      <c r="P149" s="280">
        <v>3885.681188895659</v>
      </c>
      <c r="Q149" s="281">
        <v>0</v>
      </c>
      <c r="R149" s="282">
        <v>0</v>
      </c>
      <c r="S149" s="282">
        <v>0</v>
      </c>
      <c r="T149" s="281">
        <v>0</v>
      </c>
      <c r="U149" s="283">
        <v>0.36363636363636365</v>
      </c>
      <c r="V149" s="284">
        <v>971.42029722391476</v>
      </c>
      <c r="W149" s="285">
        <v>0.15</v>
      </c>
      <c r="X149" s="286" t="s">
        <v>255</v>
      </c>
      <c r="Y149" s="287">
        <f t="shared" si="62"/>
        <v>16</v>
      </c>
      <c r="Z149" s="288">
        <f t="shared" si="63"/>
        <v>15542.724755582636</v>
      </c>
      <c r="AA149" s="288">
        <f t="shared" si="64"/>
        <v>0</v>
      </c>
      <c r="AB149" s="288">
        <f t="shared" si="65"/>
        <v>16170.650835708175</v>
      </c>
      <c r="AC149" s="288">
        <f t="shared" si="82"/>
        <v>0</v>
      </c>
      <c r="AD149" s="287">
        <f t="shared" si="66"/>
        <v>62170.899022330545</v>
      </c>
      <c r="AE149" s="287">
        <f t="shared" si="67"/>
        <v>46628.174266747912</v>
      </c>
      <c r="AF149" s="287">
        <f t="shared" si="68"/>
        <v>310854.49511165271</v>
      </c>
      <c r="AG149" s="287">
        <f t="shared" si="69"/>
        <v>233140.87133373955</v>
      </c>
      <c r="AH149" s="287">
        <f t="shared" si="70"/>
        <v>0</v>
      </c>
      <c r="AI149" s="287">
        <f t="shared" si="71"/>
        <v>0</v>
      </c>
      <c r="AJ149" s="287">
        <f t="shared" si="72"/>
        <v>0</v>
      </c>
      <c r="AK149" s="287">
        <f t="shared" si="73"/>
        <v>0</v>
      </c>
      <c r="AL149" s="287">
        <f t="shared" si="74"/>
        <v>0</v>
      </c>
      <c r="AM149" s="287">
        <f t="shared" si="75"/>
        <v>0</v>
      </c>
      <c r="AN149" s="287">
        <f t="shared" si="76"/>
        <v>0</v>
      </c>
      <c r="AO149" s="287">
        <f t="shared" si="77"/>
        <v>0</v>
      </c>
      <c r="AP149" s="287">
        <f t="shared" si="78"/>
        <v>15542.724755582636</v>
      </c>
      <c r="AQ149" s="287">
        <f t="shared" si="79"/>
        <v>11657.043566686978</v>
      </c>
      <c r="AR149" s="287">
        <f t="shared" si="80"/>
        <v>16955.699733362879</v>
      </c>
      <c r="AS149" s="289" t="e">
        <f>IF(J149='2027 Avoided Costs'!#REF!,3,5)</f>
        <v>#REF!</v>
      </c>
      <c r="AT149" s="290" cm="1">
        <f t="array" ref="AT149">IFERROR(IF($J149="Baseload",IF($O149=1,0,NPV('2027 Avoided Costs'!$D$6,_xlfn._xlws.FILTER('2027 Avoided Costs'!$C$14:$C$47,('2027 Avoided Costs'!$B$14:$B$47&gt;=$B149+1)*('2027 Avoided Costs'!$B$14:$B$47&lt;$B149+ROUND($O149,0)))))+_xlfn.XLOOKUP($B149,'2027 Avoided Costs'!$B$13:$B$47,'2027 Avoided Costs'!$C$13:$C$47),IF($O149=1,0,NPV('2027 Avoided Costs'!$D$6,_xlfn._xlws.FILTER('2027 Avoided Costs'!$E$14:$E$47,('2027 Avoided Costs'!$B$14:$B$47&gt;=$B149+1)*('2027 Avoided Costs'!$B$14:$B$47&lt;$B149+ROUND($O149,0)))))+_xlfn.XLOOKUP($B149,'2027 Avoided Costs'!$B$13:$B$47,'2027 Avoided Costs'!$E$13:$E$47))*IF($AE149&gt;0,$AE149*(1+$W149),0),0)</f>
        <v>69273.180781450763</v>
      </c>
      <c r="AU149" s="290" cm="1">
        <f t="array" ref="AU149">IFERROR((IF($O149=1,0,NPV('2027 Avoided Costs'!$D$6,_xlfn._xlws.FILTER('2027 Avoided Costs'!$M$14:$M$47,('2027 Avoided Costs'!$B$14:$B$47&gt;=$B149+1)*('2027 Avoided Costs'!$B$14:$B$47&lt;$B149+ROUND($O149,0)))))+_xlfn.XLOOKUP($B149,'2027 Avoided Costs'!$B$13:$B$47,'2027 Avoided Costs'!$M$13:$M$47))*IF($AK149&gt;0,$AK149*(1+$W149),0),0)</f>
        <v>0</v>
      </c>
      <c r="AV149" s="291" cm="1">
        <f t="array" ref="AV149">IFERROR((IF($O149=1,0,NPV('2027 Avoided Costs'!$D$6,_xlfn._xlws.FILTER('2027 Avoided Costs'!$Q$14:$Q$47,('2027 Avoided Costs'!$B$14:$B$47&gt;=$B149+1)*('2027 Avoided Costs'!$B$14:$B$47&lt;$B149+ROUND($O149,0)))))+_xlfn.XLOOKUP($B149,'2027 Avoided Costs'!$B$13:$B$47,'2027 Avoided Costs'!$Q$13:$Q$47))*IF($AI149&gt;0,$AI149*(1+$W149),0),0)</f>
        <v>0</v>
      </c>
      <c r="AW149" s="291" cm="1">
        <f t="array" ref="AW149">IFERROR((IF($O149=1,0,NPV('2027 Avoided Costs'!$D$6,_xlfn._xlws.FILTER('2027 Avoided Costs'!$W$14:$W$47,('2027 Avoided Costs'!$B$14:$B$47&gt;=$B149+1)*('2027 Avoided Costs'!$B$14:$B$47&lt;$B149+ROUND($O149,0)))))+_xlfn.XLOOKUP($B149,'2027 Avoided Costs'!$B$13:$B$47,'2027 Avoided Costs'!$W$13:$W$47))*IF($AM149&gt;0,$AM149*(1+$W149),0),0)</f>
        <v>0</v>
      </c>
      <c r="AX149" s="291" cm="1">
        <f t="array" ref="AX149">IFERROR((IF($O149=1,0,NPV('2027 Avoided Costs'!$D$6,_xlfn._xlws.FILTER('2027 Avoided Costs'!$AC$14:$AC$47,('2027 Avoided Costs'!$B$14:$B$47&gt;=$B149+1)*('2027 Avoided Costs'!$B$14:$B$47&lt;$B149+ROUND($O149,0)))))+_xlfn.XLOOKUP($B149,'2027 Avoided Costs'!$B$13:$B$47,'2027 Avoided Costs'!$AC$13:$AC$47))*IF($AO149&gt;0,$AO149*(1+$W149),0),0)</f>
        <v>0</v>
      </c>
      <c r="AY149" s="291" cm="1">
        <f t="array" ref="AY149">IFERROR((IF($O149=1,0,NPV('2027 Avoided Costs'!$D$4,_xlfn._xlws.FILTER('2027 Avoided Costs'!$I$14:$I$47,('2027 Avoided Costs'!$B$14:$B$47&gt;=$B149+1)*('2027 Avoided Costs'!$B$14:$B$47&lt;$B149+ROUND($O149,0)))))+_xlfn.XLOOKUP($B149,'2027 Avoided Costs'!$B$13:$B$47,'2027 Avoided Costs'!$I$13:$I$47))*IF($X149="Residential",'2027 Avoided Costs'!$J$5,IF($X149="Large Volume",'2027 Avoided Costs'!$J$7,'2027 Avoided Costs'!$J$6))*IF($AE149&gt;0,$AE149,0),0)</f>
        <v>0</v>
      </c>
      <c r="AZ149" s="291" cm="1">
        <f t="array" ref="AZ149">IFERROR(IF($J149="Baseload",IF($O149=1,0,NPV('2027 Avoided Costs'!$D$6,_xlfn._xlws.FILTER('2027 Avoided Costs'!$C$14:$C$47,('2027 Avoided Costs'!$B$14:$B$47&gt;=$B149+1)*('2027 Avoided Costs'!$B$14:$B$47&lt;$B149+ROUND($O149,0)))))+_xlfn.XLOOKUP($B149,'2027 Avoided Costs'!$B$13:$B$47,'2027 Avoided Costs'!$C$13:$C$47),IF($O149=1,0,NPV('2027 Avoided Costs'!$D$6,_xlfn._xlws.FILTER('2027 Avoided Costs'!$E$14:$E$47,('2027 Avoided Costs'!$B$14:$B$47&gt;=$B149+1)*('2027 Avoided Costs'!$B$14:$B$47&lt;$B149+ROUND($O149,0)))))+_xlfn.XLOOKUP($B149,'2027 Avoided Costs'!$B$13:$B$47,'2027 Avoided Costs'!$E$13:$E$47))*IF($AE149&lt;0,$AE149*(-1),0),0)</f>
        <v>0</v>
      </c>
      <c r="BA149" s="291" cm="1">
        <f t="array" ref="BA149">IFERROR((IF($O149=1,0,NPV('2027 Avoided Costs'!$D$6,_xlfn._xlws.FILTER('2027 Avoided Costs'!$M$14:$M$47,('2027 Avoided Costs'!$B$14:$B$47&gt;=$B149+1)*('2027 Avoided Costs'!$B$14:$B$47&lt;$B149+ROUND($O149,0)))))+_xlfn.XLOOKUP($B149,'2027 Avoided Costs'!$B$13:$B$47,'2027 Avoided Costs'!$M$13:$M$47))*IF($AK149&lt;0,$AK149*(-1),0),0)</f>
        <v>0</v>
      </c>
      <c r="BB149" s="291" cm="1">
        <f t="array" ref="BB149">IFERROR((IF($O149=1,0,NPV('2027 Avoided Costs'!$D$6,_xlfn._xlws.FILTER('2027 Avoided Costs'!$S$14:$S$47,('2027 Avoided Costs'!$B$14:$B$47&gt;=$B149+1)*('2027 Avoided Costs'!$B$14:$B$47&lt;$B149+ROUND($O149,0)))))+_xlfn.XLOOKUP($B149,'2027 Avoided Costs'!$B$13:$B$47,'2027 Avoided Costs'!$S$13:$S$47))*IF($AI149&lt;0,$AI149*(-1),0),0)</f>
        <v>0</v>
      </c>
      <c r="BC149" s="291" cm="1">
        <f t="array" ref="BC149">IFERROR((IF($O149=1,0,NPV('2027 Avoided Costs'!$D$6,_xlfn._xlws.FILTER('2027 Avoided Costs'!$Y$14:$Y$47,('2027 Avoided Costs'!$B$14:$B$47&gt;=$B149+1)*('2027 Avoided Costs'!$B$14:$B$47&lt;$B149+ROUND($O149,0)))))+_xlfn.XLOOKUP($B149,'2027 Avoided Costs'!$B$13:$B$47,'2027 Avoided Costs'!$Y$13:$Y$47))*IF($AM149&lt;0,$AM149*(-1),0),0)</f>
        <v>0</v>
      </c>
      <c r="BD149" s="291" cm="1">
        <f t="array" ref="BD149">IFERROR((IF($O149=1,0,NPV('2027 Avoided Costs'!$D$6,_xlfn._xlws.FILTER('2027 Avoided Costs'!$AE$14:$AE$47,('2027 Avoided Costs'!$B$14:$B$47&gt;=$B149+1)*('2027 Avoided Costs'!$B$14:$B$47&lt;$B149+ROUND($O149,0)))))+_xlfn.XLOOKUP($B149,'2027 Avoided Costs'!$B$13:$B$47,'2027 Avoided Costs'!$AE$13:$AE$47))*IF($AO149&lt;0,$AO149*(-1),0),0)</f>
        <v>0</v>
      </c>
      <c r="BE149" s="291" cm="1">
        <f t="array" ref="BE149">IFERROR((IF($O149=1,0,NPV('2027 Avoided Costs'!$D$4,_xlfn._xlws.FILTER('2027 Avoided Costs'!$I$14:$I$47,('2027 Avoided Costs'!$B$14:$B$47&gt;=$B149+1)*('2027 Avoided Costs'!$B$14:$B$47&lt;$B149+ROUND($O149,0)))))+_xlfn.XLOOKUP($B149,'2027 Avoided Costs'!$B$13:$B$47,'2027 Avoided Costs'!$I$13:$I$47))*IF($X149="Residential",'2027 Avoided Costs'!$J$5,IF($X149="Large Volume",'2027 Avoided Costs'!$J$7,'2027 Avoided Costs'!$J$6))*IF($AE149&lt;0,$AE149*(-1),0),0)</f>
        <v>0</v>
      </c>
      <c r="BF149" s="291">
        <f t="shared" si="58"/>
        <v>69273.180781450763</v>
      </c>
      <c r="BG149" s="291">
        <f t="shared" si="59"/>
        <v>11657.043566686978</v>
      </c>
      <c r="BH149" s="291">
        <f t="shared" si="60"/>
        <v>57616.137214763789</v>
      </c>
      <c r="BI149" s="292">
        <f t="shared" si="83"/>
        <v>5.9426028894167322</v>
      </c>
      <c r="BJ149" s="196" cm="1">
        <f t="array" ref="BJ149">IFERROR(IF($J149="Baseload",IF($O149=1,0,NPV('2027 Avoided Costs'!$D$6,_xlfn._xlws.FILTER('2027 Avoided Costs'!$C$14:$C$47,('2027 Avoided Costs'!$B$14:$B$47&gt;=$B149+1)*('2027 Avoided Costs'!$B$14:$B$47&lt;$B149+ROUND($O149,0)))))+_xlfn.XLOOKUP($B149,'2027 Avoided Costs'!$B$13:$B$47,'2027 Avoided Costs'!$C$13:$C$47),IF($O149=1,0,NPV('2027 Avoided Costs'!$D$6,_xlfn._xlws.FILTER('2027 Avoided Costs'!$E$14:$E$47,('2027 Avoided Costs'!$B$14:$B$47&gt;=$B149+1)*('2027 Avoided Costs'!$B$14:$B$47&lt;$B149+ROUND($O149,0)))))+_xlfn.XLOOKUP($B149,'2027 Avoided Costs'!$B$13:$B$47,'2027 Avoided Costs'!$E$13:$E$47))*IF($AE149&gt;0,$AE149*(1+0),0),0)</f>
        <v>60237.54850560936</v>
      </c>
      <c r="BK149" s="293">
        <f t="shared" si="81"/>
        <v>3.7251158977839203</v>
      </c>
    </row>
    <row r="150" spans="1:63" s="56" customFormat="1" x14ac:dyDescent="0.25">
      <c r="A150" s="270" t="s">
        <v>133</v>
      </c>
      <c r="B150" s="271">
        <v>2030</v>
      </c>
      <c r="C150" s="272" t="s">
        <v>13</v>
      </c>
      <c r="D150" s="272" t="s">
        <v>166</v>
      </c>
      <c r="E150" s="272" t="s">
        <v>348</v>
      </c>
      <c r="F150" s="273">
        <v>103</v>
      </c>
      <c r="G150" s="274">
        <v>940.61149815338274</v>
      </c>
      <c r="H150" s="275">
        <f t="shared" si="61"/>
        <v>0.25</v>
      </c>
      <c r="I150" s="274">
        <v>0</v>
      </c>
      <c r="J150" s="276" t="s">
        <v>264</v>
      </c>
      <c r="K150" s="277">
        <f t="shared" si="57"/>
        <v>0.75</v>
      </c>
      <c r="L150" s="278">
        <v>0.28000000000000003</v>
      </c>
      <c r="M150" s="278">
        <v>0.03</v>
      </c>
      <c r="N150" s="278">
        <v>1</v>
      </c>
      <c r="O150" s="279">
        <v>5</v>
      </c>
      <c r="P150" s="280">
        <v>3762.445992613531</v>
      </c>
      <c r="Q150" s="281">
        <v>0</v>
      </c>
      <c r="R150" s="282">
        <v>0</v>
      </c>
      <c r="S150" s="282">
        <v>0</v>
      </c>
      <c r="T150" s="281">
        <v>0</v>
      </c>
      <c r="U150" s="283">
        <v>0.36363636363636365</v>
      </c>
      <c r="V150" s="284">
        <v>940.61149815338274</v>
      </c>
      <c r="W150" s="285">
        <v>0.15</v>
      </c>
      <c r="X150" s="286" t="s">
        <v>255</v>
      </c>
      <c r="Y150" s="287">
        <f t="shared" si="62"/>
        <v>103</v>
      </c>
      <c r="Z150" s="288">
        <f t="shared" si="63"/>
        <v>96882.984309798427</v>
      </c>
      <c r="AA150" s="288">
        <f t="shared" si="64"/>
        <v>0</v>
      </c>
      <c r="AB150" s="288">
        <f t="shared" si="65"/>
        <v>102812.99801343256</v>
      </c>
      <c r="AC150" s="288">
        <f t="shared" si="82"/>
        <v>0</v>
      </c>
      <c r="AD150" s="287">
        <f t="shared" si="66"/>
        <v>387531.93723919371</v>
      </c>
      <c r="AE150" s="287">
        <f t="shared" si="67"/>
        <v>290648.95292939525</v>
      </c>
      <c r="AF150" s="287">
        <f t="shared" si="68"/>
        <v>1937659.6861959687</v>
      </c>
      <c r="AG150" s="287">
        <f t="shared" si="69"/>
        <v>1453244.7646469763</v>
      </c>
      <c r="AH150" s="287">
        <f t="shared" si="70"/>
        <v>0</v>
      </c>
      <c r="AI150" s="287">
        <f t="shared" si="71"/>
        <v>0</v>
      </c>
      <c r="AJ150" s="287">
        <f t="shared" si="72"/>
        <v>0</v>
      </c>
      <c r="AK150" s="287">
        <f t="shared" si="73"/>
        <v>0</v>
      </c>
      <c r="AL150" s="287">
        <f t="shared" si="74"/>
        <v>0</v>
      </c>
      <c r="AM150" s="287">
        <f t="shared" si="75"/>
        <v>0</v>
      </c>
      <c r="AN150" s="287">
        <f t="shared" si="76"/>
        <v>0</v>
      </c>
      <c r="AO150" s="287">
        <f t="shared" si="77"/>
        <v>0</v>
      </c>
      <c r="AP150" s="287">
        <f t="shared" si="78"/>
        <v>96882.984309798427</v>
      </c>
      <c r="AQ150" s="287">
        <f t="shared" si="79"/>
        <v>72662.238232348813</v>
      </c>
      <c r="AR150" s="287">
        <f t="shared" si="80"/>
        <v>105690.52833796191</v>
      </c>
      <c r="AS150" s="289" t="e">
        <f>IF(J150='2027 Avoided Costs'!#REF!,3,5)</f>
        <v>#REF!</v>
      </c>
      <c r="AT150" s="290" cm="1">
        <f t="array" ref="AT150">IFERROR(IF($J150="Baseload",IF($O150=1,0,NPV('2027 Avoided Costs'!$D$6,_xlfn._xlws.FILTER('2027 Avoided Costs'!$C$14:$C$47,('2027 Avoided Costs'!$B$14:$B$47&gt;=$B150+1)*('2027 Avoided Costs'!$B$14:$B$47&lt;$B150+ROUND($O150,0)))))+_xlfn.XLOOKUP($B150,'2027 Avoided Costs'!$B$13:$B$47,'2027 Avoided Costs'!$C$13:$C$47),IF($O150=1,0,NPV('2027 Avoided Costs'!$D$6,_xlfn._xlws.FILTER('2027 Avoided Costs'!$E$14:$E$47,('2027 Avoided Costs'!$B$14:$B$47&gt;=$B150+1)*('2027 Avoided Costs'!$B$14:$B$47&lt;$B150+ROUND($O150,0)))))+_xlfn.XLOOKUP($B150,'2027 Avoided Costs'!$B$13:$B$47,'2027 Avoided Costs'!$E$13:$E$47))*IF($AE150&gt;0,$AE150*(1+$W150),0),0)</f>
        <v>501744.61444699828</v>
      </c>
      <c r="AU150" s="290" cm="1">
        <f t="array" ref="AU150">IFERROR((IF($O150=1,0,NPV('2027 Avoided Costs'!$D$6,_xlfn._xlws.FILTER('2027 Avoided Costs'!$M$14:$M$47,('2027 Avoided Costs'!$B$14:$B$47&gt;=$B150+1)*('2027 Avoided Costs'!$B$14:$B$47&lt;$B150+ROUND($O150,0)))))+_xlfn.XLOOKUP($B150,'2027 Avoided Costs'!$B$13:$B$47,'2027 Avoided Costs'!$M$13:$M$47))*IF($AK150&gt;0,$AK150*(1+$W150),0),0)</f>
        <v>0</v>
      </c>
      <c r="AV150" s="291" cm="1">
        <f t="array" ref="AV150">IFERROR((IF($O150=1,0,NPV('2027 Avoided Costs'!$D$6,_xlfn._xlws.FILTER('2027 Avoided Costs'!$Q$14:$Q$47,('2027 Avoided Costs'!$B$14:$B$47&gt;=$B150+1)*('2027 Avoided Costs'!$B$14:$B$47&lt;$B150+ROUND($O150,0)))))+_xlfn.XLOOKUP($B150,'2027 Avoided Costs'!$B$13:$B$47,'2027 Avoided Costs'!$Q$13:$Q$47))*IF($AI150&gt;0,$AI150*(1+$W150),0),0)</f>
        <v>0</v>
      </c>
      <c r="AW150" s="291" cm="1">
        <f t="array" ref="AW150">IFERROR((IF($O150=1,0,NPV('2027 Avoided Costs'!$D$6,_xlfn._xlws.FILTER('2027 Avoided Costs'!$W$14:$W$47,('2027 Avoided Costs'!$B$14:$B$47&gt;=$B150+1)*('2027 Avoided Costs'!$B$14:$B$47&lt;$B150+ROUND($O150,0)))))+_xlfn.XLOOKUP($B150,'2027 Avoided Costs'!$B$13:$B$47,'2027 Avoided Costs'!$W$13:$W$47))*IF($AM150&gt;0,$AM150*(1+$W150),0),0)</f>
        <v>0</v>
      </c>
      <c r="AX150" s="291" cm="1">
        <f t="array" ref="AX150">IFERROR((IF($O150=1,0,NPV('2027 Avoided Costs'!$D$6,_xlfn._xlws.FILTER('2027 Avoided Costs'!$AC$14:$AC$47,('2027 Avoided Costs'!$B$14:$B$47&gt;=$B150+1)*('2027 Avoided Costs'!$B$14:$B$47&lt;$B150+ROUND($O150,0)))))+_xlfn.XLOOKUP($B150,'2027 Avoided Costs'!$B$13:$B$47,'2027 Avoided Costs'!$AC$13:$AC$47))*IF($AO150&gt;0,$AO150*(1+$W150),0),0)</f>
        <v>0</v>
      </c>
      <c r="AY150" s="291" cm="1">
        <f t="array" ref="AY150">IFERROR((IF($O150=1,0,NPV('2027 Avoided Costs'!$D$4,_xlfn._xlws.FILTER('2027 Avoided Costs'!$I$14:$I$47,('2027 Avoided Costs'!$B$14:$B$47&gt;=$B150+1)*('2027 Avoided Costs'!$B$14:$B$47&lt;$B150+ROUND($O150,0)))))+_xlfn.XLOOKUP($B150,'2027 Avoided Costs'!$B$13:$B$47,'2027 Avoided Costs'!$I$13:$I$47))*IF($X150="Residential",'2027 Avoided Costs'!$J$5,IF($X150="Large Volume",'2027 Avoided Costs'!$J$7,'2027 Avoided Costs'!$J$6))*IF($AE150&gt;0,$AE150,0),0)</f>
        <v>0</v>
      </c>
      <c r="AZ150" s="291" cm="1">
        <f t="array" ref="AZ150">IFERROR(IF($J150="Baseload",IF($O150=1,0,NPV('2027 Avoided Costs'!$D$6,_xlfn._xlws.FILTER('2027 Avoided Costs'!$C$14:$C$47,('2027 Avoided Costs'!$B$14:$B$47&gt;=$B150+1)*('2027 Avoided Costs'!$B$14:$B$47&lt;$B150+ROUND($O150,0)))))+_xlfn.XLOOKUP($B150,'2027 Avoided Costs'!$B$13:$B$47,'2027 Avoided Costs'!$C$13:$C$47),IF($O150=1,0,NPV('2027 Avoided Costs'!$D$6,_xlfn._xlws.FILTER('2027 Avoided Costs'!$E$14:$E$47,('2027 Avoided Costs'!$B$14:$B$47&gt;=$B150+1)*('2027 Avoided Costs'!$B$14:$B$47&lt;$B150+ROUND($O150,0)))))+_xlfn.XLOOKUP($B150,'2027 Avoided Costs'!$B$13:$B$47,'2027 Avoided Costs'!$E$13:$E$47))*IF($AE150&lt;0,$AE150*(-1),0),0)</f>
        <v>0</v>
      </c>
      <c r="BA150" s="291" cm="1">
        <f t="array" ref="BA150">IFERROR((IF($O150=1,0,NPV('2027 Avoided Costs'!$D$6,_xlfn._xlws.FILTER('2027 Avoided Costs'!$M$14:$M$47,('2027 Avoided Costs'!$B$14:$B$47&gt;=$B150+1)*('2027 Avoided Costs'!$B$14:$B$47&lt;$B150+ROUND($O150,0)))))+_xlfn.XLOOKUP($B150,'2027 Avoided Costs'!$B$13:$B$47,'2027 Avoided Costs'!$M$13:$M$47))*IF($AK150&lt;0,$AK150*(-1),0),0)</f>
        <v>0</v>
      </c>
      <c r="BB150" s="291" cm="1">
        <f t="array" ref="BB150">IFERROR((IF($O150=1,0,NPV('2027 Avoided Costs'!$D$6,_xlfn._xlws.FILTER('2027 Avoided Costs'!$S$14:$S$47,('2027 Avoided Costs'!$B$14:$B$47&gt;=$B150+1)*('2027 Avoided Costs'!$B$14:$B$47&lt;$B150+ROUND($O150,0)))))+_xlfn.XLOOKUP($B150,'2027 Avoided Costs'!$B$13:$B$47,'2027 Avoided Costs'!$S$13:$S$47))*IF($AI150&lt;0,$AI150*(-1),0),0)</f>
        <v>0</v>
      </c>
      <c r="BC150" s="291" cm="1">
        <f t="array" ref="BC150">IFERROR((IF($O150=1,0,NPV('2027 Avoided Costs'!$D$6,_xlfn._xlws.FILTER('2027 Avoided Costs'!$Y$14:$Y$47,('2027 Avoided Costs'!$B$14:$B$47&gt;=$B150+1)*('2027 Avoided Costs'!$B$14:$B$47&lt;$B150+ROUND($O150,0)))))+_xlfn.XLOOKUP($B150,'2027 Avoided Costs'!$B$13:$B$47,'2027 Avoided Costs'!$Y$13:$Y$47))*IF($AM150&lt;0,$AM150*(-1),0),0)</f>
        <v>0</v>
      </c>
      <c r="BD150" s="291" cm="1">
        <f t="array" ref="BD150">IFERROR((IF($O150=1,0,NPV('2027 Avoided Costs'!$D$6,_xlfn._xlws.FILTER('2027 Avoided Costs'!$AE$14:$AE$47,('2027 Avoided Costs'!$B$14:$B$47&gt;=$B150+1)*('2027 Avoided Costs'!$B$14:$B$47&lt;$B150+ROUND($O150,0)))))+_xlfn.XLOOKUP($B150,'2027 Avoided Costs'!$B$13:$B$47,'2027 Avoided Costs'!$AE$13:$AE$47))*IF($AO150&lt;0,$AO150*(-1),0),0)</f>
        <v>0</v>
      </c>
      <c r="BE150" s="291" cm="1">
        <f t="array" ref="BE150">IFERROR((IF($O150=1,0,NPV('2027 Avoided Costs'!$D$4,_xlfn._xlws.FILTER('2027 Avoided Costs'!$I$14:$I$47,('2027 Avoided Costs'!$B$14:$B$47&gt;=$B150+1)*('2027 Avoided Costs'!$B$14:$B$47&lt;$B150+ROUND($O150,0)))))+_xlfn.XLOOKUP($B150,'2027 Avoided Costs'!$B$13:$B$47,'2027 Avoided Costs'!$I$13:$I$47))*IF($X150="Residential",'2027 Avoided Costs'!$J$5,IF($X150="Large Volume",'2027 Avoided Costs'!$J$7,'2027 Avoided Costs'!$J$6))*IF($AE150&lt;0,$AE150*(-1),0),0)</f>
        <v>0</v>
      </c>
      <c r="BF150" s="291">
        <f t="shared" si="58"/>
        <v>501744.61444699828</v>
      </c>
      <c r="BG150" s="291">
        <f t="shared" si="59"/>
        <v>72662.238232348813</v>
      </c>
      <c r="BH150" s="291">
        <f t="shared" si="60"/>
        <v>429082.37621464947</v>
      </c>
      <c r="BI150" s="292">
        <f t="shared" si="83"/>
        <v>6.9051632134230685</v>
      </c>
      <c r="BJ150" s="196" cm="1">
        <f t="array" ref="BJ150">IFERROR(IF($J150="Baseload",IF($O150=1,0,NPV('2027 Avoided Costs'!$D$6,_xlfn._xlws.FILTER('2027 Avoided Costs'!$C$14:$C$47,('2027 Avoided Costs'!$B$14:$B$47&gt;=$B150+1)*('2027 Avoided Costs'!$B$14:$B$47&lt;$B150+ROUND($O150,0)))))+_xlfn.XLOOKUP($B150,'2027 Avoided Costs'!$B$13:$B$47,'2027 Avoided Costs'!$C$13:$C$47),IF($O150=1,0,NPV('2027 Avoided Costs'!$D$6,_xlfn._xlws.FILTER('2027 Avoided Costs'!$E$14:$E$47,('2027 Avoided Costs'!$B$14:$B$47&gt;=$B150+1)*('2027 Avoided Costs'!$B$14:$B$47&lt;$B150+ROUND($O150,0)))))+_xlfn.XLOOKUP($B150,'2027 Avoided Costs'!$B$13:$B$47,'2027 Avoided Costs'!$E$13:$E$47))*IF($AE150&gt;0,$AE150*(1+0),0),0)</f>
        <v>436299.66473652032</v>
      </c>
      <c r="BK150" s="293">
        <f t="shared" si="81"/>
        <v>4.2436235998051295</v>
      </c>
    </row>
    <row r="151" spans="1:63" s="56" customFormat="1" x14ac:dyDescent="0.25">
      <c r="A151" s="270" t="s">
        <v>133</v>
      </c>
      <c r="B151" s="271">
        <v>2030</v>
      </c>
      <c r="C151" s="272" t="s">
        <v>13</v>
      </c>
      <c r="D151" s="272" t="s">
        <v>166</v>
      </c>
      <c r="E151" s="272" t="s">
        <v>349</v>
      </c>
      <c r="F151" s="273">
        <v>18</v>
      </c>
      <c r="G151" s="274">
        <v>949.83317950782782</v>
      </c>
      <c r="H151" s="275">
        <f t="shared" si="61"/>
        <v>0.25</v>
      </c>
      <c r="I151" s="274">
        <v>0</v>
      </c>
      <c r="J151" s="276" t="s">
        <v>263</v>
      </c>
      <c r="K151" s="277">
        <f t="shared" si="57"/>
        <v>0.75</v>
      </c>
      <c r="L151" s="278">
        <v>0.28000000000000003</v>
      </c>
      <c r="M151" s="278">
        <v>0.03</v>
      </c>
      <c r="N151" s="278">
        <v>1</v>
      </c>
      <c r="O151" s="279">
        <v>5</v>
      </c>
      <c r="P151" s="280">
        <v>3799.3327180313113</v>
      </c>
      <c r="Q151" s="281">
        <v>0</v>
      </c>
      <c r="R151" s="282">
        <v>0</v>
      </c>
      <c r="S151" s="282">
        <v>0</v>
      </c>
      <c r="T151" s="281">
        <v>0</v>
      </c>
      <c r="U151" s="283">
        <v>0.36363636363636365</v>
      </c>
      <c r="V151" s="284">
        <v>949.83317950782782</v>
      </c>
      <c r="W151" s="285">
        <v>0.15</v>
      </c>
      <c r="X151" s="286" t="s">
        <v>255</v>
      </c>
      <c r="Y151" s="287">
        <f t="shared" si="62"/>
        <v>18</v>
      </c>
      <c r="Z151" s="288">
        <f t="shared" si="63"/>
        <v>17096.9972311409</v>
      </c>
      <c r="AA151" s="288">
        <f t="shared" si="64"/>
        <v>0</v>
      </c>
      <c r="AB151" s="288">
        <f t="shared" si="65"/>
        <v>18143.470237664573</v>
      </c>
      <c r="AC151" s="288">
        <f t="shared" si="82"/>
        <v>0</v>
      </c>
      <c r="AD151" s="287">
        <f t="shared" si="66"/>
        <v>68387.9889245636</v>
      </c>
      <c r="AE151" s="287">
        <f t="shared" si="67"/>
        <v>51290.9916934227</v>
      </c>
      <c r="AF151" s="287">
        <f t="shared" si="68"/>
        <v>341939.94462281803</v>
      </c>
      <c r="AG151" s="287">
        <f t="shared" si="69"/>
        <v>256454.95846711349</v>
      </c>
      <c r="AH151" s="287">
        <f t="shared" si="70"/>
        <v>0</v>
      </c>
      <c r="AI151" s="287">
        <f t="shared" si="71"/>
        <v>0</v>
      </c>
      <c r="AJ151" s="287">
        <f t="shared" si="72"/>
        <v>0</v>
      </c>
      <c r="AK151" s="287">
        <f t="shared" si="73"/>
        <v>0</v>
      </c>
      <c r="AL151" s="287">
        <f t="shared" si="74"/>
        <v>0</v>
      </c>
      <c r="AM151" s="287">
        <f t="shared" si="75"/>
        <v>0</v>
      </c>
      <c r="AN151" s="287">
        <f t="shared" si="76"/>
        <v>0</v>
      </c>
      <c r="AO151" s="287">
        <f t="shared" si="77"/>
        <v>0</v>
      </c>
      <c r="AP151" s="287">
        <f t="shared" si="78"/>
        <v>17096.9972311409</v>
      </c>
      <c r="AQ151" s="287">
        <f t="shared" si="79"/>
        <v>12822.747923355675</v>
      </c>
      <c r="AR151" s="287">
        <f t="shared" si="80"/>
        <v>18651.269706699164</v>
      </c>
      <c r="AS151" s="289" t="e">
        <f>IF(J151='2027 Avoided Costs'!#REF!,3,5)</f>
        <v>#REF!</v>
      </c>
      <c r="AT151" s="290" cm="1">
        <f t="array" ref="AT151">IFERROR(IF($J151="Baseload",IF($O151=1,0,NPV('2027 Avoided Costs'!$D$6,_xlfn._xlws.FILTER('2027 Avoided Costs'!$C$14:$C$47,('2027 Avoided Costs'!$B$14:$B$47&gt;=$B151+1)*('2027 Avoided Costs'!$B$14:$B$47&lt;$B151+ROUND($O151,0)))))+_xlfn.XLOOKUP($B151,'2027 Avoided Costs'!$B$13:$B$47,'2027 Avoided Costs'!$C$13:$C$47),IF($O151=1,0,NPV('2027 Avoided Costs'!$D$6,_xlfn._xlws.FILTER('2027 Avoided Costs'!$E$14:$E$47,('2027 Avoided Costs'!$B$14:$B$47&gt;=$B151+1)*('2027 Avoided Costs'!$B$14:$B$47&lt;$B151+ROUND($O151,0)))))+_xlfn.XLOOKUP($B151,'2027 Avoided Costs'!$B$13:$B$47,'2027 Avoided Costs'!$E$13:$E$47))*IF($AE151&gt;0,$AE151*(1+$W151),0),0)</f>
        <v>79035.136626874722</v>
      </c>
      <c r="AU151" s="290" cm="1">
        <f t="array" ref="AU151">IFERROR((IF($O151=1,0,NPV('2027 Avoided Costs'!$D$6,_xlfn._xlws.FILTER('2027 Avoided Costs'!$M$14:$M$47,('2027 Avoided Costs'!$B$14:$B$47&gt;=$B151+1)*('2027 Avoided Costs'!$B$14:$B$47&lt;$B151+ROUND($O151,0)))))+_xlfn.XLOOKUP($B151,'2027 Avoided Costs'!$B$13:$B$47,'2027 Avoided Costs'!$M$13:$M$47))*IF($AK151&gt;0,$AK151*(1+$W151),0),0)</f>
        <v>0</v>
      </c>
      <c r="AV151" s="291" cm="1">
        <f t="array" ref="AV151">IFERROR((IF($O151=1,0,NPV('2027 Avoided Costs'!$D$6,_xlfn._xlws.FILTER('2027 Avoided Costs'!$Q$14:$Q$47,('2027 Avoided Costs'!$B$14:$B$47&gt;=$B151+1)*('2027 Avoided Costs'!$B$14:$B$47&lt;$B151+ROUND($O151,0)))))+_xlfn.XLOOKUP($B151,'2027 Avoided Costs'!$B$13:$B$47,'2027 Avoided Costs'!$Q$13:$Q$47))*IF($AI151&gt;0,$AI151*(1+$W151),0),0)</f>
        <v>0</v>
      </c>
      <c r="AW151" s="291" cm="1">
        <f t="array" ref="AW151">IFERROR((IF($O151=1,0,NPV('2027 Avoided Costs'!$D$6,_xlfn._xlws.FILTER('2027 Avoided Costs'!$W$14:$W$47,('2027 Avoided Costs'!$B$14:$B$47&gt;=$B151+1)*('2027 Avoided Costs'!$B$14:$B$47&lt;$B151+ROUND($O151,0)))))+_xlfn.XLOOKUP($B151,'2027 Avoided Costs'!$B$13:$B$47,'2027 Avoided Costs'!$W$13:$W$47))*IF($AM151&gt;0,$AM151*(1+$W151),0),0)</f>
        <v>0</v>
      </c>
      <c r="AX151" s="291" cm="1">
        <f t="array" ref="AX151">IFERROR((IF($O151=1,0,NPV('2027 Avoided Costs'!$D$6,_xlfn._xlws.FILTER('2027 Avoided Costs'!$AC$14:$AC$47,('2027 Avoided Costs'!$B$14:$B$47&gt;=$B151+1)*('2027 Avoided Costs'!$B$14:$B$47&lt;$B151+ROUND($O151,0)))))+_xlfn.XLOOKUP($B151,'2027 Avoided Costs'!$B$13:$B$47,'2027 Avoided Costs'!$AC$13:$AC$47))*IF($AO151&gt;0,$AO151*(1+$W151),0),0)</f>
        <v>0</v>
      </c>
      <c r="AY151" s="291" cm="1">
        <f t="array" ref="AY151">IFERROR((IF($O151=1,0,NPV('2027 Avoided Costs'!$D$4,_xlfn._xlws.FILTER('2027 Avoided Costs'!$I$14:$I$47,('2027 Avoided Costs'!$B$14:$B$47&gt;=$B151+1)*('2027 Avoided Costs'!$B$14:$B$47&lt;$B151+ROUND($O151,0)))))+_xlfn.XLOOKUP($B151,'2027 Avoided Costs'!$B$13:$B$47,'2027 Avoided Costs'!$I$13:$I$47))*IF($X151="Residential",'2027 Avoided Costs'!$J$5,IF($X151="Large Volume",'2027 Avoided Costs'!$J$7,'2027 Avoided Costs'!$J$6))*IF($AE151&gt;0,$AE151,0),0)</f>
        <v>0</v>
      </c>
      <c r="AZ151" s="291" cm="1">
        <f t="array" ref="AZ151">IFERROR(IF($J151="Baseload",IF($O151=1,0,NPV('2027 Avoided Costs'!$D$6,_xlfn._xlws.FILTER('2027 Avoided Costs'!$C$14:$C$47,('2027 Avoided Costs'!$B$14:$B$47&gt;=$B151+1)*('2027 Avoided Costs'!$B$14:$B$47&lt;$B151+ROUND($O151,0)))))+_xlfn.XLOOKUP($B151,'2027 Avoided Costs'!$B$13:$B$47,'2027 Avoided Costs'!$C$13:$C$47),IF($O151=1,0,NPV('2027 Avoided Costs'!$D$6,_xlfn._xlws.FILTER('2027 Avoided Costs'!$E$14:$E$47,('2027 Avoided Costs'!$B$14:$B$47&gt;=$B151+1)*('2027 Avoided Costs'!$B$14:$B$47&lt;$B151+ROUND($O151,0)))))+_xlfn.XLOOKUP($B151,'2027 Avoided Costs'!$B$13:$B$47,'2027 Avoided Costs'!$E$13:$E$47))*IF($AE151&lt;0,$AE151*(-1),0),0)</f>
        <v>0</v>
      </c>
      <c r="BA151" s="291" cm="1">
        <f t="array" ref="BA151">IFERROR((IF($O151=1,0,NPV('2027 Avoided Costs'!$D$6,_xlfn._xlws.FILTER('2027 Avoided Costs'!$M$14:$M$47,('2027 Avoided Costs'!$B$14:$B$47&gt;=$B151+1)*('2027 Avoided Costs'!$B$14:$B$47&lt;$B151+ROUND($O151,0)))))+_xlfn.XLOOKUP($B151,'2027 Avoided Costs'!$B$13:$B$47,'2027 Avoided Costs'!$M$13:$M$47))*IF($AK151&lt;0,$AK151*(-1),0),0)</f>
        <v>0</v>
      </c>
      <c r="BB151" s="291" cm="1">
        <f t="array" ref="BB151">IFERROR((IF($O151=1,0,NPV('2027 Avoided Costs'!$D$6,_xlfn._xlws.FILTER('2027 Avoided Costs'!$S$14:$S$47,('2027 Avoided Costs'!$B$14:$B$47&gt;=$B151+1)*('2027 Avoided Costs'!$B$14:$B$47&lt;$B151+ROUND($O151,0)))))+_xlfn.XLOOKUP($B151,'2027 Avoided Costs'!$B$13:$B$47,'2027 Avoided Costs'!$S$13:$S$47))*IF($AI151&lt;0,$AI151*(-1),0),0)</f>
        <v>0</v>
      </c>
      <c r="BC151" s="291" cm="1">
        <f t="array" ref="BC151">IFERROR((IF($O151=1,0,NPV('2027 Avoided Costs'!$D$6,_xlfn._xlws.FILTER('2027 Avoided Costs'!$Y$14:$Y$47,('2027 Avoided Costs'!$B$14:$B$47&gt;=$B151+1)*('2027 Avoided Costs'!$B$14:$B$47&lt;$B151+ROUND($O151,0)))))+_xlfn.XLOOKUP($B151,'2027 Avoided Costs'!$B$13:$B$47,'2027 Avoided Costs'!$Y$13:$Y$47))*IF($AM151&lt;0,$AM151*(-1),0),0)</f>
        <v>0</v>
      </c>
      <c r="BD151" s="291" cm="1">
        <f t="array" ref="BD151">IFERROR((IF($O151=1,0,NPV('2027 Avoided Costs'!$D$6,_xlfn._xlws.FILTER('2027 Avoided Costs'!$AE$14:$AE$47,('2027 Avoided Costs'!$B$14:$B$47&gt;=$B151+1)*('2027 Avoided Costs'!$B$14:$B$47&lt;$B151+ROUND($O151,0)))))+_xlfn.XLOOKUP($B151,'2027 Avoided Costs'!$B$13:$B$47,'2027 Avoided Costs'!$AE$13:$AE$47))*IF($AO151&lt;0,$AO151*(-1),0),0)</f>
        <v>0</v>
      </c>
      <c r="BE151" s="291" cm="1">
        <f t="array" ref="BE151">IFERROR((IF($O151=1,0,NPV('2027 Avoided Costs'!$D$4,_xlfn._xlws.FILTER('2027 Avoided Costs'!$I$14:$I$47,('2027 Avoided Costs'!$B$14:$B$47&gt;=$B151+1)*('2027 Avoided Costs'!$B$14:$B$47&lt;$B151+ROUND($O151,0)))))+_xlfn.XLOOKUP($B151,'2027 Avoided Costs'!$B$13:$B$47,'2027 Avoided Costs'!$I$13:$I$47))*IF($X151="Residential",'2027 Avoided Costs'!$J$5,IF($X151="Large Volume",'2027 Avoided Costs'!$J$7,'2027 Avoided Costs'!$J$6))*IF($AE151&lt;0,$AE151*(-1),0),0)</f>
        <v>0</v>
      </c>
      <c r="BF151" s="291">
        <f t="shared" si="58"/>
        <v>79035.136626874722</v>
      </c>
      <c r="BG151" s="291">
        <f t="shared" si="59"/>
        <v>12822.747923355675</v>
      </c>
      <c r="BH151" s="291">
        <f t="shared" si="60"/>
        <v>66212.388703519042</v>
      </c>
      <c r="BI151" s="292">
        <f t="shared" si="83"/>
        <v>6.1636660955424496</v>
      </c>
      <c r="BJ151" s="196" cm="1">
        <f t="array" ref="BJ151">IFERROR(IF($J151="Baseload",IF($O151=1,0,NPV('2027 Avoided Costs'!$D$6,_xlfn._xlws.FILTER('2027 Avoided Costs'!$C$14:$C$47,('2027 Avoided Costs'!$B$14:$B$47&gt;=$B151+1)*('2027 Avoided Costs'!$B$14:$B$47&lt;$B151+ROUND($O151,0)))))+_xlfn.XLOOKUP($B151,'2027 Avoided Costs'!$B$13:$B$47,'2027 Avoided Costs'!$C$13:$C$47),IF($O151=1,0,NPV('2027 Avoided Costs'!$D$6,_xlfn._xlws.FILTER('2027 Avoided Costs'!$E$14:$E$47,('2027 Avoided Costs'!$B$14:$B$47&gt;=$B151+1)*('2027 Avoided Costs'!$B$14:$B$47&lt;$B151+ROUND($O151,0)))))+_xlfn.XLOOKUP($B151,'2027 Avoided Costs'!$B$13:$B$47,'2027 Avoided Costs'!$E$13:$E$47))*IF($AE151&gt;0,$AE151*(1+0),0),0)</f>
        <v>68726.205762499769</v>
      </c>
      <c r="BK151" s="293">
        <f t="shared" si="81"/>
        <v>3.7879305812087138</v>
      </c>
    </row>
    <row r="152" spans="1:63" s="56" customFormat="1" x14ac:dyDescent="0.25">
      <c r="A152" s="270" t="s">
        <v>133</v>
      </c>
      <c r="B152" s="271">
        <v>2027</v>
      </c>
      <c r="C152" s="272" t="s">
        <v>13</v>
      </c>
      <c r="D152" s="272" t="s">
        <v>163</v>
      </c>
      <c r="E152" s="272" t="s">
        <v>95</v>
      </c>
      <c r="F152" s="273">
        <v>29</v>
      </c>
      <c r="G152" s="274">
        <v>4388.2</v>
      </c>
      <c r="H152" s="275">
        <f t="shared" si="61"/>
        <v>1</v>
      </c>
      <c r="I152" s="274">
        <v>200</v>
      </c>
      <c r="J152" s="276" t="s">
        <v>264</v>
      </c>
      <c r="K152" s="277">
        <f t="shared" si="57"/>
        <v>0.5</v>
      </c>
      <c r="L152" s="278">
        <v>0.5</v>
      </c>
      <c r="M152" s="278">
        <v>0</v>
      </c>
      <c r="N152" s="278">
        <v>1</v>
      </c>
      <c r="O152" s="279">
        <v>15</v>
      </c>
      <c r="P152" s="280">
        <v>4388.2</v>
      </c>
      <c r="Q152" s="281">
        <v>164.86666666666667</v>
      </c>
      <c r="R152" s="282">
        <v>0.10046789616513715</v>
      </c>
      <c r="S152" s="282">
        <v>2.9674956783151837E-2</v>
      </c>
      <c r="T152" s="281">
        <v>0</v>
      </c>
      <c r="U152" s="283">
        <v>0.62999999999999989</v>
      </c>
      <c r="V152" s="284">
        <v>12313.533333333333</v>
      </c>
      <c r="W152" s="285">
        <v>0.15</v>
      </c>
      <c r="X152" s="286" t="s">
        <v>255</v>
      </c>
      <c r="Y152" s="287">
        <f t="shared" si="62"/>
        <v>29</v>
      </c>
      <c r="Z152" s="288">
        <f t="shared" si="63"/>
        <v>127257.79999999999</v>
      </c>
      <c r="AA152" s="288">
        <f t="shared" si="64"/>
        <v>5800</v>
      </c>
      <c r="AB152" s="288">
        <f t="shared" si="65"/>
        <v>127257.79999999999</v>
      </c>
      <c r="AC152" s="288">
        <f t="shared" si="82"/>
        <v>5800</v>
      </c>
      <c r="AD152" s="287">
        <f t="shared" si="66"/>
        <v>127257.79999999999</v>
      </c>
      <c r="AE152" s="287">
        <f t="shared" si="67"/>
        <v>63628.899999999994</v>
      </c>
      <c r="AF152" s="287">
        <f t="shared" si="68"/>
        <v>1908866.9999999998</v>
      </c>
      <c r="AG152" s="287">
        <f t="shared" si="69"/>
        <v>954433.49999999988</v>
      </c>
      <c r="AH152" s="287">
        <f t="shared" si="70"/>
        <v>5125.3749333333335</v>
      </c>
      <c r="AI152" s="287">
        <f t="shared" si="71"/>
        <v>2562.6874666666668</v>
      </c>
      <c r="AJ152" s="287">
        <f t="shared" si="72"/>
        <v>0</v>
      </c>
      <c r="AK152" s="287">
        <f t="shared" si="73"/>
        <v>0</v>
      </c>
      <c r="AL152" s="287">
        <f t="shared" si="74"/>
        <v>3.123345955981784</v>
      </c>
      <c r="AM152" s="287">
        <f t="shared" si="75"/>
        <v>1.561672977990892</v>
      </c>
      <c r="AN152" s="287">
        <f t="shared" si="76"/>
        <v>0.92253505647462442</v>
      </c>
      <c r="AO152" s="287">
        <f t="shared" si="77"/>
        <v>0.46126752823731221</v>
      </c>
      <c r="AP152" s="287">
        <f t="shared" si="78"/>
        <v>357092.46666666667</v>
      </c>
      <c r="AQ152" s="287">
        <f t="shared" si="79"/>
        <v>178546.23333333334</v>
      </c>
      <c r="AR152" s="287">
        <f t="shared" si="80"/>
        <v>40086.206999999988</v>
      </c>
      <c r="AS152" s="289" t="e">
        <f>IF(J152='2027 Avoided Costs'!#REF!,3,5)</f>
        <v>#REF!</v>
      </c>
      <c r="AT152" s="290" cm="1">
        <f t="array" ref="AT152">IFERROR(IF($J152="Baseload",IF($O152=1,0,NPV('2027 Avoided Costs'!$D$6,_xlfn._xlws.FILTER('2027 Avoided Costs'!$C$14:$C$47,('2027 Avoided Costs'!$B$14:$B$47&gt;=$B152+1)*('2027 Avoided Costs'!$B$14:$B$47&lt;$B152+ROUND($O152,0)))))+_xlfn.XLOOKUP($B152,'2027 Avoided Costs'!$B$13:$B$47,'2027 Avoided Costs'!$C$13:$C$47),IF($O152=1,0,NPV('2027 Avoided Costs'!$D$6,_xlfn._xlws.FILTER('2027 Avoided Costs'!$E$14:$E$47,('2027 Avoided Costs'!$B$14:$B$47&gt;=$B152+1)*('2027 Avoided Costs'!$B$14:$B$47&lt;$B152+ROUND($O152,0)))))+_xlfn.XLOOKUP($B152,'2027 Avoided Costs'!$B$13:$B$47,'2027 Avoided Costs'!$E$13:$E$47))*IF($AE152&gt;0,$AE152*(1+$W152),0),0)</f>
        <v>250924.3425143981</v>
      </c>
      <c r="AU152" s="290" cm="1">
        <f t="array" ref="AU152">IFERROR((IF($O152=1,0,NPV('2027 Avoided Costs'!$D$6,_xlfn._xlws.FILTER('2027 Avoided Costs'!$M$14:$M$47,('2027 Avoided Costs'!$B$14:$B$47&gt;=$B152+1)*('2027 Avoided Costs'!$B$14:$B$47&lt;$B152+ROUND($O152,0)))))+_xlfn.XLOOKUP($B152,'2027 Avoided Costs'!$B$13:$B$47,'2027 Avoided Costs'!$M$13:$M$47))*IF($AK152&gt;0,$AK152*(1+$W152),0),0)</f>
        <v>0</v>
      </c>
      <c r="AV152" s="291" cm="1">
        <f t="array" ref="AV152">IFERROR((IF($O152=1,0,NPV('2027 Avoided Costs'!$D$6,_xlfn._xlws.FILTER('2027 Avoided Costs'!$Q$14:$Q$47,('2027 Avoided Costs'!$B$14:$B$47&gt;=$B152+1)*('2027 Avoided Costs'!$B$14:$B$47&lt;$B152+ROUND($O152,0)))))+_xlfn.XLOOKUP($B152,'2027 Avoided Costs'!$B$13:$B$47,'2027 Avoided Costs'!$Q$13:$Q$47))*IF($AI152&gt;0,$AI152*(1+$W152),0),0)</f>
        <v>1696.6235987257394</v>
      </c>
      <c r="AW152" s="291" cm="1">
        <f t="array" ref="AW152">IFERROR((IF($O152=1,0,NPV('2027 Avoided Costs'!$D$6,_xlfn._xlws.FILTER('2027 Avoided Costs'!$W$14:$W$47,('2027 Avoided Costs'!$B$14:$B$47&gt;=$B152+1)*('2027 Avoided Costs'!$B$14:$B$47&lt;$B152+ROUND($O152,0)))))+_xlfn.XLOOKUP($B152,'2027 Avoided Costs'!$B$13:$B$47,'2027 Avoided Costs'!$W$13:$W$47))*IF($AM152&gt;0,$AM152*(1+$W152),0),0)</f>
        <v>6052.2930887464381</v>
      </c>
      <c r="AX152" s="291" cm="1">
        <f t="array" ref="AX152">IFERROR((IF($O152=1,0,NPV('2027 Avoided Costs'!$D$6,_xlfn._xlws.FILTER('2027 Avoided Costs'!$AC$14:$AC$47,('2027 Avoided Costs'!$B$14:$B$47&gt;=$B152+1)*('2027 Avoided Costs'!$B$14:$B$47&lt;$B152+ROUND($O152,0)))))+_xlfn.XLOOKUP($B152,'2027 Avoided Costs'!$B$13:$B$47,'2027 Avoided Costs'!$AC$13:$AC$47))*IF($AO152&gt;0,$AO152*(1+$W152),0),0)</f>
        <v>112.62869488647422</v>
      </c>
      <c r="AY152" s="291" cm="1">
        <f t="array" ref="AY152">IFERROR((IF($O152=1,0,NPV('2027 Avoided Costs'!$D$4,_xlfn._xlws.FILTER('2027 Avoided Costs'!$I$14:$I$47,('2027 Avoided Costs'!$B$14:$B$47&gt;=$B152+1)*('2027 Avoided Costs'!$B$14:$B$47&lt;$B152+ROUND($O152,0)))))+_xlfn.XLOOKUP($B152,'2027 Avoided Costs'!$B$13:$B$47,'2027 Avoided Costs'!$I$13:$I$47))*IF($X152="Residential",'2027 Avoided Costs'!$J$5,IF($X152="Large Volume",'2027 Avoided Costs'!$J$7,'2027 Avoided Costs'!$J$6))*IF($AE152&gt;0,$AE152,0),0)</f>
        <v>0</v>
      </c>
      <c r="AZ152" s="291" cm="1">
        <f t="array" ref="AZ152">IFERROR(IF($J152="Baseload",IF($O152=1,0,NPV('2027 Avoided Costs'!$D$6,_xlfn._xlws.FILTER('2027 Avoided Costs'!$C$14:$C$47,('2027 Avoided Costs'!$B$14:$B$47&gt;=$B152+1)*('2027 Avoided Costs'!$B$14:$B$47&lt;$B152+ROUND($O152,0)))))+_xlfn.XLOOKUP($B152,'2027 Avoided Costs'!$B$13:$B$47,'2027 Avoided Costs'!$C$13:$C$47),IF($O152=1,0,NPV('2027 Avoided Costs'!$D$6,_xlfn._xlws.FILTER('2027 Avoided Costs'!$E$14:$E$47,('2027 Avoided Costs'!$B$14:$B$47&gt;=$B152+1)*('2027 Avoided Costs'!$B$14:$B$47&lt;$B152+ROUND($O152,0)))))+_xlfn.XLOOKUP($B152,'2027 Avoided Costs'!$B$13:$B$47,'2027 Avoided Costs'!$E$13:$E$47))*IF($AE152&lt;0,$AE152*(-1),0),0)</f>
        <v>0</v>
      </c>
      <c r="BA152" s="291" cm="1">
        <f t="array" ref="BA152">IFERROR((IF($O152=1,0,NPV('2027 Avoided Costs'!$D$6,_xlfn._xlws.FILTER('2027 Avoided Costs'!$M$14:$M$47,('2027 Avoided Costs'!$B$14:$B$47&gt;=$B152+1)*('2027 Avoided Costs'!$B$14:$B$47&lt;$B152+ROUND($O152,0)))))+_xlfn.XLOOKUP($B152,'2027 Avoided Costs'!$B$13:$B$47,'2027 Avoided Costs'!$M$13:$M$47))*IF($AK152&lt;0,$AK152*(-1),0),0)</f>
        <v>0</v>
      </c>
      <c r="BB152" s="291" cm="1">
        <f t="array" ref="BB152">IFERROR((IF($O152=1,0,NPV('2027 Avoided Costs'!$D$6,_xlfn._xlws.FILTER('2027 Avoided Costs'!$S$14:$S$47,('2027 Avoided Costs'!$B$14:$B$47&gt;=$B152+1)*('2027 Avoided Costs'!$B$14:$B$47&lt;$B152+ROUND($O152,0)))))+_xlfn.XLOOKUP($B152,'2027 Avoided Costs'!$B$13:$B$47,'2027 Avoided Costs'!$S$13:$S$47))*IF($AI152&lt;0,$AI152*(-1),0),0)</f>
        <v>0</v>
      </c>
      <c r="BC152" s="291" cm="1">
        <f t="array" ref="BC152">IFERROR((IF($O152=1,0,NPV('2027 Avoided Costs'!$D$6,_xlfn._xlws.FILTER('2027 Avoided Costs'!$Y$14:$Y$47,('2027 Avoided Costs'!$B$14:$B$47&gt;=$B152+1)*('2027 Avoided Costs'!$B$14:$B$47&lt;$B152+ROUND($O152,0)))))+_xlfn.XLOOKUP($B152,'2027 Avoided Costs'!$B$13:$B$47,'2027 Avoided Costs'!$Y$13:$Y$47))*IF($AM152&lt;0,$AM152*(-1),0),0)</f>
        <v>0</v>
      </c>
      <c r="BD152" s="291" cm="1">
        <f t="array" ref="BD152">IFERROR((IF($O152=1,0,NPV('2027 Avoided Costs'!$D$6,_xlfn._xlws.FILTER('2027 Avoided Costs'!$AE$14:$AE$47,('2027 Avoided Costs'!$B$14:$B$47&gt;=$B152+1)*('2027 Avoided Costs'!$B$14:$B$47&lt;$B152+ROUND($O152,0)))))+_xlfn.XLOOKUP($B152,'2027 Avoided Costs'!$B$13:$B$47,'2027 Avoided Costs'!$AE$13:$AE$47))*IF($AO152&lt;0,$AO152*(-1),0),0)</f>
        <v>0</v>
      </c>
      <c r="BE152" s="291" cm="1">
        <f t="array" ref="BE152">IFERROR((IF($O152=1,0,NPV('2027 Avoided Costs'!$D$4,_xlfn._xlws.FILTER('2027 Avoided Costs'!$I$14:$I$47,('2027 Avoided Costs'!$B$14:$B$47&gt;=$B152+1)*('2027 Avoided Costs'!$B$14:$B$47&lt;$B152+ROUND($O152,0)))))+_xlfn.XLOOKUP($B152,'2027 Avoided Costs'!$B$13:$B$47,'2027 Avoided Costs'!$I$13:$I$47))*IF($X152="Residential",'2027 Avoided Costs'!$J$5,IF($X152="Large Volume",'2027 Avoided Costs'!$J$7,'2027 Avoided Costs'!$J$6))*IF($AE152&lt;0,$AE152*(-1),0),0)</f>
        <v>0</v>
      </c>
      <c r="BF152" s="291">
        <f t="shared" si="58"/>
        <v>258785.88789675676</v>
      </c>
      <c r="BG152" s="291">
        <f t="shared" si="59"/>
        <v>178546.23333333334</v>
      </c>
      <c r="BH152" s="291">
        <f t="shared" si="60"/>
        <v>80239.654563423421</v>
      </c>
      <c r="BI152" s="292">
        <f t="shared" si="83"/>
        <v>1.4494054736714697</v>
      </c>
      <c r="BJ152" s="196" cm="1">
        <f t="array" ref="BJ152">IFERROR(IF($J152="Baseload",IF($O152=1,0,NPV('2027 Avoided Costs'!$D$6,_xlfn._xlws.FILTER('2027 Avoided Costs'!$C$14:$C$47,('2027 Avoided Costs'!$B$14:$B$47&gt;=$B152+1)*('2027 Avoided Costs'!$B$14:$B$47&lt;$B152+ROUND($O152,0)))))+_xlfn.XLOOKUP($B152,'2027 Avoided Costs'!$B$13:$B$47,'2027 Avoided Costs'!$C$13:$C$47),IF($O152=1,0,NPV('2027 Avoided Costs'!$D$6,_xlfn._xlws.FILTER('2027 Avoided Costs'!$E$14:$E$47,('2027 Avoided Costs'!$B$14:$B$47&gt;=$B152+1)*('2027 Avoided Costs'!$B$14:$B$47&lt;$B152+ROUND($O152,0)))))+_xlfn.XLOOKUP($B152,'2027 Avoided Costs'!$B$13:$B$47,'2027 Avoided Costs'!$E$13:$E$47))*IF($AE152&gt;0,$AE152*(1+0),0),0)</f>
        <v>218195.08044730269</v>
      </c>
      <c r="BK152" s="293">
        <f t="shared" si="81"/>
        <v>1.6398518572177108</v>
      </c>
    </row>
    <row r="153" spans="1:63" s="56" customFormat="1" x14ac:dyDescent="0.25">
      <c r="A153" s="270" t="s">
        <v>133</v>
      </c>
      <c r="B153" s="271">
        <v>2027</v>
      </c>
      <c r="C153" s="272" t="s">
        <v>13</v>
      </c>
      <c r="D153" s="272" t="s">
        <v>163</v>
      </c>
      <c r="E153" s="272" t="s">
        <v>96</v>
      </c>
      <c r="F153" s="273">
        <v>78</v>
      </c>
      <c r="G153" s="274">
        <v>5623.2761250000003</v>
      </c>
      <c r="H153" s="275">
        <f t="shared" si="61"/>
        <v>1</v>
      </c>
      <c r="I153" s="274">
        <v>200</v>
      </c>
      <c r="J153" s="276" t="s">
        <v>264</v>
      </c>
      <c r="K153" s="277">
        <f t="shared" si="57"/>
        <v>0.62000000000000011</v>
      </c>
      <c r="L153" s="278">
        <v>0.37999999999999995</v>
      </c>
      <c r="M153" s="278">
        <v>0</v>
      </c>
      <c r="N153" s="278">
        <v>1.0269999999999999</v>
      </c>
      <c r="O153" s="279">
        <v>15</v>
      </c>
      <c r="P153" s="280">
        <v>5623.2761250000003</v>
      </c>
      <c r="Q153" s="281">
        <v>24433.474999999999</v>
      </c>
      <c r="R153" s="282">
        <v>5.578418949771689</v>
      </c>
      <c r="S153" s="282">
        <v>5.578418949771689</v>
      </c>
      <c r="T153" s="281">
        <v>0</v>
      </c>
      <c r="U153" s="283">
        <v>0.29000000000000004</v>
      </c>
      <c r="V153" s="284">
        <v>13805.0625</v>
      </c>
      <c r="W153" s="285">
        <v>0.15</v>
      </c>
      <c r="X153" s="286" t="s">
        <v>255</v>
      </c>
      <c r="Y153" s="287">
        <f t="shared" si="62"/>
        <v>78</v>
      </c>
      <c r="Z153" s="288">
        <f t="shared" si="63"/>
        <v>438615.53775000002</v>
      </c>
      <c r="AA153" s="288">
        <f t="shared" si="64"/>
        <v>15600</v>
      </c>
      <c r="AB153" s="288">
        <f t="shared" si="65"/>
        <v>438615.53775000002</v>
      </c>
      <c r="AC153" s="288">
        <f t="shared" si="82"/>
        <v>15600</v>
      </c>
      <c r="AD153" s="287">
        <f t="shared" si="66"/>
        <v>450458.15726924996</v>
      </c>
      <c r="AE153" s="287">
        <f t="shared" si="67"/>
        <v>279284.05750693503</v>
      </c>
      <c r="AF153" s="287">
        <f t="shared" si="68"/>
        <v>6756872.3590387497</v>
      </c>
      <c r="AG153" s="287">
        <f t="shared" si="69"/>
        <v>4189260.8626040253</v>
      </c>
      <c r="AH153" s="287">
        <f t="shared" si="70"/>
        <v>2098191.2406311999</v>
      </c>
      <c r="AI153" s="287">
        <f t="shared" si="71"/>
        <v>1300878.5691913438</v>
      </c>
      <c r="AJ153" s="287">
        <f t="shared" si="72"/>
        <v>0</v>
      </c>
      <c r="AK153" s="287">
        <f t="shared" si="73"/>
        <v>0</v>
      </c>
      <c r="AL153" s="287">
        <f t="shared" si="74"/>
        <v>479.03909603452041</v>
      </c>
      <c r="AM153" s="287">
        <f t="shared" si="75"/>
        <v>297.0042395414028</v>
      </c>
      <c r="AN153" s="287">
        <f t="shared" si="76"/>
        <v>479.03909603452041</v>
      </c>
      <c r="AO153" s="287">
        <f t="shared" si="77"/>
        <v>297.0042395414028</v>
      </c>
      <c r="AP153" s="287">
        <f t="shared" si="78"/>
        <v>1076794.875</v>
      </c>
      <c r="AQ153" s="287">
        <f t="shared" si="79"/>
        <v>667612.82250000013</v>
      </c>
      <c r="AR153" s="287">
        <f t="shared" si="80"/>
        <v>80992.376677011169</v>
      </c>
      <c r="AS153" s="289" t="e">
        <f>IF(J153='2027 Avoided Costs'!#REF!,3,5)</f>
        <v>#REF!</v>
      </c>
      <c r="AT153" s="290" cm="1">
        <f t="array" ref="AT153">IFERROR(IF($J153="Baseload",IF($O153=1,0,NPV('2027 Avoided Costs'!$D$6,_xlfn._xlws.FILTER('2027 Avoided Costs'!$C$14:$C$47,('2027 Avoided Costs'!$B$14:$B$47&gt;=$B153+1)*('2027 Avoided Costs'!$B$14:$B$47&lt;$B153+ROUND($O153,0)))))+_xlfn.XLOOKUP($B153,'2027 Avoided Costs'!$B$13:$B$47,'2027 Avoided Costs'!$C$13:$C$47),IF($O153=1,0,NPV('2027 Avoided Costs'!$D$6,_xlfn._xlws.FILTER('2027 Avoided Costs'!$E$14:$E$47,('2027 Avoided Costs'!$B$14:$B$47&gt;=$B153+1)*('2027 Avoided Costs'!$B$14:$B$47&lt;$B153+ROUND($O153,0)))))+_xlfn.XLOOKUP($B153,'2027 Avoided Costs'!$B$13:$B$47,'2027 Avoided Costs'!$E$13:$E$47))*IF($AE153&gt;0,$AE153*(1+$W153),0),0)</f>
        <v>1101373.2518506688</v>
      </c>
      <c r="AU153" s="290" cm="1">
        <f t="array" ref="AU153">IFERROR((IF($O153=1,0,NPV('2027 Avoided Costs'!$D$6,_xlfn._xlws.FILTER('2027 Avoided Costs'!$M$14:$M$47,('2027 Avoided Costs'!$B$14:$B$47&gt;=$B153+1)*('2027 Avoided Costs'!$B$14:$B$47&lt;$B153+ROUND($O153,0)))))+_xlfn.XLOOKUP($B153,'2027 Avoided Costs'!$B$13:$B$47,'2027 Avoided Costs'!$M$13:$M$47))*IF($AK153&gt;0,$AK153*(1+$W153),0),0)</f>
        <v>0</v>
      </c>
      <c r="AV153" s="291" cm="1">
        <f t="array" ref="AV153">IFERROR((IF($O153=1,0,NPV('2027 Avoided Costs'!$D$6,_xlfn._xlws.FILTER('2027 Avoided Costs'!$Q$14:$Q$47,('2027 Avoided Costs'!$B$14:$B$47&gt;=$B153+1)*('2027 Avoided Costs'!$B$14:$B$47&lt;$B153+ROUND($O153,0)))))+_xlfn.XLOOKUP($B153,'2027 Avoided Costs'!$B$13:$B$47,'2027 Avoided Costs'!$Q$13:$Q$47))*IF($AI153&gt;0,$AI153*(1+$W153),0),0)</f>
        <v>861244.80970651656</v>
      </c>
      <c r="AW153" s="291" cm="1">
        <f t="array" ref="AW153">IFERROR((IF($O153=1,0,NPV('2027 Avoided Costs'!$D$6,_xlfn._xlws.FILTER('2027 Avoided Costs'!$W$14:$W$47,('2027 Avoided Costs'!$B$14:$B$47&gt;=$B153+1)*('2027 Avoided Costs'!$B$14:$B$47&lt;$B153+ROUND($O153,0)))))+_xlfn.XLOOKUP($B153,'2027 Avoided Costs'!$B$13:$B$47,'2027 Avoided Costs'!$W$13:$W$47))*IF($AM153&gt;0,$AM153*(1+$W153),0),0)</f>
        <v>1151045.5336285566</v>
      </c>
      <c r="AX153" s="291" cm="1">
        <f t="array" ref="AX153">IFERROR((IF($O153=1,0,NPV('2027 Avoided Costs'!$D$6,_xlfn._xlws.FILTER('2027 Avoided Costs'!$AC$14:$AC$47,('2027 Avoided Costs'!$B$14:$B$47&gt;=$B153+1)*('2027 Avoided Costs'!$B$14:$B$47&lt;$B153+ROUND($O153,0)))))+_xlfn.XLOOKUP($B153,'2027 Avoided Costs'!$B$13:$B$47,'2027 Avoided Costs'!$AC$13:$AC$47))*IF($AO153&gt;0,$AO153*(1+$W153),0),0)</f>
        <v>72520.170676501715</v>
      </c>
      <c r="AY153" s="291" cm="1">
        <f t="array" ref="AY153">IFERROR((IF($O153=1,0,NPV('2027 Avoided Costs'!$D$4,_xlfn._xlws.FILTER('2027 Avoided Costs'!$I$14:$I$47,('2027 Avoided Costs'!$B$14:$B$47&gt;=$B153+1)*('2027 Avoided Costs'!$B$14:$B$47&lt;$B153+ROUND($O153,0)))))+_xlfn.XLOOKUP($B153,'2027 Avoided Costs'!$B$13:$B$47,'2027 Avoided Costs'!$I$13:$I$47))*IF($X153="Residential",'2027 Avoided Costs'!$J$5,IF($X153="Large Volume",'2027 Avoided Costs'!$J$7,'2027 Avoided Costs'!$J$6))*IF($AE153&gt;0,$AE153,0),0)</f>
        <v>0</v>
      </c>
      <c r="AZ153" s="291" cm="1">
        <f t="array" ref="AZ153">IFERROR(IF($J153="Baseload",IF($O153=1,0,NPV('2027 Avoided Costs'!$D$6,_xlfn._xlws.FILTER('2027 Avoided Costs'!$C$14:$C$47,('2027 Avoided Costs'!$B$14:$B$47&gt;=$B153+1)*('2027 Avoided Costs'!$B$14:$B$47&lt;$B153+ROUND($O153,0)))))+_xlfn.XLOOKUP($B153,'2027 Avoided Costs'!$B$13:$B$47,'2027 Avoided Costs'!$C$13:$C$47),IF($O153=1,0,NPV('2027 Avoided Costs'!$D$6,_xlfn._xlws.FILTER('2027 Avoided Costs'!$E$14:$E$47,('2027 Avoided Costs'!$B$14:$B$47&gt;=$B153+1)*('2027 Avoided Costs'!$B$14:$B$47&lt;$B153+ROUND($O153,0)))))+_xlfn.XLOOKUP($B153,'2027 Avoided Costs'!$B$13:$B$47,'2027 Avoided Costs'!$E$13:$E$47))*IF($AE153&lt;0,$AE153*(-1),0),0)</f>
        <v>0</v>
      </c>
      <c r="BA153" s="291" cm="1">
        <f t="array" ref="BA153">IFERROR((IF($O153=1,0,NPV('2027 Avoided Costs'!$D$6,_xlfn._xlws.FILTER('2027 Avoided Costs'!$M$14:$M$47,('2027 Avoided Costs'!$B$14:$B$47&gt;=$B153+1)*('2027 Avoided Costs'!$B$14:$B$47&lt;$B153+ROUND($O153,0)))))+_xlfn.XLOOKUP($B153,'2027 Avoided Costs'!$B$13:$B$47,'2027 Avoided Costs'!$M$13:$M$47))*IF($AK153&lt;0,$AK153*(-1),0),0)</f>
        <v>0</v>
      </c>
      <c r="BB153" s="291" cm="1">
        <f t="array" ref="BB153">IFERROR((IF($O153=1,0,NPV('2027 Avoided Costs'!$D$6,_xlfn._xlws.FILTER('2027 Avoided Costs'!$S$14:$S$47,('2027 Avoided Costs'!$B$14:$B$47&gt;=$B153+1)*('2027 Avoided Costs'!$B$14:$B$47&lt;$B153+ROUND($O153,0)))))+_xlfn.XLOOKUP($B153,'2027 Avoided Costs'!$B$13:$B$47,'2027 Avoided Costs'!$S$13:$S$47))*IF($AI153&lt;0,$AI153*(-1),0),0)</f>
        <v>0</v>
      </c>
      <c r="BC153" s="291" cm="1">
        <f t="array" ref="BC153">IFERROR((IF($O153=1,0,NPV('2027 Avoided Costs'!$D$6,_xlfn._xlws.FILTER('2027 Avoided Costs'!$Y$14:$Y$47,('2027 Avoided Costs'!$B$14:$B$47&gt;=$B153+1)*('2027 Avoided Costs'!$B$14:$B$47&lt;$B153+ROUND($O153,0)))))+_xlfn.XLOOKUP($B153,'2027 Avoided Costs'!$B$13:$B$47,'2027 Avoided Costs'!$Y$13:$Y$47))*IF($AM153&lt;0,$AM153*(-1),0),0)</f>
        <v>0</v>
      </c>
      <c r="BD153" s="291" cm="1">
        <f t="array" ref="BD153">IFERROR((IF($O153=1,0,NPV('2027 Avoided Costs'!$D$6,_xlfn._xlws.FILTER('2027 Avoided Costs'!$AE$14:$AE$47,('2027 Avoided Costs'!$B$14:$B$47&gt;=$B153+1)*('2027 Avoided Costs'!$B$14:$B$47&lt;$B153+ROUND($O153,0)))))+_xlfn.XLOOKUP($B153,'2027 Avoided Costs'!$B$13:$B$47,'2027 Avoided Costs'!$AE$13:$AE$47))*IF($AO153&lt;0,$AO153*(-1),0),0)</f>
        <v>0</v>
      </c>
      <c r="BE153" s="291" cm="1">
        <f t="array" ref="BE153">IFERROR((IF($O153=1,0,NPV('2027 Avoided Costs'!$D$4,_xlfn._xlws.FILTER('2027 Avoided Costs'!$I$14:$I$47,('2027 Avoided Costs'!$B$14:$B$47&gt;=$B153+1)*('2027 Avoided Costs'!$B$14:$B$47&lt;$B153+ROUND($O153,0)))))+_xlfn.XLOOKUP($B153,'2027 Avoided Costs'!$B$13:$B$47,'2027 Avoided Costs'!$I$13:$I$47))*IF($X153="Residential",'2027 Avoided Costs'!$J$5,IF($X153="Large Volume",'2027 Avoided Costs'!$J$7,'2027 Avoided Costs'!$J$6))*IF($AE153&lt;0,$AE153*(-1),0),0)</f>
        <v>0</v>
      </c>
      <c r="BF153" s="291">
        <f t="shared" si="58"/>
        <v>3186183.7658622437</v>
      </c>
      <c r="BG153" s="291">
        <f t="shared" si="59"/>
        <v>667612.82250000013</v>
      </c>
      <c r="BH153" s="291">
        <f t="shared" si="60"/>
        <v>2518570.9433622435</v>
      </c>
      <c r="BI153" s="292">
        <f t="shared" si="83"/>
        <v>4.7725023523829089</v>
      </c>
      <c r="BJ153" s="196" cm="1">
        <f t="array" ref="BJ153">IFERROR(IF($J153="Baseload",IF($O153=1,0,NPV('2027 Avoided Costs'!$D$6,_xlfn._xlws.FILTER('2027 Avoided Costs'!$C$14:$C$47,('2027 Avoided Costs'!$B$14:$B$47&gt;=$B153+1)*('2027 Avoided Costs'!$B$14:$B$47&lt;$B153+ROUND($O153,0)))))+_xlfn.XLOOKUP($B153,'2027 Avoided Costs'!$B$13:$B$47,'2027 Avoided Costs'!$C$13:$C$47),IF($O153=1,0,NPV('2027 Avoided Costs'!$D$6,_xlfn._xlws.FILTER('2027 Avoided Costs'!$E$14:$E$47,('2027 Avoided Costs'!$B$14:$B$47&gt;=$B153+1)*('2027 Avoided Costs'!$B$14:$B$47&lt;$B153+ROUND($O153,0)))))+_xlfn.XLOOKUP($B153,'2027 Avoided Costs'!$B$13:$B$47,'2027 Avoided Costs'!$E$13:$E$47))*IF($AE153&gt;0,$AE153*(1+0),0),0)</f>
        <v>957715.87117449474</v>
      </c>
      <c r="BK153" s="293">
        <f t="shared" si="81"/>
        <v>2.1085053054737659</v>
      </c>
    </row>
    <row r="154" spans="1:63" s="56" customFormat="1" x14ac:dyDescent="0.25">
      <c r="A154" s="270" t="s">
        <v>133</v>
      </c>
      <c r="B154" s="271">
        <v>2027</v>
      </c>
      <c r="C154" s="272" t="s">
        <v>13</v>
      </c>
      <c r="D154" s="272" t="s">
        <v>163</v>
      </c>
      <c r="E154" s="272" t="s">
        <v>97</v>
      </c>
      <c r="F154" s="273">
        <v>101</v>
      </c>
      <c r="G154" s="274">
        <v>1295</v>
      </c>
      <c r="H154" s="275">
        <f t="shared" si="61"/>
        <v>0.18943826799297836</v>
      </c>
      <c r="I154" s="274">
        <v>200</v>
      </c>
      <c r="J154" s="276" t="s">
        <v>264</v>
      </c>
      <c r="K154" s="277">
        <f t="shared" si="57"/>
        <v>0.79999999999999993</v>
      </c>
      <c r="L154" s="278">
        <v>0.20000000000000007</v>
      </c>
      <c r="M154" s="278">
        <v>0</v>
      </c>
      <c r="N154" s="278">
        <v>1.0414000000000001</v>
      </c>
      <c r="O154" s="279">
        <v>15</v>
      </c>
      <c r="P154" s="280">
        <v>6836</v>
      </c>
      <c r="Q154" s="281">
        <v>0</v>
      </c>
      <c r="R154" s="282">
        <v>0</v>
      </c>
      <c r="S154" s="282">
        <v>0</v>
      </c>
      <c r="T154" s="281">
        <v>0</v>
      </c>
      <c r="U154" s="283">
        <v>0.54</v>
      </c>
      <c r="V154" s="284">
        <v>2590</v>
      </c>
      <c r="W154" s="285">
        <v>0.15</v>
      </c>
      <c r="X154" s="286" t="s">
        <v>255</v>
      </c>
      <c r="Y154" s="287">
        <f t="shared" si="62"/>
        <v>101</v>
      </c>
      <c r="Z154" s="288">
        <f t="shared" si="63"/>
        <v>130795</v>
      </c>
      <c r="AA154" s="288">
        <f t="shared" si="64"/>
        <v>20200</v>
      </c>
      <c r="AB154" s="288">
        <f t="shared" si="65"/>
        <v>130795</v>
      </c>
      <c r="AC154" s="288">
        <f t="shared" si="82"/>
        <v>20200</v>
      </c>
      <c r="AD154" s="287">
        <f t="shared" si="66"/>
        <v>719020.05040000007</v>
      </c>
      <c r="AE154" s="287">
        <f t="shared" si="67"/>
        <v>575216.04032000003</v>
      </c>
      <c r="AF154" s="287">
        <f t="shared" si="68"/>
        <v>10785300.756000001</v>
      </c>
      <c r="AG154" s="287">
        <f t="shared" si="69"/>
        <v>8628240.6048000008</v>
      </c>
      <c r="AH154" s="287">
        <f t="shared" si="70"/>
        <v>0</v>
      </c>
      <c r="AI154" s="287">
        <f t="shared" si="71"/>
        <v>0</v>
      </c>
      <c r="AJ154" s="287">
        <f t="shared" si="72"/>
        <v>0</v>
      </c>
      <c r="AK154" s="287">
        <f t="shared" si="73"/>
        <v>0</v>
      </c>
      <c r="AL154" s="287">
        <f t="shared" si="74"/>
        <v>0</v>
      </c>
      <c r="AM154" s="287">
        <f t="shared" si="75"/>
        <v>0</v>
      </c>
      <c r="AN154" s="287">
        <f t="shared" si="76"/>
        <v>0</v>
      </c>
      <c r="AO154" s="287">
        <f t="shared" si="77"/>
        <v>0</v>
      </c>
      <c r="AP154" s="287">
        <f t="shared" si="78"/>
        <v>261590</v>
      </c>
      <c r="AQ154" s="287">
        <f t="shared" si="79"/>
        <v>209271.99999999997</v>
      </c>
      <c r="AR154" s="287">
        <f t="shared" si="80"/>
        <v>310616.66177280003</v>
      </c>
      <c r="AS154" s="289" t="e">
        <f>IF(J154='2027 Avoided Costs'!#REF!,3,5)</f>
        <v>#REF!</v>
      </c>
      <c r="AT154" s="290" cm="1">
        <f t="array" ref="AT154">IFERROR(IF($J154="Baseload",IF($O154=1,0,NPV('2027 Avoided Costs'!$D$6,_xlfn._xlws.FILTER('2027 Avoided Costs'!$C$14:$C$47,('2027 Avoided Costs'!$B$14:$B$47&gt;=$B154+1)*('2027 Avoided Costs'!$B$14:$B$47&lt;$B154+ROUND($O154,0)))))+_xlfn.XLOOKUP($B154,'2027 Avoided Costs'!$B$13:$B$47,'2027 Avoided Costs'!$C$13:$C$47),IF($O154=1,0,NPV('2027 Avoided Costs'!$D$6,_xlfn._xlws.FILTER('2027 Avoided Costs'!$E$14:$E$47,('2027 Avoided Costs'!$B$14:$B$47&gt;=$B154+1)*('2027 Avoided Costs'!$B$14:$B$47&lt;$B154+ROUND($O154,0)))))+_xlfn.XLOOKUP($B154,'2027 Avoided Costs'!$B$13:$B$47,'2027 Avoided Costs'!$E$13:$E$47))*IF($AE154&gt;0,$AE154*(1+$W154),0),0)</f>
        <v>2268398.5849359571</v>
      </c>
      <c r="AU154" s="290" cm="1">
        <f t="array" ref="AU154">IFERROR((IF($O154=1,0,NPV('2027 Avoided Costs'!$D$6,_xlfn._xlws.FILTER('2027 Avoided Costs'!$M$14:$M$47,('2027 Avoided Costs'!$B$14:$B$47&gt;=$B154+1)*('2027 Avoided Costs'!$B$14:$B$47&lt;$B154+ROUND($O154,0)))))+_xlfn.XLOOKUP($B154,'2027 Avoided Costs'!$B$13:$B$47,'2027 Avoided Costs'!$M$13:$M$47))*IF($AK154&gt;0,$AK154*(1+$W154),0),0)</f>
        <v>0</v>
      </c>
      <c r="AV154" s="291" cm="1">
        <f t="array" ref="AV154">IFERROR((IF($O154=1,0,NPV('2027 Avoided Costs'!$D$6,_xlfn._xlws.FILTER('2027 Avoided Costs'!$Q$14:$Q$47,('2027 Avoided Costs'!$B$14:$B$47&gt;=$B154+1)*('2027 Avoided Costs'!$B$14:$B$47&lt;$B154+ROUND($O154,0)))))+_xlfn.XLOOKUP($B154,'2027 Avoided Costs'!$B$13:$B$47,'2027 Avoided Costs'!$Q$13:$Q$47))*IF($AI154&gt;0,$AI154*(1+$W154),0),0)</f>
        <v>0</v>
      </c>
      <c r="AW154" s="291" cm="1">
        <f t="array" ref="AW154">IFERROR((IF($O154=1,0,NPV('2027 Avoided Costs'!$D$6,_xlfn._xlws.FILTER('2027 Avoided Costs'!$W$14:$W$47,('2027 Avoided Costs'!$B$14:$B$47&gt;=$B154+1)*('2027 Avoided Costs'!$B$14:$B$47&lt;$B154+ROUND($O154,0)))))+_xlfn.XLOOKUP($B154,'2027 Avoided Costs'!$B$13:$B$47,'2027 Avoided Costs'!$W$13:$W$47))*IF($AM154&gt;0,$AM154*(1+$W154),0),0)</f>
        <v>0</v>
      </c>
      <c r="AX154" s="291" cm="1">
        <f t="array" ref="AX154">IFERROR((IF($O154=1,0,NPV('2027 Avoided Costs'!$D$6,_xlfn._xlws.FILTER('2027 Avoided Costs'!$AC$14:$AC$47,('2027 Avoided Costs'!$B$14:$B$47&gt;=$B154+1)*('2027 Avoided Costs'!$B$14:$B$47&lt;$B154+ROUND($O154,0)))))+_xlfn.XLOOKUP($B154,'2027 Avoided Costs'!$B$13:$B$47,'2027 Avoided Costs'!$AC$13:$AC$47))*IF($AO154&gt;0,$AO154*(1+$W154),0),0)</f>
        <v>0</v>
      </c>
      <c r="AY154" s="291" cm="1">
        <f t="array" ref="AY154">IFERROR((IF($O154=1,0,NPV('2027 Avoided Costs'!$D$4,_xlfn._xlws.FILTER('2027 Avoided Costs'!$I$14:$I$47,('2027 Avoided Costs'!$B$14:$B$47&gt;=$B154+1)*('2027 Avoided Costs'!$B$14:$B$47&lt;$B154+ROUND($O154,0)))))+_xlfn.XLOOKUP($B154,'2027 Avoided Costs'!$B$13:$B$47,'2027 Avoided Costs'!$I$13:$I$47))*IF($X154="Residential",'2027 Avoided Costs'!$J$5,IF($X154="Large Volume",'2027 Avoided Costs'!$J$7,'2027 Avoided Costs'!$J$6))*IF($AE154&gt;0,$AE154,0),0)</f>
        <v>0</v>
      </c>
      <c r="AZ154" s="291" cm="1">
        <f t="array" ref="AZ154">IFERROR(IF($J154="Baseload",IF($O154=1,0,NPV('2027 Avoided Costs'!$D$6,_xlfn._xlws.FILTER('2027 Avoided Costs'!$C$14:$C$47,('2027 Avoided Costs'!$B$14:$B$47&gt;=$B154+1)*('2027 Avoided Costs'!$B$14:$B$47&lt;$B154+ROUND($O154,0)))))+_xlfn.XLOOKUP($B154,'2027 Avoided Costs'!$B$13:$B$47,'2027 Avoided Costs'!$C$13:$C$47),IF($O154=1,0,NPV('2027 Avoided Costs'!$D$6,_xlfn._xlws.FILTER('2027 Avoided Costs'!$E$14:$E$47,('2027 Avoided Costs'!$B$14:$B$47&gt;=$B154+1)*('2027 Avoided Costs'!$B$14:$B$47&lt;$B154+ROUND($O154,0)))))+_xlfn.XLOOKUP($B154,'2027 Avoided Costs'!$B$13:$B$47,'2027 Avoided Costs'!$E$13:$E$47))*IF($AE154&lt;0,$AE154*(-1),0),0)</f>
        <v>0</v>
      </c>
      <c r="BA154" s="291" cm="1">
        <f t="array" ref="BA154">IFERROR((IF($O154=1,0,NPV('2027 Avoided Costs'!$D$6,_xlfn._xlws.FILTER('2027 Avoided Costs'!$M$14:$M$47,('2027 Avoided Costs'!$B$14:$B$47&gt;=$B154+1)*('2027 Avoided Costs'!$B$14:$B$47&lt;$B154+ROUND($O154,0)))))+_xlfn.XLOOKUP($B154,'2027 Avoided Costs'!$B$13:$B$47,'2027 Avoided Costs'!$M$13:$M$47))*IF($AK154&lt;0,$AK154*(-1),0),0)</f>
        <v>0</v>
      </c>
      <c r="BB154" s="291" cm="1">
        <f t="array" ref="BB154">IFERROR((IF($O154=1,0,NPV('2027 Avoided Costs'!$D$6,_xlfn._xlws.FILTER('2027 Avoided Costs'!$S$14:$S$47,('2027 Avoided Costs'!$B$14:$B$47&gt;=$B154+1)*('2027 Avoided Costs'!$B$14:$B$47&lt;$B154+ROUND($O154,0)))))+_xlfn.XLOOKUP($B154,'2027 Avoided Costs'!$B$13:$B$47,'2027 Avoided Costs'!$S$13:$S$47))*IF($AI154&lt;0,$AI154*(-1),0),0)</f>
        <v>0</v>
      </c>
      <c r="BC154" s="291" cm="1">
        <f t="array" ref="BC154">IFERROR((IF($O154=1,0,NPV('2027 Avoided Costs'!$D$6,_xlfn._xlws.FILTER('2027 Avoided Costs'!$Y$14:$Y$47,('2027 Avoided Costs'!$B$14:$B$47&gt;=$B154+1)*('2027 Avoided Costs'!$B$14:$B$47&lt;$B154+ROUND($O154,0)))))+_xlfn.XLOOKUP($B154,'2027 Avoided Costs'!$B$13:$B$47,'2027 Avoided Costs'!$Y$13:$Y$47))*IF($AM154&lt;0,$AM154*(-1),0),0)</f>
        <v>0</v>
      </c>
      <c r="BD154" s="291" cm="1">
        <f t="array" ref="BD154">IFERROR((IF($O154=1,0,NPV('2027 Avoided Costs'!$D$6,_xlfn._xlws.FILTER('2027 Avoided Costs'!$AE$14:$AE$47,('2027 Avoided Costs'!$B$14:$B$47&gt;=$B154+1)*('2027 Avoided Costs'!$B$14:$B$47&lt;$B154+ROUND($O154,0)))))+_xlfn.XLOOKUP($B154,'2027 Avoided Costs'!$B$13:$B$47,'2027 Avoided Costs'!$AE$13:$AE$47))*IF($AO154&lt;0,$AO154*(-1),0),0)</f>
        <v>0</v>
      </c>
      <c r="BE154" s="291" cm="1">
        <f t="array" ref="BE154">IFERROR((IF($O154=1,0,NPV('2027 Avoided Costs'!$D$4,_xlfn._xlws.FILTER('2027 Avoided Costs'!$I$14:$I$47,('2027 Avoided Costs'!$B$14:$B$47&gt;=$B154+1)*('2027 Avoided Costs'!$B$14:$B$47&lt;$B154+ROUND($O154,0)))))+_xlfn.XLOOKUP($B154,'2027 Avoided Costs'!$B$13:$B$47,'2027 Avoided Costs'!$I$13:$I$47))*IF($X154="Residential",'2027 Avoided Costs'!$J$5,IF($X154="Large Volume",'2027 Avoided Costs'!$J$7,'2027 Avoided Costs'!$J$6))*IF($AE154&lt;0,$AE154*(-1),0),0)</f>
        <v>0</v>
      </c>
      <c r="BF154" s="291">
        <f t="shared" si="58"/>
        <v>2268398.5849359571</v>
      </c>
      <c r="BG154" s="291">
        <f t="shared" si="59"/>
        <v>209271.99999999997</v>
      </c>
      <c r="BH154" s="291">
        <f t="shared" si="60"/>
        <v>2059126.5849359571</v>
      </c>
      <c r="BI154" s="292">
        <f t="shared" si="83"/>
        <v>10.839474869719586</v>
      </c>
      <c r="BJ154" s="196" cm="1">
        <f t="array" ref="BJ154">IFERROR(IF($J154="Baseload",IF($O154=1,0,NPV('2027 Avoided Costs'!$D$6,_xlfn._xlws.FILTER('2027 Avoided Costs'!$C$14:$C$47,('2027 Avoided Costs'!$B$14:$B$47&gt;=$B154+1)*('2027 Avoided Costs'!$B$14:$B$47&lt;$B154+ROUND($O154,0)))))+_xlfn.XLOOKUP($B154,'2027 Avoided Costs'!$B$13:$B$47,'2027 Avoided Costs'!$C$13:$C$47),IF($O154=1,0,NPV('2027 Avoided Costs'!$D$6,_xlfn._xlws.FILTER('2027 Avoided Costs'!$E$14:$E$47,('2027 Avoided Costs'!$B$14:$B$47&gt;=$B154+1)*('2027 Avoided Costs'!$B$14:$B$47&lt;$B154+ROUND($O154,0)))))+_xlfn.XLOOKUP($B154,'2027 Avoided Costs'!$B$13:$B$47,'2027 Avoided Costs'!$E$13:$E$47))*IF($AE154&gt;0,$AE154*(1+0),0),0)</f>
        <v>1972520.5086399629</v>
      </c>
      <c r="BK154" s="293">
        <f t="shared" si="81"/>
        <v>13.063482291731269</v>
      </c>
    </row>
    <row r="155" spans="1:63" s="56" customFormat="1" x14ac:dyDescent="0.25">
      <c r="A155" s="270" t="s">
        <v>133</v>
      </c>
      <c r="B155" s="271">
        <v>2027</v>
      </c>
      <c r="C155" s="272" t="s">
        <v>13</v>
      </c>
      <c r="D155" s="272" t="s">
        <v>163</v>
      </c>
      <c r="E155" s="272" t="s">
        <v>98</v>
      </c>
      <c r="F155" s="273">
        <v>66</v>
      </c>
      <c r="G155" s="274">
        <v>1485.9860696517414</v>
      </c>
      <c r="H155" s="275">
        <f t="shared" si="61"/>
        <v>1</v>
      </c>
      <c r="I155" s="274">
        <v>200</v>
      </c>
      <c r="J155" s="276" t="s">
        <v>264</v>
      </c>
      <c r="K155" s="277">
        <f t="shared" si="57"/>
        <v>0.9</v>
      </c>
      <c r="L155" s="278">
        <v>0.1</v>
      </c>
      <c r="M155" s="278">
        <v>0</v>
      </c>
      <c r="N155" s="278">
        <v>1</v>
      </c>
      <c r="O155" s="279">
        <v>15</v>
      </c>
      <c r="P155" s="280">
        <v>1485.9860696517414</v>
      </c>
      <c r="Q155" s="281">
        <v>0</v>
      </c>
      <c r="R155" s="282">
        <v>0</v>
      </c>
      <c r="S155" s="282">
        <v>0</v>
      </c>
      <c r="T155" s="281">
        <v>0</v>
      </c>
      <c r="U155" s="283">
        <v>0.91279749398091969</v>
      </c>
      <c r="V155" s="284">
        <v>13312</v>
      </c>
      <c r="W155" s="285">
        <v>0.15</v>
      </c>
      <c r="X155" s="286" t="s">
        <v>255</v>
      </c>
      <c r="Y155" s="287">
        <f t="shared" si="62"/>
        <v>66</v>
      </c>
      <c r="Z155" s="288">
        <f t="shared" si="63"/>
        <v>98075.080597014938</v>
      </c>
      <c r="AA155" s="288">
        <f t="shared" si="64"/>
        <v>13200</v>
      </c>
      <c r="AB155" s="288">
        <f t="shared" si="65"/>
        <v>98075.080597014938</v>
      </c>
      <c r="AC155" s="288">
        <f t="shared" si="82"/>
        <v>13200</v>
      </c>
      <c r="AD155" s="287">
        <f t="shared" si="66"/>
        <v>98075.080597014938</v>
      </c>
      <c r="AE155" s="287">
        <f t="shared" si="67"/>
        <v>88267.572537313448</v>
      </c>
      <c r="AF155" s="287">
        <f t="shared" si="68"/>
        <v>1471126.2089552241</v>
      </c>
      <c r="AG155" s="287">
        <f t="shared" si="69"/>
        <v>1324013.5880597017</v>
      </c>
      <c r="AH155" s="287">
        <f t="shared" si="70"/>
        <v>0</v>
      </c>
      <c r="AI155" s="287">
        <f t="shared" si="71"/>
        <v>0</v>
      </c>
      <c r="AJ155" s="287">
        <f t="shared" si="72"/>
        <v>0</v>
      </c>
      <c r="AK155" s="287">
        <f t="shared" si="73"/>
        <v>0</v>
      </c>
      <c r="AL155" s="287">
        <f t="shared" si="74"/>
        <v>0</v>
      </c>
      <c r="AM155" s="287">
        <f t="shared" si="75"/>
        <v>0</v>
      </c>
      <c r="AN155" s="287">
        <f t="shared" si="76"/>
        <v>0</v>
      </c>
      <c r="AO155" s="287">
        <f t="shared" si="77"/>
        <v>0</v>
      </c>
      <c r="AP155" s="287">
        <f t="shared" si="78"/>
        <v>878592</v>
      </c>
      <c r="AQ155" s="287">
        <f t="shared" si="79"/>
        <v>790732.80000000005</v>
      </c>
      <c r="AR155" s="287">
        <f t="shared" si="80"/>
        <v>80570.419011838763</v>
      </c>
      <c r="AS155" s="289" t="e">
        <f>IF(J155='2027 Avoided Costs'!#REF!,3,5)</f>
        <v>#REF!</v>
      </c>
      <c r="AT155" s="290" cm="1">
        <f t="array" ref="AT155">IFERROR(IF($J155="Baseload",IF($O155=1,0,NPV('2027 Avoided Costs'!$D$6,_xlfn._xlws.FILTER('2027 Avoided Costs'!$C$14:$C$47,('2027 Avoided Costs'!$B$14:$B$47&gt;=$B155+1)*('2027 Avoided Costs'!$B$14:$B$47&lt;$B155+ROUND($O155,0)))))+_xlfn.XLOOKUP($B155,'2027 Avoided Costs'!$B$13:$B$47,'2027 Avoided Costs'!$C$13:$C$47),IF($O155=1,0,NPV('2027 Avoided Costs'!$D$6,_xlfn._xlws.FILTER('2027 Avoided Costs'!$E$14:$E$47,('2027 Avoided Costs'!$B$14:$B$47&gt;=$B155+1)*('2027 Avoided Costs'!$B$14:$B$47&lt;$B155+ROUND($O155,0)))))+_xlfn.XLOOKUP($B155,'2027 Avoided Costs'!$B$13:$B$47,'2027 Avoided Costs'!$E$13:$E$47))*IF($AE155&gt;0,$AE155*(1+$W155),0),0)</f>
        <v>348088.40957909566</v>
      </c>
      <c r="AU155" s="290" cm="1">
        <f t="array" ref="AU155">IFERROR((IF($O155=1,0,NPV('2027 Avoided Costs'!$D$6,_xlfn._xlws.FILTER('2027 Avoided Costs'!$M$14:$M$47,('2027 Avoided Costs'!$B$14:$B$47&gt;=$B155+1)*('2027 Avoided Costs'!$B$14:$B$47&lt;$B155+ROUND($O155,0)))))+_xlfn.XLOOKUP($B155,'2027 Avoided Costs'!$B$13:$B$47,'2027 Avoided Costs'!$M$13:$M$47))*IF($AK155&gt;0,$AK155*(1+$W155),0),0)</f>
        <v>0</v>
      </c>
      <c r="AV155" s="291" cm="1">
        <f t="array" ref="AV155">IFERROR((IF($O155=1,0,NPV('2027 Avoided Costs'!$D$6,_xlfn._xlws.FILTER('2027 Avoided Costs'!$Q$14:$Q$47,('2027 Avoided Costs'!$B$14:$B$47&gt;=$B155+1)*('2027 Avoided Costs'!$B$14:$B$47&lt;$B155+ROUND($O155,0)))))+_xlfn.XLOOKUP($B155,'2027 Avoided Costs'!$B$13:$B$47,'2027 Avoided Costs'!$Q$13:$Q$47))*IF($AI155&gt;0,$AI155*(1+$W155),0),0)</f>
        <v>0</v>
      </c>
      <c r="AW155" s="291" cm="1">
        <f t="array" ref="AW155">IFERROR((IF($O155=1,0,NPV('2027 Avoided Costs'!$D$6,_xlfn._xlws.FILTER('2027 Avoided Costs'!$W$14:$W$47,('2027 Avoided Costs'!$B$14:$B$47&gt;=$B155+1)*('2027 Avoided Costs'!$B$14:$B$47&lt;$B155+ROUND($O155,0)))))+_xlfn.XLOOKUP($B155,'2027 Avoided Costs'!$B$13:$B$47,'2027 Avoided Costs'!$W$13:$W$47))*IF($AM155&gt;0,$AM155*(1+$W155),0),0)</f>
        <v>0</v>
      </c>
      <c r="AX155" s="291" cm="1">
        <f t="array" ref="AX155">IFERROR((IF($O155=1,0,NPV('2027 Avoided Costs'!$D$6,_xlfn._xlws.FILTER('2027 Avoided Costs'!$AC$14:$AC$47,('2027 Avoided Costs'!$B$14:$B$47&gt;=$B155+1)*('2027 Avoided Costs'!$B$14:$B$47&lt;$B155+ROUND($O155,0)))))+_xlfn.XLOOKUP($B155,'2027 Avoided Costs'!$B$13:$B$47,'2027 Avoided Costs'!$AC$13:$AC$47))*IF($AO155&gt;0,$AO155*(1+$W155),0),0)</f>
        <v>0</v>
      </c>
      <c r="AY155" s="291" cm="1">
        <f t="array" ref="AY155">IFERROR((IF($O155=1,0,NPV('2027 Avoided Costs'!$D$4,_xlfn._xlws.FILTER('2027 Avoided Costs'!$I$14:$I$47,('2027 Avoided Costs'!$B$14:$B$47&gt;=$B155+1)*('2027 Avoided Costs'!$B$14:$B$47&lt;$B155+ROUND($O155,0)))))+_xlfn.XLOOKUP($B155,'2027 Avoided Costs'!$B$13:$B$47,'2027 Avoided Costs'!$I$13:$I$47))*IF($X155="Residential",'2027 Avoided Costs'!$J$5,IF($X155="Large Volume",'2027 Avoided Costs'!$J$7,'2027 Avoided Costs'!$J$6))*IF($AE155&gt;0,$AE155,0),0)</f>
        <v>0</v>
      </c>
      <c r="AZ155" s="291" cm="1">
        <f t="array" ref="AZ155">IFERROR(IF($J155="Baseload",IF($O155=1,0,NPV('2027 Avoided Costs'!$D$6,_xlfn._xlws.FILTER('2027 Avoided Costs'!$C$14:$C$47,('2027 Avoided Costs'!$B$14:$B$47&gt;=$B155+1)*('2027 Avoided Costs'!$B$14:$B$47&lt;$B155+ROUND($O155,0)))))+_xlfn.XLOOKUP($B155,'2027 Avoided Costs'!$B$13:$B$47,'2027 Avoided Costs'!$C$13:$C$47),IF($O155=1,0,NPV('2027 Avoided Costs'!$D$6,_xlfn._xlws.FILTER('2027 Avoided Costs'!$E$14:$E$47,('2027 Avoided Costs'!$B$14:$B$47&gt;=$B155+1)*('2027 Avoided Costs'!$B$14:$B$47&lt;$B155+ROUND($O155,0)))))+_xlfn.XLOOKUP($B155,'2027 Avoided Costs'!$B$13:$B$47,'2027 Avoided Costs'!$E$13:$E$47))*IF($AE155&lt;0,$AE155*(-1),0),0)</f>
        <v>0</v>
      </c>
      <c r="BA155" s="291" cm="1">
        <f t="array" ref="BA155">IFERROR((IF($O155=1,0,NPV('2027 Avoided Costs'!$D$6,_xlfn._xlws.FILTER('2027 Avoided Costs'!$M$14:$M$47,('2027 Avoided Costs'!$B$14:$B$47&gt;=$B155+1)*('2027 Avoided Costs'!$B$14:$B$47&lt;$B155+ROUND($O155,0)))))+_xlfn.XLOOKUP($B155,'2027 Avoided Costs'!$B$13:$B$47,'2027 Avoided Costs'!$M$13:$M$47))*IF($AK155&lt;0,$AK155*(-1),0),0)</f>
        <v>0</v>
      </c>
      <c r="BB155" s="291" cm="1">
        <f t="array" ref="BB155">IFERROR((IF($O155=1,0,NPV('2027 Avoided Costs'!$D$6,_xlfn._xlws.FILTER('2027 Avoided Costs'!$S$14:$S$47,('2027 Avoided Costs'!$B$14:$B$47&gt;=$B155+1)*('2027 Avoided Costs'!$B$14:$B$47&lt;$B155+ROUND($O155,0)))))+_xlfn.XLOOKUP($B155,'2027 Avoided Costs'!$B$13:$B$47,'2027 Avoided Costs'!$S$13:$S$47))*IF($AI155&lt;0,$AI155*(-1),0),0)</f>
        <v>0</v>
      </c>
      <c r="BC155" s="291" cm="1">
        <f t="array" ref="BC155">IFERROR((IF($O155=1,0,NPV('2027 Avoided Costs'!$D$6,_xlfn._xlws.FILTER('2027 Avoided Costs'!$Y$14:$Y$47,('2027 Avoided Costs'!$B$14:$B$47&gt;=$B155+1)*('2027 Avoided Costs'!$B$14:$B$47&lt;$B155+ROUND($O155,0)))))+_xlfn.XLOOKUP($B155,'2027 Avoided Costs'!$B$13:$B$47,'2027 Avoided Costs'!$Y$13:$Y$47))*IF($AM155&lt;0,$AM155*(-1),0),0)</f>
        <v>0</v>
      </c>
      <c r="BD155" s="291" cm="1">
        <f t="array" ref="BD155">IFERROR((IF($O155=1,0,NPV('2027 Avoided Costs'!$D$6,_xlfn._xlws.FILTER('2027 Avoided Costs'!$AE$14:$AE$47,('2027 Avoided Costs'!$B$14:$B$47&gt;=$B155+1)*('2027 Avoided Costs'!$B$14:$B$47&lt;$B155+ROUND($O155,0)))))+_xlfn.XLOOKUP($B155,'2027 Avoided Costs'!$B$13:$B$47,'2027 Avoided Costs'!$AE$13:$AE$47))*IF($AO155&lt;0,$AO155*(-1),0),0)</f>
        <v>0</v>
      </c>
      <c r="BE155" s="291" cm="1">
        <f t="array" ref="BE155">IFERROR((IF($O155=1,0,NPV('2027 Avoided Costs'!$D$4,_xlfn._xlws.FILTER('2027 Avoided Costs'!$I$14:$I$47,('2027 Avoided Costs'!$B$14:$B$47&gt;=$B155+1)*('2027 Avoided Costs'!$B$14:$B$47&lt;$B155+ROUND($O155,0)))))+_xlfn.XLOOKUP($B155,'2027 Avoided Costs'!$B$13:$B$47,'2027 Avoided Costs'!$I$13:$I$47))*IF($X155="Residential",'2027 Avoided Costs'!$J$5,IF($X155="Large Volume",'2027 Avoided Costs'!$J$7,'2027 Avoided Costs'!$J$6))*IF($AE155&lt;0,$AE155*(-1),0),0)</f>
        <v>0</v>
      </c>
      <c r="BF155" s="291">
        <f t="shared" si="58"/>
        <v>348088.40957909566</v>
      </c>
      <c r="BG155" s="291">
        <f t="shared" si="59"/>
        <v>790732.80000000005</v>
      </c>
      <c r="BH155" s="291">
        <f t="shared" si="60"/>
        <v>-442644.39042090438</v>
      </c>
      <c r="BI155" s="292">
        <f t="shared" si="83"/>
        <v>0.44020990349596684</v>
      </c>
      <c r="BJ155" s="196" cm="1">
        <f t="array" ref="BJ155">IFERROR(IF($J155="Baseload",IF($O155=1,0,NPV('2027 Avoided Costs'!$D$6,_xlfn._xlws.FILTER('2027 Avoided Costs'!$C$14:$C$47,('2027 Avoided Costs'!$B$14:$B$47&gt;=$B155+1)*('2027 Avoided Costs'!$B$14:$B$47&lt;$B155+ROUND($O155,0)))))+_xlfn.XLOOKUP($B155,'2027 Avoided Costs'!$B$13:$B$47,'2027 Avoided Costs'!$C$13:$C$47),IF($O155=1,0,NPV('2027 Avoided Costs'!$D$6,_xlfn._xlws.FILTER('2027 Avoided Costs'!$E$14:$E$47,('2027 Avoided Costs'!$B$14:$B$47&gt;=$B155+1)*('2027 Avoided Costs'!$B$14:$B$47&lt;$B155+ROUND($O155,0)))))+_xlfn.XLOOKUP($B155,'2027 Avoided Costs'!$B$13:$B$47,'2027 Avoided Costs'!$E$13:$E$47))*IF($AE155&gt;0,$AE155*(1+0),0),0)</f>
        <v>302685.57354703976</v>
      </c>
      <c r="BK155" s="293">
        <f t="shared" si="81"/>
        <v>2.7201559587561386</v>
      </c>
    </row>
    <row r="156" spans="1:63" s="56" customFormat="1" x14ac:dyDescent="0.25">
      <c r="A156" s="270" t="s">
        <v>133</v>
      </c>
      <c r="B156" s="271">
        <v>2027</v>
      </c>
      <c r="C156" s="272" t="s">
        <v>13</v>
      </c>
      <c r="D156" s="272" t="s">
        <v>163</v>
      </c>
      <c r="E156" s="272" t="s">
        <v>99</v>
      </c>
      <c r="F156" s="273">
        <v>647</v>
      </c>
      <c r="G156" s="274">
        <v>891.07807807807808</v>
      </c>
      <c r="H156" s="275">
        <f t="shared" si="61"/>
        <v>0.37943130081153542</v>
      </c>
      <c r="I156" s="274">
        <v>200</v>
      </c>
      <c r="J156" s="276" t="s">
        <v>264</v>
      </c>
      <c r="K156" s="277">
        <f t="shared" si="57"/>
        <v>0.5</v>
      </c>
      <c r="L156" s="278">
        <v>0.5</v>
      </c>
      <c r="M156" s="278">
        <v>0</v>
      </c>
      <c r="N156" s="278">
        <v>1</v>
      </c>
      <c r="O156" s="279">
        <v>10</v>
      </c>
      <c r="P156" s="280">
        <v>2348.4569569569567</v>
      </c>
      <c r="Q156" s="281">
        <v>474.00900900900899</v>
      </c>
      <c r="R156" s="282">
        <v>0.28885576970353827</v>
      </c>
      <c r="S156" s="282">
        <v>8.5318622263447053E-2</v>
      </c>
      <c r="T156" s="281">
        <v>0</v>
      </c>
      <c r="U156" s="283">
        <v>0.67</v>
      </c>
      <c r="V156" s="284">
        <v>1782.1561561561562</v>
      </c>
      <c r="W156" s="285">
        <v>0.15</v>
      </c>
      <c r="X156" s="286" t="s">
        <v>255</v>
      </c>
      <c r="Y156" s="287">
        <f t="shared" si="62"/>
        <v>647</v>
      </c>
      <c r="Z156" s="288">
        <f t="shared" si="63"/>
        <v>576527.51651651657</v>
      </c>
      <c r="AA156" s="288">
        <f t="shared" si="64"/>
        <v>129400</v>
      </c>
      <c r="AB156" s="288">
        <f t="shared" si="65"/>
        <v>576527.51651651657</v>
      </c>
      <c r="AC156" s="288">
        <f t="shared" si="82"/>
        <v>129400</v>
      </c>
      <c r="AD156" s="287">
        <f t="shared" si="66"/>
        <v>1519451.6511511509</v>
      </c>
      <c r="AE156" s="287">
        <f t="shared" si="67"/>
        <v>759725.82557557547</v>
      </c>
      <c r="AF156" s="287">
        <f t="shared" si="68"/>
        <v>15194516.511511508</v>
      </c>
      <c r="AG156" s="287">
        <f t="shared" si="69"/>
        <v>7597258.2557557542</v>
      </c>
      <c r="AH156" s="287">
        <f t="shared" si="70"/>
        <v>328765.06450450449</v>
      </c>
      <c r="AI156" s="287">
        <f t="shared" si="71"/>
        <v>164382.53225225225</v>
      </c>
      <c r="AJ156" s="287">
        <f t="shared" si="72"/>
        <v>0</v>
      </c>
      <c r="AK156" s="287">
        <f t="shared" si="73"/>
        <v>0</v>
      </c>
      <c r="AL156" s="287">
        <f t="shared" si="74"/>
        <v>200.3457401740589</v>
      </c>
      <c r="AM156" s="287">
        <f t="shared" si="75"/>
        <v>100.17287008702945</v>
      </c>
      <c r="AN156" s="287">
        <f t="shared" si="76"/>
        <v>59.175631303970668</v>
      </c>
      <c r="AO156" s="287">
        <f t="shared" si="77"/>
        <v>29.587815651985334</v>
      </c>
      <c r="AP156" s="287">
        <f t="shared" si="78"/>
        <v>1153055.0330330331</v>
      </c>
      <c r="AQ156" s="287">
        <f t="shared" si="79"/>
        <v>576527.51651651657</v>
      </c>
      <c r="AR156" s="287">
        <f t="shared" si="80"/>
        <v>509016.30313563556</v>
      </c>
      <c r="AS156" s="289" t="e">
        <f>IF(J156='2027 Avoided Costs'!#REF!,3,5)</f>
        <v>#REF!</v>
      </c>
      <c r="AT156" s="290" cm="1">
        <f t="array" ref="AT156">IFERROR(IF($J156="Baseload",IF($O156=1,0,NPV('2027 Avoided Costs'!$D$6,_xlfn._xlws.FILTER('2027 Avoided Costs'!$C$14:$C$47,('2027 Avoided Costs'!$B$14:$B$47&gt;=$B156+1)*('2027 Avoided Costs'!$B$14:$B$47&lt;$B156+ROUND($O156,0)))))+_xlfn.XLOOKUP($B156,'2027 Avoided Costs'!$B$13:$B$47,'2027 Avoided Costs'!$C$13:$C$47),IF($O156=1,0,NPV('2027 Avoided Costs'!$D$6,_xlfn._xlws.FILTER('2027 Avoided Costs'!$E$14:$E$47,('2027 Avoided Costs'!$B$14:$B$47&gt;=$B156+1)*('2027 Avoided Costs'!$B$14:$B$47&lt;$B156+ROUND($O156,0)))))+_xlfn.XLOOKUP($B156,'2027 Avoided Costs'!$B$13:$B$47,'2027 Avoided Costs'!$E$13:$E$47))*IF($AE156&gt;0,$AE156*(1+$W156),0),0)</f>
        <v>2143923.6809269972</v>
      </c>
      <c r="AU156" s="290" cm="1">
        <f t="array" ref="AU156">IFERROR((IF($O156=1,0,NPV('2027 Avoided Costs'!$D$6,_xlfn._xlws.FILTER('2027 Avoided Costs'!$M$14:$M$47,('2027 Avoided Costs'!$B$14:$B$47&gt;=$B156+1)*('2027 Avoided Costs'!$B$14:$B$47&lt;$B156+ROUND($O156,0)))))+_xlfn.XLOOKUP($B156,'2027 Avoided Costs'!$B$13:$B$47,'2027 Avoided Costs'!$M$13:$M$47))*IF($AK156&gt;0,$AK156*(1+$W156),0),0)</f>
        <v>0</v>
      </c>
      <c r="AV156" s="291" cm="1">
        <f t="array" ref="AV156">IFERROR((IF($O156=1,0,NPV('2027 Avoided Costs'!$D$6,_xlfn._xlws.FILTER('2027 Avoided Costs'!$Q$14:$Q$47,('2027 Avoided Costs'!$B$14:$B$47&gt;=$B156+1)*('2027 Avoided Costs'!$B$14:$B$47&lt;$B156+ROUND($O156,0)))))+_xlfn.XLOOKUP($B156,'2027 Avoided Costs'!$B$13:$B$47,'2027 Avoided Costs'!$Q$13:$Q$47))*IF($AI156&gt;0,$AI156*(1+$W156),0),0)</f>
        <v>83980.257430493526</v>
      </c>
      <c r="AW156" s="291" cm="1">
        <f t="array" ref="AW156">IFERROR((IF($O156=1,0,NPV('2027 Avoided Costs'!$D$6,_xlfn._xlws.FILTER('2027 Avoided Costs'!$W$14:$W$47,('2027 Avoided Costs'!$B$14:$B$47&gt;=$B156+1)*('2027 Avoided Costs'!$B$14:$B$47&lt;$B156+ROUND($O156,0)))))+_xlfn.XLOOKUP($B156,'2027 Avoided Costs'!$B$13:$B$47,'2027 Avoided Costs'!$W$13:$W$47))*IF($AM156&gt;0,$AM156*(1+$W156),0),0)</f>
        <v>289520.17123454879</v>
      </c>
      <c r="AX156" s="291" cm="1">
        <f t="array" ref="AX156">IFERROR((IF($O156=1,0,NPV('2027 Avoided Costs'!$D$6,_xlfn._xlws.FILTER('2027 Avoided Costs'!$AC$14:$AC$47,('2027 Avoided Costs'!$B$14:$B$47&gt;=$B156+1)*('2027 Avoided Costs'!$B$14:$B$47&lt;$B156+ROUND($O156,0)))))+_xlfn.XLOOKUP($B156,'2027 Avoided Costs'!$B$13:$B$47,'2027 Avoided Costs'!$AC$13:$AC$47))*IF($AO156&gt;0,$AO156*(1+$W156),0),0)</f>
        <v>0</v>
      </c>
      <c r="AY156" s="291" cm="1">
        <f t="array" ref="AY156">IFERROR((IF($O156=1,0,NPV('2027 Avoided Costs'!$D$4,_xlfn._xlws.FILTER('2027 Avoided Costs'!$I$14:$I$47,('2027 Avoided Costs'!$B$14:$B$47&gt;=$B156+1)*('2027 Avoided Costs'!$B$14:$B$47&lt;$B156+ROUND($O156,0)))))+_xlfn.XLOOKUP($B156,'2027 Avoided Costs'!$B$13:$B$47,'2027 Avoided Costs'!$I$13:$I$47))*IF($X156="Residential",'2027 Avoided Costs'!$J$5,IF($X156="Large Volume",'2027 Avoided Costs'!$J$7,'2027 Avoided Costs'!$J$6))*IF($AE156&gt;0,$AE156,0),0)</f>
        <v>0</v>
      </c>
      <c r="AZ156" s="291" cm="1">
        <f t="array" ref="AZ156">IFERROR(IF($J156="Baseload",IF($O156=1,0,NPV('2027 Avoided Costs'!$D$6,_xlfn._xlws.FILTER('2027 Avoided Costs'!$C$14:$C$47,('2027 Avoided Costs'!$B$14:$B$47&gt;=$B156+1)*('2027 Avoided Costs'!$B$14:$B$47&lt;$B156+ROUND($O156,0)))))+_xlfn.XLOOKUP($B156,'2027 Avoided Costs'!$B$13:$B$47,'2027 Avoided Costs'!$C$13:$C$47),IF($O156=1,0,NPV('2027 Avoided Costs'!$D$6,_xlfn._xlws.FILTER('2027 Avoided Costs'!$E$14:$E$47,('2027 Avoided Costs'!$B$14:$B$47&gt;=$B156+1)*('2027 Avoided Costs'!$B$14:$B$47&lt;$B156+ROUND($O156,0)))))+_xlfn.XLOOKUP($B156,'2027 Avoided Costs'!$B$13:$B$47,'2027 Avoided Costs'!$E$13:$E$47))*IF($AE156&lt;0,$AE156*(-1),0),0)</f>
        <v>0</v>
      </c>
      <c r="BA156" s="291" cm="1">
        <f t="array" ref="BA156">IFERROR((IF($O156=1,0,NPV('2027 Avoided Costs'!$D$6,_xlfn._xlws.FILTER('2027 Avoided Costs'!$M$14:$M$47,('2027 Avoided Costs'!$B$14:$B$47&gt;=$B156+1)*('2027 Avoided Costs'!$B$14:$B$47&lt;$B156+ROUND($O156,0)))))+_xlfn.XLOOKUP($B156,'2027 Avoided Costs'!$B$13:$B$47,'2027 Avoided Costs'!$M$13:$M$47))*IF($AK156&lt;0,$AK156*(-1),0),0)</f>
        <v>0</v>
      </c>
      <c r="BB156" s="291" cm="1">
        <f t="array" ref="BB156">IFERROR((IF($O156=1,0,NPV('2027 Avoided Costs'!$D$6,_xlfn._xlws.FILTER('2027 Avoided Costs'!$S$14:$S$47,('2027 Avoided Costs'!$B$14:$B$47&gt;=$B156+1)*('2027 Avoided Costs'!$B$14:$B$47&lt;$B156+ROUND($O156,0)))))+_xlfn.XLOOKUP($B156,'2027 Avoided Costs'!$B$13:$B$47,'2027 Avoided Costs'!$S$13:$S$47))*IF($AI156&lt;0,$AI156*(-1),0),0)</f>
        <v>0</v>
      </c>
      <c r="BC156" s="291" cm="1">
        <f t="array" ref="BC156">IFERROR((IF($O156=1,0,NPV('2027 Avoided Costs'!$D$6,_xlfn._xlws.FILTER('2027 Avoided Costs'!$Y$14:$Y$47,('2027 Avoided Costs'!$B$14:$B$47&gt;=$B156+1)*('2027 Avoided Costs'!$B$14:$B$47&lt;$B156+ROUND($O156,0)))))+_xlfn.XLOOKUP($B156,'2027 Avoided Costs'!$B$13:$B$47,'2027 Avoided Costs'!$Y$13:$Y$47))*IF($AM156&lt;0,$AM156*(-1),0),0)</f>
        <v>0</v>
      </c>
      <c r="BD156" s="291" cm="1">
        <f t="array" ref="BD156">IFERROR((IF($O156=1,0,NPV('2027 Avoided Costs'!$D$6,_xlfn._xlws.FILTER('2027 Avoided Costs'!$AE$14:$AE$47,('2027 Avoided Costs'!$B$14:$B$47&gt;=$B156+1)*('2027 Avoided Costs'!$B$14:$B$47&lt;$B156+ROUND($O156,0)))))+_xlfn.XLOOKUP($B156,'2027 Avoided Costs'!$B$13:$B$47,'2027 Avoided Costs'!$AE$13:$AE$47))*IF($AO156&lt;0,$AO156*(-1),0),0)</f>
        <v>0</v>
      </c>
      <c r="BE156" s="291" cm="1">
        <f t="array" ref="BE156">IFERROR((IF($O156=1,0,NPV('2027 Avoided Costs'!$D$4,_xlfn._xlws.FILTER('2027 Avoided Costs'!$I$14:$I$47,('2027 Avoided Costs'!$B$14:$B$47&gt;=$B156+1)*('2027 Avoided Costs'!$B$14:$B$47&lt;$B156+ROUND($O156,0)))))+_xlfn.XLOOKUP($B156,'2027 Avoided Costs'!$B$13:$B$47,'2027 Avoided Costs'!$I$13:$I$47))*IF($X156="Residential",'2027 Avoided Costs'!$J$5,IF($X156="Large Volume",'2027 Avoided Costs'!$J$7,'2027 Avoided Costs'!$J$6))*IF($AE156&lt;0,$AE156*(-1),0),0)</f>
        <v>0</v>
      </c>
      <c r="BF156" s="291">
        <f t="shared" si="58"/>
        <v>2517424.1095920391</v>
      </c>
      <c r="BG156" s="291">
        <f t="shared" si="59"/>
        <v>576527.51651651657</v>
      </c>
      <c r="BH156" s="291">
        <f t="shared" si="60"/>
        <v>1940896.5930755227</v>
      </c>
      <c r="BI156" s="292">
        <f t="shared" si="83"/>
        <v>4.3665289816568871</v>
      </c>
      <c r="BJ156" s="196" cm="1">
        <f t="array" ref="BJ156">IFERROR(IF($J156="Baseload",IF($O156=1,0,NPV('2027 Avoided Costs'!$D$6,_xlfn._xlws.FILTER('2027 Avoided Costs'!$C$14:$C$47,('2027 Avoided Costs'!$B$14:$B$47&gt;=$B156+1)*('2027 Avoided Costs'!$B$14:$B$47&lt;$B156+ROUND($O156,0)))))+_xlfn.XLOOKUP($B156,'2027 Avoided Costs'!$B$13:$B$47,'2027 Avoided Costs'!$C$13:$C$47),IF($O156=1,0,NPV('2027 Avoided Costs'!$D$6,_xlfn._xlws.FILTER('2027 Avoided Costs'!$E$14:$E$47,('2027 Avoided Costs'!$B$14:$B$47&gt;=$B156+1)*('2027 Avoided Costs'!$B$14:$B$47&lt;$B156+ROUND($O156,0)))))+_xlfn.XLOOKUP($B156,'2027 Avoided Costs'!$B$13:$B$47,'2027 Avoided Costs'!$E$13:$E$47))*IF($AE156&gt;0,$AE156*(1+0),0),0)</f>
        <v>1864281.4616756497</v>
      </c>
      <c r="BK156" s="293">
        <f t="shared" si="81"/>
        <v>2.6408964349132735</v>
      </c>
    </row>
    <row r="157" spans="1:63" s="56" customFormat="1" x14ac:dyDescent="0.25">
      <c r="A157" s="270" t="s">
        <v>133</v>
      </c>
      <c r="B157" s="271">
        <v>2027</v>
      </c>
      <c r="C157" s="272" t="s">
        <v>13</v>
      </c>
      <c r="D157" s="272" t="s">
        <v>163</v>
      </c>
      <c r="E157" s="272" t="s">
        <v>100</v>
      </c>
      <c r="F157" s="273">
        <v>846</v>
      </c>
      <c r="G157" s="274">
        <v>2053.3769115442283</v>
      </c>
      <c r="H157" s="275">
        <f t="shared" si="61"/>
        <v>1</v>
      </c>
      <c r="I157" s="274">
        <v>200</v>
      </c>
      <c r="J157" s="276" t="s">
        <v>264</v>
      </c>
      <c r="K157" s="277">
        <f t="shared" si="57"/>
        <v>0.30000000000000038</v>
      </c>
      <c r="L157" s="278">
        <v>0.69999999999999962</v>
      </c>
      <c r="M157" s="278">
        <v>0</v>
      </c>
      <c r="N157" s="278">
        <v>0.99550000000000005</v>
      </c>
      <c r="O157" s="279">
        <v>14</v>
      </c>
      <c r="P157" s="280">
        <v>2053.3769115442283</v>
      </c>
      <c r="Q157" s="281">
        <v>-2547.3565331431073</v>
      </c>
      <c r="R157" s="282">
        <v>-1.552330479179572</v>
      </c>
      <c r="S157" s="282">
        <v>-0.45850805721169346</v>
      </c>
      <c r="T157" s="281">
        <v>0</v>
      </c>
      <c r="U157" s="283">
        <v>0.65000000000000013</v>
      </c>
      <c r="V157" s="284">
        <v>8546.3058323765781</v>
      </c>
      <c r="W157" s="285">
        <v>0.15</v>
      </c>
      <c r="X157" s="286" t="s">
        <v>255</v>
      </c>
      <c r="Y157" s="287">
        <f t="shared" si="62"/>
        <v>846</v>
      </c>
      <c r="Z157" s="288">
        <f t="shared" si="63"/>
        <v>1737156.8671664172</v>
      </c>
      <c r="AA157" s="288">
        <f t="shared" si="64"/>
        <v>169200</v>
      </c>
      <c r="AB157" s="288">
        <f t="shared" si="65"/>
        <v>1737156.8671664172</v>
      </c>
      <c r="AC157" s="288">
        <f t="shared" si="82"/>
        <v>169200</v>
      </c>
      <c r="AD157" s="287">
        <f t="shared" si="66"/>
        <v>1729339.6612641683</v>
      </c>
      <c r="AE157" s="287">
        <f t="shared" si="67"/>
        <v>518801.89837925113</v>
      </c>
      <c r="AF157" s="287">
        <f t="shared" si="68"/>
        <v>24210755.257698357</v>
      </c>
      <c r="AG157" s="287">
        <f t="shared" si="69"/>
        <v>7263226.5773095153</v>
      </c>
      <c r="AH157" s="287">
        <f t="shared" si="70"/>
        <v>-2299832.1812490453</v>
      </c>
      <c r="AI157" s="287">
        <f t="shared" si="71"/>
        <v>-689949.65437471448</v>
      </c>
      <c r="AJ157" s="287">
        <f t="shared" si="72"/>
        <v>0</v>
      </c>
      <c r="AK157" s="287">
        <f t="shared" si="73"/>
        <v>0</v>
      </c>
      <c r="AL157" s="287">
        <f t="shared" si="74"/>
        <v>-1401.4919174058025</v>
      </c>
      <c r="AM157" s="287">
        <f t="shared" si="75"/>
        <v>-420.44757522174126</v>
      </c>
      <c r="AN157" s="287">
        <f t="shared" si="76"/>
        <v>-413.95524011565249</v>
      </c>
      <c r="AO157" s="287">
        <f t="shared" si="77"/>
        <v>-124.18657203469591</v>
      </c>
      <c r="AP157" s="287">
        <f t="shared" si="78"/>
        <v>7230174.7341905851</v>
      </c>
      <c r="AQ157" s="287">
        <f t="shared" si="79"/>
        <v>2169052.4202571781</v>
      </c>
      <c r="AR157" s="287">
        <f t="shared" si="80"/>
        <v>337221.23394651333</v>
      </c>
      <c r="AS157" s="289" t="e">
        <f>IF(J157='2027 Avoided Costs'!#REF!,3,5)</f>
        <v>#REF!</v>
      </c>
      <c r="AT157" s="290" cm="1">
        <f t="array" ref="AT157">IFERROR(IF($J157="Baseload",IF($O157=1,0,NPV('2027 Avoided Costs'!$D$6,_xlfn._xlws.FILTER('2027 Avoided Costs'!$C$14:$C$47,('2027 Avoided Costs'!$B$14:$B$47&gt;=$B157+1)*('2027 Avoided Costs'!$B$14:$B$47&lt;$B157+ROUND($O157,0)))))+_xlfn.XLOOKUP($B157,'2027 Avoided Costs'!$B$13:$B$47,'2027 Avoided Costs'!$C$13:$C$47),IF($O157=1,0,NPV('2027 Avoided Costs'!$D$6,_xlfn._xlws.FILTER('2027 Avoided Costs'!$E$14:$E$47,('2027 Avoided Costs'!$B$14:$B$47&gt;=$B157+1)*('2027 Avoided Costs'!$B$14:$B$47&lt;$B157+ROUND($O157,0)))))+_xlfn.XLOOKUP($B157,'2027 Avoided Costs'!$B$13:$B$47,'2027 Avoided Costs'!$E$13:$E$47))*IF($AE157&gt;0,$AE157*(1+$W157),0),0)</f>
        <v>1935092.8982170823</v>
      </c>
      <c r="AU157" s="290" cm="1">
        <f t="array" ref="AU157">IFERROR((IF($O157=1,0,NPV('2027 Avoided Costs'!$D$6,_xlfn._xlws.FILTER('2027 Avoided Costs'!$M$14:$M$47,('2027 Avoided Costs'!$B$14:$B$47&gt;=$B157+1)*('2027 Avoided Costs'!$B$14:$B$47&lt;$B157+ROUND($O157,0)))))+_xlfn.XLOOKUP($B157,'2027 Avoided Costs'!$B$13:$B$47,'2027 Avoided Costs'!$M$13:$M$47))*IF($AK157&gt;0,$AK157*(1+$W157),0),0)</f>
        <v>0</v>
      </c>
      <c r="AV157" s="291" cm="1">
        <f t="array" ref="AV157">IFERROR((IF($O157=1,0,NPV('2027 Avoided Costs'!$D$6,_xlfn._xlws.FILTER('2027 Avoided Costs'!$Q$14:$Q$47,('2027 Avoided Costs'!$B$14:$B$47&gt;=$B157+1)*('2027 Avoided Costs'!$B$14:$B$47&lt;$B157+ROUND($O157,0)))))+_xlfn.XLOOKUP($B157,'2027 Avoided Costs'!$B$13:$B$47,'2027 Avoided Costs'!$Q$13:$Q$47))*IF($AI157&gt;0,$AI157*(1+$W157),0),0)</f>
        <v>0</v>
      </c>
      <c r="AW157" s="291" cm="1">
        <f t="array" ref="AW157">IFERROR((IF($O157=1,0,NPV('2027 Avoided Costs'!$D$6,_xlfn._xlws.FILTER('2027 Avoided Costs'!$W$14:$W$47,('2027 Avoided Costs'!$B$14:$B$47&gt;=$B157+1)*('2027 Avoided Costs'!$B$14:$B$47&lt;$B157+ROUND($O157,0)))))+_xlfn.XLOOKUP($B157,'2027 Avoided Costs'!$B$13:$B$47,'2027 Avoided Costs'!$W$13:$W$47))*IF($AM157&gt;0,$AM157*(1+$W157),0),0)</f>
        <v>0</v>
      </c>
      <c r="AX157" s="291" cm="1">
        <f t="array" ref="AX157">IFERROR((IF($O157=1,0,NPV('2027 Avoided Costs'!$D$6,_xlfn._xlws.FILTER('2027 Avoided Costs'!$AC$14:$AC$47,('2027 Avoided Costs'!$B$14:$B$47&gt;=$B157+1)*('2027 Avoided Costs'!$B$14:$B$47&lt;$B157+ROUND($O157,0)))))+_xlfn.XLOOKUP($B157,'2027 Avoided Costs'!$B$13:$B$47,'2027 Avoided Costs'!$AC$13:$AC$47))*IF($AO157&gt;0,$AO157*(1+$W157),0),0)</f>
        <v>0</v>
      </c>
      <c r="AY157" s="291" cm="1">
        <f t="array" ref="AY157">IFERROR((IF($O157=1,0,NPV('2027 Avoided Costs'!$D$4,_xlfn._xlws.FILTER('2027 Avoided Costs'!$I$14:$I$47,('2027 Avoided Costs'!$B$14:$B$47&gt;=$B157+1)*('2027 Avoided Costs'!$B$14:$B$47&lt;$B157+ROUND($O157,0)))))+_xlfn.XLOOKUP($B157,'2027 Avoided Costs'!$B$13:$B$47,'2027 Avoided Costs'!$I$13:$I$47))*IF($X157="Residential",'2027 Avoided Costs'!$J$5,IF($X157="Large Volume",'2027 Avoided Costs'!$J$7,'2027 Avoided Costs'!$J$6))*IF($AE157&gt;0,$AE157,0),0)</f>
        <v>0</v>
      </c>
      <c r="AZ157" s="291" cm="1">
        <f t="array" ref="AZ157">IFERROR(IF($J157="Baseload",IF($O157=1,0,NPV('2027 Avoided Costs'!$D$6,_xlfn._xlws.FILTER('2027 Avoided Costs'!$C$14:$C$47,('2027 Avoided Costs'!$B$14:$B$47&gt;=$B157+1)*('2027 Avoided Costs'!$B$14:$B$47&lt;$B157+ROUND($O157,0)))))+_xlfn.XLOOKUP($B157,'2027 Avoided Costs'!$B$13:$B$47,'2027 Avoided Costs'!$C$13:$C$47),IF($O157=1,0,NPV('2027 Avoided Costs'!$D$6,_xlfn._xlws.FILTER('2027 Avoided Costs'!$E$14:$E$47,('2027 Avoided Costs'!$B$14:$B$47&gt;=$B157+1)*('2027 Avoided Costs'!$B$14:$B$47&lt;$B157+ROUND($O157,0)))))+_xlfn.XLOOKUP($B157,'2027 Avoided Costs'!$B$13:$B$47,'2027 Avoided Costs'!$E$13:$E$47))*IF($AE157&lt;0,$AE157*(-1),0),0)</f>
        <v>0</v>
      </c>
      <c r="BA157" s="291" cm="1">
        <f t="array" ref="BA157">IFERROR((IF($O157=1,0,NPV('2027 Avoided Costs'!$D$6,_xlfn._xlws.FILTER('2027 Avoided Costs'!$M$14:$M$47,('2027 Avoided Costs'!$B$14:$B$47&gt;=$B157+1)*('2027 Avoided Costs'!$B$14:$B$47&lt;$B157+ROUND($O157,0)))))+_xlfn.XLOOKUP($B157,'2027 Avoided Costs'!$B$13:$B$47,'2027 Avoided Costs'!$M$13:$M$47))*IF($AK157&lt;0,$AK157*(-1),0),0)</f>
        <v>0</v>
      </c>
      <c r="BB157" s="291" cm="1">
        <f t="array" ref="BB157">IFERROR((IF($O157=1,0,NPV('2027 Avoided Costs'!$D$6,_xlfn._xlws.FILTER('2027 Avoided Costs'!$S$14:$S$47,('2027 Avoided Costs'!$B$14:$B$47&gt;=$B157+1)*('2027 Avoided Costs'!$B$14:$B$47&lt;$B157+ROUND($O157,0)))))+_xlfn.XLOOKUP($B157,'2027 Avoided Costs'!$B$13:$B$47,'2027 Avoided Costs'!$S$13:$S$47))*IF($AI157&lt;0,$AI157*(-1),0),0)</f>
        <v>378363.43040789518</v>
      </c>
      <c r="BC157" s="291" cm="1">
        <f t="array" ref="BC157">IFERROR((IF($O157=1,0,NPV('2027 Avoided Costs'!$D$6,_xlfn._xlws.FILTER('2027 Avoided Costs'!$Y$14:$Y$47,('2027 Avoided Costs'!$B$14:$B$47&gt;=$B157+1)*('2027 Avoided Costs'!$B$14:$B$47&lt;$B157+ROUND($O157,0)))))+_xlfn.XLOOKUP($B157,'2027 Avoided Costs'!$B$13:$B$47,'2027 Avoided Costs'!$Y$13:$Y$47))*IF($AM157&lt;0,$AM157*(-1),0),0)</f>
        <v>1331551.9055642101</v>
      </c>
      <c r="BD157" s="291" cm="1">
        <f t="array" ref="BD157">IFERROR((IF($O157=1,0,NPV('2027 Avoided Costs'!$D$6,_xlfn._xlws.FILTER('2027 Avoided Costs'!$AE$14:$AE$47,('2027 Avoided Costs'!$B$14:$B$47&gt;=$B157+1)*('2027 Avoided Costs'!$B$14:$B$47&lt;$B157+ROUND($O157,0)))))+_xlfn.XLOOKUP($B157,'2027 Avoided Costs'!$B$13:$B$47,'2027 Avoided Costs'!$AE$13:$AE$47))*IF($AO157&lt;0,$AO157*(-1),0),0)</f>
        <v>26367.743652389912</v>
      </c>
      <c r="BE157" s="291" cm="1">
        <f t="array" ref="BE157">IFERROR((IF($O157=1,0,NPV('2027 Avoided Costs'!$D$4,_xlfn._xlws.FILTER('2027 Avoided Costs'!$I$14:$I$47,('2027 Avoided Costs'!$B$14:$B$47&gt;=$B157+1)*('2027 Avoided Costs'!$B$14:$B$47&lt;$B157+ROUND($O157,0)))))+_xlfn.XLOOKUP($B157,'2027 Avoided Costs'!$B$13:$B$47,'2027 Avoided Costs'!$I$13:$I$47))*IF($X157="Residential",'2027 Avoided Costs'!$J$5,IF($X157="Large Volume",'2027 Avoided Costs'!$J$7,'2027 Avoided Costs'!$J$6))*IF($AE157&lt;0,$AE157*(-1),0),0)</f>
        <v>0</v>
      </c>
      <c r="BF157" s="291">
        <f t="shared" si="58"/>
        <v>1935092.8982170823</v>
      </c>
      <c r="BG157" s="291">
        <f t="shared" si="59"/>
        <v>3905335.4998816736</v>
      </c>
      <c r="BH157" s="291">
        <f t="shared" si="60"/>
        <v>-1970242.6016645913</v>
      </c>
      <c r="BI157" s="292">
        <f t="shared" si="83"/>
        <v>0.49549978440410891</v>
      </c>
      <c r="BJ157" s="196" cm="1">
        <f t="array" ref="BJ157">IFERROR(IF($J157="Baseload",IF($O157=1,0,NPV('2027 Avoided Costs'!$D$6,_xlfn._xlws.FILTER('2027 Avoided Costs'!$C$14:$C$47,('2027 Avoided Costs'!$B$14:$B$47&gt;=$B157+1)*('2027 Avoided Costs'!$B$14:$B$47&lt;$B157+ROUND($O157,0)))))+_xlfn.XLOOKUP($B157,'2027 Avoided Costs'!$B$13:$B$47,'2027 Avoided Costs'!$C$13:$C$47),IF($O157=1,0,NPV('2027 Avoided Costs'!$D$6,_xlfn._xlws.FILTER('2027 Avoided Costs'!$E$14:$E$47,('2027 Avoided Costs'!$B$14:$B$47&gt;=$B157+1)*('2027 Avoided Costs'!$B$14:$B$47&lt;$B157+ROUND($O157,0)))))+_xlfn.XLOOKUP($B157,'2027 Avoided Costs'!$B$13:$B$47,'2027 Avoided Costs'!$E$13:$E$47))*IF($AE157&gt;0,$AE157*(1+0),0),0)</f>
        <v>1682689.4767105065</v>
      </c>
      <c r="BK157" s="293">
        <f t="shared" si="81"/>
        <v>0.88267286450497229</v>
      </c>
    </row>
    <row r="158" spans="1:63" s="56" customFormat="1" x14ac:dyDescent="0.25">
      <c r="A158" s="270" t="s">
        <v>133</v>
      </c>
      <c r="B158" s="271">
        <v>2027</v>
      </c>
      <c r="C158" s="272" t="s">
        <v>13</v>
      </c>
      <c r="D158" s="272" t="s">
        <v>163</v>
      </c>
      <c r="E158" s="272" t="s">
        <v>101</v>
      </c>
      <c r="F158" s="273">
        <v>52</v>
      </c>
      <c r="G158" s="274">
        <v>2501.3597058823534</v>
      </c>
      <c r="H158" s="275">
        <f t="shared" si="61"/>
        <v>1</v>
      </c>
      <c r="I158" s="274">
        <v>200</v>
      </c>
      <c r="J158" s="276" t="s">
        <v>264</v>
      </c>
      <c r="K158" s="277">
        <f t="shared" si="57"/>
        <v>0.95</v>
      </c>
      <c r="L158" s="278">
        <v>5.0000000000000024E-2</v>
      </c>
      <c r="M158" s="278">
        <v>0</v>
      </c>
      <c r="N158" s="278">
        <v>1</v>
      </c>
      <c r="O158" s="279">
        <v>14</v>
      </c>
      <c r="P158" s="280">
        <v>2501.3597058823534</v>
      </c>
      <c r="Q158" s="281">
        <v>-7596.6015094339637</v>
      </c>
      <c r="R158" s="282">
        <v>-4.6292836938398843</v>
      </c>
      <c r="S158" s="282">
        <v>-1.3673402031416024</v>
      </c>
      <c r="T158" s="281">
        <v>0</v>
      </c>
      <c r="U158" s="283">
        <v>0.71</v>
      </c>
      <c r="V158" s="284">
        <v>8070.7253773584898</v>
      </c>
      <c r="W158" s="285">
        <v>0.15</v>
      </c>
      <c r="X158" s="286" t="s">
        <v>255</v>
      </c>
      <c r="Y158" s="287">
        <f t="shared" si="62"/>
        <v>52</v>
      </c>
      <c r="Z158" s="288">
        <f t="shared" si="63"/>
        <v>130070.70470588238</v>
      </c>
      <c r="AA158" s="288">
        <f t="shared" si="64"/>
        <v>10400</v>
      </c>
      <c r="AB158" s="288">
        <f t="shared" si="65"/>
        <v>130070.70470588238</v>
      </c>
      <c r="AC158" s="288">
        <f t="shared" si="82"/>
        <v>10400</v>
      </c>
      <c r="AD158" s="287">
        <f t="shared" si="66"/>
        <v>130070.70470588238</v>
      </c>
      <c r="AE158" s="287">
        <f t="shared" si="67"/>
        <v>123567.16947058825</v>
      </c>
      <c r="AF158" s="287">
        <f t="shared" si="68"/>
        <v>1820989.8658823534</v>
      </c>
      <c r="AG158" s="287">
        <f t="shared" si="69"/>
        <v>1729940.3725882357</v>
      </c>
      <c r="AH158" s="287">
        <f t="shared" si="70"/>
        <v>-423464.95454188692</v>
      </c>
      <c r="AI158" s="287">
        <f t="shared" si="71"/>
        <v>-402291.70681479253</v>
      </c>
      <c r="AJ158" s="287">
        <f t="shared" si="72"/>
        <v>0</v>
      </c>
      <c r="AK158" s="287">
        <f t="shared" si="73"/>
        <v>0</v>
      </c>
      <c r="AL158" s="287">
        <f t="shared" si="74"/>
        <v>-258.05479022941051</v>
      </c>
      <c r="AM158" s="287">
        <f t="shared" si="75"/>
        <v>-245.15205071794003</v>
      </c>
      <c r="AN158" s="287">
        <f t="shared" si="76"/>
        <v>-76.221012283925489</v>
      </c>
      <c r="AO158" s="287">
        <f t="shared" si="77"/>
        <v>-72.409961669729213</v>
      </c>
      <c r="AP158" s="287">
        <f t="shared" si="78"/>
        <v>419677.71962264145</v>
      </c>
      <c r="AQ158" s="287">
        <f t="shared" si="79"/>
        <v>398693.83364150935</v>
      </c>
      <c r="AR158" s="287">
        <f t="shared" si="80"/>
        <v>87732.690324117662</v>
      </c>
      <c r="AS158" s="289" t="e">
        <f>IF(J158='2027 Avoided Costs'!#REF!,3,5)</f>
        <v>#REF!</v>
      </c>
      <c r="AT158" s="290" cm="1">
        <f t="array" ref="AT158">IFERROR(IF($J158="Baseload",IF($O158=1,0,NPV('2027 Avoided Costs'!$D$6,_xlfn._xlws.FILTER('2027 Avoided Costs'!$C$14:$C$47,('2027 Avoided Costs'!$B$14:$B$47&gt;=$B158+1)*('2027 Avoided Costs'!$B$14:$B$47&lt;$B158+ROUND($O158,0)))))+_xlfn.XLOOKUP($B158,'2027 Avoided Costs'!$B$13:$B$47,'2027 Avoided Costs'!$C$13:$C$47),IF($O158=1,0,NPV('2027 Avoided Costs'!$D$6,_xlfn._xlws.FILTER('2027 Avoided Costs'!$E$14:$E$47,('2027 Avoided Costs'!$B$14:$B$47&gt;=$B158+1)*('2027 Avoided Costs'!$B$14:$B$47&lt;$B158+ROUND($O158,0)))))+_xlfn.XLOOKUP($B158,'2027 Avoided Costs'!$B$13:$B$47,'2027 Avoided Costs'!$E$13:$E$47))*IF($AE158&gt;0,$AE158*(1+$W158),0),0)</f>
        <v>460896.44783937652</v>
      </c>
      <c r="AU158" s="290" cm="1">
        <f t="array" ref="AU158">IFERROR((IF($O158=1,0,NPV('2027 Avoided Costs'!$D$6,_xlfn._xlws.FILTER('2027 Avoided Costs'!$M$14:$M$47,('2027 Avoided Costs'!$B$14:$B$47&gt;=$B158+1)*('2027 Avoided Costs'!$B$14:$B$47&lt;$B158+ROUND($O158,0)))))+_xlfn.XLOOKUP($B158,'2027 Avoided Costs'!$B$13:$B$47,'2027 Avoided Costs'!$M$13:$M$47))*IF($AK158&gt;0,$AK158*(1+$W158),0),0)</f>
        <v>0</v>
      </c>
      <c r="AV158" s="291" cm="1">
        <f t="array" ref="AV158">IFERROR((IF($O158=1,0,NPV('2027 Avoided Costs'!$D$6,_xlfn._xlws.FILTER('2027 Avoided Costs'!$Q$14:$Q$47,('2027 Avoided Costs'!$B$14:$B$47&gt;=$B158+1)*('2027 Avoided Costs'!$B$14:$B$47&lt;$B158+ROUND($O158,0)))))+_xlfn.XLOOKUP($B158,'2027 Avoided Costs'!$B$13:$B$47,'2027 Avoided Costs'!$Q$13:$Q$47))*IF($AI158&gt;0,$AI158*(1+$W158),0),0)</f>
        <v>0</v>
      </c>
      <c r="AW158" s="291" cm="1">
        <f t="array" ref="AW158">IFERROR((IF($O158=1,0,NPV('2027 Avoided Costs'!$D$6,_xlfn._xlws.FILTER('2027 Avoided Costs'!$W$14:$W$47,('2027 Avoided Costs'!$B$14:$B$47&gt;=$B158+1)*('2027 Avoided Costs'!$B$14:$B$47&lt;$B158+ROUND($O158,0)))))+_xlfn.XLOOKUP($B158,'2027 Avoided Costs'!$B$13:$B$47,'2027 Avoided Costs'!$W$13:$W$47))*IF($AM158&gt;0,$AM158*(1+$W158),0),0)</f>
        <v>0</v>
      </c>
      <c r="AX158" s="291" cm="1">
        <f t="array" ref="AX158">IFERROR((IF($O158=1,0,NPV('2027 Avoided Costs'!$D$6,_xlfn._xlws.FILTER('2027 Avoided Costs'!$AC$14:$AC$47,('2027 Avoided Costs'!$B$14:$B$47&gt;=$B158+1)*('2027 Avoided Costs'!$B$14:$B$47&lt;$B158+ROUND($O158,0)))))+_xlfn.XLOOKUP($B158,'2027 Avoided Costs'!$B$13:$B$47,'2027 Avoided Costs'!$AC$13:$AC$47))*IF($AO158&gt;0,$AO158*(1+$W158),0),0)</f>
        <v>0</v>
      </c>
      <c r="AY158" s="291" cm="1">
        <f t="array" ref="AY158">IFERROR((IF($O158=1,0,NPV('2027 Avoided Costs'!$D$4,_xlfn._xlws.FILTER('2027 Avoided Costs'!$I$14:$I$47,('2027 Avoided Costs'!$B$14:$B$47&gt;=$B158+1)*('2027 Avoided Costs'!$B$14:$B$47&lt;$B158+ROUND($O158,0)))))+_xlfn.XLOOKUP($B158,'2027 Avoided Costs'!$B$13:$B$47,'2027 Avoided Costs'!$I$13:$I$47))*IF($X158="Residential",'2027 Avoided Costs'!$J$5,IF($X158="Large Volume",'2027 Avoided Costs'!$J$7,'2027 Avoided Costs'!$J$6))*IF($AE158&gt;0,$AE158,0),0)</f>
        <v>0</v>
      </c>
      <c r="AZ158" s="291" cm="1">
        <f t="array" ref="AZ158">IFERROR(IF($J158="Baseload",IF($O158=1,0,NPV('2027 Avoided Costs'!$D$6,_xlfn._xlws.FILTER('2027 Avoided Costs'!$C$14:$C$47,('2027 Avoided Costs'!$B$14:$B$47&gt;=$B158+1)*('2027 Avoided Costs'!$B$14:$B$47&lt;$B158+ROUND($O158,0)))))+_xlfn.XLOOKUP($B158,'2027 Avoided Costs'!$B$13:$B$47,'2027 Avoided Costs'!$C$13:$C$47),IF($O158=1,0,NPV('2027 Avoided Costs'!$D$6,_xlfn._xlws.FILTER('2027 Avoided Costs'!$E$14:$E$47,('2027 Avoided Costs'!$B$14:$B$47&gt;=$B158+1)*('2027 Avoided Costs'!$B$14:$B$47&lt;$B158+ROUND($O158,0)))))+_xlfn.XLOOKUP($B158,'2027 Avoided Costs'!$B$13:$B$47,'2027 Avoided Costs'!$E$13:$E$47))*IF($AE158&lt;0,$AE158*(-1),0),0)</f>
        <v>0</v>
      </c>
      <c r="BA158" s="291" cm="1">
        <f t="array" ref="BA158">IFERROR((IF($O158=1,0,NPV('2027 Avoided Costs'!$D$6,_xlfn._xlws.FILTER('2027 Avoided Costs'!$M$14:$M$47,('2027 Avoided Costs'!$B$14:$B$47&gt;=$B158+1)*('2027 Avoided Costs'!$B$14:$B$47&lt;$B158+ROUND($O158,0)))))+_xlfn.XLOOKUP($B158,'2027 Avoided Costs'!$B$13:$B$47,'2027 Avoided Costs'!$M$13:$M$47))*IF($AK158&lt;0,$AK158*(-1),0),0)</f>
        <v>0</v>
      </c>
      <c r="BB158" s="291" cm="1">
        <f t="array" ref="BB158">IFERROR((IF($O158=1,0,NPV('2027 Avoided Costs'!$D$6,_xlfn._xlws.FILTER('2027 Avoided Costs'!$S$14:$S$47,('2027 Avoided Costs'!$B$14:$B$47&gt;=$B158+1)*('2027 Avoided Costs'!$B$14:$B$47&lt;$B158+ROUND($O158,0)))))+_xlfn.XLOOKUP($B158,'2027 Avoided Costs'!$B$13:$B$47,'2027 Avoided Costs'!$S$13:$S$47))*IF($AI158&lt;0,$AI158*(-1),0),0)</f>
        <v>220613.87994032522</v>
      </c>
      <c r="BC158" s="291" cm="1">
        <f t="array" ref="BC158">IFERROR((IF($O158=1,0,NPV('2027 Avoided Costs'!$D$6,_xlfn._xlws.FILTER('2027 Avoided Costs'!$Y$14:$Y$47,('2027 Avoided Costs'!$B$14:$B$47&gt;=$B158+1)*('2027 Avoided Costs'!$B$14:$B$47&lt;$B158+ROUND($O158,0)))))+_xlfn.XLOOKUP($B158,'2027 Avoided Costs'!$B$13:$B$47,'2027 Avoided Costs'!$Y$13:$Y$47))*IF($AM158&lt;0,$AM158*(-1),0),0)</f>
        <v>776393.29972182261</v>
      </c>
      <c r="BD158" s="291" cm="1">
        <f t="array" ref="BD158">IFERROR((IF($O158=1,0,NPV('2027 Avoided Costs'!$D$6,_xlfn._xlws.FILTER('2027 Avoided Costs'!$AE$14:$AE$47,('2027 Avoided Costs'!$B$14:$B$47&gt;=$B158+1)*('2027 Avoided Costs'!$B$14:$B$47&lt;$B158+ROUND($O158,0)))))+_xlfn.XLOOKUP($B158,'2027 Avoided Costs'!$B$13:$B$47,'2027 Avoided Costs'!$AE$13:$AE$47))*IF($AO158&lt;0,$AO158*(-1),0),0)</f>
        <v>15374.34584033266</v>
      </c>
      <c r="BE158" s="291" cm="1">
        <f t="array" ref="BE158">IFERROR((IF($O158=1,0,NPV('2027 Avoided Costs'!$D$4,_xlfn._xlws.FILTER('2027 Avoided Costs'!$I$14:$I$47,('2027 Avoided Costs'!$B$14:$B$47&gt;=$B158+1)*('2027 Avoided Costs'!$B$14:$B$47&lt;$B158+ROUND($O158,0)))))+_xlfn.XLOOKUP($B158,'2027 Avoided Costs'!$B$13:$B$47,'2027 Avoided Costs'!$I$13:$I$47))*IF($X158="Residential",'2027 Avoided Costs'!$J$5,IF($X158="Large Volume",'2027 Avoided Costs'!$J$7,'2027 Avoided Costs'!$J$6))*IF($AE158&lt;0,$AE158*(-1),0),0)</f>
        <v>0</v>
      </c>
      <c r="BF158" s="291">
        <f t="shared" si="58"/>
        <v>460896.44783937652</v>
      </c>
      <c r="BG158" s="291">
        <f t="shared" si="59"/>
        <v>1411075.3591439899</v>
      </c>
      <c r="BH158" s="291">
        <f t="shared" si="60"/>
        <v>-950178.91130461334</v>
      </c>
      <c r="BI158" s="292">
        <f t="shared" si="83"/>
        <v>0.32662780541995518</v>
      </c>
      <c r="BJ158" s="196" cm="1">
        <f t="array" ref="BJ158">IFERROR(IF($J158="Baseload",IF($O158=1,0,NPV('2027 Avoided Costs'!$D$6,_xlfn._xlws.FILTER('2027 Avoided Costs'!$C$14:$C$47,('2027 Avoided Costs'!$B$14:$B$47&gt;=$B158+1)*('2027 Avoided Costs'!$B$14:$B$47&lt;$B158+ROUND($O158,0)))))+_xlfn.XLOOKUP($B158,'2027 Avoided Costs'!$B$13:$B$47,'2027 Avoided Costs'!$C$13:$C$47),IF($O158=1,0,NPV('2027 Avoided Costs'!$D$6,_xlfn._xlws.FILTER('2027 Avoided Costs'!$E$14:$E$47,('2027 Avoided Costs'!$B$14:$B$47&gt;=$B158+1)*('2027 Avoided Costs'!$B$14:$B$47&lt;$B158+ROUND($O158,0)))))+_xlfn.XLOOKUP($B158,'2027 Avoided Costs'!$B$13:$B$47,'2027 Avoided Costs'!$E$13:$E$47))*IF($AE158&gt;0,$AE158*(1+0),0),0)</f>
        <v>400779.51986032742</v>
      </c>
      <c r="BK158" s="293">
        <f t="shared" si="81"/>
        <v>2.8531181693683374</v>
      </c>
    </row>
    <row r="159" spans="1:63" s="56" customFormat="1" x14ac:dyDescent="0.25">
      <c r="A159" s="270" t="s">
        <v>133</v>
      </c>
      <c r="B159" s="271">
        <v>2027</v>
      </c>
      <c r="C159" s="272" t="s">
        <v>13</v>
      </c>
      <c r="D159" s="272" t="s">
        <v>163</v>
      </c>
      <c r="E159" s="272" t="s">
        <v>301</v>
      </c>
      <c r="F159" s="273">
        <v>410</v>
      </c>
      <c r="G159" s="274">
        <v>776.48443175965679</v>
      </c>
      <c r="H159" s="275">
        <f t="shared" si="61"/>
        <v>1.27</v>
      </c>
      <c r="I159" s="274">
        <v>200</v>
      </c>
      <c r="J159" s="276" t="s">
        <v>263</v>
      </c>
      <c r="K159" s="277">
        <f t="shared" si="57"/>
        <v>0.98</v>
      </c>
      <c r="L159" s="278">
        <v>0.02</v>
      </c>
      <c r="M159" s="278">
        <v>0</v>
      </c>
      <c r="N159" s="278">
        <v>1</v>
      </c>
      <c r="O159" s="279">
        <v>15</v>
      </c>
      <c r="P159" s="280">
        <v>611.40506437768249</v>
      </c>
      <c r="Q159" s="281">
        <v>0</v>
      </c>
      <c r="R159" s="282">
        <v>0</v>
      </c>
      <c r="S159" s="282">
        <v>0</v>
      </c>
      <c r="T159" s="281">
        <v>0</v>
      </c>
      <c r="U159" s="283">
        <v>0.25</v>
      </c>
      <c r="V159" s="284">
        <v>3030</v>
      </c>
      <c r="W159" s="285">
        <v>0.15</v>
      </c>
      <c r="X159" s="286" t="s">
        <v>255</v>
      </c>
      <c r="Y159" s="287">
        <f t="shared" si="62"/>
        <v>410</v>
      </c>
      <c r="Z159" s="288">
        <f t="shared" si="63"/>
        <v>318358.61702145927</v>
      </c>
      <c r="AA159" s="288">
        <f t="shared" si="64"/>
        <v>82000</v>
      </c>
      <c r="AB159" s="288">
        <f t="shared" si="65"/>
        <v>318358.61702145927</v>
      </c>
      <c r="AC159" s="288">
        <f t="shared" si="82"/>
        <v>82000</v>
      </c>
      <c r="AD159" s="287">
        <f t="shared" si="66"/>
        <v>250676.07639484984</v>
      </c>
      <c r="AE159" s="287">
        <f t="shared" si="67"/>
        <v>245662.55486695282</v>
      </c>
      <c r="AF159" s="287">
        <f t="shared" si="68"/>
        <v>3760141.1459227474</v>
      </c>
      <c r="AG159" s="287">
        <f t="shared" si="69"/>
        <v>3684938.3230042923</v>
      </c>
      <c r="AH159" s="287">
        <f t="shared" si="70"/>
        <v>0</v>
      </c>
      <c r="AI159" s="287">
        <f t="shared" si="71"/>
        <v>0</v>
      </c>
      <c r="AJ159" s="287">
        <f t="shared" si="72"/>
        <v>0</v>
      </c>
      <c r="AK159" s="287">
        <f t="shared" si="73"/>
        <v>0</v>
      </c>
      <c r="AL159" s="287">
        <f t="shared" si="74"/>
        <v>0</v>
      </c>
      <c r="AM159" s="287">
        <f t="shared" si="75"/>
        <v>0</v>
      </c>
      <c r="AN159" s="287">
        <f t="shared" si="76"/>
        <v>0</v>
      </c>
      <c r="AO159" s="287">
        <f t="shared" si="77"/>
        <v>0</v>
      </c>
      <c r="AP159" s="287">
        <f t="shared" si="78"/>
        <v>1242300</v>
      </c>
      <c r="AQ159" s="287">
        <f t="shared" si="79"/>
        <v>1217454</v>
      </c>
      <c r="AR159" s="287">
        <f t="shared" si="80"/>
        <v>61415.638716738205</v>
      </c>
      <c r="AS159" s="289" t="e">
        <f>IF(J159='2027 Avoided Costs'!#REF!,3,5)</f>
        <v>#REF!</v>
      </c>
      <c r="AT159" s="290" cm="1">
        <f t="array" ref="AT159">IFERROR(IF($J159="Baseload",IF($O159=1,0,NPV('2027 Avoided Costs'!$D$6,_xlfn._xlws.FILTER('2027 Avoided Costs'!$C$14:$C$47,('2027 Avoided Costs'!$B$14:$B$47&gt;=$B159+1)*('2027 Avoided Costs'!$B$14:$B$47&lt;$B159+ROUND($O159,0)))))+_xlfn.XLOOKUP($B159,'2027 Avoided Costs'!$B$13:$B$47,'2027 Avoided Costs'!$C$13:$C$47),IF($O159=1,0,NPV('2027 Avoided Costs'!$D$6,_xlfn._xlws.FILTER('2027 Avoided Costs'!$E$14:$E$47,('2027 Avoided Costs'!$B$14:$B$47&gt;=$B159+1)*('2027 Avoided Costs'!$B$14:$B$47&lt;$B159+ROUND($O159,0)))))+_xlfn.XLOOKUP($B159,'2027 Avoided Costs'!$B$13:$B$47,'2027 Avoided Costs'!$E$13:$E$47))*IF($AE159&gt;0,$AE159*(1+$W159),0),0)</f>
        <v>858753.18826256343</v>
      </c>
      <c r="AU159" s="290" cm="1">
        <f t="array" ref="AU159">IFERROR((IF($O159=1,0,NPV('2027 Avoided Costs'!$D$6,_xlfn._xlws.FILTER('2027 Avoided Costs'!$M$14:$M$47,('2027 Avoided Costs'!$B$14:$B$47&gt;=$B159+1)*('2027 Avoided Costs'!$B$14:$B$47&lt;$B159+ROUND($O159,0)))))+_xlfn.XLOOKUP($B159,'2027 Avoided Costs'!$B$13:$B$47,'2027 Avoided Costs'!$M$13:$M$47))*IF($AK159&gt;0,$AK159*(1+$W159),0),0)</f>
        <v>0</v>
      </c>
      <c r="AV159" s="291" cm="1">
        <f t="array" ref="AV159">IFERROR((IF($O159=1,0,NPV('2027 Avoided Costs'!$D$6,_xlfn._xlws.FILTER('2027 Avoided Costs'!$Q$14:$Q$47,('2027 Avoided Costs'!$B$14:$B$47&gt;=$B159+1)*('2027 Avoided Costs'!$B$14:$B$47&lt;$B159+ROUND($O159,0)))))+_xlfn.XLOOKUP($B159,'2027 Avoided Costs'!$B$13:$B$47,'2027 Avoided Costs'!$Q$13:$Q$47))*IF($AI159&gt;0,$AI159*(1+$W159),0),0)</f>
        <v>0</v>
      </c>
      <c r="AW159" s="291" cm="1">
        <f t="array" ref="AW159">IFERROR((IF($O159=1,0,NPV('2027 Avoided Costs'!$D$6,_xlfn._xlws.FILTER('2027 Avoided Costs'!$W$14:$W$47,('2027 Avoided Costs'!$B$14:$B$47&gt;=$B159+1)*('2027 Avoided Costs'!$B$14:$B$47&lt;$B159+ROUND($O159,0)))))+_xlfn.XLOOKUP($B159,'2027 Avoided Costs'!$B$13:$B$47,'2027 Avoided Costs'!$W$13:$W$47))*IF($AM159&gt;0,$AM159*(1+$W159),0),0)</f>
        <v>0</v>
      </c>
      <c r="AX159" s="291" cm="1">
        <f t="array" ref="AX159">IFERROR((IF($O159=1,0,NPV('2027 Avoided Costs'!$D$6,_xlfn._xlws.FILTER('2027 Avoided Costs'!$AC$14:$AC$47,('2027 Avoided Costs'!$B$14:$B$47&gt;=$B159+1)*('2027 Avoided Costs'!$B$14:$B$47&lt;$B159+ROUND($O159,0)))))+_xlfn.XLOOKUP($B159,'2027 Avoided Costs'!$B$13:$B$47,'2027 Avoided Costs'!$AC$13:$AC$47))*IF($AO159&gt;0,$AO159*(1+$W159),0),0)</f>
        <v>0</v>
      </c>
      <c r="AY159" s="291" cm="1">
        <f t="array" ref="AY159">IFERROR((IF($O159=1,0,NPV('2027 Avoided Costs'!$D$4,_xlfn._xlws.FILTER('2027 Avoided Costs'!$I$14:$I$47,('2027 Avoided Costs'!$B$14:$B$47&gt;=$B159+1)*('2027 Avoided Costs'!$B$14:$B$47&lt;$B159+ROUND($O159,0)))))+_xlfn.XLOOKUP($B159,'2027 Avoided Costs'!$B$13:$B$47,'2027 Avoided Costs'!$I$13:$I$47))*IF($X159="Residential",'2027 Avoided Costs'!$J$5,IF($X159="Large Volume",'2027 Avoided Costs'!$J$7,'2027 Avoided Costs'!$J$6))*IF($AE159&gt;0,$AE159,0),0)</f>
        <v>0</v>
      </c>
      <c r="AZ159" s="291" cm="1">
        <f t="array" ref="AZ159">IFERROR(IF($J159="Baseload",IF($O159=1,0,NPV('2027 Avoided Costs'!$D$6,_xlfn._xlws.FILTER('2027 Avoided Costs'!$C$14:$C$47,('2027 Avoided Costs'!$B$14:$B$47&gt;=$B159+1)*('2027 Avoided Costs'!$B$14:$B$47&lt;$B159+ROUND($O159,0)))))+_xlfn.XLOOKUP($B159,'2027 Avoided Costs'!$B$13:$B$47,'2027 Avoided Costs'!$C$13:$C$47),IF($O159=1,0,NPV('2027 Avoided Costs'!$D$6,_xlfn._xlws.FILTER('2027 Avoided Costs'!$E$14:$E$47,('2027 Avoided Costs'!$B$14:$B$47&gt;=$B159+1)*('2027 Avoided Costs'!$B$14:$B$47&lt;$B159+ROUND($O159,0)))))+_xlfn.XLOOKUP($B159,'2027 Avoided Costs'!$B$13:$B$47,'2027 Avoided Costs'!$E$13:$E$47))*IF($AE159&lt;0,$AE159*(-1),0),0)</f>
        <v>0</v>
      </c>
      <c r="BA159" s="291" cm="1">
        <f t="array" ref="BA159">IFERROR((IF($O159=1,0,NPV('2027 Avoided Costs'!$D$6,_xlfn._xlws.FILTER('2027 Avoided Costs'!$M$14:$M$47,('2027 Avoided Costs'!$B$14:$B$47&gt;=$B159+1)*('2027 Avoided Costs'!$B$14:$B$47&lt;$B159+ROUND($O159,0)))))+_xlfn.XLOOKUP($B159,'2027 Avoided Costs'!$B$13:$B$47,'2027 Avoided Costs'!$M$13:$M$47))*IF($AK159&lt;0,$AK159*(-1),0),0)</f>
        <v>0</v>
      </c>
      <c r="BB159" s="291" cm="1">
        <f t="array" ref="BB159">IFERROR((IF($O159=1,0,NPV('2027 Avoided Costs'!$D$6,_xlfn._xlws.FILTER('2027 Avoided Costs'!$S$14:$S$47,('2027 Avoided Costs'!$B$14:$B$47&gt;=$B159+1)*('2027 Avoided Costs'!$B$14:$B$47&lt;$B159+ROUND($O159,0)))))+_xlfn.XLOOKUP($B159,'2027 Avoided Costs'!$B$13:$B$47,'2027 Avoided Costs'!$S$13:$S$47))*IF($AI159&lt;0,$AI159*(-1),0),0)</f>
        <v>0</v>
      </c>
      <c r="BC159" s="291" cm="1">
        <f t="array" ref="BC159">IFERROR((IF($O159=1,0,NPV('2027 Avoided Costs'!$D$6,_xlfn._xlws.FILTER('2027 Avoided Costs'!$Y$14:$Y$47,('2027 Avoided Costs'!$B$14:$B$47&gt;=$B159+1)*('2027 Avoided Costs'!$B$14:$B$47&lt;$B159+ROUND($O159,0)))))+_xlfn.XLOOKUP($B159,'2027 Avoided Costs'!$B$13:$B$47,'2027 Avoided Costs'!$Y$13:$Y$47))*IF($AM159&lt;0,$AM159*(-1),0),0)</f>
        <v>0</v>
      </c>
      <c r="BD159" s="291" cm="1">
        <f t="array" ref="BD159">IFERROR((IF($O159=1,0,NPV('2027 Avoided Costs'!$D$6,_xlfn._xlws.FILTER('2027 Avoided Costs'!$AE$14:$AE$47,('2027 Avoided Costs'!$B$14:$B$47&gt;=$B159+1)*('2027 Avoided Costs'!$B$14:$B$47&lt;$B159+ROUND($O159,0)))))+_xlfn.XLOOKUP($B159,'2027 Avoided Costs'!$B$13:$B$47,'2027 Avoided Costs'!$AE$13:$AE$47))*IF($AO159&lt;0,$AO159*(-1),0),0)</f>
        <v>0</v>
      </c>
      <c r="BE159" s="291" cm="1">
        <f t="array" ref="BE159">IFERROR((IF($O159=1,0,NPV('2027 Avoided Costs'!$D$4,_xlfn._xlws.FILTER('2027 Avoided Costs'!$I$14:$I$47,('2027 Avoided Costs'!$B$14:$B$47&gt;=$B159+1)*('2027 Avoided Costs'!$B$14:$B$47&lt;$B159+ROUND($O159,0)))))+_xlfn.XLOOKUP($B159,'2027 Avoided Costs'!$B$13:$B$47,'2027 Avoided Costs'!$I$13:$I$47))*IF($X159="Residential",'2027 Avoided Costs'!$J$5,IF($X159="Large Volume",'2027 Avoided Costs'!$J$7,'2027 Avoided Costs'!$J$6))*IF($AE159&lt;0,$AE159*(-1),0),0)</f>
        <v>0</v>
      </c>
      <c r="BF159" s="291">
        <f t="shared" si="58"/>
        <v>858753.18826256343</v>
      </c>
      <c r="BG159" s="291">
        <f t="shared" si="59"/>
        <v>1217454</v>
      </c>
      <c r="BH159" s="291">
        <f t="shared" si="60"/>
        <v>-358700.81173743657</v>
      </c>
      <c r="BI159" s="292">
        <f t="shared" si="83"/>
        <v>0.70536807818822189</v>
      </c>
      <c r="BJ159" s="196" cm="1">
        <f t="array" ref="BJ159">IFERROR(IF($J159="Baseload",IF($O159=1,0,NPV('2027 Avoided Costs'!$D$6,_xlfn._xlws.FILTER('2027 Avoided Costs'!$C$14:$C$47,('2027 Avoided Costs'!$B$14:$B$47&gt;=$B159+1)*('2027 Avoided Costs'!$B$14:$B$47&lt;$B159+ROUND($O159,0)))))+_xlfn.XLOOKUP($B159,'2027 Avoided Costs'!$B$13:$B$47,'2027 Avoided Costs'!$C$13:$C$47),IF($O159=1,0,NPV('2027 Avoided Costs'!$D$6,_xlfn._xlws.FILTER('2027 Avoided Costs'!$E$14:$E$47,('2027 Avoided Costs'!$B$14:$B$47&gt;=$B159+1)*('2027 Avoided Costs'!$B$14:$B$47&lt;$B159+ROUND($O159,0)))))+_xlfn.XLOOKUP($B159,'2027 Avoided Costs'!$B$13:$B$47,'2027 Avoided Costs'!$E$13:$E$47))*IF($AE159&gt;0,$AE159*(1+0),0),0)</f>
        <v>746741.90283701173</v>
      </c>
      <c r="BK159" s="293">
        <f t="shared" si="81"/>
        <v>1.8651825415736869</v>
      </c>
    </row>
    <row r="160" spans="1:63" s="56" customFormat="1" x14ac:dyDescent="0.25">
      <c r="A160" s="270" t="s">
        <v>133</v>
      </c>
      <c r="B160" s="271">
        <v>2027</v>
      </c>
      <c r="C160" s="272" t="s">
        <v>13</v>
      </c>
      <c r="D160" s="272" t="s">
        <v>163</v>
      </c>
      <c r="E160" s="272" t="s">
        <v>300</v>
      </c>
      <c r="F160" s="273">
        <v>20</v>
      </c>
      <c r="G160" s="274">
        <v>2048.9250000000002</v>
      </c>
      <c r="H160" s="275">
        <f t="shared" si="61"/>
        <v>0.76722179903327625</v>
      </c>
      <c r="I160" s="274">
        <v>200</v>
      </c>
      <c r="J160" s="276" t="s">
        <v>264</v>
      </c>
      <c r="K160" s="277">
        <f t="shared" si="57"/>
        <v>1</v>
      </c>
      <c r="L160" s="278">
        <v>0</v>
      </c>
      <c r="M160" s="278">
        <v>0</v>
      </c>
      <c r="N160" s="278">
        <v>1</v>
      </c>
      <c r="O160" s="279">
        <v>18</v>
      </c>
      <c r="P160" s="280">
        <v>2670.5771428571379</v>
      </c>
      <c r="Q160" s="281">
        <v>0</v>
      </c>
      <c r="R160" s="282">
        <v>0</v>
      </c>
      <c r="S160" s="282">
        <v>0</v>
      </c>
      <c r="T160" s="281">
        <v>0</v>
      </c>
      <c r="U160" s="283">
        <v>0.25</v>
      </c>
      <c r="V160" s="284">
        <v>4097.8500000000004</v>
      </c>
      <c r="W160" s="285">
        <v>0.15</v>
      </c>
      <c r="X160" s="286" t="s">
        <v>255</v>
      </c>
      <c r="Y160" s="287">
        <f t="shared" si="62"/>
        <v>20</v>
      </c>
      <c r="Z160" s="288">
        <f t="shared" si="63"/>
        <v>40978.5</v>
      </c>
      <c r="AA160" s="288">
        <f t="shared" si="64"/>
        <v>4000</v>
      </c>
      <c r="AB160" s="288">
        <f t="shared" si="65"/>
        <v>40978.5</v>
      </c>
      <c r="AC160" s="288">
        <f t="shared" si="82"/>
        <v>4000</v>
      </c>
      <c r="AD160" s="287">
        <f t="shared" si="66"/>
        <v>53411.542857142762</v>
      </c>
      <c r="AE160" s="287">
        <f t="shared" si="67"/>
        <v>53411.542857142762</v>
      </c>
      <c r="AF160" s="287">
        <f t="shared" si="68"/>
        <v>961407.77142856969</v>
      </c>
      <c r="AG160" s="287">
        <f t="shared" si="69"/>
        <v>961407.77142856969</v>
      </c>
      <c r="AH160" s="287">
        <f t="shared" si="70"/>
        <v>0</v>
      </c>
      <c r="AI160" s="287">
        <f t="shared" si="71"/>
        <v>0</v>
      </c>
      <c r="AJ160" s="287">
        <f t="shared" si="72"/>
        <v>0</v>
      </c>
      <c r="AK160" s="287">
        <f t="shared" si="73"/>
        <v>0</v>
      </c>
      <c r="AL160" s="287">
        <f t="shared" si="74"/>
        <v>0</v>
      </c>
      <c r="AM160" s="287">
        <f t="shared" si="75"/>
        <v>0</v>
      </c>
      <c r="AN160" s="287">
        <f t="shared" si="76"/>
        <v>0</v>
      </c>
      <c r="AO160" s="287">
        <f t="shared" si="77"/>
        <v>0</v>
      </c>
      <c r="AP160" s="287">
        <f t="shared" si="78"/>
        <v>81957</v>
      </c>
      <c r="AQ160" s="287">
        <f t="shared" si="79"/>
        <v>81957</v>
      </c>
      <c r="AR160" s="287">
        <f t="shared" si="80"/>
        <v>13352.88571428569</v>
      </c>
      <c r="AS160" s="289" t="e">
        <f>IF(J160='2027 Avoided Costs'!#REF!,3,5)</f>
        <v>#REF!</v>
      </c>
      <c r="AT160" s="290" cm="1">
        <f t="array" ref="AT160">IFERROR(IF($J160="Baseload",IF($O160=1,0,NPV('2027 Avoided Costs'!$D$6,_xlfn._xlws.FILTER('2027 Avoided Costs'!$C$14:$C$47,('2027 Avoided Costs'!$B$14:$B$47&gt;=$B160+1)*('2027 Avoided Costs'!$B$14:$B$47&lt;$B160+ROUND($O160,0)))))+_xlfn.XLOOKUP($B160,'2027 Avoided Costs'!$B$13:$B$47,'2027 Avoided Costs'!$C$13:$C$47),IF($O160=1,0,NPV('2027 Avoided Costs'!$D$6,_xlfn._xlws.FILTER('2027 Avoided Costs'!$E$14:$E$47,('2027 Avoided Costs'!$B$14:$B$47&gt;=$B160+1)*('2027 Avoided Costs'!$B$14:$B$47&lt;$B160+ROUND($O160,0)))))+_xlfn.XLOOKUP($B160,'2027 Avoided Costs'!$B$13:$B$47,'2027 Avoided Costs'!$E$13:$E$47))*IF($AE160&gt;0,$AE160*(1+$W160),0),0)</f>
        <v>243123.34969315393</v>
      </c>
      <c r="AU160" s="290" cm="1">
        <f t="array" ref="AU160">IFERROR((IF($O160=1,0,NPV('2027 Avoided Costs'!$D$6,_xlfn._xlws.FILTER('2027 Avoided Costs'!$M$14:$M$47,('2027 Avoided Costs'!$B$14:$B$47&gt;=$B160+1)*('2027 Avoided Costs'!$B$14:$B$47&lt;$B160+ROUND($O160,0)))))+_xlfn.XLOOKUP($B160,'2027 Avoided Costs'!$B$13:$B$47,'2027 Avoided Costs'!$M$13:$M$47))*IF($AK160&gt;0,$AK160*(1+$W160),0),0)</f>
        <v>0</v>
      </c>
      <c r="AV160" s="291" cm="1">
        <f t="array" ref="AV160">IFERROR((IF($O160=1,0,NPV('2027 Avoided Costs'!$D$6,_xlfn._xlws.FILTER('2027 Avoided Costs'!$Q$14:$Q$47,('2027 Avoided Costs'!$B$14:$B$47&gt;=$B160+1)*('2027 Avoided Costs'!$B$14:$B$47&lt;$B160+ROUND($O160,0)))))+_xlfn.XLOOKUP($B160,'2027 Avoided Costs'!$B$13:$B$47,'2027 Avoided Costs'!$Q$13:$Q$47))*IF($AI160&gt;0,$AI160*(1+$W160),0),0)</f>
        <v>0</v>
      </c>
      <c r="AW160" s="291" cm="1">
        <f t="array" ref="AW160">IFERROR((IF($O160=1,0,NPV('2027 Avoided Costs'!$D$6,_xlfn._xlws.FILTER('2027 Avoided Costs'!$W$14:$W$47,('2027 Avoided Costs'!$B$14:$B$47&gt;=$B160+1)*('2027 Avoided Costs'!$B$14:$B$47&lt;$B160+ROUND($O160,0)))))+_xlfn.XLOOKUP($B160,'2027 Avoided Costs'!$B$13:$B$47,'2027 Avoided Costs'!$W$13:$W$47))*IF($AM160&gt;0,$AM160*(1+$W160),0),0)</f>
        <v>0</v>
      </c>
      <c r="AX160" s="291" cm="1">
        <f t="array" ref="AX160">IFERROR((IF($O160=1,0,NPV('2027 Avoided Costs'!$D$6,_xlfn._xlws.FILTER('2027 Avoided Costs'!$AC$14:$AC$47,('2027 Avoided Costs'!$B$14:$B$47&gt;=$B160+1)*('2027 Avoided Costs'!$B$14:$B$47&lt;$B160+ROUND($O160,0)))))+_xlfn.XLOOKUP($B160,'2027 Avoided Costs'!$B$13:$B$47,'2027 Avoided Costs'!$AC$13:$AC$47))*IF($AO160&gt;0,$AO160*(1+$W160),0),0)</f>
        <v>0</v>
      </c>
      <c r="AY160" s="291" cm="1">
        <f t="array" ref="AY160">IFERROR((IF($O160=1,0,NPV('2027 Avoided Costs'!$D$4,_xlfn._xlws.FILTER('2027 Avoided Costs'!$I$14:$I$47,('2027 Avoided Costs'!$B$14:$B$47&gt;=$B160+1)*('2027 Avoided Costs'!$B$14:$B$47&lt;$B160+ROUND($O160,0)))))+_xlfn.XLOOKUP($B160,'2027 Avoided Costs'!$B$13:$B$47,'2027 Avoided Costs'!$I$13:$I$47))*IF($X160="Residential",'2027 Avoided Costs'!$J$5,IF($X160="Large Volume",'2027 Avoided Costs'!$J$7,'2027 Avoided Costs'!$J$6))*IF($AE160&gt;0,$AE160,0),0)</f>
        <v>0</v>
      </c>
      <c r="AZ160" s="291" cm="1">
        <f t="array" ref="AZ160">IFERROR(IF($J160="Baseload",IF($O160=1,0,NPV('2027 Avoided Costs'!$D$6,_xlfn._xlws.FILTER('2027 Avoided Costs'!$C$14:$C$47,('2027 Avoided Costs'!$B$14:$B$47&gt;=$B160+1)*('2027 Avoided Costs'!$B$14:$B$47&lt;$B160+ROUND($O160,0)))))+_xlfn.XLOOKUP($B160,'2027 Avoided Costs'!$B$13:$B$47,'2027 Avoided Costs'!$C$13:$C$47),IF($O160=1,0,NPV('2027 Avoided Costs'!$D$6,_xlfn._xlws.FILTER('2027 Avoided Costs'!$E$14:$E$47,('2027 Avoided Costs'!$B$14:$B$47&gt;=$B160+1)*('2027 Avoided Costs'!$B$14:$B$47&lt;$B160+ROUND($O160,0)))))+_xlfn.XLOOKUP($B160,'2027 Avoided Costs'!$B$13:$B$47,'2027 Avoided Costs'!$E$13:$E$47))*IF($AE160&lt;0,$AE160*(-1),0),0)</f>
        <v>0</v>
      </c>
      <c r="BA160" s="291" cm="1">
        <f t="array" ref="BA160">IFERROR((IF($O160=1,0,NPV('2027 Avoided Costs'!$D$6,_xlfn._xlws.FILTER('2027 Avoided Costs'!$M$14:$M$47,('2027 Avoided Costs'!$B$14:$B$47&gt;=$B160+1)*('2027 Avoided Costs'!$B$14:$B$47&lt;$B160+ROUND($O160,0)))))+_xlfn.XLOOKUP($B160,'2027 Avoided Costs'!$B$13:$B$47,'2027 Avoided Costs'!$M$13:$M$47))*IF($AK160&lt;0,$AK160*(-1),0),0)</f>
        <v>0</v>
      </c>
      <c r="BB160" s="291" cm="1">
        <f t="array" ref="BB160">IFERROR((IF($O160=1,0,NPV('2027 Avoided Costs'!$D$6,_xlfn._xlws.FILTER('2027 Avoided Costs'!$S$14:$S$47,('2027 Avoided Costs'!$B$14:$B$47&gt;=$B160+1)*('2027 Avoided Costs'!$B$14:$B$47&lt;$B160+ROUND($O160,0)))))+_xlfn.XLOOKUP($B160,'2027 Avoided Costs'!$B$13:$B$47,'2027 Avoided Costs'!$S$13:$S$47))*IF($AI160&lt;0,$AI160*(-1),0),0)</f>
        <v>0</v>
      </c>
      <c r="BC160" s="291" cm="1">
        <f t="array" ref="BC160">IFERROR((IF($O160=1,0,NPV('2027 Avoided Costs'!$D$6,_xlfn._xlws.FILTER('2027 Avoided Costs'!$Y$14:$Y$47,('2027 Avoided Costs'!$B$14:$B$47&gt;=$B160+1)*('2027 Avoided Costs'!$B$14:$B$47&lt;$B160+ROUND($O160,0)))))+_xlfn.XLOOKUP($B160,'2027 Avoided Costs'!$B$13:$B$47,'2027 Avoided Costs'!$Y$13:$Y$47))*IF($AM160&lt;0,$AM160*(-1),0),0)</f>
        <v>0</v>
      </c>
      <c r="BD160" s="291" cm="1">
        <f t="array" ref="BD160">IFERROR((IF($O160=1,0,NPV('2027 Avoided Costs'!$D$6,_xlfn._xlws.FILTER('2027 Avoided Costs'!$AE$14:$AE$47,('2027 Avoided Costs'!$B$14:$B$47&gt;=$B160+1)*('2027 Avoided Costs'!$B$14:$B$47&lt;$B160+ROUND($O160,0)))))+_xlfn.XLOOKUP($B160,'2027 Avoided Costs'!$B$13:$B$47,'2027 Avoided Costs'!$AE$13:$AE$47))*IF($AO160&lt;0,$AO160*(-1),0),0)</f>
        <v>0</v>
      </c>
      <c r="BE160" s="291" cm="1">
        <f t="array" ref="BE160">IFERROR((IF($O160=1,0,NPV('2027 Avoided Costs'!$D$4,_xlfn._xlws.FILTER('2027 Avoided Costs'!$I$14:$I$47,('2027 Avoided Costs'!$B$14:$B$47&gt;=$B160+1)*('2027 Avoided Costs'!$B$14:$B$47&lt;$B160+ROUND($O160,0)))))+_xlfn.XLOOKUP($B160,'2027 Avoided Costs'!$B$13:$B$47,'2027 Avoided Costs'!$I$13:$I$47))*IF($X160="Residential",'2027 Avoided Costs'!$J$5,IF($X160="Large Volume",'2027 Avoided Costs'!$J$7,'2027 Avoided Costs'!$J$6))*IF($AE160&lt;0,$AE160*(-1),0),0)</f>
        <v>0</v>
      </c>
      <c r="BF160" s="291">
        <f t="shared" si="58"/>
        <v>243123.34969315393</v>
      </c>
      <c r="BG160" s="291">
        <f t="shared" si="59"/>
        <v>81957</v>
      </c>
      <c r="BH160" s="291">
        <f t="shared" si="60"/>
        <v>161166.34969315393</v>
      </c>
      <c r="BI160" s="292">
        <f t="shared" si="83"/>
        <v>2.9664744889778047</v>
      </c>
      <c r="BJ160" s="196" cm="1">
        <f t="array" ref="BJ160">IFERROR(IF($J160="Baseload",IF($O160=1,0,NPV('2027 Avoided Costs'!$D$6,_xlfn._xlws.FILTER('2027 Avoided Costs'!$C$14:$C$47,('2027 Avoided Costs'!$B$14:$B$47&gt;=$B160+1)*('2027 Avoided Costs'!$B$14:$B$47&lt;$B160+ROUND($O160,0)))))+_xlfn.XLOOKUP($B160,'2027 Avoided Costs'!$B$13:$B$47,'2027 Avoided Costs'!$C$13:$C$47),IF($O160=1,0,NPV('2027 Avoided Costs'!$D$6,_xlfn._xlws.FILTER('2027 Avoided Costs'!$E$14:$E$47,('2027 Avoided Costs'!$B$14:$B$47&gt;=$B160+1)*('2027 Avoided Costs'!$B$14:$B$47&lt;$B160+ROUND($O160,0)))))+_xlfn.XLOOKUP($B160,'2027 Avoided Costs'!$B$13:$B$47,'2027 Avoided Costs'!$E$13:$E$47))*IF($AE160&gt;0,$AE160*(1+0),0),0)</f>
        <v>211411.6084288295</v>
      </c>
      <c r="BK160" s="293">
        <f t="shared" si="81"/>
        <v>4.7002814328808098</v>
      </c>
    </row>
    <row r="161" spans="1:63" s="56" customFormat="1" x14ac:dyDescent="0.25">
      <c r="A161" s="270" t="s">
        <v>133</v>
      </c>
      <c r="B161" s="271">
        <v>2027</v>
      </c>
      <c r="C161" s="272" t="s">
        <v>13</v>
      </c>
      <c r="D161" s="272" t="s">
        <v>163</v>
      </c>
      <c r="E161" s="272" t="s">
        <v>102</v>
      </c>
      <c r="F161" s="273">
        <v>8</v>
      </c>
      <c r="G161" s="274">
        <v>2400.375</v>
      </c>
      <c r="H161" s="275">
        <f t="shared" si="61"/>
        <v>0.16933288533754279</v>
      </c>
      <c r="I161" s="274">
        <v>200</v>
      </c>
      <c r="J161" s="276" t="s">
        <v>264</v>
      </c>
      <c r="K161" s="277">
        <f t="shared" si="57"/>
        <v>0.95</v>
      </c>
      <c r="L161" s="278">
        <v>4.9999999999999996E-2</v>
      </c>
      <c r="M161" s="278">
        <v>0</v>
      </c>
      <c r="N161" s="278">
        <v>1</v>
      </c>
      <c r="O161" s="279">
        <v>20</v>
      </c>
      <c r="P161" s="280">
        <v>14175.480416666667</v>
      </c>
      <c r="Q161" s="281">
        <v>7267.5</v>
      </c>
      <c r="R161" s="282">
        <v>1.6592465753424657</v>
      </c>
      <c r="S161" s="282">
        <v>1.6592465753424657</v>
      </c>
      <c r="T161" s="281">
        <v>0</v>
      </c>
      <c r="U161" s="283">
        <v>0.46</v>
      </c>
      <c r="V161" s="284">
        <v>4800.75</v>
      </c>
      <c r="W161" s="285">
        <v>0.15</v>
      </c>
      <c r="X161" s="286" t="s">
        <v>255</v>
      </c>
      <c r="Y161" s="287">
        <f t="shared" si="62"/>
        <v>8</v>
      </c>
      <c r="Z161" s="288">
        <f t="shared" si="63"/>
        <v>19203</v>
      </c>
      <c r="AA161" s="288">
        <f t="shared" si="64"/>
        <v>1600</v>
      </c>
      <c r="AB161" s="288">
        <f t="shared" si="65"/>
        <v>19203</v>
      </c>
      <c r="AC161" s="288">
        <f t="shared" si="82"/>
        <v>1600</v>
      </c>
      <c r="AD161" s="287">
        <f t="shared" si="66"/>
        <v>113403.84333333334</v>
      </c>
      <c r="AE161" s="287">
        <f t="shared" si="67"/>
        <v>107733.65116666666</v>
      </c>
      <c r="AF161" s="287">
        <f t="shared" si="68"/>
        <v>2268076.8666666667</v>
      </c>
      <c r="AG161" s="287">
        <f t="shared" si="69"/>
        <v>2154673.0233333334</v>
      </c>
      <c r="AH161" s="287">
        <f t="shared" si="70"/>
        <v>62326.080000000002</v>
      </c>
      <c r="AI161" s="287">
        <f t="shared" si="71"/>
        <v>59209.776000000005</v>
      </c>
      <c r="AJ161" s="287">
        <f t="shared" si="72"/>
        <v>0</v>
      </c>
      <c r="AK161" s="287">
        <f t="shared" si="73"/>
        <v>0</v>
      </c>
      <c r="AL161" s="287">
        <f t="shared" si="74"/>
        <v>14.229698630136987</v>
      </c>
      <c r="AM161" s="287">
        <f t="shared" si="75"/>
        <v>13.518213698630136</v>
      </c>
      <c r="AN161" s="287">
        <f t="shared" si="76"/>
        <v>14.229698630136987</v>
      </c>
      <c r="AO161" s="287">
        <f t="shared" si="77"/>
        <v>13.518213698630136</v>
      </c>
      <c r="AP161" s="287">
        <f t="shared" si="78"/>
        <v>38406</v>
      </c>
      <c r="AQ161" s="287">
        <f t="shared" si="79"/>
        <v>36485.699999999997</v>
      </c>
      <c r="AR161" s="287">
        <f t="shared" si="80"/>
        <v>49557.479536666666</v>
      </c>
      <c r="AS161" s="289" t="e">
        <f>IF(J161='2027 Avoided Costs'!#REF!,3,5)</f>
        <v>#REF!</v>
      </c>
      <c r="AT161" s="290" cm="1">
        <f t="array" ref="AT161">IFERROR(IF($J161="Baseload",IF($O161=1,0,NPV('2027 Avoided Costs'!$D$6,_xlfn._xlws.FILTER('2027 Avoided Costs'!$C$14:$C$47,('2027 Avoided Costs'!$B$14:$B$47&gt;=$B161+1)*('2027 Avoided Costs'!$B$14:$B$47&lt;$B161+ROUND($O161,0)))))+_xlfn.XLOOKUP($B161,'2027 Avoided Costs'!$B$13:$B$47,'2027 Avoided Costs'!$C$13:$C$47),IF($O161=1,0,NPV('2027 Avoided Costs'!$D$6,_xlfn._xlws.FILTER('2027 Avoided Costs'!$E$14:$E$47,('2027 Avoided Costs'!$B$14:$B$47&gt;=$B161+1)*('2027 Avoided Costs'!$B$14:$B$47&lt;$B161+ROUND($O161,0)))))+_xlfn.XLOOKUP($B161,'2027 Avoided Costs'!$B$13:$B$47,'2027 Avoided Costs'!$E$13:$E$47))*IF($AE161&gt;0,$AE161*(1+$W161),0),0)</f>
        <v>532222.73517956026</v>
      </c>
      <c r="AU161" s="290" cm="1">
        <f t="array" ref="AU161">IFERROR((IF($O161=1,0,NPV('2027 Avoided Costs'!$D$6,_xlfn._xlws.FILTER('2027 Avoided Costs'!$M$14:$M$47,('2027 Avoided Costs'!$B$14:$B$47&gt;=$B161+1)*('2027 Avoided Costs'!$B$14:$B$47&lt;$B161+ROUND($O161,0)))))+_xlfn.XLOOKUP($B161,'2027 Avoided Costs'!$B$13:$B$47,'2027 Avoided Costs'!$M$13:$M$47))*IF($AK161&gt;0,$AK161*(1+$W161),0),0)</f>
        <v>0</v>
      </c>
      <c r="AV161" s="291" cm="1">
        <f t="array" ref="AV161">IFERROR((IF($O161=1,0,NPV('2027 Avoided Costs'!$D$6,_xlfn._xlws.FILTER('2027 Avoided Costs'!$Q$14:$Q$47,('2027 Avoided Costs'!$B$14:$B$47&gt;=$B161+1)*('2027 Avoided Costs'!$B$14:$B$47&lt;$B161+ROUND($O161,0)))))+_xlfn.XLOOKUP($B161,'2027 Avoided Costs'!$B$13:$B$47,'2027 Avoided Costs'!$Q$13:$Q$47))*IF($AI161&gt;0,$AI161*(1+$W161),0),0)</f>
        <v>47623.912035267131</v>
      </c>
      <c r="AW161" s="291" cm="1">
        <f t="array" ref="AW161">IFERROR((IF($O161=1,0,NPV('2027 Avoided Costs'!$D$6,_xlfn._xlws.FILTER('2027 Avoided Costs'!$W$14:$W$47,('2027 Avoided Costs'!$B$14:$B$47&gt;=$B161+1)*('2027 Avoided Costs'!$B$14:$B$47&lt;$B161+ROUND($O161,0)))))+_xlfn.XLOOKUP($B161,'2027 Avoided Costs'!$B$13:$B$47,'2027 Avoided Costs'!$W$13:$W$47))*IF($AM161&gt;0,$AM161*(1+$W161),0),0)</f>
        <v>61685.945639625505</v>
      </c>
      <c r="AX161" s="291" cm="1">
        <f t="array" ref="AX161">IFERROR((IF($O161=1,0,NPV('2027 Avoided Costs'!$D$6,_xlfn._xlws.FILTER('2027 Avoided Costs'!$AC$14:$AC$47,('2027 Avoided Costs'!$B$14:$B$47&gt;=$B161+1)*('2027 Avoided Costs'!$B$14:$B$47&lt;$B161+ROUND($O161,0)))))+_xlfn.XLOOKUP($B161,'2027 Avoided Costs'!$B$13:$B$47,'2027 Avoided Costs'!$AC$13:$AC$47))*IF($AO161&gt;0,$AO161*(1+$W161),0),0)</f>
        <v>9516.8677153916633</v>
      </c>
      <c r="AY161" s="291" cm="1">
        <f t="array" ref="AY161">IFERROR((IF($O161=1,0,NPV('2027 Avoided Costs'!$D$4,_xlfn._xlws.FILTER('2027 Avoided Costs'!$I$14:$I$47,('2027 Avoided Costs'!$B$14:$B$47&gt;=$B161+1)*('2027 Avoided Costs'!$B$14:$B$47&lt;$B161+ROUND($O161,0)))))+_xlfn.XLOOKUP($B161,'2027 Avoided Costs'!$B$13:$B$47,'2027 Avoided Costs'!$I$13:$I$47))*IF($X161="Residential",'2027 Avoided Costs'!$J$5,IF($X161="Large Volume",'2027 Avoided Costs'!$J$7,'2027 Avoided Costs'!$J$6))*IF($AE161&gt;0,$AE161,0),0)</f>
        <v>0</v>
      </c>
      <c r="AZ161" s="291" cm="1">
        <f t="array" ref="AZ161">IFERROR(IF($J161="Baseload",IF($O161=1,0,NPV('2027 Avoided Costs'!$D$6,_xlfn._xlws.FILTER('2027 Avoided Costs'!$C$14:$C$47,('2027 Avoided Costs'!$B$14:$B$47&gt;=$B161+1)*('2027 Avoided Costs'!$B$14:$B$47&lt;$B161+ROUND($O161,0)))))+_xlfn.XLOOKUP($B161,'2027 Avoided Costs'!$B$13:$B$47,'2027 Avoided Costs'!$C$13:$C$47),IF($O161=1,0,NPV('2027 Avoided Costs'!$D$6,_xlfn._xlws.FILTER('2027 Avoided Costs'!$E$14:$E$47,('2027 Avoided Costs'!$B$14:$B$47&gt;=$B161+1)*('2027 Avoided Costs'!$B$14:$B$47&lt;$B161+ROUND($O161,0)))))+_xlfn.XLOOKUP($B161,'2027 Avoided Costs'!$B$13:$B$47,'2027 Avoided Costs'!$E$13:$E$47))*IF($AE161&lt;0,$AE161*(-1),0),0)</f>
        <v>0</v>
      </c>
      <c r="BA161" s="291" cm="1">
        <f t="array" ref="BA161">IFERROR((IF($O161=1,0,NPV('2027 Avoided Costs'!$D$6,_xlfn._xlws.FILTER('2027 Avoided Costs'!$M$14:$M$47,('2027 Avoided Costs'!$B$14:$B$47&gt;=$B161+1)*('2027 Avoided Costs'!$B$14:$B$47&lt;$B161+ROUND($O161,0)))))+_xlfn.XLOOKUP($B161,'2027 Avoided Costs'!$B$13:$B$47,'2027 Avoided Costs'!$M$13:$M$47))*IF($AK161&lt;0,$AK161*(-1),0),0)</f>
        <v>0</v>
      </c>
      <c r="BB161" s="291" cm="1">
        <f t="array" ref="BB161">IFERROR((IF($O161=1,0,NPV('2027 Avoided Costs'!$D$6,_xlfn._xlws.FILTER('2027 Avoided Costs'!$S$14:$S$47,('2027 Avoided Costs'!$B$14:$B$47&gt;=$B161+1)*('2027 Avoided Costs'!$B$14:$B$47&lt;$B161+ROUND($O161,0)))))+_xlfn.XLOOKUP($B161,'2027 Avoided Costs'!$B$13:$B$47,'2027 Avoided Costs'!$S$13:$S$47))*IF($AI161&lt;0,$AI161*(-1),0),0)</f>
        <v>0</v>
      </c>
      <c r="BC161" s="291" cm="1">
        <f t="array" ref="BC161">IFERROR((IF($O161=1,0,NPV('2027 Avoided Costs'!$D$6,_xlfn._xlws.FILTER('2027 Avoided Costs'!$Y$14:$Y$47,('2027 Avoided Costs'!$B$14:$B$47&gt;=$B161+1)*('2027 Avoided Costs'!$B$14:$B$47&lt;$B161+ROUND($O161,0)))))+_xlfn.XLOOKUP($B161,'2027 Avoided Costs'!$B$13:$B$47,'2027 Avoided Costs'!$Y$13:$Y$47))*IF($AM161&lt;0,$AM161*(-1),0),0)</f>
        <v>0</v>
      </c>
      <c r="BD161" s="291" cm="1">
        <f t="array" ref="BD161">IFERROR((IF($O161=1,0,NPV('2027 Avoided Costs'!$D$6,_xlfn._xlws.FILTER('2027 Avoided Costs'!$AE$14:$AE$47,('2027 Avoided Costs'!$B$14:$B$47&gt;=$B161+1)*('2027 Avoided Costs'!$B$14:$B$47&lt;$B161+ROUND($O161,0)))))+_xlfn.XLOOKUP($B161,'2027 Avoided Costs'!$B$13:$B$47,'2027 Avoided Costs'!$AE$13:$AE$47))*IF($AO161&lt;0,$AO161*(-1),0),0)</f>
        <v>0</v>
      </c>
      <c r="BE161" s="291" cm="1">
        <f t="array" ref="BE161">IFERROR((IF($O161=1,0,NPV('2027 Avoided Costs'!$D$4,_xlfn._xlws.FILTER('2027 Avoided Costs'!$I$14:$I$47,('2027 Avoided Costs'!$B$14:$B$47&gt;=$B161+1)*('2027 Avoided Costs'!$B$14:$B$47&lt;$B161+ROUND($O161,0)))))+_xlfn.XLOOKUP($B161,'2027 Avoided Costs'!$B$13:$B$47,'2027 Avoided Costs'!$I$13:$I$47))*IF($X161="Residential",'2027 Avoided Costs'!$J$5,IF($X161="Large Volume",'2027 Avoided Costs'!$J$7,'2027 Avoided Costs'!$J$6))*IF($AE161&lt;0,$AE161*(-1),0),0)</f>
        <v>0</v>
      </c>
      <c r="BF161" s="291">
        <f t="shared" si="58"/>
        <v>651049.46056984458</v>
      </c>
      <c r="BG161" s="291">
        <f t="shared" si="59"/>
        <v>36485.699999999997</v>
      </c>
      <c r="BH161" s="291">
        <f t="shared" si="60"/>
        <v>614563.76056984463</v>
      </c>
      <c r="BI161" s="292">
        <f t="shared" si="83"/>
        <v>17.843962444734366</v>
      </c>
      <c r="BJ161" s="196" cm="1">
        <f t="array" ref="BJ161">IFERROR(IF($J161="Baseload",IF($O161=1,0,NPV('2027 Avoided Costs'!$D$6,_xlfn._xlws.FILTER('2027 Avoided Costs'!$C$14:$C$47,('2027 Avoided Costs'!$B$14:$B$47&gt;=$B161+1)*('2027 Avoided Costs'!$B$14:$B$47&lt;$B161+ROUND($O161,0)))))+_xlfn.XLOOKUP($B161,'2027 Avoided Costs'!$B$13:$B$47,'2027 Avoided Costs'!$C$13:$C$47),IF($O161=1,0,NPV('2027 Avoided Costs'!$D$6,_xlfn._xlws.FILTER('2027 Avoided Costs'!$E$14:$E$47,('2027 Avoided Costs'!$B$14:$B$47&gt;=$B161+1)*('2027 Avoided Costs'!$B$14:$B$47&lt;$B161+ROUND($O161,0)))))+_xlfn.XLOOKUP($B161,'2027 Avoided Costs'!$B$13:$B$47,'2027 Avoided Costs'!$E$13:$E$47))*IF($AE161&gt;0,$AE161*(1+0),0),0)</f>
        <v>462802.37841700896</v>
      </c>
      <c r="BK161" s="293">
        <f t="shared" si="81"/>
        <v>22.246905658655432</v>
      </c>
    </row>
    <row r="162" spans="1:63" s="56" customFormat="1" x14ac:dyDescent="0.25">
      <c r="A162" s="270" t="s">
        <v>133</v>
      </c>
      <c r="B162" s="271">
        <v>2027</v>
      </c>
      <c r="C162" s="272" t="s">
        <v>13</v>
      </c>
      <c r="D162" s="272" t="s">
        <v>163</v>
      </c>
      <c r="E162" s="272" t="s">
        <v>103</v>
      </c>
      <c r="F162" s="273">
        <v>21</v>
      </c>
      <c r="G162" s="274">
        <v>15097.5</v>
      </c>
      <c r="H162" s="275">
        <f t="shared" si="61"/>
        <v>0.88420701569131044</v>
      </c>
      <c r="I162" s="274">
        <v>200</v>
      </c>
      <c r="J162" s="276" t="s">
        <v>263</v>
      </c>
      <c r="K162" s="277">
        <f t="shared" si="57"/>
        <v>0.92</v>
      </c>
      <c r="L162" s="278">
        <v>0.08</v>
      </c>
      <c r="M162" s="278">
        <v>0</v>
      </c>
      <c r="N162" s="278">
        <v>1</v>
      </c>
      <c r="O162" s="279">
        <v>15</v>
      </c>
      <c r="P162" s="280">
        <v>17074.621363636361</v>
      </c>
      <c r="Q162" s="281">
        <v>76.549955999999995</v>
      </c>
      <c r="R162" s="282">
        <v>8.7385794520547129E-3</v>
      </c>
      <c r="S162" s="282">
        <v>8.7385794520548222E-3</v>
      </c>
      <c r="T162" s="281">
        <v>641.33400000000006</v>
      </c>
      <c r="U162" s="283">
        <v>0.65</v>
      </c>
      <c r="V162" s="284">
        <v>30195</v>
      </c>
      <c r="W162" s="285">
        <v>0.15</v>
      </c>
      <c r="X162" s="286" t="s">
        <v>255</v>
      </c>
      <c r="Y162" s="287">
        <f t="shared" si="62"/>
        <v>21</v>
      </c>
      <c r="Z162" s="288">
        <f t="shared" si="63"/>
        <v>317047.5</v>
      </c>
      <c r="AA162" s="288">
        <f t="shared" si="64"/>
        <v>4200</v>
      </c>
      <c r="AB162" s="288">
        <f t="shared" si="65"/>
        <v>317047.5</v>
      </c>
      <c r="AC162" s="288">
        <f t="shared" si="82"/>
        <v>4200</v>
      </c>
      <c r="AD162" s="287">
        <f t="shared" si="66"/>
        <v>358567.04863636359</v>
      </c>
      <c r="AE162" s="287">
        <f t="shared" si="67"/>
        <v>329881.68474545452</v>
      </c>
      <c r="AF162" s="287">
        <f t="shared" si="68"/>
        <v>5378505.7295454536</v>
      </c>
      <c r="AG162" s="287">
        <f t="shared" si="69"/>
        <v>4948225.2711818181</v>
      </c>
      <c r="AH162" s="287">
        <f t="shared" si="70"/>
        <v>1723.2926094719999</v>
      </c>
      <c r="AI162" s="287">
        <f t="shared" si="71"/>
        <v>1585.4292007142401</v>
      </c>
      <c r="AJ162" s="287">
        <f t="shared" si="72"/>
        <v>13468.014000000001</v>
      </c>
      <c r="AK162" s="287">
        <f t="shared" si="73"/>
        <v>12390.572880000003</v>
      </c>
      <c r="AL162" s="287">
        <f t="shared" si="74"/>
        <v>0.19672290062465569</v>
      </c>
      <c r="AM162" s="287">
        <f t="shared" si="75"/>
        <v>0.18098506857468324</v>
      </c>
      <c r="AN162" s="287">
        <f t="shared" si="76"/>
        <v>0.19672290062465816</v>
      </c>
      <c r="AO162" s="287">
        <f t="shared" si="77"/>
        <v>0.18098506857468552</v>
      </c>
      <c r="AP162" s="287">
        <f t="shared" si="78"/>
        <v>634095</v>
      </c>
      <c r="AQ162" s="287">
        <f t="shared" si="79"/>
        <v>583367.4</v>
      </c>
      <c r="AR162" s="287">
        <f t="shared" si="80"/>
        <v>214423.09508454544</v>
      </c>
      <c r="AS162" s="289" t="e">
        <f>IF(J162='2027 Avoided Costs'!#REF!,3,5)</f>
        <v>#REF!</v>
      </c>
      <c r="AT162" s="290" cm="1">
        <f t="array" ref="AT162">IFERROR(IF($J162="Baseload",IF($O162=1,0,NPV('2027 Avoided Costs'!$D$6,_xlfn._xlws.FILTER('2027 Avoided Costs'!$C$14:$C$47,('2027 Avoided Costs'!$B$14:$B$47&gt;=$B162+1)*('2027 Avoided Costs'!$B$14:$B$47&lt;$B162+ROUND($O162,0)))))+_xlfn.XLOOKUP($B162,'2027 Avoided Costs'!$B$13:$B$47,'2027 Avoided Costs'!$C$13:$C$47),IF($O162=1,0,NPV('2027 Avoided Costs'!$D$6,_xlfn._xlws.FILTER('2027 Avoided Costs'!$E$14:$E$47,('2027 Avoided Costs'!$B$14:$B$47&gt;=$B162+1)*('2027 Avoided Costs'!$B$14:$B$47&lt;$B162+ROUND($O162,0)))))+_xlfn.XLOOKUP($B162,'2027 Avoided Costs'!$B$13:$B$47,'2027 Avoided Costs'!$E$13:$E$47))*IF($AE162&gt;0,$AE162*(1+$W162),0),0)</f>
        <v>1153154.7763883222</v>
      </c>
      <c r="AU162" s="290" cm="1">
        <f t="array" ref="AU162">IFERROR((IF($O162=1,0,NPV('2027 Avoided Costs'!$D$6,_xlfn._xlws.FILTER('2027 Avoided Costs'!$M$14:$M$47,('2027 Avoided Costs'!$B$14:$B$47&gt;=$B162+1)*('2027 Avoided Costs'!$B$14:$B$47&lt;$B162+ROUND($O162,0)))))+_xlfn.XLOOKUP($B162,'2027 Avoided Costs'!$B$13:$B$47,'2027 Avoided Costs'!$M$13:$M$47))*IF($AK162&gt;0,$AK162*(1+$W162),0),0)</f>
        <v>177637.16234616181</v>
      </c>
      <c r="AV162" s="291" cm="1">
        <f t="array" ref="AV162">IFERROR((IF($O162=1,0,NPV('2027 Avoided Costs'!$D$6,_xlfn._xlws.FILTER('2027 Avoided Costs'!$Q$14:$Q$47,('2027 Avoided Costs'!$B$14:$B$47&gt;=$B162+1)*('2027 Avoided Costs'!$B$14:$B$47&lt;$B162+ROUND($O162,0)))))+_xlfn.XLOOKUP($B162,'2027 Avoided Costs'!$B$13:$B$47,'2027 Avoided Costs'!$Q$13:$Q$47))*IF($AI162&gt;0,$AI162*(1+$W162),0),0)</f>
        <v>1049.6311512926843</v>
      </c>
      <c r="AW162" s="291" cm="1">
        <f t="array" ref="AW162">IFERROR((IF($O162=1,0,NPV('2027 Avoided Costs'!$D$6,_xlfn._xlws.FILTER('2027 Avoided Costs'!$W$14:$W$47,('2027 Avoided Costs'!$B$14:$B$47&gt;=$B162+1)*('2027 Avoided Costs'!$B$14:$B$47&lt;$B162+ROUND($O162,0)))))+_xlfn.XLOOKUP($B162,'2027 Avoided Costs'!$B$13:$B$47,'2027 Avoided Costs'!$W$13:$W$47))*IF($AM162&gt;0,$AM162*(1+$W162),0),0)</f>
        <v>701.41104772784513</v>
      </c>
      <c r="AX162" s="291" cm="1">
        <f t="array" ref="AX162">IFERROR((IF($O162=1,0,NPV('2027 Avoided Costs'!$D$6,_xlfn._xlws.FILTER('2027 Avoided Costs'!$AC$14:$AC$47,('2027 Avoided Costs'!$B$14:$B$47&gt;=$B162+1)*('2027 Avoided Costs'!$B$14:$B$47&lt;$B162+ROUND($O162,0)))))+_xlfn.XLOOKUP($B162,'2027 Avoided Costs'!$B$13:$B$47,'2027 Avoided Costs'!$AC$13:$AC$47))*IF($AO162&gt;0,$AO162*(1+$W162),0),0)</f>
        <v>44.191517546014389</v>
      </c>
      <c r="AY162" s="291" cm="1">
        <f t="array" ref="AY162">IFERROR((IF($O162=1,0,NPV('2027 Avoided Costs'!$D$4,_xlfn._xlws.FILTER('2027 Avoided Costs'!$I$14:$I$47,('2027 Avoided Costs'!$B$14:$B$47&gt;=$B162+1)*('2027 Avoided Costs'!$B$14:$B$47&lt;$B162+ROUND($O162,0)))))+_xlfn.XLOOKUP($B162,'2027 Avoided Costs'!$B$13:$B$47,'2027 Avoided Costs'!$I$13:$I$47))*IF($X162="Residential",'2027 Avoided Costs'!$J$5,IF($X162="Large Volume",'2027 Avoided Costs'!$J$7,'2027 Avoided Costs'!$J$6))*IF($AE162&gt;0,$AE162,0),0)</f>
        <v>0</v>
      </c>
      <c r="AZ162" s="291" cm="1">
        <f t="array" ref="AZ162">IFERROR(IF($J162="Baseload",IF($O162=1,0,NPV('2027 Avoided Costs'!$D$6,_xlfn._xlws.FILTER('2027 Avoided Costs'!$C$14:$C$47,('2027 Avoided Costs'!$B$14:$B$47&gt;=$B162+1)*('2027 Avoided Costs'!$B$14:$B$47&lt;$B162+ROUND($O162,0)))))+_xlfn.XLOOKUP($B162,'2027 Avoided Costs'!$B$13:$B$47,'2027 Avoided Costs'!$C$13:$C$47),IF($O162=1,0,NPV('2027 Avoided Costs'!$D$6,_xlfn._xlws.FILTER('2027 Avoided Costs'!$E$14:$E$47,('2027 Avoided Costs'!$B$14:$B$47&gt;=$B162+1)*('2027 Avoided Costs'!$B$14:$B$47&lt;$B162+ROUND($O162,0)))))+_xlfn.XLOOKUP($B162,'2027 Avoided Costs'!$B$13:$B$47,'2027 Avoided Costs'!$E$13:$E$47))*IF($AE162&lt;0,$AE162*(-1),0),0)</f>
        <v>0</v>
      </c>
      <c r="BA162" s="291" cm="1">
        <f t="array" ref="BA162">IFERROR((IF($O162=1,0,NPV('2027 Avoided Costs'!$D$6,_xlfn._xlws.FILTER('2027 Avoided Costs'!$M$14:$M$47,('2027 Avoided Costs'!$B$14:$B$47&gt;=$B162+1)*('2027 Avoided Costs'!$B$14:$B$47&lt;$B162+ROUND($O162,0)))))+_xlfn.XLOOKUP($B162,'2027 Avoided Costs'!$B$13:$B$47,'2027 Avoided Costs'!$M$13:$M$47))*IF($AK162&lt;0,$AK162*(-1),0),0)</f>
        <v>0</v>
      </c>
      <c r="BB162" s="291" cm="1">
        <f t="array" ref="BB162">IFERROR((IF($O162=1,0,NPV('2027 Avoided Costs'!$D$6,_xlfn._xlws.FILTER('2027 Avoided Costs'!$S$14:$S$47,('2027 Avoided Costs'!$B$14:$B$47&gt;=$B162+1)*('2027 Avoided Costs'!$B$14:$B$47&lt;$B162+ROUND($O162,0)))))+_xlfn.XLOOKUP($B162,'2027 Avoided Costs'!$B$13:$B$47,'2027 Avoided Costs'!$S$13:$S$47))*IF($AI162&lt;0,$AI162*(-1),0),0)</f>
        <v>0</v>
      </c>
      <c r="BC162" s="291" cm="1">
        <f t="array" ref="BC162">IFERROR((IF($O162=1,0,NPV('2027 Avoided Costs'!$D$6,_xlfn._xlws.FILTER('2027 Avoided Costs'!$Y$14:$Y$47,('2027 Avoided Costs'!$B$14:$B$47&gt;=$B162+1)*('2027 Avoided Costs'!$B$14:$B$47&lt;$B162+ROUND($O162,0)))))+_xlfn.XLOOKUP($B162,'2027 Avoided Costs'!$B$13:$B$47,'2027 Avoided Costs'!$Y$13:$Y$47))*IF($AM162&lt;0,$AM162*(-1),0),0)</f>
        <v>0</v>
      </c>
      <c r="BD162" s="291" cm="1">
        <f t="array" ref="BD162">IFERROR((IF($O162=1,0,NPV('2027 Avoided Costs'!$D$6,_xlfn._xlws.FILTER('2027 Avoided Costs'!$AE$14:$AE$47,('2027 Avoided Costs'!$B$14:$B$47&gt;=$B162+1)*('2027 Avoided Costs'!$B$14:$B$47&lt;$B162+ROUND($O162,0)))))+_xlfn.XLOOKUP($B162,'2027 Avoided Costs'!$B$13:$B$47,'2027 Avoided Costs'!$AE$13:$AE$47))*IF($AO162&lt;0,$AO162*(-1),0),0)</f>
        <v>0</v>
      </c>
      <c r="BE162" s="291" cm="1">
        <f t="array" ref="BE162">IFERROR((IF($O162=1,0,NPV('2027 Avoided Costs'!$D$4,_xlfn._xlws.FILTER('2027 Avoided Costs'!$I$14:$I$47,('2027 Avoided Costs'!$B$14:$B$47&gt;=$B162+1)*('2027 Avoided Costs'!$B$14:$B$47&lt;$B162+ROUND($O162,0)))))+_xlfn.XLOOKUP($B162,'2027 Avoided Costs'!$B$13:$B$47,'2027 Avoided Costs'!$I$13:$I$47))*IF($X162="Residential",'2027 Avoided Costs'!$J$5,IF($X162="Large Volume",'2027 Avoided Costs'!$J$7,'2027 Avoided Costs'!$J$6))*IF($AE162&lt;0,$AE162*(-1),0),0)</f>
        <v>0</v>
      </c>
      <c r="BF162" s="291">
        <f t="shared" si="58"/>
        <v>1332587.1724510507</v>
      </c>
      <c r="BG162" s="291">
        <f t="shared" si="59"/>
        <v>583367.4</v>
      </c>
      <c r="BH162" s="291">
        <f t="shared" si="60"/>
        <v>749219.7724510507</v>
      </c>
      <c r="BI162" s="292">
        <f t="shared" si="83"/>
        <v>2.284301749551056</v>
      </c>
      <c r="BJ162" s="196" cm="1">
        <f t="array" ref="BJ162">IFERROR(IF($J162="Baseload",IF($O162=1,0,NPV('2027 Avoided Costs'!$D$6,_xlfn._xlws.FILTER('2027 Avoided Costs'!$C$14:$C$47,('2027 Avoided Costs'!$B$14:$B$47&gt;=$B162+1)*('2027 Avoided Costs'!$B$14:$B$47&lt;$B162+ROUND($O162,0)))))+_xlfn.XLOOKUP($B162,'2027 Avoided Costs'!$B$13:$B$47,'2027 Avoided Costs'!$C$13:$C$47),IF($O162=1,0,NPV('2027 Avoided Costs'!$D$6,_xlfn._xlws.FILTER('2027 Avoided Costs'!$E$14:$E$47,('2027 Avoided Costs'!$B$14:$B$47&gt;=$B162+1)*('2027 Avoided Costs'!$B$14:$B$47&lt;$B162+ROUND($O162,0)))))+_xlfn.XLOOKUP($B162,'2027 Avoided Costs'!$B$13:$B$47,'2027 Avoided Costs'!$E$13:$E$47))*IF($AE162&gt;0,$AE162*(1+0),0),0)</f>
        <v>1002743.2838159325</v>
      </c>
      <c r="BK162" s="293">
        <f t="shared" si="81"/>
        <v>3.1214041628835476</v>
      </c>
    </row>
    <row r="163" spans="1:63" s="56" customFormat="1" x14ac:dyDescent="0.25">
      <c r="A163" s="270" t="s">
        <v>133</v>
      </c>
      <c r="B163" s="271">
        <v>2028</v>
      </c>
      <c r="C163" s="272" t="s">
        <v>13</v>
      </c>
      <c r="D163" s="272" t="s">
        <v>163</v>
      </c>
      <c r="E163" s="272" t="s">
        <v>95</v>
      </c>
      <c r="F163" s="273">
        <v>32</v>
      </c>
      <c r="G163" s="274">
        <v>4388.2</v>
      </c>
      <c r="H163" s="275">
        <f t="shared" si="61"/>
        <v>1</v>
      </c>
      <c r="I163" s="274">
        <v>200</v>
      </c>
      <c r="J163" s="276" t="s">
        <v>264</v>
      </c>
      <c r="K163" s="277">
        <f t="shared" si="57"/>
        <v>0.5</v>
      </c>
      <c r="L163" s="278">
        <v>0.5</v>
      </c>
      <c r="M163" s="278">
        <v>0</v>
      </c>
      <c r="N163" s="278">
        <v>1</v>
      </c>
      <c r="O163" s="279">
        <v>15</v>
      </c>
      <c r="P163" s="280">
        <v>4388.2</v>
      </c>
      <c r="Q163" s="281">
        <v>164.86666666666667</v>
      </c>
      <c r="R163" s="282">
        <v>0.10046789616513715</v>
      </c>
      <c r="S163" s="282">
        <v>2.9674956783151837E-2</v>
      </c>
      <c r="T163" s="281">
        <v>0</v>
      </c>
      <c r="U163" s="283">
        <v>0.62999999999999989</v>
      </c>
      <c r="V163" s="284">
        <v>12313.533333333333</v>
      </c>
      <c r="W163" s="285">
        <v>0.15</v>
      </c>
      <c r="X163" s="286" t="s">
        <v>255</v>
      </c>
      <c r="Y163" s="287">
        <f t="shared" si="62"/>
        <v>32</v>
      </c>
      <c r="Z163" s="288">
        <f t="shared" si="63"/>
        <v>140422.39999999999</v>
      </c>
      <c r="AA163" s="288">
        <f t="shared" si="64"/>
        <v>6400</v>
      </c>
      <c r="AB163" s="288">
        <f t="shared" si="65"/>
        <v>143230.848</v>
      </c>
      <c r="AC163" s="288">
        <f t="shared" si="82"/>
        <v>6510.0800000000008</v>
      </c>
      <c r="AD163" s="287">
        <f t="shared" si="66"/>
        <v>140422.39999999999</v>
      </c>
      <c r="AE163" s="287">
        <f t="shared" si="67"/>
        <v>70211.199999999997</v>
      </c>
      <c r="AF163" s="287">
        <f t="shared" si="68"/>
        <v>2106336</v>
      </c>
      <c r="AG163" s="287">
        <f t="shared" si="69"/>
        <v>1053168</v>
      </c>
      <c r="AH163" s="287">
        <f t="shared" si="70"/>
        <v>5655.5861333333341</v>
      </c>
      <c r="AI163" s="287">
        <f t="shared" si="71"/>
        <v>2827.7930666666671</v>
      </c>
      <c r="AJ163" s="287">
        <f t="shared" si="72"/>
        <v>0</v>
      </c>
      <c r="AK163" s="287">
        <f t="shared" si="73"/>
        <v>0</v>
      </c>
      <c r="AL163" s="287">
        <f t="shared" si="74"/>
        <v>3.4464507100488651</v>
      </c>
      <c r="AM163" s="287">
        <f t="shared" si="75"/>
        <v>1.7232253550244325</v>
      </c>
      <c r="AN163" s="287">
        <f t="shared" si="76"/>
        <v>1.0179697174892406</v>
      </c>
      <c r="AO163" s="287">
        <f t="shared" si="77"/>
        <v>0.50898485874462029</v>
      </c>
      <c r="AP163" s="287">
        <f t="shared" si="78"/>
        <v>394033.06666666665</v>
      </c>
      <c r="AQ163" s="287">
        <f t="shared" si="79"/>
        <v>197016.53333333333</v>
      </c>
      <c r="AR163" s="287">
        <f t="shared" si="80"/>
        <v>44233.05599999999</v>
      </c>
      <c r="AS163" s="289" t="e">
        <f>IF(J163='2027 Avoided Costs'!#REF!,3,5)</f>
        <v>#REF!</v>
      </c>
      <c r="AT163" s="290" cm="1">
        <f t="array" ref="AT163">IFERROR(IF($J163="Baseload",IF($O163=1,0,NPV('2027 Avoided Costs'!$D$6,_xlfn._xlws.FILTER('2027 Avoided Costs'!$C$14:$C$47,('2027 Avoided Costs'!$B$14:$B$47&gt;=$B163+1)*('2027 Avoided Costs'!$B$14:$B$47&lt;$B163+ROUND($O163,0)))))+_xlfn.XLOOKUP($B163,'2027 Avoided Costs'!$B$13:$B$47,'2027 Avoided Costs'!$C$13:$C$47),IF($O163=1,0,NPV('2027 Avoided Costs'!$D$6,_xlfn._xlws.FILTER('2027 Avoided Costs'!$E$14:$E$47,('2027 Avoided Costs'!$B$14:$B$47&gt;=$B163+1)*('2027 Avoided Costs'!$B$14:$B$47&lt;$B163+ROUND($O163,0)))))+_xlfn.XLOOKUP($B163,'2027 Avoided Costs'!$B$13:$B$47,'2027 Avoided Costs'!$E$13:$E$47))*IF($AE163&gt;0,$AE163*(1+$W163),0),0)</f>
        <v>287975.2650373138</v>
      </c>
      <c r="AU163" s="290" cm="1">
        <f t="array" ref="AU163">IFERROR((IF($O163=1,0,NPV('2027 Avoided Costs'!$D$6,_xlfn._xlws.FILTER('2027 Avoided Costs'!$M$14:$M$47,('2027 Avoided Costs'!$B$14:$B$47&gt;=$B163+1)*('2027 Avoided Costs'!$B$14:$B$47&lt;$B163+ROUND($O163,0)))))+_xlfn.XLOOKUP($B163,'2027 Avoided Costs'!$B$13:$B$47,'2027 Avoided Costs'!$M$13:$M$47))*IF($AK163&gt;0,$AK163*(1+$W163),0),0)</f>
        <v>0</v>
      </c>
      <c r="AV163" s="291" cm="1">
        <f t="array" ref="AV163">IFERROR((IF($O163=1,0,NPV('2027 Avoided Costs'!$D$6,_xlfn._xlws.FILTER('2027 Avoided Costs'!$Q$14:$Q$47,('2027 Avoided Costs'!$B$14:$B$47&gt;=$B163+1)*('2027 Avoided Costs'!$B$14:$B$47&lt;$B163+ROUND($O163,0)))))+_xlfn.XLOOKUP($B163,'2027 Avoided Costs'!$B$13:$B$47,'2027 Avoided Costs'!$Q$13:$Q$47))*IF($AI163&gt;0,$AI163*(1+$W163),0),0)</f>
        <v>1847.3944184938464</v>
      </c>
      <c r="AW163" s="291" cm="1">
        <f t="array" ref="AW163">IFERROR((IF($O163=1,0,NPV('2027 Avoided Costs'!$D$6,_xlfn._xlws.FILTER('2027 Avoided Costs'!$W$14:$W$47,('2027 Avoided Costs'!$B$14:$B$47&gt;=$B163+1)*('2027 Avoided Costs'!$B$14:$B$47&lt;$B163+ROUND($O163,0)))))+_xlfn.XLOOKUP($B163,'2027 Avoided Costs'!$B$13:$B$47,'2027 Avoided Costs'!$W$13:$W$47))*IF($AM163&gt;0,$AM163*(1+$W163),0),0)</f>
        <v>7058.149778177687</v>
      </c>
      <c r="AX163" s="291" cm="1">
        <f t="array" ref="AX163">IFERROR((IF($O163=1,0,NPV('2027 Avoided Costs'!$D$6,_xlfn._xlws.FILTER('2027 Avoided Costs'!$AC$14:$AC$47,('2027 Avoided Costs'!$B$14:$B$47&gt;=$B163+1)*('2027 Avoided Costs'!$B$14:$B$47&lt;$B163+ROUND($O163,0)))))+_xlfn.XLOOKUP($B163,'2027 Avoided Costs'!$B$13:$B$47,'2027 Avoided Costs'!$AC$13:$AC$47))*IF($AO163&gt;0,$AO163*(1+$W163),0),0)</f>
        <v>131.83615948752757</v>
      </c>
      <c r="AY163" s="291" cm="1">
        <f t="array" ref="AY163">IFERROR((IF($O163=1,0,NPV('2027 Avoided Costs'!$D$4,_xlfn._xlws.FILTER('2027 Avoided Costs'!$I$14:$I$47,('2027 Avoided Costs'!$B$14:$B$47&gt;=$B163+1)*('2027 Avoided Costs'!$B$14:$B$47&lt;$B163+ROUND($O163,0)))))+_xlfn.XLOOKUP($B163,'2027 Avoided Costs'!$B$13:$B$47,'2027 Avoided Costs'!$I$13:$I$47))*IF($X163="Residential",'2027 Avoided Costs'!$J$5,IF($X163="Large Volume",'2027 Avoided Costs'!$J$7,'2027 Avoided Costs'!$J$6))*IF($AE163&gt;0,$AE163,0),0)</f>
        <v>0</v>
      </c>
      <c r="AZ163" s="291" cm="1">
        <f t="array" ref="AZ163">IFERROR(IF($J163="Baseload",IF($O163=1,0,NPV('2027 Avoided Costs'!$D$6,_xlfn._xlws.FILTER('2027 Avoided Costs'!$C$14:$C$47,('2027 Avoided Costs'!$B$14:$B$47&gt;=$B163+1)*('2027 Avoided Costs'!$B$14:$B$47&lt;$B163+ROUND($O163,0)))))+_xlfn.XLOOKUP($B163,'2027 Avoided Costs'!$B$13:$B$47,'2027 Avoided Costs'!$C$13:$C$47),IF($O163=1,0,NPV('2027 Avoided Costs'!$D$6,_xlfn._xlws.FILTER('2027 Avoided Costs'!$E$14:$E$47,('2027 Avoided Costs'!$B$14:$B$47&gt;=$B163+1)*('2027 Avoided Costs'!$B$14:$B$47&lt;$B163+ROUND($O163,0)))))+_xlfn.XLOOKUP($B163,'2027 Avoided Costs'!$B$13:$B$47,'2027 Avoided Costs'!$E$13:$E$47))*IF($AE163&lt;0,$AE163*(-1),0),0)</f>
        <v>0</v>
      </c>
      <c r="BA163" s="291" cm="1">
        <f t="array" ref="BA163">IFERROR((IF($O163=1,0,NPV('2027 Avoided Costs'!$D$6,_xlfn._xlws.FILTER('2027 Avoided Costs'!$M$14:$M$47,('2027 Avoided Costs'!$B$14:$B$47&gt;=$B163+1)*('2027 Avoided Costs'!$B$14:$B$47&lt;$B163+ROUND($O163,0)))))+_xlfn.XLOOKUP($B163,'2027 Avoided Costs'!$B$13:$B$47,'2027 Avoided Costs'!$M$13:$M$47))*IF($AK163&lt;0,$AK163*(-1),0),0)</f>
        <v>0</v>
      </c>
      <c r="BB163" s="291" cm="1">
        <f t="array" ref="BB163">IFERROR((IF($O163=1,0,NPV('2027 Avoided Costs'!$D$6,_xlfn._xlws.FILTER('2027 Avoided Costs'!$S$14:$S$47,('2027 Avoided Costs'!$B$14:$B$47&gt;=$B163+1)*('2027 Avoided Costs'!$B$14:$B$47&lt;$B163+ROUND($O163,0)))))+_xlfn.XLOOKUP($B163,'2027 Avoided Costs'!$B$13:$B$47,'2027 Avoided Costs'!$S$13:$S$47))*IF($AI163&lt;0,$AI163*(-1),0),0)</f>
        <v>0</v>
      </c>
      <c r="BC163" s="291" cm="1">
        <f t="array" ref="BC163">IFERROR((IF($O163=1,0,NPV('2027 Avoided Costs'!$D$6,_xlfn._xlws.FILTER('2027 Avoided Costs'!$Y$14:$Y$47,('2027 Avoided Costs'!$B$14:$B$47&gt;=$B163+1)*('2027 Avoided Costs'!$B$14:$B$47&lt;$B163+ROUND($O163,0)))))+_xlfn.XLOOKUP($B163,'2027 Avoided Costs'!$B$13:$B$47,'2027 Avoided Costs'!$Y$13:$Y$47))*IF($AM163&lt;0,$AM163*(-1),0),0)</f>
        <v>0</v>
      </c>
      <c r="BD163" s="291" cm="1">
        <f t="array" ref="BD163">IFERROR((IF($O163=1,0,NPV('2027 Avoided Costs'!$D$6,_xlfn._xlws.FILTER('2027 Avoided Costs'!$AE$14:$AE$47,('2027 Avoided Costs'!$B$14:$B$47&gt;=$B163+1)*('2027 Avoided Costs'!$B$14:$B$47&lt;$B163+ROUND($O163,0)))))+_xlfn.XLOOKUP($B163,'2027 Avoided Costs'!$B$13:$B$47,'2027 Avoided Costs'!$AE$13:$AE$47))*IF($AO163&lt;0,$AO163*(-1),0),0)</f>
        <v>0</v>
      </c>
      <c r="BE163" s="291" cm="1">
        <f t="array" ref="BE163">IFERROR((IF($O163=1,0,NPV('2027 Avoided Costs'!$D$4,_xlfn._xlws.FILTER('2027 Avoided Costs'!$I$14:$I$47,('2027 Avoided Costs'!$B$14:$B$47&gt;=$B163+1)*('2027 Avoided Costs'!$B$14:$B$47&lt;$B163+ROUND($O163,0)))))+_xlfn.XLOOKUP($B163,'2027 Avoided Costs'!$B$13:$B$47,'2027 Avoided Costs'!$I$13:$I$47))*IF($X163="Residential",'2027 Avoided Costs'!$J$5,IF($X163="Large Volume",'2027 Avoided Costs'!$J$7,'2027 Avoided Costs'!$J$6))*IF($AE163&lt;0,$AE163*(-1),0),0)</f>
        <v>0</v>
      </c>
      <c r="BF163" s="291">
        <f t="shared" si="58"/>
        <v>297012.64539347286</v>
      </c>
      <c r="BG163" s="291">
        <f t="shared" si="59"/>
        <v>197016.53333333333</v>
      </c>
      <c r="BH163" s="291">
        <f t="shared" si="60"/>
        <v>99996.112060139538</v>
      </c>
      <c r="BI163" s="292">
        <f t="shared" si="83"/>
        <v>1.5075518808919228</v>
      </c>
      <c r="BJ163" s="196" cm="1">
        <f t="array" ref="BJ163">IFERROR(IF($J163="Baseload",IF($O163=1,0,NPV('2027 Avoided Costs'!$D$6,_xlfn._xlws.FILTER('2027 Avoided Costs'!$C$14:$C$47,('2027 Avoided Costs'!$B$14:$B$47&gt;=$B163+1)*('2027 Avoided Costs'!$B$14:$B$47&lt;$B163+ROUND($O163,0)))))+_xlfn.XLOOKUP($B163,'2027 Avoided Costs'!$B$13:$B$47,'2027 Avoided Costs'!$C$13:$C$47),IF($O163=1,0,NPV('2027 Avoided Costs'!$D$6,_xlfn._xlws.FILTER('2027 Avoided Costs'!$E$14:$E$47,('2027 Avoided Costs'!$B$14:$B$47&gt;=$B163+1)*('2027 Avoided Costs'!$B$14:$B$47&lt;$B163+ROUND($O163,0)))))+_xlfn.XLOOKUP($B163,'2027 Avoided Costs'!$B$13:$B$47,'2027 Avoided Costs'!$E$13:$E$47))*IF($AE163&gt;0,$AE163*(1+0),0),0)</f>
        <v>250413.27394549025</v>
      </c>
      <c r="BK163" s="293">
        <f t="shared" si="81"/>
        <v>1.6723101512065577</v>
      </c>
    </row>
    <row r="164" spans="1:63" s="56" customFormat="1" x14ac:dyDescent="0.25">
      <c r="A164" s="270" t="s">
        <v>133</v>
      </c>
      <c r="B164" s="271">
        <v>2028</v>
      </c>
      <c r="C164" s="272" t="s">
        <v>13</v>
      </c>
      <c r="D164" s="272" t="s">
        <v>163</v>
      </c>
      <c r="E164" s="272" t="s">
        <v>96</v>
      </c>
      <c r="F164" s="273">
        <v>86</v>
      </c>
      <c r="G164" s="274">
        <v>5623.2761250000003</v>
      </c>
      <c r="H164" s="275">
        <f t="shared" si="61"/>
        <v>1</v>
      </c>
      <c r="I164" s="274">
        <v>200</v>
      </c>
      <c r="J164" s="276" t="s">
        <v>264</v>
      </c>
      <c r="K164" s="277">
        <f t="shared" si="57"/>
        <v>0.62000000000000011</v>
      </c>
      <c r="L164" s="278">
        <v>0.37999999999999995</v>
      </c>
      <c r="M164" s="278">
        <v>0</v>
      </c>
      <c r="N164" s="278">
        <v>1.0269999999999999</v>
      </c>
      <c r="O164" s="279">
        <v>15</v>
      </c>
      <c r="P164" s="280">
        <v>5623.2761250000003</v>
      </c>
      <c r="Q164" s="281">
        <v>24433.474999999999</v>
      </c>
      <c r="R164" s="282">
        <v>5.578418949771689</v>
      </c>
      <c r="S164" s="282">
        <v>5.578418949771689</v>
      </c>
      <c r="T164" s="281">
        <v>0</v>
      </c>
      <c r="U164" s="283">
        <v>0.29000000000000004</v>
      </c>
      <c r="V164" s="284">
        <v>13805.0625</v>
      </c>
      <c r="W164" s="285">
        <v>0.15</v>
      </c>
      <c r="X164" s="286" t="s">
        <v>255</v>
      </c>
      <c r="Y164" s="287">
        <f t="shared" si="62"/>
        <v>86</v>
      </c>
      <c r="Z164" s="288">
        <f t="shared" si="63"/>
        <v>483601.74675000005</v>
      </c>
      <c r="AA164" s="288">
        <f t="shared" si="64"/>
        <v>17200</v>
      </c>
      <c r="AB164" s="288">
        <f t="shared" si="65"/>
        <v>493273.78168500005</v>
      </c>
      <c r="AC164" s="288">
        <f t="shared" si="82"/>
        <v>17495.84</v>
      </c>
      <c r="AD164" s="287">
        <f t="shared" si="66"/>
        <v>496658.99391225004</v>
      </c>
      <c r="AE164" s="287">
        <f t="shared" si="67"/>
        <v>307928.57622559508</v>
      </c>
      <c r="AF164" s="287">
        <f t="shared" si="68"/>
        <v>7449884.9086837508</v>
      </c>
      <c r="AG164" s="287">
        <f t="shared" si="69"/>
        <v>4618928.6433839258</v>
      </c>
      <c r="AH164" s="287">
        <f t="shared" si="70"/>
        <v>2313390.3422344001</v>
      </c>
      <c r="AI164" s="287">
        <f t="shared" si="71"/>
        <v>1434302.0121853282</v>
      </c>
      <c r="AJ164" s="287">
        <f t="shared" si="72"/>
        <v>0</v>
      </c>
      <c r="AK164" s="287">
        <f t="shared" si="73"/>
        <v>0</v>
      </c>
      <c r="AL164" s="287">
        <f t="shared" si="74"/>
        <v>528.17131101242001</v>
      </c>
      <c r="AM164" s="287">
        <f t="shared" si="75"/>
        <v>327.46621282770047</v>
      </c>
      <c r="AN164" s="287">
        <f t="shared" si="76"/>
        <v>528.17131101242001</v>
      </c>
      <c r="AO164" s="287">
        <f t="shared" si="77"/>
        <v>327.46621282770047</v>
      </c>
      <c r="AP164" s="287">
        <f t="shared" si="78"/>
        <v>1187235.375</v>
      </c>
      <c r="AQ164" s="287">
        <f t="shared" si="79"/>
        <v>736085.93250000011</v>
      </c>
      <c r="AR164" s="287">
        <f t="shared" si="80"/>
        <v>89299.287105422583</v>
      </c>
      <c r="AS164" s="289" t="e">
        <f>IF(J164='2027 Avoided Costs'!#REF!,3,5)</f>
        <v>#REF!</v>
      </c>
      <c r="AT164" s="290" cm="1">
        <f t="array" ref="AT164">IFERROR(IF($J164="Baseload",IF($O164=1,0,NPV('2027 Avoided Costs'!$D$6,_xlfn._xlws.FILTER('2027 Avoided Costs'!$C$14:$C$47,('2027 Avoided Costs'!$B$14:$B$47&gt;=$B164+1)*('2027 Avoided Costs'!$B$14:$B$47&lt;$B164+ROUND($O164,0)))))+_xlfn.XLOOKUP($B164,'2027 Avoided Costs'!$B$13:$B$47,'2027 Avoided Costs'!$C$13:$C$47),IF($O164=1,0,NPV('2027 Avoided Costs'!$D$6,_xlfn._xlws.FILTER('2027 Avoided Costs'!$E$14:$E$47,('2027 Avoided Costs'!$B$14:$B$47&gt;=$B164+1)*('2027 Avoided Costs'!$B$14:$B$47&lt;$B164+ROUND($O164,0)))))+_xlfn.XLOOKUP($B164,'2027 Avoided Costs'!$B$13:$B$47,'2027 Avoided Costs'!$E$13:$E$47))*IF($AE164&gt;0,$AE164*(1+$W164),0),0)</f>
        <v>1262986.7222199368</v>
      </c>
      <c r="AU164" s="290" cm="1">
        <f t="array" ref="AU164">IFERROR((IF($O164=1,0,NPV('2027 Avoided Costs'!$D$6,_xlfn._xlws.FILTER('2027 Avoided Costs'!$M$14:$M$47,('2027 Avoided Costs'!$B$14:$B$47&gt;=$B164+1)*('2027 Avoided Costs'!$B$14:$B$47&lt;$B164+ROUND($O164,0)))))+_xlfn.XLOOKUP($B164,'2027 Avoided Costs'!$B$13:$B$47,'2027 Avoided Costs'!$M$13:$M$47))*IF($AK164&gt;0,$AK164*(1+$W164),0),0)</f>
        <v>0</v>
      </c>
      <c r="AV164" s="291" cm="1">
        <f t="array" ref="AV164">IFERROR((IF($O164=1,0,NPV('2027 Avoided Costs'!$D$6,_xlfn._xlws.FILTER('2027 Avoided Costs'!$Q$14:$Q$47,('2027 Avoided Costs'!$B$14:$B$47&gt;=$B164+1)*('2027 Avoided Costs'!$B$14:$B$47&lt;$B164+ROUND($O164,0)))))+_xlfn.XLOOKUP($B164,'2027 Avoided Costs'!$B$13:$B$47,'2027 Avoided Costs'!$Q$13:$Q$47))*IF($AI164&gt;0,$AI164*(1+$W164),0),0)</f>
        <v>937028.08843402902</v>
      </c>
      <c r="AW164" s="291" cm="1">
        <f t="array" ref="AW164">IFERROR((IF($O164=1,0,NPV('2027 Avoided Costs'!$D$6,_xlfn._xlws.FILTER('2027 Avoided Costs'!$W$14:$W$47,('2027 Avoided Costs'!$B$14:$B$47&gt;=$B164+1)*('2027 Avoided Costs'!$B$14:$B$47&lt;$B164+ROUND($O164,0)))))+_xlfn.XLOOKUP($B164,'2027 Avoided Costs'!$B$13:$B$47,'2027 Avoided Costs'!$W$13:$W$47))*IF($AM164&gt;0,$AM164*(1+$W164),0),0)</f>
        <v>1341267.1596848404</v>
      </c>
      <c r="AX164" s="291" cm="1">
        <f t="array" ref="AX164">IFERROR((IF($O164=1,0,NPV('2027 Avoided Costs'!$D$6,_xlfn._xlws.FILTER('2027 Avoided Costs'!$AC$14:$AC$47,('2027 Avoided Costs'!$B$14:$B$47&gt;=$B164+1)*('2027 Avoided Costs'!$B$14:$B$47&lt;$B164+ROUND($O164,0)))))+_xlfn.XLOOKUP($B164,'2027 Avoided Costs'!$B$13:$B$47,'2027 Avoided Costs'!$AC$13:$AC$47))*IF($AO164&gt;0,$AO164*(1+$W164),0),0)</f>
        <v>84819.591623236396</v>
      </c>
      <c r="AY164" s="291" cm="1">
        <f t="array" ref="AY164">IFERROR((IF($O164=1,0,NPV('2027 Avoided Costs'!$D$4,_xlfn._xlws.FILTER('2027 Avoided Costs'!$I$14:$I$47,('2027 Avoided Costs'!$B$14:$B$47&gt;=$B164+1)*('2027 Avoided Costs'!$B$14:$B$47&lt;$B164+ROUND($O164,0)))))+_xlfn.XLOOKUP($B164,'2027 Avoided Costs'!$B$13:$B$47,'2027 Avoided Costs'!$I$13:$I$47))*IF($X164="Residential",'2027 Avoided Costs'!$J$5,IF($X164="Large Volume",'2027 Avoided Costs'!$J$7,'2027 Avoided Costs'!$J$6))*IF($AE164&gt;0,$AE164,0),0)</f>
        <v>0</v>
      </c>
      <c r="AZ164" s="291" cm="1">
        <f t="array" ref="AZ164">IFERROR(IF($J164="Baseload",IF($O164=1,0,NPV('2027 Avoided Costs'!$D$6,_xlfn._xlws.FILTER('2027 Avoided Costs'!$C$14:$C$47,('2027 Avoided Costs'!$B$14:$B$47&gt;=$B164+1)*('2027 Avoided Costs'!$B$14:$B$47&lt;$B164+ROUND($O164,0)))))+_xlfn.XLOOKUP($B164,'2027 Avoided Costs'!$B$13:$B$47,'2027 Avoided Costs'!$C$13:$C$47),IF($O164=1,0,NPV('2027 Avoided Costs'!$D$6,_xlfn._xlws.FILTER('2027 Avoided Costs'!$E$14:$E$47,('2027 Avoided Costs'!$B$14:$B$47&gt;=$B164+1)*('2027 Avoided Costs'!$B$14:$B$47&lt;$B164+ROUND($O164,0)))))+_xlfn.XLOOKUP($B164,'2027 Avoided Costs'!$B$13:$B$47,'2027 Avoided Costs'!$E$13:$E$47))*IF($AE164&lt;0,$AE164*(-1),0),0)</f>
        <v>0</v>
      </c>
      <c r="BA164" s="291" cm="1">
        <f t="array" ref="BA164">IFERROR((IF($O164=1,0,NPV('2027 Avoided Costs'!$D$6,_xlfn._xlws.FILTER('2027 Avoided Costs'!$M$14:$M$47,('2027 Avoided Costs'!$B$14:$B$47&gt;=$B164+1)*('2027 Avoided Costs'!$B$14:$B$47&lt;$B164+ROUND($O164,0)))))+_xlfn.XLOOKUP($B164,'2027 Avoided Costs'!$B$13:$B$47,'2027 Avoided Costs'!$M$13:$M$47))*IF($AK164&lt;0,$AK164*(-1),0),0)</f>
        <v>0</v>
      </c>
      <c r="BB164" s="291" cm="1">
        <f t="array" ref="BB164">IFERROR((IF($O164=1,0,NPV('2027 Avoided Costs'!$D$6,_xlfn._xlws.FILTER('2027 Avoided Costs'!$S$14:$S$47,('2027 Avoided Costs'!$B$14:$B$47&gt;=$B164+1)*('2027 Avoided Costs'!$B$14:$B$47&lt;$B164+ROUND($O164,0)))))+_xlfn.XLOOKUP($B164,'2027 Avoided Costs'!$B$13:$B$47,'2027 Avoided Costs'!$S$13:$S$47))*IF($AI164&lt;0,$AI164*(-1),0),0)</f>
        <v>0</v>
      </c>
      <c r="BC164" s="291" cm="1">
        <f t="array" ref="BC164">IFERROR((IF($O164=1,0,NPV('2027 Avoided Costs'!$D$6,_xlfn._xlws.FILTER('2027 Avoided Costs'!$Y$14:$Y$47,('2027 Avoided Costs'!$B$14:$B$47&gt;=$B164+1)*('2027 Avoided Costs'!$B$14:$B$47&lt;$B164+ROUND($O164,0)))))+_xlfn.XLOOKUP($B164,'2027 Avoided Costs'!$B$13:$B$47,'2027 Avoided Costs'!$Y$13:$Y$47))*IF($AM164&lt;0,$AM164*(-1),0),0)</f>
        <v>0</v>
      </c>
      <c r="BD164" s="291" cm="1">
        <f t="array" ref="BD164">IFERROR((IF($O164=1,0,NPV('2027 Avoided Costs'!$D$6,_xlfn._xlws.FILTER('2027 Avoided Costs'!$AE$14:$AE$47,('2027 Avoided Costs'!$B$14:$B$47&gt;=$B164+1)*('2027 Avoided Costs'!$B$14:$B$47&lt;$B164+ROUND($O164,0)))))+_xlfn.XLOOKUP($B164,'2027 Avoided Costs'!$B$13:$B$47,'2027 Avoided Costs'!$AE$13:$AE$47))*IF($AO164&lt;0,$AO164*(-1),0),0)</f>
        <v>0</v>
      </c>
      <c r="BE164" s="291" cm="1">
        <f t="array" ref="BE164">IFERROR((IF($O164=1,0,NPV('2027 Avoided Costs'!$D$4,_xlfn._xlws.FILTER('2027 Avoided Costs'!$I$14:$I$47,('2027 Avoided Costs'!$B$14:$B$47&gt;=$B164+1)*('2027 Avoided Costs'!$B$14:$B$47&lt;$B164+ROUND($O164,0)))))+_xlfn.XLOOKUP($B164,'2027 Avoided Costs'!$B$13:$B$47,'2027 Avoided Costs'!$I$13:$I$47))*IF($X164="Residential",'2027 Avoided Costs'!$J$5,IF($X164="Large Volume",'2027 Avoided Costs'!$J$7,'2027 Avoided Costs'!$J$6))*IF($AE164&lt;0,$AE164*(-1),0),0)</f>
        <v>0</v>
      </c>
      <c r="BF164" s="291">
        <f t="shared" si="58"/>
        <v>3626101.5619620429</v>
      </c>
      <c r="BG164" s="291">
        <f t="shared" si="59"/>
        <v>736085.93250000011</v>
      </c>
      <c r="BH164" s="291">
        <f t="shared" si="60"/>
        <v>2890015.6294620428</v>
      </c>
      <c r="BI164" s="292">
        <f t="shared" si="83"/>
        <v>4.9261932633959722</v>
      </c>
      <c r="BJ164" s="196" cm="1">
        <f t="array" ref="BJ164">IFERROR(IF($J164="Baseload",IF($O164=1,0,NPV('2027 Avoided Costs'!$D$6,_xlfn._xlws.FILTER('2027 Avoided Costs'!$C$14:$C$47,('2027 Avoided Costs'!$B$14:$B$47&gt;=$B164+1)*('2027 Avoided Costs'!$B$14:$B$47&lt;$B164+ROUND($O164,0)))))+_xlfn.XLOOKUP($B164,'2027 Avoided Costs'!$B$13:$B$47,'2027 Avoided Costs'!$C$13:$C$47),IF($O164=1,0,NPV('2027 Avoided Costs'!$D$6,_xlfn._xlws.FILTER('2027 Avoided Costs'!$E$14:$E$47,('2027 Avoided Costs'!$B$14:$B$47&gt;=$B164+1)*('2027 Avoided Costs'!$B$14:$B$47&lt;$B164+ROUND($O164,0)))))+_xlfn.XLOOKUP($B164,'2027 Avoided Costs'!$B$13:$B$47,'2027 Avoided Costs'!$E$13:$E$47))*IF($AE164&gt;0,$AE164*(1+0),0),0)</f>
        <v>1098249.3236695104</v>
      </c>
      <c r="BK164" s="293">
        <f t="shared" si="81"/>
        <v>2.1501852832328754</v>
      </c>
    </row>
    <row r="165" spans="1:63" s="56" customFormat="1" x14ac:dyDescent="0.25">
      <c r="A165" s="270" t="s">
        <v>133</v>
      </c>
      <c r="B165" s="271">
        <v>2028</v>
      </c>
      <c r="C165" s="272" t="s">
        <v>13</v>
      </c>
      <c r="D165" s="272" t="s">
        <v>163</v>
      </c>
      <c r="E165" s="272" t="s">
        <v>97</v>
      </c>
      <c r="F165" s="273">
        <v>111</v>
      </c>
      <c r="G165" s="274">
        <v>1295</v>
      </c>
      <c r="H165" s="275">
        <f t="shared" si="61"/>
        <v>0.18943826799297836</v>
      </c>
      <c r="I165" s="274">
        <v>200</v>
      </c>
      <c r="J165" s="276" t="s">
        <v>264</v>
      </c>
      <c r="K165" s="277">
        <f t="shared" si="57"/>
        <v>0.79999999999999993</v>
      </c>
      <c r="L165" s="278">
        <v>0.20000000000000007</v>
      </c>
      <c r="M165" s="278">
        <v>0</v>
      </c>
      <c r="N165" s="278">
        <v>1.0414000000000001</v>
      </c>
      <c r="O165" s="279">
        <v>15</v>
      </c>
      <c r="P165" s="280">
        <v>6836</v>
      </c>
      <c r="Q165" s="281">
        <v>0</v>
      </c>
      <c r="R165" s="282">
        <v>0</v>
      </c>
      <c r="S165" s="282">
        <v>0</v>
      </c>
      <c r="T165" s="281">
        <v>0</v>
      </c>
      <c r="U165" s="283">
        <v>0.54</v>
      </c>
      <c r="V165" s="284">
        <v>2590</v>
      </c>
      <c r="W165" s="285">
        <v>0.15</v>
      </c>
      <c r="X165" s="286" t="s">
        <v>255</v>
      </c>
      <c r="Y165" s="287">
        <f t="shared" si="62"/>
        <v>111</v>
      </c>
      <c r="Z165" s="288">
        <f t="shared" si="63"/>
        <v>143745</v>
      </c>
      <c r="AA165" s="288">
        <f t="shared" si="64"/>
        <v>22200</v>
      </c>
      <c r="AB165" s="288">
        <f t="shared" si="65"/>
        <v>146619.9</v>
      </c>
      <c r="AC165" s="288">
        <f t="shared" si="82"/>
        <v>22581.840000000004</v>
      </c>
      <c r="AD165" s="287">
        <f t="shared" si="66"/>
        <v>790210.15440000012</v>
      </c>
      <c r="AE165" s="287">
        <f t="shared" si="67"/>
        <v>632168.12352000002</v>
      </c>
      <c r="AF165" s="287">
        <f t="shared" si="68"/>
        <v>11853152.316000002</v>
      </c>
      <c r="AG165" s="287">
        <f t="shared" si="69"/>
        <v>9482521.8528000005</v>
      </c>
      <c r="AH165" s="287">
        <f t="shared" si="70"/>
        <v>0</v>
      </c>
      <c r="AI165" s="287">
        <f t="shared" si="71"/>
        <v>0</v>
      </c>
      <c r="AJ165" s="287">
        <f t="shared" si="72"/>
        <v>0</v>
      </c>
      <c r="AK165" s="287">
        <f t="shared" si="73"/>
        <v>0</v>
      </c>
      <c r="AL165" s="287">
        <f t="shared" si="74"/>
        <v>0</v>
      </c>
      <c r="AM165" s="287">
        <f t="shared" si="75"/>
        <v>0</v>
      </c>
      <c r="AN165" s="287">
        <f t="shared" si="76"/>
        <v>0</v>
      </c>
      <c r="AO165" s="287">
        <f t="shared" si="77"/>
        <v>0</v>
      </c>
      <c r="AP165" s="287">
        <f t="shared" si="78"/>
        <v>287490</v>
      </c>
      <c r="AQ165" s="287">
        <f t="shared" si="79"/>
        <v>229991.99999999997</v>
      </c>
      <c r="AR165" s="287">
        <f t="shared" si="80"/>
        <v>341370.78670080006</v>
      </c>
      <c r="AS165" s="289" t="e">
        <f>IF(J165='2027 Avoided Costs'!#REF!,3,5)</f>
        <v>#REF!</v>
      </c>
      <c r="AT165" s="290" cm="1">
        <f t="array" ref="AT165">IFERROR(IF($J165="Baseload",IF($O165=1,0,NPV('2027 Avoided Costs'!$D$6,_xlfn._xlws.FILTER('2027 Avoided Costs'!$C$14:$C$47,('2027 Avoided Costs'!$B$14:$B$47&gt;=$B165+1)*('2027 Avoided Costs'!$B$14:$B$47&lt;$B165+ROUND($O165,0)))))+_xlfn.XLOOKUP($B165,'2027 Avoided Costs'!$B$13:$B$47,'2027 Avoided Costs'!$C$13:$C$47),IF($O165=1,0,NPV('2027 Avoided Costs'!$D$6,_xlfn._xlws.FILTER('2027 Avoided Costs'!$E$14:$E$47,('2027 Avoided Costs'!$B$14:$B$47&gt;=$B165+1)*('2027 Avoided Costs'!$B$14:$B$47&lt;$B165+ROUND($O165,0)))))+_xlfn.XLOOKUP($B165,'2027 Avoided Costs'!$B$13:$B$47,'2027 Avoided Costs'!$E$13:$E$47))*IF($AE165&gt;0,$AE165*(1+$W165),0),0)</f>
        <v>2592873.8280902952</v>
      </c>
      <c r="AU165" s="290" cm="1">
        <f t="array" ref="AU165">IFERROR((IF($O165=1,0,NPV('2027 Avoided Costs'!$D$6,_xlfn._xlws.FILTER('2027 Avoided Costs'!$M$14:$M$47,('2027 Avoided Costs'!$B$14:$B$47&gt;=$B165+1)*('2027 Avoided Costs'!$B$14:$B$47&lt;$B165+ROUND($O165,0)))))+_xlfn.XLOOKUP($B165,'2027 Avoided Costs'!$B$13:$B$47,'2027 Avoided Costs'!$M$13:$M$47))*IF($AK165&gt;0,$AK165*(1+$W165),0),0)</f>
        <v>0</v>
      </c>
      <c r="AV165" s="291" cm="1">
        <f t="array" ref="AV165">IFERROR((IF($O165=1,0,NPV('2027 Avoided Costs'!$D$6,_xlfn._xlws.FILTER('2027 Avoided Costs'!$Q$14:$Q$47,('2027 Avoided Costs'!$B$14:$B$47&gt;=$B165+1)*('2027 Avoided Costs'!$B$14:$B$47&lt;$B165+ROUND($O165,0)))))+_xlfn.XLOOKUP($B165,'2027 Avoided Costs'!$B$13:$B$47,'2027 Avoided Costs'!$Q$13:$Q$47))*IF($AI165&gt;0,$AI165*(1+$W165),0),0)</f>
        <v>0</v>
      </c>
      <c r="AW165" s="291" cm="1">
        <f t="array" ref="AW165">IFERROR((IF($O165=1,0,NPV('2027 Avoided Costs'!$D$6,_xlfn._xlws.FILTER('2027 Avoided Costs'!$W$14:$W$47,('2027 Avoided Costs'!$B$14:$B$47&gt;=$B165+1)*('2027 Avoided Costs'!$B$14:$B$47&lt;$B165+ROUND($O165,0)))))+_xlfn.XLOOKUP($B165,'2027 Avoided Costs'!$B$13:$B$47,'2027 Avoided Costs'!$W$13:$W$47))*IF($AM165&gt;0,$AM165*(1+$W165),0),0)</f>
        <v>0</v>
      </c>
      <c r="AX165" s="291" cm="1">
        <f t="array" ref="AX165">IFERROR((IF($O165=1,0,NPV('2027 Avoided Costs'!$D$6,_xlfn._xlws.FILTER('2027 Avoided Costs'!$AC$14:$AC$47,('2027 Avoided Costs'!$B$14:$B$47&gt;=$B165+1)*('2027 Avoided Costs'!$B$14:$B$47&lt;$B165+ROUND($O165,0)))))+_xlfn.XLOOKUP($B165,'2027 Avoided Costs'!$B$13:$B$47,'2027 Avoided Costs'!$AC$13:$AC$47))*IF($AO165&gt;0,$AO165*(1+$W165),0),0)</f>
        <v>0</v>
      </c>
      <c r="AY165" s="291" cm="1">
        <f t="array" ref="AY165">IFERROR((IF($O165=1,0,NPV('2027 Avoided Costs'!$D$4,_xlfn._xlws.FILTER('2027 Avoided Costs'!$I$14:$I$47,('2027 Avoided Costs'!$B$14:$B$47&gt;=$B165+1)*('2027 Avoided Costs'!$B$14:$B$47&lt;$B165+ROUND($O165,0)))))+_xlfn.XLOOKUP($B165,'2027 Avoided Costs'!$B$13:$B$47,'2027 Avoided Costs'!$I$13:$I$47))*IF($X165="Residential",'2027 Avoided Costs'!$J$5,IF($X165="Large Volume",'2027 Avoided Costs'!$J$7,'2027 Avoided Costs'!$J$6))*IF($AE165&gt;0,$AE165,0),0)</f>
        <v>0</v>
      </c>
      <c r="AZ165" s="291" cm="1">
        <f t="array" ref="AZ165">IFERROR(IF($J165="Baseload",IF($O165=1,0,NPV('2027 Avoided Costs'!$D$6,_xlfn._xlws.FILTER('2027 Avoided Costs'!$C$14:$C$47,('2027 Avoided Costs'!$B$14:$B$47&gt;=$B165+1)*('2027 Avoided Costs'!$B$14:$B$47&lt;$B165+ROUND($O165,0)))))+_xlfn.XLOOKUP($B165,'2027 Avoided Costs'!$B$13:$B$47,'2027 Avoided Costs'!$C$13:$C$47),IF($O165=1,0,NPV('2027 Avoided Costs'!$D$6,_xlfn._xlws.FILTER('2027 Avoided Costs'!$E$14:$E$47,('2027 Avoided Costs'!$B$14:$B$47&gt;=$B165+1)*('2027 Avoided Costs'!$B$14:$B$47&lt;$B165+ROUND($O165,0)))))+_xlfn.XLOOKUP($B165,'2027 Avoided Costs'!$B$13:$B$47,'2027 Avoided Costs'!$E$13:$E$47))*IF($AE165&lt;0,$AE165*(-1),0),0)</f>
        <v>0</v>
      </c>
      <c r="BA165" s="291" cm="1">
        <f t="array" ref="BA165">IFERROR((IF($O165=1,0,NPV('2027 Avoided Costs'!$D$6,_xlfn._xlws.FILTER('2027 Avoided Costs'!$M$14:$M$47,('2027 Avoided Costs'!$B$14:$B$47&gt;=$B165+1)*('2027 Avoided Costs'!$B$14:$B$47&lt;$B165+ROUND($O165,0)))))+_xlfn.XLOOKUP($B165,'2027 Avoided Costs'!$B$13:$B$47,'2027 Avoided Costs'!$M$13:$M$47))*IF($AK165&lt;0,$AK165*(-1),0),0)</f>
        <v>0</v>
      </c>
      <c r="BB165" s="291" cm="1">
        <f t="array" ref="BB165">IFERROR((IF($O165=1,0,NPV('2027 Avoided Costs'!$D$6,_xlfn._xlws.FILTER('2027 Avoided Costs'!$S$14:$S$47,('2027 Avoided Costs'!$B$14:$B$47&gt;=$B165+1)*('2027 Avoided Costs'!$B$14:$B$47&lt;$B165+ROUND($O165,0)))))+_xlfn.XLOOKUP($B165,'2027 Avoided Costs'!$B$13:$B$47,'2027 Avoided Costs'!$S$13:$S$47))*IF($AI165&lt;0,$AI165*(-1),0),0)</f>
        <v>0</v>
      </c>
      <c r="BC165" s="291" cm="1">
        <f t="array" ref="BC165">IFERROR((IF($O165=1,0,NPV('2027 Avoided Costs'!$D$6,_xlfn._xlws.FILTER('2027 Avoided Costs'!$Y$14:$Y$47,('2027 Avoided Costs'!$B$14:$B$47&gt;=$B165+1)*('2027 Avoided Costs'!$B$14:$B$47&lt;$B165+ROUND($O165,0)))))+_xlfn.XLOOKUP($B165,'2027 Avoided Costs'!$B$13:$B$47,'2027 Avoided Costs'!$Y$13:$Y$47))*IF($AM165&lt;0,$AM165*(-1),0),0)</f>
        <v>0</v>
      </c>
      <c r="BD165" s="291" cm="1">
        <f t="array" ref="BD165">IFERROR((IF($O165=1,0,NPV('2027 Avoided Costs'!$D$6,_xlfn._xlws.FILTER('2027 Avoided Costs'!$AE$14:$AE$47,('2027 Avoided Costs'!$B$14:$B$47&gt;=$B165+1)*('2027 Avoided Costs'!$B$14:$B$47&lt;$B165+ROUND($O165,0)))))+_xlfn.XLOOKUP($B165,'2027 Avoided Costs'!$B$13:$B$47,'2027 Avoided Costs'!$AE$13:$AE$47))*IF($AO165&lt;0,$AO165*(-1),0),0)</f>
        <v>0</v>
      </c>
      <c r="BE165" s="291" cm="1">
        <f t="array" ref="BE165">IFERROR((IF($O165=1,0,NPV('2027 Avoided Costs'!$D$4,_xlfn._xlws.FILTER('2027 Avoided Costs'!$I$14:$I$47,('2027 Avoided Costs'!$B$14:$B$47&gt;=$B165+1)*('2027 Avoided Costs'!$B$14:$B$47&lt;$B165+ROUND($O165,0)))))+_xlfn.XLOOKUP($B165,'2027 Avoided Costs'!$B$13:$B$47,'2027 Avoided Costs'!$I$13:$I$47))*IF($X165="Residential",'2027 Avoided Costs'!$J$5,IF($X165="Large Volume",'2027 Avoided Costs'!$J$7,'2027 Avoided Costs'!$J$6))*IF($AE165&lt;0,$AE165*(-1),0),0)</f>
        <v>0</v>
      </c>
      <c r="BF165" s="291">
        <f t="shared" si="58"/>
        <v>2592873.8280902952</v>
      </c>
      <c r="BG165" s="291">
        <f t="shared" si="59"/>
        <v>229991.99999999997</v>
      </c>
      <c r="BH165" s="291">
        <f t="shared" si="60"/>
        <v>2362881.8280902952</v>
      </c>
      <c r="BI165" s="292">
        <f t="shared" si="83"/>
        <v>11.273756600622177</v>
      </c>
      <c r="BJ165" s="196" cm="1">
        <f t="array" ref="BJ165">IFERROR(IF($J165="Baseload",IF($O165=1,0,NPV('2027 Avoided Costs'!$D$6,_xlfn._xlws.FILTER('2027 Avoided Costs'!$C$14:$C$47,('2027 Avoided Costs'!$B$14:$B$47&gt;=$B165+1)*('2027 Avoided Costs'!$B$14:$B$47&lt;$B165+ROUND($O165,0)))))+_xlfn.XLOOKUP($B165,'2027 Avoided Costs'!$B$13:$B$47,'2027 Avoided Costs'!$C$13:$C$47),IF($O165=1,0,NPV('2027 Avoided Costs'!$D$6,_xlfn._xlws.FILTER('2027 Avoided Costs'!$E$14:$E$47,('2027 Avoided Costs'!$B$14:$B$47&gt;=$B165+1)*('2027 Avoided Costs'!$B$14:$B$47&lt;$B165+ROUND($O165,0)))))+_xlfn.XLOOKUP($B165,'2027 Avoided Costs'!$B$13:$B$47,'2027 Avoided Costs'!$E$13:$E$47))*IF($AE165&gt;0,$AE165*(1+0),0),0)</f>
        <v>2254672.8939915611</v>
      </c>
      <c r="BK165" s="293">
        <f t="shared" si="81"/>
        <v>13.325352883437022</v>
      </c>
    </row>
    <row r="166" spans="1:63" s="56" customFormat="1" x14ac:dyDescent="0.25">
      <c r="A166" s="270" t="s">
        <v>133</v>
      </c>
      <c r="B166" s="271">
        <v>2028</v>
      </c>
      <c r="C166" s="272" t="s">
        <v>13</v>
      </c>
      <c r="D166" s="272" t="s">
        <v>163</v>
      </c>
      <c r="E166" s="272" t="s">
        <v>98</v>
      </c>
      <c r="F166" s="273">
        <v>73</v>
      </c>
      <c r="G166" s="274">
        <v>1485.9860696517414</v>
      </c>
      <c r="H166" s="275">
        <f t="shared" si="61"/>
        <v>1</v>
      </c>
      <c r="I166" s="274">
        <v>200</v>
      </c>
      <c r="J166" s="276" t="s">
        <v>264</v>
      </c>
      <c r="K166" s="277">
        <f t="shared" si="57"/>
        <v>0.9</v>
      </c>
      <c r="L166" s="278">
        <v>0.1</v>
      </c>
      <c r="M166" s="278">
        <v>0</v>
      </c>
      <c r="N166" s="278">
        <v>1</v>
      </c>
      <c r="O166" s="279">
        <v>15</v>
      </c>
      <c r="P166" s="280">
        <v>1485.9860696517414</v>
      </c>
      <c r="Q166" s="281">
        <v>0</v>
      </c>
      <c r="R166" s="282">
        <v>0</v>
      </c>
      <c r="S166" s="282">
        <v>0</v>
      </c>
      <c r="T166" s="281">
        <v>0</v>
      </c>
      <c r="U166" s="283">
        <v>0.91279749398091969</v>
      </c>
      <c r="V166" s="284">
        <v>13312</v>
      </c>
      <c r="W166" s="285">
        <v>0.15</v>
      </c>
      <c r="X166" s="286" t="s">
        <v>255</v>
      </c>
      <c r="Y166" s="287">
        <f t="shared" si="62"/>
        <v>73</v>
      </c>
      <c r="Z166" s="288">
        <f t="shared" si="63"/>
        <v>108476.98308457712</v>
      </c>
      <c r="AA166" s="288">
        <f t="shared" si="64"/>
        <v>14600</v>
      </c>
      <c r="AB166" s="288">
        <f t="shared" si="65"/>
        <v>110646.52274626866</v>
      </c>
      <c r="AC166" s="288">
        <f t="shared" si="82"/>
        <v>14851.12</v>
      </c>
      <c r="AD166" s="287">
        <f t="shared" si="66"/>
        <v>108476.98308457712</v>
      </c>
      <c r="AE166" s="287">
        <f t="shared" si="67"/>
        <v>97629.284776119413</v>
      </c>
      <c r="AF166" s="287">
        <f t="shared" si="68"/>
        <v>1627154.7462686568</v>
      </c>
      <c r="AG166" s="287">
        <f t="shared" si="69"/>
        <v>1464439.2716417911</v>
      </c>
      <c r="AH166" s="287">
        <f t="shared" si="70"/>
        <v>0</v>
      </c>
      <c r="AI166" s="287">
        <f t="shared" si="71"/>
        <v>0</v>
      </c>
      <c r="AJ166" s="287">
        <f t="shared" si="72"/>
        <v>0</v>
      </c>
      <c r="AK166" s="287">
        <f t="shared" si="73"/>
        <v>0</v>
      </c>
      <c r="AL166" s="287">
        <f t="shared" si="74"/>
        <v>0</v>
      </c>
      <c r="AM166" s="287">
        <f t="shared" si="75"/>
        <v>0</v>
      </c>
      <c r="AN166" s="287">
        <f t="shared" si="76"/>
        <v>0</v>
      </c>
      <c r="AO166" s="287">
        <f t="shared" si="77"/>
        <v>0</v>
      </c>
      <c r="AP166" s="287">
        <f t="shared" si="78"/>
        <v>971776</v>
      </c>
      <c r="AQ166" s="287">
        <f t="shared" si="79"/>
        <v>874598.40000000002</v>
      </c>
      <c r="AR166" s="287">
        <f t="shared" si="80"/>
        <v>89115.766482791354</v>
      </c>
      <c r="AS166" s="289" t="e">
        <f>IF(J166='2027 Avoided Costs'!#REF!,3,5)</f>
        <v>#REF!</v>
      </c>
      <c r="AT166" s="290" cm="1">
        <f t="array" ref="AT166">IFERROR(IF($J166="Baseload",IF($O166=1,0,NPV('2027 Avoided Costs'!$D$6,_xlfn._xlws.FILTER('2027 Avoided Costs'!$C$14:$C$47,('2027 Avoided Costs'!$B$14:$B$47&gt;=$B166+1)*('2027 Avoided Costs'!$B$14:$B$47&lt;$B166+ROUND($O166,0)))))+_xlfn.XLOOKUP($B166,'2027 Avoided Costs'!$B$13:$B$47,'2027 Avoided Costs'!$C$13:$C$47),IF($O166=1,0,NPV('2027 Avoided Costs'!$D$6,_xlfn._xlws.FILTER('2027 Avoided Costs'!$E$14:$E$47,('2027 Avoided Costs'!$B$14:$B$47&gt;=$B166+1)*('2027 Avoided Costs'!$B$14:$B$47&lt;$B166+ROUND($O166,0)))))+_xlfn.XLOOKUP($B166,'2027 Avoided Costs'!$B$13:$B$47,'2027 Avoided Costs'!$E$13:$E$47))*IF($AE166&gt;0,$AE166*(1+$W166),0),0)</f>
        <v>400432.11280830367</v>
      </c>
      <c r="AU166" s="290" cm="1">
        <f t="array" ref="AU166">IFERROR((IF($O166=1,0,NPV('2027 Avoided Costs'!$D$6,_xlfn._xlws.FILTER('2027 Avoided Costs'!$M$14:$M$47,('2027 Avoided Costs'!$B$14:$B$47&gt;=$B166+1)*('2027 Avoided Costs'!$B$14:$B$47&lt;$B166+ROUND($O166,0)))))+_xlfn.XLOOKUP($B166,'2027 Avoided Costs'!$B$13:$B$47,'2027 Avoided Costs'!$M$13:$M$47))*IF($AK166&gt;0,$AK166*(1+$W166),0),0)</f>
        <v>0</v>
      </c>
      <c r="AV166" s="291" cm="1">
        <f t="array" ref="AV166">IFERROR((IF($O166=1,0,NPV('2027 Avoided Costs'!$D$6,_xlfn._xlws.FILTER('2027 Avoided Costs'!$Q$14:$Q$47,('2027 Avoided Costs'!$B$14:$B$47&gt;=$B166+1)*('2027 Avoided Costs'!$B$14:$B$47&lt;$B166+ROUND($O166,0)))))+_xlfn.XLOOKUP($B166,'2027 Avoided Costs'!$B$13:$B$47,'2027 Avoided Costs'!$Q$13:$Q$47))*IF($AI166&gt;0,$AI166*(1+$W166),0),0)</f>
        <v>0</v>
      </c>
      <c r="AW166" s="291" cm="1">
        <f t="array" ref="AW166">IFERROR((IF($O166=1,0,NPV('2027 Avoided Costs'!$D$6,_xlfn._xlws.FILTER('2027 Avoided Costs'!$W$14:$W$47,('2027 Avoided Costs'!$B$14:$B$47&gt;=$B166+1)*('2027 Avoided Costs'!$B$14:$B$47&lt;$B166+ROUND($O166,0)))))+_xlfn.XLOOKUP($B166,'2027 Avoided Costs'!$B$13:$B$47,'2027 Avoided Costs'!$W$13:$W$47))*IF($AM166&gt;0,$AM166*(1+$W166),0),0)</f>
        <v>0</v>
      </c>
      <c r="AX166" s="291" cm="1">
        <f t="array" ref="AX166">IFERROR((IF($O166=1,0,NPV('2027 Avoided Costs'!$D$6,_xlfn._xlws.FILTER('2027 Avoided Costs'!$AC$14:$AC$47,('2027 Avoided Costs'!$B$14:$B$47&gt;=$B166+1)*('2027 Avoided Costs'!$B$14:$B$47&lt;$B166+ROUND($O166,0)))))+_xlfn.XLOOKUP($B166,'2027 Avoided Costs'!$B$13:$B$47,'2027 Avoided Costs'!$AC$13:$AC$47))*IF($AO166&gt;0,$AO166*(1+$W166),0),0)</f>
        <v>0</v>
      </c>
      <c r="AY166" s="291" cm="1">
        <f t="array" ref="AY166">IFERROR((IF($O166=1,0,NPV('2027 Avoided Costs'!$D$4,_xlfn._xlws.FILTER('2027 Avoided Costs'!$I$14:$I$47,('2027 Avoided Costs'!$B$14:$B$47&gt;=$B166+1)*('2027 Avoided Costs'!$B$14:$B$47&lt;$B166+ROUND($O166,0)))))+_xlfn.XLOOKUP($B166,'2027 Avoided Costs'!$B$13:$B$47,'2027 Avoided Costs'!$I$13:$I$47))*IF($X166="Residential",'2027 Avoided Costs'!$J$5,IF($X166="Large Volume",'2027 Avoided Costs'!$J$7,'2027 Avoided Costs'!$J$6))*IF($AE166&gt;0,$AE166,0),0)</f>
        <v>0</v>
      </c>
      <c r="AZ166" s="291" cm="1">
        <f t="array" ref="AZ166">IFERROR(IF($J166="Baseload",IF($O166=1,0,NPV('2027 Avoided Costs'!$D$6,_xlfn._xlws.FILTER('2027 Avoided Costs'!$C$14:$C$47,('2027 Avoided Costs'!$B$14:$B$47&gt;=$B166+1)*('2027 Avoided Costs'!$B$14:$B$47&lt;$B166+ROUND($O166,0)))))+_xlfn.XLOOKUP($B166,'2027 Avoided Costs'!$B$13:$B$47,'2027 Avoided Costs'!$C$13:$C$47),IF($O166=1,0,NPV('2027 Avoided Costs'!$D$6,_xlfn._xlws.FILTER('2027 Avoided Costs'!$E$14:$E$47,('2027 Avoided Costs'!$B$14:$B$47&gt;=$B166+1)*('2027 Avoided Costs'!$B$14:$B$47&lt;$B166+ROUND($O166,0)))))+_xlfn.XLOOKUP($B166,'2027 Avoided Costs'!$B$13:$B$47,'2027 Avoided Costs'!$E$13:$E$47))*IF($AE166&lt;0,$AE166*(-1),0),0)</f>
        <v>0</v>
      </c>
      <c r="BA166" s="291" cm="1">
        <f t="array" ref="BA166">IFERROR((IF($O166=1,0,NPV('2027 Avoided Costs'!$D$6,_xlfn._xlws.FILTER('2027 Avoided Costs'!$M$14:$M$47,('2027 Avoided Costs'!$B$14:$B$47&gt;=$B166+1)*('2027 Avoided Costs'!$B$14:$B$47&lt;$B166+ROUND($O166,0)))))+_xlfn.XLOOKUP($B166,'2027 Avoided Costs'!$B$13:$B$47,'2027 Avoided Costs'!$M$13:$M$47))*IF($AK166&lt;0,$AK166*(-1),0),0)</f>
        <v>0</v>
      </c>
      <c r="BB166" s="291" cm="1">
        <f t="array" ref="BB166">IFERROR((IF($O166=1,0,NPV('2027 Avoided Costs'!$D$6,_xlfn._xlws.FILTER('2027 Avoided Costs'!$S$14:$S$47,('2027 Avoided Costs'!$B$14:$B$47&gt;=$B166+1)*('2027 Avoided Costs'!$B$14:$B$47&lt;$B166+ROUND($O166,0)))))+_xlfn.XLOOKUP($B166,'2027 Avoided Costs'!$B$13:$B$47,'2027 Avoided Costs'!$S$13:$S$47))*IF($AI166&lt;0,$AI166*(-1),0),0)</f>
        <v>0</v>
      </c>
      <c r="BC166" s="291" cm="1">
        <f t="array" ref="BC166">IFERROR((IF($O166=1,0,NPV('2027 Avoided Costs'!$D$6,_xlfn._xlws.FILTER('2027 Avoided Costs'!$Y$14:$Y$47,('2027 Avoided Costs'!$B$14:$B$47&gt;=$B166+1)*('2027 Avoided Costs'!$B$14:$B$47&lt;$B166+ROUND($O166,0)))))+_xlfn.XLOOKUP($B166,'2027 Avoided Costs'!$B$13:$B$47,'2027 Avoided Costs'!$Y$13:$Y$47))*IF($AM166&lt;0,$AM166*(-1),0),0)</f>
        <v>0</v>
      </c>
      <c r="BD166" s="291" cm="1">
        <f t="array" ref="BD166">IFERROR((IF($O166=1,0,NPV('2027 Avoided Costs'!$D$6,_xlfn._xlws.FILTER('2027 Avoided Costs'!$AE$14:$AE$47,('2027 Avoided Costs'!$B$14:$B$47&gt;=$B166+1)*('2027 Avoided Costs'!$B$14:$B$47&lt;$B166+ROUND($O166,0)))))+_xlfn.XLOOKUP($B166,'2027 Avoided Costs'!$B$13:$B$47,'2027 Avoided Costs'!$AE$13:$AE$47))*IF($AO166&lt;0,$AO166*(-1),0),0)</f>
        <v>0</v>
      </c>
      <c r="BE166" s="291" cm="1">
        <f t="array" ref="BE166">IFERROR((IF($O166=1,0,NPV('2027 Avoided Costs'!$D$4,_xlfn._xlws.FILTER('2027 Avoided Costs'!$I$14:$I$47,('2027 Avoided Costs'!$B$14:$B$47&gt;=$B166+1)*('2027 Avoided Costs'!$B$14:$B$47&lt;$B166+ROUND($O166,0)))))+_xlfn.XLOOKUP($B166,'2027 Avoided Costs'!$B$13:$B$47,'2027 Avoided Costs'!$I$13:$I$47))*IF($X166="Residential",'2027 Avoided Costs'!$J$5,IF($X166="Large Volume",'2027 Avoided Costs'!$J$7,'2027 Avoided Costs'!$J$6))*IF($AE166&lt;0,$AE166*(-1),0),0)</f>
        <v>0</v>
      </c>
      <c r="BF166" s="291">
        <f t="shared" si="58"/>
        <v>400432.11280830367</v>
      </c>
      <c r="BG166" s="291">
        <f t="shared" si="59"/>
        <v>874598.40000000002</v>
      </c>
      <c r="BH166" s="291">
        <f t="shared" si="60"/>
        <v>-474166.28719169635</v>
      </c>
      <c r="BI166" s="292">
        <f t="shared" si="83"/>
        <v>0.45784683897009604</v>
      </c>
      <c r="BJ166" s="196" cm="1">
        <f t="array" ref="BJ166">IFERROR(IF($J166="Baseload",IF($O166=1,0,NPV('2027 Avoided Costs'!$D$6,_xlfn._xlws.FILTER('2027 Avoided Costs'!$C$14:$C$47,('2027 Avoided Costs'!$B$14:$B$47&gt;=$B166+1)*('2027 Avoided Costs'!$B$14:$B$47&lt;$B166+ROUND($O166,0)))))+_xlfn.XLOOKUP($B166,'2027 Avoided Costs'!$B$13:$B$47,'2027 Avoided Costs'!$C$13:$C$47),IF($O166=1,0,NPV('2027 Avoided Costs'!$D$6,_xlfn._xlws.FILTER('2027 Avoided Costs'!$E$14:$E$47,('2027 Avoided Costs'!$B$14:$B$47&gt;=$B166+1)*('2027 Avoided Costs'!$B$14:$B$47&lt;$B166+ROUND($O166,0)))))+_xlfn.XLOOKUP($B166,'2027 Avoided Costs'!$B$13:$B$47,'2027 Avoided Costs'!$E$13:$E$47))*IF($AE166&gt;0,$AE166*(1+0),0),0)</f>
        <v>348201.83722461195</v>
      </c>
      <c r="BK166" s="293">
        <f t="shared" si="81"/>
        <v>2.774568745714268</v>
      </c>
    </row>
    <row r="167" spans="1:63" s="56" customFormat="1" x14ac:dyDescent="0.25">
      <c r="A167" s="270" t="s">
        <v>133</v>
      </c>
      <c r="B167" s="271">
        <v>2028</v>
      </c>
      <c r="C167" s="272" t="s">
        <v>13</v>
      </c>
      <c r="D167" s="272" t="s">
        <v>163</v>
      </c>
      <c r="E167" s="272" t="s">
        <v>99</v>
      </c>
      <c r="F167" s="273">
        <v>712</v>
      </c>
      <c r="G167" s="274">
        <v>891.07807807807808</v>
      </c>
      <c r="H167" s="275">
        <f t="shared" si="61"/>
        <v>0.37943130081153542</v>
      </c>
      <c r="I167" s="274">
        <v>200</v>
      </c>
      <c r="J167" s="276" t="s">
        <v>264</v>
      </c>
      <c r="K167" s="277">
        <f t="shared" si="57"/>
        <v>0.5</v>
      </c>
      <c r="L167" s="278">
        <v>0.5</v>
      </c>
      <c r="M167" s="278">
        <v>0</v>
      </c>
      <c r="N167" s="278">
        <v>1</v>
      </c>
      <c r="O167" s="279">
        <v>10</v>
      </c>
      <c r="P167" s="280">
        <v>2348.4569569569567</v>
      </c>
      <c r="Q167" s="281">
        <v>474.00900900900899</v>
      </c>
      <c r="R167" s="282">
        <v>0.28885576970353827</v>
      </c>
      <c r="S167" s="282">
        <v>8.5318622263447053E-2</v>
      </c>
      <c r="T167" s="281">
        <v>0</v>
      </c>
      <c r="U167" s="283">
        <v>0.67</v>
      </c>
      <c r="V167" s="284">
        <v>1782.1561561561562</v>
      </c>
      <c r="W167" s="285">
        <v>0.15</v>
      </c>
      <c r="X167" s="286" t="s">
        <v>255</v>
      </c>
      <c r="Y167" s="287">
        <f t="shared" si="62"/>
        <v>712</v>
      </c>
      <c r="Z167" s="288">
        <f t="shared" si="63"/>
        <v>634447.5915915916</v>
      </c>
      <c r="AA167" s="288">
        <f t="shared" si="64"/>
        <v>142400</v>
      </c>
      <c r="AB167" s="288">
        <f t="shared" si="65"/>
        <v>647136.54342342343</v>
      </c>
      <c r="AC167" s="288">
        <f t="shared" si="82"/>
        <v>144849.28000000003</v>
      </c>
      <c r="AD167" s="287">
        <f t="shared" si="66"/>
        <v>1672101.3533533532</v>
      </c>
      <c r="AE167" s="287">
        <f t="shared" si="67"/>
        <v>836050.67667667661</v>
      </c>
      <c r="AF167" s="287">
        <f t="shared" si="68"/>
        <v>16721013.533533532</v>
      </c>
      <c r="AG167" s="287">
        <f t="shared" si="69"/>
        <v>8360506.7667667661</v>
      </c>
      <c r="AH167" s="287">
        <f t="shared" si="70"/>
        <v>361794.01225225226</v>
      </c>
      <c r="AI167" s="287">
        <f t="shared" si="71"/>
        <v>180897.00612612613</v>
      </c>
      <c r="AJ167" s="287">
        <f t="shared" si="72"/>
        <v>0</v>
      </c>
      <c r="AK167" s="287">
        <f t="shared" si="73"/>
        <v>0</v>
      </c>
      <c r="AL167" s="287">
        <f t="shared" si="74"/>
        <v>220.47321020700144</v>
      </c>
      <c r="AM167" s="287">
        <f t="shared" si="75"/>
        <v>110.23660510350072</v>
      </c>
      <c r="AN167" s="287">
        <f t="shared" si="76"/>
        <v>65.120632903287657</v>
      </c>
      <c r="AO167" s="287">
        <f t="shared" si="77"/>
        <v>32.560316451643828</v>
      </c>
      <c r="AP167" s="287">
        <f t="shared" si="78"/>
        <v>1268895.1831831832</v>
      </c>
      <c r="AQ167" s="287">
        <f t="shared" si="79"/>
        <v>634447.5915915916</v>
      </c>
      <c r="AR167" s="287">
        <f t="shared" si="80"/>
        <v>560153.95337337337</v>
      </c>
      <c r="AS167" s="289" t="e">
        <f>IF(J167='2027 Avoided Costs'!#REF!,3,5)</f>
        <v>#REF!</v>
      </c>
      <c r="AT167" s="290" cm="1">
        <f t="array" ref="AT167">IFERROR(IF($J167="Baseload",IF($O167=1,0,NPV('2027 Avoided Costs'!$D$6,_xlfn._xlws.FILTER('2027 Avoided Costs'!$C$14:$C$47,('2027 Avoided Costs'!$B$14:$B$47&gt;=$B167+1)*('2027 Avoided Costs'!$B$14:$B$47&lt;$B167+ROUND($O167,0)))))+_xlfn.XLOOKUP($B167,'2027 Avoided Costs'!$B$13:$B$47,'2027 Avoided Costs'!$C$13:$C$47),IF($O167=1,0,NPV('2027 Avoided Costs'!$D$6,_xlfn._xlws.FILTER('2027 Avoided Costs'!$E$14:$E$47,('2027 Avoided Costs'!$B$14:$B$47&gt;=$B167+1)*('2027 Avoided Costs'!$B$14:$B$47&lt;$B167+ROUND($O167,0)))))+_xlfn.XLOOKUP($B167,'2027 Avoided Costs'!$B$13:$B$47,'2027 Avoided Costs'!$E$13:$E$47))*IF($AE167&gt;0,$AE167*(1+$W167),0),0)</f>
        <v>2460321.0341316611</v>
      </c>
      <c r="AU167" s="290" cm="1">
        <f t="array" ref="AU167">IFERROR((IF($O167=1,0,NPV('2027 Avoided Costs'!$D$6,_xlfn._xlws.FILTER('2027 Avoided Costs'!$M$14:$M$47,('2027 Avoided Costs'!$B$14:$B$47&gt;=$B167+1)*('2027 Avoided Costs'!$B$14:$B$47&lt;$B167+ROUND($O167,0)))))+_xlfn.XLOOKUP($B167,'2027 Avoided Costs'!$B$13:$B$47,'2027 Avoided Costs'!$M$13:$M$47))*IF($AK167&gt;0,$AK167*(1+$W167),0),0)</f>
        <v>0</v>
      </c>
      <c r="AV167" s="291" cm="1">
        <f t="array" ref="AV167">IFERROR((IF($O167=1,0,NPV('2027 Avoided Costs'!$D$6,_xlfn._xlws.FILTER('2027 Avoided Costs'!$Q$14:$Q$47,('2027 Avoided Costs'!$B$14:$B$47&gt;=$B167+1)*('2027 Avoided Costs'!$B$14:$B$47&lt;$B167+ROUND($O167,0)))))+_xlfn.XLOOKUP($B167,'2027 Avoided Costs'!$B$13:$B$47,'2027 Avoided Costs'!$Q$13:$Q$47))*IF($AI167&gt;0,$AI167*(1+$W167),0),0)</f>
        <v>88550.798709918105</v>
      </c>
      <c r="AW167" s="291" cm="1">
        <f t="array" ref="AW167">IFERROR((IF($O167=1,0,NPV('2027 Avoided Costs'!$D$6,_xlfn._xlws.FILTER('2027 Avoided Costs'!$W$14:$W$47,('2027 Avoided Costs'!$B$14:$B$47&gt;=$B167+1)*('2027 Avoided Costs'!$B$14:$B$47&lt;$B167+ROUND($O167,0)))))+_xlfn.XLOOKUP($B167,'2027 Avoided Costs'!$B$13:$B$47,'2027 Avoided Costs'!$W$13:$W$47))*IF($AM167&gt;0,$AM167*(1+$W167),0),0)</f>
        <v>339942.62385257764</v>
      </c>
      <c r="AX167" s="291" cm="1">
        <f t="array" ref="AX167">IFERROR((IF($O167=1,0,NPV('2027 Avoided Costs'!$D$6,_xlfn._xlws.FILTER('2027 Avoided Costs'!$AC$14:$AC$47,('2027 Avoided Costs'!$B$14:$B$47&gt;=$B167+1)*('2027 Avoided Costs'!$B$14:$B$47&lt;$B167+ROUND($O167,0)))))+_xlfn.XLOOKUP($B167,'2027 Avoided Costs'!$B$13:$B$47,'2027 Avoided Costs'!$AC$13:$AC$47))*IF($AO167&gt;0,$AO167*(1+$W167),0),0)</f>
        <v>0</v>
      </c>
      <c r="AY167" s="291" cm="1">
        <f t="array" ref="AY167">IFERROR((IF($O167=1,0,NPV('2027 Avoided Costs'!$D$4,_xlfn._xlws.FILTER('2027 Avoided Costs'!$I$14:$I$47,('2027 Avoided Costs'!$B$14:$B$47&gt;=$B167+1)*('2027 Avoided Costs'!$B$14:$B$47&lt;$B167+ROUND($O167,0)))))+_xlfn.XLOOKUP($B167,'2027 Avoided Costs'!$B$13:$B$47,'2027 Avoided Costs'!$I$13:$I$47))*IF($X167="Residential",'2027 Avoided Costs'!$J$5,IF($X167="Large Volume",'2027 Avoided Costs'!$J$7,'2027 Avoided Costs'!$J$6))*IF($AE167&gt;0,$AE167,0),0)</f>
        <v>0</v>
      </c>
      <c r="AZ167" s="291" cm="1">
        <f t="array" ref="AZ167">IFERROR(IF($J167="Baseload",IF($O167=1,0,NPV('2027 Avoided Costs'!$D$6,_xlfn._xlws.FILTER('2027 Avoided Costs'!$C$14:$C$47,('2027 Avoided Costs'!$B$14:$B$47&gt;=$B167+1)*('2027 Avoided Costs'!$B$14:$B$47&lt;$B167+ROUND($O167,0)))))+_xlfn.XLOOKUP($B167,'2027 Avoided Costs'!$B$13:$B$47,'2027 Avoided Costs'!$C$13:$C$47),IF($O167=1,0,NPV('2027 Avoided Costs'!$D$6,_xlfn._xlws.FILTER('2027 Avoided Costs'!$E$14:$E$47,('2027 Avoided Costs'!$B$14:$B$47&gt;=$B167+1)*('2027 Avoided Costs'!$B$14:$B$47&lt;$B167+ROUND($O167,0)))))+_xlfn.XLOOKUP($B167,'2027 Avoided Costs'!$B$13:$B$47,'2027 Avoided Costs'!$E$13:$E$47))*IF($AE167&lt;0,$AE167*(-1),0),0)</f>
        <v>0</v>
      </c>
      <c r="BA167" s="291" cm="1">
        <f t="array" ref="BA167">IFERROR((IF($O167=1,0,NPV('2027 Avoided Costs'!$D$6,_xlfn._xlws.FILTER('2027 Avoided Costs'!$M$14:$M$47,('2027 Avoided Costs'!$B$14:$B$47&gt;=$B167+1)*('2027 Avoided Costs'!$B$14:$B$47&lt;$B167+ROUND($O167,0)))))+_xlfn.XLOOKUP($B167,'2027 Avoided Costs'!$B$13:$B$47,'2027 Avoided Costs'!$M$13:$M$47))*IF($AK167&lt;0,$AK167*(-1),0),0)</f>
        <v>0</v>
      </c>
      <c r="BB167" s="291" cm="1">
        <f t="array" ref="BB167">IFERROR((IF($O167=1,0,NPV('2027 Avoided Costs'!$D$6,_xlfn._xlws.FILTER('2027 Avoided Costs'!$S$14:$S$47,('2027 Avoided Costs'!$B$14:$B$47&gt;=$B167+1)*('2027 Avoided Costs'!$B$14:$B$47&lt;$B167+ROUND($O167,0)))))+_xlfn.XLOOKUP($B167,'2027 Avoided Costs'!$B$13:$B$47,'2027 Avoided Costs'!$S$13:$S$47))*IF($AI167&lt;0,$AI167*(-1),0),0)</f>
        <v>0</v>
      </c>
      <c r="BC167" s="291" cm="1">
        <f t="array" ref="BC167">IFERROR((IF($O167=1,0,NPV('2027 Avoided Costs'!$D$6,_xlfn._xlws.FILTER('2027 Avoided Costs'!$Y$14:$Y$47,('2027 Avoided Costs'!$B$14:$B$47&gt;=$B167+1)*('2027 Avoided Costs'!$B$14:$B$47&lt;$B167+ROUND($O167,0)))))+_xlfn.XLOOKUP($B167,'2027 Avoided Costs'!$B$13:$B$47,'2027 Avoided Costs'!$Y$13:$Y$47))*IF($AM167&lt;0,$AM167*(-1),0),0)</f>
        <v>0</v>
      </c>
      <c r="BD167" s="291" cm="1">
        <f t="array" ref="BD167">IFERROR((IF($O167=1,0,NPV('2027 Avoided Costs'!$D$6,_xlfn._xlws.FILTER('2027 Avoided Costs'!$AE$14:$AE$47,('2027 Avoided Costs'!$B$14:$B$47&gt;=$B167+1)*('2027 Avoided Costs'!$B$14:$B$47&lt;$B167+ROUND($O167,0)))))+_xlfn.XLOOKUP($B167,'2027 Avoided Costs'!$B$13:$B$47,'2027 Avoided Costs'!$AE$13:$AE$47))*IF($AO167&lt;0,$AO167*(-1),0),0)</f>
        <v>0</v>
      </c>
      <c r="BE167" s="291" cm="1">
        <f t="array" ref="BE167">IFERROR((IF($O167=1,0,NPV('2027 Avoided Costs'!$D$4,_xlfn._xlws.FILTER('2027 Avoided Costs'!$I$14:$I$47,('2027 Avoided Costs'!$B$14:$B$47&gt;=$B167+1)*('2027 Avoided Costs'!$B$14:$B$47&lt;$B167+ROUND($O167,0)))))+_xlfn.XLOOKUP($B167,'2027 Avoided Costs'!$B$13:$B$47,'2027 Avoided Costs'!$I$13:$I$47))*IF($X167="Residential",'2027 Avoided Costs'!$J$5,IF($X167="Large Volume",'2027 Avoided Costs'!$J$7,'2027 Avoided Costs'!$J$6))*IF($AE167&lt;0,$AE167*(-1),0),0)</f>
        <v>0</v>
      </c>
      <c r="BF167" s="291">
        <f t="shared" si="58"/>
        <v>2888814.4566941569</v>
      </c>
      <c r="BG167" s="291">
        <f t="shared" si="59"/>
        <v>634447.5915915916</v>
      </c>
      <c r="BH167" s="291">
        <f t="shared" si="60"/>
        <v>2254366.8651025654</v>
      </c>
      <c r="BI167" s="292">
        <f t="shared" si="83"/>
        <v>4.5532751561830382</v>
      </c>
      <c r="BJ167" s="196" cm="1">
        <f t="array" ref="BJ167">IFERROR(IF($J167="Baseload",IF($O167=1,0,NPV('2027 Avoided Costs'!$D$6,_xlfn._xlws.FILTER('2027 Avoided Costs'!$C$14:$C$47,('2027 Avoided Costs'!$B$14:$B$47&gt;=$B167+1)*('2027 Avoided Costs'!$B$14:$B$47&lt;$B167+ROUND($O167,0)))))+_xlfn.XLOOKUP($B167,'2027 Avoided Costs'!$B$13:$B$47,'2027 Avoided Costs'!$C$13:$C$47),IF($O167=1,0,NPV('2027 Avoided Costs'!$D$6,_xlfn._xlws.FILTER('2027 Avoided Costs'!$E$14:$E$47,('2027 Avoided Costs'!$B$14:$B$47&gt;=$B167+1)*('2027 Avoided Costs'!$B$14:$B$47&lt;$B167+ROUND($O167,0)))))+_xlfn.XLOOKUP($B167,'2027 Avoided Costs'!$B$13:$B$47,'2027 Avoided Costs'!$E$13:$E$47))*IF($AE167&gt;0,$AE167*(1+0),0),0)</f>
        <v>2139409.594897097</v>
      </c>
      <c r="BK167" s="293">
        <f t="shared" si="81"/>
        <v>2.7013230939530257</v>
      </c>
    </row>
    <row r="168" spans="1:63" s="56" customFormat="1" x14ac:dyDescent="0.25">
      <c r="A168" s="270" t="s">
        <v>133</v>
      </c>
      <c r="B168" s="271">
        <v>2028</v>
      </c>
      <c r="C168" s="272" t="s">
        <v>13</v>
      </c>
      <c r="D168" s="272" t="s">
        <v>163</v>
      </c>
      <c r="E168" s="272" t="s">
        <v>100</v>
      </c>
      <c r="F168" s="273">
        <v>931</v>
      </c>
      <c r="G168" s="274">
        <v>2053.3769115442283</v>
      </c>
      <c r="H168" s="275">
        <f t="shared" si="61"/>
        <v>1</v>
      </c>
      <c r="I168" s="274">
        <v>200</v>
      </c>
      <c r="J168" s="276" t="s">
        <v>264</v>
      </c>
      <c r="K168" s="277">
        <f t="shared" si="57"/>
        <v>0.30000000000000038</v>
      </c>
      <c r="L168" s="278">
        <v>0.69999999999999962</v>
      </c>
      <c r="M168" s="278">
        <v>0</v>
      </c>
      <c r="N168" s="278">
        <v>0.99550000000000005</v>
      </c>
      <c r="O168" s="279">
        <v>14</v>
      </c>
      <c r="P168" s="280">
        <v>2053.3769115442283</v>
      </c>
      <c r="Q168" s="281">
        <v>-2547.3565331431073</v>
      </c>
      <c r="R168" s="282">
        <v>-1.552330479179572</v>
      </c>
      <c r="S168" s="282">
        <v>-0.45850805721169346</v>
      </c>
      <c r="T168" s="281">
        <v>0</v>
      </c>
      <c r="U168" s="283">
        <v>0.65000000000000013</v>
      </c>
      <c r="V168" s="284">
        <v>8546.3058323765781</v>
      </c>
      <c r="W168" s="285">
        <v>0.15</v>
      </c>
      <c r="X168" s="286" t="s">
        <v>255</v>
      </c>
      <c r="Y168" s="287">
        <f t="shared" si="62"/>
        <v>931</v>
      </c>
      <c r="Z168" s="288">
        <f t="shared" si="63"/>
        <v>1911693.9046476765</v>
      </c>
      <c r="AA168" s="288">
        <f t="shared" si="64"/>
        <v>186200</v>
      </c>
      <c r="AB168" s="288">
        <f t="shared" si="65"/>
        <v>1949927.78274063</v>
      </c>
      <c r="AC168" s="288">
        <f t="shared" si="82"/>
        <v>189402.64</v>
      </c>
      <c r="AD168" s="287">
        <f t="shared" si="66"/>
        <v>1903091.2820767621</v>
      </c>
      <c r="AE168" s="287">
        <f t="shared" si="67"/>
        <v>570927.38462302939</v>
      </c>
      <c r="AF168" s="287">
        <f t="shared" si="68"/>
        <v>26643277.949074671</v>
      </c>
      <c r="AG168" s="287">
        <f t="shared" si="69"/>
        <v>7992983.3847224116</v>
      </c>
      <c r="AH168" s="287">
        <f t="shared" si="70"/>
        <v>-2530902.7904761955</v>
      </c>
      <c r="AI168" s="287">
        <f t="shared" si="71"/>
        <v>-759270.83714285959</v>
      </c>
      <c r="AJ168" s="287">
        <f t="shared" si="72"/>
        <v>0</v>
      </c>
      <c r="AK168" s="287">
        <f t="shared" si="73"/>
        <v>0</v>
      </c>
      <c r="AL168" s="287">
        <f t="shared" si="74"/>
        <v>-1542.3037530789622</v>
      </c>
      <c r="AM168" s="287">
        <f t="shared" si="75"/>
        <v>-462.69112592368924</v>
      </c>
      <c r="AN168" s="287">
        <f t="shared" si="76"/>
        <v>-455.54648764500297</v>
      </c>
      <c r="AO168" s="287">
        <f t="shared" si="77"/>
        <v>-136.66394629350106</v>
      </c>
      <c r="AP168" s="287">
        <f t="shared" si="78"/>
        <v>7956610.7299425947</v>
      </c>
      <c r="AQ168" s="287">
        <f t="shared" si="79"/>
        <v>2386983.2189827813</v>
      </c>
      <c r="AR168" s="287">
        <f t="shared" si="80"/>
        <v>371102.80000496918</v>
      </c>
      <c r="AS168" s="289" t="e">
        <f>IF(J168='2027 Avoided Costs'!#REF!,3,5)</f>
        <v>#REF!</v>
      </c>
      <c r="AT168" s="290" cm="1">
        <f t="array" ref="AT168">IFERROR(IF($J168="Baseload",IF($O168=1,0,NPV('2027 Avoided Costs'!$D$6,_xlfn._xlws.FILTER('2027 Avoided Costs'!$C$14:$C$47,('2027 Avoided Costs'!$B$14:$B$47&gt;=$B168+1)*('2027 Avoided Costs'!$B$14:$B$47&lt;$B168+ROUND($O168,0)))))+_xlfn.XLOOKUP($B168,'2027 Avoided Costs'!$B$13:$B$47,'2027 Avoided Costs'!$C$13:$C$47),IF($O168=1,0,NPV('2027 Avoided Costs'!$D$6,_xlfn._xlws.FILTER('2027 Avoided Costs'!$E$14:$E$47,('2027 Avoided Costs'!$B$14:$B$47&gt;=$B168+1)*('2027 Avoided Costs'!$B$14:$B$47&lt;$B168+ROUND($O168,0)))))+_xlfn.XLOOKUP($B168,'2027 Avoided Costs'!$B$13:$B$47,'2027 Avoided Costs'!$E$13:$E$47))*IF($AE168&gt;0,$AE168*(1+$W168),0),0)</f>
        <v>2216920.6631267006</v>
      </c>
      <c r="AU168" s="290" cm="1">
        <f t="array" ref="AU168">IFERROR((IF($O168=1,0,NPV('2027 Avoided Costs'!$D$6,_xlfn._xlws.FILTER('2027 Avoided Costs'!$M$14:$M$47,('2027 Avoided Costs'!$B$14:$B$47&gt;=$B168+1)*('2027 Avoided Costs'!$B$14:$B$47&lt;$B168+ROUND($O168,0)))))+_xlfn.XLOOKUP($B168,'2027 Avoided Costs'!$B$13:$B$47,'2027 Avoided Costs'!$M$13:$M$47))*IF($AK168&gt;0,$AK168*(1+$W168),0),0)</f>
        <v>0</v>
      </c>
      <c r="AV168" s="291" cm="1">
        <f t="array" ref="AV168">IFERROR((IF($O168=1,0,NPV('2027 Avoided Costs'!$D$6,_xlfn._xlws.FILTER('2027 Avoided Costs'!$Q$14:$Q$47,('2027 Avoided Costs'!$B$14:$B$47&gt;=$B168+1)*('2027 Avoided Costs'!$B$14:$B$47&lt;$B168+ROUND($O168,0)))))+_xlfn.XLOOKUP($B168,'2027 Avoided Costs'!$B$13:$B$47,'2027 Avoided Costs'!$Q$13:$Q$47))*IF($AI168&gt;0,$AI168*(1+$W168),0),0)</f>
        <v>0</v>
      </c>
      <c r="AW168" s="291" cm="1">
        <f t="array" ref="AW168">IFERROR((IF($O168=1,0,NPV('2027 Avoided Costs'!$D$6,_xlfn._xlws.FILTER('2027 Avoided Costs'!$W$14:$W$47,('2027 Avoided Costs'!$B$14:$B$47&gt;=$B168+1)*('2027 Avoided Costs'!$B$14:$B$47&lt;$B168+ROUND($O168,0)))))+_xlfn.XLOOKUP($B168,'2027 Avoided Costs'!$B$13:$B$47,'2027 Avoided Costs'!$W$13:$W$47))*IF($AM168&gt;0,$AM168*(1+$W168),0),0)</f>
        <v>0</v>
      </c>
      <c r="AX168" s="291" cm="1">
        <f t="array" ref="AX168">IFERROR((IF($O168=1,0,NPV('2027 Avoided Costs'!$D$6,_xlfn._xlws.FILTER('2027 Avoided Costs'!$AC$14:$AC$47,('2027 Avoided Costs'!$B$14:$B$47&gt;=$B168+1)*('2027 Avoided Costs'!$B$14:$B$47&lt;$B168+ROUND($O168,0)))))+_xlfn.XLOOKUP($B168,'2027 Avoided Costs'!$B$13:$B$47,'2027 Avoided Costs'!$AC$13:$AC$47))*IF($AO168&gt;0,$AO168*(1+$W168),0),0)</f>
        <v>0</v>
      </c>
      <c r="AY168" s="291" cm="1">
        <f t="array" ref="AY168">IFERROR((IF($O168=1,0,NPV('2027 Avoided Costs'!$D$4,_xlfn._xlws.FILTER('2027 Avoided Costs'!$I$14:$I$47,('2027 Avoided Costs'!$B$14:$B$47&gt;=$B168+1)*('2027 Avoided Costs'!$B$14:$B$47&lt;$B168+ROUND($O168,0)))))+_xlfn.XLOOKUP($B168,'2027 Avoided Costs'!$B$13:$B$47,'2027 Avoided Costs'!$I$13:$I$47))*IF($X168="Residential",'2027 Avoided Costs'!$J$5,IF($X168="Large Volume",'2027 Avoided Costs'!$J$7,'2027 Avoided Costs'!$J$6))*IF($AE168&gt;0,$AE168,0),0)</f>
        <v>0</v>
      </c>
      <c r="AZ168" s="291" cm="1">
        <f t="array" ref="AZ168">IFERROR(IF($J168="Baseload",IF($O168=1,0,NPV('2027 Avoided Costs'!$D$6,_xlfn._xlws.FILTER('2027 Avoided Costs'!$C$14:$C$47,('2027 Avoided Costs'!$B$14:$B$47&gt;=$B168+1)*('2027 Avoided Costs'!$B$14:$B$47&lt;$B168+ROUND($O168,0)))))+_xlfn.XLOOKUP($B168,'2027 Avoided Costs'!$B$13:$B$47,'2027 Avoided Costs'!$C$13:$C$47),IF($O168=1,0,NPV('2027 Avoided Costs'!$D$6,_xlfn._xlws.FILTER('2027 Avoided Costs'!$E$14:$E$47,('2027 Avoided Costs'!$B$14:$B$47&gt;=$B168+1)*('2027 Avoided Costs'!$B$14:$B$47&lt;$B168+ROUND($O168,0)))))+_xlfn.XLOOKUP($B168,'2027 Avoided Costs'!$B$13:$B$47,'2027 Avoided Costs'!$E$13:$E$47))*IF($AE168&lt;0,$AE168*(-1),0),0)</f>
        <v>0</v>
      </c>
      <c r="BA168" s="291" cm="1">
        <f t="array" ref="BA168">IFERROR((IF($O168=1,0,NPV('2027 Avoided Costs'!$D$6,_xlfn._xlws.FILTER('2027 Avoided Costs'!$M$14:$M$47,('2027 Avoided Costs'!$B$14:$B$47&gt;=$B168+1)*('2027 Avoided Costs'!$B$14:$B$47&lt;$B168+ROUND($O168,0)))))+_xlfn.XLOOKUP($B168,'2027 Avoided Costs'!$B$13:$B$47,'2027 Avoided Costs'!$M$13:$M$47))*IF($AK168&lt;0,$AK168*(-1),0),0)</f>
        <v>0</v>
      </c>
      <c r="BB168" s="291" cm="1">
        <f t="array" ref="BB168">IFERROR((IF($O168=1,0,NPV('2027 Avoided Costs'!$D$6,_xlfn._xlws.FILTER('2027 Avoided Costs'!$S$14:$S$47,('2027 Avoided Costs'!$B$14:$B$47&gt;=$B168+1)*('2027 Avoided Costs'!$B$14:$B$47&lt;$B168+ROUND($O168,0)))))+_xlfn.XLOOKUP($B168,'2027 Avoided Costs'!$B$13:$B$47,'2027 Avoided Costs'!$S$13:$S$47))*IF($AI168&lt;0,$AI168*(-1),0),0)</f>
        <v>410158.13301520591</v>
      </c>
      <c r="BC168" s="291" cm="1">
        <f t="array" ref="BC168">IFERROR((IF($O168=1,0,NPV('2027 Avoided Costs'!$D$6,_xlfn._xlws.FILTER('2027 Avoided Costs'!$Y$14:$Y$47,('2027 Avoided Costs'!$B$14:$B$47&gt;=$B168+1)*('2027 Avoided Costs'!$B$14:$B$47&lt;$B168+ROUND($O168,0)))))+_xlfn.XLOOKUP($B168,'2027 Avoided Costs'!$B$13:$B$47,'2027 Avoided Costs'!$Y$13:$Y$47))*IF($AM168&lt;0,$AM168*(-1),0),0)</f>
        <v>1550591.9432480137</v>
      </c>
      <c r="BD168" s="291" cm="1">
        <f t="array" ref="BD168">IFERROR((IF($O168=1,0,NPV('2027 Avoided Costs'!$D$6,_xlfn._xlws.FILTER('2027 Avoided Costs'!$AE$14:$AE$47,('2027 Avoided Costs'!$B$14:$B$47&gt;=$B168+1)*('2027 Avoided Costs'!$B$14:$B$47&lt;$B168+ROUND($O168,0)))))+_xlfn.XLOOKUP($B168,'2027 Avoided Costs'!$B$13:$B$47,'2027 Avoided Costs'!$AE$13:$AE$47))*IF($AO168&lt;0,$AO168*(-1),0),0)</f>
        <v>30781.217726087245</v>
      </c>
      <c r="BE168" s="291" cm="1">
        <f t="array" ref="BE168">IFERROR((IF($O168=1,0,NPV('2027 Avoided Costs'!$D$4,_xlfn._xlws.FILTER('2027 Avoided Costs'!$I$14:$I$47,('2027 Avoided Costs'!$B$14:$B$47&gt;=$B168+1)*('2027 Avoided Costs'!$B$14:$B$47&lt;$B168+ROUND($O168,0)))))+_xlfn.XLOOKUP($B168,'2027 Avoided Costs'!$B$13:$B$47,'2027 Avoided Costs'!$I$13:$I$47))*IF($X168="Residential",'2027 Avoided Costs'!$J$5,IF($X168="Large Volume",'2027 Avoided Costs'!$J$7,'2027 Avoided Costs'!$J$6))*IF($AE168&lt;0,$AE168*(-1),0),0)</f>
        <v>0</v>
      </c>
      <c r="BF168" s="291">
        <f t="shared" si="58"/>
        <v>2216920.6631267006</v>
      </c>
      <c r="BG168" s="291">
        <f t="shared" si="59"/>
        <v>4378514.5129720885</v>
      </c>
      <c r="BH168" s="291">
        <f t="shared" si="60"/>
        <v>-2161593.849845388</v>
      </c>
      <c r="BI168" s="292">
        <f t="shared" si="83"/>
        <v>0.5063179890254329</v>
      </c>
      <c r="BJ168" s="196" cm="1">
        <f t="array" ref="BJ168">IFERROR(IF($J168="Baseload",IF($O168=1,0,NPV('2027 Avoided Costs'!$D$6,_xlfn._xlws.FILTER('2027 Avoided Costs'!$C$14:$C$47,('2027 Avoided Costs'!$B$14:$B$47&gt;=$B168+1)*('2027 Avoided Costs'!$B$14:$B$47&lt;$B168+ROUND($O168,0)))))+_xlfn.XLOOKUP($B168,'2027 Avoided Costs'!$B$13:$B$47,'2027 Avoided Costs'!$C$13:$C$47),IF($O168=1,0,NPV('2027 Avoided Costs'!$D$6,_xlfn._xlws.FILTER('2027 Avoided Costs'!$E$14:$E$47,('2027 Avoided Costs'!$B$14:$B$47&gt;=$B168+1)*('2027 Avoided Costs'!$B$14:$B$47&lt;$B168+ROUND($O168,0)))))+_xlfn.XLOOKUP($B168,'2027 Avoided Costs'!$B$13:$B$47,'2027 Avoided Costs'!$E$13:$E$47))*IF($AE168&gt;0,$AE168*(1+0),0),0)</f>
        <v>1927757.098371044</v>
      </c>
      <c r="BK168" s="293">
        <f t="shared" si="81"/>
        <v>0.9011030170371972</v>
      </c>
    </row>
    <row r="169" spans="1:63" s="56" customFormat="1" x14ac:dyDescent="0.25">
      <c r="A169" s="270" t="s">
        <v>133</v>
      </c>
      <c r="B169" s="271">
        <v>2028</v>
      </c>
      <c r="C169" s="272" t="s">
        <v>13</v>
      </c>
      <c r="D169" s="272" t="s">
        <v>163</v>
      </c>
      <c r="E169" s="272" t="s">
        <v>101</v>
      </c>
      <c r="F169" s="273">
        <v>57</v>
      </c>
      <c r="G169" s="274">
        <v>2501.3597058823534</v>
      </c>
      <c r="H169" s="275">
        <f t="shared" si="61"/>
        <v>1</v>
      </c>
      <c r="I169" s="274">
        <v>200</v>
      </c>
      <c r="J169" s="276" t="s">
        <v>264</v>
      </c>
      <c r="K169" s="277">
        <f t="shared" si="57"/>
        <v>0.95</v>
      </c>
      <c r="L169" s="278">
        <v>5.0000000000000024E-2</v>
      </c>
      <c r="M169" s="278">
        <v>0</v>
      </c>
      <c r="N169" s="278">
        <v>1</v>
      </c>
      <c r="O169" s="279">
        <v>14</v>
      </c>
      <c r="P169" s="280">
        <v>2501.3597058823534</v>
      </c>
      <c r="Q169" s="281">
        <v>-7596.6015094339637</v>
      </c>
      <c r="R169" s="282">
        <v>-4.6292836938398843</v>
      </c>
      <c r="S169" s="282">
        <v>-1.3673402031416024</v>
      </c>
      <c r="T169" s="281">
        <v>0</v>
      </c>
      <c r="U169" s="283">
        <v>0.71</v>
      </c>
      <c r="V169" s="284">
        <v>8070.7253773584898</v>
      </c>
      <c r="W169" s="285">
        <v>0.15</v>
      </c>
      <c r="X169" s="286" t="s">
        <v>255</v>
      </c>
      <c r="Y169" s="287">
        <f t="shared" si="62"/>
        <v>57</v>
      </c>
      <c r="Z169" s="288">
        <f t="shared" si="63"/>
        <v>142577.50323529413</v>
      </c>
      <c r="AA169" s="288">
        <f t="shared" si="64"/>
        <v>11400</v>
      </c>
      <c r="AB169" s="288">
        <f t="shared" si="65"/>
        <v>145429.05330000003</v>
      </c>
      <c r="AC169" s="288">
        <f t="shared" si="82"/>
        <v>11596.080000000002</v>
      </c>
      <c r="AD169" s="287">
        <f t="shared" si="66"/>
        <v>142577.50323529413</v>
      </c>
      <c r="AE169" s="287">
        <f t="shared" si="67"/>
        <v>135448.62807352943</v>
      </c>
      <c r="AF169" s="287">
        <f t="shared" si="68"/>
        <v>1996085.0452941179</v>
      </c>
      <c r="AG169" s="287">
        <f t="shared" si="69"/>
        <v>1896280.7930294119</v>
      </c>
      <c r="AH169" s="287">
        <f t="shared" si="70"/>
        <v>-464182.73863245297</v>
      </c>
      <c r="AI169" s="287">
        <f t="shared" si="71"/>
        <v>-440973.60170083027</v>
      </c>
      <c r="AJ169" s="287">
        <f t="shared" si="72"/>
        <v>0</v>
      </c>
      <c r="AK169" s="287">
        <f t="shared" si="73"/>
        <v>0</v>
      </c>
      <c r="AL169" s="287">
        <f t="shared" si="74"/>
        <v>-282.86775082839227</v>
      </c>
      <c r="AM169" s="287">
        <f t="shared" si="75"/>
        <v>-268.72436328697268</v>
      </c>
      <c r="AN169" s="287">
        <f t="shared" si="76"/>
        <v>-83.549955772764477</v>
      </c>
      <c r="AO169" s="287">
        <f t="shared" si="77"/>
        <v>-79.372457984126243</v>
      </c>
      <c r="AP169" s="287">
        <f t="shared" si="78"/>
        <v>460031.34650943393</v>
      </c>
      <c r="AQ169" s="287">
        <f t="shared" si="79"/>
        <v>437029.77918396221</v>
      </c>
      <c r="AR169" s="287">
        <f t="shared" si="80"/>
        <v>96168.525932205885</v>
      </c>
      <c r="AS169" s="289" t="e">
        <f>IF(J169='2027 Avoided Costs'!#REF!,3,5)</f>
        <v>#REF!</v>
      </c>
      <c r="AT169" s="290" cm="1">
        <f t="array" ref="AT169">IFERROR(IF($J169="Baseload",IF($O169=1,0,NPV('2027 Avoided Costs'!$D$6,_xlfn._xlws.FILTER('2027 Avoided Costs'!$C$14:$C$47,('2027 Avoided Costs'!$B$14:$B$47&gt;=$B169+1)*('2027 Avoided Costs'!$B$14:$B$47&lt;$B169+ROUND($O169,0)))))+_xlfn.XLOOKUP($B169,'2027 Avoided Costs'!$B$13:$B$47,'2027 Avoided Costs'!$C$13:$C$47),IF($O169=1,0,NPV('2027 Avoided Costs'!$D$6,_xlfn._xlws.FILTER('2027 Avoided Costs'!$E$14:$E$47,('2027 Avoided Costs'!$B$14:$B$47&gt;=$B169+1)*('2027 Avoided Costs'!$B$14:$B$47&lt;$B169+ROUND($O169,0)))))+_xlfn.XLOOKUP($B169,'2027 Avoided Costs'!$B$13:$B$47,'2027 Avoided Costs'!$E$13:$E$47))*IF($AE169&gt;0,$AE169*(1+$W169),0),0)</f>
        <v>525949.30713761109</v>
      </c>
      <c r="AU169" s="290" cm="1">
        <f t="array" ref="AU169">IFERROR((IF($O169=1,0,NPV('2027 Avoided Costs'!$D$6,_xlfn._xlws.FILTER('2027 Avoided Costs'!$M$14:$M$47,('2027 Avoided Costs'!$B$14:$B$47&gt;=$B169+1)*('2027 Avoided Costs'!$B$14:$B$47&lt;$B169+ROUND($O169,0)))))+_xlfn.XLOOKUP($B169,'2027 Avoided Costs'!$B$13:$B$47,'2027 Avoided Costs'!$M$13:$M$47))*IF($AK169&gt;0,$AK169*(1+$W169),0),0)</f>
        <v>0</v>
      </c>
      <c r="AV169" s="291" cm="1">
        <f t="array" ref="AV169">IFERROR((IF($O169=1,0,NPV('2027 Avoided Costs'!$D$6,_xlfn._xlws.FILTER('2027 Avoided Costs'!$Q$14:$Q$47,('2027 Avoided Costs'!$B$14:$B$47&gt;=$B169+1)*('2027 Avoided Costs'!$B$14:$B$47&lt;$B169+ROUND($O169,0)))))+_xlfn.XLOOKUP($B169,'2027 Avoided Costs'!$B$13:$B$47,'2027 Avoided Costs'!$Q$13:$Q$47))*IF($AI169&gt;0,$AI169*(1+$W169),0),0)</f>
        <v>0</v>
      </c>
      <c r="AW169" s="291" cm="1">
        <f t="array" ref="AW169">IFERROR((IF($O169=1,0,NPV('2027 Avoided Costs'!$D$6,_xlfn._xlws.FILTER('2027 Avoided Costs'!$W$14:$W$47,('2027 Avoided Costs'!$B$14:$B$47&gt;=$B169+1)*('2027 Avoided Costs'!$B$14:$B$47&lt;$B169+ROUND($O169,0)))))+_xlfn.XLOOKUP($B169,'2027 Avoided Costs'!$B$13:$B$47,'2027 Avoided Costs'!$W$13:$W$47))*IF($AM169&gt;0,$AM169*(1+$W169),0),0)</f>
        <v>0</v>
      </c>
      <c r="AX169" s="291" cm="1">
        <f t="array" ref="AX169">IFERROR((IF($O169=1,0,NPV('2027 Avoided Costs'!$D$6,_xlfn._xlws.FILTER('2027 Avoided Costs'!$AC$14:$AC$47,('2027 Avoided Costs'!$B$14:$B$47&gt;=$B169+1)*('2027 Avoided Costs'!$B$14:$B$47&lt;$B169+ROUND($O169,0)))))+_xlfn.XLOOKUP($B169,'2027 Avoided Costs'!$B$13:$B$47,'2027 Avoided Costs'!$AC$13:$AC$47))*IF($AO169&gt;0,$AO169*(1+$W169),0),0)</f>
        <v>0</v>
      </c>
      <c r="AY169" s="291" cm="1">
        <f t="array" ref="AY169">IFERROR((IF($O169=1,0,NPV('2027 Avoided Costs'!$D$4,_xlfn._xlws.FILTER('2027 Avoided Costs'!$I$14:$I$47,('2027 Avoided Costs'!$B$14:$B$47&gt;=$B169+1)*('2027 Avoided Costs'!$B$14:$B$47&lt;$B169+ROUND($O169,0)))))+_xlfn.XLOOKUP($B169,'2027 Avoided Costs'!$B$13:$B$47,'2027 Avoided Costs'!$I$13:$I$47))*IF($X169="Residential",'2027 Avoided Costs'!$J$5,IF($X169="Large Volume",'2027 Avoided Costs'!$J$7,'2027 Avoided Costs'!$J$6))*IF($AE169&gt;0,$AE169,0),0)</f>
        <v>0</v>
      </c>
      <c r="AZ169" s="291" cm="1">
        <f t="array" ref="AZ169">IFERROR(IF($J169="Baseload",IF($O169=1,0,NPV('2027 Avoided Costs'!$D$6,_xlfn._xlws.FILTER('2027 Avoided Costs'!$C$14:$C$47,('2027 Avoided Costs'!$B$14:$B$47&gt;=$B169+1)*('2027 Avoided Costs'!$B$14:$B$47&lt;$B169+ROUND($O169,0)))))+_xlfn.XLOOKUP($B169,'2027 Avoided Costs'!$B$13:$B$47,'2027 Avoided Costs'!$C$13:$C$47),IF($O169=1,0,NPV('2027 Avoided Costs'!$D$6,_xlfn._xlws.FILTER('2027 Avoided Costs'!$E$14:$E$47,('2027 Avoided Costs'!$B$14:$B$47&gt;=$B169+1)*('2027 Avoided Costs'!$B$14:$B$47&lt;$B169+ROUND($O169,0)))))+_xlfn.XLOOKUP($B169,'2027 Avoided Costs'!$B$13:$B$47,'2027 Avoided Costs'!$E$13:$E$47))*IF($AE169&lt;0,$AE169*(-1),0),0)</f>
        <v>0</v>
      </c>
      <c r="BA169" s="291" cm="1">
        <f t="array" ref="BA169">IFERROR((IF($O169=1,0,NPV('2027 Avoided Costs'!$D$6,_xlfn._xlws.FILTER('2027 Avoided Costs'!$M$14:$M$47,('2027 Avoided Costs'!$B$14:$B$47&gt;=$B169+1)*('2027 Avoided Costs'!$B$14:$B$47&lt;$B169+ROUND($O169,0)))))+_xlfn.XLOOKUP($B169,'2027 Avoided Costs'!$B$13:$B$47,'2027 Avoided Costs'!$M$13:$M$47))*IF($AK169&lt;0,$AK169*(-1),0),0)</f>
        <v>0</v>
      </c>
      <c r="BB169" s="291" cm="1">
        <f t="array" ref="BB169">IFERROR((IF($O169=1,0,NPV('2027 Avoided Costs'!$D$6,_xlfn._xlws.FILTER('2027 Avoided Costs'!$S$14:$S$47,('2027 Avoided Costs'!$B$14:$B$47&gt;=$B169+1)*('2027 Avoided Costs'!$B$14:$B$47&lt;$B169+ROUND($O169,0)))))+_xlfn.XLOOKUP($B169,'2027 Avoided Costs'!$B$13:$B$47,'2027 Avoided Costs'!$S$13:$S$47))*IF($AI169&lt;0,$AI169*(-1),0),0)</f>
        <v>238213.95519840362</v>
      </c>
      <c r="BC169" s="291" cm="1">
        <f t="array" ref="BC169">IFERROR((IF($O169=1,0,NPV('2027 Avoided Costs'!$D$6,_xlfn._xlws.FILTER('2027 Avoided Costs'!$Y$14:$Y$47,('2027 Avoided Costs'!$B$14:$B$47&gt;=$B169+1)*('2027 Avoided Costs'!$B$14:$B$47&lt;$B169+ROUND($O169,0)))))+_xlfn.XLOOKUP($B169,'2027 Avoided Costs'!$B$13:$B$47,'2027 Avoided Costs'!$Y$13:$Y$47))*IF($AM169&lt;0,$AM169*(-1),0),0)</f>
        <v>900561.53948358784</v>
      </c>
      <c r="BD169" s="291" cm="1">
        <f t="array" ref="BD169">IFERROR((IF($O169=1,0,NPV('2027 Avoided Costs'!$D$6,_xlfn._xlws.FILTER('2027 Avoided Costs'!$AE$14:$AE$47,('2027 Avoided Costs'!$B$14:$B$47&gt;=$B169+1)*('2027 Avoided Costs'!$B$14:$B$47&lt;$B169+ROUND($O169,0)))))+_xlfn.XLOOKUP($B169,'2027 Avoided Costs'!$B$13:$B$47,'2027 Avoided Costs'!$AE$13:$AE$47))*IF($AO169&lt;0,$AO169*(-1),0),0)</f>
        <v>17877.289343138815</v>
      </c>
      <c r="BE169" s="291" cm="1">
        <f t="array" ref="BE169">IFERROR((IF($O169=1,0,NPV('2027 Avoided Costs'!$D$4,_xlfn._xlws.FILTER('2027 Avoided Costs'!$I$14:$I$47,('2027 Avoided Costs'!$B$14:$B$47&gt;=$B169+1)*('2027 Avoided Costs'!$B$14:$B$47&lt;$B169+ROUND($O169,0)))))+_xlfn.XLOOKUP($B169,'2027 Avoided Costs'!$B$13:$B$47,'2027 Avoided Costs'!$I$13:$I$47))*IF($X169="Residential",'2027 Avoided Costs'!$J$5,IF($X169="Large Volume",'2027 Avoided Costs'!$J$7,'2027 Avoided Costs'!$J$6))*IF($AE169&lt;0,$AE169*(-1),0),0)</f>
        <v>0</v>
      </c>
      <c r="BF169" s="291">
        <f t="shared" si="58"/>
        <v>525949.30713761109</v>
      </c>
      <c r="BG169" s="291">
        <f t="shared" si="59"/>
        <v>1593682.5632090925</v>
      </c>
      <c r="BH169" s="291">
        <f t="shared" si="60"/>
        <v>-1067733.2560714814</v>
      </c>
      <c r="BI169" s="292">
        <f t="shared" si="83"/>
        <v>0.3300213726870061</v>
      </c>
      <c r="BJ169" s="196" cm="1">
        <f t="array" ref="BJ169">IFERROR(IF($J169="Baseload",IF($O169=1,0,NPV('2027 Avoided Costs'!$D$6,_xlfn._xlws.FILTER('2027 Avoided Costs'!$C$14:$C$47,('2027 Avoided Costs'!$B$14:$B$47&gt;=$B169+1)*('2027 Avoided Costs'!$B$14:$B$47&lt;$B169+ROUND($O169,0)))))+_xlfn.XLOOKUP($B169,'2027 Avoided Costs'!$B$13:$B$47,'2027 Avoided Costs'!$C$13:$C$47),IF($O169=1,0,NPV('2027 Avoided Costs'!$D$6,_xlfn._xlws.FILTER('2027 Avoided Costs'!$E$14:$E$47,('2027 Avoided Costs'!$B$14:$B$47&gt;=$B169+1)*('2027 Avoided Costs'!$B$14:$B$47&lt;$B169+ROUND($O169,0)))))+_xlfn.XLOOKUP($B169,'2027 Avoided Costs'!$B$13:$B$47,'2027 Avoided Costs'!$E$13:$E$47))*IF($AE169&gt;0,$AE169*(1+0),0),0)</f>
        <v>457347.22359792271</v>
      </c>
      <c r="BK169" s="293">
        <f t="shared" si="81"/>
        <v>2.9125733822760118</v>
      </c>
    </row>
    <row r="170" spans="1:63" s="56" customFormat="1" x14ac:dyDescent="0.25">
      <c r="A170" s="270" t="s">
        <v>133</v>
      </c>
      <c r="B170" s="271">
        <v>2028</v>
      </c>
      <c r="C170" s="272" t="s">
        <v>13</v>
      </c>
      <c r="D170" s="272" t="s">
        <v>163</v>
      </c>
      <c r="E170" s="272" t="s">
        <v>301</v>
      </c>
      <c r="F170" s="273">
        <v>472</v>
      </c>
      <c r="G170" s="274">
        <v>776.48443175965679</v>
      </c>
      <c r="H170" s="275">
        <f t="shared" si="61"/>
        <v>1.27</v>
      </c>
      <c r="I170" s="274">
        <v>200</v>
      </c>
      <c r="J170" s="276" t="s">
        <v>263</v>
      </c>
      <c r="K170" s="277">
        <f t="shared" si="57"/>
        <v>0.98</v>
      </c>
      <c r="L170" s="278">
        <v>0.02</v>
      </c>
      <c r="M170" s="278">
        <v>0</v>
      </c>
      <c r="N170" s="278">
        <v>1</v>
      </c>
      <c r="O170" s="279">
        <v>15</v>
      </c>
      <c r="P170" s="280">
        <v>611.40506437768249</v>
      </c>
      <c r="Q170" s="281">
        <v>0</v>
      </c>
      <c r="R170" s="282">
        <v>0</v>
      </c>
      <c r="S170" s="282">
        <v>0</v>
      </c>
      <c r="T170" s="281">
        <v>0</v>
      </c>
      <c r="U170" s="283">
        <v>0.25</v>
      </c>
      <c r="V170" s="284">
        <v>3030</v>
      </c>
      <c r="W170" s="285">
        <v>0.15</v>
      </c>
      <c r="X170" s="286" t="s">
        <v>255</v>
      </c>
      <c r="Y170" s="287">
        <f t="shared" si="62"/>
        <v>472</v>
      </c>
      <c r="Z170" s="288">
        <f t="shared" si="63"/>
        <v>366500.65179055801</v>
      </c>
      <c r="AA170" s="288">
        <f t="shared" si="64"/>
        <v>94400</v>
      </c>
      <c r="AB170" s="288">
        <f t="shared" si="65"/>
        <v>373830.6648263692</v>
      </c>
      <c r="AC170" s="288">
        <f t="shared" si="82"/>
        <v>96023.680000000008</v>
      </c>
      <c r="AD170" s="287">
        <f t="shared" si="66"/>
        <v>288583.19038626616</v>
      </c>
      <c r="AE170" s="287">
        <f t="shared" si="67"/>
        <v>282811.52657854086</v>
      </c>
      <c r="AF170" s="287">
        <f t="shared" si="68"/>
        <v>4328747.8557939921</v>
      </c>
      <c r="AG170" s="287">
        <f t="shared" si="69"/>
        <v>4242172.8986781128</v>
      </c>
      <c r="AH170" s="287">
        <f t="shared" si="70"/>
        <v>0</v>
      </c>
      <c r="AI170" s="287">
        <f t="shared" si="71"/>
        <v>0</v>
      </c>
      <c r="AJ170" s="287">
        <f t="shared" si="72"/>
        <v>0</v>
      </c>
      <c r="AK170" s="287">
        <f t="shared" si="73"/>
        <v>0</v>
      </c>
      <c r="AL170" s="287">
        <f t="shared" si="74"/>
        <v>0</v>
      </c>
      <c r="AM170" s="287">
        <f t="shared" si="75"/>
        <v>0</v>
      </c>
      <c r="AN170" s="287">
        <f t="shared" si="76"/>
        <v>0</v>
      </c>
      <c r="AO170" s="287">
        <f t="shared" si="77"/>
        <v>0</v>
      </c>
      <c r="AP170" s="287">
        <f t="shared" si="78"/>
        <v>1430160</v>
      </c>
      <c r="AQ170" s="287">
        <f t="shared" si="79"/>
        <v>1401556.8</v>
      </c>
      <c r="AR170" s="287">
        <f t="shared" si="80"/>
        <v>70702.881644635214</v>
      </c>
      <c r="AS170" s="289" t="e">
        <f>IF(J170='2027 Avoided Costs'!#REF!,3,5)</f>
        <v>#REF!</v>
      </c>
      <c r="AT170" s="290" cm="1">
        <f t="array" ref="AT170">IFERROR(IF($J170="Baseload",IF($O170=1,0,NPV('2027 Avoided Costs'!$D$6,_xlfn._xlws.FILTER('2027 Avoided Costs'!$C$14:$C$47,('2027 Avoided Costs'!$B$14:$B$47&gt;=$B170+1)*('2027 Avoided Costs'!$B$14:$B$47&lt;$B170+ROUND($O170,0)))))+_xlfn.XLOOKUP($B170,'2027 Avoided Costs'!$B$13:$B$47,'2027 Avoided Costs'!$C$13:$C$47),IF($O170=1,0,NPV('2027 Avoided Costs'!$D$6,_xlfn._xlws.FILTER('2027 Avoided Costs'!$E$14:$E$47,('2027 Avoided Costs'!$B$14:$B$47&gt;=$B170+1)*('2027 Avoided Costs'!$B$14:$B$47&lt;$B170+ROUND($O170,0)))))+_xlfn.XLOOKUP($B170,'2027 Avoided Costs'!$B$13:$B$47,'2027 Avoided Costs'!$E$13:$E$47))*IF($AE170&gt;0,$AE170*(1+$W170),0),0)</f>
        <v>1034118.57183895</v>
      </c>
      <c r="AU170" s="290" cm="1">
        <f t="array" ref="AU170">IFERROR((IF($O170=1,0,NPV('2027 Avoided Costs'!$D$6,_xlfn._xlws.FILTER('2027 Avoided Costs'!$M$14:$M$47,('2027 Avoided Costs'!$B$14:$B$47&gt;=$B170+1)*('2027 Avoided Costs'!$B$14:$B$47&lt;$B170+ROUND($O170,0)))))+_xlfn.XLOOKUP($B170,'2027 Avoided Costs'!$B$13:$B$47,'2027 Avoided Costs'!$M$13:$M$47))*IF($AK170&gt;0,$AK170*(1+$W170),0),0)</f>
        <v>0</v>
      </c>
      <c r="AV170" s="291" cm="1">
        <f t="array" ref="AV170">IFERROR((IF($O170=1,0,NPV('2027 Avoided Costs'!$D$6,_xlfn._xlws.FILTER('2027 Avoided Costs'!$Q$14:$Q$47,('2027 Avoided Costs'!$B$14:$B$47&gt;=$B170+1)*('2027 Avoided Costs'!$B$14:$B$47&lt;$B170+ROUND($O170,0)))))+_xlfn.XLOOKUP($B170,'2027 Avoided Costs'!$B$13:$B$47,'2027 Avoided Costs'!$Q$13:$Q$47))*IF($AI170&gt;0,$AI170*(1+$W170),0),0)</f>
        <v>0</v>
      </c>
      <c r="AW170" s="291" cm="1">
        <f t="array" ref="AW170">IFERROR((IF($O170=1,0,NPV('2027 Avoided Costs'!$D$6,_xlfn._xlws.FILTER('2027 Avoided Costs'!$W$14:$W$47,('2027 Avoided Costs'!$B$14:$B$47&gt;=$B170+1)*('2027 Avoided Costs'!$B$14:$B$47&lt;$B170+ROUND($O170,0)))))+_xlfn.XLOOKUP($B170,'2027 Avoided Costs'!$B$13:$B$47,'2027 Avoided Costs'!$W$13:$W$47))*IF($AM170&gt;0,$AM170*(1+$W170),0),0)</f>
        <v>0</v>
      </c>
      <c r="AX170" s="291" cm="1">
        <f t="array" ref="AX170">IFERROR((IF($O170=1,0,NPV('2027 Avoided Costs'!$D$6,_xlfn._xlws.FILTER('2027 Avoided Costs'!$AC$14:$AC$47,('2027 Avoided Costs'!$B$14:$B$47&gt;=$B170+1)*('2027 Avoided Costs'!$B$14:$B$47&lt;$B170+ROUND($O170,0)))))+_xlfn.XLOOKUP($B170,'2027 Avoided Costs'!$B$13:$B$47,'2027 Avoided Costs'!$AC$13:$AC$47))*IF($AO170&gt;0,$AO170*(1+$W170),0),0)</f>
        <v>0</v>
      </c>
      <c r="AY170" s="291" cm="1">
        <f t="array" ref="AY170">IFERROR((IF($O170=1,0,NPV('2027 Avoided Costs'!$D$4,_xlfn._xlws.FILTER('2027 Avoided Costs'!$I$14:$I$47,('2027 Avoided Costs'!$B$14:$B$47&gt;=$B170+1)*('2027 Avoided Costs'!$B$14:$B$47&lt;$B170+ROUND($O170,0)))))+_xlfn.XLOOKUP($B170,'2027 Avoided Costs'!$B$13:$B$47,'2027 Avoided Costs'!$I$13:$I$47))*IF($X170="Residential",'2027 Avoided Costs'!$J$5,IF($X170="Large Volume",'2027 Avoided Costs'!$J$7,'2027 Avoided Costs'!$J$6))*IF($AE170&gt;0,$AE170,0),0)</f>
        <v>0</v>
      </c>
      <c r="AZ170" s="291" cm="1">
        <f t="array" ref="AZ170">IFERROR(IF($J170="Baseload",IF($O170=1,0,NPV('2027 Avoided Costs'!$D$6,_xlfn._xlws.FILTER('2027 Avoided Costs'!$C$14:$C$47,('2027 Avoided Costs'!$B$14:$B$47&gt;=$B170+1)*('2027 Avoided Costs'!$B$14:$B$47&lt;$B170+ROUND($O170,0)))))+_xlfn.XLOOKUP($B170,'2027 Avoided Costs'!$B$13:$B$47,'2027 Avoided Costs'!$C$13:$C$47),IF($O170=1,0,NPV('2027 Avoided Costs'!$D$6,_xlfn._xlws.FILTER('2027 Avoided Costs'!$E$14:$E$47,('2027 Avoided Costs'!$B$14:$B$47&gt;=$B170+1)*('2027 Avoided Costs'!$B$14:$B$47&lt;$B170+ROUND($O170,0)))))+_xlfn.XLOOKUP($B170,'2027 Avoided Costs'!$B$13:$B$47,'2027 Avoided Costs'!$E$13:$E$47))*IF($AE170&lt;0,$AE170*(-1),0),0)</f>
        <v>0</v>
      </c>
      <c r="BA170" s="291" cm="1">
        <f t="array" ref="BA170">IFERROR((IF($O170=1,0,NPV('2027 Avoided Costs'!$D$6,_xlfn._xlws.FILTER('2027 Avoided Costs'!$M$14:$M$47,('2027 Avoided Costs'!$B$14:$B$47&gt;=$B170+1)*('2027 Avoided Costs'!$B$14:$B$47&lt;$B170+ROUND($O170,0)))))+_xlfn.XLOOKUP($B170,'2027 Avoided Costs'!$B$13:$B$47,'2027 Avoided Costs'!$M$13:$M$47))*IF($AK170&lt;0,$AK170*(-1),0),0)</f>
        <v>0</v>
      </c>
      <c r="BB170" s="291" cm="1">
        <f t="array" ref="BB170">IFERROR((IF($O170=1,0,NPV('2027 Avoided Costs'!$D$6,_xlfn._xlws.FILTER('2027 Avoided Costs'!$S$14:$S$47,('2027 Avoided Costs'!$B$14:$B$47&gt;=$B170+1)*('2027 Avoided Costs'!$B$14:$B$47&lt;$B170+ROUND($O170,0)))))+_xlfn.XLOOKUP($B170,'2027 Avoided Costs'!$B$13:$B$47,'2027 Avoided Costs'!$S$13:$S$47))*IF($AI170&lt;0,$AI170*(-1),0),0)</f>
        <v>0</v>
      </c>
      <c r="BC170" s="291" cm="1">
        <f t="array" ref="BC170">IFERROR((IF($O170=1,0,NPV('2027 Avoided Costs'!$D$6,_xlfn._xlws.FILTER('2027 Avoided Costs'!$Y$14:$Y$47,('2027 Avoided Costs'!$B$14:$B$47&gt;=$B170+1)*('2027 Avoided Costs'!$B$14:$B$47&lt;$B170+ROUND($O170,0)))))+_xlfn.XLOOKUP($B170,'2027 Avoided Costs'!$B$13:$B$47,'2027 Avoided Costs'!$Y$13:$Y$47))*IF($AM170&lt;0,$AM170*(-1),0),0)</f>
        <v>0</v>
      </c>
      <c r="BD170" s="291" cm="1">
        <f t="array" ref="BD170">IFERROR((IF($O170=1,0,NPV('2027 Avoided Costs'!$D$6,_xlfn._xlws.FILTER('2027 Avoided Costs'!$AE$14:$AE$47,('2027 Avoided Costs'!$B$14:$B$47&gt;=$B170+1)*('2027 Avoided Costs'!$B$14:$B$47&lt;$B170+ROUND($O170,0)))))+_xlfn.XLOOKUP($B170,'2027 Avoided Costs'!$B$13:$B$47,'2027 Avoided Costs'!$AE$13:$AE$47))*IF($AO170&lt;0,$AO170*(-1),0),0)</f>
        <v>0</v>
      </c>
      <c r="BE170" s="291" cm="1">
        <f t="array" ref="BE170">IFERROR((IF($O170=1,0,NPV('2027 Avoided Costs'!$D$4,_xlfn._xlws.FILTER('2027 Avoided Costs'!$I$14:$I$47,('2027 Avoided Costs'!$B$14:$B$47&gt;=$B170+1)*('2027 Avoided Costs'!$B$14:$B$47&lt;$B170+ROUND($O170,0)))))+_xlfn.XLOOKUP($B170,'2027 Avoided Costs'!$B$13:$B$47,'2027 Avoided Costs'!$I$13:$I$47))*IF($X170="Residential",'2027 Avoided Costs'!$J$5,IF($X170="Large Volume",'2027 Avoided Costs'!$J$7,'2027 Avoided Costs'!$J$6))*IF($AE170&lt;0,$AE170*(-1),0),0)</f>
        <v>0</v>
      </c>
      <c r="BF170" s="291">
        <f t="shared" si="58"/>
        <v>1034118.57183895</v>
      </c>
      <c r="BG170" s="291">
        <f t="shared" si="59"/>
        <v>1401556.8</v>
      </c>
      <c r="BH170" s="291">
        <f t="shared" si="60"/>
        <v>-367438.22816105001</v>
      </c>
      <c r="BI170" s="292">
        <f t="shared" si="83"/>
        <v>0.73783564949986324</v>
      </c>
      <c r="BJ170" s="196" cm="1">
        <f t="array" ref="BJ170">IFERROR(IF($J170="Baseload",IF($O170=1,0,NPV('2027 Avoided Costs'!$D$6,_xlfn._xlws.FILTER('2027 Avoided Costs'!$C$14:$C$47,('2027 Avoided Costs'!$B$14:$B$47&gt;=$B170+1)*('2027 Avoided Costs'!$B$14:$B$47&lt;$B170+ROUND($O170,0)))))+_xlfn.XLOOKUP($B170,'2027 Avoided Costs'!$B$13:$B$47,'2027 Avoided Costs'!$C$13:$C$47),IF($O170=1,0,NPV('2027 Avoided Costs'!$D$6,_xlfn._xlws.FILTER('2027 Avoided Costs'!$E$14:$E$47,('2027 Avoided Costs'!$B$14:$B$47&gt;=$B170+1)*('2027 Avoided Costs'!$B$14:$B$47&lt;$B170+ROUND($O170,0)))))+_xlfn.XLOOKUP($B170,'2027 Avoided Costs'!$B$13:$B$47,'2027 Avoided Costs'!$E$13:$E$47))*IF($AE170&gt;0,$AE170*(1+0),0),0)</f>
        <v>899233.54072952189</v>
      </c>
      <c r="BK170" s="293">
        <f t="shared" si="81"/>
        <v>1.9138559654307894</v>
      </c>
    </row>
    <row r="171" spans="1:63" s="56" customFormat="1" x14ac:dyDescent="0.25">
      <c r="A171" s="270" t="s">
        <v>133</v>
      </c>
      <c r="B171" s="271">
        <v>2028</v>
      </c>
      <c r="C171" s="272" t="s">
        <v>13</v>
      </c>
      <c r="D171" s="272" t="s">
        <v>163</v>
      </c>
      <c r="E171" s="272" t="s">
        <v>300</v>
      </c>
      <c r="F171" s="273">
        <v>22</v>
      </c>
      <c r="G171" s="274">
        <v>2048.9250000000002</v>
      </c>
      <c r="H171" s="275">
        <f t="shared" si="61"/>
        <v>0.76722179903327625</v>
      </c>
      <c r="I171" s="274">
        <v>200</v>
      </c>
      <c r="J171" s="276" t="s">
        <v>264</v>
      </c>
      <c r="K171" s="277">
        <f t="shared" si="57"/>
        <v>1</v>
      </c>
      <c r="L171" s="278">
        <v>0</v>
      </c>
      <c r="M171" s="278">
        <v>0</v>
      </c>
      <c r="N171" s="278">
        <v>1</v>
      </c>
      <c r="O171" s="279">
        <v>18</v>
      </c>
      <c r="P171" s="280">
        <v>2670.5771428571379</v>
      </c>
      <c r="Q171" s="281">
        <v>0</v>
      </c>
      <c r="R171" s="282">
        <v>0</v>
      </c>
      <c r="S171" s="282">
        <v>0</v>
      </c>
      <c r="T171" s="281">
        <v>0</v>
      </c>
      <c r="U171" s="283">
        <v>0.25</v>
      </c>
      <c r="V171" s="284">
        <v>4097.8500000000004</v>
      </c>
      <c r="W171" s="285">
        <v>0.15</v>
      </c>
      <c r="X171" s="286" t="s">
        <v>255</v>
      </c>
      <c r="Y171" s="287">
        <f t="shared" si="62"/>
        <v>22</v>
      </c>
      <c r="Z171" s="288">
        <f t="shared" si="63"/>
        <v>45076.350000000006</v>
      </c>
      <c r="AA171" s="288">
        <f t="shared" si="64"/>
        <v>4400</v>
      </c>
      <c r="AB171" s="288">
        <f t="shared" si="65"/>
        <v>45977.877000000008</v>
      </c>
      <c r="AC171" s="288">
        <f t="shared" si="82"/>
        <v>4475.68</v>
      </c>
      <c r="AD171" s="287">
        <f t="shared" si="66"/>
        <v>58752.697142857032</v>
      </c>
      <c r="AE171" s="287">
        <f t="shared" si="67"/>
        <v>58752.697142857032</v>
      </c>
      <c r="AF171" s="287">
        <f t="shared" si="68"/>
        <v>1057548.5485714267</v>
      </c>
      <c r="AG171" s="287">
        <f t="shared" si="69"/>
        <v>1057548.5485714267</v>
      </c>
      <c r="AH171" s="287">
        <f t="shared" si="70"/>
        <v>0</v>
      </c>
      <c r="AI171" s="287">
        <f t="shared" si="71"/>
        <v>0</v>
      </c>
      <c r="AJ171" s="287">
        <f t="shared" si="72"/>
        <v>0</v>
      </c>
      <c r="AK171" s="287">
        <f t="shared" si="73"/>
        <v>0</v>
      </c>
      <c r="AL171" s="287">
        <f t="shared" si="74"/>
        <v>0</v>
      </c>
      <c r="AM171" s="287">
        <f t="shared" si="75"/>
        <v>0</v>
      </c>
      <c r="AN171" s="287">
        <f t="shared" si="76"/>
        <v>0</v>
      </c>
      <c r="AO171" s="287">
        <f t="shared" si="77"/>
        <v>0</v>
      </c>
      <c r="AP171" s="287">
        <f t="shared" si="78"/>
        <v>90152.700000000012</v>
      </c>
      <c r="AQ171" s="287">
        <f t="shared" si="79"/>
        <v>90152.700000000012</v>
      </c>
      <c r="AR171" s="287">
        <f t="shared" si="80"/>
        <v>14688.174285714258</v>
      </c>
      <c r="AS171" s="289" t="e">
        <f>IF(J171='2027 Avoided Costs'!#REF!,3,5)</f>
        <v>#REF!</v>
      </c>
      <c r="AT171" s="290" cm="1">
        <f t="array" ref="AT171">IFERROR(IF($J171="Baseload",IF($O171=1,0,NPV('2027 Avoided Costs'!$D$6,_xlfn._xlws.FILTER('2027 Avoided Costs'!$C$14:$C$47,('2027 Avoided Costs'!$B$14:$B$47&gt;=$B171+1)*('2027 Avoided Costs'!$B$14:$B$47&lt;$B171+ROUND($O171,0)))))+_xlfn.XLOOKUP($B171,'2027 Avoided Costs'!$B$13:$B$47,'2027 Avoided Costs'!$C$13:$C$47),IF($O171=1,0,NPV('2027 Avoided Costs'!$D$6,_xlfn._xlws.FILTER('2027 Avoided Costs'!$E$14:$E$47,('2027 Avoided Costs'!$B$14:$B$47&gt;=$B171+1)*('2027 Avoided Costs'!$B$14:$B$47&lt;$B171+ROUND($O171,0)))))+_xlfn.XLOOKUP($B171,'2027 Avoided Costs'!$B$13:$B$47,'2027 Avoided Costs'!$E$13:$E$47))*IF($AE171&gt;0,$AE171*(1+$W171),0),0)</f>
        <v>278358.1475216606</v>
      </c>
      <c r="AU171" s="290" cm="1">
        <f t="array" ref="AU171">IFERROR((IF($O171=1,0,NPV('2027 Avoided Costs'!$D$6,_xlfn._xlws.FILTER('2027 Avoided Costs'!$M$14:$M$47,('2027 Avoided Costs'!$B$14:$B$47&gt;=$B171+1)*('2027 Avoided Costs'!$B$14:$B$47&lt;$B171+ROUND($O171,0)))))+_xlfn.XLOOKUP($B171,'2027 Avoided Costs'!$B$13:$B$47,'2027 Avoided Costs'!$M$13:$M$47))*IF($AK171&gt;0,$AK171*(1+$W171),0),0)</f>
        <v>0</v>
      </c>
      <c r="AV171" s="291" cm="1">
        <f t="array" ref="AV171">IFERROR((IF($O171=1,0,NPV('2027 Avoided Costs'!$D$6,_xlfn._xlws.FILTER('2027 Avoided Costs'!$Q$14:$Q$47,('2027 Avoided Costs'!$B$14:$B$47&gt;=$B171+1)*('2027 Avoided Costs'!$B$14:$B$47&lt;$B171+ROUND($O171,0)))))+_xlfn.XLOOKUP($B171,'2027 Avoided Costs'!$B$13:$B$47,'2027 Avoided Costs'!$Q$13:$Q$47))*IF($AI171&gt;0,$AI171*(1+$W171),0),0)</f>
        <v>0</v>
      </c>
      <c r="AW171" s="291" cm="1">
        <f t="array" ref="AW171">IFERROR((IF($O171=1,0,NPV('2027 Avoided Costs'!$D$6,_xlfn._xlws.FILTER('2027 Avoided Costs'!$W$14:$W$47,('2027 Avoided Costs'!$B$14:$B$47&gt;=$B171+1)*('2027 Avoided Costs'!$B$14:$B$47&lt;$B171+ROUND($O171,0)))))+_xlfn.XLOOKUP($B171,'2027 Avoided Costs'!$B$13:$B$47,'2027 Avoided Costs'!$W$13:$W$47))*IF($AM171&gt;0,$AM171*(1+$W171),0),0)</f>
        <v>0</v>
      </c>
      <c r="AX171" s="291" cm="1">
        <f t="array" ref="AX171">IFERROR((IF($O171=1,0,NPV('2027 Avoided Costs'!$D$6,_xlfn._xlws.FILTER('2027 Avoided Costs'!$AC$14:$AC$47,('2027 Avoided Costs'!$B$14:$B$47&gt;=$B171+1)*('2027 Avoided Costs'!$B$14:$B$47&lt;$B171+ROUND($O171,0)))))+_xlfn.XLOOKUP($B171,'2027 Avoided Costs'!$B$13:$B$47,'2027 Avoided Costs'!$AC$13:$AC$47))*IF($AO171&gt;0,$AO171*(1+$W171),0),0)</f>
        <v>0</v>
      </c>
      <c r="AY171" s="291" cm="1">
        <f t="array" ref="AY171">IFERROR((IF($O171=1,0,NPV('2027 Avoided Costs'!$D$4,_xlfn._xlws.FILTER('2027 Avoided Costs'!$I$14:$I$47,('2027 Avoided Costs'!$B$14:$B$47&gt;=$B171+1)*('2027 Avoided Costs'!$B$14:$B$47&lt;$B171+ROUND($O171,0)))))+_xlfn.XLOOKUP($B171,'2027 Avoided Costs'!$B$13:$B$47,'2027 Avoided Costs'!$I$13:$I$47))*IF($X171="Residential",'2027 Avoided Costs'!$J$5,IF($X171="Large Volume",'2027 Avoided Costs'!$J$7,'2027 Avoided Costs'!$J$6))*IF($AE171&gt;0,$AE171,0),0)</f>
        <v>0</v>
      </c>
      <c r="AZ171" s="291" cm="1">
        <f t="array" ref="AZ171">IFERROR(IF($J171="Baseload",IF($O171=1,0,NPV('2027 Avoided Costs'!$D$6,_xlfn._xlws.FILTER('2027 Avoided Costs'!$C$14:$C$47,('2027 Avoided Costs'!$B$14:$B$47&gt;=$B171+1)*('2027 Avoided Costs'!$B$14:$B$47&lt;$B171+ROUND($O171,0)))))+_xlfn.XLOOKUP($B171,'2027 Avoided Costs'!$B$13:$B$47,'2027 Avoided Costs'!$C$13:$C$47),IF($O171=1,0,NPV('2027 Avoided Costs'!$D$6,_xlfn._xlws.FILTER('2027 Avoided Costs'!$E$14:$E$47,('2027 Avoided Costs'!$B$14:$B$47&gt;=$B171+1)*('2027 Avoided Costs'!$B$14:$B$47&lt;$B171+ROUND($O171,0)))))+_xlfn.XLOOKUP($B171,'2027 Avoided Costs'!$B$13:$B$47,'2027 Avoided Costs'!$E$13:$E$47))*IF($AE171&lt;0,$AE171*(-1),0),0)</f>
        <v>0</v>
      </c>
      <c r="BA171" s="291" cm="1">
        <f t="array" ref="BA171">IFERROR((IF($O171=1,0,NPV('2027 Avoided Costs'!$D$6,_xlfn._xlws.FILTER('2027 Avoided Costs'!$M$14:$M$47,('2027 Avoided Costs'!$B$14:$B$47&gt;=$B171+1)*('2027 Avoided Costs'!$B$14:$B$47&lt;$B171+ROUND($O171,0)))))+_xlfn.XLOOKUP($B171,'2027 Avoided Costs'!$B$13:$B$47,'2027 Avoided Costs'!$M$13:$M$47))*IF($AK171&lt;0,$AK171*(-1),0),0)</f>
        <v>0</v>
      </c>
      <c r="BB171" s="291" cm="1">
        <f t="array" ref="BB171">IFERROR((IF($O171=1,0,NPV('2027 Avoided Costs'!$D$6,_xlfn._xlws.FILTER('2027 Avoided Costs'!$S$14:$S$47,('2027 Avoided Costs'!$B$14:$B$47&gt;=$B171+1)*('2027 Avoided Costs'!$B$14:$B$47&lt;$B171+ROUND($O171,0)))))+_xlfn.XLOOKUP($B171,'2027 Avoided Costs'!$B$13:$B$47,'2027 Avoided Costs'!$S$13:$S$47))*IF($AI171&lt;0,$AI171*(-1),0),0)</f>
        <v>0</v>
      </c>
      <c r="BC171" s="291" cm="1">
        <f t="array" ref="BC171">IFERROR((IF($O171=1,0,NPV('2027 Avoided Costs'!$D$6,_xlfn._xlws.FILTER('2027 Avoided Costs'!$Y$14:$Y$47,('2027 Avoided Costs'!$B$14:$B$47&gt;=$B171+1)*('2027 Avoided Costs'!$B$14:$B$47&lt;$B171+ROUND($O171,0)))))+_xlfn.XLOOKUP($B171,'2027 Avoided Costs'!$B$13:$B$47,'2027 Avoided Costs'!$Y$13:$Y$47))*IF($AM171&lt;0,$AM171*(-1),0),0)</f>
        <v>0</v>
      </c>
      <c r="BD171" s="291" cm="1">
        <f t="array" ref="BD171">IFERROR((IF($O171=1,0,NPV('2027 Avoided Costs'!$D$6,_xlfn._xlws.FILTER('2027 Avoided Costs'!$AE$14:$AE$47,('2027 Avoided Costs'!$B$14:$B$47&gt;=$B171+1)*('2027 Avoided Costs'!$B$14:$B$47&lt;$B171+ROUND($O171,0)))))+_xlfn.XLOOKUP($B171,'2027 Avoided Costs'!$B$13:$B$47,'2027 Avoided Costs'!$AE$13:$AE$47))*IF($AO171&lt;0,$AO171*(-1),0),0)</f>
        <v>0</v>
      </c>
      <c r="BE171" s="291" cm="1">
        <f t="array" ref="BE171">IFERROR((IF($O171=1,0,NPV('2027 Avoided Costs'!$D$4,_xlfn._xlws.FILTER('2027 Avoided Costs'!$I$14:$I$47,('2027 Avoided Costs'!$B$14:$B$47&gt;=$B171+1)*('2027 Avoided Costs'!$B$14:$B$47&lt;$B171+ROUND($O171,0)))))+_xlfn.XLOOKUP($B171,'2027 Avoided Costs'!$B$13:$B$47,'2027 Avoided Costs'!$I$13:$I$47))*IF($X171="Residential",'2027 Avoided Costs'!$J$5,IF($X171="Large Volume",'2027 Avoided Costs'!$J$7,'2027 Avoided Costs'!$J$6))*IF($AE171&lt;0,$AE171*(-1),0),0)</f>
        <v>0</v>
      </c>
      <c r="BF171" s="291">
        <f t="shared" si="58"/>
        <v>278358.1475216606</v>
      </c>
      <c r="BG171" s="291">
        <f t="shared" si="59"/>
        <v>90152.700000000012</v>
      </c>
      <c r="BH171" s="291">
        <f t="shared" si="60"/>
        <v>188205.44752166059</v>
      </c>
      <c r="BI171" s="292">
        <f t="shared" si="83"/>
        <v>3.0876296275281891</v>
      </c>
      <c r="BJ171" s="196" cm="1">
        <f t="array" ref="BJ171">IFERROR(IF($J171="Baseload",IF($O171=1,0,NPV('2027 Avoided Costs'!$D$6,_xlfn._xlws.FILTER('2027 Avoided Costs'!$C$14:$C$47,('2027 Avoided Costs'!$B$14:$B$47&gt;=$B171+1)*('2027 Avoided Costs'!$B$14:$B$47&lt;$B171+ROUND($O171,0)))))+_xlfn.XLOOKUP($B171,'2027 Avoided Costs'!$B$13:$B$47,'2027 Avoided Costs'!$C$13:$C$47),IF($O171=1,0,NPV('2027 Avoided Costs'!$D$6,_xlfn._xlws.FILTER('2027 Avoided Costs'!$E$14:$E$47,('2027 Avoided Costs'!$B$14:$B$47&gt;=$B171+1)*('2027 Avoided Costs'!$B$14:$B$47&lt;$B171+ROUND($O171,0)))))+_xlfn.XLOOKUP($B171,'2027 Avoided Costs'!$B$13:$B$47,'2027 Avoided Costs'!$E$13:$E$47))*IF($AE171&gt;0,$AE171*(1+0),0),0)</f>
        <v>242050.56306231357</v>
      </c>
      <c r="BK171" s="293">
        <f t="shared" si="81"/>
        <v>4.7974925348140181</v>
      </c>
    </row>
    <row r="172" spans="1:63" s="56" customFormat="1" x14ac:dyDescent="0.25">
      <c r="A172" s="270" t="s">
        <v>133</v>
      </c>
      <c r="B172" s="271">
        <v>2028</v>
      </c>
      <c r="C172" s="272" t="s">
        <v>13</v>
      </c>
      <c r="D172" s="272" t="s">
        <v>163</v>
      </c>
      <c r="E172" s="272" t="s">
        <v>102</v>
      </c>
      <c r="F172" s="273">
        <v>9</v>
      </c>
      <c r="G172" s="274">
        <v>2400.375</v>
      </c>
      <c r="H172" s="275">
        <f t="shared" si="61"/>
        <v>0.16933288533754279</v>
      </c>
      <c r="I172" s="274">
        <v>200</v>
      </c>
      <c r="J172" s="276" t="s">
        <v>264</v>
      </c>
      <c r="K172" s="277">
        <f t="shared" si="57"/>
        <v>0.95</v>
      </c>
      <c r="L172" s="278">
        <v>4.9999999999999996E-2</v>
      </c>
      <c r="M172" s="278">
        <v>0</v>
      </c>
      <c r="N172" s="278">
        <v>1</v>
      </c>
      <c r="O172" s="279">
        <v>20</v>
      </c>
      <c r="P172" s="280">
        <v>14175.480416666667</v>
      </c>
      <c r="Q172" s="281">
        <v>7267.5</v>
      </c>
      <c r="R172" s="282">
        <v>1.6592465753424657</v>
      </c>
      <c r="S172" s="282">
        <v>1.6592465753424657</v>
      </c>
      <c r="T172" s="281">
        <v>0</v>
      </c>
      <c r="U172" s="283">
        <v>0.46</v>
      </c>
      <c r="V172" s="284">
        <v>4800.75</v>
      </c>
      <c r="W172" s="285">
        <v>0.15</v>
      </c>
      <c r="X172" s="286" t="s">
        <v>255</v>
      </c>
      <c r="Y172" s="287">
        <f t="shared" si="62"/>
        <v>9</v>
      </c>
      <c r="Z172" s="288">
        <f t="shared" si="63"/>
        <v>21603.375</v>
      </c>
      <c r="AA172" s="288">
        <f t="shared" si="64"/>
        <v>1800</v>
      </c>
      <c r="AB172" s="288">
        <f t="shared" si="65"/>
        <v>22035.442500000001</v>
      </c>
      <c r="AC172" s="288">
        <f t="shared" si="82"/>
        <v>1830.9600000000003</v>
      </c>
      <c r="AD172" s="287">
        <f t="shared" si="66"/>
        <v>127579.32375000001</v>
      </c>
      <c r="AE172" s="287">
        <f t="shared" si="67"/>
        <v>121200.35756250001</v>
      </c>
      <c r="AF172" s="287">
        <f t="shared" si="68"/>
        <v>2551586.4750000001</v>
      </c>
      <c r="AG172" s="287">
        <f t="shared" si="69"/>
        <v>2424007.1512500001</v>
      </c>
      <c r="AH172" s="287">
        <f t="shared" si="70"/>
        <v>70116.840000000011</v>
      </c>
      <c r="AI172" s="287">
        <f t="shared" si="71"/>
        <v>66610.998000000007</v>
      </c>
      <c r="AJ172" s="287">
        <f t="shared" si="72"/>
        <v>0</v>
      </c>
      <c r="AK172" s="287">
        <f t="shared" si="73"/>
        <v>0</v>
      </c>
      <c r="AL172" s="287">
        <f t="shared" si="74"/>
        <v>16.008410958904108</v>
      </c>
      <c r="AM172" s="287">
        <f t="shared" si="75"/>
        <v>15.207990410958905</v>
      </c>
      <c r="AN172" s="287">
        <f t="shared" si="76"/>
        <v>16.008410958904108</v>
      </c>
      <c r="AO172" s="287">
        <f t="shared" si="77"/>
        <v>15.207990410958905</v>
      </c>
      <c r="AP172" s="287">
        <f t="shared" si="78"/>
        <v>43206.75</v>
      </c>
      <c r="AQ172" s="287">
        <f t="shared" si="79"/>
        <v>41046.412499999999</v>
      </c>
      <c r="AR172" s="287">
        <f t="shared" si="80"/>
        <v>55752.164478750004</v>
      </c>
      <c r="AS172" s="289" t="e">
        <f>IF(J172='2027 Avoided Costs'!#REF!,3,5)</f>
        <v>#REF!</v>
      </c>
      <c r="AT172" s="290" cm="1">
        <f t="array" ref="AT172">IFERROR(IF($J172="Baseload",IF($O172=1,0,NPV('2027 Avoided Costs'!$D$6,_xlfn._xlws.FILTER('2027 Avoided Costs'!$C$14:$C$47,('2027 Avoided Costs'!$B$14:$B$47&gt;=$B172+1)*('2027 Avoided Costs'!$B$14:$B$47&lt;$B172+ROUND($O172,0)))))+_xlfn.XLOOKUP($B172,'2027 Avoided Costs'!$B$13:$B$47,'2027 Avoided Costs'!$C$13:$C$47),IF($O172=1,0,NPV('2027 Avoided Costs'!$D$6,_xlfn._xlws.FILTER('2027 Avoided Costs'!$E$14:$E$47,('2027 Avoided Costs'!$B$14:$B$47&gt;=$B172+1)*('2027 Avoided Costs'!$B$14:$B$47&lt;$B172+ROUND($O172,0)))))+_xlfn.XLOOKUP($B172,'2027 Avoided Costs'!$B$13:$B$47,'2027 Avoided Costs'!$E$13:$E$47))*IF($AE172&gt;0,$AE172*(1+$W172),0),0)</f>
        <v>622654.48597913026</v>
      </c>
      <c r="AU172" s="290" cm="1">
        <f t="array" ref="AU172">IFERROR((IF($O172=1,0,NPV('2027 Avoided Costs'!$D$6,_xlfn._xlws.FILTER('2027 Avoided Costs'!$M$14:$M$47,('2027 Avoided Costs'!$B$14:$B$47&gt;=$B172+1)*('2027 Avoided Costs'!$B$14:$B$47&lt;$B172+ROUND($O172,0)))))+_xlfn.XLOOKUP($B172,'2027 Avoided Costs'!$B$13:$B$47,'2027 Avoided Costs'!$M$13:$M$47))*IF($AK172&gt;0,$AK172*(1+$W172),0),0)</f>
        <v>0</v>
      </c>
      <c r="AV172" s="291" cm="1">
        <f t="array" ref="AV172">IFERROR((IF($O172=1,0,NPV('2027 Avoided Costs'!$D$6,_xlfn._xlws.FILTER('2027 Avoided Costs'!$Q$14:$Q$47,('2027 Avoided Costs'!$B$14:$B$47&gt;=$B172+1)*('2027 Avoided Costs'!$B$14:$B$47&lt;$B172+ROUND($O172,0)))))+_xlfn.XLOOKUP($B172,'2027 Avoided Costs'!$B$13:$B$47,'2027 Avoided Costs'!$Q$13:$Q$47))*IF($AI172&gt;0,$AI172*(1+$W172),0),0)</f>
        <v>52604.141434667319</v>
      </c>
      <c r="AW172" s="291" cm="1">
        <f t="array" ref="AW172">IFERROR((IF($O172=1,0,NPV('2027 Avoided Costs'!$D$6,_xlfn._xlws.FILTER('2027 Avoided Costs'!$W$14:$W$47,('2027 Avoided Costs'!$B$14:$B$47&gt;=$B172+1)*('2027 Avoided Costs'!$B$14:$B$47&lt;$B172+ROUND($O172,0)))))+_xlfn.XLOOKUP($B172,'2027 Avoided Costs'!$B$13:$B$47,'2027 Avoided Costs'!$W$13:$W$47))*IF($AM172&gt;0,$AM172*(1+$W172),0),0)</f>
        <v>73381.179618217371</v>
      </c>
      <c r="AX172" s="291" cm="1">
        <f t="array" ref="AX172">IFERROR((IF($O172=1,0,NPV('2027 Avoided Costs'!$D$6,_xlfn._xlws.FILTER('2027 Avoided Costs'!$AC$14:$AC$47,('2027 Avoided Costs'!$B$14:$B$47&gt;=$B172+1)*('2027 Avoided Costs'!$B$14:$B$47&lt;$B172+ROUND($O172,0)))))+_xlfn.XLOOKUP($B172,'2027 Avoided Costs'!$B$13:$B$47,'2027 Avoided Costs'!$AC$13:$AC$47))*IF($AO172&gt;0,$AO172*(1+$W172),0),0)</f>
        <v>11357.429931548411</v>
      </c>
      <c r="AY172" s="291" cm="1">
        <f t="array" ref="AY172">IFERROR((IF($O172=1,0,NPV('2027 Avoided Costs'!$D$4,_xlfn._xlws.FILTER('2027 Avoided Costs'!$I$14:$I$47,('2027 Avoided Costs'!$B$14:$B$47&gt;=$B172+1)*('2027 Avoided Costs'!$B$14:$B$47&lt;$B172+ROUND($O172,0)))))+_xlfn.XLOOKUP($B172,'2027 Avoided Costs'!$B$13:$B$47,'2027 Avoided Costs'!$I$13:$I$47))*IF($X172="Residential",'2027 Avoided Costs'!$J$5,IF($X172="Large Volume",'2027 Avoided Costs'!$J$7,'2027 Avoided Costs'!$J$6))*IF($AE172&gt;0,$AE172,0),0)</f>
        <v>0</v>
      </c>
      <c r="AZ172" s="291" cm="1">
        <f t="array" ref="AZ172">IFERROR(IF($J172="Baseload",IF($O172=1,0,NPV('2027 Avoided Costs'!$D$6,_xlfn._xlws.FILTER('2027 Avoided Costs'!$C$14:$C$47,('2027 Avoided Costs'!$B$14:$B$47&gt;=$B172+1)*('2027 Avoided Costs'!$B$14:$B$47&lt;$B172+ROUND($O172,0)))))+_xlfn.XLOOKUP($B172,'2027 Avoided Costs'!$B$13:$B$47,'2027 Avoided Costs'!$C$13:$C$47),IF($O172=1,0,NPV('2027 Avoided Costs'!$D$6,_xlfn._xlws.FILTER('2027 Avoided Costs'!$E$14:$E$47,('2027 Avoided Costs'!$B$14:$B$47&gt;=$B172+1)*('2027 Avoided Costs'!$B$14:$B$47&lt;$B172+ROUND($O172,0)))))+_xlfn.XLOOKUP($B172,'2027 Avoided Costs'!$B$13:$B$47,'2027 Avoided Costs'!$E$13:$E$47))*IF($AE172&lt;0,$AE172*(-1),0),0)</f>
        <v>0</v>
      </c>
      <c r="BA172" s="291" cm="1">
        <f t="array" ref="BA172">IFERROR((IF($O172=1,0,NPV('2027 Avoided Costs'!$D$6,_xlfn._xlws.FILTER('2027 Avoided Costs'!$M$14:$M$47,('2027 Avoided Costs'!$B$14:$B$47&gt;=$B172+1)*('2027 Avoided Costs'!$B$14:$B$47&lt;$B172+ROUND($O172,0)))))+_xlfn.XLOOKUP($B172,'2027 Avoided Costs'!$B$13:$B$47,'2027 Avoided Costs'!$M$13:$M$47))*IF($AK172&lt;0,$AK172*(-1),0),0)</f>
        <v>0</v>
      </c>
      <c r="BB172" s="291" cm="1">
        <f t="array" ref="BB172">IFERROR((IF($O172=1,0,NPV('2027 Avoided Costs'!$D$6,_xlfn._xlws.FILTER('2027 Avoided Costs'!$S$14:$S$47,('2027 Avoided Costs'!$B$14:$B$47&gt;=$B172+1)*('2027 Avoided Costs'!$B$14:$B$47&lt;$B172+ROUND($O172,0)))))+_xlfn.XLOOKUP($B172,'2027 Avoided Costs'!$B$13:$B$47,'2027 Avoided Costs'!$S$13:$S$47))*IF($AI172&lt;0,$AI172*(-1),0),0)</f>
        <v>0</v>
      </c>
      <c r="BC172" s="291" cm="1">
        <f t="array" ref="BC172">IFERROR((IF($O172=1,0,NPV('2027 Avoided Costs'!$D$6,_xlfn._xlws.FILTER('2027 Avoided Costs'!$Y$14:$Y$47,('2027 Avoided Costs'!$B$14:$B$47&gt;=$B172+1)*('2027 Avoided Costs'!$B$14:$B$47&lt;$B172+ROUND($O172,0)))))+_xlfn.XLOOKUP($B172,'2027 Avoided Costs'!$B$13:$B$47,'2027 Avoided Costs'!$Y$13:$Y$47))*IF($AM172&lt;0,$AM172*(-1),0),0)</f>
        <v>0</v>
      </c>
      <c r="BD172" s="291" cm="1">
        <f t="array" ref="BD172">IFERROR((IF($O172=1,0,NPV('2027 Avoided Costs'!$D$6,_xlfn._xlws.FILTER('2027 Avoided Costs'!$AE$14:$AE$47,('2027 Avoided Costs'!$B$14:$B$47&gt;=$B172+1)*('2027 Avoided Costs'!$B$14:$B$47&lt;$B172+ROUND($O172,0)))))+_xlfn.XLOOKUP($B172,'2027 Avoided Costs'!$B$13:$B$47,'2027 Avoided Costs'!$AE$13:$AE$47))*IF($AO172&lt;0,$AO172*(-1),0),0)</f>
        <v>0</v>
      </c>
      <c r="BE172" s="291" cm="1">
        <f t="array" ref="BE172">IFERROR((IF($O172=1,0,NPV('2027 Avoided Costs'!$D$4,_xlfn._xlws.FILTER('2027 Avoided Costs'!$I$14:$I$47,('2027 Avoided Costs'!$B$14:$B$47&gt;=$B172+1)*('2027 Avoided Costs'!$B$14:$B$47&lt;$B172+ROUND($O172,0)))))+_xlfn.XLOOKUP($B172,'2027 Avoided Costs'!$B$13:$B$47,'2027 Avoided Costs'!$I$13:$I$47))*IF($X172="Residential",'2027 Avoided Costs'!$J$5,IF($X172="Large Volume",'2027 Avoided Costs'!$J$7,'2027 Avoided Costs'!$J$6))*IF($AE172&lt;0,$AE172*(-1),0),0)</f>
        <v>0</v>
      </c>
      <c r="BF172" s="291">
        <f t="shared" si="58"/>
        <v>759997.23696356337</v>
      </c>
      <c r="BG172" s="291">
        <f t="shared" si="59"/>
        <v>41046.412499999999</v>
      </c>
      <c r="BH172" s="291">
        <f t="shared" si="60"/>
        <v>718950.82446356339</v>
      </c>
      <c r="BI172" s="292">
        <f t="shared" si="83"/>
        <v>18.515558137110361</v>
      </c>
      <c r="BJ172" s="196" cm="1">
        <f t="array" ref="BJ172">IFERROR(IF($J172="Baseload",IF($O172=1,0,NPV('2027 Avoided Costs'!$D$6,_xlfn._xlws.FILTER('2027 Avoided Costs'!$C$14:$C$47,('2027 Avoided Costs'!$B$14:$B$47&gt;=$B172+1)*('2027 Avoided Costs'!$B$14:$B$47&lt;$B172+ROUND($O172,0)))))+_xlfn.XLOOKUP($B172,'2027 Avoided Costs'!$B$13:$B$47,'2027 Avoided Costs'!$C$13:$C$47),IF($O172=1,0,NPV('2027 Avoided Costs'!$D$6,_xlfn._xlws.FILTER('2027 Avoided Costs'!$E$14:$E$47,('2027 Avoided Costs'!$B$14:$B$47&gt;=$B172+1)*('2027 Avoided Costs'!$B$14:$B$47&lt;$B172+ROUND($O172,0)))))+_xlfn.XLOOKUP($B172,'2027 Avoided Costs'!$B$13:$B$47,'2027 Avoided Costs'!$E$13:$E$47))*IF($AE172&gt;0,$AE172*(1+0),0),0)</f>
        <v>541438.68346011324</v>
      </c>
      <c r="BK172" s="293">
        <f t="shared" si="81"/>
        <v>22.686229458340581</v>
      </c>
    </row>
    <row r="173" spans="1:63" s="56" customFormat="1" x14ac:dyDescent="0.25">
      <c r="A173" s="270" t="s">
        <v>133</v>
      </c>
      <c r="B173" s="271">
        <v>2028</v>
      </c>
      <c r="C173" s="272" t="s">
        <v>13</v>
      </c>
      <c r="D173" s="272" t="s">
        <v>163</v>
      </c>
      <c r="E173" s="272" t="s">
        <v>103</v>
      </c>
      <c r="F173" s="273">
        <v>23</v>
      </c>
      <c r="G173" s="274">
        <v>15097.5</v>
      </c>
      <c r="H173" s="275">
        <f t="shared" si="61"/>
        <v>0.88420701569131044</v>
      </c>
      <c r="I173" s="274">
        <v>200</v>
      </c>
      <c r="J173" s="276" t="s">
        <v>263</v>
      </c>
      <c r="K173" s="277">
        <f t="shared" si="57"/>
        <v>0.92</v>
      </c>
      <c r="L173" s="278">
        <v>0.08</v>
      </c>
      <c r="M173" s="278">
        <v>0</v>
      </c>
      <c r="N173" s="278">
        <v>1</v>
      </c>
      <c r="O173" s="279">
        <v>15</v>
      </c>
      <c r="P173" s="280">
        <v>17074.621363636361</v>
      </c>
      <c r="Q173" s="281">
        <v>76.549955999999995</v>
      </c>
      <c r="R173" s="282">
        <v>8.7385794520547129E-3</v>
      </c>
      <c r="S173" s="282">
        <v>8.7385794520548222E-3</v>
      </c>
      <c r="T173" s="281">
        <v>641.33400000000006</v>
      </c>
      <c r="U173" s="283">
        <v>0.65</v>
      </c>
      <c r="V173" s="284">
        <v>30195</v>
      </c>
      <c r="W173" s="285">
        <v>0.15</v>
      </c>
      <c r="X173" s="286" t="s">
        <v>255</v>
      </c>
      <c r="Y173" s="287">
        <f t="shared" si="62"/>
        <v>23</v>
      </c>
      <c r="Z173" s="288">
        <f t="shared" si="63"/>
        <v>347242.5</v>
      </c>
      <c r="AA173" s="288">
        <f t="shared" si="64"/>
        <v>4600</v>
      </c>
      <c r="AB173" s="288">
        <f t="shared" si="65"/>
        <v>354187.35000000003</v>
      </c>
      <c r="AC173" s="288">
        <f t="shared" si="82"/>
        <v>4679.1200000000008</v>
      </c>
      <c r="AD173" s="287">
        <f t="shared" si="66"/>
        <v>392716.29136363632</v>
      </c>
      <c r="AE173" s="287">
        <f t="shared" si="67"/>
        <v>361298.98805454542</v>
      </c>
      <c r="AF173" s="287">
        <f t="shared" si="68"/>
        <v>5890744.3704545451</v>
      </c>
      <c r="AG173" s="287">
        <f t="shared" si="69"/>
        <v>5419484.8208181811</v>
      </c>
      <c r="AH173" s="287">
        <f t="shared" si="70"/>
        <v>1887.415715136</v>
      </c>
      <c r="AI173" s="287">
        <f t="shared" si="71"/>
        <v>1736.4224579251197</v>
      </c>
      <c r="AJ173" s="287">
        <f t="shared" si="72"/>
        <v>14750.682000000001</v>
      </c>
      <c r="AK173" s="287">
        <f t="shared" si="73"/>
        <v>13570.627440000004</v>
      </c>
      <c r="AL173" s="287">
        <f t="shared" si="74"/>
        <v>0.21545841496986101</v>
      </c>
      <c r="AM173" s="287">
        <f t="shared" si="75"/>
        <v>0.19822174177227214</v>
      </c>
      <c r="AN173" s="287">
        <f t="shared" si="76"/>
        <v>0.2154584149698637</v>
      </c>
      <c r="AO173" s="287">
        <f t="shared" si="77"/>
        <v>0.19822174177227461</v>
      </c>
      <c r="AP173" s="287">
        <f t="shared" si="78"/>
        <v>694485</v>
      </c>
      <c r="AQ173" s="287">
        <f t="shared" si="79"/>
        <v>638926.20000000007</v>
      </c>
      <c r="AR173" s="287">
        <f t="shared" si="80"/>
        <v>234844.34223545453</v>
      </c>
      <c r="AS173" s="289" t="e">
        <f>IF(J173='2027 Avoided Costs'!#REF!,3,5)</f>
        <v>#REF!</v>
      </c>
      <c r="AT173" s="290" cm="1">
        <f t="array" ref="AT173">IFERROR(IF($J173="Baseload",IF($O173=1,0,NPV('2027 Avoided Costs'!$D$6,_xlfn._xlws.FILTER('2027 Avoided Costs'!$C$14:$C$47,('2027 Avoided Costs'!$B$14:$B$47&gt;=$B173+1)*('2027 Avoided Costs'!$B$14:$B$47&lt;$B173+ROUND($O173,0)))))+_xlfn.XLOOKUP($B173,'2027 Avoided Costs'!$B$13:$B$47,'2027 Avoided Costs'!$C$13:$C$47),IF($O173=1,0,NPV('2027 Avoided Costs'!$D$6,_xlfn._xlws.FILTER('2027 Avoided Costs'!$E$14:$E$47,('2027 Avoided Costs'!$B$14:$B$47&gt;=$B173+1)*('2027 Avoided Costs'!$B$14:$B$47&lt;$B173+ROUND($O173,0)))))+_xlfn.XLOOKUP($B173,'2027 Avoided Costs'!$B$13:$B$47,'2027 Avoided Costs'!$E$13:$E$47))*IF($AE173&gt;0,$AE173*(1+$W173),0),0)</f>
        <v>1321113.0326049956</v>
      </c>
      <c r="AU173" s="290" cm="1">
        <f t="array" ref="AU173">IFERROR((IF($O173=1,0,NPV('2027 Avoided Costs'!$D$6,_xlfn._xlws.FILTER('2027 Avoided Costs'!$M$14:$M$47,('2027 Avoided Costs'!$B$14:$B$47&gt;=$B173+1)*('2027 Avoided Costs'!$B$14:$B$47&lt;$B173+ROUND($O173,0)))))+_xlfn.XLOOKUP($B173,'2027 Avoided Costs'!$B$13:$B$47,'2027 Avoided Costs'!$M$13:$M$47))*IF($AK173&gt;0,$AK173*(1+$W173),0),0)</f>
        <v>198446.0870781407</v>
      </c>
      <c r="AV173" s="291" cm="1">
        <f t="array" ref="AV173">IFERROR((IF($O173=1,0,NPV('2027 Avoided Costs'!$D$6,_xlfn._xlws.FILTER('2027 Avoided Costs'!$Q$14:$Q$47,('2027 Avoided Costs'!$B$14:$B$47&gt;=$B173+1)*('2027 Avoided Costs'!$B$14:$B$47&lt;$B173+ROUND($O173,0)))))+_xlfn.XLOOKUP($B173,'2027 Avoided Costs'!$B$13:$B$47,'2027 Avoided Costs'!$Q$13:$Q$47))*IF($AI173&gt;0,$AI173*(1+$W173),0),0)</f>
        <v>1134.4030773438365</v>
      </c>
      <c r="AW173" s="291" cm="1">
        <f t="array" ref="AW173">IFERROR((IF($O173=1,0,NPV('2027 Avoided Costs'!$D$6,_xlfn._xlws.FILTER('2027 Avoided Costs'!$W$14:$W$47,('2027 Avoided Costs'!$B$14:$B$47&gt;=$B173+1)*('2027 Avoided Costs'!$B$14:$B$47&lt;$B173+ROUND($O173,0)))))+_xlfn.XLOOKUP($B173,'2027 Avoided Costs'!$B$13:$B$47,'2027 Avoided Costs'!$W$13:$W$47))*IF($AM173&gt;0,$AM173*(1+$W173),0),0)</f>
        <v>811.8954022122781</v>
      </c>
      <c r="AX173" s="291" cm="1">
        <f t="array" ref="AX173">IFERROR((IF($O173=1,0,NPV('2027 Avoided Costs'!$D$6,_xlfn._xlws.FILTER('2027 Avoided Costs'!$AC$14:$AC$47,('2027 Avoided Costs'!$B$14:$B$47&gt;=$B173+1)*('2027 Avoided Costs'!$B$14:$B$47&lt;$B173+ROUND($O173,0)))))+_xlfn.XLOOKUP($B173,'2027 Avoided Costs'!$B$13:$B$47,'2027 Avoided Costs'!$AC$13:$AC$47))*IF($AO173&gt;0,$AO173*(1+$W173),0),0)</f>
        <v>51.342967699746545</v>
      </c>
      <c r="AY173" s="291" cm="1">
        <f t="array" ref="AY173">IFERROR((IF($O173=1,0,NPV('2027 Avoided Costs'!$D$4,_xlfn._xlws.FILTER('2027 Avoided Costs'!$I$14:$I$47,('2027 Avoided Costs'!$B$14:$B$47&gt;=$B173+1)*('2027 Avoided Costs'!$B$14:$B$47&lt;$B173+ROUND($O173,0)))))+_xlfn.XLOOKUP($B173,'2027 Avoided Costs'!$B$13:$B$47,'2027 Avoided Costs'!$I$13:$I$47))*IF($X173="Residential",'2027 Avoided Costs'!$J$5,IF($X173="Large Volume",'2027 Avoided Costs'!$J$7,'2027 Avoided Costs'!$J$6))*IF($AE173&gt;0,$AE173,0),0)</f>
        <v>0</v>
      </c>
      <c r="AZ173" s="291" cm="1">
        <f t="array" ref="AZ173">IFERROR(IF($J173="Baseload",IF($O173=1,0,NPV('2027 Avoided Costs'!$D$6,_xlfn._xlws.FILTER('2027 Avoided Costs'!$C$14:$C$47,('2027 Avoided Costs'!$B$14:$B$47&gt;=$B173+1)*('2027 Avoided Costs'!$B$14:$B$47&lt;$B173+ROUND($O173,0)))))+_xlfn.XLOOKUP($B173,'2027 Avoided Costs'!$B$13:$B$47,'2027 Avoided Costs'!$C$13:$C$47),IF($O173=1,0,NPV('2027 Avoided Costs'!$D$6,_xlfn._xlws.FILTER('2027 Avoided Costs'!$E$14:$E$47,('2027 Avoided Costs'!$B$14:$B$47&gt;=$B173+1)*('2027 Avoided Costs'!$B$14:$B$47&lt;$B173+ROUND($O173,0)))))+_xlfn.XLOOKUP($B173,'2027 Avoided Costs'!$B$13:$B$47,'2027 Avoided Costs'!$E$13:$E$47))*IF($AE173&lt;0,$AE173*(-1),0),0)</f>
        <v>0</v>
      </c>
      <c r="BA173" s="291" cm="1">
        <f t="array" ref="BA173">IFERROR((IF($O173=1,0,NPV('2027 Avoided Costs'!$D$6,_xlfn._xlws.FILTER('2027 Avoided Costs'!$M$14:$M$47,('2027 Avoided Costs'!$B$14:$B$47&gt;=$B173+1)*('2027 Avoided Costs'!$B$14:$B$47&lt;$B173+ROUND($O173,0)))))+_xlfn.XLOOKUP($B173,'2027 Avoided Costs'!$B$13:$B$47,'2027 Avoided Costs'!$M$13:$M$47))*IF($AK173&lt;0,$AK173*(-1),0),0)</f>
        <v>0</v>
      </c>
      <c r="BB173" s="291" cm="1">
        <f t="array" ref="BB173">IFERROR((IF($O173=1,0,NPV('2027 Avoided Costs'!$D$6,_xlfn._xlws.FILTER('2027 Avoided Costs'!$S$14:$S$47,('2027 Avoided Costs'!$B$14:$B$47&gt;=$B173+1)*('2027 Avoided Costs'!$B$14:$B$47&lt;$B173+ROUND($O173,0)))))+_xlfn.XLOOKUP($B173,'2027 Avoided Costs'!$B$13:$B$47,'2027 Avoided Costs'!$S$13:$S$47))*IF($AI173&lt;0,$AI173*(-1),0),0)</f>
        <v>0</v>
      </c>
      <c r="BC173" s="291" cm="1">
        <f t="array" ref="BC173">IFERROR((IF($O173=1,0,NPV('2027 Avoided Costs'!$D$6,_xlfn._xlws.FILTER('2027 Avoided Costs'!$Y$14:$Y$47,('2027 Avoided Costs'!$B$14:$B$47&gt;=$B173+1)*('2027 Avoided Costs'!$B$14:$B$47&lt;$B173+ROUND($O173,0)))))+_xlfn.XLOOKUP($B173,'2027 Avoided Costs'!$B$13:$B$47,'2027 Avoided Costs'!$Y$13:$Y$47))*IF($AM173&lt;0,$AM173*(-1),0),0)</f>
        <v>0</v>
      </c>
      <c r="BD173" s="291" cm="1">
        <f t="array" ref="BD173">IFERROR((IF($O173=1,0,NPV('2027 Avoided Costs'!$D$6,_xlfn._xlws.FILTER('2027 Avoided Costs'!$AE$14:$AE$47,('2027 Avoided Costs'!$B$14:$B$47&gt;=$B173+1)*('2027 Avoided Costs'!$B$14:$B$47&lt;$B173+ROUND($O173,0)))))+_xlfn.XLOOKUP($B173,'2027 Avoided Costs'!$B$13:$B$47,'2027 Avoided Costs'!$AE$13:$AE$47))*IF($AO173&lt;0,$AO173*(-1),0),0)</f>
        <v>0</v>
      </c>
      <c r="BE173" s="291" cm="1">
        <f t="array" ref="BE173">IFERROR((IF($O173=1,0,NPV('2027 Avoided Costs'!$D$4,_xlfn._xlws.FILTER('2027 Avoided Costs'!$I$14:$I$47,('2027 Avoided Costs'!$B$14:$B$47&gt;=$B173+1)*('2027 Avoided Costs'!$B$14:$B$47&lt;$B173+ROUND($O173,0)))))+_xlfn.XLOOKUP($B173,'2027 Avoided Costs'!$B$13:$B$47,'2027 Avoided Costs'!$I$13:$I$47))*IF($X173="Residential",'2027 Avoided Costs'!$J$5,IF($X173="Large Volume",'2027 Avoided Costs'!$J$7,'2027 Avoided Costs'!$J$6))*IF($AE173&lt;0,$AE173*(-1),0),0)</f>
        <v>0</v>
      </c>
      <c r="BF173" s="291">
        <f t="shared" si="58"/>
        <v>1521556.7611303923</v>
      </c>
      <c r="BG173" s="291">
        <f t="shared" si="59"/>
        <v>638926.20000000007</v>
      </c>
      <c r="BH173" s="291">
        <f t="shared" si="60"/>
        <v>882630.56113039225</v>
      </c>
      <c r="BI173" s="292">
        <f t="shared" si="83"/>
        <v>2.3814280289811127</v>
      </c>
      <c r="BJ173" s="196" cm="1">
        <f t="array" ref="BJ173">IFERROR(IF($J173="Baseload",IF($O173=1,0,NPV('2027 Avoided Costs'!$D$6,_xlfn._xlws.FILTER('2027 Avoided Costs'!$C$14:$C$47,('2027 Avoided Costs'!$B$14:$B$47&gt;=$B173+1)*('2027 Avoided Costs'!$B$14:$B$47&lt;$B173+ROUND($O173,0)))))+_xlfn.XLOOKUP($B173,'2027 Avoided Costs'!$B$13:$B$47,'2027 Avoided Costs'!$C$13:$C$47),IF($O173=1,0,NPV('2027 Avoided Costs'!$D$6,_xlfn._xlws.FILTER('2027 Avoided Costs'!$E$14:$E$47,('2027 Avoided Costs'!$B$14:$B$47&gt;=$B173+1)*('2027 Avoided Costs'!$B$14:$B$47&lt;$B173+ROUND($O173,0)))))+_xlfn.XLOOKUP($B173,'2027 Avoided Costs'!$B$13:$B$47,'2027 Avoided Costs'!$E$13:$E$47))*IF($AE173&gt;0,$AE173*(1+0),0),0)</f>
        <v>1148793.9413956483</v>
      </c>
      <c r="BK173" s="293">
        <f t="shared" si="81"/>
        <v>3.2011737998137528</v>
      </c>
    </row>
    <row r="174" spans="1:63" s="56" customFormat="1" x14ac:dyDescent="0.25">
      <c r="A174" s="270" t="s">
        <v>133</v>
      </c>
      <c r="B174" s="271">
        <v>2029</v>
      </c>
      <c r="C174" s="272" t="s">
        <v>13</v>
      </c>
      <c r="D174" s="272" t="s">
        <v>163</v>
      </c>
      <c r="E174" s="272" t="s">
        <v>95</v>
      </c>
      <c r="F174" s="273">
        <v>35</v>
      </c>
      <c r="G174" s="274">
        <v>4388.2</v>
      </c>
      <c r="H174" s="275">
        <f t="shared" si="61"/>
        <v>1</v>
      </c>
      <c r="I174" s="274">
        <v>200</v>
      </c>
      <c r="J174" s="276" t="s">
        <v>264</v>
      </c>
      <c r="K174" s="277">
        <f t="shared" si="57"/>
        <v>0.5</v>
      </c>
      <c r="L174" s="278">
        <v>0.5</v>
      </c>
      <c r="M174" s="278">
        <v>0</v>
      </c>
      <c r="N174" s="278">
        <v>1</v>
      </c>
      <c r="O174" s="279">
        <v>15</v>
      </c>
      <c r="P174" s="280">
        <v>4388.2</v>
      </c>
      <c r="Q174" s="281">
        <v>164.86666666666667</v>
      </c>
      <c r="R174" s="282">
        <v>0.10046789616513715</v>
      </c>
      <c r="S174" s="282">
        <v>2.9674956783151837E-2</v>
      </c>
      <c r="T174" s="281">
        <v>0</v>
      </c>
      <c r="U174" s="283">
        <v>0.62999999999999989</v>
      </c>
      <c r="V174" s="284">
        <v>12313.533333333333</v>
      </c>
      <c r="W174" s="285">
        <v>0.15</v>
      </c>
      <c r="X174" s="286" t="s">
        <v>255</v>
      </c>
      <c r="Y174" s="287">
        <f t="shared" si="62"/>
        <v>35</v>
      </c>
      <c r="Z174" s="288">
        <f t="shared" si="63"/>
        <v>153587</v>
      </c>
      <c r="AA174" s="288">
        <f t="shared" si="64"/>
        <v>7000</v>
      </c>
      <c r="AB174" s="288">
        <f t="shared" si="65"/>
        <v>159791.9148</v>
      </c>
      <c r="AC174" s="288">
        <f t="shared" si="82"/>
        <v>7242.8708800000013</v>
      </c>
      <c r="AD174" s="287">
        <f t="shared" si="66"/>
        <v>153587</v>
      </c>
      <c r="AE174" s="287">
        <f t="shared" si="67"/>
        <v>76793.5</v>
      </c>
      <c r="AF174" s="287">
        <f t="shared" si="68"/>
        <v>2303805</v>
      </c>
      <c r="AG174" s="287">
        <f t="shared" si="69"/>
        <v>1151902.5</v>
      </c>
      <c r="AH174" s="287">
        <f t="shared" si="70"/>
        <v>6185.7973333333348</v>
      </c>
      <c r="AI174" s="287">
        <f t="shared" si="71"/>
        <v>3092.8986666666674</v>
      </c>
      <c r="AJ174" s="287">
        <f t="shared" si="72"/>
        <v>0</v>
      </c>
      <c r="AK174" s="287">
        <f t="shared" si="73"/>
        <v>0</v>
      </c>
      <c r="AL174" s="287">
        <f t="shared" si="74"/>
        <v>3.7695554641159461</v>
      </c>
      <c r="AM174" s="287">
        <f t="shared" si="75"/>
        <v>1.8847777320579731</v>
      </c>
      <c r="AN174" s="287">
        <f t="shared" si="76"/>
        <v>1.1134043785038572</v>
      </c>
      <c r="AO174" s="287">
        <f t="shared" si="77"/>
        <v>0.5567021892519286</v>
      </c>
      <c r="AP174" s="287">
        <f t="shared" si="78"/>
        <v>430973.66666666663</v>
      </c>
      <c r="AQ174" s="287">
        <f t="shared" si="79"/>
        <v>215486.83333333331</v>
      </c>
      <c r="AR174" s="287">
        <f t="shared" si="80"/>
        <v>48379.904999999992</v>
      </c>
      <c r="AS174" s="289" t="e">
        <f>IF(J174='2027 Avoided Costs'!#REF!,3,5)</f>
        <v>#REF!</v>
      </c>
      <c r="AT174" s="290" cm="1">
        <f t="array" ref="AT174">IFERROR(IF($J174="Baseload",IF($O174=1,0,NPV('2027 Avoided Costs'!$D$6,_xlfn._xlws.FILTER('2027 Avoided Costs'!$C$14:$C$47,('2027 Avoided Costs'!$B$14:$B$47&gt;=$B174+1)*('2027 Avoided Costs'!$B$14:$B$47&lt;$B174+ROUND($O174,0)))))+_xlfn.XLOOKUP($B174,'2027 Avoided Costs'!$B$13:$B$47,'2027 Avoided Costs'!$C$13:$C$47),IF($O174=1,0,NPV('2027 Avoided Costs'!$D$6,_xlfn._xlws.FILTER('2027 Avoided Costs'!$E$14:$E$47,('2027 Avoided Costs'!$B$14:$B$47&gt;=$B174+1)*('2027 Avoided Costs'!$B$14:$B$47&lt;$B174+ROUND($O174,0)))))+_xlfn.XLOOKUP($B174,'2027 Avoided Costs'!$B$13:$B$47,'2027 Avoided Costs'!$E$13:$E$47))*IF($AE174&gt;0,$AE174*(1+$W174),0),0)</f>
        <v>326453.18818471348</v>
      </c>
      <c r="AU174" s="290" cm="1">
        <f t="array" ref="AU174">IFERROR((IF($O174=1,0,NPV('2027 Avoided Costs'!$D$6,_xlfn._xlws.FILTER('2027 Avoided Costs'!$M$14:$M$47,('2027 Avoided Costs'!$B$14:$B$47&gt;=$B174+1)*('2027 Avoided Costs'!$B$14:$B$47&lt;$B174+ROUND($O174,0)))))+_xlfn.XLOOKUP($B174,'2027 Avoided Costs'!$B$13:$B$47,'2027 Avoided Costs'!$M$13:$M$47))*IF($AK174&gt;0,$AK174*(1+$W174),0),0)</f>
        <v>0</v>
      </c>
      <c r="AV174" s="291" cm="1">
        <f t="array" ref="AV174">IFERROR((IF($O174=1,0,NPV('2027 Avoided Costs'!$D$6,_xlfn._xlws.FILTER('2027 Avoided Costs'!$Q$14:$Q$47,('2027 Avoided Costs'!$B$14:$B$47&gt;=$B174+1)*('2027 Avoided Costs'!$B$14:$B$47&lt;$B174+ROUND($O174,0)))))+_xlfn.XLOOKUP($B174,'2027 Avoided Costs'!$B$13:$B$47,'2027 Avoided Costs'!$Q$13:$Q$47))*IF($AI174&gt;0,$AI174*(1+$W174),0),0)</f>
        <v>2019.5165738613371</v>
      </c>
      <c r="AW174" s="291" cm="1">
        <f t="array" ref="AW174">IFERROR((IF($O174=1,0,NPV('2027 Avoided Costs'!$D$6,_xlfn._xlws.FILTER('2027 Avoided Costs'!$W$14:$W$47,('2027 Avoided Costs'!$B$14:$B$47&gt;=$B174+1)*('2027 Avoided Costs'!$B$14:$B$47&lt;$B174+ROUND($O174,0)))))+_xlfn.XLOOKUP($B174,'2027 Avoided Costs'!$B$13:$B$47,'2027 Avoided Costs'!$W$13:$W$47))*IF($AM174&gt;0,$AM174*(1+$W174),0),0)</f>
        <v>7630.9516865508258</v>
      </c>
      <c r="AX174" s="291" cm="1">
        <f t="array" ref="AX174">IFERROR((IF($O174=1,0,NPV('2027 Avoided Costs'!$D$6,_xlfn._xlws.FILTER('2027 Avoided Costs'!$AC$14:$AC$47,('2027 Avoided Costs'!$B$14:$B$47&gt;=$B174+1)*('2027 Avoided Costs'!$B$14:$B$47&lt;$B174+ROUND($O174,0)))))+_xlfn.XLOOKUP($B174,'2027 Avoided Costs'!$B$13:$B$47,'2027 Avoided Costs'!$AC$13:$AC$47))*IF($AO174&gt;0,$AO174*(1+$W174),0),0)</f>
        <v>296.92423503440506</v>
      </c>
      <c r="AY174" s="291" cm="1">
        <f t="array" ref="AY174">IFERROR((IF($O174=1,0,NPV('2027 Avoided Costs'!$D$4,_xlfn._xlws.FILTER('2027 Avoided Costs'!$I$14:$I$47,('2027 Avoided Costs'!$B$14:$B$47&gt;=$B174+1)*('2027 Avoided Costs'!$B$14:$B$47&lt;$B174+ROUND($O174,0)))))+_xlfn.XLOOKUP($B174,'2027 Avoided Costs'!$B$13:$B$47,'2027 Avoided Costs'!$I$13:$I$47))*IF($X174="Residential",'2027 Avoided Costs'!$J$5,IF($X174="Large Volume",'2027 Avoided Costs'!$J$7,'2027 Avoided Costs'!$J$6))*IF($AE174&gt;0,$AE174,0),0)</f>
        <v>0</v>
      </c>
      <c r="AZ174" s="291" cm="1">
        <f t="array" ref="AZ174">IFERROR(IF($J174="Baseload",IF($O174=1,0,NPV('2027 Avoided Costs'!$D$6,_xlfn._xlws.FILTER('2027 Avoided Costs'!$C$14:$C$47,('2027 Avoided Costs'!$B$14:$B$47&gt;=$B174+1)*('2027 Avoided Costs'!$B$14:$B$47&lt;$B174+ROUND($O174,0)))))+_xlfn.XLOOKUP($B174,'2027 Avoided Costs'!$B$13:$B$47,'2027 Avoided Costs'!$C$13:$C$47),IF($O174=1,0,NPV('2027 Avoided Costs'!$D$6,_xlfn._xlws.FILTER('2027 Avoided Costs'!$E$14:$E$47,('2027 Avoided Costs'!$B$14:$B$47&gt;=$B174+1)*('2027 Avoided Costs'!$B$14:$B$47&lt;$B174+ROUND($O174,0)))))+_xlfn.XLOOKUP($B174,'2027 Avoided Costs'!$B$13:$B$47,'2027 Avoided Costs'!$E$13:$E$47))*IF($AE174&lt;0,$AE174*(-1),0),0)</f>
        <v>0</v>
      </c>
      <c r="BA174" s="291" cm="1">
        <f t="array" ref="BA174">IFERROR((IF($O174=1,0,NPV('2027 Avoided Costs'!$D$6,_xlfn._xlws.FILTER('2027 Avoided Costs'!$M$14:$M$47,('2027 Avoided Costs'!$B$14:$B$47&gt;=$B174+1)*('2027 Avoided Costs'!$B$14:$B$47&lt;$B174+ROUND($O174,0)))))+_xlfn.XLOOKUP($B174,'2027 Avoided Costs'!$B$13:$B$47,'2027 Avoided Costs'!$M$13:$M$47))*IF($AK174&lt;0,$AK174*(-1),0),0)</f>
        <v>0</v>
      </c>
      <c r="BB174" s="291" cm="1">
        <f t="array" ref="BB174">IFERROR((IF($O174=1,0,NPV('2027 Avoided Costs'!$D$6,_xlfn._xlws.FILTER('2027 Avoided Costs'!$S$14:$S$47,('2027 Avoided Costs'!$B$14:$B$47&gt;=$B174+1)*('2027 Avoided Costs'!$B$14:$B$47&lt;$B174+ROUND($O174,0)))))+_xlfn.XLOOKUP($B174,'2027 Avoided Costs'!$B$13:$B$47,'2027 Avoided Costs'!$S$13:$S$47))*IF($AI174&lt;0,$AI174*(-1),0),0)</f>
        <v>0</v>
      </c>
      <c r="BC174" s="291" cm="1">
        <f t="array" ref="BC174">IFERROR((IF($O174=1,0,NPV('2027 Avoided Costs'!$D$6,_xlfn._xlws.FILTER('2027 Avoided Costs'!$Y$14:$Y$47,('2027 Avoided Costs'!$B$14:$B$47&gt;=$B174+1)*('2027 Avoided Costs'!$B$14:$B$47&lt;$B174+ROUND($O174,0)))))+_xlfn.XLOOKUP($B174,'2027 Avoided Costs'!$B$13:$B$47,'2027 Avoided Costs'!$Y$13:$Y$47))*IF($AM174&lt;0,$AM174*(-1),0),0)</f>
        <v>0</v>
      </c>
      <c r="BD174" s="291" cm="1">
        <f t="array" ref="BD174">IFERROR((IF($O174=1,0,NPV('2027 Avoided Costs'!$D$6,_xlfn._xlws.FILTER('2027 Avoided Costs'!$AE$14:$AE$47,('2027 Avoided Costs'!$B$14:$B$47&gt;=$B174+1)*('2027 Avoided Costs'!$B$14:$B$47&lt;$B174+ROUND($O174,0)))))+_xlfn.XLOOKUP($B174,'2027 Avoided Costs'!$B$13:$B$47,'2027 Avoided Costs'!$AE$13:$AE$47))*IF($AO174&lt;0,$AO174*(-1),0),0)</f>
        <v>0</v>
      </c>
      <c r="BE174" s="291" cm="1">
        <f t="array" ref="BE174">IFERROR((IF($O174=1,0,NPV('2027 Avoided Costs'!$D$4,_xlfn._xlws.FILTER('2027 Avoided Costs'!$I$14:$I$47,('2027 Avoided Costs'!$B$14:$B$47&gt;=$B174+1)*('2027 Avoided Costs'!$B$14:$B$47&lt;$B174+ROUND($O174,0)))))+_xlfn.XLOOKUP($B174,'2027 Avoided Costs'!$B$13:$B$47,'2027 Avoided Costs'!$I$13:$I$47))*IF($X174="Residential",'2027 Avoided Costs'!$J$5,IF($X174="Large Volume",'2027 Avoided Costs'!$J$7,'2027 Avoided Costs'!$J$6))*IF($AE174&lt;0,$AE174*(-1),0),0)</f>
        <v>0</v>
      </c>
      <c r="BF174" s="291">
        <f t="shared" si="58"/>
        <v>336400.58068016003</v>
      </c>
      <c r="BG174" s="291">
        <f t="shared" si="59"/>
        <v>215486.83333333331</v>
      </c>
      <c r="BH174" s="291">
        <f t="shared" si="60"/>
        <v>120913.74734682671</v>
      </c>
      <c r="BI174" s="292">
        <f t="shared" si="83"/>
        <v>1.5611189578334332</v>
      </c>
      <c r="BJ174" s="196" cm="1">
        <f t="array" ref="BJ174">IFERROR(IF($J174="Baseload",IF($O174=1,0,NPV('2027 Avoided Costs'!$D$6,_xlfn._xlws.FILTER('2027 Avoided Costs'!$C$14:$C$47,('2027 Avoided Costs'!$B$14:$B$47&gt;=$B174+1)*('2027 Avoided Costs'!$B$14:$B$47&lt;$B174+ROUND($O174,0)))))+_xlfn.XLOOKUP($B174,'2027 Avoided Costs'!$B$13:$B$47,'2027 Avoided Costs'!$C$13:$C$47),IF($O174=1,0,NPV('2027 Avoided Costs'!$D$6,_xlfn._xlws.FILTER('2027 Avoided Costs'!$E$14:$E$47,('2027 Avoided Costs'!$B$14:$B$47&gt;=$B174+1)*('2027 Avoided Costs'!$B$14:$B$47&lt;$B174+ROUND($O174,0)))))+_xlfn.XLOOKUP($B174,'2027 Avoided Costs'!$B$13:$B$47,'2027 Avoided Costs'!$E$13:$E$47))*IF($AE174&gt;0,$AE174*(1+0),0),0)</f>
        <v>283872.33755192481</v>
      </c>
      <c r="BK174" s="293">
        <f t="shared" si="81"/>
        <v>1.6994803591136909</v>
      </c>
    </row>
    <row r="175" spans="1:63" s="56" customFormat="1" x14ac:dyDescent="0.25">
      <c r="A175" s="270" t="s">
        <v>133</v>
      </c>
      <c r="B175" s="271">
        <v>2029</v>
      </c>
      <c r="C175" s="272" t="s">
        <v>13</v>
      </c>
      <c r="D175" s="272" t="s">
        <v>163</v>
      </c>
      <c r="E175" s="272" t="s">
        <v>96</v>
      </c>
      <c r="F175" s="273">
        <v>95</v>
      </c>
      <c r="G175" s="274">
        <v>5623.2761250000003</v>
      </c>
      <c r="H175" s="275">
        <f t="shared" si="61"/>
        <v>1</v>
      </c>
      <c r="I175" s="274">
        <v>200</v>
      </c>
      <c r="J175" s="276" t="s">
        <v>264</v>
      </c>
      <c r="K175" s="277">
        <f t="shared" si="57"/>
        <v>0.62000000000000011</v>
      </c>
      <c r="L175" s="278">
        <v>0.37999999999999995</v>
      </c>
      <c r="M175" s="278">
        <v>0</v>
      </c>
      <c r="N175" s="278">
        <v>1.0269999999999999</v>
      </c>
      <c r="O175" s="279">
        <v>15</v>
      </c>
      <c r="P175" s="280">
        <v>5623.2761250000003</v>
      </c>
      <c r="Q175" s="281">
        <v>24433.474999999999</v>
      </c>
      <c r="R175" s="282">
        <v>5.578418949771689</v>
      </c>
      <c r="S175" s="282">
        <v>5.578418949771689</v>
      </c>
      <c r="T175" s="281">
        <v>0</v>
      </c>
      <c r="U175" s="283">
        <v>0.29000000000000004</v>
      </c>
      <c r="V175" s="284">
        <v>13805.0625</v>
      </c>
      <c r="W175" s="285">
        <v>0.15</v>
      </c>
      <c r="X175" s="286" t="s">
        <v>255</v>
      </c>
      <c r="Y175" s="287">
        <f t="shared" si="62"/>
        <v>95</v>
      </c>
      <c r="Z175" s="288">
        <f t="shared" si="63"/>
        <v>534211.23187500006</v>
      </c>
      <c r="AA175" s="288">
        <f t="shared" si="64"/>
        <v>19000</v>
      </c>
      <c r="AB175" s="288">
        <f t="shared" si="65"/>
        <v>555793.36564275005</v>
      </c>
      <c r="AC175" s="288">
        <f t="shared" si="82"/>
        <v>19659.220960000002</v>
      </c>
      <c r="AD175" s="287">
        <f t="shared" si="66"/>
        <v>548634.93513562495</v>
      </c>
      <c r="AE175" s="287">
        <f t="shared" si="67"/>
        <v>340153.6597840875</v>
      </c>
      <c r="AF175" s="287">
        <f t="shared" si="68"/>
        <v>8229524.027034374</v>
      </c>
      <c r="AG175" s="287">
        <f t="shared" si="69"/>
        <v>5102304.8967613121</v>
      </c>
      <c r="AH175" s="287">
        <f t="shared" si="70"/>
        <v>2555489.3315379997</v>
      </c>
      <c r="AI175" s="287">
        <f t="shared" si="71"/>
        <v>1584403.38555356</v>
      </c>
      <c r="AJ175" s="287">
        <f t="shared" si="72"/>
        <v>0</v>
      </c>
      <c r="AK175" s="287">
        <f t="shared" si="73"/>
        <v>0</v>
      </c>
      <c r="AL175" s="287">
        <f t="shared" si="74"/>
        <v>583.44505286255696</v>
      </c>
      <c r="AM175" s="287">
        <f t="shared" si="75"/>
        <v>361.7359327747854</v>
      </c>
      <c r="AN175" s="287">
        <f t="shared" si="76"/>
        <v>583.44505286255696</v>
      </c>
      <c r="AO175" s="287">
        <f t="shared" si="77"/>
        <v>361.7359327747854</v>
      </c>
      <c r="AP175" s="287">
        <f t="shared" si="78"/>
        <v>1311480.9375</v>
      </c>
      <c r="AQ175" s="287">
        <f t="shared" si="79"/>
        <v>813118.18125000014</v>
      </c>
      <c r="AR175" s="287">
        <f t="shared" si="80"/>
        <v>98644.561337385385</v>
      </c>
      <c r="AS175" s="289" t="e">
        <f>IF(J175='2027 Avoided Costs'!#REF!,3,5)</f>
        <v>#REF!</v>
      </c>
      <c r="AT175" s="290" cm="1">
        <f t="array" ref="AT175">IFERROR(IF($J175="Baseload",IF($O175=1,0,NPV('2027 Avoided Costs'!$D$6,_xlfn._xlws.FILTER('2027 Avoided Costs'!$C$14:$C$47,('2027 Avoided Costs'!$B$14:$B$47&gt;=$B175+1)*('2027 Avoided Costs'!$B$14:$B$47&lt;$B175+ROUND($O175,0)))))+_xlfn.XLOOKUP($B175,'2027 Avoided Costs'!$B$13:$B$47,'2027 Avoided Costs'!$C$13:$C$47),IF($O175=1,0,NPV('2027 Avoided Costs'!$D$6,_xlfn._xlws.FILTER('2027 Avoided Costs'!$E$14:$E$47,('2027 Avoided Costs'!$B$14:$B$47&gt;=$B175+1)*('2027 Avoided Costs'!$B$14:$B$47&lt;$B175+ROUND($O175,0)))))+_xlfn.XLOOKUP($B175,'2027 Avoided Costs'!$B$13:$B$47,'2027 Avoided Costs'!$E$13:$E$47))*IF($AE175&gt;0,$AE175*(1+$W175),0),0)</f>
        <v>1446011.0127707908</v>
      </c>
      <c r="AU175" s="290" cm="1">
        <f t="array" ref="AU175">IFERROR((IF($O175=1,0,NPV('2027 Avoided Costs'!$D$6,_xlfn._xlws.FILTER('2027 Avoided Costs'!$M$14:$M$47,('2027 Avoided Costs'!$B$14:$B$47&gt;=$B175+1)*('2027 Avoided Costs'!$B$14:$B$47&lt;$B175+ROUND($O175,0)))))+_xlfn.XLOOKUP($B175,'2027 Avoided Costs'!$B$13:$B$47,'2027 Avoided Costs'!$M$13:$M$47))*IF($AK175&gt;0,$AK175*(1+$W175),0),0)</f>
        <v>0</v>
      </c>
      <c r="AV175" s="291" cm="1">
        <f t="array" ref="AV175">IFERROR((IF($O175=1,0,NPV('2027 Avoided Costs'!$D$6,_xlfn._xlws.FILTER('2027 Avoided Costs'!$Q$14:$Q$47,('2027 Avoided Costs'!$B$14:$B$47&gt;=$B175+1)*('2027 Avoided Costs'!$B$14:$B$47&lt;$B175+ROUND($O175,0)))))+_xlfn.XLOOKUP($B175,'2027 Avoided Costs'!$B$13:$B$47,'2027 Avoided Costs'!$Q$13:$Q$47))*IF($AI175&gt;0,$AI175*(1+$W175),0),0)</f>
        <v>1034540.4882779091</v>
      </c>
      <c r="AW175" s="291" cm="1">
        <f t="array" ref="AW175">IFERROR((IF($O175=1,0,NPV('2027 Avoided Costs'!$D$6,_xlfn._xlws.FILTER('2027 Avoided Costs'!$W$14:$W$47,('2027 Avoided Costs'!$B$14:$B$47&gt;=$B175+1)*('2027 Avoided Costs'!$B$14:$B$47&lt;$B175+ROUND($O175,0)))))+_xlfn.XLOOKUP($B175,'2027 Avoided Costs'!$B$13:$B$47,'2027 Avoided Costs'!$W$13:$W$47))*IF($AM175&gt;0,$AM175*(1+$W175),0),0)</f>
        <v>1464570.2670095421</v>
      </c>
      <c r="AX175" s="291" cm="1">
        <f t="array" ref="AX175">IFERROR((IF($O175=1,0,NPV('2027 Avoided Costs'!$D$6,_xlfn._xlws.FILTER('2027 Avoided Costs'!$AC$14:$AC$47,('2027 Avoided Costs'!$B$14:$B$47&gt;=$B175+1)*('2027 Avoided Costs'!$B$14:$B$47&lt;$B175+ROUND($O175,0)))))+_xlfn.XLOOKUP($B175,'2027 Avoided Costs'!$B$13:$B$47,'2027 Avoided Costs'!$AC$13:$AC$47))*IF($AO175&gt;0,$AO175*(1+$W175),0),0)</f>
        <v>192936.48776186851</v>
      </c>
      <c r="AY175" s="291" cm="1">
        <f t="array" ref="AY175">IFERROR((IF($O175=1,0,NPV('2027 Avoided Costs'!$D$4,_xlfn._xlws.FILTER('2027 Avoided Costs'!$I$14:$I$47,('2027 Avoided Costs'!$B$14:$B$47&gt;=$B175+1)*('2027 Avoided Costs'!$B$14:$B$47&lt;$B175+ROUND($O175,0)))))+_xlfn.XLOOKUP($B175,'2027 Avoided Costs'!$B$13:$B$47,'2027 Avoided Costs'!$I$13:$I$47))*IF($X175="Residential",'2027 Avoided Costs'!$J$5,IF($X175="Large Volume",'2027 Avoided Costs'!$J$7,'2027 Avoided Costs'!$J$6))*IF($AE175&gt;0,$AE175,0),0)</f>
        <v>0</v>
      </c>
      <c r="AZ175" s="291" cm="1">
        <f t="array" ref="AZ175">IFERROR(IF($J175="Baseload",IF($O175=1,0,NPV('2027 Avoided Costs'!$D$6,_xlfn._xlws.FILTER('2027 Avoided Costs'!$C$14:$C$47,('2027 Avoided Costs'!$B$14:$B$47&gt;=$B175+1)*('2027 Avoided Costs'!$B$14:$B$47&lt;$B175+ROUND($O175,0)))))+_xlfn.XLOOKUP($B175,'2027 Avoided Costs'!$B$13:$B$47,'2027 Avoided Costs'!$C$13:$C$47),IF($O175=1,0,NPV('2027 Avoided Costs'!$D$6,_xlfn._xlws.FILTER('2027 Avoided Costs'!$E$14:$E$47,('2027 Avoided Costs'!$B$14:$B$47&gt;=$B175+1)*('2027 Avoided Costs'!$B$14:$B$47&lt;$B175+ROUND($O175,0)))))+_xlfn.XLOOKUP($B175,'2027 Avoided Costs'!$B$13:$B$47,'2027 Avoided Costs'!$E$13:$E$47))*IF($AE175&lt;0,$AE175*(-1),0),0)</f>
        <v>0</v>
      </c>
      <c r="BA175" s="291" cm="1">
        <f t="array" ref="BA175">IFERROR((IF($O175=1,0,NPV('2027 Avoided Costs'!$D$6,_xlfn._xlws.FILTER('2027 Avoided Costs'!$M$14:$M$47,('2027 Avoided Costs'!$B$14:$B$47&gt;=$B175+1)*('2027 Avoided Costs'!$B$14:$B$47&lt;$B175+ROUND($O175,0)))))+_xlfn.XLOOKUP($B175,'2027 Avoided Costs'!$B$13:$B$47,'2027 Avoided Costs'!$M$13:$M$47))*IF($AK175&lt;0,$AK175*(-1),0),0)</f>
        <v>0</v>
      </c>
      <c r="BB175" s="291" cm="1">
        <f t="array" ref="BB175">IFERROR((IF($O175=1,0,NPV('2027 Avoided Costs'!$D$6,_xlfn._xlws.FILTER('2027 Avoided Costs'!$S$14:$S$47,('2027 Avoided Costs'!$B$14:$B$47&gt;=$B175+1)*('2027 Avoided Costs'!$B$14:$B$47&lt;$B175+ROUND($O175,0)))))+_xlfn.XLOOKUP($B175,'2027 Avoided Costs'!$B$13:$B$47,'2027 Avoided Costs'!$S$13:$S$47))*IF($AI175&lt;0,$AI175*(-1),0),0)</f>
        <v>0</v>
      </c>
      <c r="BC175" s="291" cm="1">
        <f t="array" ref="BC175">IFERROR((IF($O175=1,0,NPV('2027 Avoided Costs'!$D$6,_xlfn._xlws.FILTER('2027 Avoided Costs'!$Y$14:$Y$47,('2027 Avoided Costs'!$B$14:$B$47&gt;=$B175+1)*('2027 Avoided Costs'!$B$14:$B$47&lt;$B175+ROUND($O175,0)))))+_xlfn.XLOOKUP($B175,'2027 Avoided Costs'!$B$13:$B$47,'2027 Avoided Costs'!$Y$13:$Y$47))*IF($AM175&lt;0,$AM175*(-1),0),0)</f>
        <v>0</v>
      </c>
      <c r="BD175" s="291" cm="1">
        <f t="array" ref="BD175">IFERROR((IF($O175=1,0,NPV('2027 Avoided Costs'!$D$6,_xlfn._xlws.FILTER('2027 Avoided Costs'!$AE$14:$AE$47,('2027 Avoided Costs'!$B$14:$B$47&gt;=$B175+1)*('2027 Avoided Costs'!$B$14:$B$47&lt;$B175+ROUND($O175,0)))))+_xlfn.XLOOKUP($B175,'2027 Avoided Costs'!$B$13:$B$47,'2027 Avoided Costs'!$AE$13:$AE$47))*IF($AO175&lt;0,$AO175*(-1),0),0)</f>
        <v>0</v>
      </c>
      <c r="BE175" s="291" cm="1">
        <f t="array" ref="BE175">IFERROR((IF($O175=1,0,NPV('2027 Avoided Costs'!$D$4,_xlfn._xlws.FILTER('2027 Avoided Costs'!$I$14:$I$47,('2027 Avoided Costs'!$B$14:$B$47&gt;=$B175+1)*('2027 Avoided Costs'!$B$14:$B$47&lt;$B175+ROUND($O175,0)))))+_xlfn.XLOOKUP($B175,'2027 Avoided Costs'!$B$13:$B$47,'2027 Avoided Costs'!$I$13:$I$47))*IF($X175="Residential",'2027 Avoided Costs'!$J$5,IF($X175="Large Volume",'2027 Avoided Costs'!$J$7,'2027 Avoided Costs'!$J$6))*IF($AE175&lt;0,$AE175*(-1),0),0)</f>
        <v>0</v>
      </c>
      <c r="BF175" s="291">
        <f t="shared" si="58"/>
        <v>4138058.2558201109</v>
      </c>
      <c r="BG175" s="291">
        <f t="shared" si="59"/>
        <v>813118.18125000014</v>
      </c>
      <c r="BH175" s="291">
        <f t="shared" si="60"/>
        <v>3324940.074570111</v>
      </c>
      <c r="BI175" s="292">
        <f t="shared" si="83"/>
        <v>5.0891227760504716</v>
      </c>
      <c r="BJ175" s="196" cm="1">
        <f t="array" ref="BJ175">IFERROR(IF($J175="Baseload",IF($O175=1,0,NPV('2027 Avoided Costs'!$D$6,_xlfn._xlws.FILTER('2027 Avoided Costs'!$C$14:$C$47,('2027 Avoided Costs'!$B$14:$B$47&gt;=$B175+1)*('2027 Avoided Costs'!$B$14:$B$47&lt;$B175+ROUND($O175,0)))))+_xlfn.XLOOKUP($B175,'2027 Avoided Costs'!$B$13:$B$47,'2027 Avoided Costs'!$C$13:$C$47),IF($O175=1,0,NPV('2027 Avoided Costs'!$D$6,_xlfn._xlws.FILTER('2027 Avoided Costs'!$E$14:$E$47,('2027 Avoided Costs'!$B$14:$B$47&gt;=$B175+1)*('2027 Avoided Costs'!$B$14:$B$47&lt;$B175+ROUND($O175,0)))))+_xlfn.XLOOKUP($B175,'2027 Avoided Costs'!$B$13:$B$47,'2027 Avoided Costs'!$E$13:$E$47))*IF($AE175&gt;0,$AE175*(1+0),0),0)</f>
        <v>1257400.880670253</v>
      </c>
      <c r="BK175" s="293">
        <f t="shared" si="81"/>
        <v>2.1850642606256452</v>
      </c>
    </row>
    <row r="176" spans="1:63" s="56" customFormat="1" x14ac:dyDescent="0.25">
      <c r="A176" s="270" t="s">
        <v>133</v>
      </c>
      <c r="B176" s="271">
        <v>2029</v>
      </c>
      <c r="C176" s="272" t="s">
        <v>13</v>
      </c>
      <c r="D176" s="272" t="s">
        <v>163</v>
      </c>
      <c r="E176" s="272" t="s">
        <v>97</v>
      </c>
      <c r="F176" s="273">
        <v>122</v>
      </c>
      <c r="G176" s="274">
        <v>1295</v>
      </c>
      <c r="H176" s="275">
        <f t="shared" si="61"/>
        <v>0.18943826799297836</v>
      </c>
      <c r="I176" s="274">
        <v>200</v>
      </c>
      <c r="J176" s="276" t="s">
        <v>264</v>
      </c>
      <c r="K176" s="277">
        <f t="shared" si="57"/>
        <v>0.79999999999999993</v>
      </c>
      <c r="L176" s="278">
        <v>0.20000000000000007</v>
      </c>
      <c r="M176" s="278">
        <v>0</v>
      </c>
      <c r="N176" s="278">
        <v>1.0414000000000001</v>
      </c>
      <c r="O176" s="279">
        <v>15</v>
      </c>
      <c r="P176" s="280">
        <v>6836</v>
      </c>
      <c r="Q176" s="281">
        <v>0</v>
      </c>
      <c r="R176" s="282">
        <v>0</v>
      </c>
      <c r="S176" s="282">
        <v>0</v>
      </c>
      <c r="T176" s="281">
        <v>0</v>
      </c>
      <c r="U176" s="283">
        <v>0.54</v>
      </c>
      <c r="V176" s="284">
        <v>2590</v>
      </c>
      <c r="W176" s="285">
        <v>0.15</v>
      </c>
      <c r="X176" s="286" t="s">
        <v>255</v>
      </c>
      <c r="Y176" s="287">
        <f t="shared" si="62"/>
        <v>122</v>
      </c>
      <c r="Z176" s="288">
        <f t="shared" si="63"/>
        <v>157990</v>
      </c>
      <c r="AA176" s="288">
        <f t="shared" si="64"/>
        <v>24400</v>
      </c>
      <c r="AB176" s="288">
        <f t="shared" si="65"/>
        <v>164372.796</v>
      </c>
      <c r="AC176" s="288">
        <f t="shared" si="82"/>
        <v>25246.578496000002</v>
      </c>
      <c r="AD176" s="287">
        <f t="shared" si="66"/>
        <v>868519.26880000008</v>
      </c>
      <c r="AE176" s="287">
        <f t="shared" si="67"/>
        <v>694815.41503999999</v>
      </c>
      <c r="AF176" s="287">
        <f t="shared" si="68"/>
        <v>13027789.032000002</v>
      </c>
      <c r="AG176" s="287">
        <f t="shared" si="69"/>
        <v>10422231.2256</v>
      </c>
      <c r="AH176" s="287">
        <f t="shared" si="70"/>
        <v>0</v>
      </c>
      <c r="AI176" s="287">
        <f t="shared" si="71"/>
        <v>0</v>
      </c>
      <c r="AJ176" s="287">
        <f t="shared" si="72"/>
        <v>0</v>
      </c>
      <c r="AK176" s="287">
        <f t="shared" si="73"/>
        <v>0</v>
      </c>
      <c r="AL176" s="287">
        <f t="shared" si="74"/>
        <v>0</v>
      </c>
      <c r="AM176" s="287">
        <f t="shared" si="75"/>
        <v>0</v>
      </c>
      <c r="AN176" s="287">
        <f t="shared" si="76"/>
        <v>0</v>
      </c>
      <c r="AO176" s="287">
        <f t="shared" si="77"/>
        <v>0</v>
      </c>
      <c r="AP176" s="287">
        <f t="shared" si="78"/>
        <v>315980</v>
      </c>
      <c r="AQ176" s="287">
        <f t="shared" si="79"/>
        <v>252783.99999999997</v>
      </c>
      <c r="AR176" s="287">
        <f t="shared" si="80"/>
        <v>375200.32412160002</v>
      </c>
      <c r="AS176" s="289" t="e">
        <f>IF(J176='2027 Avoided Costs'!#REF!,3,5)</f>
        <v>#REF!</v>
      </c>
      <c r="AT176" s="290" cm="1">
        <f t="array" ref="AT176">IFERROR(IF($J176="Baseload",IF($O176=1,0,NPV('2027 Avoided Costs'!$D$6,_xlfn._xlws.FILTER('2027 Avoided Costs'!$C$14:$C$47,('2027 Avoided Costs'!$B$14:$B$47&gt;=$B176+1)*('2027 Avoided Costs'!$B$14:$B$47&lt;$B176+ROUND($O176,0)))))+_xlfn.XLOOKUP($B176,'2027 Avoided Costs'!$B$13:$B$47,'2027 Avoided Costs'!$C$13:$C$47),IF($O176=1,0,NPV('2027 Avoided Costs'!$D$6,_xlfn._xlws.FILTER('2027 Avoided Costs'!$E$14:$E$47,('2027 Avoided Costs'!$B$14:$B$47&gt;=$B176+1)*('2027 Avoided Costs'!$B$14:$B$47&lt;$B176+ROUND($O176,0)))))+_xlfn.XLOOKUP($B176,'2027 Avoided Costs'!$B$13:$B$47,'2027 Avoided Costs'!$E$13:$E$47))*IF($AE176&gt;0,$AE176*(1+$W176),0),0)</f>
        <v>2953696.698805145</v>
      </c>
      <c r="AU176" s="290" cm="1">
        <f t="array" ref="AU176">IFERROR((IF($O176=1,0,NPV('2027 Avoided Costs'!$D$6,_xlfn._xlws.FILTER('2027 Avoided Costs'!$M$14:$M$47,('2027 Avoided Costs'!$B$14:$B$47&gt;=$B176+1)*('2027 Avoided Costs'!$B$14:$B$47&lt;$B176+ROUND($O176,0)))))+_xlfn.XLOOKUP($B176,'2027 Avoided Costs'!$B$13:$B$47,'2027 Avoided Costs'!$M$13:$M$47))*IF($AK176&gt;0,$AK176*(1+$W176),0),0)</f>
        <v>0</v>
      </c>
      <c r="AV176" s="291" cm="1">
        <f t="array" ref="AV176">IFERROR((IF($O176=1,0,NPV('2027 Avoided Costs'!$D$6,_xlfn._xlws.FILTER('2027 Avoided Costs'!$Q$14:$Q$47,('2027 Avoided Costs'!$B$14:$B$47&gt;=$B176+1)*('2027 Avoided Costs'!$B$14:$B$47&lt;$B176+ROUND($O176,0)))))+_xlfn.XLOOKUP($B176,'2027 Avoided Costs'!$B$13:$B$47,'2027 Avoided Costs'!$Q$13:$Q$47))*IF($AI176&gt;0,$AI176*(1+$W176),0),0)</f>
        <v>0</v>
      </c>
      <c r="AW176" s="291" cm="1">
        <f t="array" ref="AW176">IFERROR((IF($O176=1,0,NPV('2027 Avoided Costs'!$D$6,_xlfn._xlws.FILTER('2027 Avoided Costs'!$W$14:$W$47,('2027 Avoided Costs'!$B$14:$B$47&gt;=$B176+1)*('2027 Avoided Costs'!$B$14:$B$47&lt;$B176+ROUND($O176,0)))))+_xlfn.XLOOKUP($B176,'2027 Avoided Costs'!$B$13:$B$47,'2027 Avoided Costs'!$W$13:$W$47))*IF($AM176&gt;0,$AM176*(1+$W176),0),0)</f>
        <v>0</v>
      </c>
      <c r="AX176" s="291" cm="1">
        <f t="array" ref="AX176">IFERROR((IF($O176=1,0,NPV('2027 Avoided Costs'!$D$6,_xlfn._xlws.FILTER('2027 Avoided Costs'!$AC$14:$AC$47,('2027 Avoided Costs'!$B$14:$B$47&gt;=$B176+1)*('2027 Avoided Costs'!$B$14:$B$47&lt;$B176+ROUND($O176,0)))))+_xlfn.XLOOKUP($B176,'2027 Avoided Costs'!$B$13:$B$47,'2027 Avoided Costs'!$AC$13:$AC$47))*IF($AO176&gt;0,$AO176*(1+$W176),0),0)</f>
        <v>0</v>
      </c>
      <c r="AY176" s="291" cm="1">
        <f t="array" ref="AY176">IFERROR((IF($O176=1,0,NPV('2027 Avoided Costs'!$D$4,_xlfn._xlws.FILTER('2027 Avoided Costs'!$I$14:$I$47,('2027 Avoided Costs'!$B$14:$B$47&gt;=$B176+1)*('2027 Avoided Costs'!$B$14:$B$47&lt;$B176+ROUND($O176,0)))))+_xlfn.XLOOKUP($B176,'2027 Avoided Costs'!$B$13:$B$47,'2027 Avoided Costs'!$I$13:$I$47))*IF($X176="Residential",'2027 Avoided Costs'!$J$5,IF($X176="Large Volume",'2027 Avoided Costs'!$J$7,'2027 Avoided Costs'!$J$6))*IF($AE176&gt;0,$AE176,0),0)</f>
        <v>0</v>
      </c>
      <c r="AZ176" s="291" cm="1">
        <f t="array" ref="AZ176">IFERROR(IF($J176="Baseload",IF($O176=1,0,NPV('2027 Avoided Costs'!$D$6,_xlfn._xlws.FILTER('2027 Avoided Costs'!$C$14:$C$47,('2027 Avoided Costs'!$B$14:$B$47&gt;=$B176+1)*('2027 Avoided Costs'!$B$14:$B$47&lt;$B176+ROUND($O176,0)))))+_xlfn.XLOOKUP($B176,'2027 Avoided Costs'!$B$13:$B$47,'2027 Avoided Costs'!$C$13:$C$47),IF($O176=1,0,NPV('2027 Avoided Costs'!$D$6,_xlfn._xlws.FILTER('2027 Avoided Costs'!$E$14:$E$47,('2027 Avoided Costs'!$B$14:$B$47&gt;=$B176+1)*('2027 Avoided Costs'!$B$14:$B$47&lt;$B176+ROUND($O176,0)))))+_xlfn.XLOOKUP($B176,'2027 Avoided Costs'!$B$13:$B$47,'2027 Avoided Costs'!$E$13:$E$47))*IF($AE176&lt;0,$AE176*(-1),0),0)</f>
        <v>0</v>
      </c>
      <c r="BA176" s="291" cm="1">
        <f t="array" ref="BA176">IFERROR((IF($O176=1,0,NPV('2027 Avoided Costs'!$D$6,_xlfn._xlws.FILTER('2027 Avoided Costs'!$M$14:$M$47,('2027 Avoided Costs'!$B$14:$B$47&gt;=$B176+1)*('2027 Avoided Costs'!$B$14:$B$47&lt;$B176+ROUND($O176,0)))))+_xlfn.XLOOKUP($B176,'2027 Avoided Costs'!$B$13:$B$47,'2027 Avoided Costs'!$M$13:$M$47))*IF($AK176&lt;0,$AK176*(-1),0),0)</f>
        <v>0</v>
      </c>
      <c r="BB176" s="291" cm="1">
        <f t="array" ref="BB176">IFERROR((IF($O176=1,0,NPV('2027 Avoided Costs'!$D$6,_xlfn._xlws.FILTER('2027 Avoided Costs'!$S$14:$S$47,('2027 Avoided Costs'!$B$14:$B$47&gt;=$B176+1)*('2027 Avoided Costs'!$B$14:$B$47&lt;$B176+ROUND($O176,0)))))+_xlfn.XLOOKUP($B176,'2027 Avoided Costs'!$B$13:$B$47,'2027 Avoided Costs'!$S$13:$S$47))*IF($AI176&lt;0,$AI176*(-1),0),0)</f>
        <v>0</v>
      </c>
      <c r="BC176" s="291" cm="1">
        <f t="array" ref="BC176">IFERROR((IF($O176=1,0,NPV('2027 Avoided Costs'!$D$6,_xlfn._xlws.FILTER('2027 Avoided Costs'!$Y$14:$Y$47,('2027 Avoided Costs'!$B$14:$B$47&gt;=$B176+1)*('2027 Avoided Costs'!$B$14:$B$47&lt;$B176+ROUND($O176,0)))))+_xlfn.XLOOKUP($B176,'2027 Avoided Costs'!$B$13:$B$47,'2027 Avoided Costs'!$Y$13:$Y$47))*IF($AM176&lt;0,$AM176*(-1),0),0)</f>
        <v>0</v>
      </c>
      <c r="BD176" s="291" cm="1">
        <f t="array" ref="BD176">IFERROR((IF($O176=1,0,NPV('2027 Avoided Costs'!$D$6,_xlfn._xlws.FILTER('2027 Avoided Costs'!$AE$14:$AE$47,('2027 Avoided Costs'!$B$14:$B$47&gt;=$B176+1)*('2027 Avoided Costs'!$B$14:$B$47&lt;$B176+ROUND($O176,0)))))+_xlfn.XLOOKUP($B176,'2027 Avoided Costs'!$B$13:$B$47,'2027 Avoided Costs'!$AE$13:$AE$47))*IF($AO176&lt;0,$AO176*(-1),0),0)</f>
        <v>0</v>
      </c>
      <c r="BE176" s="291" cm="1">
        <f t="array" ref="BE176">IFERROR((IF($O176=1,0,NPV('2027 Avoided Costs'!$D$4,_xlfn._xlws.FILTER('2027 Avoided Costs'!$I$14:$I$47,('2027 Avoided Costs'!$B$14:$B$47&gt;=$B176+1)*('2027 Avoided Costs'!$B$14:$B$47&lt;$B176+ROUND($O176,0)))))+_xlfn.XLOOKUP($B176,'2027 Avoided Costs'!$B$13:$B$47,'2027 Avoided Costs'!$I$13:$I$47))*IF($X176="Residential",'2027 Avoided Costs'!$J$5,IF($X176="Large Volume",'2027 Avoided Costs'!$J$7,'2027 Avoided Costs'!$J$6))*IF($AE176&lt;0,$AE176*(-1),0),0)</f>
        <v>0</v>
      </c>
      <c r="BF176" s="291">
        <f t="shared" si="58"/>
        <v>2953696.698805145</v>
      </c>
      <c r="BG176" s="291">
        <f t="shared" si="59"/>
        <v>252783.99999999997</v>
      </c>
      <c r="BH176" s="291">
        <f t="shared" si="60"/>
        <v>2700912.698805145</v>
      </c>
      <c r="BI176" s="292">
        <f t="shared" si="83"/>
        <v>11.684666350738755</v>
      </c>
      <c r="BJ176" s="196" cm="1">
        <f t="array" ref="BJ176">IFERROR(IF($J176="Baseload",IF($O176=1,0,NPV('2027 Avoided Costs'!$D$6,_xlfn._xlws.FILTER('2027 Avoided Costs'!$C$14:$C$47,('2027 Avoided Costs'!$B$14:$B$47&gt;=$B176+1)*('2027 Avoided Costs'!$B$14:$B$47&lt;$B176+ROUND($O176,0)))))+_xlfn.XLOOKUP($B176,'2027 Avoided Costs'!$B$13:$B$47,'2027 Avoided Costs'!$C$13:$C$47),IF($O176=1,0,NPV('2027 Avoided Costs'!$D$6,_xlfn._xlws.FILTER('2027 Avoided Costs'!$E$14:$E$47,('2027 Avoided Costs'!$B$14:$B$47&gt;=$B176+1)*('2027 Avoided Costs'!$B$14:$B$47&lt;$B176+ROUND($O176,0)))))+_xlfn.XLOOKUP($B176,'2027 Avoided Costs'!$B$13:$B$47,'2027 Avoided Costs'!$E$13:$E$47))*IF($AE176&gt;0,$AE176*(1+0),0),0)</f>
        <v>2568431.9120044741</v>
      </c>
      <c r="BK176" s="293">
        <f t="shared" si="81"/>
        <v>13.545197682627387</v>
      </c>
    </row>
    <row r="177" spans="1:63" s="56" customFormat="1" x14ac:dyDescent="0.25">
      <c r="A177" s="270" t="s">
        <v>133</v>
      </c>
      <c r="B177" s="271">
        <v>2029</v>
      </c>
      <c r="C177" s="272" t="s">
        <v>13</v>
      </c>
      <c r="D177" s="272" t="s">
        <v>163</v>
      </c>
      <c r="E177" s="272" t="s">
        <v>98</v>
      </c>
      <c r="F177" s="273">
        <v>80</v>
      </c>
      <c r="G177" s="274">
        <v>1485.9860696517414</v>
      </c>
      <c r="H177" s="275">
        <f t="shared" si="61"/>
        <v>1</v>
      </c>
      <c r="I177" s="274">
        <v>200</v>
      </c>
      <c r="J177" s="276" t="s">
        <v>264</v>
      </c>
      <c r="K177" s="277">
        <f t="shared" si="57"/>
        <v>0.9</v>
      </c>
      <c r="L177" s="278">
        <v>0.1</v>
      </c>
      <c r="M177" s="278">
        <v>0</v>
      </c>
      <c r="N177" s="278">
        <v>1</v>
      </c>
      <c r="O177" s="279">
        <v>15</v>
      </c>
      <c r="P177" s="280">
        <v>1485.9860696517414</v>
      </c>
      <c r="Q177" s="281">
        <v>0</v>
      </c>
      <c r="R177" s="282">
        <v>0</v>
      </c>
      <c r="S177" s="282">
        <v>0</v>
      </c>
      <c r="T177" s="281">
        <v>0</v>
      </c>
      <c r="U177" s="283">
        <v>0.91279749398091969</v>
      </c>
      <c r="V177" s="284">
        <v>13312</v>
      </c>
      <c r="W177" s="285">
        <v>0.15</v>
      </c>
      <c r="X177" s="286" t="s">
        <v>255</v>
      </c>
      <c r="Y177" s="287">
        <f t="shared" si="62"/>
        <v>80</v>
      </c>
      <c r="Z177" s="288">
        <f t="shared" si="63"/>
        <v>118878.88557213932</v>
      </c>
      <c r="AA177" s="288">
        <f t="shared" si="64"/>
        <v>16000</v>
      </c>
      <c r="AB177" s="288">
        <f t="shared" si="65"/>
        <v>123681.59254925375</v>
      </c>
      <c r="AC177" s="288">
        <f t="shared" si="82"/>
        <v>16555.133440000001</v>
      </c>
      <c r="AD177" s="287">
        <f t="shared" si="66"/>
        <v>118878.88557213932</v>
      </c>
      <c r="AE177" s="287">
        <f t="shared" si="67"/>
        <v>106990.99701492539</v>
      </c>
      <c r="AF177" s="287">
        <f t="shared" si="68"/>
        <v>1783183.2835820897</v>
      </c>
      <c r="AG177" s="287">
        <f t="shared" si="69"/>
        <v>1604864.9552238809</v>
      </c>
      <c r="AH177" s="287">
        <f t="shared" si="70"/>
        <v>0</v>
      </c>
      <c r="AI177" s="287">
        <f t="shared" si="71"/>
        <v>0</v>
      </c>
      <c r="AJ177" s="287">
        <f t="shared" si="72"/>
        <v>0</v>
      </c>
      <c r="AK177" s="287">
        <f t="shared" si="73"/>
        <v>0</v>
      </c>
      <c r="AL177" s="287">
        <f t="shared" si="74"/>
        <v>0</v>
      </c>
      <c r="AM177" s="287">
        <f t="shared" si="75"/>
        <v>0</v>
      </c>
      <c r="AN177" s="287">
        <f t="shared" si="76"/>
        <v>0</v>
      </c>
      <c r="AO177" s="287">
        <f t="shared" si="77"/>
        <v>0</v>
      </c>
      <c r="AP177" s="287">
        <f t="shared" si="78"/>
        <v>1064960</v>
      </c>
      <c r="AQ177" s="287">
        <f t="shared" si="79"/>
        <v>958464</v>
      </c>
      <c r="AR177" s="287">
        <f t="shared" si="80"/>
        <v>97661.113953743959</v>
      </c>
      <c r="AS177" s="289" t="e">
        <f>IF(J177='2027 Avoided Costs'!#REF!,3,5)</f>
        <v>#REF!</v>
      </c>
      <c r="AT177" s="290" cm="1">
        <f t="array" ref="AT177">IFERROR(IF($J177="Baseload",IF($O177=1,0,NPV('2027 Avoided Costs'!$D$6,_xlfn._xlws.FILTER('2027 Avoided Costs'!$C$14:$C$47,('2027 Avoided Costs'!$B$14:$B$47&gt;=$B177+1)*('2027 Avoided Costs'!$B$14:$B$47&lt;$B177+ROUND($O177,0)))))+_xlfn.XLOOKUP($B177,'2027 Avoided Costs'!$B$13:$B$47,'2027 Avoided Costs'!$C$13:$C$47),IF($O177=1,0,NPV('2027 Avoided Costs'!$D$6,_xlfn._xlws.FILTER('2027 Avoided Costs'!$E$14:$E$47,('2027 Avoided Costs'!$B$14:$B$47&gt;=$B177+1)*('2027 Avoided Costs'!$B$14:$B$47&lt;$B177+ROUND($O177,0)))))+_xlfn.XLOOKUP($B177,'2027 Avoided Costs'!$B$13:$B$47,'2027 Avoided Costs'!$E$13:$E$47))*IF($AE177&gt;0,$AE177*(1+$W177),0),0)</f>
        <v>454824.32865520596</v>
      </c>
      <c r="AU177" s="290" cm="1">
        <f t="array" ref="AU177">IFERROR((IF($O177=1,0,NPV('2027 Avoided Costs'!$D$6,_xlfn._xlws.FILTER('2027 Avoided Costs'!$M$14:$M$47,('2027 Avoided Costs'!$B$14:$B$47&gt;=$B177+1)*('2027 Avoided Costs'!$B$14:$B$47&lt;$B177+ROUND($O177,0)))))+_xlfn.XLOOKUP($B177,'2027 Avoided Costs'!$B$13:$B$47,'2027 Avoided Costs'!$M$13:$M$47))*IF($AK177&gt;0,$AK177*(1+$W177),0),0)</f>
        <v>0</v>
      </c>
      <c r="AV177" s="291" cm="1">
        <f t="array" ref="AV177">IFERROR((IF($O177=1,0,NPV('2027 Avoided Costs'!$D$6,_xlfn._xlws.FILTER('2027 Avoided Costs'!$Q$14:$Q$47,('2027 Avoided Costs'!$B$14:$B$47&gt;=$B177+1)*('2027 Avoided Costs'!$B$14:$B$47&lt;$B177+ROUND($O177,0)))))+_xlfn.XLOOKUP($B177,'2027 Avoided Costs'!$B$13:$B$47,'2027 Avoided Costs'!$Q$13:$Q$47))*IF($AI177&gt;0,$AI177*(1+$W177),0),0)</f>
        <v>0</v>
      </c>
      <c r="AW177" s="291" cm="1">
        <f t="array" ref="AW177">IFERROR((IF($O177=1,0,NPV('2027 Avoided Costs'!$D$6,_xlfn._xlws.FILTER('2027 Avoided Costs'!$W$14:$W$47,('2027 Avoided Costs'!$B$14:$B$47&gt;=$B177+1)*('2027 Avoided Costs'!$B$14:$B$47&lt;$B177+ROUND($O177,0)))))+_xlfn.XLOOKUP($B177,'2027 Avoided Costs'!$B$13:$B$47,'2027 Avoided Costs'!$W$13:$W$47))*IF($AM177&gt;0,$AM177*(1+$W177),0),0)</f>
        <v>0</v>
      </c>
      <c r="AX177" s="291" cm="1">
        <f t="array" ref="AX177">IFERROR((IF($O177=1,0,NPV('2027 Avoided Costs'!$D$6,_xlfn._xlws.FILTER('2027 Avoided Costs'!$AC$14:$AC$47,('2027 Avoided Costs'!$B$14:$B$47&gt;=$B177+1)*('2027 Avoided Costs'!$B$14:$B$47&lt;$B177+ROUND($O177,0)))))+_xlfn.XLOOKUP($B177,'2027 Avoided Costs'!$B$13:$B$47,'2027 Avoided Costs'!$AC$13:$AC$47))*IF($AO177&gt;0,$AO177*(1+$W177),0),0)</f>
        <v>0</v>
      </c>
      <c r="AY177" s="291" cm="1">
        <f t="array" ref="AY177">IFERROR((IF($O177=1,0,NPV('2027 Avoided Costs'!$D$4,_xlfn._xlws.FILTER('2027 Avoided Costs'!$I$14:$I$47,('2027 Avoided Costs'!$B$14:$B$47&gt;=$B177+1)*('2027 Avoided Costs'!$B$14:$B$47&lt;$B177+ROUND($O177,0)))))+_xlfn.XLOOKUP($B177,'2027 Avoided Costs'!$B$13:$B$47,'2027 Avoided Costs'!$I$13:$I$47))*IF($X177="Residential",'2027 Avoided Costs'!$J$5,IF($X177="Large Volume",'2027 Avoided Costs'!$J$7,'2027 Avoided Costs'!$J$6))*IF($AE177&gt;0,$AE177,0),0)</f>
        <v>0</v>
      </c>
      <c r="AZ177" s="291" cm="1">
        <f t="array" ref="AZ177">IFERROR(IF($J177="Baseload",IF($O177=1,0,NPV('2027 Avoided Costs'!$D$6,_xlfn._xlws.FILTER('2027 Avoided Costs'!$C$14:$C$47,('2027 Avoided Costs'!$B$14:$B$47&gt;=$B177+1)*('2027 Avoided Costs'!$B$14:$B$47&lt;$B177+ROUND($O177,0)))))+_xlfn.XLOOKUP($B177,'2027 Avoided Costs'!$B$13:$B$47,'2027 Avoided Costs'!$C$13:$C$47),IF($O177=1,0,NPV('2027 Avoided Costs'!$D$6,_xlfn._xlws.FILTER('2027 Avoided Costs'!$E$14:$E$47,('2027 Avoided Costs'!$B$14:$B$47&gt;=$B177+1)*('2027 Avoided Costs'!$B$14:$B$47&lt;$B177+ROUND($O177,0)))))+_xlfn.XLOOKUP($B177,'2027 Avoided Costs'!$B$13:$B$47,'2027 Avoided Costs'!$E$13:$E$47))*IF($AE177&lt;0,$AE177*(-1),0),0)</f>
        <v>0</v>
      </c>
      <c r="BA177" s="291" cm="1">
        <f t="array" ref="BA177">IFERROR((IF($O177=1,0,NPV('2027 Avoided Costs'!$D$6,_xlfn._xlws.FILTER('2027 Avoided Costs'!$M$14:$M$47,('2027 Avoided Costs'!$B$14:$B$47&gt;=$B177+1)*('2027 Avoided Costs'!$B$14:$B$47&lt;$B177+ROUND($O177,0)))))+_xlfn.XLOOKUP($B177,'2027 Avoided Costs'!$B$13:$B$47,'2027 Avoided Costs'!$M$13:$M$47))*IF($AK177&lt;0,$AK177*(-1),0),0)</f>
        <v>0</v>
      </c>
      <c r="BB177" s="291" cm="1">
        <f t="array" ref="BB177">IFERROR((IF($O177=1,0,NPV('2027 Avoided Costs'!$D$6,_xlfn._xlws.FILTER('2027 Avoided Costs'!$S$14:$S$47,('2027 Avoided Costs'!$B$14:$B$47&gt;=$B177+1)*('2027 Avoided Costs'!$B$14:$B$47&lt;$B177+ROUND($O177,0)))))+_xlfn.XLOOKUP($B177,'2027 Avoided Costs'!$B$13:$B$47,'2027 Avoided Costs'!$S$13:$S$47))*IF($AI177&lt;0,$AI177*(-1),0),0)</f>
        <v>0</v>
      </c>
      <c r="BC177" s="291" cm="1">
        <f t="array" ref="BC177">IFERROR((IF($O177=1,0,NPV('2027 Avoided Costs'!$D$6,_xlfn._xlws.FILTER('2027 Avoided Costs'!$Y$14:$Y$47,('2027 Avoided Costs'!$B$14:$B$47&gt;=$B177+1)*('2027 Avoided Costs'!$B$14:$B$47&lt;$B177+ROUND($O177,0)))))+_xlfn.XLOOKUP($B177,'2027 Avoided Costs'!$B$13:$B$47,'2027 Avoided Costs'!$Y$13:$Y$47))*IF($AM177&lt;0,$AM177*(-1),0),0)</f>
        <v>0</v>
      </c>
      <c r="BD177" s="291" cm="1">
        <f t="array" ref="BD177">IFERROR((IF($O177=1,0,NPV('2027 Avoided Costs'!$D$6,_xlfn._xlws.FILTER('2027 Avoided Costs'!$AE$14:$AE$47,('2027 Avoided Costs'!$B$14:$B$47&gt;=$B177+1)*('2027 Avoided Costs'!$B$14:$B$47&lt;$B177+ROUND($O177,0)))))+_xlfn.XLOOKUP($B177,'2027 Avoided Costs'!$B$13:$B$47,'2027 Avoided Costs'!$AE$13:$AE$47))*IF($AO177&lt;0,$AO177*(-1),0),0)</f>
        <v>0</v>
      </c>
      <c r="BE177" s="291" cm="1">
        <f t="array" ref="BE177">IFERROR((IF($O177=1,0,NPV('2027 Avoided Costs'!$D$4,_xlfn._xlws.FILTER('2027 Avoided Costs'!$I$14:$I$47,('2027 Avoided Costs'!$B$14:$B$47&gt;=$B177+1)*('2027 Avoided Costs'!$B$14:$B$47&lt;$B177+ROUND($O177,0)))))+_xlfn.XLOOKUP($B177,'2027 Avoided Costs'!$B$13:$B$47,'2027 Avoided Costs'!$I$13:$I$47))*IF($X177="Residential",'2027 Avoided Costs'!$J$5,IF($X177="Large Volume",'2027 Avoided Costs'!$J$7,'2027 Avoided Costs'!$J$6))*IF($AE177&lt;0,$AE177*(-1),0),0)</f>
        <v>0</v>
      </c>
      <c r="BF177" s="291">
        <f t="shared" si="58"/>
        <v>454824.32865520596</v>
      </c>
      <c r="BG177" s="291">
        <f t="shared" si="59"/>
        <v>958464</v>
      </c>
      <c r="BH177" s="291">
        <f t="shared" si="60"/>
        <v>-503639.67134479404</v>
      </c>
      <c r="BI177" s="292">
        <f t="shared" si="83"/>
        <v>0.47453459770550166</v>
      </c>
      <c r="BJ177" s="196" cm="1">
        <f t="array" ref="BJ177">IFERROR(IF($J177="Baseload",IF($O177=1,0,NPV('2027 Avoided Costs'!$D$6,_xlfn._xlws.FILTER('2027 Avoided Costs'!$C$14:$C$47,('2027 Avoided Costs'!$B$14:$B$47&gt;=$B177+1)*('2027 Avoided Costs'!$B$14:$B$47&lt;$B177+ROUND($O177,0)))))+_xlfn.XLOOKUP($B177,'2027 Avoided Costs'!$B$13:$B$47,'2027 Avoided Costs'!$C$13:$C$47),IF($O177=1,0,NPV('2027 Avoided Costs'!$D$6,_xlfn._xlws.FILTER('2027 Avoided Costs'!$E$14:$E$47,('2027 Avoided Costs'!$B$14:$B$47&gt;=$B177+1)*('2027 Avoided Costs'!$B$14:$B$47&lt;$B177+ROUND($O177,0)))))+_xlfn.XLOOKUP($B177,'2027 Avoided Costs'!$B$13:$B$47,'2027 Avoided Costs'!$E$13:$E$47))*IF($AE177&gt;0,$AE177*(1+0),0),0)</f>
        <v>395499.41622191825</v>
      </c>
      <c r="BK177" s="293">
        <f t="shared" si="81"/>
        <v>2.8202271083555179</v>
      </c>
    </row>
    <row r="178" spans="1:63" s="56" customFormat="1" x14ac:dyDescent="0.25">
      <c r="A178" s="270" t="s">
        <v>133</v>
      </c>
      <c r="B178" s="271">
        <v>2029</v>
      </c>
      <c r="C178" s="272" t="s">
        <v>13</v>
      </c>
      <c r="D178" s="272" t="s">
        <v>163</v>
      </c>
      <c r="E178" s="272" t="s">
        <v>99</v>
      </c>
      <c r="F178" s="273">
        <v>783</v>
      </c>
      <c r="G178" s="274">
        <v>891.07807807807808</v>
      </c>
      <c r="H178" s="275">
        <f t="shared" si="61"/>
        <v>0.37943130081153542</v>
      </c>
      <c r="I178" s="274">
        <v>200</v>
      </c>
      <c r="J178" s="276" t="s">
        <v>264</v>
      </c>
      <c r="K178" s="277">
        <f t="shared" si="57"/>
        <v>0.5</v>
      </c>
      <c r="L178" s="278">
        <v>0.5</v>
      </c>
      <c r="M178" s="278">
        <v>0</v>
      </c>
      <c r="N178" s="278">
        <v>1</v>
      </c>
      <c r="O178" s="279">
        <v>10</v>
      </c>
      <c r="P178" s="280">
        <v>2348.4569569569567</v>
      </c>
      <c r="Q178" s="281">
        <v>474.00900900900899</v>
      </c>
      <c r="R178" s="282">
        <v>0.28885576970353827</v>
      </c>
      <c r="S178" s="282">
        <v>8.5318622263447053E-2</v>
      </c>
      <c r="T178" s="281">
        <v>0</v>
      </c>
      <c r="U178" s="283">
        <v>0.67</v>
      </c>
      <c r="V178" s="284">
        <v>1782.1561561561562</v>
      </c>
      <c r="W178" s="285">
        <v>0.15</v>
      </c>
      <c r="X178" s="286" t="s">
        <v>255</v>
      </c>
      <c r="Y178" s="287">
        <f t="shared" si="62"/>
        <v>783</v>
      </c>
      <c r="Z178" s="288">
        <f t="shared" si="63"/>
        <v>697714.13513513515</v>
      </c>
      <c r="AA178" s="288">
        <f t="shared" si="64"/>
        <v>156600</v>
      </c>
      <c r="AB178" s="288">
        <f t="shared" si="65"/>
        <v>725901.78619459458</v>
      </c>
      <c r="AC178" s="288">
        <f t="shared" si="82"/>
        <v>162033.36854400003</v>
      </c>
      <c r="AD178" s="287">
        <f t="shared" si="66"/>
        <v>1838841.797297297</v>
      </c>
      <c r="AE178" s="287">
        <f t="shared" si="67"/>
        <v>919420.89864864852</v>
      </c>
      <c r="AF178" s="287">
        <f t="shared" si="68"/>
        <v>18388417.97297297</v>
      </c>
      <c r="AG178" s="287">
        <f t="shared" si="69"/>
        <v>9194208.9864864852</v>
      </c>
      <c r="AH178" s="287">
        <f t="shared" si="70"/>
        <v>397871.78594594594</v>
      </c>
      <c r="AI178" s="287">
        <f t="shared" si="71"/>
        <v>198935.89297297297</v>
      </c>
      <c r="AJ178" s="287">
        <f t="shared" si="72"/>
        <v>0</v>
      </c>
      <c r="AK178" s="287">
        <f t="shared" si="73"/>
        <v>0</v>
      </c>
      <c r="AL178" s="287">
        <f t="shared" si="74"/>
        <v>242.45860055067715</v>
      </c>
      <c r="AM178" s="287">
        <f t="shared" si="75"/>
        <v>121.22930027533857</v>
      </c>
      <c r="AN178" s="287">
        <f t="shared" si="76"/>
        <v>71.614403881003142</v>
      </c>
      <c r="AO178" s="287">
        <f t="shared" si="77"/>
        <v>35.807201940501571</v>
      </c>
      <c r="AP178" s="287">
        <f t="shared" si="78"/>
        <v>1395428.2702702703</v>
      </c>
      <c r="AQ178" s="287">
        <f t="shared" si="79"/>
        <v>697714.13513513515</v>
      </c>
      <c r="AR178" s="287">
        <f t="shared" si="80"/>
        <v>616012.00209459453</v>
      </c>
      <c r="AS178" s="289" t="e">
        <f>IF(J178='2027 Avoided Costs'!#REF!,3,5)</f>
        <v>#REF!</v>
      </c>
      <c r="AT178" s="290" cm="1">
        <f t="array" ref="AT178">IFERROR(IF($J178="Baseload",IF($O178=1,0,NPV('2027 Avoided Costs'!$D$6,_xlfn._xlws.FILTER('2027 Avoided Costs'!$C$14:$C$47,('2027 Avoided Costs'!$B$14:$B$47&gt;=$B178+1)*('2027 Avoided Costs'!$B$14:$B$47&lt;$B178+ROUND($O178,0)))))+_xlfn.XLOOKUP($B178,'2027 Avoided Costs'!$B$13:$B$47,'2027 Avoided Costs'!$C$13:$C$47),IF($O178=1,0,NPV('2027 Avoided Costs'!$D$6,_xlfn._xlws.FILTER('2027 Avoided Costs'!$E$14:$E$47,('2027 Avoided Costs'!$B$14:$B$47&gt;=$B178+1)*('2027 Avoided Costs'!$B$14:$B$47&lt;$B178+ROUND($O178,0)))))+_xlfn.XLOOKUP($B178,'2027 Avoided Costs'!$B$13:$B$47,'2027 Avoided Costs'!$E$13:$E$47))*IF($AE178&gt;0,$AE178*(1+$W178),0),0)</f>
        <v>2804720.9143210775</v>
      </c>
      <c r="AU178" s="290" cm="1">
        <f t="array" ref="AU178">IFERROR((IF($O178=1,0,NPV('2027 Avoided Costs'!$D$6,_xlfn._xlws.FILTER('2027 Avoided Costs'!$M$14:$M$47,('2027 Avoided Costs'!$B$14:$B$47&gt;=$B178+1)*('2027 Avoided Costs'!$B$14:$B$47&lt;$B178+ROUND($O178,0)))))+_xlfn.XLOOKUP($B178,'2027 Avoided Costs'!$B$13:$B$47,'2027 Avoided Costs'!$M$13:$M$47))*IF($AK178&gt;0,$AK178*(1+$W178),0),0)</f>
        <v>0</v>
      </c>
      <c r="AV178" s="291" cm="1">
        <f t="array" ref="AV178">IFERROR((IF($O178=1,0,NPV('2027 Avoided Costs'!$D$6,_xlfn._xlws.FILTER('2027 Avoided Costs'!$Q$14:$Q$47,('2027 Avoided Costs'!$B$14:$B$47&gt;=$B178+1)*('2027 Avoided Costs'!$B$14:$B$47&lt;$B178+ROUND($O178,0)))))+_xlfn.XLOOKUP($B178,'2027 Avoided Costs'!$B$13:$B$47,'2027 Avoided Costs'!$Q$13:$Q$47))*IF($AI178&gt;0,$AI178*(1+$W178),0),0)</f>
        <v>93947.348817236925</v>
      </c>
      <c r="AW178" s="291" cm="1">
        <f t="array" ref="AW178">IFERROR((IF($O178=1,0,NPV('2027 Avoided Costs'!$D$6,_xlfn._xlws.FILTER('2027 Avoided Costs'!$W$14:$W$47,('2027 Avoided Costs'!$B$14:$B$47&gt;=$B178+1)*('2027 Avoided Costs'!$B$14:$B$47&lt;$B178+ROUND($O178,0)))))+_xlfn.XLOOKUP($B178,'2027 Avoided Costs'!$B$13:$B$47,'2027 Avoided Costs'!$W$13:$W$47))*IF($AM178&gt;0,$AM178*(1+$W178),0),0)</f>
        <v>395305.22234270931</v>
      </c>
      <c r="AX178" s="291" cm="1">
        <f t="array" ref="AX178">IFERROR((IF($O178=1,0,NPV('2027 Avoided Costs'!$D$6,_xlfn._xlws.FILTER('2027 Avoided Costs'!$AC$14:$AC$47,('2027 Avoided Costs'!$B$14:$B$47&gt;=$B178+1)*('2027 Avoided Costs'!$B$14:$B$47&lt;$B178+ROUND($O178,0)))))+_xlfn.XLOOKUP($B178,'2027 Avoided Costs'!$B$13:$B$47,'2027 Avoided Costs'!$AC$13:$AC$47))*IF($AO178&gt;0,$AO178*(1+$W178),0),0)</f>
        <v>0</v>
      </c>
      <c r="AY178" s="291" cm="1">
        <f t="array" ref="AY178">IFERROR((IF($O178=1,0,NPV('2027 Avoided Costs'!$D$4,_xlfn._xlws.FILTER('2027 Avoided Costs'!$I$14:$I$47,('2027 Avoided Costs'!$B$14:$B$47&gt;=$B178+1)*('2027 Avoided Costs'!$B$14:$B$47&lt;$B178+ROUND($O178,0)))))+_xlfn.XLOOKUP($B178,'2027 Avoided Costs'!$B$13:$B$47,'2027 Avoided Costs'!$I$13:$I$47))*IF($X178="Residential",'2027 Avoided Costs'!$J$5,IF($X178="Large Volume",'2027 Avoided Costs'!$J$7,'2027 Avoided Costs'!$J$6))*IF($AE178&gt;0,$AE178,0),0)</f>
        <v>0</v>
      </c>
      <c r="AZ178" s="291" cm="1">
        <f t="array" ref="AZ178">IFERROR(IF($J178="Baseload",IF($O178=1,0,NPV('2027 Avoided Costs'!$D$6,_xlfn._xlws.FILTER('2027 Avoided Costs'!$C$14:$C$47,('2027 Avoided Costs'!$B$14:$B$47&gt;=$B178+1)*('2027 Avoided Costs'!$B$14:$B$47&lt;$B178+ROUND($O178,0)))))+_xlfn.XLOOKUP($B178,'2027 Avoided Costs'!$B$13:$B$47,'2027 Avoided Costs'!$C$13:$C$47),IF($O178=1,0,NPV('2027 Avoided Costs'!$D$6,_xlfn._xlws.FILTER('2027 Avoided Costs'!$E$14:$E$47,('2027 Avoided Costs'!$B$14:$B$47&gt;=$B178+1)*('2027 Avoided Costs'!$B$14:$B$47&lt;$B178+ROUND($O178,0)))))+_xlfn.XLOOKUP($B178,'2027 Avoided Costs'!$B$13:$B$47,'2027 Avoided Costs'!$E$13:$E$47))*IF($AE178&lt;0,$AE178*(-1),0),0)</f>
        <v>0</v>
      </c>
      <c r="BA178" s="291" cm="1">
        <f t="array" ref="BA178">IFERROR((IF($O178=1,0,NPV('2027 Avoided Costs'!$D$6,_xlfn._xlws.FILTER('2027 Avoided Costs'!$M$14:$M$47,('2027 Avoided Costs'!$B$14:$B$47&gt;=$B178+1)*('2027 Avoided Costs'!$B$14:$B$47&lt;$B178+ROUND($O178,0)))))+_xlfn.XLOOKUP($B178,'2027 Avoided Costs'!$B$13:$B$47,'2027 Avoided Costs'!$M$13:$M$47))*IF($AK178&lt;0,$AK178*(-1),0),0)</f>
        <v>0</v>
      </c>
      <c r="BB178" s="291" cm="1">
        <f t="array" ref="BB178">IFERROR((IF($O178=1,0,NPV('2027 Avoided Costs'!$D$6,_xlfn._xlws.FILTER('2027 Avoided Costs'!$S$14:$S$47,('2027 Avoided Costs'!$B$14:$B$47&gt;=$B178+1)*('2027 Avoided Costs'!$B$14:$B$47&lt;$B178+ROUND($O178,0)))))+_xlfn.XLOOKUP($B178,'2027 Avoided Costs'!$B$13:$B$47,'2027 Avoided Costs'!$S$13:$S$47))*IF($AI178&lt;0,$AI178*(-1),0),0)</f>
        <v>0</v>
      </c>
      <c r="BC178" s="291" cm="1">
        <f t="array" ref="BC178">IFERROR((IF($O178=1,0,NPV('2027 Avoided Costs'!$D$6,_xlfn._xlws.FILTER('2027 Avoided Costs'!$Y$14:$Y$47,('2027 Avoided Costs'!$B$14:$B$47&gt;=$B178+1)*('2027 Avoided Costs'!$B$14:$B$47&lt;$B178+ROUND($O178,0)))))+_xlfn.XLOOKUP($B178,'2027 Avoided Costs'!$B$13:$B$47,'2027 Avoided Costs'!$Y$13:$Y$47))*IF($AM178&lt;0,$AM178*(-1),0),0)</f>
        <v>0</v>
      </c>
      <c r="BD178" s="291" cm="1">
        <f t="array" ref="BD178">IFERROR((IF($O178=1,0,NPV('2027 Avoided Costs'!$D$6,_xlfn._xlws.FILTER('2027 Avoided Costs'!$AE$14:$AE$47,('2027 Avoided Costs'!$B$14:$B$47&gt;=$B178+1)*('2027 Avoided Costs'!$B$14:$B$47&lt;$B178+ROUND($O178,0)))))+_xlfn.XLOOKUP($B178,'2027 Avoided Costs'!$B$13:$B$47,'2027 Avoided Costs'!$AE$13:$AE$47))*IF($AO178&lt;0,$AO178*(-1),0),0)</f>
        <v>0</v>
      </c>
      <c r="BE178" s="291" cm="1">
        <f t="array" ref="BE178">IFERROR((IF($O178=1,0,NPV('2027 Avoided Costs'!$D$4,_xlfn._xlws.FILTER('2027 Avoided Costs'!$I$14:$I$47,('2027 Avoided Costs'!$B$14:$B$47&gt;=$B178+1)*('2027 Avoided Costs'!$B$14:$B$47&lt;$B178+ROUND($O178,0)))))+_xlfn.XLOOKUP($B178,'2027 Avoided Costs'!$B$13:$B$47,'2027 Avoided Costs'!$I$13:$I$47))*IF($X178="Residential",'2027 Avoided Costs'!$J$5,IF($X178="Large Volume",'2027 Avoided Costs'!$J$7,'2027 Avoided Costs'!$J$6))*IF($AE178&lt;0,$AE178*(-1),0),0)</f>
        <v>0</v>
      </c>
      <c r="BF178" s="291">
        <f t="shared" si="58"/>
        <v>3293973.4854810238</v>
      </c>
      <c r="BG178" s="291">
        <f t="shared" si="59"/>
        <v>697714.13513513515</v>
      </c>
      <c r="BH178" s="291">
        <f t="shared" si="60"/>
        <v>2596259.3503458886</v>
      </c>
      <c r="BI178" s="292">
        <f t="shared" si="83"/>
        <v>4.7210932380537738</v>
      </c>
      <c r="BJ178" s="196" cm="1">
        <f t="array" ref="BJ178">IFERROR(IF($J178="Baseload",IF($O178=1,0,NPV('2027 Avoided Costs'!$D$6,_xlfn._xlws.FILTER('2027 Avoided Costs'!$C$14:$C$47,('2027 Avoided Costs'!$B$14:$B$47&gt;=$B178+1)*('2027 Avoided Costs'!$B$14:$B$47&lt;$B178+ROUND($O178,0)))))+_xlfn.XLOOKUP($B178,'2027 Avoided Costs'!$B$13:$B$47,'2027 Avoided Costs'!$C$13:$C$47),IF($O178=1,0,NPV('2027 Avoided Costs'!$D$6,_xlfn._xlws.FILTER('2027 Avoided Costs'!$E$14:$E$47,('2027 Avoided Costs'!$B$14:$B$47&gt;=$B178+1)*('2027 Avoided Costs'!$B$14:$B$47&lt;$B178+ROUND($O178,0)))))+_xlfn.XLOOKUP($B178,'2027 Avoided Costs'!$B$13:$B$47,'2027 Avoided Costs'!$E$13:$E$47))*IF($AE178&gt;0,$AE178*(1+0),0),0)</f>
        <v>2438887.7515835459</v>
      </c>
      <c r="BK178" s="293">
        <f t="shared" si="81"/>
        <v>2.7466957903041322</v>
      </c>
    </row>
    <row r="179" spans="1:63" s="56" customFormat="1" x14ac:dyDescent="0.25">
      <c r="A179" s="270" t="s">
        <v>133</v>
      </c>
      <c r="B179" s="271">
        <v>2029</v>
      </c>
      <c r="C179" s="272" t="s">
        <v>13</v>
      </c>
      <c r="D179" s="272" t="s">
        <v>163</v>
      </c>
      <c r="E179" s="272" t="s">
        <v>100</v>
      </c>
      <c r="F179" s="273">
        <v>1024</v>
      </c>
      <c r="G179" s="274">
        <v>2053.3769115442283</v>
      </c>
      <c r="H179" s="275">
        <f t="shared" si="61"/>
        <v>1</v>
      </c>
      <c r="I179" s="274">
        <v>200</v>
      </c>
      <c r="J179" s="276" t="s">
        <v>264</v>
      </c>
      <c r="K179" s="277">
        <f t="shared" si="57"/>
        <v>0.30000000000000038</v>
      </c>
      <c r="L179" s="278">
        <v>0.69999999999999962</v>
      </c>
      <c r="M179" s="278">
        <v>0</v>
      </c>
      <c r="N179" s="278">
        <v>0.99550000000000005</v>
      </c>
      <c r="O179" s="279">
        <v>14</v>
      </c>
      <c r="P179" s="280">
        <v>2053.3769115442283</v>
      </c>
      <c r="Q179" s="281">
        <v>-2547.3565331431073</v>
      </c>
      <c r="R179" s="282">
        <v>-1.552330479179572</v>
      </c>
      <c r="S179" s="282">
        <v>-0.45850805721169346</v>
      </c>
      <c r="T179" s="281">
        <v>0</v>
      </c>
      <c r="U179" s="283">
        <v>0.65000000000000013</v>
      </c>
      <c r="V179" s="284">
        <v>8546.3058323765781</v>
      </c>
      <c r="W179" s="285">
        <v>0.15</v>
      </c>
      <c r="X179" s="286" t="s">
        <v>255</v>
      </c>
      <c r="Y179" s="287">
        <f t="shared" si="62"/>
        <v>1024</v>
      </c>
      <c r="Z179" s="288">
        <f t="shared" si="63"/>
        <v>2102657.9574212898</v>
      </c>
      <c r="AA179" s="288">
        <f t="shared" si="64"/>
        <v>204800</v>
      </c>
      <c r="AB179" s="288">
        <f t="shared" si="65"/>
        <v>2187605.33890111</v>
      </c>
      <c r="AC179" s="288">
        <f t="shared" si="82"/>
        <v>211905.70803200002</v>
      </c>
      <c r="AD179" s="287">
        <f t="shared" si="66"/>
        <v>2093195.9966128941</v>
      </c>
      <c r="AE179" s="287">
        <f t="shared" si="67"/>
        <v>627958.79898386903</v>
      </c>
      <c r="AF179" s="287">
        <f t="shared" si="68"/>
        <v>29304743.952580519</v>
      </c>
      <c r="AG179" s="287">
        <f t="shared" si="69"/>
        <v>8791423.1857741661</v>
      </c>
      <c r="AH179" s="287">
        <f t="shared" si="70"/>
        <v>-2783721.2217482533</v>
      </c>
      <c r="AI179" s="287">
        <f t="shared" si="71"/>
        <v>-835116.36652447726</v>
      </c>
      <c r="AJ179" s="287">
        <f t="shared" si="72"/>
        <v>0</v>
      </c>
      <c r="AK179" s="287">
        <f t="shared" si="73"/>
        <v>0</v>
      </c>
      <c r="AL179" s="287">
        <f t="shared" si="74"/>
        <v>-1696.3684674037136</v>
      </c>
      <c r="AM179" s="287">
        <f t="shared" si="75"/>
        <v>-508.91054022111473</v>
      </c>
      <c r="AN179" s="287">
        <f t="shared" si="76"/>
        <v>-501.05220553005694</v>
      </c>
      <c r="AO179" s="287">
        <f t="shared" si="77"/>
        <v>-150.31566165901728</v>
      </c>
      <c r="AP179" s="287">
        <f t="shared" si="78"/>
        <v>8751417.172353616</v>
      </c>
      <c r="AQ179" s="287">
        <f t="shared" si="79"/>
        <v>2625425.1517060879</v>
      </c>
      <c r="AR179" s="287">
        <f t="shared" si="80"/>
        <v>408173.21933951497</v>
      </c>
      <c r="AS179" s="289" t="e">
        <f>IF(J179='2027 Avoided Costs'!#REF!,3,5)</f>
        <v>#REF!</v>
      </c>
      <c r="AT179" s="290" cm="1">
        <f t="array" ref="AT179">IFERROR(IF($J179="Baseload",IF($O179=1,0,NPV('2027 Avoided Costs'!$D$6,_xlfn._xlws.FILTER('2027 Avoided Costs'!$C$14:$C$47,('2027 Avoided Costs'!$B$14:$B$47&gt;=$B179+1)*('2027 Avoided Costs'!$B$14:$B$47&lt;$B179+ROUND($O179,0)))))+_xlfn.XLOOKUP($B179,'2027 Avoided Costs'!$B$13:$B$47,'2027 Avoided Costs'!$C$13:$C$47),IF($O179=1,0,NPV('2027 Avoided Costs'!$D$6,_xlfn._xlws.FILTER('2027 Avoided Costs'!$E$14:$E$47,('2027 Avoided Costs'!$B$14:$B$47&gt;=$B179+1)*('2027 Avoided Costs'!$B$14:$B$47&lt;$B179+ROUND($O179,0)))))+_xlfn.XLOOKUP($B179,'2027 Avoided Costs'!$B$13:$B$47,'2027 Avoided Costs'!$E$13:$E$47))*IF($AE179&gt;0,$AE179*(1+$W179),0),0)</f>
        <v>2525461.2571468875</v>
      </c>
      <c r="AU179" s="290" cm="1">
        <f t="array" ref="AU179">IFERROR((IF($O179=1,0,NPV('2027 Avoided Costs'!$D$6,_xlfn._xlws.FILTER('2027 Avoided Costs'!$M$14:$M$47,('2027 Avoided Costs'!$B$14:$B$47&gt;=$B179+1)*('2027 Avoided Costs'!$B$14:$B$47&lt;$B179+ROUND($O179,0)))))+_xlfn.XLOOKUP($B179,'2027 Avoided Costs'!$B$13:$B$47,'2027 Avoided Costs'!$M$13:$M$47))*IF($AK179&gt;0,$AK179*(1+$W179),0),0)</f>
        <v>0</v>
      </c>
      <c r="AV179" s="291" cm="1">
        <f t="array" ref="AV179">IFERROR((IF($O179=1,0,NPV('2027 Avoided Costs'!$D$6,_xlfn._xlws.FILTER('2027 Avoided Costs'!$Q$14:$Q$47,('2027 Avoided Costs'!$B$14:$B$47&gt;=$B179+1)*('2027 Avoided Costs'!$B$14:$B$47&lt;$B179+ROUND($O179,0)))))+_xlfn.XLOOKUP($B179,'2027 Avoided Costs'!$B$13:$B$47,'2027 Avoided Costs'!$Q$13:$Q$47))*IF($AI179&gt;0,$AI179*(1+$W179),0),0)</f>
        <v>0</v>
      </c>
      <c r="AW179" s="291" cm="1">
        <f t="array" ref="AW179">IFERROR((IF($O179=1,0,NPV('2027 Avoided Costs'!$D$6,_xlfn._xlws.FILTER('2027 Avoided Costs'!$W$14:$W$47,('2027 Avoided Costs'!$B$14:$B$47&gt;=$B179+1)*('2027 Avoided Costs'!$B$14:$B$47&lt;$B179+ROUND($O179,0)))))+_xlfn.XLOOKUP($B179,'2027 Avoided Costs'!$B$13:$B$47,'2027 Avoided Costs'!$W$13:$W$47))*IF($AM179&gt;0,$AM179*(1+$W179),0),0)</f>
        <v>0</v>
      </c>
      <c r="AX179" s="291" cm="1">
        <f t="array" ref="AX179">IFERROR((IF($O179=1,0,NPV('2027 Avoided Costs'!$D$6,_xlfn._xlws.FILTER('2027 Avoided Costs'!$AC$14:$AC$47,('2027 Avoided Costs'!$B$14:$B$47&gt;=$B179+1)*('2027 Avoided Costs'!$B$14:$B$47&lt;$B179+ROUND($O179,0)))))+_xlfn.XLOOKUP($B179,'2027 Avoided Costs'!$B$13:$B$47,'2027 Avoided Costs'!$AC$13:$AC$47))*IF($AO179&gt;0,$AO179*(1+$W179),0),0)</f>
        <v>0</v>
      </c>
      <c r="AY179" s="291" cm="1">
        <f t="array" ref="AY179">IFERROR((IF($O179=1,0,NPV('2027 Avoided Costs'!$D$4,_xlfn._xlws.FILTER('2027 Avoided Costs'!$I$14:$I$47,('2027 Avoided Costs'!$B$14:$B$47&gt;=$B179+1)*('2027 Avoided Costs'!$B$14:$B$47&lt;$B179+ROUND($O179,0)))))+_xlfn.XLOOKUP($B179,'2027 Avoided Costs'!$B$13:$B$47,'2027 Avoided Costs'!$I$13:$I$47))*IF($X179="Residential",'2027 Avoided Costs'!$J$5,IF($X179="Large Volume",'2027 Avoided Costs'!$J$7,'2027 Avoided Costs'!$J$6))*IF($AE179&gt;0,$AE179,0),0)</f>
        <v>0</v>
      </c>
      <c r="AZ179" s="291" cm="1">
        <f t="array" ref="AZ179">IFERROR(IF($J179="Baseload",IF($O179=1,0,NPV('2027 Avoided Costs'!$D$6,_xlfn._xlws.FILTER('2027 Avoided Costs'!$C$14:$C$47,('2027 Avoided Costs'!$B$14:$B$47&gt;=$B179+1)*('2027 Avoided Costs'!$B$14:$B$47&lt;$B179+ROUND($O179,0)))))+_xlfn.XLOOKUP($B179,'2027 Avoided Costs'!$B$13:$B$47,'2027 Avoided Costs'!$C$13:$C$47),IF($O179=1,0,NPV('2027 Avoided Costs'!$D$6,_xlfn._xlws.FILTER('2027 Avoided Costs'!$E$14:$E$47,('2027 Avoided Costs'!$B$14:$B$47&gt;=$B179+1)*('2027 Avoided Costs'!$B$14:$B$47&lt;$B179+ROUND($O179,0)))))+_xlfn.XLOOKUP($B179,'2027 Avoided Costs'!$B$13:$B$47,'2027 Avoided Costs'!$E$13:$E$47))*IF($AE179&lt;0,$AE179*(-1),0),0)</f>
        <v>0</v>
      </c>
      <c r="BA179" s="291" cm="1">
        <f t="array" ref="BA179">IFERROR((IF($O179=1,0,NPV('2027 Avoided Costs'!$D$6,_xlfn._xlws.FILTER('2027 Avoided Costs'!$M$14:$M$47,('2027 Avoided Costs'!$B$14:$B$47&gt;=$B179+1)*('2027 Avoided Costs'!$B$14:$B$47&lt;$B179+ROUND($O179,0)))))+_xlfn.XLOOKUP($B179,'2027 Avoided Costs'!$B$13:$B$47,'2027 Avoided Costs'!$M$13:$M$47))*IF($AK179&lt;0,$AK179*(-1),0),0)</f>
        <v>0</v>
      </c>
      <c r="BB179" s="291" cm="1">
        <f t="array" ref="BB179">IFERROR((IF($O179=1,0,NPV('2027 Avoided Costs'!$D$6,_xlfn._xlws.FILTER('2027 Avoided Costs'!$S$14:$S$47,('2027 Avoided Costs'!$B$14:$B$47&gt;=$B179+1)*('2027 Avoided Costs'!$B$14:$B$47&lt;$B179+ROUND($O179,0)))))+_xlfn.XLOOKUP($B179,'2027 Avoided Costs'!$B$13:$B$47,'2027 Avoided Costs'!$S$13:$S$47))*IF($AI179&lt;0,$AI179*(-1),0),0)</f>
        <v>445614.80871572427</v>
      </c>
      <c r="BC179" s="291" cm="1">
        <f t="array" ref="BC179">IFERROR((IF($O179=1,0,NPV('2027 Avoided Costs'!$D$6,_xlfn._xlws.FILTER('2027 Avoided Costs'!$Y$14:$Y$47,('2027 Avoided Costs'!$B$14:$B$47&gt;=$B179+1)*('2027 Avoided Costs'!$B$14:$B$47&lt;$B179+ROUND($O179,0)))))+_xlfn.XLOOKUP($B179,'2027 Avoided Costs'!$B$13:$B$47,'2027 Avoided Costs'!$Y$13:$Y$47))*IF($AM179&lt;0,$AM179*(-1),0),0)</f>
        <v>1791687.1018334311</v>
      </c>
      <c r="BD179" s="291" cm="1">
        <f t="array" ref="BD179">IFERROR((IF($O179=1,0,NPV('2027 Avoided Costs'!$D$6,_xlfn._xlws.FILTER('2027 Avoided Costs'!$AE$14:$AE$47,('2027 Avoided Costs'!$B$14:$B$47&gt;=$B179+1)*('2027 Avoided Costs'!$B$14:$B$47&lt;$B179+ROUND($O179,0)))))+_xlfn.XLOOKUP($B179,'2027 Avoided Costs'!$B$13:$B$47,'2027 Avoided Costs'!$AE$13:$AE$47))*IF($AO179&lt;0,$AO179*(-1),0),0)</f>
        <v>35914.480066772659</v>
      </c>
      <c r="BE179" s="291" cm="1">
        <f t="array" ref="BE179">IFERROR((IF($O179=1,0,NPV('2027 Avoided Costs'!$D$4,_xlfn._xlws.FILTER('2027 Avoided Costs'!$I$14:$I$47,('2027 Avoided Costs'!$B$14:$B$47&gt;=$B179+1)*('2027 Avoided Costs'!$B$14:$B$47&lt;$B179+ROUND($O179,0)))))+_xlfn.XLOOKUP($B179,'2027 Avoided Costs'!$B$13:$B$47,'2027 Avoided Costs'!$I$13:$I$47))*IF($X179="Residential",'2027 Avoided Costs'!$J$5,IF($X179="Large Volume",'2027 Avoided Costs'!$J$7,'2027 Avoided Costs'!$J$6))*IF($AE179&lt;0,$AE179*(-1),0),0)</f>
        <v>0</v>
      </c>
      <c r="BF179" s="291">
        <f t="shared" si="58"/>
        <v>2525461.2571468875</v>
      </c>
      <c r="BG179" s="291">
        <f t="shared" si="59"/>
        <v>4898641.5423220154</v>
      </c>
      <c r="BH179" s="291">
        <f t="shared" si="60"/>
        <v>-2373180.2851751279</v>
      </c>
      <c r="BI179" s="292">
        <f t="shared" si="83"/>
        <v>0.51554318382516073</v>
      </c>
      <c r="BJ179" s="196" cm="1">
        <f t="array" ref="BJ179">IFERROR(IF($J179="Baseload",IF($O179=1,0,NPV('2027 Avoided Costs'!$D$6,_xlfn._xlws.FILTER('2027 Avoided Costs'!$C$14:$C$47,('2027 Avoided Costs'!$B$14:$B$47&gt;=$B179+1)*('2027 Avoided Costs'!$B$14:$B$47&lt;$B179+ROUND($O179,0)))))+_xlfn.XLOOKUP($B179,'2027 Avoided Costs'!$B$13:$B$47,'2027 Avoided Costs'!$C$13:$C$47),IF($O179=1,0,NPV('2027 Avoided Costs'!$D$6,_xlfn._xlws.FILTER('2027 Avoided Costs'!$E$14:$E$47,('2027 Avoided Costs'!$B$14:$B$47&gt;=$B179+1)*('2027 Avoided Costs'!$B$14:$B$47&lt;$B179+ROUND($O179,0)))))+_xlfn.XLOOKUP($B179,'2027 Avoided Costs'!$B$13:$B$47,'2027 Avoided Costs'!$E$13:$E$47))*IF($AE179&gt;0,$AE179*(1+0),0),0)</f>
        <v>2196053.2670842502</v>
      </c>
      <c r="BK179" s="293">
        <f t="shared" si="81"/>
        <v>0.91520865048364519</v>
      </c>
    </row>
    <row r="180" spans="1:63" s="56" customFormat="1" x14ac:dyDescent="0.25">
      <c r="A180" s="270" t="s">
        <v>133</v>
      </c>
      <c r="B180" s="271">
        <v>2029</v>
      </c>
      <c r="C180" s="272" t="s">
        <v>13</v>
      </c>
      <c r="D180" s="272" t="s">
        <v>163</v>
      </c>
      <c r="E180" s="272" t="s">
        <v>101</v>
      </c>
      <c r="F180" s="273">
        <v>63</v>
      </c>
      <c r="G180" s="274">
        <v>2501.3597058823534</v>
      </c>
      <c r="H180" s="275">
        <f t="shared" si="61"/>
        <v>1</v>
      </c>
      <c r="I180" s="274">
        <v>200</v>
      </c>
      <c r="J180" s="276" t="s">
        <v>264</v>
      </c>
      <c r="K180" s="277">
        <f t="shared" si="57"/>
        <v>0.95</v>
      </c>
      <c r="L180" s="278">
        <v>5.0000000000000024E-2</v>
      </c>
      <c r="M180" s="278">
        <v>0</v>
      </c>
      <c r="N180" s="278">
        <v>1</v>
      </c>
      <c r="O180" s="279">
        <v>14</v>
      </c>
      <c r="P180" s="280">
        <v>2501.3597058823534</v>
      </c>
      <c r="Q180" s="281">
        <v>-7596.6015094339637</v>
      </c>
      <c r="R180" s="282">
        <v>-4.6292836938398843</v>
      </c>
      <c r="S180" s="282">
        <v>-1.3673402031416024</v>
      </c>
      <c r="T180" s="281">
        <v>0</v>
      </c>
      <c r="U180" s="283">
        <v>0.71</v>
      </c>
      <c r="V180" s="284">
        <v>8070.7253773584898</v>
      </c>
      <c r="W180" s="285">
        <v>0.15</v>
      </c>
      <c r="X180" s="286" t="s">
        <v>255</v>
      </c>
      <c r="Y180" s="287">
        <f t="shared" si="62"/>
        <v>63</v>
      </c>
      <c r="Z180" s="288">
        <f t="shared" si="63"/>
        <v>157585.66147058827</v>
      </c>
      <c r="AA180" s="288">
        <f t="shared" si="64"/>
        <v>12600</v>
      </c>
      <c r="AB180" s="288">
        <f t="shared" si="65"/>
        <v>163952.12219400003</v>
      </c>
      <c r="AC180" s="288">
        <f t="shared" si="82"/>
        <v>13037.167584000003</v>
      </c>
      <c r="AD180" s="287">
        <f t="shared" si="66"/>
        <v>157585.66147058827</v>
      </c>
      <c r="AE180" s="287">
        <f t="shared" si="67"/>
        <v>149706.37839705884</v>
      </c>
      <c r="AF180" s="287">
        <f t="shared" si="68"/>
        <v>2206199.2605882357</v>
      </c>
      <c r="AG180" s="287">
        <f t="shared" si="69"/>
        <v>2095889.2975588238</v>
      </c>
      <c r="AH180" s="287">
        <f t="shared" si="70"/>
        <v>-513044.0795411322</v>
      </c>
      <c r="AI180" s="287">
        <f t="shared" si="71"/>
        <v>-487391.87556407554</v>
      </c>
      <c r="AJ180" s="287">
        <f t="shared" si="72"/>
        <v>0</v>
      </c>
      <c r="AK180" s="287">
        <f t="shared" si="73"/>
        <v>0</v>
      </c>
      <c r="AL180" s="287">
        <f t="shared" si="74"/>
        <v>-312.64330354717043</v>
      </c>
      <c r="AM180" s="287">
        <f t="shared" si="75"/>
        <v>-297.01113836981193</v>
      </c>
      <c r="AN180" s="287">
        <f t="shared" si="76"/>
        <v>-92.344687959371257</v>
      </c>
      <c r="AO180" s="287">
        <f t="shared" si="77"/>
        <v>-87.727453561402712</v>
      </c>
      <c r="AP180" s="287">
        <f t="shared" si="78"/>
        <v>508455.69877358485</v>
      </c>
      <c r="AQ180" s="287">
        <f t="shared" si="79"/>
        <v>483032.9138349056</v>
      </c>
      <c r="AR180" s="287">
        <f t="shared" si="80"/>
        <v>106291.52866191177</v>
      </c>
      <c r="AS180" s="289" t="e">
        <f>IF(J180='2027 Avoided Costs'!#REF!,3,5)</f>
        <v>#REF!</v>
      </c>
      <c r="AT180" s="290" cm="1">
        <f t="array" ref="AT180">IFERROR(IF($J180="Baseload",IF($O180=1,0,NPV('2027 Avoided Costs'!$D$6,_xlfn._xlws.FILTER('2027 Avoided Costs'!$C$14:$C$47,('2027 Avoided Costs'!$B$14:$B$47&gt;=$B180+1)*('2027 Avoided Costs'!$B$14:$B$47&lt;$B180+ROUND($O180,0)))))+_xlfn.XLOOKUP($B180,'2027 Avoided Costs'!$B$13:$B$47,'2027 Avoided Costs'!$C$13:$C$47),IF($O180=1,0,NPV('2027 Avoided Costs'!$D$6,_xlfn._xlws.FILTER('2027 Avoided Costs'!$E$14:$E$47,('2027 Avoided Costs'!$B$14:$B$47&gt;=$B180+1)*('2027 Avoided Costs'!$B$14:$B$47&lt;$B180+ROUND($O180,0)))))+_xlfn.XLOOKUP($B180,'2027 Avoided Costs'!$B$13:$B$47,'2027 Avoided Costs'!$E$13:$E$47))*IF($AE180&gt;0,$AE180*(1+$W180),0),0)</f>
        <v>602073.98829561728</v>
      </c>
      <c r="AU180" s="290" cm="1">
        <f t="array" ref="AU180">IFERROR((IF($O180=1,0,NPV('2027 Avoided Costs'!$D$6,_xlfn._xlws.FILTER('2027 Avoided Costs'!$M$14:$M$47,('2027 Avoided Costs'!$B$14:$B$47&gt;=$B180+1)*('2027 Avoided Costs'!$B$14:$B$47&lt;$B180+ROUND($O180,0)))))+_xlfn.XLOOKUP($B180,'2027 Avoided Costs'!$B$13:$B$47,'2027 Avoided Costs'!$M$13:$M$47))*IF($AK180&gt;0,$AK180*(1+$W180),0),0)</f>
        <v>0</v>
      </c>
      <c r="AV180" s="291" cm="1">
        <f t="array" ref="AV180">IFERROR((IF($O180=1,0,NPV('2027 Avoided Costs'!$D$6,_xlfn._xlws.FILTER('2027 Avoided Costs'!$Q$14:$Q$47,('2027 Avoided Costs'!$B$14:$B$47&gt;=$B180+1)*('2027 Avoided Costs'!$B$14:$B$47&lt;$B180+ROUND($O180,0)))))+_xlfn.XLOOKUP($B180,'2027 Avoided Costs'!$B$13:$B$47,'2027 Avoided Costs'!$Q$13:$Q$47))*IF($AI180&gt;0,$AI180*(1+$W180),0),0)</f>
        <v>0</v>
      </c>
      <c r="AW180" s="291" cm="1">
        <f t="array" ref="AW180">IFERROR((IF($O180=1,0,NPV('2027 Avoided Costs'!$D$6,_xlfn._xlws.FILTER('2027 Avoided Costs'!$W$14:$W$47,('2027 Avoided Costs'!$B$14:$B$47&gt;=$B180+1)*('2027 Avoided Costs'!$B$14:$B$47&lt;$B180+ROUND($O180,0)))))+_xlfn.XLOOKUP($B180,'2027 Avoided Costs'!$B$13:$B$47,'2027 Avoided Costs'!$W$13:$W$47))*IF($AM180&gt;0,$AM180*(1+$W180),0),0)</f>
        <v>0</v>
      </c>
      <c r="AX180" s="291" cm="1">
        <f t="array" ref="AX180">IFERROR((IF($O180=1,0,NPV('2027 Avoided Costs'!$D$6,_xlfn._xlws.FILTER('2027 Avoided Costs'!$AC$14:$AC$47,('2027 Avoided Costs'!$B$14:$B$47&gt;=$B180+1)*('2027 Avoided Costs'!$B$14:$B$47&lt;$B180+ROUND($O180,0)))))+_xlfn.XLOOKUP($B180,'2027 Avoided Costs'!$B$13:$B$47,'2027 Avoided Costs'!$AC$13:$AC$47))*IF($AO180&gt;0,$AO180*(1+$W180),0),0)</f>
        <v>0</v>
      </c>
      <c r="AY180" s="291" cm="1">
        <f t="array" ref="AY180">IFERROR((IF($O180=1,0,NPV('2027 Avoided Costs'!$D$4,_xlfn._xlws.FILTER('2027 Avoided Costs'!$I$14:$I$47,('2027 Avoided Costs'!$B$14:$B$47&gt;=$B180+1)*('2027 Avoided Costs'!$B$14:$B$47&lt;$B180+ROUND($O180,0)))))+_xlfn.XLOOKUP($B180,'2027 Avoided Costs'!$B$13:$B$47,'2027 Avoided Costs'!$I$13:$I$47))*IF($X180="Residential",'2027 Avoided Costs'!$J$5,IF($X180="Large Volume",'2027 Avoided Costs'!$J$7,'2027 Avoided Costs'!$J$6))*IF($AE180&gt;0,$AE180,0),0)</f>
        <v>0</v>
      </c>
      <c r="AZ180" s="291" cm="1">
        <f t="array" ref="AZ180">IFERROR(IF($J180="Baseload",IF($O180=1,0,NPV('2027 Avoided Costs'!$D$6,_xlfn._xlws.FILTER('2027 Avoided Costs'!$C$14:$C$47,('2027 Avoided Costs'!$B$14:$B$47&gt;=$B180+1)*('2027 Avoided Costs'!$B$14:$B$47&lt;$B180+ROUND($O180,0)))))+_xlfn.XLOOKUP($B180,'2027 Avoided Costs'!$B$13:$B$47,'2027 Avoided Costs'!$C$13:$C$47),IF($O180=1,0,NPV('2027 Avoided Costs'!$D$6,_xlfn._xlws.FILTER('2027 Avoided Costs'!$E$14:$E$47,('2027 Avoided Costs'!$B$14:$B$47&gt;=$B180+1)*('2027 Avoided Costs'!$B$14:$B$47&lt;$B180+ROUND($O180,0)))))+_xlfn.XLOOKUP($B180,'2027 Avoided Costs'!$B$13:$B$47,'2027 Avoided Costs'!$E$13:$E$47))*IF($AE180&lt;0,$AE180*(-1),0),0)</f>
        <v>0</v>
      </c>
      <c r="BA180" s="291" cm="1">
        <f t="array" ref="BA180">IFERROR((IF($O180=1,0,NPV('2027 Avoided Costs'!$D$6,_xlfn._xlws.FILTER('2027 Avoided Costs'!$M$14:$M$47,('2027 Avoided Costs'!$B$14:$B$47&gt;=$B180+1)*('2027 Avoided Costs'!$B$14:$B$47&lt;$B180+ROUND($O180,0)))))+_xlfn.XLOOKUP($B180,'2027 Avoided Costs'!$B$13:$B$47,'2027 Avoided Costs'!$M$13:$M$47))*IF($AK180&lt;0,$AK180*(-1),0),0)</f>
        <v>0</v>
      </c>
      <c r="BB180" s="291" cm="1">
        <f t="array" ref="BB180">IFERROR((IF($O180=1,0,NPV('2027 Avoided Costs'!$D$6,_xlfn._xlws.FILTER('2027 Avoided Costs'!$S$14:$S$47,('2027 Avoided Costs'!$B$14:$B$47&gt;=$B180+1)*('2027 Avoided Costs'!$B$14:$B$47&lt;$B180+ROUND($O180,0)))))+_xlfn.XLOOKUP($B180,'2027 Avoided Costs'!$B$13:$B$47,'2027 Avoided Costs'!$S$13:$S$47))*IF($AI180&lt;0,$AI180*(-1),0),0)</f>
        <v>260070.38791846958</v>
      </c>
      <c r="BC180" s="291" cm="1">
        <f t="array" ref="BC180">IFERROR((IF($O180=1,0,NPV('2027 Avoided Costs'!$D$6,_xlfn._xlws.FILTER('2027 Avoided Costs'!$Y$14:$Y$47,('2027 Avoided Costs'!$B$14:$B$47&gt;=$B180+1)*('2027 Avoided Costs'!$B$14:$B$47&lt;$B180+ROUND($O180,0)))))+_xlfn.XLOOKUP($B180,'2027 Avoided Costs'!$B$13:$B$47,'2027 Avoided Costs'!$Y$13:$Y$47))*IF($AM180&lt;0,$AM180*(-1),0),0)</f>
        <v>1045667.1333371168</v>
      </c>
      <c r="BD180" s="291" cm="1">
        <f t="array" ref="BD180">IFERROR((IF($O180=1,0,NPV('2027 Avoided Costs'!$D$6,_xlfn._xlws.FILTER('2027 Avoided Costs'!$AE$14:$AE$47,('2027 Avoided Costs'!$B$14:$B$47&gt;=$B180+1)*('2027 Avoided Costs'!$B$14:$B$47&lt;$B180+ROUND($O180,0)))))+_xlfn.XLOOKUP($B180,'2027 Avoided Costs'!$B$13:$B$47,'2027 Avoided Costs'!$AE$13:$AE$47))*IF($AO180&lt;0,$AO180*(-1),0),0)</f>
        <v>20960.463117854462</v>
      </c>
      <c r="BE180" s="291" cm="1">
        <f t="array" ref="BE180">IFERROR((IF($O180=1,0,NPV('2027 Avoided Costs'!$D$4,_xlfn._xlws.FILTER('2027 Avoided Costs'!$I$14:$I$47,('2027 Avoided Costs'!$B$14:$B$47&gt;=$B180+1)*('2027 Avoided Costs'!$B$14:$B$47&lt;$B180+ROUND($O180,0)))))+_xlfn.XLOOKUP($B180,'2027 Avoided Costs'!$B$13:$B$47,'2027 Avoided Costs'!$I$13:$I$47))*IF($X180="Residential",'2027 Avoided Costs'!$J$5,IF($X180="Large Volume",'2027 Avoided Costs'!$J$7,'2027 Avoided Costs'!$J$6))*IF($AE180&lt;0,$AE180*(-1),0),0)</f>
        <v>0</v>
      </c>
      <c r="BF180" s="291">
        <f t="shared" si="58"/>
        <v>602073.98829561728</v>
      </c>
      <c r="BG180" s="291">
        <f t="shared" si="59"/>
        <v>1809730.8982083462</v>
      </c>
      <c r="BH180" s="291">
        <f t="shared" si="60"/>
        <v>-1207656.9099127289</v>
      </c>
      <c r="BI180" s="292">
        <f t="shared" si="83"/>
        <v>0.33268702484533874</v>
      </c>
      <c r="BJ180" s="196" cm="1">
        <f t="array" ref="BJ180">IFERROR(IF($J180="Baseload",IF($O180=1,0,NPV('2027 Avoided Costs'!$D$6,_xlfn._xlws.FILTER('2027 Avoided Costs'!$C$14:$C$47,('2027 Avoided Costs'!$B$14:$B$47&gt;=$B180+1)*('2027 Avoided Costs'!$B$14:$B$47&lt;$B180+ROUND($O180,0)))))+_xlfn.XLOOKUP($B180,'2027 Avoided Costs'!$B$13:$B$47,'2027 Avoided Costs'!$C$13:$C$47),IF($O180=1,0,NPV('2027 Avoided Costs'!$D$6,_xlfn._xlws.FILTER('2027 Avoided Costs'!$E$14:$E$47,('2027 Avoided Costs'!$B$14:$B$47&gt;=$B180+1)*('2027 Avoided Costs'!$B$14:$B$47&lt;$B180+ROUND($O180,0)))))+_xlfn.XLOOKUP($B180,'2027 Avoided Costs'!$B$13:$B$47,'2027 Avoided Costs'!$E$13:$E$47))*IF($AE180&gt;0,$AE180*(1+0),0),0)</f>
        <v>523542.59851792816</v>
      </c>
      <c r="BK180" s="293">
        <f t="shared" si="81"/>
        <v>2.9580467788452873</v>
      </c>
    </row>
    <row r="181" spans="1:63" s="56" customFormat="1" x14ac:dyDescent="0.25">
      <c r="A181" s="270" t="s">
        <v>133</v>
      </c>
      <c r="B181" s="271">
        <v>2029</v>
      </c>
      <c r="C181" s="272" t="s">
        <v>13</v>
      </c>
      <c r="D181" s="272" t="s">
        <v>163</v>
      </c>
      <c r="E181" s="272" t="s">
        <v>301</v>
      </c>
      <c r="F181" s="273">
        <v>519</v>
      </c>
      <c r="G181" s="274">
        <v>776.48443175965679</v>
      </c>
      <c r="H181" s="275">
        <f t="shared" si="61"/>
        <v>1.27</v>
      </c>
      <c r="I181" s="274">
        <v>200</v>
      </c>
      <c r="J181" s="276" t="s">
        <v>263</v>
      </c>
      <c r="K181" s="277">
        <f t="shared" si="57"/>
        <v>0.98</v>
      </c>
      <c r="L181" s="278">
        <v>0.02</v>
      </c>
      <c r="M181" s="278">
        <v>0</v>
      </c>
      <c r="N181" s="278">
        <v>1</v>
      </c>
      <c r="O181" s="279">
        <v>15</v>
      </c>
      <c r="P181" s="280">
        <v>611.40506437768249</v>
      </c>
      <c r="Q181" s="281">
        <v>0</v>
      </c>
      <c r="R181" s="282">
        <v>0</v>
      </c>
      <c r="S181" s="282">
        <v>0</v>
      </c>
      <c r="T181" s="281">
        <v>0</v>
      </c>
      <c r="U181" s="283">
        <v>0.25</v>
      </c>
      <c r="V181" s="284">
        <v>3030</v>
      </c>
      <c r="W181" s="285">
        <v>0.15</v>
      </c>
      <c r="X181" s="286" t="s">
        <v>255</v>
      </c>
      <c r="Y181" s="287">
        <f t="shared" si="62"/>
        <v>519</v>
      </c>
      <c r="Z181" s="288">
        <f t="shared" si="63"/>
        <v>402995.42008326185</v>
      </c>
      <c r="AA181" s="288">
        <f t="shared" si="64"/>
        <v>103800</v>
      </c>
      <c r="AB181" s="288">
        <f t="shared" si="65"/>
        <v>419276.43505462562</v>
      </c>
      <c r="AC181" s="288">
        <f t="shared" si="82"/>
        <v>107401.42819200002</v>
      </c>
      <c r="AD181" s="287">
        <f t="shared" si="66"/>
        <v>317319.22841201723</v>
      </c>
      <c r="AE181" s="287">
        <f t="shared" si="67"/>
        <v>310972.84384377685</v>
      </c>
      <c r="AF181" s="287">
        <f t="shared" si="68"/>
        <v>4759788.4261802584</v>
      </c>
      <c r="AG181" s="287">
        <f t="shared" si="69"/>
        <v>4664592.6576566529</v>
      </c>
      <c r="AH181" s="287">
        <f t="shared" si="70"/>
        <v>0</v>
      </c>
      <c r="AI181" s="287">
        <f t="shared" si="71"/>
        <v>0</v>
      </c>
      <c r="AJ181" s="287">
        <f t="shared" si="72"/>
        <v>0</v>
      </c>
      <c r="AK181" s="287">
        <f t="shared" si="73"/>
        <v>0</v>
      </c>
      <c r="AL181" s="287">
        <f t="shared" si="74"/>
        <v>0</v>
      </c>
      <c r="AM181" s="287">
        <f t="shared" si="75"/>
        <v>0</v>
      </c>
      <c r="AN181" s="287">
        <f t="shared" si="76"/>
        <v>0</v>
      </c>
      <c r="AO181" s="287">
        <f t="shared" si="77"/>
        <v>0</v>
      </c>
      <c r="AP181" s="287">
        <f t="shared" si="78"/>
        <v>1572570</v>
      </c>
      <c r="AQ181" s="287">
        <f t="shared" si="79"/>
        <v>1541118.5999999999</v>
      </c>
      <c r="AR181" s="287">
        <f t="shared" si="80"/>
        <v>77743.210960944212</v>
      </c>
      <c r="AS181" s="289" t="e">
        <f>IF(J181='2027 Avoided Costs'!#REF!,3,5)</f>
        <v>#REF!</v>
      </c>
      <c r="AT181" s="290" cm="1">
        <f t="array" ref="AT181">IFERROR(IF($J181="Baseload",IF($O181=1,0,NPV('2027 Avoided Costs'!$D$6,_xlfn._xlws.FILTER('2027 Avoided Costs'!$C$14:$C$47,('2027 Avoided Costs'!$B$14:$B$47&gt;=$B181+1)*('2027 Avoided Costs'!$B$14:$B$47&lt;$B181+ROUND($O181,0)))))+_xlfn.XLOOKUP($B181,'2027 Avoided Costs'!$B$13:$B$47,'2027 Avoided Costs'!$C$13:$C$47),IF($O181=1,0,NPV('2027 Avoided Costs'!$D$6,_xlfn._xlws.FILTER('2027 Avoided Costs'!$E$14:$E$47,('2027 Avoided Costs'!$B$14:$B$47&gt;=$B181+1)*('2027 Avoided Costs'!$B$14:$B$47&lt;$B181+ROUND($O181,0)))))+_xlfn.XLOOKUP($B181,'2027 Avoided Costs'!$B$13:$B$47,'2027 Avoided Costs'!$E$13:$E$47))*IF($AE181&gt;0,$AE181*(1+$W181),0),0)</f>
        <v>1180813.5050913647</v>
      </c>
      <c r="AU181" s="290" cm="1">
        <f t="array" ref="AU181">IFERROR((IF($O181=1,0,NPV('2027 Avoided Costs'!$D$6,_xlfn._xlws.FILTER('2027 Avoided Costs'!$M$14:$M$47,('2027 Avoided Costs'!$B$14:$B$47&gt;=$B181+1)*('2027 Avoided Costs'!$B$14:$B$47&lt;$B181+ROUND($O181,0)))))+_xlfn.XLOOKUP($B181,'2027 Avoided Costs'!$B$13:$B$47,'2027 Avoided Costs'!$M$13:$M$47))*IF($AK181&gt;0,$AK181*(1+$W181),0),0)</f>
        <v>0</v>
      </c>
      <c r="AV181" s="291" cm="1">
        <f t="array" ref="AV181">IFERROR((IF($O181=1,0,NPV('2027 Avoided Costs'!$D$6,_xlfn._xlws.FILTER('2027 Avoided Costs'!$Q$14:$Q$47,('2027 Avoided Costs'!$B$14:$B$47&gt;=$B181+1)*('2027 Avoided Costs'!$B$14:$B$47&lt;$B181+ROUND($O181,0)))))+_xlfn.XLOOKUP($B181,'2027 Avoided Costs'!$B$13:$B$47,'2027 Avoided Costs'!$Q$13:$Q$47))*IF($AI181&gt;0,$AI181*(1+$W181),0),0)</f>
        <v>0</v>
      </c>
      <c r="AW181" s="291" cm="1">
        <f t="array" ref="AW181">IFERROR((IF($O181=1,0,NPV('2027 Avoided Costs'!$D$6,_xlfn._xlws.FILTER('2027 Avoided Costs'!$W$14:$W$47,('2027 Avoided Costs'!$B$14:$B$47&gt;=$B181+1)*('2027 Avoided Costs'!$B$14:$B$47&lt;$B181+ROUND($O181,0)))))+_xlfn.XLOOKUP($B181,'2027 Avoided Costs'!$B$13:$B$47,'2027 Avoided Costs'!$W$13:$W$47))*IF($AM181&gt;0,$AM181*(1+$W181),0),0)</f>
        <v>0</v>
      </c>
      <c r="AX181" s="291" cm="1">
        <f t="array" ref="AX181">IFERROR((IF($O181=1,0,NPV('2027 Avoided Costs'!$D$6,_xlfn._xlws.FILTER('2027 Avoided Costs'!$AC$14:$AC$47,('2027 Avoided Costs'!$B$14:$B$47&gt;=$B181+1)*('2027 Avoided Costs'!$B$14:$B$47&lt;$B181+ROUND($O181,0)))))+_xlfn.XLOOKUP($B181,'2027 Avoided Costs'!$B$13:$B$47,'2027 Avoided Costs'!$AC$13:$AC$47))*IF($AO181&gt;0,$AO181*(1+$W181),0),0)</f>
        <v>0</v>
      </c>
      <c r="AY181" s="291" cm="1">
        <f t="array" ref="AY181">IFERROR((IF($O181=1,0,NPV('2027 Avoided Costs'!$D$4,_xlfn._xlws.FILTER('2027 Avoided Costs'!$I$14:$I$47,('2027 Avoided Costs'!$B$14:$B$47&gt;=$B181+1)*('2027 Avoided Costs'!$B$14:$B$47&lt;$B181+ROUND($O181,0)))))+_xlfn.XLOOKUP($B181,'2027 Avoided Costs'!$B$13:$B$47,'2027 Avoided Costs'!$I$13:$I$47))*IF($X181="Residential",'2027 Avoided Costs'!$J$5,IF($X181="Large Volume",'2027 Avoided Costs'!$J$7,'2027 Avoided Costs'!$J$6))*IF($AE181&gt;0,$AE181,0),0)</f>
        <v>0</v>
      </c>
      <c r="AZ181" s="291" cm="1">
        <f t="array" ref="AZ181">IFERROR(IF($J181="Baseload",IF($O181=1,0,NPV('2027 Avoided Costs'!$D$6,_xlfn._xlws.FILTER('2027 Avoided Costs'!$C$14:$C$47,('2027 Avoided Costs'!$B$14:$B$47&gt;=$B181+1)*('2027 Avoided Costs'!$B$14:$B$47&lt;$B181+ROUND($O181,0)))))+_xlfn.XLOOKUP($B181,'2027 Avoided Costs'!$B$13:$B$47,'2027 Avoided Costs'!$C$13:$C$47),IF($O181=1,0,NPV('2027 Avoided Costs'!$D$6,_xlfn._xlws.FILTER('2027 Avoided Costs'!$E$14:$E$47,('2027 Avoided Costs'!$B$14:$B$47&gt;=$B181+1)*('2027 Avoided Costs'!$B$14:$B$47&lt;$B181+ROUND($O181,0)))))+_xlfn.XLOOKUP($B181,'2027 Avoided Costs'!$B$13:$B$47,'2027 Avoided Costs'!$E$13:$E$47))*IF($AE181&lt;0,$AE181*(-1),0),0)</f>
        <v>0</v>
      </c>
      <c r="BA181" s="291" cm="1">
        <f t="array" ref="BA181">IFERROR((IF($O181=1,0,NPV('2027 Avoided Costs'!$D$6,_xlfn._xlws.FILTER('2027 Avoided Costs'!$M$14:$M$47,('2027 Avoided Costs'!$B$14:$B$47&gt;=$B181+1)*('2027 Avoided Costs'!$B$14:$B$47&lt;$B181+ROUND($O181,0)))))+_xlfn.XLOOKUP($B181,'2027 Avoided Costs'!$B$13:$B$47,'2027 Avoided Costs'!$M$13:$M$47))*IF($AK181&lt;0,$AK181*(-1),0),0)</f>
        <v>0</v>
      </c>
      <c r="BB181" s="291" cm="1">
        <f t="array" ref="BB181">IFERROR((IF($O181=1,0,NPV('2027 Avoided Costs'!$D$6,_xlfn._xlws.FILTER('2027 Avoided Costs'!$S$14:$S$47,('2027 Avoided Costs'!$B$14:$B$47&gt;=$B181+1)*('2027 Avoided Costs'!$B$14:$B$47&lt;$B181+ROUND($O181,0)))))+_xlfn.XLOOKUP($B181,'2027 Avoided Costs'!$B$13:$B$47,'2027 Avoided Costs'!$S$13:$S$47))*IF($AI181&lt;0,$AI181*(-1),0),0)</f>
        <v>0</v>
      </c>
      <c r="BC181" s="291" cm="1">
        <f t="array" ref="BC181">IFERROR((IF($O181=1,0,NPV('2027 Avoided Costs'!$D$6,_xlfn._xlws.FILTER('2027 Avoided Costs'!$Y$14:$Y$47,('2027 Avoided Costs'!$B$14:$B$47&gt;=$B181+1)*('2027 Avoided Costs'!$B$14:$B$47&lt;$B181+ROUND($O181,0)))))+_xlfn.XLOOKUP($B181,'2027 Avoided Costs'!$B$13:$B$47,'2027 Avoided Costs'!$Y$13:$Y$47))*IF($AM181&lt;0,$AM181*(-1),0),0)</f>
        <v>0</v>
      </c>
      <c r="BD181" s="291" cm="1">
        <f t="array" ref="BD181">IFERROR((IF($O181=1,0,NPV('2027 Avoided Costs'!$D$6,_xlfn._xlws.FILTER('2027 Avoided Costs'!$AE$14:$AE$47,('2027 Avoided Costs'!$B$14:$B$47&gt;=$B181+1)*('2027 Avoided Costs'!$B$14:$B$47&lt;$B181+ROUND($O181,0)))))+_xlfn.XLOOKUP($B181,'2027 Avoided Costs'!$B$13:$B$47,'2027 Avoided Costs'!$AE$13:$AE$47))*IF($AO181&lt;0,$AO181*(-1),0),0)</f>
        <v>0</v>
      </c>
      <c r="BE181" s="291" cm="1">
        <f t="array" ref="BE181">IFERROR((IF($O181=1,0,NPV('2027 Avoided Costs'!$D$4,_xlfn._xlws.FILTER('2027 Avoided Costs'!$I$14:$I$47,('2027 Avoided Costs'!$B$14:$B$47&gt;=$B181+1)*('2027 Avoided Costs'!$B$14:$B$47&lt;$B181+ROUND($O181,0)))))+_xlfn.XLOOKUP($B181,'2027 Avoided Costs'!$B$13:$B$47,'2027 Avoided Costs'!$I$13:$I$47))*IF($X181="Residential",'2027 Avoided Costs'!$J$5,IF($X181="Large Volume",'2027 Avoided Costs'!$J$7,'2027 Avoided Costs'!$J$6))*IF($AE181&lt;0,$AE181*(-1),0),0)</f>
        <v>0</v>
      </c>
      <c r="BF181" s="291">
        <f t="shared" si="58"/>
        <v>1180813.5050913647</v>
      </c>
      <c r="BG181" s="291">
        <f t="shared" si="59"/>
        <v>1541118.5999999999</v>
      </c>
      <c r="BH181" s="291">
        <f t="shared" si="60"/>
        <v>-360305.09490863513</v>
      </c>
      <c r="BI181" s="292">
        <f t="shared" si="83"/>
        <v>0.76620547249988735</v>
      </c>
      <c r="BJ181" s="196" cm="1">
        <f t="array" ref="BJ181">IFERROR(IF($J181="Baseload",IF($O181=1,0,NPV('2027 Avoided Costs'!$D$6,_xlfn._xlws.FILTER('2027 Avoided Costs'!$C$14:$C$47,('2027 Avoided Costs'!$B$14:$B$47&gt;=$B181+1)*('2027 Avoided Costs'!$B$14:$B$47&lt;$B181+ROUND($O181,0)))))+_xlfn.XLOOKUP($B181,'2027 Avoided Costs'!$B$13:$B$47,'2027 Avoided Costs'!$C$13:$C$47),IF($O181=1,0,NPV('2027 Avoided Costs'!$D$6,_xlfn._xlws.FILTER('2027 Avoided Costs'!$E$14:$E$47,('2027 Avoided Costs'!$B$14:$B$47&gt;=$B181+1)*('2027 Avoided Costs'!$B$14:$B$47&lt;$B181+ROUND($O181,0)))))+_xlfn.XLOOKUP($B181,'2027 Avoided Costs'!$B$13:$B$47,'2027 Avoided Costs'!$E$13:$E$47))*IF($AE181&gt;0,$AE181*(1+0),0),0)</f>
        <v>1026794.3522533608</v>
      </c>
      <c r="BK181" s="293">
        <f t="shared" si="81"/>
        <v>1.9495680830856323</v>
      </c>
    </row>
    <row r="182" spans="1:63" s="56" customFormat="1" x14ac:dyDescent="0.25">
      <c r="A182" s="270" t="s">
        <v>133</v>
      </c>
      <c r="B182" s="271">
        <v>2029</v>
      </c>
      <c r="C182" s="272" t="s">
        <v>13</v>
      </c>
      <c r="D182" s="272" t="s">
        <v>163</v>
      </c>
      <c r="E182" s="272" t="s">
        <v>300</v>
      </c>
      <c r="F182" s="273">
        <v>24</v>
      </c>
      <c r="G182" s="274">
        <v>2048.9250000000002</v>
      </c>
      <c r="H182" s="275">
        <f t="shared" si="61"/>
        <v>0.76722179903327625</v>
      </c>
      <c r="I182" s="274">
        <v>200</v>
      </c>
      <c r="J182" s="276" t="s">
        <v>264</v>
      </c>
      <c r="K182" s="277">
        <f t="shared" si="57"/>
        <v>1</v>
      </c>
      <c r="L182" s="278">
        <v>0</v>
      </c>
      <c r="M182" s="278">
        <v>0</v>
      </c>
      <c r="N182" s="278">
        <v>1</v>
      </c>
      <c r="O182" s="279">
        <v>18</v>
      </c>
      <c r="P182" s="280">
        <v>2670.5771428571379</v>
      </c>
      <c r="Q182" s="281">
        <v>0</v>
      </c>
      <c r="R182" s="282">
        <v>0</v>
      </c>
      <c r="S182" s="282">
        <v>0</v>
      </c>
      <c r="T182" s="281">
        <v>0</v>
      </c>
      <c r="U182" s="283">
        <v>0.25</v>
      </c>
      <c r="V182" s="284">
        <v>4097.8500000000004</v>
      </c>
      <c r="W182" s="285">
        <v>0.15</v>
      </c>
      <c r="X182" s="286" t="s">
        <v>255</v>
      </c>
      <c r="Y182" s="287">
        <f t="shared" si="62"/>
        <v>24</v>
      </c>
      <c r="Z182" s="288">
        <f t="shared" si="63"/>
        <v>49174.200000000004</v>
      </c>
      <c r="AA182" s="288">
        <f t="shared" si="64"/>
        <v>4800</v>
      </c>
      <c r="AB182" s="288">
        <f t="shared" si="65"/>
        <v>51160.837680000004</v>
      </c>
      <c r="AC182" s="288">
        <f t="shared" si="82"/>
        <v>4966.5400320000008</v>
      </c>
      <c r="AD182" s="287">
        <f t="shared" si="66"/>
        <v>64093.85142857131</v>
      </c>
      <c r="AE182" s="287">
        <f t="shared" si="67"/>
        <v>64093.85142857131</v>
      </c>
      <c r="AF182" s="287">
        <f t="shared" si="68"/>
        <v>1153689.3257142836</v>
      </c>
      <c r="AG182" s="287">
        <f t="shared" si="69"/>
        <v>1153689.3257142836</v>
      </c>
      <c r="AH182" s="287">
        <f t="shared" si="70"/>
        <v>0</v>
      </c>
      <c r="AI182" s="287">
        <f t="shared" si="71"/>
        <v>0</v>
      </c>
      <c r="AJ182" s="287">
        <f t="shared" si="72"/>
        <v>0</v>
      </c>
      <c r="AK182" s="287">
        <f t="shared" si="73"/>
        <v>0</v>
      </c>
      <c r="AL182" s="287">
        <f t="shared" si="74"/>
        <v>0</v>
      </c>
      <c r="AM182" s="287">
        <f t="shared" si="75"/>
        <v>0</v>
      </c>
      <c r="AN182" s="287">
        <f t="shared" si="76"/>
        <v>0</v>
      </c>
      <c r="AO182" s="287">
        <f t="shared" si="77"/>
        <v>0</v>
      </c>
      <c r="AP182" s="287">
        <f t="shared" si="78"/>
        <v>98348.400000000009</v>
      </c>
      <c r="AQ182" s="287">
        <f t="shared" si="79"/>
        <v>98348.400000000009</v>
      </c>
      <c r="AR182" s="287">
        <f t="shared" si="80"/>
        <v>16023.462857142827</v>
      </c>
      <c r="AS182" s="289" t="e">
        <f>IF(J182='2027 Avoided Costs'!#REF!,3,5)</f>
        <v>#REF!</v>
      </c>
      <c r="AT182" s="290" cm="1">
        <f t="array" ref="AT182">IFERROR(IF($J182="Baseload",IF($O182=1,0,NPV('2027 Avoided Costs'!$D$6,_xlfn._xlws.FILTER('2027 Avoided Costs'!$C$14:$C$47,('2027 Avoided Costs'!$B$14:$B$47&gt;=$B182+1)*('2027 Avoided Costs'!$B$14:$B$47&lt;$B182+ROUND($O182,0)))))+_xlfn.XLOOKUP($B182,'2027 Avoided Costs'!$B$13:$B$47,'2027 Avoided Costs'!$C$13:$C$47),IF($O182=1,0,NPV('2027 Avoided Costs'!$D$6,_xlfn._xlws.FILTER('2027 Avoided Costs'!$E$14:$E$47,('2027 Avoided Costs'!$B$14:$B$47&gt;=$B182+1)*('2027 Avoided Costs'!$B$14:$B$47&lt;$B182+ROUND($O182,0)))))+_xlfn.XLOOKUP($B182,'2027 Avoided Costs'!$B$13:$B$47,'2027 Avoided Costs'!$E$13:$E$47))*IF($AE182&gt;0,$AE182*(1+$W182),0),0)</f>
        <v>314787.70604806085</v>
      </c>
      <c r="AU182" s="290" cm="1">
        <f t="array" ref="AU182">IFERROR((IF($O182=1,0,NPV('2027 Avoided Costs'!$D$6,_xlfn._xlws.FILTER('2027 Avoided Costs'!$M$14:$M$47,('2027 Avoided Costs'!$B$14:$B$47&gt;=$B182+1)*('2027 Avoided Costs'!$B$14:$B$47&lt;$B182+ROUND($O182,0)))))+_xlfn.XLOOKUP($B182,'2027 Avoided Costs'!$B$13:$B$47,'2027 Avoided Costs'!$M$13:$M$47))*IF($AK182&gt;0,$AK182*(1+$W182),0),0)</f>
        <v>0</v>
      </c>
      <c r="AV182" s="291" cm="1">
        <f t="array" ref="AV182">IFERROR((IF($O182=1,0,NPV('2027 Avoided Costs'!$D$6,_xlfn._xlws.FILTER('2027 Avoided Costs'!$Q$14:$Q$47,('2027 Avoided Costs'!$B$14:$B$47&gt;=$B182+1)*('2027 Avoided Costs'!$B$14:$B$47&lt;$B182+ROUND($O182,0)))))+_xlfn.XLOOKUP($B182,'2027 Avoided Costs'!$B$13:$B$47,'2027 Avoided Costs'!$Q$13:$Q$47))*IF($AI182&gt;0,$AI182*(1+$W182),0),0)</f>
        <v>0</v>
      </c>
      <c r="AW182" s="291" cm="1">
        <f t="array" ref="AW182">IFERROR((IF($O182=1,0,NPV('2027 Avoided Costs'!$D$6,_xlfn._xlws.FILTER('2027 Avoided Costs'!$W$14:$W$47,('2027 Avoided Costs'!$B$14:$B$47&gt;=$B182+1)*('2027 Avoided Costs'!$B$14:$B$47&lt;$B182+ROUND($O182,0)))))+_xlfn.XLOOKUP($B182,'2027 Avoided Costs'!$B$13:$B$47,'2027 Avoided Costs'!$W$13:$W$47))*IF($AM182&gt;0,$AM182*(1+$W182),0),0)</f>
        <v>0</v>
      </c>
      <c r="AX182" s="291" cm="1">
        <f t="array" ref="AX182">IFERROR((IF($O182=1,0,NPV('2027 Avoided Costs'!$D$6,_xlfn._xlws.FILTER('2027 Avoided Costs'!$AC$14:$AC$47,('2027 Avoided Costs'!$B$14:$B$47&gt;=$B182+1)*('2027 Avoided Costs'!$B$14:$B$47&lt;$B182+ROUND($O182,0)))))+_xlfn.XLOOKUP($B182,'2027 Avoided Costs'!$B$13:$B$47,'2027 Avoided Costs'!$AC$13:$AC$47))*IF($AO182&gt;0,$AO182*(1+$W182),0),0)</f>
        <v>0</v>
      </c>
      <c r="AY182" s="291" cm="1">
        <f t="array" ref="AY182">IFERROR((IF($O182=1,0,NPV('2027 Avoided Costs'!$D$4,_xlfn._xlws.FILTER('2027 Avoided Costs'!$I$14:$I$47,('2027 Avoided Costs'!$B$14:$B$47&gt;=$B182+1)*('2027 Avoided Costs'!$B$14:$B$47&lt;$B182+ROUND($O182,0)))))+_xlfn.XLOOKUP($B182,'2027 Avoided Costs'!$B$13:$B$47,'2027 Avoided Costs'!$I$13:$I$47))*IF($X182="Residential",'2027 Avoided Costs'!$J$5,IF($X182="Large Volume",'2027 Avoided Costs'!$J$7,'2027 Avoided Costs'!$J$6))*IF($AE182&gt;0,$AE182,0),0)</f>
        <v>0</v>
      </c>
      <c r="AZ182" s="291" cm="1">
        <f t="array" ref="AZ182">IFERROR(IF($J182="Baseload",IF($O182=1,0,NPV('2027 Avoided Costs'!$D$6,_xlfn._xlws.FILTER('2027 Avoided Costs'!$C$14:$C$47,('2027 Avoided Costs'!$B$14:$B$47&gt;=$B182+1)*('2027 Avoided Costs'!$B$14:$B$47&lt;$B182+ROUND($O182,0)))))+_xlfn.XLOOKUP($B182,'2027 Avoided Costs'!$B$13:$B$47,'2027 Avoided Costs'!$C$13:$C$47),IF($O182=1,0,NPV('2027 Avoided Costs'!$D$6,_xlfn._xlws.FILTER('2027 Avoided Costs'!$E$14:$E$47,('2027 Avoided Costs'!$B$14:$B$47&gt;=$B182+1)*('2027 Avoided Costs'!$B$14:$B$47&lt;$B182+ROUND($O182,0)))))+_xlfn.XLOOKUP($B182,'2027 Avoided Costs'!$B$13:$B$47,'2027 Avoided Costs'!$E$13:$E$47))*IF($AE182&lt;0,$AE182*(-1),0),0)</f>
        <v>0</v>
      </c>
      <c r="BA182" s="291" cm="1">
        <f t="array" ref="BA182">IFERROR((IF($O182=1,0,NPV('2027 Avoided Costs'!$D$6,_xlfn._xlws.FILTER('2027 Avoided Costs'!$M$14:$M$47,('2027 Avoided Costs'!$B$14:$B$47&gt;=$B182+1)*('2027 Avoided Costs'!$B$14:$B$47&lt;$B182+ROUND($O182,0)))))+_xlfn.XLOOKUP($B182,'2027 Avoided Costs'!$B$13:$B$47,'2027 Avoided Costs'!$M$13:$M$47))*IF($AK182&lt;0,$AK182*(-1),0),0)</f>
        <v>0</v>
      </c>
      <c r="BB182" s="291" cm="1">
        <f t="array" ref="BB182">IFERROR((IF($O182=1,0,NPV('2027 Avoided Costs'!$D$6,_xlfn._xlws.FILTER('2027 Avoided Costs'!$S$14:$S$47,('2027 Avoided Costs'!$B$14:$B$47&gt;=$B182+1)*('2027 Avoided Costs'!$B$14:$B$47&lt;$B182+ROUND($O182,0)))))+_xlfn.XLOOKUP($B182,'2027 Avoided Costs'!$B$13:$B$47,'2027 Avoided Costs'!$S$13:$S$47))*IF($AI182&lt;0,$AI182*(-1),0),0)</f>
        <v>0</v>
      </c>
      <c r="BC182" s="291" cm="1">
        <f t="array" ref="BC182">IFERROR((IF($O182=1,0,NPV('2027 Avoided Costs'!$D$6,_xlfn._xlws.FILTER('2027 Avoided Costs'!$Y$14:$Y$47,('2027 Avoided Costs'!$B$14:$B$47&gt;=$B182+1)*('2027 Avoided Costs'!$B$14:$B$47&lt;$B182+ROUND($O182,0)))))+_xlfn.XLOOKUP($B182,'2027 Avoided Costs'!$B$13:$B$47,'2027 Avoided Costs'!$Y$13:$Y$47))*IF($AM182&lt;0,$AM182*(-1),0),0)</f>
        <v>0</v>
      </c>
      <c r="BD182" s="291" cm="1">
        <f t="array" ref="BD182">IFERROR((IF($O182=1,0,NPV('2027 Avoided Costs'!$D$6,_xlfn._xlws.FILTER('2027 Avoided Costs'!$AE$14:$AE$47,('2027 Avoided Costs'!$B$14:$B$47&gt;=$B182+1)*('2027 Avoided Costs'!$B$14:$B$47&lt;$B182+ROUND($O182,0)))))+_xlfn.XLOOKUP($B182,'2027 Avoided Costs'!$B$13:$B$47,'2027 Avoided Costs'!$AE$13:$AE$47))*IF($AO182&lt;0,$AO182*(-1),0),0)</f>
        <v>0</v>
      </c>
      <c r="BE182" s="291" cm="1">
        <f t="array" ref="BE182">IFERROR((IF($O182=1,0,NPV('2027 Avoided Costs'!$D$4,_xlfn._xlws.FILTER('2027 Avoided Costs'!$I$14:$I$47,('2027 Avoided Costs'!$B$14:$B$47&gt;=$B182+1)*('2027 Avoided Costs'!$B$14:$B$47&lt;$B182+ROUND($O182,0)))))+_xlfn.XLOOKUP($B182,'2027 Avoided Costs'!$B$13:$B$47,'2027 Avoided Costs'!$I$13:$I$47))*IF($X182="Residential",'2027 Avoided Costs'!$J$5,IF($X182="Large Volume",'2027 Avoided Costs'!$J$7,'2027 Avoided Costs'!$J$6))*IF($AE182&lt;0,$AE182*(-1),0),0)</f>
        <v>0</v>
      </c>
      <c r="BF182" s="291">
        <f t="shared" si="58"/>
        <v>314787.70604806085</v>
      </c>
      <c r="BG182" s="291">
        <f t="shared" si="59"/>
        <v>98348.400000000009</v>
      </c>
      <c r="BH182" s="291">
        <f t="shared" si="60"/>
        <v>216439.30604806083</v>
      </c>
      <c r="BI182" s="292">
        <f t="shared" si="83"/>
        <v>3.2007404904203915</v>
      </c>
      <c r="BJ182" s="196" cm="1">
        <f t="array" ref="BJ182">IFERROR(IF($J182="Baseload",IF($O182=1,0,NPV('2027 Avoided Costs'!$D$6,_xlfn._xlws.FILTER('2027 Avoided Costs'!$C$14:$C$47,('2027 Avoided Costs'!$B$14:$B$47&gt;=$B182+1)*('2027 Avoided Costs'!$B$14:$B$47&lt;$B182+ROUND($O182,0)))))+_xlfn.XLOOKUP($B182,'2027 Avoided Costs'!$B$13:$B$47,'2027 Avoided Costs'!$C$13:$C$47),IF($O182=1,0,NPV('2027 Avoided Costs'!$D$6,_xlfn._xlws.FILTER('2027 Avoided Costs'!$E$14:$E$47,('2027 Avoided Costs'!$B$14:$B$47&gt;=$B182+1)*('2027 Avoided Costs'!$B$14:$B$47&lt;$B182+ROUND($O182,0)))))+_xlfn.XLOOKUP($B182,'2027 Avoided Costs'!$B$13:$B$47,'2027 Avoided Costs'!$E$13:$E$47))*IF($AE182&gt;0,$AE182*(1+0),0),0)</f>
        <v>273728.44004179206</v>
      </c>
      <c r="BK182" s="293">
        <f t="shared" si="81"/>
        <v>4.8769148176909942</v>
      </c>
    </row>
    <row r="183" spans="1:63" s="56" customFormat="1" x14ac:dyDescent="0.25">
      <c r="A183" s="270" t="s">
        <v>133</v>
      </c>
      <c r="B183" s="271">
        <v>2029</v>
      </c>
      <c r="C183" s="272" t="s">
        <v>13</v>
      </c>
      <c r="D183" s="272" t="s">
        <v>163</v>
      </c>
      <c r="E183" s="272" t="s">
        <v>102</v>
      </c>
      <c r="F183" s="273">
        <v>10</v>
      </c>
      <c r="G183" s="274">
        <v>2400.375</v>
      </c>
      <c r="H183" s="275">
        <f t="shared" si="61"/>
        <v>0.16933288533754279</v>
      </c>
      <c r="I183" s="274">
        <v>200</v>
      </c>
      <c r="J183" s="276" t="s">
        <v>264</v>
      </c>
      <c r="K183" s="277">
        <f t="shared" si="57"/>
        <v>0.95</v>
      </c>
      <c r="L183" s="278">
        <v>4.9999999999999996E-2</v>
      </c>
      <c r="M183" s="278">
        <v>0</v>
      </c>
      <c r="N183" s="278">
        <v>1</v>
      </c>
      <c r="O183" s="279">
        <v>20</v>
      </c>
      <c r="P183" s="280">
        <v>14175.480416666667</v>
      </c>
      <c r="Q183" s="281">
        <v>7267.5</v>
      </c>
      <c r="R183" s="282">
        <v>1.6592465753424657</v>
      </c>
      <c r="S183" s="282">
        <v>1.6592465753424657</v>
      </c>
      <c r="T183" s="281">
        <v>0</v>
      </c>
      <c r="U183" s="283">
        <v>0.46</v>
      </c>
      <c r="V183" s="284">
        <v>4800.75</v>
      </c>
      <c r="W183" s="285">
        <v>0.15</v>
      </c>
      <c r="X183" s="286" t="s">
        <v>255</v>
      </c>
      <c r="Y183" s="287">
        <f t="shared" si="62"/>
        <v>10</v>
      </c>
      <c r="Z183" s="288">
        <f t="shared" si="63"/>
        <v>24003.75</v>
      </c>
      <c r="AA183" s="288">
        <f t="shared" si="64"/>
        <v>2000</v>
      </c>
      <c r="AB183" s="288">
        <f t="shared" si="65"/>
        <v>24973.501499999998</v>
      </c>
      <c r="AC183" s="288">
        <f t="shared" si="82"/>
        <v>2069.3916800000002</v>
      </c>
      <c r="AD183" s="287">
        <f t="shared" si="66"/>
        <v>141754.80416666667</v>
      </c>
      <c r="AE183" s="287">
        <f t="shared" si="67"/>
        <v>134667.06395833334</v>
      </c>
      <c r="AF183" s="287">
        <f t="shared" si="68"/>
        <v>2835096.0833333335</v>
      </c>
      <c r="AG183" s="287">
        <f t="shared" si="69"/>
        <v>2693341.2791666668</v>
      </c>
      <c r="AH183" s="287">
        <f t="shared" si="70"/>
        <v>77907.600000000006</v>
      </c>
      <c r="AI183" s="287">
        <f t="shared" si="71"/>
        <v>74012.22</v>
      </c>
      <c r="AJ183" s="287">
        <f t="shared" si="72"/>
        <v>0</v>
      </c>
      <c r="AK183" s="287">
        <f t="shared" si="73"/>
        <v>0</v>
      </c>
      <c r="AL183" s="287">
        <f t="shared" si="74"/>
        <v>17.787123287671232</v>
      </c>
      <c r="AM183" s="287">
        <f t="shared" si="75"/>
        <v>16.897767123287672</v>
      </c>
      <c r="AN183" s="287">
        <f t="shared" si="76"/>
        <v>17.787123287671232</v>
      </c>
      <c r="AO183" s="287">
        <f t="shared" si="77"/>
        <v>16.897767123287672</v>
      </c>
      <c r="AP183" s="287">
        <f t="shared" si="78"/>
        <v>48007.5</v>
      </c>
      <c r="AQ183" s="287">
        <f t="shared" si="79"/>
        <v>45607.125</v>
      </c>
      <c r="AR183" s="287">
        <f t="shared" si="80"/>
        <v>61946.849420833336</v>
      </c>
      <c r="AS183" s="289" t="e">
        <f>IF(J183='2027 Avoided Costs'!#REF!,3,5)</f>
        <v>#REF!</v>
      </c>
      <c r="AT183" s="290" cm="1">
        <f t="array" ref="AT183">IFERROR(IF($J183="Baseload",IF($O183=1,0,NPV('2027 Avoided Costs'!$D$6,_xlfn._xlws.FILTER('2027 Avoided Costs'!$C$14:$C$47,('2027 Avoided Costs'!$B$14:$B$47&gt;=$B183+1)*('2027 Avoided Costs'!$B$14:$B$47&lt;$B183+ROUND($O183,0)))))+_xlfn.XLOOKUP($B183,'2027 Avoided Costs'!$B$13:$B$47,'2027 Avoided Costs'!$C$13:$C$47),IF($O183=1,0,NPV('2027 Avoided Costs'!$D$6,_xlfn._xlws.FILTER('2027 Avoided Costs'!$E$14:$E$47,('2027 Avoided Costs'!$B$14:$B$47&gt;=$B183+1)*('2027 Avoided Costs'!$B$14:$B$47&lt;$B183+ROUND($O183,0)))))+_xlfn.XLOOKUP($B183,'2027 Avoided Costs'!$B$13:$B$47,'2027 Avoided Costs'!$E$13:$E$47))*IF($AE183&gt;0,$AE183*(1+$W183),0),0)</f>
        <v>716996.88445870811</v>
      </c>
      <c r="AU183" s="290" cm="1">
        <f t="array" ref="AU183">IFERROR((IF($O183=1,0,NPV('2027 Avoided Costs'!$D$6,_xlfn._xlws.FILTER('2027 Avoided Costs'!$M$14:$M$47,('2027 Avoided Costs'!$B$14:$B$47&gt;=$B183+1)*('2027 Avoided Costs'!$B$14:$B$47&lt;$B183+ROUND($O183,0)))))+_xlfn.XLOOKUP($B183,'2027 Avoided Costs'!$B$13:$B$47,'2027 Avoided Costs'!$M$13:$M$47))*IF($AK183&gt;0,$AK183*(1+$W183),0),0)</f>
        <v>0</v>
      </c>
      <c r="AV183" s="291" cm="1">
        <f t="array" ref="AV183">IFERROR((IF($O183=1,0,NPV('2027 Avoided Costs'!$D$6,_xlfn._xlws.FILTER('2027 Avoided Costs'!$Q$14:$Q$47,('2027 Avoided Costs'!$B$14:$B$47&gt;=$B183+1)*('2027 Avoided Costs'!$B$14:$B$47&lt;$B183+ROUND($O183,0)))))+_xlfn.XLOOKUP($B183,'2027 Avoided Costs'!$B$13:$B$47,'2027 Avoided Costs'!$Q$13:$Q$47))*IF($AI183&gt;0,$AI183*(1+$W183),0),0)</f>
        <v>57295.278197098865</v>
      </c>
      <c r="AW183" s="291" cm="1">
        <f t="array" ref="AW183">IFERROR((IF($O183=1,0,NPV('2027 Avoided Costs'!$D$6,_xlfn._xlws.FILTER('2027 Avoided Costs'!$W$14:$W$47,('2027 Avoided Costs'!$B$14:$B$47&gt;=$B183+1)*('2027 Avoided Costs'!$B$14:$B$47&lt;$B183+ROUND($O183,0)))))+_xlfn.XLOOKUP($B183,'2027 Avoided Costs'!$B$13:$B$47,'2027 Avoided Costs'!$W$13:$W$47))*IF($AM183&gt;0,$AM183*(1+$W183),0),0)</f>
        <v>85770.686303666254</v>
      </c>
      <c r="AX183" s="291" cm="1">
        <f t="array" ref="AX183">IFERROR((IF($O183=1,0,NPV('2027 Avoided Costs'!$D$6,_xlfn._xlws.FILTER('2027 Avoided Costs'!$AC$14:$AC$47,('2027 Avoided Costs'!$B$14:$B$47&gt;=$B183+1)*('2027 Avoided Costs'!$B$14:$B$47&lt;$B183+ROUND($O183,0)))))+_xlfn.XLOOKUP($B183,'2027 Avoided Costs'!$B$13:$B$47,'2027 Avoided Costs'!$AC$13:$AC$47))*IF($AO183&gt;0,$AO183*(1+$W183),0),0)</f>
        <v>13386.624079318392</v>
      </c>
      <c r="AY183" s="291" cm="1">
        <f t="array" ref="AY183">IFERROR((IF($O183=1,0,NPV('2027 Avoided Costs'!$D$4,_xlfn._xlws.FILTER('2027 Avoided Costs'!$I$14:$I$47,('2027 Avoided Costs'!$B$14:$B$47&gt;=$B183+1)*('2027 Avoided Costs'!$B$14:$B$47&lt;$B183+ROUND($O183,0)))))+_xlfn.XLOOKUP($B183,'2027 Avoided Costs'!$B$13:$B$47,'2027 Avoided Costs'!$I$13:$I$47))*IF($X183="Residential",'2027 Avoided Costs'!$J$5,IF($X183="Large Volume",'2027 Avoided Costs'!$J$7,'2027 Avoided Costs'!$J$6))*IF($AE183&gt;0,$AE183,0),0)</f>
        <v>0</v>
      </c>
      <c r="AZ183" s="291" cm="1">
        <f t="array" ref="AZ183">IFERROR(IF($J183="Baseload",IF($O183=1,0,NPV('2027 Avoided Costs'!$D$6,_xlfn._xlws.FILTER('2027 Avoided Costs'!$C$14:$C$47,('2027 Avoided Costs'!$B$14:$B$47&gt;=$B183+1)*('2027 Avoided Costs'!$B$14:$B$47&lt;$B183+ROUND($O183,0)))))+_xlfn.XLOOKUP($B183,'2027 Avoided Costs'!$B$13:$B$47,'2027 Avoided Costs'!$C$13:$C$47),IF($O183=1,0,NPV('2027 Avoided Costs'!$D$6,_xlfn._xlws.FILTER('2027 Avoided Costs'!$E$14:$E$47,('2027 Avoided Costs'!$B$14:$B$47&gt;=$B183+1)*('2027 Avoided Costs'!$B$14:$B$47&lt;$B183+ROUND($O183,0)))))+_xlfn.XLOOKUP($B183,'2027 Avoided Costs'!$B$13:$B$47,'2027 Avoided Costs'!$E$13:$E$47))*IF($AE183&lt;0,$AE183*(-1),0),0)</f>
        <v>0</v>
      </c>
      <c r="BA183" s="291" cm="1">
        <f t="array" ref="BA183">IFERROR((IF($O183=1,0,NPV('2027 Avoided Costs'!$D$6,_xlfn._xlws.FILTER('2027 Avoided Costs'!$M$14:$M$47,('2027 Avoided Costs'!$B$14:$B$47&gt;=$B183+1)*('2027 Avoided Costs'!$B$14:$B$47&lt;$B183+ROUND($O183,0)))))+_xlfn.XLOOKUP($B183,'2027 Avoided Costs'!$B$13:$B$47,'2027 Avoided Costs'!$M$13:$M$47))*IF($AK183&lt;0,$AK183*(-1),0),0)</f>
        <v>0</v>
      </c>
      <c r="BB183" s="291" cm="1">
        <f t="array" ref="BB183">IFERROR((IF($O183=1,0,NPV('2027 Avoided Costs'!$D$6,_xlfn._xlws.FILTER('2027 Avoided Costs'!$S$14:$S$47,('2027 Avoided Costs'!$B$14:$B$47&gt;=$B183+1)*('2027 Avoided Costs'!$B$14:$B$47&lt;$B183+ROUND($O183,0)))))+_xlfn.XLOOKUP($B183,'2027 Avoided Costs'!$B$13:$B$47,'2027 Avoided Costs'!$S$13:$S$47))*IF($AI183&lt;0,$AI183*(-1),0),0)</f>
        <v>0</v>
      </c>
      <c r="BC183" s="291" cm="1">
        <f t="array" ref="BC183">IFERROR((IF($O183=1,0,NPV('2027 Avoided Costs'!$D$6,_xlfn._xlws.FILTER('2027 Avoided Costs'!$Y$14:$Y$47,('2027 Avoided Costs'!$B$14:$B$47&gt;=$B183+1)*('2027 Avoided Costs'!$B$14:$B$47&lt;$B183+ROUND($O183,0)))))+_xlfn.XLOOKUP($B183,'2027 Avoided Costs'!$B$13:$B$47,'2027 Avoided Costs'!$Y$13:$Y$47))*IF($AM183&lt;0,$AM183*(-1),0),0)</f>
        <v>0</v>
      </c>
      <c r="BD183" s="291" cm="1">
        <f t="array" ref="BD183">IFERROR((IF($O183=1,0,NPV('2027 Avoided Costs'!$D$6,_xlfn._xlws.FILTER('2027 Avoided Costs'!$AE$14:$AE$47,('2027 Avoided Costs'!$B$14:$B$47&gt;=$B183+1)*('2027 Avoided Costs'!$B$14:$B$47&lt;$B183+ROUND($O183,0)))))+_xlfn.XLOOKUP($B183,'2027 Avoided Costs'!$B$13:$B$47,'2027 Avoided Costs'!$AE$13:$AE$47))*IF($AO183&lt;0,$AO183*(-1),0),0)</f>
        <v>0</v>
      </c>
      <c r="BE183" s="291" cm="1">
        <f t="array" ref="BE183">IFERROR((IF($O183=1,0,NPV('2027 Avoided Costs'!$D$4,_xlfn._xlws.FILTER('2027 Avoided Costs'!$I$14:$I$47,('2027 Avoided Costs'!$B$14:$B$47&gt;=$B183+1)*('2027 Avoided Costs'!$B$14:$B$47&lt;$B183+ROUND($O183,0)))))+_xlfn.XLOOKUP($B183,'2027 Avoided Costs'!$B$13:$B$47,'2027 Avoided Costs'!$I$13:$I$47))*IF($X183="Residential",'2027 Avoided Costs'!$J$5,IF($X183="Large Volume",'2027 Avoided Costs'!$J$7,'2027 Avoided Costs'!$J$6))*IF($AE183&lt;0,$AE183*(-1),0),0)</f>
        <v>0</v>
      </c>
      <c r="BF183" s="291">
        <f t="shared" si="58"/>
        <v>873449.47303879156</v>
      </c>
      <c r="BG183" s="291">
        <f t="shared" si="59"/>
        <v>45607.125</v>
      </c>
      <c r="BH183" s="291">
        <f t="shared" si="60"/>
        <v>827842.34803879156</v>
      </c>
      <c r="BI183" s="292">
        <f t="shared" si="83"/>
        <v>19.151601269292716</v>
      </c>
      <c r="BJ183" s="196" cm="1">
        <f t="array" ref="BJ183">IFERROR(IF($J183="Baseload",IF($O183=1,0,NPV('2027 Avoided Costs'!$D$6,_xlfn._xlws.FILTER('2027 Avoided Costs'!$C$14:$C$47,('2027 Avoided Costs'!$B$14:$B$47&gt;=$B183+1)*('2027 Avoided Costs'!$B$14:$B$47&lt;$B183+ROUND($O183,0)))))+_xlfn.XLOOKUP($B183,'2027 Avoided Costs'!$B$13:$B$47,'2027 Avoided Costs'!$C$13:$C$47),IF($O183=1,0,NPV('2027 Avoided Costs'!$D$6,_xlfn._xlws.FILTER('2027 Avoided Costs'!$E$14:$E$47,('2027 Avoided Costs'!$B$14:$B$47&gt;=$B183+1)*('2027 Avoided Costs'!$B$14:$B$47&lt;$B183+ROUND($O183,0)))))+_xlfn.XLOOKUP($B183,'2027 Avoided Costs'!$B$13:$B$47,'2027 Avoided Costs'!$E$13:$E$47))*IF($AE183&gt;0,$AE183*(1+0),0),0)</f>
        <v>623475.55170322442</v>
      </c>
      <c r="BK183" s="293">
        <f t="shared" si="81"/>
        <v>23.055060993411963</v>
      </c>
    </row>
    <row r="184" spans="1:63" s="56" customFormat="1" x14ac:dyDescent="0.25">
      <c r="A184" s="270" t="s">
        <v>133</v>
      </c>
      <c r="B184" s="271">
        <v>2029</v>
      </c>
      <c r="C184" s="272" t="s">
        <v>13</v>
      </c>
      <c r="D184" s="272" t="s">
        <v>163</v>
      </c>
      <c r="E184" s="272" t="s">
        <v>103</v>
      </c>
      <c r="F184" s="273">
        <v>25</v>
      </c>
      <c r="G184" s="274">
        <v>15097.5</v>
      </c>
      <c r="H184" s="275">
        <f t="shared" si="61"/>
        <v>0.88420701569131044</v>
      </c>
      <c r="I184" s="274">
        <v>200</v>
      </c>
      <c r="J184" s="276" t="s">
        <v>263</v>
      </c>
      <c r="K184" s="277">
        <f t="shared" si="57"/>
        <v>0.92</v>
      </c>
      <c r="L184" s="278">
        <v>0.08</v>
      </c>
      <c r="M184" s="278">
        <v>0</v>
      </c>
      <c r="N184" s="278">
        <v>1</v>
      </c>
      <c r="O184" s="279">
        <v>15</v>
      </c>
      <c r="P184" s="280">
        <v>17074.621363636361</v>
      </c>
      <c r="Q184" s="281">
        <v>76.549955999999995</v>
      </c>
      <c r="R184" s="282">
        <v>8.7385794520547129E-3</v>
      </c>
      <c r="S184" s="282">
        <v>8.7385794520548222E-3</v>
      </c>
      <c r="T184" s="281">
        <v>641.33400000000006</v>
      </c>
      <c r="U184" s="283">
        <v>0.65</v>
      </c>
      <c r="V184" s="284">
        <v>30195</v>
      </c>
      <c r="W184" s="285">
        <v>0.15</v>
      </c>
      <c r="X184" s="286" t="s">
        <v>255</v>
      </c>
      <c r="Y184" s="287">
        <f t="shared" si="62"/>
        <v>25</v>
      </c>
      <c r="Z184" s="288">
        <f t="shared" si="63"/>
        <v>377437.5</v>
      </c>
      <c r="AA184" s="288">
        <f t="shared" si="64"/>
        <v>5000</v>
      </c>
      <c r="AB184" s="288">
        <f t="shared" si="65"/>
        <v>392685.97499999998</v>
      </c>
      <c r="AC184" s="288">
        <f t="shared" si="82"/>
        <v>5173.4792000000007</v>
      </c>
      <c r="AD184" s="287">
        <f t="shared" si="66"/>
        <v>426865.534090909</v>
      </c>
      <c r="AE184" s="287">
        <f t="shared" si="67"/>
        <v>392716.29136363632</v>
      </c>
      <c r="AF184" s="287">
        <f t="shared" si="68"/>
        <v>6402983.0113636348</v>
      </c>
      <c r="AG184" s="287">
        <f t="shared" si="69"/>
        <v>5890744.3704545451</v>
      </c>
      <c r="AH184" s="287">
        <f t="shared" si="70"/>
        <v>2051.5388207999999</v>
      </c>
      <c r="AI184" s="287">
        <f t="shared" si="71"/>
        <v>1887.415715136</v>
      </c>
      <c r="AJ184" s="287">
        <f t="shared" si="72"/>
        <v>16033.350000000002</v>
      </c>
      <c r="AK184" s="287">
        <f t="shared" si="73"/>
        <v>14750.682000000003</v>
      </c>
      <c r="AL184" s="287">
        <f t="shared" si="74"/>
        <v>0.23419392931506633</v>
      </c>
      <c r="AM184" s="287">
        <f t="shared" si="75"/>
        <v>0.21545841496986101</v>
      </c>
      <c r="AN184" s="287">
        <f t="shared" si="76"/>
        <v>0.23419392931506924</v>
      </c>
      <c r="AO184" s="287">
        <f t="shared" si="77"/>
        <v>0.2154584149698637</v>
      </c>
      <c r="AP184" s="287">
        <f t="shared" si="78"/>
        <v>754875</v>
      </c>
      <c r="AQ184" s="287">
        <f t="shared" si="79"/>
        <v>694485</v>
      </c>
      <c r="AR184" s="287">
        <f t="shared" si="80"/>
        <v>255265.58938636363</v>
      </c>
      <c r="AS184" s="289" t="e">
        <f>IF(J184='2027 Avoided Costs'!#REF!,3,5)</f>
        <v>#REF!</v>
      </c>
      <c r="AT184" s="290" cm="1">
        <f t="array" ref="AT184">IFERROR(IF($J184="Baseload",IF($O184=1,0,NPV('2027 Avoided Costs'!$D$6,_xlfn._xlws.FILTER('2027 Avoided Costs'!$C$14:$C$47,('2027 Avoided Costs'!$B$14:$B$47&gt;=$B184+1)*('2027 Avoided Costs'!$B$14:$B$47&lt;$B184+ROUND($O184,0)))))+_xlfn.XLOOKUP($B184,'2027 Avoided Costs'!$B$13:$B$47,'2027 Avoided Costs'!$C$13:$C$47),IF($O184=1,0,NPV('2027 Avoided Costs'!$D$6,_xlfn._xlws.FILTER('2027 Avoided Costs'!$E$14:$E$47,('2027 Avoided Costs'!$B$14:$B$47&gt;=$B184+1)*('2027 Avoided Costs'!$B$14:$B$47&lt;$B184+ROUND($O184,0)))))+_xlfn.XLOOKUP($B184,'2027 Avoided Costs'!$B$13:$B$47,'2027 Avoided Costs'!$E$13:$E$47))*IF($AE184&gt;0,$AE184*(1+$W184),0),0)</f>
        <v>1491206.4178328642</v>
      </c>
      <c r="AU184" s="290" cm="1">
        <f t="array" ref="AU184">IFERROR((IF($O184=1,0,NPV('2027 Avoided Costs'!$D$6,_xlfn._xlws.FILTER('2027 Avoided Costs'!$M$14:$M$47,('2027 Avoided Costs'!$B$14:$B$47&gt;=$B184+1)*('2027 Avoided Costs'!$B$14:$B$47&lt;$B184+ROUND($O184,0)))))+_xlfn.XLOOKUP($B184,'2027 Avoided Costs'!$B$13:$B$47,'2027 Avoided Costs'!$M$13:$M$47))*IF($AK184&gt;0,$AK184*(1+$W184),0),0)</f>
        <v>220016.3139344604</v>
      </c>
      <c r="AV184" s="291" cm="1">
        <f t="array" ref="AV184">IFERROR((IF($O184=1,0,NPV('2027 Avoided Costs'!$D$6,_xlfn._xlws.FILTER('2027 Avoided Costs'!$Q$14:$Q$47,('2027 Avoided Costs'!$B$14:$B$47&gt;=$B184+1)*('2027 Avoided Costs'!$B$14:$B$47&lt;$B184+ROUND($O184,0)))))+_xlfn.XLOOKUP($B184,'2027 Avoided Costs'!$B$13:$B$47,'2027 Avoided Costs'!$Q$13:$Q$47))*IF($AI184&gt;0,$AI184*(1+$W184),0),0)</f>
        <v>1232.3932107971311</v>
      </c>
      <c r="AW184" s="291" cm="1">
        <f t="array" ref="AW184">IFERROR((IF($O184=1,0,NPV('2027 Avoided Costs'!$D$6,_xlfn._xlws.FILTER('2027 Avoided Costs'!$W$14:$W$47,('2027 Avoided Costs'!$B$14:$B$47&gt;=$B184+1)*('2027 Avoided Costs'!$B$14:$B$47&lt;$B184+ROUND($O184,0)))))+_xlfn.XLOOKUP($B184,'2027 Avoided Costs'!$B$13:$B$47,'2027 Avoided Costs'!$W$13:$W$47))*IF($AM184&gt;0,$AM184*(1+$W184),0),0)</f>
        <v>872.33243853140812</v>
      </c>
      <c r="AX184" s="291" cm="1">
        <f t="array" ref="AX184">IFERROR((IF($O184=1,0,NPV('2027 Avoided Costs'!$D$6,_xlfn._xlws.FILTER('2027 Avoided Costs'!$AC$14:$AC$47,('2027 Avoided Costs'!$B$14:$B$47&gt;=$B184+1)*('2027 Avoided Costs'!$B$14:$B$47&lt;$B184+ROUND($O184,0)))))+_xlfn.XLOOKUP($B184,'2027 Avoided Costs'!$B$13:$B$47,'2027 Avoided Costs'!$AC$13:$AC$47))*IF($AO184&gt;0,$AO184*(1+$W184),0),0)</f>
        <v>114.91750217943041</v>
      </c>
      <c r="AY184" s="291" cm="1">
        <f t="array" ref="AY184">IFERROR((IF($O184=1,0,NPV('2027 Avoided Costs'!$D$4,_xlfn._xlws.FILTER('2027 Avoided Costs'!$I$14:$I$47,('2027 Avoided Costs'!$B$14:$B$47&gt;=$B184+1)*('2027 Avoided Costs'!$B$14:$B$47&lt;$B184+ROUND($O184,0)))))+_xlfn.XLOOKUP($B184,'2027 Avoided Costs'!$B$13:$B$47,'2027 Avoided Costs'!$I$13:$I$47))*IF($X184="Residential",'2027 Avoided Costs'!$J$5,IF($X184="Large Volume",'2027 Avoided Costs'!$J$7,'2027 Avoided Costs'!$J$6))*IF($AE184&gt;0,$AE184,0),0)</f>
        <v>0</v>
      </c>
      <c r="AZ184" s="291" cm="1">
        <f t="array" ref="AZ184">IFERROR(IF($J184="Baseload",IF($O184=1,0,NPV('2027 Avoided Costs'!$D$6,_xlfn._xlws.FILTER('2027 Avoided Costs'!$C$14:$C$47,('2027 Avoided Costs'!$B$14:$B$47&gt;=$B184+1)*('2027 Avoided Costs'!$B$14:$B$47&lt;$B184+ROUND($O184,0)))))+_xlfn.XLOOKUP($B184,'2027 Avoided Costs'!$B$13:$B$47,'2027 Avoided Costs'!$C$13:$C$47),IF($O184=1,0,NPV('2027 Avoided Costs'!$D$6,_xlfn._xlws.FILTER('2027 Avoided Costs'!$E$14:$E$47,('2027 Avoided Costs'!$B$14:$B$47&gt;=$B184+1)*('2027 Avoided Costs'!$B$14:$B$47&lt;$B184+ROUND($O184,0)))))+_xlfn.XLOOKUP($B184,'2027 Avoided Costs'!$B$13:$B$47,'2027 Avoided Costs'!$E$13:$E$47))*IF($AE184&lt;0,$AE184*(-1),0),0)</f>
        <v>0</v>
      </c>
      <c r="BA184" s="291" cm="1">
        <f t="array" ref="BA184">IFERROR((IF($O184=1,0,NPV('2027 Avoided Costs'!$D$6,_xlfn._xlws.FILTER('2027 Avoided Costs'!$M$14:$M$47,('2027 Avoided Costs'!$B$14:$B$47&gt;=$B184+1)*('2027 Avoided Costs'!$B$14:$B$47&lt;$B184+ROUND($O184,0)))))+_xlfn.XLOOKUP($B184,'2027 Avoided Costs'!$B$13:$B$47,'2027 Avoided Costs'!$M$13:$M$47))*IF($AK184&lt;0,$AK184*(-1),0),0)</f>
        <v>0</v>
      </c>
      <c r="BB184" s="291" cm="1">
        <f t="array" ref="BB184">IFERROR((IF($O184=1,0,NPV('2027 Avoided Costs'!$D$6,_xlfn._xlws.FILTER('2027 Avoided Costs'!$S$14:$S$47,('2027 Avoided Costs'!$B$14:$B$47&gt;=$B184+1)*('2027 Avoided Costs'!$B$14:$B$47&lt;$B184+ROUND($O184,0)))))+_xlfn.XLOOKUP($B184,'2027 Avoided Costs'!$B$13:$B$47,'2027 Avoided Costs'!$S$13:$S$47))*IF($AI184&lt;0,$AI184*(-1),0),0)</f>
        <v>0</v>
      </c>
      <c r="BC184" s="291" cm="1">
        <f t="array" ref="BC184">IFERROR((IF($O184=1,0,NPV('2027 Avoided Costs'!$D$6,_xlfn._xlws.FILTER('2027 Avoided Costs'!$Y$14:$Y$47,('2027 Avoided Costs'!$B$14:$B$47&gt;=$B184+1)*('2027 Avoided Costs'!$B$14:$B$47&lt;$B184+ROUND($O184,0)))))+_xlfn.XLOOKUP($B184,'2027 Avoided Costs'!$B$13:$B$47,'2027 Avoided Costs'!$Y$13:$Y$47))*IF($AM184&lt;0,$AM184*(-1),0),0)</f>
        <v>0</v>
      </c>
      <c r="BD184" s="291" cm="1">
        <f t="array" ref="BD184">IFERROR((IF($O184=1,0,NPV('2027 Avoided Costs'!$D$6,_xlfn._xlws.FILTER('2027 Avoided Costs'!$AE$14:$AE$47,('2027 Avoided Costs'!$B$14:$B$47&gt;=$B184+1)*('2027 Avoided Costs'!$B$14:$B$47&lt;$B184+ROUND($O184,0)))))+_xlfn.XLOOKUP($B184,'2027 Avoided Costs'!$B$13:$B$47,'2027 Avoided Costs'!$AE$13:$AE$47))*IF($AO184&lt;0,$AO184*(-1),0),0)</f>
        <v>0</v>
      </c>
      <c r="BE184" s="291" cm="1">
        <f t="array" ref="BE184">IFERROR((IF($O184=1,0,NPV('2027 Avoided Costs'!$D$4,_xlfn._xlws.FILTER('2027 Avoided Costs'!$I$14:$I$47,('2027 Avoided Costs'!$B$14:$B$47&gt;=$B184+1)*('2027 Avoided Costs'!$B$14:$B$47&lt;$B184+ROUND($O184,0)))))+_xlfn.XLOOKUP($B184,'2027 Avoided Costs'!$B$13:$B$47,'2027 Avoided Costs'!$I$13:$I$47))*IF($X184="Residential",'2027 Avoided Costs'!$J$5,IF($X184="Large Volume",'2027 Avoided Costs'!$J$7,'2027 Avoided Costs'!$J$6))*IF($AE184&lt;0,$AE184*(-1),0),0)</f>
        <v>0</v>
      </c>
      <c r="BF184" s="291">
        <f t="shared" si="58"/>
        <v>1713442.3749188327</v>
      </c>
      <c r="BG184" s="291">
        <f t="shared" si="59"/>
        <v>694485</v>
      </c>
      <c r="BH184" s="291">
        <f t="shared" si="60"/>
        <v>1018957.3749188327</v>
      </c>
      <c r="BI184" s="292">
        <f t="shared" si="83"/>
        <v>2.4672129346477356</v>
      </c>
      <c r="BJ184" s="196" cm="1">
        <f t="array" ref="BJ184">IFERROR(IF($J184="Baseload",IF($O184=1,0,NPV('2027 Avoided Costs'!$D$6,_xlfn._xlws.FILTER('2027 Avoided Costs'!$C$14:$C$47,('2027 Avoided Costs'!$B$14:$B$47&gt;=$B184+1)*('2027 Avoided Costs'!$B$14:$B$47&lt;$B184+ROUND($O184,0)))))+_xlfn.XLOOKUP($B184,'2027 Avoided Costs'!$B$13:$B$47,'2027 Avoided Costs'!$C$13:$C$47),IF($O184=1,0,NPV('2027 Avoided Costs'!$D$6,_xlfn._xlws.FILTER('2027 Avoided Costs'!$E$14:$E$47,('2027 Avoided Costs'!$B$14:$B$47&gt;=$B184+1)*('2027 Avoided Costs'!$B$14:$B$47&lt;$B184+ROUND($O184,0)))))+_xlfn.XLOOKUP($B184,'2027 Avoided Costs'!$B$13:$B$47,'2027 Avoided Costs'!$E$13:$E$47))*IF($AE184&gt;0,$AE184*(1+0),0),0)</f>
        <v>1296701.2328981427</v>
      </c>
      <c r="BK184" s="293">
        <f t="shared" si="81"/>
        <v>3.2591942184847613</v>
      </c>
    </row>
    <row r="185" spans="1:63" s="56" customFormat="1" x14ac:dyDescent="0.25">
      <c r="A185" s="270" t="s">
        <v>133</v>
      </c>
      <c r="B185" s="271">
        <v>2030</v>
      </c>
      <c r="C185" s="272" t="s">
        <v>13</v>
      </c>
      <c r="D185" s="272" t="s">
        <v>163</v>
      </c>
      <c r="E185" s="272" t="s">
        <v>95</v>
      </c>
      <c r="F185" s="273">
        <v>37</v>
      </c>
      <c r="G185" s="274">
        <v>4388.2</v>
      </c>
      <c r="H185" s="275">
        <f t="shared" si="61"/>
        <v>1</v>
      </c>
      <c r="I185" s="274">
        <v>200</v>
      </c>
      <c r="J185" s="276" t="s">
        <v>264</v>
      </c>
      <c r="K185" s="277">
        <f t="shared" si="57"/>
        <v>0.5</v>
      </c>
      <c r="L185" s="278">
        <v>0.5</v>
      </c>
      <c r="M185" s="278">
        <v>0</v>
      </c>
      <c r="N185" s="278">
        <v>1</v>
      </c>
      <c r="O185" s="279">
        <v>15</v>
      </c>
      <c r="P185" s="280">
        <v>4388.2</v>
      </c>
      <c r="Q185" s="281">
        <v>164.86666666666667</v>
      </c>
      <c r="R185" s="282">
        <v>0.10046789616513715</v>
      </c>
      <c r="S185" s="282">
        <v>2.9674956783151837E-2</v>
      </c>
      <c r="T185" s="281">
        <v>0</v>
      </c>
      <c r="U185" s="283">
        <v>0.62999999999999989</v>
      </c>
      <c r="V185" s="284">
        <v>12313.533333333333</v>
      </c>
      <c r="W185" s="285">
        <v>0.15</v>
      </c>
      <c r="X185" s="286" t="s">
        <v>255</v>
      </c>
      <c r="Y185" s="287">
        <f t="shared" si="62"/>
        <v>37</v>
      </c>
      <c r="Z185" s="288">
        <f t="shared" si="63"/>
        <v>162363.4</v>
      </c>
      <c r="AA185" s="288">
        <f t="shared" si="64"/>
        <v>7400</v>
      </c>
      <c r="AB185" s="288">
        <f t="shared" si="65"/>
        <v>172301.33898719997</v>
      </c>
      <c r="AC185" s="288">
        <f t="shared" si="82"/>
        <v>7788.4453025152015</v>
      </c>
      <c r="AD185" s="287">
        <f t="shared" si="66"/>
        <v>162363.4</v>
      </c>
      <c r="AE185" s="287">
        <f t="shared" si="67"/>
        <v>81181.7</v>
      </c>
      <c r="AF185" s="287">
        <f t="shared" si="68"/>
        <v>2435451</v>
      </c>
      <c r="AG185" s="287">
        <f t="shared" si="69"/>
        <v>1217725.5</v>
      </c>
      <c r="AH185" s="287">
        <f t="shared" si="70"/>
        <v>6539.271466666667</v>
      </c>
      <c r="AI185" s="287">
        <f t="shared" si="71"/>
        <v>3269.6357333333335</v>
      </c>
      <c r="AJ185" s="287">
        <f t="shared" si="72"/>
        <v>0</v>
      </c>
      <c r="AK185" s="287">
        <f t="shared" si="73"/>
        <v>0</v>
      </c>
      <c r="AL185" s="287">
        <f t="shared" si="74"/>
        <v>3.9849586334940001</v>
      </c>
      <c r="AM185" s="287">
        <f t="shared" si="75"/>
        <v>1.9924793167470001</v>
      </c>
      <c r="AN185" s="287">
        <f t="shared" si="76"/>
        <v>1.1770274858469345</v>
      </c>
      <c r="AO185" s="287">
        <f t="shared" si="77"/>
        <v>0.58851374292346725</v>
      </c>
      <c r="AP185" s="287">
        <f t="shared" si="78"/>
        <v>455600.73333333334</v>
      </c>
      <c r="AQ185" s="287">
        <f t="shared" si="79"/>
        <v>227800.36666666667</v>
      </c>
      <c r="AR185" s="287">
        <f t="shared" si="80"/>
        <v>51144.47099999999</v>
      </c>
      <c r="AS185" s="289" t="e">
        <f>IF(J185='2027 Avoided Costs'!#REF!,3,5)</f>
        <v>#REF!</v>
      </c>
      <c r="AT185" s="290" cm="1">
        <f t="array" ref="AT185">IFERROR(IF($J185="Baseload",IF($O185=1,0,NPV('2027 Avoided Costs'!$D$6,_xlfn._xlws.FILTER('2027 Avoided Costs'!$C$14:$C$47,('2027 Avoided Costs'!$B$14:$B$47&gt;=$B185+1)*('2027 Avoided Costs'!$B$14:$B$47&lt;$B185+ROUND($O185,0)))))+_xlfn.XLOOKUP($B185,'2027 Avoided Costs'!$B$13:$B$47,'2027 Avoided Costs'!$C$13:$C$47),IF($O185=1,0,NPV('2027 Avoided Costs'!$D$6,_xlfn._xlws.FILTER('2027 Avoided Costs'!$E$14:$E$47,('2027 Avoided Costs'!$B$14:$B$47&gt;=$B185+1)*('2027 Avoided Costs'!$B$14:$B$47&lt;$B185+ROUND($O185,0)))))+_xlfn.XLOOKUP($B185,'2027 Avoided Costs'!$B$13:$B$47,'2027 Avoided Costs'!$E$13:$E$47))*IF($AE185&gt;0,$AE185*(1+$W185),0),0)</f>
        <v>355982.73003240972</v>
      </c>
      <c r="AU185" s="290" cm="1">
        <f t="array" ref="AU185">IFERROR((IF($O185=1,0,NPV('2027 Avoided Costs'!$D$6,_xlfn._xlws.FILTER('2027 Avoided Costs'!$M$14:$M$47,('2027 Avoided Costs'!$B$14:$B$47&gt;=$B185+1)*('2027 Avoided Costs'!$B$14:$B$47&lt;$B185+ROUND($O185,0)))))+_xlfn.XLOOKUP($B185,'2027 Avoided Costs'!$B$13:$B$47,'2027 Avoided Costs'!$M$13:$M$47))*IF($AK185&gt;0,$AK185*(1+$W185),0),0)</f>
        <v>0</v>
      </c>
      <c r="AV185" s="291" cm="1">
        <f t="array" ref="AV185">IFERROR((IF($O185=1,0,NPV('2027 Avoided Costs'!$D$6,_xlfn._xlws.FILTER('2027 Avoided Costs'!$Q$14:$Q$47,('2027 Avoided Costs'!$B$14:$B$47&gt;=$B185+1)*('2027 Avoided Costs'!$B$14:$B$47&lt;$B185+ROUND($O185,0)))))+_xlfn.XLOOKUP($B185,'2027 Avoided Costs'!$B$13:$B$47,'2027 Avoided Costs'!$Q$13:$Q$47))*IF($AI185&gt;0,$AI185*(1+$W185),0),0)</f>
        <v>2095.335672297259</v>
      </c>
      <c r="AW185" s="291" cm="1">
        <f t="array" ref="AW185">IFERROR((IF($O185=1,0,NPV('2027 Avoided Costs'!$D$6,_xlfn._xlws.FILTER('2027 Avoided Costs'!$W$14:$W$47,('2027 Avoided Costs'!$B$14:$B$47&gt;=$B185+1)*('2027 Avoided Costs'!$B$14:$B$47&lt;$B185+ROUND($O185,0)))))+_xlfn.XLOOKUP($B185,'2027 Avoided Costs'!$B$13:$B$47,'2027 Avoided Costs'!$W$13:$W$47))*IF($AM185&gt;0,$AM185*(1+$W185),0),0)</f>
        <v>7917.0774444814406</v>
      </c>
      <c r="AX185" s="291" cm="1">
        <f t="array" ref="AX185">IFERROR((IF($O185=1,0,NPV('2027 Avoided Costs'!$D$6,_xlfn._xlws.FILTER('2027 Avoided Costs'!$AC$14:$AC$47,('2027 Avoided Costs'!$B$14:$B$47&gt;=$B185+1)*('2027 Avoided Costs'!$B$14:$B$47&lt;$B185+ROUND($O185,0)))))+_xlfn.XLOOKUP($B185,'2027 Avoided Costs'!$B$13:$B$47,'2027 Avoided Costs'!$AC$13:$AC$47))*IF($AO185&gt;0,$AO185*(1+$W185),0),0)</f>
        <v>494.57466689944835</v>
      </c>
      <c r="AY185" s="291" cm="1">
        <f t="array" ref="AY185">IFERROR((IF($O185=1,0,NPV('2027 Avoided Costs'!$D$4,_xlfn._xlws.FILTER('2027 Avoided Costs'!$I$14:$I$47,('2027 Avoided Costs'!$B$14:$B$47&gt;=$B185+1)*('2027 Avoided Costs'!$B$14:$B$47&lt;$B185+ROUND($O185,0)))))+_xlfn.XLOOKUP($B185,'2027 Avoided Costs'!$B$13:$B$47,'2027 Avoided Costs'!$I$13:$I$47))*IF($X185="Residential",'2027 Avoided Costs'!$J$5,IF($X185="Large Volume",'2027 Avoided Costs'!$J$7,'2027 Avoided Costs'!$J$6))*IF($AE185&gt;0,$AE185,0),0)</f>
        <v>0</v>
      </c>
      <c r="AZ185" s="291" cm="1">
        <f t="array" ref="AZ185">IFERROR(IF($J185="Baseload",IF($O185=1,0,NPV('2027 Avoided Costs'!$D$6,_xlfn._xlws.FILTER('2027 Avoided Costs'!$C$14:$C$47,('2027 Avoided Costs'!$B$14:$B$47&gt;=$B185+1)*('2027 Avoided Costs'!$B$14:$B$47&lt;$B185+ROUND($O185,0)))))+_xlfn.XLOOKUP($B185,'2027 Avoided Costs'!$B$13:$B$47,'2027 Avoided Costs'!$C$13:$C$47),IF($O185=1,0,NPV('2027 Avoided Costs'!$D$6,_xlfn._xlws.FILTER('2027 Avoided Costs'!$E$14:$E$47,('2027 Avoided Costs'!$B$14:$B$47&gt;=$B185+1)*('2027 Avoided Costs'!$B$14:$B$47&lt;$B185+ROUND($O185,0)))))+_xlfn.XLOOKUP($B185,'2027 Avoided Costs'!$B$13:$B$47,'2027 Avoided Costs'!$E$13:$E$47))*IF($AE185&lt;0,$AE185*(-1),0),0)</f>
        <v>0</v>
      </c>
      <c r="BA185" s="291" cm="1">
        <f t="array" ref="BA185">IFERROR((IF($O185=1,0,NPV('2027 Avoided Costs'!$D$6,_xlfn._xlws.FILTER('2027 Avoided Costs'!$M$14:$M$47,('2027 Avoided Costs'!$B$14:$B$47&gt;=$B185+1)*('2027 Avoided Costs'!$B$14:$B$47&lt;$B185+ROUND($O185,0)))))+_xlfn.XLOOKUP($B185,'2027 Avoided Costs'!$B$13:$B$47,'2027 Avoided Costs'!$M$13:$M$47))*IF($AK185&lt;0,$AK185*(-1),0),0)</f>
        <v>0</v>
      </c>
      <c r="BB185" s="291" cm="1">
        <f t="array" ref="BB185">IFERROR((IF($O185=1,0,NPV('2027 Avoided Costs'!$D$6,_xlfn._xlws.FILTER('2027 Avoided Costs'!$S$14:$S$47,('2027 Avoided Costs'!$B$14:$B$47&gt;=$B185+1)*('2027 Avoided Costs'!$B$14:$B$47&lt;$B185+ROUND($O185,0)))))+_xlfn.XLOOKUP($B185,'2027 Avoided Costs'!$B$13:$B$47,'2027 Avoided Costs'!$S$13:$S$47))*IF($AI185&lt;0,$AI185*(-1),0),0)</f>
        <v>0</v>
      </c>
      <c r="BC185" s="291" cm="1">
        <f t="array" ref="BC185">IFERROR((IF($O185=1,0,NPV('2027 Avoided Costs'!$D$6,_xlfn._xlws.FILTER('2027 Avoided Costs'!$Y$14:$Y$47,('2027 Avoided Costs'!$B$14:$B$47&gt;=$B185+1)*('2027 Avoided Costs'!$B$14:$B$47&lt;$B185+ROUND($O185,0)))))+_xlfn.XLOOKUP($B185,'2027 Avoided Costs'!$B$13:$B$47,'2027 Avoided Costs'!$Y$13:$Y$47))*IF($AM185&lt;0,$AM185*(-1),0),0)</f>
        <v>0</v>
      </c>
      <c r="BD185" s="291" cm="1">
        <f t="array" ref="BD185">IFERROR((IF($O185=1,0,NPV('2027 Avoided Costs'!$D$6,_xlfn._xlws.FILTER('2027 Avoided Costs'!$AE$14:$AE$47,('2027 Avoided Costs'!$B$14:$B$47&gt;=$B185+1)*('2027 Avoided Costs'!$B$14:$B$47&lt;$B185+ROUND($O185,0)))))+_xlfn.XLOOKUP($B185,'2027 Avoided Costs'!$B$13:$B$47,'2027 Avoided Costs'!$AE$13:$AE$47))*IF($AO185&lt;0,$AO185*(-1),0),0)</f>
        <v>0</v>
      </c>
      <c r="BE185" s="291" cm="1">
        <f t="array" ref="BE185">IFERROR((IF($O185=1,0,NPV('2027 Avoided Costs'!$D$4,_xlfn._xlws.FILTER('2027 Avoided Costs'!$I$14:$I$47,('2027 Avoided Costs'!$B$14:$B$47&gt;=$B185+1)*('2027 Avoided Costs'!$B$14:$B$47&lt;$B185+ROUND($O185,0)))))+_xlfn.XLOOKUP($B185,'2027 Avoided Costs'!$B$13:$B$47,'2027 Avoided Costs'!$I$13:$I$47))*IF($X185="Residential",'2027 Avoided Costs'!$J$5,IF($X185="Large Volume",'2027 Avoided Costs'!$J$7,'2027 Avoided Costs'!$J$6))*IF($AE185&lt;0,$AE185*(-1),0),0)</f>
        <v>0</v>
      </c>
      <c r="BF185" s="291">
        <f t="shared" si="58"/>
        <v>366489.71781608788</v>
      </c>
      <c r="BG185" s="291">
        <f t="shared" si="59"/>
        <v>227800.36666666667</v>
      </c>
      <c r="BH185" s="291">
        <f t="shared" si="60"/>
        <v>138689.35114942121</v>
      </c>
      <c r="BI185" s="292">
        <f t="shared" si="83"/>
        <v>1.6088197011217331</v>
      </c>
      <c r="BJ185" s="196" cm="1">
        <f t="array" ref="BJ185">IFERROR(IF($J185="Baseload",IF($O185=1,0,NPV('2027 Avoided Costs'!$D$6,_xlfn._xlws.FILTER('2027 Avoided Costs'!$C$14:$C$47,('2027 Avoided Costs'!$B$14:$B$47&gt;=$B185+1)*('2027 Avoided Costs'!$B$14:$B$47&lt;$B185+ROUND($O185,0)))))+_xlfn.XLOOKUP($B185,'2027 Avoided Costs'!$B$13:$B$47,'2027 Avoided Costs'!$C$13:$C$47),IF($O185=1,0,NPV('2027 Avoided Costs'!$D$6,_xlfn._xlws.FILTER('2027 Avoided Costs'!$E$14:$E$47,('2027 Avoided Costs'!$B$14:$B$47&gt;=$B185+1)*('2027 Avoided Costs'!$B$14:$B$47&lt;$B185+ROUND($O185,0)))))+_xlfn.XLOOKUP($B185,'2027 Avoided Costs'!$B$13:$B$47,'2027 Avoided Costs'!$E$13:$E$47))*IF($AE185&gt;0,$AE185*(1+0),0),0)</f>
        <v>309550.20002818241</v>
      </c>
      <c r="BK185" s="293">
        <f t="shared" si="81"/>
        <v>1.7188659603822996</v>
      </c>
    </row>
    <row r="186" spans="1:63" s="56" customFormat="1" x14ac:dyDescent="0.25">
      <c r="A186" s="270" t="s">
        <v>133</v>
      </c>
      <c r="B186" s="271">
        <v>2030</v>
      </c>
      <c r="C186" s="272" t="s">
        <v>13</v>
      </c>
      <c r="D186" s="272" t="s">
        <v>163</v>
      </c>
      <c r="E186" s="272" t="s">
        <v>96</v>
      </c>
      <c r="F186" s="273">
        <v>100</v>
      </c>
      <c r="G186" s="274">
        <v>5623.2761250000003</v>
      </c>
      <c r="H186" s="275">
        <f t="shared" si="61"/>
        <v>1</v>
      </c>
      <c r="I186" s="274">
        <v>200</v>
      </c>
      <c r="J186" s="276" t="s">
        <v>264</v>
      </c>
      <c r="K186" s="277">
        <f t="shared" si="57"/>
        <v>0.62000000000000011</v>
      </c>
      <c r="L186" s="278">
        <v>0.37999999999999995</v>
      </c>
      <c r="M186" s="278">
        <v>0</v>
      </c>
      <c r="N186" s="278">
        <v>1.0269999999999999</v>
      </c>
      <c r="O186" s="279">
        <v>15</v>
      </c>
      <c r="P186" s="280">
        <v>5623.2761250000003</v>
      </c>
      <c r="Q186" s="281">
        <v>24433.474999999999</v>
      </c>
      <c r="R186" s="282">
        <v>5.578418949771689</v>
      </c>
      <c r="S186" s="282">
        <v>5.578418949771689</v>
      </c>
      <c r="T186" s="281">
        <v>0</v>
      </c>
      <c r="U186" s="283">
        <v>0.29000000000000004</v>
      </c>
      <c r="V186" s="284">
        <v>13805.0625</v>
      </c>
      <c r="W186" s="285">
        <v>0.15</v>
      </c>
      <c r="X186" s="286" t="s">
        <v>255</v>
      </c>
      <c r="Y186" s="287">
        <f t="shared" si="62"/>
        <v>100</v>
      </c>
      <c r="Z186" s="288">
        <f t="shared" si="63"/>
        <v>562327.61250000005</v>
      </c>
      <c r="AA186" s="288">
        <f t="shared" si="64"/>
        <v>20000</v>
      </c>
      <c r="AB186" s="288">
        <f t="shared" si="65"/>
        <v>596746.56100590003</v>
      </c>
      <c r="AC186" s="288">
        <f t="shared" si="82"/>
        <v>21049.852168960002</v>
      </c>
      <c r="AD186" s="287">
        <f t="shared" si="66"/>
        <v>577510.45803750004</v>
      </c>
      <c r="AE186" s="287">
        <f t="shared" si="67"/>
        <v>358056.4839832501</v>
      </c>
      <c r="AF186" s="287">
        <f t="shared" si="68"/>
        <v>8662656.8705625013</v>
      </c>
      <c r="AG186" s="287">
        <f t="shared" si="69"/>
        <v>5370847.2597487513</v>
      </c>
      <c r="AH186" s="287">
        <f t="shared" si="70"/>
        <v>2689988.7700399994</v>
      </c>
      <c r="AI186" s="287">
        <f t="shared" si="71"/>
        <v>1667793.0374248</v>
      </c>
      <c r="AJ186" s="287">
        <f t="shared" si="72"/>
        <v>0</v>
      </c>
      <c r="AK186" s="287">
        <f t="shared" si="73"/>
        <v>0</v>
      </c>
      <c r="AL186" s="287">
        <f t="shared" si="74"/>
        <v>614.15268722374424</v>
      </c>
      <c r="AM186" s="287">
        <f t="shared" si="75"/>
        <v>380.77466607872151</v>
      </c>
      <c r="AN186" s="287">
        <f t="shared" si="76"/>
        <v>614.15268722374424</v>
      </c>
      <c r="AO186" s="287">
        <f t="shared" si="77"/>
        <v>380.77466607872151</v>
      </c>
      <c r="AP186" s="287">
        <f t="shared" si="78"/>
        <v>1380506.25</v>
      </c>
      <c r="AQ186" s="287">
        <f t="shared" si="79"/>
        <v>855913.87500000012</v>
      </c>
      <c r="AR186" s="287">
        <f t="shared" si="80"/>
        <v>103836.38035514254</v>
      </c>
      <c r="AS186" s="289" t="e">
        <f>IF(J186='2027 Avoided Costs'!#REF!,3,5)</f>
        <v>#REF!</v>
      </c>
      <c r="AT186" s="290" cm="1">
        <f t="array" ref="AT186">IFERROR(IF($J186="Baseload",IF($O186=1,0,NPV('2027 Avoided Costs'!$D$6,_xlfn._xlws.FILTER('2027 Avoided Costs'!$C$14:$C$47,('2027 Avoided Costs'!$B$14:$B$47&gt;=$B186+1)*('2027 Avoided Costs'!$B$14:$B$47&lt;$B186+ROUND($O186,0)))))+_xlfn.XLOOKUP($B186,'2027 Avoided Costs'!$B$13:$B$47,'2027 Avoided Costs'!$C$13:$C$47),IF($O186=1,0,NPV('2027 Avoided Costs'!$D$6,_xlfn._xlws.FILTER('2027 Avoided Costs'!$E$14:$E$47,('2027 Avoided Costs'!$B$14:$B$47&gt;=$B186+1)*('2027 Avoided Costs'!$B$14:$B$47&lt;$B186+ROUND($O186,0)))))+_xlfn.XLOOKUP($B186,'2027 Avoided Costs'!$B$13:$B$47,'2027 Avoided Costs'!$E$13:$E$47))*IF($AE186&gt;0,$AE186*(1+$W186),0),0)</f>
        <v>1570081.9849074751</v>
      </c>
      <c r="AU186" s="290" cm="1">
        <f t="array" ref="AU186">IFERROR((IF($O186=1,0,NPV('2027 Avoided Costs'!$D$6,_xlfn._xlws.FILTER('2027 Avoided Costs'!$M$14:$M$47,('2027 Avoided Costs'!$B$14:$B$47&gt;=$B186+1)*('2027 Avoided Costs'!$B$14:$B$47&lt;$B186+ROUND($O186,0)))))+_xlfn.XLOOKUP($B186,'2027 Avoided Costs'!$B$13:$B$47,'2027 Avoided Costs'!$M$13:$M$47))*IF($AK186&gt;0,$AK186*(1+$W186),0),0)</f>
        <v>0</v>
      </c>
      <c r="AV186" s="291" cm="1">
        <f t="array" ref="AV186">IFERROR((IF($O186=1,0,NPV('2027 Avoided Costs'!$D$6,_xlfn._xlws.FILTER('2027 Avoided Costs'!$Q$14:$Q$47,('2027 Avoided Costs'!$B$14:$B$47&gt;=$B186+1)*('2027 Avoided Costs'!$B$14:$B$47&lt;$B186+ROUND($O186,0)))))+_xlfn.XLOOKUP($B186,'2027 Avoided Costs'!$B$13:$B$47,'2027 Avoided Costs'!$Q$13:$Q$47))*IF($AI186&gt;0,$AI186*(1+$W186),0),0)</f>
        <v>1068799.8695691137</v>
      </c>
      <c r="AW186" s="291" cm="1">
        <f t="array" ref="AW186">IFERROR((IF($O186=1,0,NPV('2027 Avoided Costs'!$D$6,_xlfn._xlws.FILTER('2027 Avoided Costs'!$W$14:$W$47,('2027 Avoided Costs'!$B$14:$B$47&gt;=$B186+1)*('2027 Avoided Costs'!$B$14:$B$47&lt;$B186+ROUND($O186,0)))))+_xlfn.XLOOKUP($B186,'2027 Avoided Costs'!$B$13:$B$47,'2027 Avoided Costs'!$W$13:$W$47))*IF($AM186&gt;0,$AM186*(1+$W186),0),0)</f>
        <v>1513000.65948167</v>
      </c>
      <c r="AX186" s="291" cm="1">
        <f t="array" ref="AX186">IFERROR((IF($O186=1,0,NPV('2027 Avoided Costs'!$D$6,_xlfn._xlws.FILTER('2027 Avoided Costs'!$AC$14:$AC$47,('2027 Avoided Costs'!$B$14:$B$47&gt;=$B186+1)*('2027 Avoided Costs'!$B$14:$B$47&lt;$B186+ROUND($O186,0)))))+_xlfn.XLOOKUP($B186,'2027 Avoided Costs'!$B$13:$B$47,'2027 Avoided Costs'!$AC$13:$AC$47))*IF($AO186&gt;0,$AO186*(1+$W186),0),0)</f>
        <v>319995.08236483519</v>
      </c>
      <c r="AY186" s="291" cm="1">
        <f t="array" ref="AY186">IFERROR((IF($O186=1,0,NPV('2027 Avoided Costs'!$D$4,_xlfn._xlws.FILTER('2027 Avoided Costs'!$I$14:$I$47,('2027 Avoided Costs'!$B$14:$B$47&gt;=$B186+1)*('2027 Avoided Costs'!$B$14:$B$47&lt;$B186+ROUND($O186,0)))))+_xlfn.XLOOKUP($B186,'2027 Avoided Costs'!$B$13:$B$47,'2027 Avoided Costs'!$I$13:$I$47))*IF($X186="Residential",'2027 Avoided Costs'!$J$5,IF($X186="Large Volume",'2027 Avoided Costs'!$J$7,'2027 Avoided Costs'!$J$6))*IF($AE186&gt;0,$AE186,0),0)</f>
        <v>0</v>
      </c>
      <c r="AZ186" s="291" cm="1">
        <f t="array" ref="AZ186">IFERROR(IF($J186="Baseload",IF($O186=1,0,NPV('2027 Avoided Costs'!$D$6,_xlfn._xlws.FILTER('2027 Avoided Costs'!$C$14:$C$47,('2027 Avoided Costs'!$B$14:$B$47&gt;=$B186+1)*('2027 Avoided Costs'!$B$14:$B$47&lt;$B186+ROUND($O186,0)))))+_xlfn.XLOOKUP($B186,'2027 Avoided Costs'!$B$13:$B$47,'2027 Avoided Costs'!$C$13:$C$47),IF($O186=1,0,NPV('2027 Avoided Costs'!$D$6,_xlfn._xlws.FILTER('2027 Avoided Costs'!$E$14:$E$47,('2027 Avoided Costs'!$B$14:$B$47&gt;=$B186+1)*('2027 Avoided Costs'!$B$14:$B$47&lt;$B186+ROUND($O186,0)))))+_xlfn.XLOOKUP($B186,'2027 Avoided Costs'!$B$13:$B$47,'2027 Avoided Costs'!$E$13:$E$47))*IF($AE186&lt;0,$AE186*(-1),0),0)</f>
        <v>0</v>
      </c>
      <c r="BA186" s="291" cm="1">
        <f t="array" ref="BA186">IFERROR((IF($O186=1,0,NPV('2027 Avoided Costs'!$D$6,_xlfn._xlws.FILTER('2027 Avoided Costs'!$M$14:$M$47,('2027 Avoided Costs'!$B$14:$B$47&gt;=$B186+1)*('2027 Avoided Costs'!$B$14:$B$47&lt;$B186+ROUND($O186,0)))))+_xlfn.XLOOKUP($B186,'2027 Avoided Costs'!$B$13:$B$47,'2027 Avoided Costs'!$M$13:$M$47))*IF($AK186&lt;0,$AK186*(-1),0),0)</f>
        <v>0</v>
      </c>
      <c r="BB186" s="291" cm="1">
        <f t="array" ref="BB186">IFERROR((IF($O186=1,0,NPV('2027 Avoided Costs'!$D$6,_xlfn._xlws.FILTER('2027 Avoided Costs'!$S$14:$S$47,('2027 Avoided Costs'!$B$14:$B$47&gt;=$B186+1)*('2027 Avoided Costs'!$B$14:$B$47&lt;$B186+ROUND($O186,0)))))+_xlfn.XLOOKUP($B186,'2027 Avoided Costs'!$B$13:$B$47,'2027 Avoided Costs'!$S$13:$S$47))*IF($AI186&lt;0,$AI186*(-1),0),0)</f>
        <v>0</v>
      </c>
      <c r="BC186" s="291" cm="1">
        <f t="array" ref="BC186">IFERROR((IF($O186=1,0,NPV('2027 Avoided Costs'!$D$6,_xlfn._xlws.FILTER('2027 Avoided Costs'!$Y$14:$Y$47,('2027 Avoided Costs'!$B$14:$B$47&gt;=$B186+1)*('2027 Avoided Costs'!$B$14:$B$47&lt;$B186+ROUND($O186,0)))))+_xlfn.XLOOKUP($B186,'2027 Avoided Costs'!$B$13:$B$47,'2027 Avoided Costs'!$Y$13:$Y$47))*IF($AM186&lt;0,$AM186*(-1),0),0)</f>
        <v>0</v>
      </c>
      <c r="BD186" s="291" cm="1">
        <f t="array" ref="BD186">IFERROR((IF($O186=1,0,NPV('2027 Avoided Costs'!$D$6,_xlfn._xlws.FILTER('2027 Avoided Costs'!$AE$14:$AE$47,('2027 Avoided Costs'!$B$14:$B$47&gt;=$B186+1)*('2027 Avoided Costs'!$B$14:$B$47&lt;$B186+ROUND($O186,0)))))+_xlfn.XLOOKUP($B186,'2027 Avoided Costs'!$B$13:$B$47,'2027 Avoided Costs'!$AE$13:$AE$47))*IF($AO186&lt;0,$AO186*(-1),0),0)</f>
        <v>0</v>
      </c>
      <c r="BE186" s="291" cm="1">
        <f t="array" ref="BE186">IFERROR((IF($O186=1,0,NPV('2027 Avoided Costs'!$D$4,_xlfn._xlws.FILTER('2027 Avoided Costs'!$I$14:$I$47,('2027 Avoided Costs'!$B$14:$B$47&gt;=$B186+1)*('2027 Avoided Costs'!$B$14:$B$47&lt;$B186+ROUND($O186,0)))))+_xlfn.XLOOKUP($B186,'2027 Avoided Costs'!$B$13:$B$47,'2027 Avoided Costs'!$I$13:$I$47))*IF($X186="Residential",'2027 Avoided Costs'!$J$5,IF($X186="Large Volume",'2027 Avoided Costs'!$J$7,'2027 Avoided Costs'!$J$6))*IF($AE186&lt;0,$AE186*(-1),0),0)</f>
        <v>0</v>
      </c>
      <c r="BF186" s="291">
        <f t="shared" si="58"/>
        <v>4471877.5963230934</v>
      </c>
      <c r="BG186" s="291">
        <f t="shared" si="59"/>
        <v>855913.87500000012</v>
      </c>
      <c r="BH186" s="291">
        <f t="shared" si="60"/>
        <v>3615963.7213230934</v>
      </c>
      <c r="BI186" s="292">
        <f t="shared" si="83"/>
        <v>5.2246817430352941</v>
      </c>
      <c r="BJ186" s="196" cm="1">
        <f t="array" ref="BJ186">IFERROR(IF($J186="Baseload",IF($O186=1,0,NPV('2027 Avoided Costs'!$D$6,_xlfn._xlws.FILTER('2027 Avoided Costs'!$C$14:$C$47,('2027 Avoided Costs'!$B$14:$B$47&gt;=$B186+1)*('2027 Avoided Costs'!$B$14:$B$47&lt;$B186+ROUND($O186,0)))))+_xlfn.XLOOKUP($B186,'2027 Avoided Costs'!$B$13:$B$47,'2027 Avoided Costs'!$C$13:$C$47),IF($O186=1,0,NPV('2027 Avoided Costs'!$D$6,_xlfn._xlws.FILTER('2027 Avoided Costs'!$E$14:$E$47,('2027 Avoided Costs'!$B$14:$B$47&gt;=$B186+1)*('2027 Avoided Costs'!$B$14:$B$47&lt;$B186+ROUND($O186,0)))))+_xlfn.XLOOKUP($B186,'2027 Avoided Costs'!$B$13:$B$47,'2027 Avoided Costs'!$E$13:$E$47))*IF($AE186&gt;0,$AE186*(1+0),0),0)</f>
        <v>1365288.6825282392</v>
      </c>
      <c r="BK186" s="293">
        <f t="shared" si="81"/>
        <v>2.2099330028674191</v>
      </c>
    </row>
    <row r="187" spans="1:63" s="56" customFormat="1" x14ac:dyDescent="0.25">
      <c r="A187" s="270" t="s">
        <v>133</v>
      </c>
      <c r="B187" s="271">
        <v>2030</v>
      </c>
      <c r="C187" s="272" t="s">
        <v>13</v>
      </c>
      <c r="D187" s="272" t="s">
        <v>163</v>
      </c>
      <c r="E187" s="272" t="s">
        <v>97</v>
      </c>
      <c r="F187" s="273">
        <v>128</v>
      </c>
      <c r="G187" s="274">
        <v>1295</v>
      </c>
      <c r="H187" s="275">
        <f t="shared" si="61"/>
        <v>0.18943826799297836</v>
      </c>
      <c r="I187" s="274">
        <v>200</v>
      </c>
      <c r="J187" s="276" t="s">
        <v>264</v>
      </c>
      <c r="K187" s="277">
        <f t="shared" si="57"/>
        <v>0.79999999999999993</v>
      </c>
      <c r="L187" s="278">
        <v>0.20000000000000007</v>
      </c>
      <c r="M187" s="278">
        <v>0</v>
      </c>
      <c r="N187" s="278">
        <v>1.0414000000000001</v>
      </c>
      <c r="O187" s="279">
        <v>15</v>
      </c>
      <c r="P187" s="280">
        <v>6836</v>
      </c>
      <c r="Q187" s="281">
        <v>0</v>
      </c>
      <c r="R187" s="282">
        <v>0</v>
      </c>
      <c r="S187" s="282">
        <v>0</v>
      </c>
      <c r="T187" s="281">
        <v>0</v>
      </c>
      <c r="U187" s="283">
        <v>0.54</v>
      </c>
      <c r="V187" s="284">
        <v>2590</v>
      </c>
      <c r="W187" s="285">
        <v>0.15</v>
      </c>
      <c r="X187" s="286" t="s">
        <v>255</v>
      </c>
      <c r="Y187" s="287">
        <f t="shared" si="62"/>
        <v>128</v>
      </c>
      <c r="Z187" s="288">
        <f t="shared" si="63"/>
        <v>165760</v>
      </c>
      <c r="AA187" s="288">
        <f t="shared" si="64"/>
        <v>25600</v>
      </c>
      <c r="AB187" s="288">
        <f t="shared" si="65"/>
        <v>175905.83807999999</v>
      </c>
      <c r="AC187" s="288">
        <f t="shared" si="82"/>
        <v>26943.810776268805</v>
      </c>
      <c r="AD187" s="287">
        <f t="shared" si="66"/>
        <v>911233.33120000013</v>
      </c>
      <c r="AE187" s="287">
        <f t="shared" si="67"/>
        <v>728986.66496000008</v>
      </c>
      <c r="AF187" s="287">
        <f t="shared" si="68"/>
        <v>13668499.968000002</v>
      </c>
      <c r="AG187" s="287">
        <f t="shared" si="69"/>
        <v>10934799.974400001</v>
      </c>
      <c r="AH187" s="287">
        <f t="shared" si="70"/>
        <v>0</v>
      </c>
      <c r="AI187" s="287">
        <f t="shared" si="71"/>
        <v>0</v>
      </c>
      <c r="AJ187" s="287">
        <f t="shared" si="72"/>
        <v>0</v>
      </c>
      <c r="AK187" s="287">
        <f t="shared" si="73"/>
        <v>0</v>
      </c>
      <c r="AL187" s="287">
        <f t="shared" si="74"/>
        <v>0</v>
      </c>
      <c r="AM187" s="287">
        <f t="shared" si="75"/>
        <v>0</v>
      </c>
      <c r="AN187" s="287">
        <f t="shared" si="76"/>
        <v>0</v>
      </c>
      <c r="AO187" s="287">
        <f t="shared" si="77"/>
        <v>0</v>
      </c>
      <c r="AP187" s="287">
        <f t="shared" si="78"/>
        <v>331520</v>
      </c>
      <c r="AQ187" s="287">
        <f t="shared" si="79"/>
        <v>265216</v>
      </c>
      <c r="AR187" s="287">
        <f t="shared" si="80"/>
        <v>393652.79907840007</v>
      </c>
      <c r="AS187" s="289" t="e">
        <f>IF(J187='2027 Avoided Costs'!#REF!,3,5)</f>
        <v>#REF!</v>
      </c>
      <c r="AT187" s="290" cm="1">
        <f t="array" ref="AT187">IFERROR(IF($J187="Baseload",IF($O187=1,0,NPV('2027 Avoided Costs'!$D$6,_xlfn._xlws.FILTER('2027 Avoided Costs'!$C$14:$C$47,('2027 Avoided Costs'!$B$14:$B$47&gt;=$B187+1)*('2027 Avoided Costs'!$B$14:$B$47&lt;$B187+ROUND($O187,0)))))+_xlfn.XLOOKUP($B187,'2027 Avoided Costs'!$B$13:$B$47,'2027 Avoided Costs'!$C$13:$C$47),IF($O187=1,0,NPV('2027 Avoided Costs'!$D$6,_xlfn._xlws.FILTER('2027 Avoided Costs'!$E$14:$E$47,('2027 Avoided Costs'!$B$14:$B$47&gt;=$B187+1)*('2027 Avoided Costs'!$B$14:$B$47&lt;$B187+ROUND($O187,0)))))+_xlfn.XLOOKUP($B187,'2027 Avoided Costs'!$B$13:$B$47,'2027 Avoided Costs'!$E$13:$E$47))*IF($AE187&gt;0,$AE187*(1+$W187),0),0)</f>
        <v>3196615.2858302109</v>
      </c>
      <c r="AU187" s="290" cm="1">
        <f t="array" ref="AU187">IFERROR((IF($O187=1,0,NPV('2027 Avoided Costs'!$D$6,_xlfn._xlws.FILTER('2027 Avoided Costs'!$M$14:$M$47,('2027 Avoided Costs'!$B$14:$B$47&gt;=$B187+1)*('2027 Avoided Costs'!$B$14:$B$47&lt;$B187+ROUND($O187,0)))))+_xlfn.XLOOKUP($B187,'2027 Avoided Costs'!$B$13:$B$47,'2027 Avoided Costs'!$M$13:$M$47))*IF($AK187&gt;0,$AK187*(1+$W187),0),0)</f>
        <v>0</v>
      </c>
      <c r="AV187" s="291" cm="1">
        <f t="array" ref="AV187">IFERROR((IF($O187=1,0,NPV('2027 Avoided Costs'!$D$6,_xlfn._xlws.FILTER('2027 Avoided Costs'!$Q$14:$Q$47,('2027 Avoided Costs'!$B$14:$B$47&gt;=$B187+1)*('2027 Avoided Costs'!$B$14:$B$47&lt;$B187+ROUND($O187,0)))))+_xlfn.XLOOKUP($B187,'2027 Avoided Costs'!$B$13:$B$47,'2027 Avoided Costs'!$Q$13:$Q$47))*IF($AI187&gt;0,$AI187*(1+$W187),0),0)</f>
        <v>0</v>
      </c>
      <c r="AW187" s="291" cm="1">
        <f t="array" ref="AW187">IFERROR((IF($O187=1,0,NPV('2027 Avoided Costs'!$D$6,_xlfn._xlws.FILTER('2027 Avoided Costs'!$W$14:$W$47,('2027 Avoided Costs'!$B$14:$B$47&gt;=$B187+1)*('2027 Avoided Costs'!$B$14:$B$47&lt;$B187+ROUND($O187,0)))))+_xlfn.XLOOKUP($B187,'2027 Avoided Costs'!$B$13:$B$47,'2027 Avoided Costs'!$W$13:$W$47))*IF($AM187&gt;0,$AM187*(1+$W187),0),0)</f>
        <v>0</v>
      </c>
      <c r="AX187" s="291" cm="1">
        <f t="array" ref="AX187">IFERROR((IF($O187=1,0,NPV('2027 Avoided Costs'!$D$6,_xlfn._xlws.FILTER('2027 Avoided Costs'!$AC$14:$AC$47,('2027 Avoided Costs'!$B$14:$B$47&gt;=$B187+1)*('2027 Avoided Costs'!$B$14:$B$47&lt;$B187+ROUND($O187,0)))))+_xlfn.XLOOKUP($B187,'2027 Avoided Costs'!$B$13:$B$47,'2027 Avoided Costs'!$AC$13:$AC$47))*IF($AO187&gt;0,$AO187*(1+$W187),0),0)</f>
        <v>0</v>
      </c>
      <c r="AY187" s="291" cm="1">
        <f t="array" ref="AY187">IFERROR((IF($O187=1,0,NPV('2027 Avoided Costs'!$D$4,_xlfn._xlws.FILTER('2027 Avoided Costs'!$I$14:$I$47,('2027 Avoided Costs'!$B$14:$B$47&gt;=$B187+1)*('2027 Avoided Costs'!$B$14:$B$47&lt;$B187+ROUND($O187,0)))))+_xlfn.XLOOKUP($B187,'2027 Avoided Costs'!$B$13:$B$47,'2027 Avoided Costs'!$I$13:$I$47))*IF($X187="Residential",'2027 Avoided Costs'!$J$5,IF($X187="Large Volume",'2027 Avoided Costs'!$J$7,'2027 Avoided Costs'!$J$6))*IF($AE187&gt;0,$AE187,0),0)</f>
        <v>0</v>
      </c>
      <c r="AZ187" s="291" cm="1">
        <f t="array" ref="AZ187">IFERROR(IF($J187="Baseload",IF($O187=1,0,NPV('2027 Avoided Costs'!$D$6,_xlfn._xlws.FILTER('2027 Avoided Costs'!$C$14:$C$47,('2027 Avoided Costs'!$B$14:$B$47&gt;=$B187+1)*('2027 Avoided Costs'!$B$14:$B$47&lt;$B187+ROUND($O187,0)))))+_xlfn.XLOOKUP($B187,'2027 Avoided Costs'!$B$13:$B$47,'2027 Avoided Costs'!$C$13:$C$47),IF($O187=1,0,NPV('2027 Avoided Costs'!$D$6,_xlfn._xlws.FILTER('2027 Avoided Costs'!$E$14:$E$47,('2027 Avoided Costs'!$B$14:$B$47&gt;=$B187+1)*('2027 Avoided Costs'!$B$14:$B$47&lt;$B187+ROUND($O187,0)))))+_xlfn.XLOOKUP($B187,'2027 Avoided Costs'!$B$13:$B$47,'2027 Avoided Costs'!$E$13:$E$47))*IF($AE187&lt;0,$AE187*(-1),0),0)</f>
        <v>0</v>
      </c>
      <c r="BA187" s="291" cm="1">
        <f t="array" ref="BA187">IFERROR((IF($O187=1,0,NPV('2027 Avoided Costs'!$D$6,_xlfn._xlws.FILTER('2027 Avoided Costs'!$M$14:$M$47,('2027 Avoided Costs'!$B$14:$B$47&gt;=$B187+1)*('2027 Avoided Costs'!$B$14:$B$47&lt;$B187+ROUND($O187,0)))))+_xlfn.XLOOKUP($B187,'2027 Avoided Costs'!$B$13:$B$47,'2027 Avoided Costs'!$M$13:$M$47))*IF($AK187&lt;0,$AK187*(-1),0),0)</f>
        <v>0</v>
      </c>
      <c r="BB187" s="291" cm="1">
        <f t="array" ref="BB187">IFERROR((IF($O187=1,0,NPV('2027 Avoided Costs'!$D$6,_xlfn._xlws.FILTER('2027 Avoided Costs'!$S$14:$S$47,('2027 Avoided Costs'!$B$14:$B$47&gt;=$B187+1)*('2027 Avoided Costs'!$B$14:$B$47&lt;$B187+ROUND($O187,0)))))+_xlfn.XLOOKUP($B187,'2027 Avoided Costs'!$B$13:$B$47,'2027 Avoided Costs'!$S$13:$S$47))*IF($AI187&lt;0,$AI187*(-1),0),0)</f>
        <v>0</v>
      </c>
      <c r="BC187" s="291" cm="1">
        <f t="array" ref="BC187">IFERROR((IF($O187=1,0,NPV('2027 Avoided Costs'!$D$6,_xlfn._xlws.FILTER('2027 Avoided Costs'!$Y$14:$Y$47,('2027 Avoided Costs'!$B$14:$B$47&gt;=$B187+1)*('2027 Avoided Costs'!$B$14:$B$47&lt;$B187+ROUND($O187,0)))))+_xlfn.XLOOKUP($B187,'2027 Avoided Costs'!$B$13:$B$47,'2027 Avoided Costs'!$Y$13:$Y$47))*IF($AM187&lt;0,$AM187*(-1),0),0)</f>
        <v>0</v>
      </c>
      <c r="BD187" s="291" cm="1">
        <f t="array" ref="BD187">IFERROR((IF($O187=1,0,NPV('2027 Avoided Costs'!$D$6,_xlfn._xlws.FILTER('2027 Avoided Costs'!$AE$14:$AE$47,('2027 Avoided Costs'!$B$14:$B$47&gt;=$B187+1)*('2027 Avoided Costs'!$B$14:$B$47&lt;$B187+ROUND($O187,0)))))+_xlfn.XLOOKUP($B187,'2027 Avoided Costs'!$B$13:$B$47,'2027 Avoided Costs'!$AE$13:$AE$47))*IF($AO187&lt;0,$AO187*(-1),0),0)</f>
        <v>0</v>
      </c>
      <c r="BE187" s="291" cm="1">
        <f t="array" ref="BE187">IFERROR((IF($O187=1,0,NPV('2027 Avoided Costs'!$D$4,_xlfn._xlws.FILTER('2027 Avoided Costs'!$I$14:$I$47,('2027 Avoided Costs'!$B$14:$B$47&gt;=$B187+1)*('2027 Avoided Costs'!$B$14:$B$47&lt;$B187+ROUND($O187,0)))))+_xlfn.XLOOKUP($B187,'2027 Avoided Costs'!$B$13:$B$47,'2027 Avoided Costs'!$I$13:$I$47))*IF($X187="Residential",'2027 Avoided Costs'!$J$5,IF($X187="Large Volume",'2027 Avoided Costs'!$J$7,'2027 Avoided Costs'!$J$6))*IF($AE187&lt;0,$AE187*(-1),0),0)</f>
        <v>0</v>
      </c>
      <c r="BF187" s="291">
        <f t="shared" si="58"/>
        <v>3196615.2858302109</v>
      </c>
      <c r="BG187" s="291">
        <f t="shared" si="59"/>
        <v>265216</v>
      </c>
      <c r="BH187" s="291">
        <f t="shared" si="60"/>
        <v>2931399.2858302109</v>
      </c>
      <c r="BI187" s="292">
        <f t="shared" si="83"/>
        <v>12.052874961654693</v>
      </c>
      <c r="BJ187" s="196" cm="1">
        <f t="array" ref="BJ187">IFERROR(IF($J187="Baseload",IF($O187=1,0,NPV('2027 Avoided Costs'!$D$6,_xlfn._xlws.FILTER('2027 Avoided Costs'!$C$14:$C$47,('2027 Avoided Costs'!$B$14:$B$47&gt;=$B187+1)*('2027 Avoided Costs'!$B$14:$B$47&lt;$B187+ROUND($O187,0)))))+_xlfn.XLOOKUP($B187,'2027 Avoided Costs'!$B$13:$B$47,'2027 Avoided Costs'!$C$13:$C$47),IF($O187=1,0,NPV('2027 Avoided Costs'!$D$6,_xlfn._xlws.FILTER('2027 Avoided Costs'!$E$14:$E$47,('2027 Avoided Costs'!$B$14:$B$47&gt;=$B187+1)*('2027 Avoided Costs'!$B$14:$B$47&lt;$B187+ROUND($O187,0)))))+_xlfn.XLOOKUP($B187,'2027 Avoided Costs'!$B$13:$B$47,'2027 Avoided Costs'!$E$13:$E$47))*IF($AE187&gt;0,$AE187*(1+0),0),0)</f>
        <v>2779665.4659393141</v>
      </c>
      <c r="BK187" s="293">
        <f t="shared" si="81"/>
        <v>13.70308246335134</v>
      </c>
    </row>
    <row r="188" spans="1:63" s="56" customFormat="1" x14ac:dyDescent="0.25">
      <c r="A188" s="270" t="s">
        <v>133</v>
      </c>
      <c r="B188" s="271">
        <v>2030</v>
      </c>
      <c r="C188" s="272" t="s">
        <v>13</v>
      </c>
      <c r="D188" s="272" t="s">
        <v>163</v>
      </c>
      <c r="E188" s="272" t="s">
        <v>98</v>
      </c>
      <c r="F188" s="273">
        <v>84</v>
      </c>
      <c r="G188" s="274">
        <v>1485.9860696517414</v>
      </c>
      <c r="H188" s="275">
        <f t="shared" si="61"/>
        <v>1</v>
      </c>
      <c r="I188" s="274">
        <v>200</v>
      </c>
      <c r="J188" s="276" t="s">
        <v>264</v>
      </c>
      <c r="K188" s="277">
        <f t="shared" si="57"/>
        <v>0.9</v>
      </c>
      <c r="L188" s="278">
        <v>0.1</v>
      </c>
      <c r="M188" s="278">
        <v>0</v>
      </c>
      <c r="N188" s="278">
        <v>1</v>
      </c>
      <c r="O188" s="279">
        <v>15</v>
      </c>
      <c r="P188" s="280">
        <v>1485.9860696517414</v>
      </c>
      <c r="Q188" s="281">
        <v>0</v>
      </c>
      <c r="R188" s="282">
        <v>0</v>
      </c>
      <c r="S188" s="282">
        <v>0</v>
      </c>
      <c r="T188" s="281">
        <v>0</v>
      </c>
      <c r="U188" s="283">
        <v>0.91279749398091969</v>
      </c>
      <c r="V188" s="284">
        <v>13312</v>
      </c>
      <c r="W188" s="285">
        <v>0.15</v>
      </c>
      <c r="X188" s="286" t="s">
        <v>255</v>
      </c>
      <c r="Y188" s="287">
        <f t="shared" si="62"/>
        <v>84</v>
      </c>
      <c r="Z188" s="288">
        <f t="shared" si="63"/>
        <v>124822.82985074628</v>
      </c>
      <c r="AA188" s="288">
        <f t="shared" si="64"/>
        <v>16800</v>
      </c>
      <c r="AB188" s="288">
        <f t="shared" si="65"/>
        <v>132462.98562025075</v>
      </c>
      <c r="AC188" s="288">
        <f t="shared" si="82"/>
        <v>17681.875821926402</v>
      </c>
      <c r="AD188" s="287">
        <f t="shared" si="66"/>
        <v>124822.82985074628</v>
      </c>
      <c r="AE188" s="287">
        <f t="shared" si="67"/>
        <v>112340.54686567165</v>
      </c>
      <c r="AF188" s="287">
        <f t="shared" si="68"/>
        <v>1872342.4477611941</v>
      </c>
      <c r="AG188" s="287">
        <f t="shared" si="69"/>
        <v>1685108.2029850748</v>
      </c>
      <c r="AH188" s="287">
        <f t="shared" si="70"/>
        <v>0</v>
      </c>
      <c r="AI188" s="287">
        <f t="shared" si="71"/>
        <v>0</v>
      </c>
      <c r="AJ188" s="287">
        <f t="shared" si="72"/>
        <v>0</v>
      </c>
      <c r="AK188" s="287">
        <f t="shared" si="73"/>
        <v>0</v>
      </c>
      <c r="AL188" s="287">
        <f t="shared" si="74"/>
        <v>0</v>
      </c>
      <c r="AM188" s="287">
        <f t="shared" si="75"/>
        <v>0</v>
      </c>
      <c r="AN188" s="287">
        <f t="shared" si="76"/>
        <v>0</v>
      </c>
      <c r="AO188" s="287">
        <f t="shared" si="77"/>
        <v>0</v>
      </c>
      <c r="AP188" s="287">
        <f t="shared" si="78"/>
        <v>1118208</v>
      </c>
      <c r="AQ188" s="287">
        <f t="shared" si="79"/>
        <v>1006387.2000000001</v>
      </c>
      <c r="AR188" s="287">
        <f t="shared" si="80"/>
        <v>102544.16965143115</v>
      </c>
      <c r="AS188" s="289" t="e">
        <f>IF(J188='2027 Avoided Costs'!#REF!,3,5)</f>
        <v>#REF!</v>
      </c>
      <c r="AT188" s="290" cm="1">
        <f t="array" ref="AT188">IFERROR(IF($J188="Baseload",IF($O188=1,0,NPV('2027 Avoided Costs'!$D$6,_xlfn._xlws.FILTER('2027 Avoided Costs'!$C$14:$C$47,('2027 Avoided Costs'!$B$14:$B$47&gt;=$B188+1)*('2027 Avoided Costs'!$B$14:$B$47&lt;$B188+ROUND($O188,0)))))+_xlfn.XLOOKUP($B188,'2027 Avoided Costs'!$B$13:$B$47,'2027 Avoided Costs'!$C$13:$C$47),IF($O188=1,0,NPV('2027 Avoided Costs'!$D$6,_xlfn._xlws.FILTER('2027 Avoided Costs'!$E$14:$E$47,('2027 Avoided Costs'!$B$14:$B$47&gt;=$B188+1)*('2027 Avoided Costs'!$B$14:$B$47&lt;$B188+ROUND($O188,0)))))+_xlfn.XLOOKUP($B188,'2027 Avoided Costs'!$B$13:$B$47,'2027 Avoided Costs'!$E$13:$E$47))*IF($AE188&gt;0,$AE188*(1+$W188),0),0)</f>
        <v>492614.64796346548</v>
      </c>
      <c r="AU188" s="290" cm="1">
        <f t="array" ref="AU188">IFERROR((IF($O188=1,0,NPV('2027 Avoided Costs'!$D$6,_xlfn._xlws.FILTER('2027 Avoided Costs'!$M$14:$M$47,('2027 Avoided Costs'!$B$14:$B$47&gt;=$B188+1)*('2027 Avoided Costs'!$B$14:$B$47&lt;$B188+ROUND($O188,0)))))+_xlfn.XLOOKUP($B188,'2027 Avoided Costs'!$B$13:$B$47,'2027 Avoided Costs'!$M$13:$M$47))*IF($AK188&gt;0,$AK188*(1+$W188),0),0)</f>
        <v>0</v>
      </c>
      <c r="AV188" s="291" cm="1">
        <f t="array" ref="AV188">IFERROR((IF($O188=1,0,NPV('2027 Avoided Costs'!$D$6,_xlfn._xlws.FILTER('2027 Avoided Costs'!$Q$14:$Q$47,('2027 Avoided Costs'!$B$14:$B$47&gt;=$B188+1)*('2027 Avoided Costs'!$B$14:$B$47&lt;$B188+ROUND($O188,0)))))+_xlfn.XLOOKUP($B188,'2027 Avoided Costs'!$B$13:$B$47,'2027 Avoided Costs'!$Q$13:$Q$47))*IF($AI188&gt;0,$AI188*(1+$W188),0),0)</f>
        <v>0</v>
      </c>
      <c r="AW188" s="291" cm="1">
        <f t="array" ref="AW188">IFERROR((IF($O188=1,0,NPV('2027 Avoided Costs'!$D$6,_xlfn._xlws.FILTER('2027 Avoided Costs'!$W$14:$W$47,('2027 Avoided Costs'!$B$14:$B$47&gt;=$B188+1)*('2027 Avoided Costs'!$B$14:$B$47&lt;$B188+ROUND($O188,0)))))+_xlfn.XLOOKUP($B188,'2027 Avoided Costs'!$B$13:$B$47,'2027 Avoided Costs'!$W$13:$W$47))*IF($AM188&gt;0,$AM188*(1+$W188),0),0)</f>
        <v>0</v>
      </c>
      <c r="AX188" s="291" cm="1">
        <f t="array" ref="AX188">IFERROR((IF($O188=1,0,NPV('2027 Avoided Costs'!$D$6,_xlfn._xlws.FILTER('2027 Avoided Costs'!$AC$14:$AC$47,('2027 Avoided Costs'!$B$14:$B$47&gt;=$B188+1)*('2027 Avoided Costs'!$B$14:$B$47&lt;$B188+ROUND($O188,0)))))+_xlfn.XLOOKUP($B188,'2027 Avoided Costs'!$B$13:$B$47,'2027 Avoided Costs'!$AC$13:$AC$47))*IF($AO188&gt;0,$AO188*(1+$W188),0),0)</f>
        <v>0</v>
      </c>
      <c r="AY188" s="291" cm="1">
        <f t="array" ref="AY188">IFERROR((IF($O188=1,0,NPV('2027 Avoided Costs'!$D$4,_xlfn._xlws.FILTER('2027 Avoided Costs'!$I$14:$I$47,('2027 Avoided Costs'!$B$14:$B$47&gt;=$B188+1)*('2027 Avoided Costs'!$B$14:$B$47&lt;$B188+ROUND($O188,0)))))+_xlfn.XLOOKUP($B188,'2027 Avoided Costs'!$B$13:$B$47,'2027 Avoided Costs'!$I$13:$I$47))*IF($X188="Residential",'2027 Avoided Costs'!$J$5,IF($X188="Large Volume",'2027 Avoided Costs'!$J$7,'2027 Avoided Costs'!$J$6))*IF($AE188&gt;0,$AE188,0),0)</f>
        <v>0</v>
      </c>
      <c r="AZ188" s="291" cm="1">
        <f t="array" ref="AZ188">IFERROR(IF($J188="Baseload",IF($O188=1,0,NPV('2027 Avoided Costs'!$D$6,_xlfn._xlws.FILTER('2027 Avoided Costs'!$C$14:$C$47,('2027 Avoided Costs'!$B$14:$B$47&gt;=$B188+1)*('2027 Avoided Costs'!$B$14:$B$47&lt;$B188+ROUND($O188,0)))))+_xlfn.XLOOKUP($B188,'2027 Avoided Costs'!$B$13:$B$47,'2027 Avoided Costs'!$C$13:$C$47),IF($O188=1,0,NPV('2027 Avoided Costs'!$D$6,_xlfn._xlws.FILTER('2027 Avoided Costs'!$E$14:$E$47,('2027 Avoided Costs'!$B$14:$B$47&gt;=$B188+1)*('2027 Avoided Costs'!$B$14:$B$47&lt;$B188+ROUND($O188,0)))))+_xlfn.XLOOKUP($B188,'2027 Avoided Costs'!$B$13:$B$47,'2027 Avoided Costs'!$E$13:$E$47))*IF($AE188&lt;0,$AE188*(-1),0),0)</f>
        <v>0</v>
      </c>
      <c r="BA188" s="291" cm="1">
        <f t="array" ref="BA188">IFERROR((IF($O188=1,0,NPV('2027 Avoided Costs'!$D$6,_xlfn._xlws.FILTER('2027 Avoided Costs'!$M$14:$M$47,('2027 Avoided Costs'!$B$14:$B$47&gt;=$B188+1)*('2027 Avoided Costs'!$B$14:$B$47&lt;$B188+ROUND($O188,0)))))+_xlfn.XLOOKUP($B188,'2027 Avoided Costs'!$B$13:$B$47,'2027 Avoided Costs'!$M$13:$M$47))*IF($AK188&lt;0,$AK188*(-1),0),0)</f>
        <v>0</v>
      </c>
      <c r="BB188" s="291" cm="1">
        <f t="array" ref="BB188">IFERROR((IF($O188=1,0,NPV('2027 Avoided Costs'!$D$6,_xlfn._xlws.FILTER('2027 Avoided Costs'!$S$14:$S$47,('2027 Avoided Costs'!$B$14:$B$47&gt;=$B188+1)*('2027 Avoided Costs'!$B$14:$B$47&lt;$B188+ROUND($O188,0)))))+_xlfn.XLOOKUP($B188,'2027 Avoided Costs'!$B$13:$B$47,'2027 Avoided Costs'!$S$13:$S$47))*IF($AI188&lt;0,$AI188*(-1),0),0)</f>
        <v>0</v>
      </c>
      <c r="BC188" s="291" cm="1">
        <f t="array" ref="BC188">IFERROR((IF($O188=1,0,NPV('2027 Avoided Costs'!$D$6,_xlfn._xlws.FILTER('2027 Avoided Costs'!$Y$14:$Y$47,('2027 Avoided Costs'!$B$14:$B$47&gt;=$B188+1)*('2027 Avoided Costs'!$B$14:$B$47&lt;$B188+ROUND($O188,0)))))+_xlfn.XLOOKUP($B188,'2027 Avoided Costs'!$B$13:$B$47,'2027 Avoided Costs'!$Y$13:$Y$47))*IF($AM188&lt;0,$AM188*(-1),0),0)</f>
        <v>0</v>
      </c>
      <c r="BD188" s="291" cm="1">
        <f t="array" ref="BD188">IFERROR((IF($O188=1,0,NPV('2027 Avoided Costs'!$D$6,_xlfn._xlws.FILTER('2027 Avoided Costs'!$AE$14:$AE$47,('2027 Avoided Costs'!$B$14:$B$47&gt;=$B188+1)*('2027 Avoided Costs'!$B$14:$B$47&lt;$B188+ROUND($O188,0)))))+_xlfn.XLOOKUP($B188,'2027 Avoided Costs'!$B$13:$B$47,'2027 Avoided Costs'!$AE$13:$AE$47))*IF($AO188&lt;0,$AO188*(-1),0),0)</f>
        <v>0</v>
      </c>
      <c r="BE188" s="291" cm="1">
        <f t="array" ref="BE188">IFERROR((IF($O188=1,0,NPV('2027 Avoided Costs'!$D$4,_xlfn._xlws.FILTER('2027 Avoided Costs'!$I$14:$I$47,('2027 Avoided Costs'!$B$14:$B$47&gt;=$B188+1)*('2027 Avoided Costs'!$B$14:$B$47&lt;$B188+ROUND($O188,0)))))+_xlfn.XLOOKUP($B188,'2027 Avoided Costs'!$B$13:$B$47,'2027 Avoided Costs'!$I$13:$I$47))*IF($X188="Residential",'2027 Avoided Costs'!$J$5,IF($X188="Large Volume",'2027 Avoided Costs'!$J$7,'2027 Avoided Costs'!$J$6))*IF($AE188&lt;0,$AE188*(-1),0),0)</f>
        <v>0</v>
      </c>
      <c r="BF188" s="291">
        <f t="shared" si="58"/>
        <v>492614.64796346548</v>
      </c>
      <c r="BG188" s="291">
        <f t="shared" si="59"/>
        <v>1006387.2000000001</v>
      </c>
      <c r="BH188" s="291">
        <f t="shared" si="60"/>
        <v>-513772.55203653459</v>
      </c>
      <c r="BI188" s="292">
        <f t="shared" si="83"/>
        <v>0.48948818900266761</v>
      </c>
      <c r="BJ188" s="196" cm="1">
        <f t="array" ref="BJ188">IFERROR(IF($J188="Baseload",IF($O188=1,0,NPV('2027 Avoided Costs'!$D$6,_xlfn._xlws.FILTER('2027 Avoided Costs'!$C$14:$C$47,('2027 Avoided Costs'!$B$14:$B$47&gt;=$B188+1)*('2027 Avoided Costs'!$B$14:$B$47&lt;$B188+ROUND($O188,0)))))+_xlfn.XLOOKUP($B188,'2027 Avoided Costs'!$B$13:$B$47,'2027 Avoided Costs'!$C$13:$C$47),IF($O188=1,0,NPV('2027 Avoided Costs'!$D$6,_xlfn._xlws.FILTER('2027 Avoided Costs'!$E$14:$E$47,('2027 Avoided Costs'!$B$14:$B$47&gt;=$B188+1)*('2027 Avoided Costs'!$B$14:$B$47&lt;$B188+ROUND($O188,0)))))+_xlfn.XLOOKUP($B188,'2027 Avoided Costs'!$B$13:$B$47,'2027 Avoided Costs'!$E$13:$E$47))*IF($AE188&gt;0,$AE188*(1+0),0),0)</f>
        <v>428360.56344649178</v>
      </c>
      <c r="BK188" s="293">
        <f t="shared" si="81"/>
        <v>2.8529818425485001</v>
      </c>
    </row>
    <row r="189" spans="1:63" s="56" customFormat="1" x14ac:dyDescent="0.25">
      <c r="A189" s="270" t="s">
        <v>133</v>
      </c>
      <c r="B189" s="271">
        <v>2030</v>
      </c>
      <c r="C189" s="272" t="s">
        <v>13</v>
      </c>
      <c r="D189" s="272" t="s">
        <v>163</v>
      </c>
      <c r="E189" s="272" t="s">
        <v>99</v>
      </c>
      <c r="F189" s="273">
        <v>822</v>
      </c>
      <c r="G189" s="274">
        <v>891.07807807807808</v>
      </c>
      <c r="H189" s="275">
        <f t="shared" si="61"/>
        <v>0.37943130081153542</v>
      </c>
      <c r="I189" s="274">
        <v>200</v>
      </c>
      <c r="J189" s="276" t="s">
        <v>264</v>
      </c>
      <c r="K189" s="277">
        <f t="shared" si="57"/>
        <v>0.5</v>
      </c>
      <c r="L189" s="278">
        <v>0.5</v>
      </c>
      <c r="M189" s="278">
        <v>0</v>
      </c>
      <c r="N189" s="278">
        <v>1</v>
      </c>
      <c r="O189" s="279">
        <v>10</v>
      </c>
      <c r="P189" s="280">
        <v>2348.4569569569567</v>
      </c>
      <c r="Q189" s="281">
        <v>474.00900900900899</v>
      </c>
      <c r="R189" s="282">
        <v>0.28885576970353827</v>
      </c>
      <c r="S189" s="282">
        <v>8.5318622263447053E-2</v>
      </c>
      <c r="T189" s="281">
        <v>0</v>
      </c>
      <c r="U189" s="283">
        <v>0.67</v>
      </c>
      <c r="V189" s="284">
        <v>1782.1561561561562</v>
      </c>
      <c r="W189" s="285">
        <v>0.15</v>
      </c>
      <c r="X189" s="286" t="s">
        <v>255</v>
      </c>
      <c r="Y189" s="287">
        <f t="shared" si="62"/>
        <v>822</v>
      </c>
      <c r="Z189" s="288">
        <f t="shared" si="63"/>
        <v>732466.18018018024</v>
      </c>
      <c r="AA189" s="288">
        <f t="shared" si="64"/>
        <v>164400</v>
      </c>
      <c r="AB189" s="288">
        <f t="shared" si="65"/>
        <v>777298.97013664863</v>
      </c>
      <c r="AC189" s="288">
        <f t="shared" si="82"/>
        <v>173029.78482885123</v>
      </c>
      <c r="AD189" s="287">
        <f t="shared" si="66"/>
        <v>1930431.6186186185</v>
      </c>
      <c r="AE189" s="287">
        <f t="shared" si="67"/>
        <v>965215.80930930923</v>
      </c>
      <c r="AF189" s="287">
        <f t="shared" si="68"/>
        <v>19304316.186186183</v>
      </c>
      <c r="AG189" s="287">
        <f t="shared" si="69"/>
        <v>9652158.0930930916</v>
      </c>
      <c r="AH189" s="287">
        <f t="shared" si="70"/>
        <v>417689.15459459461</v>
      </c>
      <c r="AI189" s="287">
        <f t="shared" si="71"/>
        <v>208844.57729729731</v>
      </c>
      <c r="AJ189" s="287">
        <f t="shared" si="72"/>
        <v>0</v>
      </c>
      <c r="AK189" s="287">
        <f t="shared" si="73"/>
        <v>0</v>
      </c>
      <c r="AL189" s="287">
        <f t="shared" si="74"/>
        <v>254.53508257044268</v>
      </c>
      <c r="AM189" s="287">
        <f t="shared" si="75"/>
        <v>127.26754128522134</v>
      </c>
      <c r="AN189" s="287">
        <f t="shared" si="76"/>
        <v>75.181404840593331</v>
      </c>
      <c r="AO189" s="287">
        <f t="shared" si="77"/>
        <v>37.590702420296665</v>
      </c>
      <c r="AP189" s="287">
        <f t="shared" si="78"/>
        <v>1464932.3603603605</v>
      </c>
      <c r="AQ189" s="287">
        <f t="shared" si="79"/>
        <v>732466.18018018024</v>
      </c>
      <c r="AR189" s="287">
        <f t="shared" si="80"/>
        <v>646694.59223723726</v>
      </c>
      <c r="AS189" s="289" t="e">
        <f>IF(J189='2027 Avoided Costs'!#REF!,3,5)</f>
        <v>#REF!</v>
      </c>
      <c r="AT189" s="290" cm="1">
        <f t="array" ref="AT189">IFERROR(IF($J189="Baseload",IF($O189=1,0,NPV('2027 Avoided Costs'!$D$6,_xlfn._xlws.FILTER('2027 Avoided Costs'!$C$14:$C$47,('2027 Avoided Costs'!$B$14:$B$47&gt;=$B189+1)*('2027 Avoided Costs'!$B$14:$B$47&lt;$B189+ROUND($O189,0)))))+_xlfn.XLOOKUP($B189,'2027 Avoided Costs'!$B$13:$B$47,'2027 Avoided Costs'!$C$13:$C$47),IF($O189=1,0,NPV('2027 Avoided Costs'!$D$6,_xlfn._xlws.FILTER('2027 Avoided Costs'!$E$14:$E$47,('2027 Avoided Costs'!$B$14:$B$47&gt;=$B189+1)*('2027 Avoided Costs'!$B$14:$B$47&lt;$B189+ROUND($O189,0)))))+_xlfn.XLOOKUP($B189,'2027 Avoided Costs'!$B$13:$B$47,'2027 Avoided Costs'!$E$13:$E$47))*IF($AE189&gt;0,$AE189*(1+$W189),0),0)</f>
        <v>3033847.7298745541</v>
      </c>
      <c r="AU189" s="290" cm="1">
        <f t="array" ref="AU189">IFERROR((IF($O189=1,0,NPV('2027 Avoided Costs'!$D$6,_xlfn._xlws.FILTER('2027 Avoided Costs'!$M$14:$M$47,('2027 Avoided Costs'!$B$14:$B$47&gt;=$B189+1)*('2027 Avoided Costs'!$B$14:$B$47&lt;$B189+ROUND($O189,0)))))+_xlfn.XLOOKUP($B189,'2027 Avoided Costs'!$B$13:$B$47,'2027 Avoided Costs'!$M$13:$M$47))*IF($AK189&gt;0,$AK189*(1+$W189),0),0)</f>
        <v>0</v>
      </c>
      <c r="AV189" s="291" cm="1">
        <f t="array" ref="AV189">IFERROR((IF($O189=1,0,NPV('2027 Avoided Costs'!$D$6,_xlfn._xlws.FILTER('2027 Avoided Costs'!$Q$14:$Q$47,('2027 Avoided Costs'!$B$14:$B$47&gt;=$B189+1)*('2027 Avoided Costs'!$B$14:$B$47&lt;$B189+ROUND($O189,0)))))+_xlfn.XLOOKUP($B189,'2027 Avoided Costs'!$B$13:$B$47,'2027 Avoided Costs'!$Q$13:$Q$47))*IF($AI189&gt;0,$AI189*(1+$W189),0),0)</f>
        <v>94540.594244003427</v>
      </c>
      <c r="AW189" s="291" cm="1">
        <f t="array" ref="AW189">IFERROR((IF($O189=1,0,NPV('2027 Avoided Costs'!$D$6,_xlfn._xlws.FILTER('2027 Avoided Costs'!$W$14:$W$47,('2027 Avoided Costs'!$B$14:$B$47&gt;=$B189+1)*('2027 Avoided Costs'!$B$14:$B$47&lt;$B189+ROUND($O189,0)))))+_xlfn.XLOOKUP($B189,'2027 Avoided Costs'!$B$13:$B$47,'2027 Avoided Costs'!$W$13:$W$47))*IF($AM189&gt;0,$AM189*(1+$W189),0),0)</f>
        <v>399321.38687547931</v>
      </c>
      <c r="AX189" s="291" cm="1">
        <f t="array" ref="AX189">IFERROR((IF($O189=1,0,NPV('2027 Avoided Costs'!$D$6,_xlfn._xlws.FILTER('2027 Avoided Costs'!$AC$14:$AC$47,('2027 Avoided Costs'!$B$14:$B$47&gt;=$B189+1)*('2027 Avoided Costs'!$B$14:$B$47&lt;$B189+ROUND($O189,0)))))+_xlfn.XLOOKUP($B189,'2027 Avoided Costs'!$B$13:$B$47,'2027 Avoided Costs'!$AC$13:$AC$47))*IF($AO189&gt;0,$AO189*(1+$W189),0),0)</f>
        <v>10956.633711745013</v>
      </c>
      <c r="AY189" s="291" cm="1">
        <f t="array" ref="AY189">IFERROR((IF($O189=1,0,NPV('2027 Avoided Costs'!$D$4,_xlfn._xlws.FILTER('2027 Avoided Costs'!$I$14:$I$47,('2027 Avoided Costs'!$B$14:$B$47&gt;=$B189+1)*('2027 Avoided Costs'!$B$14:$B$47&lt;$B189+ROUND($O189,0)))))+_xlfn.XLOOKUP($B189,'2027 Avoided Costs'!$B$13:$B$47,'2027 Avoided Costs'!$I$13:$I$47))*IF($X189="Residential",'2027 Avoided Costs'!$J$5,IF($X189="Large Volume",'2027 Avoided Costs'!$J$7,'2027 Avoided Costs'!$J$6))*IF($AE189&gt;0,$AE189,0),0)</f>
        <v>0</v>
      </c>
      <c r="AZ189" s="291" cm="1">
        <f t="array" ref="AZ189">IFERROR(IF($J189="Baseload",IF($O189=1,0,NPV('2027 Avoided Costs'!$D$6,_xlfn._xlws.FILTER('2027 Avoided Costs'!$C$14:$C$47,('2027 Avoided Costs'!$B$14:$B$47&gt;=$B189+1)*('2027 Avoided Costs'!$B$14:$B$47&lt;$B189+ROUND($O189,0)))))+_xlfn.XLOOKUP($B189,'2027 Avoided Costs'!$B$13:$B$47,'2027 Avoided Costs'!$C$13:$C$47),IF($O189=1,0,NPV('2027 Avoided Costs'!$D$6,_xlfn._xlws.FILTER('2027 Avoided Costs'!$E$14:$E$47,('2027 Avoided Costs'!$B$14:$B$47&gt;=$B189+1)*('2027 Avoided Costs'!$B$14:$B$47&lt;$B189+ROUND($O189,0)))))+_xlfn.XLOOKUP($B189,'2027 Avoided Costs'!$B$13:$B$47,'2027 Avoided Costs'!$E$13:$E$47))*IF($AE189&lt;0,$AE189*(-1),0),0)</f>
        <v>0</v>
      </c>
      <c r="BA189" s="291" cm="1">
        <f t="array" ref="BA189">IFERROR((IF($O189=1,0,NPV('2027 Avoided Costs'!$D$6,_xlfn._xlws.FILTER('2027 Avoided Costs'!$M$14:$M$47,('2027 Avoided Costs'!$B$14:$B$47&gt;=$B189+1)*('2027 Avoided Costs'!$B$14:$B$47&lt;$B189+ROUND($O189,0)))))+_xlfn.XLOOKUP($B189,'2027 Avoided Costs'!$B$13:$B$47,'2027 Avoided Costs'!$M$13:$M$47))*IF($AK189&lt;0,$AK189*(-1),0),0)</f>
        <v>0</v>
      </c>
      <c r="BB189" s="291" cm="1">
        <f t="array" ref="BB189">IFERROR((IF($O189=1,0,NPV('2027 Avoided Costs'!$D$6,_xlfn._xlws.FILTER('2027 Avoided Costs'!$S$14:$S$47,('2027 Avoided Costs'!$B$14:$B$47&gt;=$B189+1)*('2027 Avoided Costs'!$B$14:$B$47&lt;$B189+ROUND($O189,0)))))+_xlfn.XLOOKUP($B189,'2027 Avoided Costs'!$B$13:$B$47,'2027 Avoided Costs'!$S$13:$S$47))*IF($AI189&lt;0,$AI189*(-1),0),0)</f>
        <v>0</v>
      </c>
      <c r="BC189" s="291" cm="1">
        <f t="array" ref="BC189">IFERROR((IF($O189=1,0,NPV('2027 Avoided Costs'!$D$6,_xlfn._xlws.FILTER('2027 Avoided Costs'!$Y$14:$Y$47,('2027 Avoided Costs'!$B$14:$B$47&gt;=$B189+1)*('2027 Avoided Costs'!$B$14:$B$47&lt;$B189+ROUND($O189,0)))))+_xlfn.XLOOKUP($B189,'2027 Avoided Costs'!$B$13:$B$47,'2027 Avoided Costs'!$Y$13:$Y$47))*IF($AM189&lt;0,$AM189*(-1),0),0)</f>
        <v>0</v>
      </c>
      <c r="BD189" s="291" cm="1">
        <f t="array" ref="BD189">IFERROR((IF($O189=1,0,NPV('2027 Avoided Costs'!$D$6,_xlfn._xlws.FILTER('2027 Avoided Costs'!$AE$14:$AE$47,('2027 Avoided Costs'!$B$14:$B$47&gt;=$B189+1)*('2027 Avoided Costs'!$B$14:$B$47&lt;$B189+ROUND($O189,0)))))+_xlfn.XLOOKUP($B189,'2027 Avoided Costs'!$B$13:$B$47,'2027 Avoided Costs'!$AE$13:$AE$47))*IF($AO189&lt;0,$AO189*(-1),0),0)</f>
        <v>0</v>
      </c>
      <c r="BE189" s="291" cm="1">
        <f t="array" ref="BE189">IFERROR((IF($O189=1,0,NPV('2027 Avoided Costs'!$D$4,_xlfn._xlws.FILTER('2027 Avoided Costs'!$I$14:$I$47,('2027 Avoided Costs'!$B$14:$B$47&gt;=$B189+1)*('2027 Avoided Costs'!$B$14:$B$47&lt;$B189+ROUND($O189,0)))))+_xlfn.XLOOKUP($B189,'2027 Avoided Costs'!$B$13:$B$47,'2027 Avoided Costs'!$I$13:$I$47))*IF($X189="Residential",'2027 Avoided Costs'!$J$5,IF($X189="Large Volume",'2027 Avoided Costs'!$J$7,'2027 Avoided Costs'!$J$6))*IF($AE189&lt;0,$AE189*(-1),0),0)</f>
        <v>0</v>
      </c>
      <c r="BF189" s="291">
        <f t="shared" si="58"/>
        <v>3538666.3447057819</v>
      </c>
      <c r="BG189" s="291">
        <f t="shared" si="59"/>
        <v>732466.18018018024</v>
      </c>
      <c r="BH189" s="291">
        <f t="shared" si="60"/>
        <v>2806200.1645256015</v>
      </c>
      <c r="BI189" s="292">
        <f t="shared" si="83"/>
        <v>4.8311668722169552</v>
      </c>
      <c r="BJ189" s="196" cm="1">
        <f t="array" ref="BJ189">IFERROR(IF($J189="Baseload",IF($O189=1,0,NPV('2027 Avoided Costs'!$D$6,_xlfn._xlws.FILTER('2027 Avoided Costs'!$C$14:$C$47,('2027 Avoided Costs'!$B$14:$B$47&gt;=$B189+1)*('2027 Avoided Costs'!$B$14:$B$47&lt;$B189+ROUND($O189,0)))))+_xlfn.XLOOKUP($B189,'2027 Avoided Costs'!$B$13:$B$47,'2027 Avoided Costs'!$C$13:$C$47),IF($O189=1,0,NPV('2027 Avoided Costs'!$D$6,_xlfn._xlws.FILTER('2027 Avoided Costs'!$E$14:$E$47,('2027 Avoided Costs'!$B$14:$B$47&gt;=$B189+1)*('2027 Avoided Costs'!$B$14:$B$47&lt;$B189+ROUND($O189,0)))))+_xlfn.XLOOKUP($B189,'2027 Avoided Costs'!$B$13:$B$47,'2027 Avoided Costs'!$E$13:$E$47))*IF($AE189&gt;0,$AE189*(1+0),0),0)</f>
        <v>2638128.4607604826</v>
      </c>
      <c r="BK189" s="293">
        <f t="shared" si="81"/>
        <v>2.7760166647343589</v>
      </c>
    </row>
    <row r="190" spans="1:63" s="56" customFormat="1" x14ac:dyDescent="0.25">
      <c r="A190" s="270" t="s">
        <v>133</v>
      </c>
      <c r="B190" s="271">
        <v>2030</v>
      </c>
      <c r="C190" s="272" t="s">
        <v>13</v>
      </c>
      <c r="D190" s="272" t="s">
        <v>163</v>
      </c>
      <c r="E190" s="272" t="s">
        <v>100</v>
      </c>
      <c r="F190" s="273">
        <v>1075</v>
      </c>
      <c r="G190" s="274">
        <v>2053.3769115442283</v>
      </c>
      <c r="H190" s="275">
        <f t="shared" si="61"/>
        <v>1</v>
      </c>
      <c r="I190" s="274">
        <v>200</v>
      </c>
      <c r="J190" s="276" t="s">
        <v>264</v>
      </c>
      <c r="K190" s="277">
        <f t="shared" si="57"/>
        <v>0.30000000000000038</v>
      </c>
      <c r="L190" s="278">
        <v>0.69999999999999962</v>
      </c>
      <c r="M190" s="278">
        <v>0</v>
      </c>
      <c r="N190" s="278">
        <v>0.99550000000000005</v>
      </c>
      <c r="O190" s="279">
        <v>14</v>
      </c>
      <c r="P190" s="280">
        <v>2053.3769115442283</v>
      </c>
      <c r="Q190" s="281">
        <v>-2547.3565331431073</v>
      </c>
      <c r="R190" s="282">
        <v>-1.552330479179572</v>
      </c>
      <c r="S190" s="282">
        <v>-0.45850805721169346</v>
      </c>
      <c r="T190" s="281">
        <v>0</v>
      </c>
      <c r="U190" s="283">
        <v>0.65000000000000013</v>
      </c>
      <c r="V190" s="284">
        <v>8546.3058323765781</v>
      </c>
      <c r="W190" s="285">
        <v>0.15</v>
      </c>
      <c r="X190" s="286" t="s">
        <v>255</v>
      </c>
      <c r="Y190" s="287">
        <f t="shared" si="62"/>
        <v>1075</v>
      </c>
      <c r="Z190" s="288">
        <f t="shared" si="63"/>
        <v>2207380.1799100456</v>
      </c>
      <c r="AA190" s="288">
        <f t="shared" si="64"/>
        <v>215000</v>
      </c>
      <c r="AB190" s="288">
        <f t="shared" si="65"/>
        <v>2342489.5059619793</v>
      </c>
      <c r="AC190" s="288">
        <f t="shared" si="82"/>
        <v>226285.91081632004</v>
      </c>
      <c r="AD190" s="287">
        <f t="shared" si="66"/>
        <v>2197446.9691004506</v>
      </c>
      <c r="AE190" s="287">
        <f t="shared" si="67"/>
        <v>659234.09073013603</v>
      </c>
      <c r="AF190" s="287">
        <f t="shared" si="68"/>
        <v>30764257.567406308</v>
      </c>
      <c r="AG190" s="287">
        <f t="shared" si="69"/>
        <v>9229277.2702219039</v>
      </c>
      <c r="AH190" s="287">
        <f t="shared" si="70"/>
        <v>-2922363.5872845436</v>
      </c>
      <c r="AI190" s="287">
        <f t="shared" si="71"/>
        <v>-876709.07618536428</v>
      </c>
      <c r="AJ190" s="287">
        <f t="shared" si="72"/>
        <v>0</v>
      </c>
      <c r="AK190" s="287">
        <f t="shared" si="73"/>
        <v>0</v>
      </c>
      <c r="AL190" s="287">
        <f t="shared" si="74"/>
        <v>-1780.8555688076096</v>
      </c>
      <c r="AM190" s="287">
        <f t="shared" si="75"/>
        <v>-534.25667064228355</v>
      </c>
      <c r="AN190" s="287">
        <f t="shared" si="76"/>
        <v>-526.00695404766725</v>
      </c>
      <c r="AO190" s="287">
        <f t="shared" si="77"/>
        <v>-157.80208621430037</v>
      </c>
      <c r="AP190" s="287">
        <f t="shared" si="78"/>
        <v>9187278.7698048223</v>
      </c>
      <c r="AQ190" s="287">
        <f t="shared" si="79"/>
        <v>2756183.6309414501</v>
      </c>
      <c r="AR190" s="287">
        <f t="shared" si="80"/>
        <v>428502.1589745885</v>
      </c>
      <c r="AS190" s="289" t="e">
        <f>IF(J190='2027 Avoided Costs'!#REF!,3,5)</f>
        <v>#REF!</v>
      </c>
      <c r="AT190" s="290" cm="1">
        <f t="array" ref="AT190">IFERROR(IF($J190="Baseload",IF($O190=1,0,NPV('2027 Avoided Costs'!$D$6,_xlfn._xlws.FILTER('2027 Avoided Costs'!$C$14:$C$47,('2027 Avoided Costs'!$B$14:$B$47&gt;=$B190+1)*('2027 Avoided Costs'!$B$14:$B$47&lt;$B190+ROUND($O190,0)))))+_xlfn.XLOOKUP($B190,'2027 Avoided Costs'!$B$13:$B$47,'2027 Avoided Costs'!$C$13:$C$47),IF($O190=1,0,NPV('2027 Avoided Costs'!$D$6,_xlfn._xlws.FILTER('2027 Avoided Costs'!$E$14:$E$47,('2027 Avoided Costs'!$B$14:$B$47&gt;=$B190+1)*('2027 Avoided Costs'!$B$14:$B$47&lt;$B190+ROUND($O190,0)))))+_xlfn.XLOOKUP($B190,'2027 Avoided Costs'!$B$13:$B$47,'2027 Avoided Costs'!$E$13:$E$47))*IF($AE190&gt;0,$AE190*(1+$W190),0),0)</f>
        <v>2734544.1237366572</v>
      </c>
      <c r="AU190" s="290" cm="1">
        <f t="array" ref="AU190">IFERROR((IF($O190=1,0,NPV('2027 Avoided Costs'!$D$6,_xlfn._xlws.FILTER('2027 Avoided Costs'!$M$14:$M$47,('2027 Avoided Costs'!$B$14:$B$47&gt;=$B190+1)*('2027 Avoided Costs'!$B$14:$B$47&lt;$B190+ROUND($O190,0)))))+_xlfn.XLOOKUP($B190,'2027 Avoided Costs'!$B$13:$B$47,'2027 Avoided Costs'!$M$13:$M$47))*IF($AK190&gt;0,$AK190*(1+$W190),0),0)</f>
        <v>0</v>
      </c>
      <c r="AV190" s="291" cm="1">
        <f t="array" ref="AV190">IFERROR((IF($O190=1,0,NPV('2027 Avoided Costs'!$D$6,_xlfn._xlws.FILTER('2027 Avoided Costs'!$Q$14:$Q$47,('2027 Avoided Costs'!$B$14:$B$47&gt;=$B190+1)*('2027 Avoided Costs'!$B$14:$B$47&lt;$B190+ROUND($O190,0)))))+_xlfn.XLOOKUP($B190,'2027 Avoided Costs'!$B$13:$B$47,'2027 Avoided Costs'!$Q$13:$Q$47))*IF($AI190&gt;0,$AI190*(1+$W190),0),0)</f>
        <v>0</v>
      </c>
      <c r="AW190" s="291" cm="1">
        <f t="array" ref="AW190">IFERROR((IF($O190=1,0,NPV('2027 Avoided Costs'!$D$6,_xlfn._xlws.FILTER('2027 Avoided Costs'!$W$14:$W$47,('2027 Avoided Costs'!$B$14:$B$47&gt;=$B190+1)*('2027 Avoided Costs'!$B$14:$B$47&lt;$B190+ROUND($O190,0)))))+_xlfn.XLOOKUP($B190,'2027 Avoided Costs'!$B$13:$B$47,'2027 Avoided Costs'!$W$13:$W$47))*IF($AM190&gt;0,$AM190*(1+$W190),0),0)</f>
        <v>0</v>
      </c>
      <c r="AX190" s="291" cm="1">
        <f t="array" ref="AX190">IFERROR((IF($O190=1,0,NPV('2027 Avoided Costs'!$D$6,_xlfn._xlws.FILTER('2027 Avoided Costs'!$AC$14:$AC$47,('2027 Avoided Costs'!$B$14:$B$47&gt;=$B190+1)*('2027 Avoided Costs'!$B$14:$B$47&lt;$B190+ROUND($O190,0)))))+_xlfn.XLOOKUP($B190,'2027 Avoided Costs'!$B$13:$B$47,'2027 Avoided Costs'!$AC$13:$AC$47))*IF($AO190&gt;0,$AO190*(1+$W190),0),0)</f>
        <v>0</v>
      </c>
      <c r="AY190" s="291" cm="1">
        <f t="array" ref="AY190">IFERROR((IF($O190=1,0,NPV('2027 Avoided Costs'!$D$4,_xlfn._xlws.FILTER('2027 Avoided Costs'!$I$14:$I$47,('2027 Avoided Costs'!$B$14:$B$47&gt;=$B190+1)*('2027 Avoided Costs'!$B$14:$B$47&lt;$B190+ROUND($O190,0)))))+_xlfn.XLOOKUP($B190,'2027 Avoided Costs'!$B$13:$B$47,'2027 Avoided Costs'!$I$13:$I$47))*IF($X190="Residential",'2027 Avoided Costs'!$J$5,IF($X190="Large Volume",'2027 Avoided Costs'!$J$7,'2027 Avoided Costs'!$J$6))*IF($AE190&gt;0,$AE190,0),0)</f>
        <v>0</v>
      </c>
      <c r="AZ190" s="291" cm="1">
        <f t="array" ref="AZ190">IFERROR(IF($J190="Baseload",IF($O190=1,0,NPV('2027 Avoided Costs'!$D$6,_xlfn._xlws.FILTER('2027 Avoided Costs'!$C$14:$C$47,('2027 Avoided Costs'!$B$14:$B$47&gt;=$B190+1)*('2027 Avoided Costs'!$B$14:$B$47&lt;$B190+ROUND($O190,0)))))+_xlfn.XLOOKUP($B190,'2027 Avoided Costs'!$B$13:$B$47,'2027 Avoided Costs'!$C$13:$C$47),IF($O190=1,0,NPV('2027 Avoided Costs'!$D$6,_xlfn._xlws.FILTER('2027 Avoided Costs'!$E$14:$E$47,('2027 Avoided Costs'!$B$14:$B$47&gt;=$B190+1)*('2027 Avoided Costs'!$B$14:$B$47&lt;$B190+ROUND($O190,0)))))+_xlfn.XLOOKUP($B190,'2027 Avoided Costs'!$B$13:$B$47,'2027 Avoided Costs'!$E$13:$E$47))*IF($AE190&lt;0,$AE190*(-1),0),0)</f>
        <v>0</v>
      </c>
      <c r="BA190" s="291" cm="1">
        <f t="array" ref="BA190">IFERROR((IF($O190=1,0,NPV('2027 Avoided Costs'!$D$6,_xlfn._xlws.FILTER('2027 Avoided Costs'!$M$14:$M$47,('2027 Avoided Costs'!$B$14:$B$47&gt;=$B190+1)*('2027 Avoided Costs'!$B$14:$B$47&lt;$B190+ROUND($O190,0)))))+_xlfn.XLOOKUP($B190,'2027 Avoided Costs'!$B$13:$B$47,'2027 Avoided Costs'!$M$13:$M$47))*IF($AK190&lt;0,$AK190*(-1),0),0)</f>
        <v>0</v>
      </c>
      <c r="BB190" s="291" cm="1">
        <f t="array" ref="BB190">IFERROR((IF($O190=1,0,NPV('2027 Avoided Costs'!$D$6,_xlfn._xlws.FILTER('2027 Avoided Costs'!$S$14:$S$47,('2027 Avoided Costs'!$B$14:$B$47&gt;=$B190+1)*('2027 Avoided Costs'!$B$14:$B$47&lt;$B190+ROUND($O190,0)))))+_xlfn.XLOOKUP($B190,'2027 Avoided Costs'!$B$13:$B$47,'2027 Avoided Costs'!$S$13:$S$47))*IF($AI190&lt;0,$AI190*(-1),0),0)</f>
        <v>460857.43796843308</v>
      </c>
      <c r="BC190" s="291" cm="1">
        <f t="array" ref="BC190">IFERROR((IF($O190=1,0,NPV('2027 Avoided Costs'!$D$6,_xlfn._xlws.FILTER('2027 Avoided Costs'!$Y$14:$Y$47,('2027 Avoided Costs'!$B$14:$B$47&gt;=$B190+1)*('2027 Avoided Costs'!$B$14:$B$47&lt;$B190+ROUND($O190,0)))))+_xlfn.XLOOKUP($B190,'2027 Avoided Costs'!$B$13:$B$47,'2027 Avoided Costs'!$Y$13:$Y$47))*IF($AM190&lt;0,$AM190*(-1),0),0)</f>
        <v>1845963.8183723574</v>
      </c>
      <c r="BD190" s="291" cm="1">
        <f t="array" ref="BD190">IFERROR((IF($O190=1,0,NPV('2027 Avoided Costs'!$D$6,_xlfn._xlws.FILTER('2027 Avoided Costs'!$AE$14:$AE$47,('2027 Avoided Costs'!$B$14:$B$47&gt;=$B190+1)*('2027 Avoided Costs'!$B$14:$B$47&lt;$B190+ROUND($O190,0)))))+_xlfn.XLOOKUP($B190,'2027 Avoided Costs'!$B$13:$B$47,'2027 Avoided Costs'!$AE$13:$AE$47))*IF($AO190&lt;0,$AO190*(-1),0),0)</f>
        <v>77637.425993387704</v>
      </c>
      <c r="BE190" s="291" cm="1">
        <f t="array" ref="BE190">IFERROR((IF($O190=1,0,NPV('2027 Avoided Costs'!$D$4,_xlfn._xlws.FILTER('2027 Avoided Costs'!$I$14:$I$47,('2027 Avoided Costs'!$B$14:$B$47&gt;=$B190+1)*('2027 Avoided Costs'!$B$14:$B$47&lt;$B190+ROUND($O190,0)))))+_xlfn.XLOOKUP($B190,'2027 Avoided Costs'!$B$13:$B$47,'2027 Avoided Costs'!$I$13:$I$47))*IF($X190="Residential",'2027 Avoided Costs'!$J$5,IF($X190="Large Volume",'2027 Avoided Costs'!$J$7,'2027 Avoided Costs'!$J$6))*IF($AE190&lt;0,$AE190*(-1),0),0)</f>
        <v>0</v>
      </c>
      <c r="BF190" s="291">
        <f t="shared" si="58"/>
        <v>2734544.1237366572</v>
      </c>
      <c r="BG190" s="291">
        <f t="shared" si="59"/>
        <v>5140642.3132756278</v>
      </c>
      <c r="BH190" s="291">
        <f t="shared" si="60"/>
        <v>-2406098.1895389706</v>
      </c>
      <c r="BI190" s="292">
        <f t="shared" si="83"/>
        <v>0.5319460015093328</v>
      </c>
      <c r="BJ190" s="196" cm="1">
        <f t="array" ref="BJ190">IFERROR(IF($J190="Baseload",IF($O190=1,0,NPV('2027 Avoided Costs'!$D$6,_xlfn._xlws.FILTER('2027 Avoided Costs'!$C$14:$C$47,('2027 Avoided Costs'!$B$14:$B$47&gt;=$B190+1)*('2027 Avoided Costs'!$B$14:$B$47&lt;$B190+ROUND($O190,0)))))+_xlfn.XLOOKUP($B190,'2027 Avoided Costs'!$B$13:$B$47,'2027 Avoided Costs'!$C$13:$C$47),IF($O190=1,0,NPV('2027 Avoided Costs'!$D$6,_xlfn._xlws.FILTER('2027 Avoided Costs'!$E$14:$E$47,('2027 Avoided Costs'!$B$14:$B$47&gt;=$B190+1)*('2027 Avoided Costs'!$B$14:$B$47&lt;$B190+ROUND($O190,0)))))+_xlfn.XLOOKUP($B190,'2027 Avoided Costs'!$B$13:$B$47,'2027 Avoided Costs'!$E$13:$E$47))*IF($AE190&gt;0,$AE190*(1+0),0),0)</f>
        <v>2377864.45542318</v>
      </c>
      <c r="BK190" s="293">
        <f t="shared" si="81"/>
        <v>0.92568016646836504</v>
      </c>
    </row>
    <row r="191" spans="1:63" s="56" customFormat="1" x14ac:dyDescent="0.25">
      <c r="A191" s="270" t="s">
        <v>133</v>
      </c>
      <c r="B191" s="271">
        <v>2030</v>
      </c>
      <c r="C191" s="272" t="s">
        <v>13</v>
      </c>
      <c r="D191" s="272" t="s">
        <v>163</v>
      </c>
      <c r="E191" s="272" t="s">
        <v>101</v>
      </c>
      <c r="F191" s="273">
        <v>66</v>
      </c>
      <c r="G191" s="274">
        <v>2501.3597058823534</v>
      </c>
      <c r="H191" s="275">
        <f t="shared" si="61"/>
        <v>1</v>
      </c>
      <c r="I191" s="274">
        <v>200</v>
      </c>
      <c r="J191" s="276" t="s">
        <v>264</v>
      </c>
      <c r="K191" s="277">
        <f t="shared" si="57"/>
        <v>0.95</v>
      </c>
      <c r="L191" s="278">
        <v>5.0000000000000024E-2</v>
      </c>
      <c r="M191" s="278">
        <v>0</v>
      </c>
      <c r="N191" s="278">
        <v>1</v>
      </c>
      <c r="O191" s="279">
        <v>14</v>
      </c>
      <c r="P191" s="280">
        <v>2501.3597058823534</v>
      </c>
      <c r="Q191" s="281">
        <v>-7596.6015094339637</v>
      </c>
      <c r="R191" s="282">
        <v>-4.6292836938398843</v>
      </c>
      <c r="S191" s="282">
        <v>-1.3673402031416024</v>
      </c>
      <c r="T191" s="281">
        <v>0</v>
      </c>
      <c r="U191" s="283">
        <v>0.71</v>
      </c>
      <c r="V191" s="284">
        <v>8070.7253773584898</v>
      </c>
      <c r="W191" s="285">
        <v>0.15</v>
      </c>
      <c r="X191" s="286" t="s">
        <v>255</v>
      </c>
      <c r="Y191" s="287">
        <f t="shared" si="62"/>
        <v>66</v>
      </c>
      <c r="Z191" s="288">
        <f t="shared" si="63"/>
        <v>165089.74058823532</v>
      </c>
      <c r="AA191" s="288">
        <f t="shared" si="64"/>
        <v>13200</v>
      </c>
      <c r="AB191" s="288">
        <f t="shared" si="65"/>
        <v>175194.55343016001</v>
      </c>
      <c r="AC191" s="288">
        <f t="shared" si="82"/>
        <v>13892.902431513603</v>
      </c>
      <c r="AD191" s="287">
        <f t="shared" si="66"/>
        <v>165089.74058823532</v>
      </c>
      <c r="AE191" s="287">
        <f t="shared" si="67"/>
        <v>156835.25355882355</v>
      </c>
      <c r="AF191" s="287">
        <f t="shared" si="68"/>
        <v>2311256.3682352947</v>
      </c>
      <c r="AG191" s="287">
        <f t="shared" si="69"/>
        <v>2195693.5498235296</v>
      </c>
      <c r="AH191" s="287">
        <f t="shared" si="70"/>
        <v>-537474.74999547179</v>
      </c>
      <c r="AI191" s="287">
        <f t="shared" si="71"/>
        <v>-510601.01249569823</v>
      </c>
      <c r="AJ191" s="287">
        <f t="shared" si="72"/>
        <v>0</v>
      </c>
      <c r="AK191" s="287">
        <f t="shared" si="73"/>
        <v>0</v>
      </c>
      <c r="AL191" s="287">
        <f t="shared" si="74"/>
        <v>-327.53107990655951</v>
      </c>
      <c r="AM191" s="287">
        <f t="shared" si="75"/>
        <v>-311.15452591123153</v>
      </c>
      <c r="AN191" s="287">
        <f t="shared" si="76"/>
        <v>-96.742054052674661</v>
      </c>
      <c r="AO191" s="287">
        <f t="shared" si="77"/>
        <v>-91.904951350040918</v>
      </c>
      <c r="AP191" s="287">
        <f t="shared" si="78"/>
        <v>532667.87490566028</v>
      </c>
      <c r="AQ191" s="287">
        <f t="shared" si="79"/>
        <v>506034.48116037727</v>
      </c>
      <c r="AR191" s="287">
        <f t="shared" si="80"/>
        <v>111353.03002676471</v>
      </c>
      <c r="AS191" s="289" t="e">
        <f>IF(J191='2027 Avoided Costs'!#REF!,3,5)</f>
        <v>#REF!</v>
      </c>
      <c r="AT191" s="290" cm="1">
        <f t="array" ref="AT191">IFERROR(IF($J191="Baseload",IF($O191=1,0,NPV('2027 Avoided Costs'!$D$6,_xlfn._xlws.FILTER('2027 Avoided Costs'!$C$14:$C$47,('2027 Avoided Costs'!$B$14:$B$47&gt;=$B191+1)*('2027 Avoided Costs'!$B$14:$B$47&lt;$B191+ROUND($O191,0)))))+_xlfn.XLOOKUP($B191,'2027 Avoided Costs'!$B$13:$B$47,'2027 Avoided Costs'!$C$13:$C$47),IF($O191=1,0,NPV('2027 Avoided Costs'!$D$6,_xlfn._xlws.FILTER('2027 Avoided Costs'!$E$14:$E$47,('2027 Avoided Costs'!$B$14:$B$47&gt;=$B191+1)*('2027 Avoided Costs'!$B$14:$B$47&lt;$B191+ROUND($O191,0)))))+_xlfn.XLOOKUP($B191,'2027 Avoided Costs'!$B$13:$B$47,'2027 Avoided Costs'!$E$13:$E$47))*IF($AE191&gt;0,$AE191*(1+$W191),0),0)</f>
        <v>650562.41332882294</v>
      </c>
      <c r="AU191" s="290" cm="1">
        <f t="array" ref="AU191">IFERROR((IF($O191=1,0,NPV('2027 Avoided Costs'!$D$6,_xlfn._xlws.FILTER('2027 Avoided Costs'!$M$14:$M$47,('2027 Avoided Costs'!$B$14:$B$47&gt;=$B191+1)*('2027 Avoided Costs'!$B$14:$B$47&lt;$B191+ROUND($O191,0)))))+_xlfn.XLOOKUP($B191,'2027 Avoided Costs'!$B$13:$B$47,'2027 Avoided Costs'!$M$13:$M$47))*IF($AK191&gt;0,$AK191*(1+$W191),0),0)</f>
        <v>0</v>
      </c>
      <c r="AV191" s="291" cm="1">
        <f t="array" ref="AV191">IFERROR((IF($O191=1,0,NPV('2027 Avoided Costs'!$D$6,_xlfn._xlws.FILTER('2027 Avoided Costs'!$Q$14:$Q$47,('2027 Avoided Costs'!$B$14:$B$47&gt;=$B191+1)*('2027 Avoided Costs'!$B$14:$B$47&lt;$B191+ROUND($O191,0)))))+_xlfn.XLOOKUP($B191,'2027 Avoided Costs'!$B$13:$B$47,'2027 Avoided Costs'!$Q$13:$Q$47))*IF($AI191&gt;0,$AI191*(1+$W191),0),0)</f>
        <v>0</v>
      </c>
      <c r="AW191" s="291" cm="1">
        <f t="array" ref="AW191">IFERROR((IF($O191=1,0,NPV('2027 Avoided Costs'!$D$6,_xlfn._xlws.FILTER('2027 Avoided Costs'!$W$14:$W$47,('2027 Avoided Costs'!$B$14:$B$47&gt;=$B191+1)*('2027 Avoided Costs'!$B$14:$B$47&lt;$B191+ROUND($O191,0)))))+_xlfn.XLOOKUP($B191,'2027 Avoided Costs'!$B$13:$B$47,'2027 Avoided Costs'!$W$13:$W$47))*IF($AM191&gt;0,$AM191*(1+$W191),0),0)</f>
        <v>0</v>
      </c>
      <c r="AX191" s="291" cm="1">
        <f t="array" ref="AX191">IFERROR((IF($O191=1,0,NPV('2027 Avoided Costs'!$D$6,_xlfn._xlws.FILTER('2027 Avoided Costs'!$AC$14:$AC$47,('2027 Avoided Costs'!$B$14:$B$47&gt;=$B191+1)*('2027 Avoided Costs'!$B$14:$B$47&lt;$B191+ROUND($O191,0)))))+_xlfn.XLOOKUP($B191,'2027 Avoided Costs'!$B$13:$B$47,'2027 Avoided Costs'!$AC$13:$AC$47))*IF($AO191&gt;0,$AO191*(1+$W191),0),0)</f>
        <v>0</v>
      </c>
      <c r="AY191" s="291" cm="1">
        <f t="array" ref="AY191">IFERROR((IF($O191=1,0,NPV('2027 Avoided Costs'!$D$4,_xlfn._xlws.FILTER('2027 Avoided Costs'!$I$14:$I$47,('2027 Avoided Costs'!$B$14:$B$47&gt;=$B191+1)*('2027 Avoided Costs'!$B$14:$B$47&lt;$B191+ROUND($O191,0)))))+_xlfn.XLOOKUP($B191,'2027 Avoided Costs'!$B$13:$B$47,'2027 Avoided Costs'!$I$13:$I$47))*IF($X191="Residential",'2027 Avoided Costs'!$J$5,IF($X191="Large Volume",'2027 Avoided Costs'!$J$7,'2027 Avoided Costs'!$J$6))*IF($AE191&gt;0,$AE191,0),0)</f>
        <v>0</v>
      </c>
      <c r="AZ191" s="291" cm="1">
        <f t="array" ref="AZ191">IFERROR(IF($J191="Baseload",IF($O191=1,0,NPV('2027 Avoided Costs'!$D$6,_xlfn._xlws.FILTER('2027 Avoided Costs'!$C$14:$C$47,('2027 Avoided Costs'!$B$14:$B$47&gt;=$B191+1)*('2027 Avoided Costs'!$B$14:$B$47&lt;$B191+ROUND($O191,0)))))+_xlfn.XLOOKUP($B191,'2027 Avoided Costs'!$B$13:$B$47,'2027 Avoided Costs'!$C$13:$C$47),IF($O191=1,0,NPV('2027 Avoided Costs'!$D$6,_xlfn._xlws.FILTER('2027 Avoided Costs'!$E$14:$E$47,('2027 Avoided Costs'!$B$14:$B$47&gt;=$B191+1)*('2027 Avoided Costs'!$B$14:$B$47&lt;$B191+ROUND($O191,0)))))+_xlfn.XLOOKUP($B191,'2027 Avoided Costs'!$B$13:$B$47,'2027 Avoided Costs'!$E$13:$E$47))*IF($AE191&lt;0,$AE191*(-1),0),0)</f>
        <v>0</v>
      </c>
      <c r="BA191" s="291" cm="1">
        <f t="array" ref="BA191">IFERROR((IF($O191=1,0,NPV('2027 Avoided Costs'!$D$6,_xlfn._xlws.FILTER('2027 Avoided Costs'!$M$14:$M$47,('2027 Avoided Costs'!$B$14:$B$47&gt;=$B191+1)*('2027 Avoided Costs'!$B$14:$B$47&lt;$B191+ROUND($O191,0)))))+_xlfn.XLOOKUP($B191,'2027 Avoided Costs'!$B$13:$B$47,'2027 Avoided Costs'!$M$13:$M$47))*IF($AK191&lt;0,$AK191*(-1),0),0)</f>
        <v>0</v>
      </c>
      <c r="BB191" s="291" cm="1">
        <f t="array" ref="BB191">IFERROR((IF($O191=1,0,NPV('2027 Avoided Costs'!$D$6,_xlfn._xlws.FILTER('2027 Avoided Costs'!$S$14:$S$47,('2027 Avoided Costs'!$B$14:$B$47&gt;=$B191+1)*('2027 Avoided Costs'!$B$14:$B$47&lt;$B191+ROUND($O191,0)))))+_xlfn.XLOOKUP($B191,'2027 Avoided Costs'!$B$13:$B$47,'2027 Avoided Costs'!$S$13:$S$47))*IF($AI191&lt;0,$AI191*(-1),0),0)</f>
        <v>268406.34006748028</v>
      </c>
      <c r="BC191" s="291" cm="1">
        <f t="array" ref="BC191">IFERROR((IF($O191=1,0,NPV('2027 Avoided Costs'!$D$6,_xlfn._xlws.FILTER('2027 Avoided Costs'!$Y$14:$Y$47,('2027 Avoided Costs'!$B$14:$B$47&gt;=$B191+1)*('2027 Avoided Costs'!$B$14:$B$47&lt;$B191+ROUND($O191,0)))))+_xlfn.XLOOKUP($B191,'2027 Avoided Costs'!$B$13:$B$47,'2027 Avoided Costs'!$Y$13:$Y$47))*IF($AM191&lt;0,$AM191*(-1),0),0)</f>
        <v>1075101.2169196086</v>
      </c>
      <c r="BD191" s="291" cm="1">
        <f t="array" ref="BD191">IFERROR((IF($O191=1,0,NPV('2027 Avoided Costs'!$D$6,_xlfn._xlws.FILTER('2027 Avoided Costs'!$AE$14:$AE$47,('2027 Avoided Costs'!$B$14:$B$47&gt;=$B191+1)*('2027 Avoided Costs'!$B$14:$B$47&lt;$B191+ROUND($O191,0)))))+_xlfn.XLOOKUP($B191,'2027 Avoided Costs'!$B$13:$B$47,'2027 Avoided Costs'!$AE$13:$AE$47))*IF($AO191&lt;0,$AO191*(-1),0),0)</f>
        <v>45216.536929523092</v>
      </c>
      <c r="BE191" s="291" cm="1">
        <f t="array" ref="BE191">IFERROR((IF($O191=1,0,NPV('2027 Avoided Costs'!$D$4,_xlfn._xlws.FILTER('2027 Avoided Costs'!$I$14:$I$47,('2027 Avoided Costs'!$B$14:$B$47&gt;=$B191+1)*('2027 Avoided Costs'!$B$14:$B$47&lt;$B191+ROUND($O191,0)))))+_xlfn.XLOOKUP($B191,'2027 Avoided Costs'!$B$13:$B$47,'2027 Avoided Costs'!$I$13:$I$47))*IF($X191="Residential",'2027 Avoided Costs'!$J$5,IF($X191="Large Volume",'2027 Avoided Costs'!$J$7,'2027 Avoided Costs'!$J$6))*IF($AE191&lt;0,$AE191*(-1),0),0)</f>
        <v>0</v>
      </c>
      <c r="BF191" s="291">
        <f t="shared" si="58"/>
        <v>650562.41332882294</v>
      </c>
      <c r="BG191" s="291">
        <f t="shared" si="59"/>
        <v>1894758.5750769894</v>
      </c>
      <c r="BH191" s="291">
        <f t="shared" si="60"/>
        <v>-1244196.1617481664</v>
      </c>
      <c r="BI191" s="292">
        <f t="shared" si="83"/>
        <v>0.34334844654411378</v>
      </c>
      <c r="BJ191" s="196" cm="1">
        <f t="array" ref="BJ191">IFERROR(IF($J191="Baseload",IF($O191=1,0,NPV('2027 Avoided Costs'!$D$6,_xlfn._xlws.FILTER('2027 Avoided Costs'!$C$14:$C$47,('2027 Avoided Costs'!$B$14:$B$47&gt;=$B191+1)*('2027 Avoided Costs'!$B$14:$B$47&lt;$B191+ROUND($O191,0)))))+_xlfn.XLOOKUP($B191,'2027 Avoided Costs'!$B$13:$B$47,'2027 Avoided Costs'!$C$13:$C$47),IF($O191=1,0,NPV('2027 Avoided Costs'!$D$6,_xlfn._xlws.FILTER('2027 Avoided Costs'!$E$14:$E$47,('2027 Avoided Costs'!$B$14:$B$47&gt;=$B191+1)*('2027 Avoided Costs'!$B$14:$B$47&lt;$B191+ROUND($O191,0)))))+_xlfn.XLOOKUP($B191,'2027 Avoided Costs'!$B$13:$B$47,'2027 Avoided Costs'!$E$13:$E$47))*IF($AE191&gt;0,$AE191*(1+0),0),0)</f>
        <v>565706.44637288956</v>
      </c>
      <c r="BK191" s="293">
        <f t="shared" si="81"/>
        <v>2.9917714202402221</v>
      </c>
    </row>
    <row r="192" spans="1:63" s="56" customFormat="1" x14ac:dyDescent="0.25">
      <c r="A192" s="270" t="s">
        <v>133</v>
      </c>
      <c r="B192" s="271">
        <v>2030</v>
      </c>
      <c r="C192" s="272" t="s">
        <v>13</v>
      </c>
      <c r="D192" s="272" t="s">
        <v>163</v>
      </c>
      <c r="E192" s="272" t="s">
        <v>301</v>
      </c>
      <c r="F192" s="273">
        <v>545</v>
      </c>
      <c r="G192" s="274">
        <v>776.48443175965679</v>
      </c>
      <c r="H192" s="275">
        <f t="shared" si="61"/>
        <v>1.27</v>
      </c>
      <c r="I192" s="274">
        <v>200</v>
      </c>
      <c r="J192" s="276" t="s">
        <v>263</v>
      </c>
      <c r="K192" s="277">
        <f t="shared" si="57"/>
        <v>0.98</v>
      </c>
      <c r="L192" s="278">
        <v>0.02</v>
      </c>
      <c r="M192" s="278">
        <v>0</v>
      </c>
      <c r="N192" s="278">
        <v>1</v>
      </c>
      <c r="O192" s="279">
        <v>15</v>
      </c>
      <c r="P192" s="280">
        <v>611.40506437768249</v>
      </c>
      <c r="Q192" s="281">
        <v>0</v>
      </c>
      <c r="R192" s="282">
        <v>0</v>
      </c>
      <c r="S192" s="282">
        <v>0</v>
      </c>
      <c r="T192" s="281">
        <v>0</v>
      </c>
      <c r="U192" s="283">
        <v>0.25</v>
      </c>
      <c r="V192" s="284">
        <v>3030</v>
      </c>
      <c r="W192" s="285">
        <v>0.15</v>
      </c>
      <c r="X192" s="286" t="s">
        <v>255</v>
      </c>
      <c r="Y192" s="287">
        <f t="shared" si="62"/>
        <v>545</v>
      </c>
      <c r="Z192" s="288">
        <f t="shared" si="63"/>
        <v>423184.01530901296</v>
      </c>
      <c r="AA192" s="288">
        <f t="shared" si="64"/>
        <v>109000</v>
      </c>
      <c r="AB192" s="288">
        <f t="shared" si="65"/>
        <v>449086.26251804701</v>
      </c>
      <c r="AC192" s="288">
        <f t="shared" si="82"/>
        <v>114721.69432083202</v>
      </c>
      <c r="AD192" s="287">
        <f t="shared" si="66"/>
        <v>333215.76008583698</v>
      </c>
      <c r="AE192" s="287">
        <f t="shared" si="67"/>
        <v>326551.44488412025</v>
      </c>
      <c r="AF192" s="287">
        <f t="shared" si="68"/>
        <v>4998236.4012875548</v>
      </c>
      <c r="AG192" s="287">
        <f t="shared" si="69"/>
        <v>4898271.6732618036</v>
      </c>
      <c r="AH192" s="287">
        <f t="shared" si="70"/>
        <v>0</v>
      </c>
      <c r="AI192" s="287">
        <f t="shared" si="71"/>
        <v>0</v>
      </c>
      <c r="AJ192" s="287">
        <f t="shared" si="72"/>
        <v>0</v>
      </c>
      <c r="AK192" s="287">
        <f t="shared" si="73"/>
        <v>0</v>
      </c>
      <c r="AL192" s="287">
        <f t="shared" si="74"/>
        <v>0</v>
      </c>
      <c r="AM192" s="287">
        <f t="shared" si="75"/>
        <v>0</v>
      </c>
      <c r="AN192" s="287">
        <f t="shared" si="76"/>
        <v>0</v>
      </c>
      <c r="AO192" s="287">
        <f t="shared" si="77"/>
        <v>0</v>
      </c>
      <c r="AP192" s="287">
        <f t="shared" si="78"/>
        <v>1651350</v>
      </c>
      <c r="AQ192" s="287">
        <f t="shared" si="79"/>
        <v>1618323</v>
      </c>
      <c r="AR192" s="287">
        <f t="shared" si="80"/>
        <v>81637.861221030063</v>
      </c>
      <c r="AS192" s="289" t="e">
        <f>IF(J192='2027 Avoided Costs'!#REF!,3,5)</f>
        <v>#REF!</v>
      </c>
      <c r="AT192" s="290" cm="1">
        <f t="array" ref="AT192">IFERROR(IF($J192="Baseload",IF($O192=1,0,NPV('2027 Avoided Costs'!$D$6,_xlfn._xlws.FILTER('2027 Avoided Costs'!$C$14:$C$47,('2027 Avoided Costs'!$B$14:$B$47&gt;=$B192+1)*('2027 Avoided Costs'!$B$14:$B$47&lt;$B192+ROUND($O192,0)))))+_xlfn.XLOOKUP($B192,'2027 Avoided Costs'!$B$13:$B$47,'2027 Avoided Costs'!$C$13:$C$47),IF($O192=1,0,NPV('2027 Avoided Costs'!$D$6,_xlfn._xlws.FILTER('2027 Avoided Costs'!$E$14:$E$47,('2027 Avoided Costs'!$B$14:$B$47&gt;=$B192+1)*('2027 Avoided Costs'!$B$14:$B$47&lt;$B192+ROUND($O192,0)))))+_xlfn.XLOOKUP($B192,'2027 Avoided Costs'!$B$13:$B$47,'2027 Avoided Costs'!$E$13:$E$47))*IF($AE192&gt;0,$AE192*(1+$W192),0),0)</f>
        <v>1280748.2765821284</v>
      </c>
      <c r="AU192" s="290" cm="1">
        <f t="array" ref="AU192">IFERROR((IF($O192=1,0,NPV('2027 Avoided Costs'!$D$6,_xlfn._xlws.FILTER('2027 Avoided Costs'!$M$14:$M$47,('2027 Avoided Costs'!$B$14:$B$47&gt;=$B192+1)*('2027 Avoided Costs'!$B$14:$B$47&lt;$B192+ROUND($O192,0)))))+_xlfn.XLOOKUP($B192,'2027 Avoided Costs'!$B$13:$B$47,'2027 Avoided Costs'!$M$13:$M$47))*IF($AK192&gt;0,$AK192*(1+$W192),0),0)</f>
        <v>0</v>
      </c>
      <c r="AV192" s="291" cm="1">
        <f t="array" ref="AV192">IFERROR((IF($O192=1,0,NPV('2027 Avoided Costs'!$D$6,_xlfn._xlws.FILTER('2027 Avoided Costs'!$Q$14:$Q$47,('2027 Avoided Costs'!$B$14:$B$47&gt;=$B192+1)*('2027 Avoided Costs'!$B$14:$B$47&lt;$B192+ROUND($O192,0)))))+_xlfn.XLOOKUP($B192,'2027 Avoided Costs'!$B$13:$B$47,'2027 Avoided Costs'!$Q$13:$Q$47))*IF($AI192&gt;0,$AI192*(1+$W192),0),0)</f>
        <v>0</v>
      </c>
      <c r="AW192" s="291" cm="1">
        <f t="array" ref="AW192">IFERROR((IF($O192=1,0,NPV('2027 Avoided Costs'!$D$6,_xlfn._xlws.FILTER('2027 Avoided Costs'!$W$14:$W$47,('2027 Avoided Costs'!$B$14:$B$47&gt;=$B192+1)*('2027 Avoided Costs'!$B$14:$B$47&lt;$B192+ROUND($O192,0)))))+_xlfn.XLOOKUP($B192,'2027 Avoided Costs'!$B$13:$B$47,'2027 Avoided Costs'!$W$13:$W$47))*IF($AM192&gt;0,$AM192*(1+$W192),0),0)</f>
        <v>0</v>
      </c>
      <c r="AX192" s="291" cm="1">
        <f t="array" ref="AX192">IFERROR((IF($O192=1,0,NPV('2027 Avoided Costs'!$D$6,_xlfn._xlws.FILTER('2027 Avoided Costs'!$AC$14:$AC$47,('2027 Avoided Costs'!$B$14:$B$47&gt;=$B192+1)*('2027 Avoided Costs'!$B$14:$B$47&lt;$B192+ROUND($O192,0)))))+_xlfn.XLOOKUP($B192,'2027 Avoided Costs'!$B$13:$B$47,'2027 Avoided Costs'!$AC$13:$AC$47))*IF($AO192&gt;0,$AO192*(1+$W192),0),0)</f>
        <v>0</v>
      </c>
      <c r="AY192" s="291" cm="1">
        <f t="array" ref="AY192">IFERROR((IF($O192=1,0,NPV('2027 Avoided Costs'!$D$4,_xlfn._xlws.FILTER('2027 Avoided Costs'!$I$14:$I$47,('2027 Avoided Costs'!$B$14:$B$47&gt;=$B192+1)*('2027 Avoided Costs'!$B$14:$B$47&lt;$B192+ROUND($O192,0)))))+_xlfn.XLOOKUP($B192,'2027 Avoided Costs'!$B$13:$B$47,'2027 Avoided Costs'!$I$13:$I$47))*IF($X192="Residential",'2027 Avoided Costs'!$J$5,IF($X192="Large Volume",'2027 Avoided Costs'!$J$7,'2027 Avoided Costs'!$J$6))*IF($AE192&gt;0,$AE192,0),0)</f>
        <v>0</v>
      </c>
      <c r="AZ192" s="291" cm="1">
        <f t="array" ref="AZ192">IFERROR(IF($J192="Baseload",IF($O192=1,0,NPV('2027 Avoided Costs'!$D$6,_xlfn._xlws.FILTER('2027 Avoided Costs'!$C$14:$C$47,('2027 Avoided Costs'!$B$14:$B$47&gt;=$B192+1)*('2027 Avoided Costs'!$B$14:$B$47&lt;$B192+ROUND($O192,0)))))+_xlfn.XLOOKUP($B192,'2027 Avoided Costs'!$B$13:$B$47,'2027 Avoided Costs'!$C$13:$C$47),IF($O192=1,0,NPV('2027 Avoided Costs'!$D$6,_xlfn._xlws.FILTER('2027 Avoided Costs'!$E$14:$E$47,('2027 Avoided Costs'!$B$14:$B$47&gt;=$B192+1)*('2027 Avoided Costs'!$B$14:$B$47&lt;$B192+ROUND($O192,0)))))+_xlfn.XLOOKUP($B192,'2027 Avoided Costs'!$B$13:$B$47,'2027 Avoided Costs'!$E$13:$E$47))*IF($AE192&lt;0,$AE192*(-1),0),0)</f>
        <v>0</v>
      </c>
      <c r="BA192" s="291" cm="1">
        <f t="array" ref="BA192">IFERROR((IF($O192=1,0,NPV('2027 Avoided Costs'!$D$6,_xlfn._xlws.FILTER('2027 Avoided Costs'!$M$14:$M$47,('2027 Avoided Costs'!$B$14:$B$47&gt;=$B192+1)*('2027 Avoided Costs'!$B$14:$B$47&lt;$B192+ROUND($O192,0)))))+_xlfn.XLOOKUP($B192,'2027 Avoided Costs'!$B$13:$B$47,'2027 Avoided Costs'!$M$13:$M$47))*IF($AK192&lt;0,$AK192*(-1),0),0)</f>
        <v>0</v>
      </c>
      <c r="BB192" s="291" cm="1">
        <f t="array" ref="BB192">IFERROR((IF($O192=1,0,NPV('2027 Avoided Costs'!$D$6,_xlfn._xlws.FILTER('2027 Avoided Costs'!$S$14:$S$47,('2027 Avoided Costs'!$B$14:$B$47&gt;=$B192+1)*('2027 Avoided Costs'!$B$14:$B$47&lt;$B192+ROUND($O192,0)))))+_xlfn.XLOOKUP($B192,'2027 Avoided Costs'!$B$13:$B$47,'2027 Avoided Costs'!$S$13:$S$47))*IF($AI192&lt;0,$AI192*(-1),0),0)</f>
        <v>0</v>
      </c>
      <c r="BC192" s="291" cm="1">
        <f t="array" ref="BC192">IFERROR((IF($O192=1,0,NPV('2027 Avoided Costs'!$D$6,_xlfn._xlws.FILTER('2027 Avoided Costs'!$Y$14:$Y$47,('2027 Avoided Costs'!$B$14:$B$47&gt;=$B192+1)*('2027 Avoided Costs'!$B$14:$B$47&lt;$B192+ROUND($O192,0)))))+_xlfn.XLOOKUP($B192,'2027 Avoided Costs'!$B$13:$B$47,'2027 Avoided Costs'!$Y$13:$Y$47))*IF($AM192&lt;0,$AM192*(-1),0),0)</f>
        <v>0</v>
      </c>
      <c r="BD192" s="291" cm="1">
        <f t="array" ref="BD192">IFERROR((IF($O192=1,0,NPV('2027 Avoided Costs'!$D$6,_xlfn._xlws.FILTER('2027 Avoided Costs'!$AE$14:$AE$47,('2027 Avoided Costs'!$B$14:$B$47&gt;=$B192+1)*('2027 Avoided Costs'!$B$14:$B$47&lt;$B192+ROUND($O192,0)))))+_xlfn.XLOOKUP($B192,'2027 Avoided Costs'!$B$13:$B$47,'2027 Avoided Costs'!$AE$13:$AE$47))*IF($AO192&lt;0,$AO192*(-1),0),0)</f>
        <v>0</v>
      </c>
      <c r="BE192" s="291" cm="1">
        <f t="array" ref="BE192">IFERROR((IF($O192=1,0,NPV('2027 Avoided Costs'!$D$4,_xlfn._xlws.FILTER('2027 Avoided Costs'!$I$14:$I$47,('2027 Avoided Costs'!$B$14:$B$47&gt;=$B192+1)*('2027 Avoided Costs'!$B$14:$B$47&lt;$B192+ROUND($O192,0)))))+_xlfn.XLOOKUP($B192,'2027 Avoided Costs'!$B$13:$B$47,'2027 Avoided Costs'!$I$13:$I$47))*IF($X192="Residential",'2027 Avoided Costs'!$J$5,IF($X192="Large Volume",'2027 Avoided Costs'!$J$7,'2027 Avoided Costs'!$J$6))*IF($AE192&lt;0,$AE192*(-1),0),0)</f>
        <v>0</v>
      </c>
      <c r="BF192" s="291">
        <f t="shared" si="58"/>
        <v>1280748.2765821284</v>
      </c>
      <c r="BG192" s="291">
        <f t="shared" si="59"/>
        <v>1618323</v>
      </c>
      <c r="BH192" s="291">
        <f t="shared" si="60"/>
        <v>-337574.72341787163</v>
      </c>
      <c r="BI192" s="292">
        <f t="shared" si="83"/>
        <v>0.79140460623875974</v>
      </c>
      <c r="BJ192" s="196" cm="1">
        <f t="array" ref="BJ192">IFERROR(IF($J192="Baseload",IF($O192=1,0,NPV('2027 Avoided Costs'!$D$6,_xlfn._xlws.FILTER('2027 Avoided Costs'!$C$14:$C$47,('2027 Avoided Costs'!$B$14:$B$47&gt;=$B192+1)*('2027 Avoided Costs'!$B$14:$B$47&lt;$B192+ROUND($O192,0)))))+_xlfn.XLOOKUP($B192,'2027 Avoided Costs'!$B$13:$B$47,'2027 Avoided Costs'!$C$13:$C$47),IF($O192=1,0,NPV('2027 Avoided Costs'!$D$6,_xlfn._xlws.FILTER('2027 Avoided Costs'!$E$14:$E$47,('2027 Avoided Costs'!$B$14:$B$47&gt;=$B192+1)*('2027 Avoided Costs'!$B$14:$B$47&lt;$B192+ROUND($O192,0)))))+_xlfn.XLOOKUP($B192,'2027 Avoided Costs'!$B$13:$B$47,'2027 Avoided Costs'!$E$13:$E$47))*IF($AE192&gt;0,$AE192*(1+0),0),0)</f>
        <v>1113694.153549677</v>
      </c>
      <c r="BK192" s="293">
        <f t="shared" si="81"/>
        <v>1.9753076203355897</v>
      </c>
    </row>
    <row r="193" spans="1:63" s="56" customFormat="1" x14ac:dyDescent="0.25">
      <c r="A193" s="270" t="s">
        <v>133</v>
      </c>
      <c r="B193" s="271">
        <v>2030</v>
      </c>
      <c r="C193" s="272" t="s">
        <v>13</v>
      </c>
      <c r="D193" s="272" t="s">
        <v>163</v>
      </c>
      <c r="E193" s="272" t="s">
        <v>300</v>
      </c>
      <c r="F193" s="273">
        <v>25</v>
      </c>
      <c r="G193" s="274">
        <v>2048.9250000000002</v>
      </c>
      <c r="H193" s="275">
        <f t="shared" si="61"/>
        <v>0.76722179903327625</v>
      </c>
      <c r="I193" s="274">
        <v>200</v>
      </c>
      <c r="J193" s="276" t="s">
        <v>264</v>
      </c>
      <c r="K193" s="277">
        <f t="shared" si="57"/>
        <v>1</v>
      </c>
      <c r="L193" s="278">
        <v>0</v>
      </c>
      <c r="M193" s="278">
        <v>0</v>
      </c>
      <c r="N193" s="278">
        <v>1</v>
      </c>
      <c r="O193" s="279">
        <v>18</v>
      </c>
      <c r="P193" s="280">
        <v>2670.5771428571379</v>
      </c>
      <c r="Q193" s="281">
        <v>0</v>
      </c>
      <c r="R193" s="282">
        <v>0</v>
      </c>
      <c r="S193" s="282">
        <v>0</v>
      </c>
      <c r="T193" s="281">
        <v>0</v>
      </c>
      <c r="U193" s="283">
        <v>0.25</v>
      </c>
      <c r="V193" s="284">
        <v>4097.8500000000004</v>
      </c>
      <c r="W193" s="285">
        <v>0.15</v>
      </c>
      <c r="X193" s="286" t="s">
        <v>255</v>
      </c>
      <c r="Y193" s="287">
        <f t="shared" si="62"/>
        <v>25</v>
      </c>
      <c r="Z193" s="288">
        <f t="shared" si="63"/>
        <v>51223.125000000007</v>
      </c>
      <c r="AA193" s="288">
        <f t="shared" si="64"/>
        <v>5000</v>
      </c>
      <c r="AB193" s="288">
        <f t="shared" si="65"/>
        <v>54358.390035000004</v>
      </c>
      <c r="AC193" s="288">
        <f t="shared" si="82"/>
        <v>5262.4630422400005</v>
      </c>
      <c r="AD193" s="287">
        <f t="shared" si="66"/>
        <v>66764.428571428449</v>
      </c>
      <c r="AE193" s="287">
        <f t="shared" si="67"/>
        <v>66764.428571428449</v>
      </c>
      <c r="AF193" s="287">
        <f t="shared" si="68"/>
        <v>1201759.714285712</v>
      </c>
      <c r="AG193" s="287">
        <f t="shared" si="69"/>
        <v>1201759.714285712</v>
      </c>
      <c r="AH193" s="287">
        <f t="shared" si="70"/>
        <v>0</v>
      </c>
      <c r="AI193" s="287">
        <f t="shared" si="71"/>
        <v>0</v>
      </c>
      <c r="AJ193" s="287">
        <f t="shared" si="72"/>
        <v>0</v>
      </c>
      <c r="AK193" s="287">
        <f t="shared" si="73"/>
        <v>0</v>
      </c>
      <c r="AL193" s="287">
        <f t="shared" si="74"/>
        <v>0</v>
      </c>
      <c r="AM193" s="287">
        <f t="shared" si="75"/>
        <v>0</v>
      </c>
      <c r="AN193" s="287">
        <f t="shared" si="76"/>
        <v>0</v>
      </c>
      <c r="AO193" s="287">
        <f t="shared" si="77"/>
        <v>0</v>
      </c>
      <c r="AP193" s="287">
        <f t="shared" si="78"/>
        <v>102446.25000000001</v>
      </c>
      <c r="AQ193" s="287">
        <f t="shared" si="79"/>
        <v>102446.25000000001</v>
      </c>
      <c r="AR193" s="287">
        <f t="shared" si="80"/>
        <v>16691.107142857112</v>
      </c>
      <c r="AS193" s="289" t="e">
        <f>IF(J193='2027 Avoided Costs'!#REF!,3,5)</f>
        <v>#REF!</v>
      </c>
      <c r="AT193" s="290" cm="1">
        <f t="array" ref="AT193">IFERROR(IF($J193="Baseload",IF($O193=1,0,NPV('2027 Avoided Costs'!$D$6,_xlfn._xlws.FILTER('2027 Avoided Costs'!$C$14:$C$47,('2027 Avoided Costs'!$B$14:$B$47&gt;=$B193+1)*('2027 Avoided Costs'!$B$14:$B$47&lt;$B193+ROUND($O193,0)))))+_xlfn.XLOOKUP($B193,'2027 Avoided Costs'!$B$13:$B$47,'2027 Avoided Costs'!$C$13:$C$47),IF($O193=1,0,NPV('2027 Avoided Costs'!$D$6,_xlfn._xlws.FILTER('2027 Avoided Costs'!$E$14:$E$47,('2027 Avoided Costs'!$B$14:$B$47&gt;=$B193+1)*('2027 Avoided Costs'!$B$14:$B$47&lt;$B193+ROUND($O193,0)))))+_xlfn.XLOOKUP($B193,'2027 Avoided Costs'!$B$13:$B$47,'2027 Avoided Costs'!$E$13:$E$47))*IF($AE193&gt;0,$AE193*(1+$W193),0),0)</f>
        <v>338521.85094349599</v>
      </c>
      <c r="AU193" s="290" cm="1">
        <f t="array" ref="AU193">IFERROR((IF($O193=1,0,NPV('2027 Avoided Costs'!$D$6,_xlfn._xlws.FILTER('2027 Avoided Costs'!$M$14:$M$47,('2027 Avoided Costs'!$B$14:$B$47&gt;=$B193+1)*('2027 Avoided Costs'!$B$14:$B$47&lt;$B193+ROUND($O193,0)))))+_xlfn.XLOOKUP($B193,'2027 Avoided Costs'!$B$13:$B$47,'2027 Avoided Costs'!$M$13:$M$47))*IF($AK193&gt;0,$AK193*(1+$W193),0),0)</f>
        <v>0</v>
      </c>
      <c r="AV193" s="291" cm="1">
        <f t="array" ref="AV193">IFERROR((IF($O193=1,0,NPV('2027 Avoided Costs'!$D$6,_xlfn._xlws.FILTER('2027 Avoided Costs'!$Q$14:$Q$47,('2027 Avoided Costs'!$B$14:$B$47&gt;=$B193+1)*('2027 Avoided Costs'!$B$14:$B$47&lt;$B193+ROUND($O193,0)))))+_xlfn.XLOOKUP($B193,'2027 Avoided Costs'!$B$13:$B$47,'2027 Avoided Costs'!$Q$13:$Q$47))*IF($AI193&gt;0,$AI193*(1+$W193),0),0)</f>
        <v>0</v>
      </c>
      <c r="AW193" s="291" cm="1">
        <f t="array" ref="AW193">IFERROR((IF($O193=1,0,NPV('2027 Avoided Costs'!$D$6,_xlfn._xlws.FILTER('2027 Avoided Costs'!$W$14:$W$47,('2027 Avoided Costs'!$B$14:$B$47&gt;=$B193+1)*('2027 Avoided Costs'!$B$14:$B$47&lt;$B193+ROUND($O193,0)))))+_xlfn.XLOOKUP($B193,'2027 Avoided Costs'!$B$13:$B$47,'2027 Avoided Costs'!$W$13:$W$47))*IF($AM193&gt;0,$AM193*(1+$W193),0),0)</f>
        <v>0</v>
      </c>
      <c r="AX193" s="291" cm="1">
        <f t="array" ref="AX193">IFERROR((IF($O193=1,0,NPV('2027 Avoided Costs'!$D$6,_xlfn._xlws.FILTER('2027 Avoided Costs'!$AC$14:$AC$47,('2027 Avoided Costs'!$B$14:$B$47&gt;=$B193+1)*('2027 Avoided Costs'!$B$14:$B$47&lt;$B193+ROUND($O193,0)))))+_xlfn.XLOOKUP($B193,'2027 Avoided Costs'!$B$13:$B$47,'2027 Avoided Costs'!$AC$13:$AC$47))*IF($AO193&gt;0,$AO193*(1+$W193),0),0)</f>
        <v>0</v>
      </c>
      <c r="AY193" s="291" cm="1">
        <f t="array" ref="AY193">IFERROR((IF($O193=1,0,NPV('2027 Avoided Costs'!$D$4,_xlfn._xlws.FILTER('2027 Avoided Costs'!$I$14:$I$47,('2027 Avoided Costs'!$B$14:$B$47&gt;=$B193+1)*('2027 Avoided Costs'!$B$14:$B$47&lt;$B193+ROUND($O193,0)))))+_xlfn.XLOOKUP($B193,'2027 Avoided Costs'!$B$13:$B$47,'2027 Avoided Costs'!$I$13:$I$47))*IF($X193="Residential",'2027 Avoided Costs'!$J$5,IF($X193="Large Volume",'2027 Avoided Costs'!$J$7,'2027 Avoided Costs'!$J$6))*IF($AE193&gt;0,$AE193,0),0)</f>
        <v>0</v>
      </c>
      <c r="AZ193" s="291" cm="1">
        <f t="array" ref="AZ193">IFERROR(IF($J193="Baseload",IF($O193=1,0,NPV('2027 Avoided Costs'!$D$6,_xlfn._xlws.FILTER('2027 Avoided Costs'!$C$14:$C$47,('2027 Avoided Costs'!$B$14:$B$47&gt;=$B193+1)*('2027 Avoided Costs'!$B$14:$B$47&lt;$B193+ROUND($O193,0)))))+_xlfn.XLOOKUP($B193,'2027 Avoided Costs'!$B$13:$B$47,'2027 Avoided Costs'!$C$13:$C$47),IF($O193=1,0,NPV('2027 Avoided Costs'!$D$6,_xlfn._xlws.FILTER('2027 Avoided Costs'!$E$14:$E$47,('2027 Avoided Costs'!$B$14:$B$47&gt;=$B193+1)*('2027 Avoided Costs'!$B$14:$B$47&lt;$B193+ROUND($O193,0)))))+_xlfn.XLOOKUP($B193,'2027 Avoided Costs'!$B$13:$B$47,'2027 Avoided Costs'!$E$13:$E$47))*IF($AE193&lt;0,$AE193*(-1),0),0)</f>
        <v>0</v>
      </c>
      <c r="BA193" s="291" cm="1">
        <f t="array" ref="BA193">IFERROR((IF($O193=1,0,NPV('2027 Avoided Costs'!$D$6,_xlfn._xlws.FILTER('2027 Avoided Costs'!$M$14:$M$47,('2027 Avoided Costs'!$B$14:$B$47&gt;=$B193+1)*('2027 Avoided Costs'!$B$14:$B$47&lt;$B193+ROUND($O193,0)))))+_xlfn.XLOOKUP($B193,'2027 Avoided Costs'!$B$13:$B$47,'2027 Avoided Costs'!$M$13:$M$47))*IF($AK193&lt;0,$AK193*(-1),0),0)</f>
        <v>0</v>
      </c>
      <c r="BB193" s="291" cm="1">
        <f t="array" ref="BB193">IFERROR((IF($O193=1,0,NPV('2027 Avoided Costs'!$D$6,_xlfn._xlws.FILTER('2027 Avoided Costs'!$S$14:$S$47,('2027 Avoided Costs'!$B$14:$B$47&gt;=$B193+1)*('2027 Avoided Costs'!$B$14:$B$47&lt;$B193+ROUND($O193,0)))))+_xlfn.XLOOKUP($B193,'2027 Avoided Costs'!$B$13:$B$47,'2027 Avoided Costs'!$S$13:$S$47))*IF($AI193&lt;0,$AI193*(-1),0),0)</f>
        <v>0</v>
      </c>
      <c r="BC193" s="291" cm="1">
        <f t="array" ref="BC193">IFERROR((IF($O193=1,0,NPV('2027 Avoided Costs'!$D$6,_xlfn._xlws.FILTER('2027 Avoided Costs'!$Y$14:$Y$47,('2027 Avoided Costs'!$B$14:$B$47&gt;=$B193+1)*('2027 Avoided Costs'!$B$14:$B$47&lt;$B193+ROUND($O193,0)))))+_xlfn.XLOOKUP($B193,'2027 Avoided Costs'!$B$13:$B$47,'2027 Avoided Costs'!$Y$13:$Y$47))*IF($AM193&lt;0,$AM193*(-1),0),0)</f>
        <v>0</v>
      </c>
      <c r="BD193" s="291" cm="1">
        <f t="array" ref="BD193">IFERROR((IF($O193=1,0,NPV('2027 Avoided Costs'!$D$6,_xlfn._xlws.FILTER('2027 Avoided Costs'!$AE$14:$AE$47,('2027 Avoided Costs'!$B$14:$B$47&gt;=$B193+1)*('2027 Avoided Costs'!$B$14:$B$47&lt;$B193+ROUND($O193,0)))))+_xlfn.XLOOKUP($B193,'2027 Avoided Costs'!$B$13:$B$47,'2027 Avoided Costs'!$AE$13:$AE$47))*IF($AO193&lt;0,$AO193*(-1),0),0)</f>
        <v>0</v>
      </c>
      <c r="BE193" s="291" cm="1">
        <f t="array" ref="BE193">IFERROR((IF($O193=1,0,NPV('2027 Avoided Costs'!$D$4,_xlfn._xlws.FILTER('2027 Avoided Costs'!$I$14:$I$47,('2027 Avoided Costs'!$B$14:$B$47&gt;=$B193+1)*('2027 Avoided Costs'!$B$14:$B$47&lt;$B193+ROUND($O193,0)))))+_xlfn.XLOOKUP($B193,'2027 Avoided Costs'!$B$13:$B$47,'2027 Avoided Costs'!$I$13:$I$47))*IF($X193="Residential",'2027 Avoided Costs'!$J$5,IF($X193="Large Volume",'2027 Avoided Costs'!$J$7,'2027 Avoided Costs'!$J$6))*IF($AE193&lt;0,$AE193*(-1),0),0)</f>
        <v>0</v>
      </c>
      <c r="BF193" s="291">
        <f t="shared" si="58"/>
        <v>338521.85094349599</v>
      </c>
      <c r="BG193" s="291">
        <f t="shared" si="59"/>
        <v>102446.25000000001</v>
      </c>
      <c r="BH193" s="291">
        <f t="shared" si="60"/>
        <v>236075.60094349599</v>
      </c>
      <c r="BI193" s="292">
        <f t="shared" si="83"/>
        <v>3.3043849915784711</v>
      </c>
      <c r="BJ193" s="196" cm="1">
        <f t="array" ref="BJ193">IFERROR(IF($J193="Baseload",IF($O193=1,0,NPV('2027 Avoided Costs'!$D$6,_xlfn._xlws.FILTER('2027 Avoided Costs'!$C$14:$C$47,('2027 Avoided Costs'!$B$14:$B$47&gt;=$B193+1)*('2027 Avoided Costs'!$B$14:$B$47&lt;$B193+ROUND($O193,0)))))+_xlfn.XLOOKUP($B193,'2027 Avoided Costs'!$B$13:$B$47,'2027 Avoided Costs'!$C$13:$C$47),IF($O193=1,0,NPV('2027 Avoided Costs'!$D$6,_xlfn._xlws.FILTER('2027 Avoided Costs'!$E$14:$E$47,('2027 Avoided Costs'!$B$14:$B$47&gt;=$B193+1)*('2027 Avoided Costs'!$B$14:$B$47&lt;$B193+ROUND($O193,0)))))+_xlfn.XLOOKUP($B193,'2027 Avoided Costs'!$B$13:$B$47,'2027 Avoided Costs'!$E$13:$E$47))*IF($AE193&gt;0,$AE193*(1+0),0),0)</f>
        <v>294366.82690738782</v>
      </c>
      <c r="BK193" s="293">
        <f t="shared" si="81"/>
        <v>4.9373132337779486</v>
      </c>
    </row>
    <row r="194" spans="1:63" s="56" customFormat="1" x14ac:dyDescent="0.25">
      <c r="A194" s="270" t="s">
        <v>133</v>
      </c>
      <c r="B194" s="271">
        <v>2030</v>
      </c>
      <c r="C194" s="272" t="s">
        <v>13</v>
      </c>
      <c r="D194" s="272" t="s">
        <v>163</v>
      </c>
      <c r="E194" s="272" t="s">
        <v>102</v>
      </c>
      <c r="F194" s="273">
        <v>11</v>
      </c>
      <c r="G194" s="274">
        <v>2400.375</v>
      </c>
      <c r="H194" s="275">
        <f t="shared" si="61"/>
        <v>0.16933288533754279</v>
      </c>
      <c r="I194" s="274">
        <v>200</v>
      </c>
      <c r="J194" s="276" t="s">
        <v>264</v>
      </c>
      <c r="K194" s="277">
        <f t="shared" si="57"/>
        <v>0.95</v>
      </c>
      <c r="L194" s="278">
        <v>4.9999999999999996E-2</v>
      </c>
      <c r="M194" s="278">
        <v>0</v>
      </c>
      <c r="N194" s="278">
        <v>1</v>
      </c>
      <c r="O194" s="279">
        <v>20</v>
      </c>
      <c r="P194" s="280">
        <v>14175.480416666667</v>
      </c>
      <c r="Q194" s="281">
        <v>7267.5</v>
      </c>
      <c r="R194" s="282">
        <v>1.6592465753424657</v>
      </c>
      <c r="S194" s="282">
        <v>1.6592465753424657</v>
      </c>
      <c r="T194" s="281">
        <v>0</v>
      </c>
      <c r="U194" s="283">
        <v>0.46</v>
      </c>
      <c r="V194" s="284">
        <v>4800.75</v>
      </c>
      <c r="W194" s="285">
        <v>0.15</v>
      </c>
      <c r="X194" s="286" t="s">
        <v>255</v>
      </c>
      <c r="Y194" s="287">
        <f t="shared" si="62"/>
        <v>11</v>
      </c>
      <c r="Z194" s="288">
        <f t="shared" si="63"/>
        <v>26404.125</v>
      </c>
      <c r="AA194" s="288">
        <f t="shared" si="64"/>
        <v>2200</v>
      </c>
      <c r="AB194" s="288">
        <f t="shared" si="65"/>
        <v>28020.268682999998</v>
      </c>
      <c r="AC194" s="288">
        <f t="shared" si="82"/>
        <v>2315.4837385856003</v>
      </c>
      <c r="AD194" s="287">
        <f t="shared" si="66"/>
        <v>155930.28458333333</v>
      </c>
      <c r="AE194" s="287">
        <f t="shared" si="67"/>
        <v>148133.77035416666</v>
      </c>
      <c r="AF194" s="287">
        <f t="shared" si="68"/>
        <v>3118605.6916666664</v>
      </c>
      <c r="AG194" s="287">
        <f t="shared" si="69"/>
        <v>2962675.407083333</v>
      </c>
      <c r="AH194" s="287">
        <f t="shared" si="70"/>
        <v>85698.36</v>
      </c>
      <c r="AI194" s="287">
        <f t="shared" si="71"/>
        <v>81413.44200000001</v>
      </c>
      <c r="AJ194" s="287">
        <f t="shared" si="72"/>
        <v>0</v>
      </c>
      <c r="AK194" s="287">
        <f t="shared" si="73"/>
        <v>0</v>
      </c>
      <c r="AL194" s="287">
        <f t="shared" si="74"/>
        <v>19.565835616438356</v>
      </c>
      <c r="AM194" s="287">
        <f t="shared" si="75"/>
        <v>18.58754383561644</v>
      </c>
      <c r="AN194" s="287">
        <f t="shared" si="76"/>
        <v>19.565835616438356</v>
      </c>
      <c r="AO194" s="287">
        <f t="shared" si="77"/>
        <v>18.58754383561644</v>
      </c>
      <c r="AP194" s="287">
        <f t="shared" si="78"/>
        <v>52808.25</v>
      </c>
      <c r="AQ194" s="287">
        <f t="shared" si="79"/>
        <v>50167.837499999994</v>
      </c>
      <c r="AR194" s="287">
        <f t="shared" si="80"/>
        <v>68141.53436291666</v>
      </c>
      <c r="AS194" s="289" t="e">
        <f>IF(J194='2027 Avoided Costs'!#REF!,3,5)</f>
        <v>#REF!</v>
      </c>
      <c r="AT194" s="290" cm="1">
        <f t="array" ref="AT194">IFERROR(IF($J194="Baseload",IF($O194=1,0,NPV('2027 Avoided Costs'!$D$6,_xlfn._xlws.FILTER('2027 Avoided Costs'!$C$14:$C$47,('2027 Avoided Costs'!$B$14:$B$47&gt;=$B194+1)*('2027 Avoided Costs'!$B$14:$B$47&lt;$B194+ROUND($O194,0)))))+_xlfn.XLOOKUP($B194,'2027 Avoided Costs'!$B$13:$B$47,'2027 Avoided Costs'!$C$13:$C$47),IF($O194=1,0,NPV('2027 Avoided Costs'!$D$6,_xlfn._xlws.FILTER('2027 Avoided Costs'!$E$14:$E$47,('2027 Avoided Costs'!$B$14:$B$47&gt;=$B194+1)*('2027 Avoided Costs'!$B$14:$B$47&lt;$B194+ROUND($O194,0)))))+_xlfn.XLOOKUP($B194,'2027 Avoided Costs'!$B$13:$B$47,'2027 Avoided Costs'!$E$13:$E$47))*IF($AE194&gt;0,$AE194*(1+$W194),0),0)</f>
        <v>814274.14646207122</v>
      </c>
      <c r="AU194" s="290" cm="1">
        <f t="array" ref="AU194">IFERROR((IF($O194=1,0,NPV('2027 Avoided Costs'!$D$6,_xlfn._xlws.FILTER('2027 Avoided Costs'!$M$14:$M$47,('2027 Avoided Costs'!$B$14:$B$47&gt;=$B194+1)*('2027 Avoided Costs'!$B$14:$B$47&lt;$B194+ROUND($O194,0)))))+_xlfn.XLOOKUP($B194,'2027 Avoided Costs'!$B$13:$B$47,'2027 Avoided Costs'!$M$13:$M$47))*IF($AK194&gt;0,$AK194*(1+$W194),0),0)</f>
        <v>0</v>
      </c>
      <c r="AV194" s="291" cm="1">
        <f t="array" ref="AV194">IFERROR((IF($O194=1,0,NPV('2027 Avoided Costs'!$D$6,_xlfn._xlws.FILTER('2027 Avoided Costs'!$Q$14:$Q$47,('2027 Avoided Costs'!$B$14:$B$47&gt;=$B194+1)*('2027 Avoided Costs'!$B$14:$B$47&lt;$B194+ROUND($O194,0)))))+_xlfn.XLOOKUP($B194,'2027 Avoided Costs'!$B$13:$B$47,'2027 Avoided Costs'!$Q$13:$Q$47))*IF($AI194&gt;0,$AI194*(1+$W194),0),0)</f>
        <v>60825.261776623753</v>
      </c>
      <c r="AW194" s="291" cm="1">
        <f t="array" ref="AW194">IFERROR((IF($O194=1,0,NPV('2027 Avoided Costs'!$D$6,_xlfn._xlws.FILTER('2027 Avoided Costs'!$W$14:$W$47,('2027 Avoided Costs'!$B$14:$B$47&gt;=$B194+1)*('2027 Avoided Costs'!$B$14:$B$47&lt;$B194+ROUND($O194,0)))))+_xlfn.XLOOKUP($B194,'2027 Avoided Costs'!$B$13:$B$47,'2027 Avoided Costs'!$W$13:$W$47))*IF($AM194&gt;0,$AM194*(1+$W194),0),0)</f>
        <v>99032.208968620384</v>
      </c>
      <c r="AX194" s="291" cm="1">
        <f t="array" ref="AX194">IFERROR((IF($O194=1,0,NPV('2027 Avoided Costs'!$D$6,_xlfn._xlws.FILTER('2027 Avoided Costs'!$AC$14:$AC$47,('2027 Avoided Costs'!$B$14:$B$47&gt;=$B194+1)*('2027 Avoided Costs'!$B$14:$B$47&lt;$B194+ROUND($O194,0)))))+_xlfn.XLOOKUP($B194,'2027 Avoided Costs'!$B$13:$B$47,'2027 Avoided Costs'!$AC$13:$AC$47))*IF($AO194&gt;0,$AO194*(1+$W194),0),0)</f>
        <v>15620.583905675048</v>
      </c>
      <c r="AY194" s="291" cm="1">
        <f t="array" ref="AY194">IFERROR((IF($O194=1,0,NPV('2027 Avoided Costs'!$D$4,_xlfn._xlws.FILTER('2027 Avoided Costs'!$I$14:$I$47,('2027 Avoided Costs'!$B$14:$B$47&gt;=$B194+1)*('2027 Avoided Costs'!$B$14:$B$47&lt;$B194+ROUND($O194,0)))))+_xlfn.XLOOKUP($B194,'2027 Avoided Costs'!$B$13:$B$47,'2027 Avoided Costs'!$I$13:$I$47))*IF($X194="Residential",'2027 Avoided Costs'!$J$5,IF($X194="Large Volume",'2027 Avoided Costs'!$J$7,'2027 Avoided Costs'!$J$6))*IF($AE194&gt;0,$AE194,0),0)</f>
        <v>0</v>
      </c>
      <c r="AZ194" s="291" cm="1">
        <f t="array" ref="AZ194">IFERROR(IF($J194="Baseload",IF($O194=1,0,NPV('2027 Avoided Costs'!$D$6,_xlfn._xlws.FILTER('2027 Avoided Costs'!$C$14:$C$47,('2027 Avoided Costs'!$B$14:$B$47&gt;=$B194+1)*('2027 Avoided Costs'!$B$14:$B$47&lt;$B194+ROUND($O194,0)))))+_xlfn.XLOOKUP($B194,'2027 Avoided Costs'!$B$13:$B$47,'2027 Avoided Costs'!$C$13:$C$47),IF($O194=1,0,NPV('2027 Avoided Costs'!$D$6,_xlfn._xlws.FILTER('2027 Avoided Costs'!$E$14:$E$47,('2027 Avoided Costs'!$B$14:$B$47&gt;=$B194+1)*('2027 Avoided Costs'!$B$14:$B$47&lt;$B194+ROUND($O194,0)))))+_xlfn.XLOOKUP($B194,'2027 Avoided Costs'!$B$13:$B$47,'2027 Avoided Costs'!$E$13:$E$47))*IF($AE194&lt;0,$AE194*(-1),0),0)</f>
        <v>0</v>
      </c>
      <c r="BA194" s="291" cm="1">
        <f t="array" ref="BA194">IFERROR((IF($O194=1,0,NPV('2027 Avoided Costs'!$D$6,_xlfn._xlws.FILTER('2027 Avoided Costs'!$M$14:$M$47,('2027 Avoided Costs'!$B$14:$B$47&gt;=$B194+1)*('2027 Avoided Costs'!$B$14:$B$47&lt;$B194+ROUND($O194,0)))))+_xlfn.XLOOKUP($B194,'2027 Avoided Costs'!$B$13:$B$47,'2027 Avoided Costs'!$M$13:$M$47))*IF($AK194&lt;0,$AK194*(-1),0),0)</f>
        <v>0</v>
      </c>
      <c r="BB194" s="291" cm="1">
        <f t="array" ref="BB194">IFERROR((IF($O194=1,0,NPV('2027 Avoided Costs'!$D$6,_xlfn._xlws.FILTER('2027 Avoided Costs'!$S$14:$S$47,('2027 Avoided Costs'!$B$14:$B$47&gt;=$B194+1)*('2027 Avoided Costs'!$B$14:$B$47&lt;$B194+ROUND($O194,0)))))+_xlfn.XLOOKUP($B194,'2027 Avoided Costs'!$B$13:$B$47,'2027 Avoided Costs'!$S$13:$S$47))*IF($AI194&lt;0,$AI194*(-1),0),0)</f>
        <v>0</v>
      </c>
      <c r="BC194" s="291" cm="1">
        <f t="array" ref="BC194">IFERROR((IF($O194=1,0,NPV('2027 Avoided Costs'!$D$6,_xlfn._xlws.FILTER('2027 Avoided Costs'!$Y$14:$Y$47,('2027 Avoided Costs'!$B$14:$B$47&gt;=$B194+1)*('2027 Avoided Costs'!$B$14:$B$47&lt;$B194+ROUND($O194,0)))))+_xlfn.XLOOKUP($B194,'2027 Avoided Costs'!$B$13:$B$47,'2027 Avoided Costs'!$Y$13:$Y$47))*IF($AM194&lt;0,$AM194*(-1),0),0)</f>
        <v>0</v>
      </c>
      <c r="BD194" s="291" cm="1">
        <f t="array" ref="BD194">IFERROR((IF($O194=1,0,NPV('2027 Avoided Costs'!$D$6,_xlfn._xlws.FILTER('2027 Avoided Costs'!$AE$14:$AE$47,('2027 Avoided Costs'!$B$14:$B$47&gt;=$B194+1)*('2027 Avoided Costs'!$B$14:$B$47&lt;$B194+ROUND($O194,0)))))+_xlfn.XLOOKUP($B194,'2027 Avoided Costs'!$B$13:$B$47,'2027 Avoided Costs'!$AE$13:$AE$47))*IF($AO194&lt;0,$AO194*(-1),0),0)</f>
        <v>0</v>
      </c>
      <c r="BE194" s="291" cm="1">
        <f t="array" ref="BE194">IFERROR((IF($O194=1,0,NPV('2027 Avoided Costs'!$D$4,_xlfn._xlws.FILTER('2027 Avoided Costs'!$I$14:$I$47,('2027 Avoided Costs'!$B$14:$B$47&gt;=$B194+1)*('2027 Avoided Costs'!$B$14:$B$47&lt;$B194+ROUND($O194,0)))))+_xlfn.XLOOKUP($B194,'2027 Avoided Costs'!$B$13:$B$47,'2027 Avoided Costs'!$I$13:$I$47))*IF($X194="Residential",'2027 Avoided Costs'!$J$5,IF($X194="Large Volume",'2027 Avoided Costs'!$J$7,'2027 Avoided Costs'!$J$6))*IF($AE194&lt;0,$AE194*(-1),0),0)</f>
        <v>0</v>
      </c>
      <c r="BF194" s="291">
        <f t="shared" si="58"/>
        <v>989752.2011129905</v>
      </c>
      <c r="BG194" s="291">
        <f t="shared" si="59"/>
        <v>50167.837499999994</v>
      </c>
      <c r="BH194" s="291">
        <f t="shared" si="60"/>
        <v>939584.36361299048</v>
      </c>
      <c r="BI194" s="292">
        <f t="shared" si="83"/>
        <v>19.728819308047523</v>
      </c>
      <c r="BJ194" s="196" cm="1">
        <f t="array" ref="BJ194">IFERROR(IF($J194="Baseload",IF($O194=1,0,NPV('2027 Avoided Costs'!$D$6,_xlfn._xlws.FILTER('2027 Avoided Costs'!$C$14:$C$47,('2027 Avoided Costs'!$B$14:$B$47&gt;=$B194+1)*('2027 Avoided Costs'!$B$14:$B$47&lt;$B194+ROUND($O194,0)))))+_xlfn.XLOOKUP($B194,'2027 Avoided Costs'!$B$13:$B$47,'2027 Avoided Costs'!$C$13:$C$47),IF($O194=1,0,NPV('2027 Avoided Costs'!$D$6,_xlfn._xlws.FILTER('2027 Avoided Costs'!$E$14:$E$47,('2027 Avoided Costs'!$B$14:$B$47&gt;=$B194+1)*('2027 Avoided Costs'!$B$14:$B$47&lt;$B194+ROUND($O194,0)))))+_xlfn.XLOOKUP($B194,'2027 Avoided Costs'!$B$13:$B$47,'2027 Avoided Costs'!$E$13:$E$47))*IF($AE194&gt;0,$AE194*(1+0),0),0)</f>
        <v>708064.47518440976</v>
      </c>
      <c r="BK194" s="293">
        <f t="shared" si="81"/>
        <v>23.340923453758869</v>
      </c>
    </row>
    <row r="195" spans="1:63" s="56" customFormat="1" x14ac:dyDescent="0.25">
      <c r="A195" s="270" t="s">
        <v>133</v>
      </c>
      <c r="B195" s="271">
        <v>2030</v>
      </c>
      <c r="C195" s="272" t="s">
        <v>13</v>
      </c>
      <c r="D195" s="272" t="s">
        <v>163</v>
      </c>
      <c r="E195" s="272" t="s">
        <v>103</v>
      </c>
      <c r="F195" s="273">
        <v>26</v>
      </c>
      <c r="G195" s="274">
        <v>15097.5</v>
      </c>
      <c r="H195" s="275">
        <f t="shared" si="61"/>
        <v>0.88420701569131044</v>
      </c>
      <c r="I195" s="274">
        <v>200</v>
      </c>
      <c r="J195" s="276" t="s">
        <v>263</v>
      </c>
      <c r="K195" s="277">
        <f t="shared" si="57"/>
        <v>0.92</v>
      </c>
      <c r="L195" s="278">
        <v>0.08</v>
      </c>
      <c r="M195" s="278">
        <v>0</v>
      </c>
      <c r="N195" s="278">
        <v>1</v>
      </c>
      <c r="O195" s="279">
        <v>15</v>
      </c>
      <c r="P195" s="280">
        <v>17074.621363636361</v>
      </c>
      <c r="Q195" s="281">
        <v>76.549955999999995</v>
      </c>
      <c r="R195" s="282">
        <v>8.7385794520547129E-3</v>
      </c>
      <c r="S195" s="282">
        <v>8.7385794520548222E-3</v>
      </c>
      <c r="T195" s="281">
        <v>641.33400000000006</v>
      </c>
      <c r="U195" s="283">
        <v>0.65</v>
      </c>
      <c r="V195" s="284">
        <v>30195</v>
      </c>
      <c r="W195" s="285">
        <v>0.15</v>
      </c>
      <c r="X195" s="286" t="s">
        <v>255</v>
      </c>
      <c r="Y195" s="287">
        <f t="shared" si="62"/>
        <v>26</v>
      </c>
      <c r="Z195" s="288">
        <f t="shared" si="63"/>
        <v>392535</v>
      </c>
      <c r="AA195" s="288">
        <f t="shared" si="64"/>
        <v>5200</v>
      </c>
      <c r="AB195" s="288">
        <f t="shared" si="65"/>
        <v>416561.28227999998</v>
      </c>
      <c r="AC195" s="288">
        <f t="shared" si="82"/>
        <v>5472.9615639296007</v>
      </c>
      <c r="AD195" s="287">
        <f t="shared" si="66"/>
        <v>443940.1554545454</v>
      </c>
      <c r="AE195" s="287">
        <f t="shared" si="67"/>
        <v>408424.94301818177</v>
      </c>
      <c r="AF195" s="287">
        <f t="shared" si="68"/>
        <v>6659102.3318181811</v>
      </c>
      <c r="AG195" s="287">
        <f t="shared" si="69"/>
        <v>6126374.1452727262</v>
      </c>
      <c r="AH195" s="287">
        <f t="shared" si="70"/>
        <v>2133.6003736319999</v>
      </c>
      <c r="AI195" s="287">
        <f t="shared" si="71"/>
        <v>1962.9123437414398</v>
      </c>
      <c r="AJ195" s="287">
        <f t="shared" si="72"/>
        <v>16674.684000000001</v>
      </c>
      <c r="AK195" s="287">
        <f t="shared" si="73"/>
        <v>15340.709280000003</v>
      </c>
      <c r="AL195" s="287">
        <f t="shared" si="74"/>
        <v>0.24356168648766896</v>
      </c>
      <c r="AM195" s="287">
        <f t="shared" si="75"/>
        <v>0.22407675156865545</v>
      </c>
      <c r="AN195" s="287">
        <f t="shared" si="76"/>
        <v>0.24356168648767204</v>
      </c>
      <c r="AO195" s="287">
        <f t="shared" si="77"/>
        <v>0.22407675156865828</v>
      </c>
      <c r="AP195" s="287">
        <f t="shared" si="78"/>
        <v>785070</v>
      </c>
      <c r="AQ195" s="287">
        <f t="shared" si="79"/>
        <v>722264.4</v>
      </c>
      <c r="AR195" s="287">
        <f t="shared" si="80"/>
        <v>265476.21296181815</v>
      </c>
      <c r="AS195" s="289" t="e">
        <f>IF(J195='2027 Avoided Costs'!#REF!,3,5)</f>
        <v>#REF!</v>
      </c>
      <c r="AT195" s="290" cm="1">
        <f t="array" ref="AT195">IFERROR(IF($J195="Baseload",IF($O195=1,0,NPV('2027 Avoided Costs'!$D$6,_xlfn._xlws.FILTER('2027 Avoided Costs'!$C$14:$C$47,('2027 Avoided Costs'!$B$14:$B$47&gt;=$B195+1)*('2027 Avoided Costs'!$B$14:$B$47&lt;$B195+ROUND($O195,0)))))+_xlfn.XLOOKUP($B195,'2027 Avoided Costs'!$B$13:$B$47,'2027 Avoided Costs'!$C$13:$C$47),IF($O195=1,0,NPV('2027 Avoided Costs'!$D$6,_xlfn._xlws.FILTER('2027 Avoided Costs'!$E$14:$E$47,('2027 Avoided Costs'!$B$14:$B$47&gt;=$B195+1)*('2027 Avoided Costs'!$B$14:$B$47&lt;$B195+ROUND($O195,0)))))+_xlfn.XLOOKUP($B195,'2027 Avoided Costs'!$B$13:$B$47,'2027 Avoided Costs'!$E$13:$E$47))*IF($AE195&gt;0,$AE195*(1+$W195),0),0)</f>
        <v>1601859.5234490952</v>
      </c>
      <c r="AU195" s="290" cm="1">
        <f t="array" ref="AU195">IFERROR((IF($O195=1,0,NPV('2027 Avoided Costs'!$D$6,_xlfn._xlws.FILTER('2027 Avoided Costs'!$M$14:$M$47,('2027 Avoided Costs'!$B$14:$B$47&gt;=$B195+1)*('2027 Avoided Costs'!$B$14:$B$47&lt;$B195+ROUND($O195,0)))))+_xlfn.XLOOKUP($B195,'2027 Avoided Costs'!$B$13:$B$47,'2027 Avoided Costs'!$M$13:$M$47))*IF($AK195&gt;0,$AK195*(1+$W195),0),0)</f>
        <v>233393.30582167552</v>
      </c>
      <c r="AV195" s="291" cm="1">
        <f t="array" ref="AV195">IFERROR((IF($O195=1,0,NPV('2027 Avoided Costs'!$D$6,_xlfn._xlws.FILTER('2027 Avoided Costs'!$Q$14:$Q$47,('2027 Avoided Costs'!$B$14:$B$47&gt;=$B195+1)*('2027 Avoided Costs'!$B$14:$B$47&lt;$B195+ROUND($O195,0)))))+_xlfn.XLOOKUP($B195,'2027 Avoided Costs'!$B$13:$B$47,'2027 Avoided Costs'!$Q$13:$Q$47))*IF($AI195&gt;0,$AI195*(1+$W195),0),0)</f>
        <v>1257.926139448253</v>
      </c>
      <c r="AW195" s="291" cm="1">
        <f t="array" ref="AW195">IFERROR((IF($O195=1,0,NPV('2027 Avoided Costs'!$D$6,_xlfn._xlws.FILTER('2027 Avoided Costs'!$W$14:$W$47,('2027 Avoided Costs'!$B$14:$B$47&gt;=$B195+1)*('2027 Avoided Costs'!$B$14:$B$47&lt;$B195+ROUND($O195,0)))))+_xlfn.XLOOKUP($B195,'2027 Avoided Costs'!$B$13:$B$47,'2027 Avoided Costs'!$W$13:$W$47))*IF($AM195&gt;0,$AM195*(1+$W195),0),0)</f>
        <v>890.36457280431364</v>
      </c>
      <c r="AX195" s="291" cm="1">
        <f t="array" ref="AX195">IFERROR((IF($O195=1,0,NPV('2027 Avoided Costs'!$D$6,_xlfn._xlws.FILTER('2027 Avoided Costs'!$AC$14:$AC$47,('2027 Avoided Costs'!$B$14:$B$47&gt;=$B195+1)*('2027 Avoided Costs'!$B$14:$B$47&lt;$B195+ROUND($O195,0)))))+_xlfn.XLOOKUP($B195,'2027 Avoided Costs'!$B$13:$B$47,'2027 Avoided Costs'!$AC$13:$AC$47))*IF($AO195&gt;0,$AO195*(1+$W195),0),0)</f>
        <v>188.30942539500128</v>
      </c>
      <c r="AY195" s="291" cm="1">
        <f t="array" ref="AY195">IFERROR((IF($O195=1,0,NPV('2027 Avoided Costs'!$D$4,_xlfn._xlws.FILTER('2027 Avoided Costs'!$I$14:$I$47,('2027 Avoided Costs'!$B$14:$B$47&gt;=$B195+1)*('2027 Avoided Costs'!$B$14:$B$47&lt;$B195+ROUND($O195,0)))))+_xlfn.XLOOKUP($B195,'2027 Avoided Costs'!$B$13:$B$47,'2027 Avoided Costs'!$I$13:$I$47))*IF($X195="Residential",'2027 Avoided Costs'!$J$5,IF($X195="Large Volume",'2027 Avoided Costs'!$J$7,'2027 Avoided Costs'!$J$6))*IF($AE195&gt;0,$AE195,0),0)</f>
        <v>0</v>
      </c>
      <c r="AZ195" s="291" cm="1">
        <f t="array" ref="AZ195">IFERROR(IF($J195="Baseload",IF($O195=1,0,NPV('2027 Avoided Costs'!$D$6,_xlfn._xlws.FILTER('2027 Avoided Costs'!$C$14:$C$47,('2027 Avoided Costs'!$B$14:$B$47&gt;=$B195+1)*('2027 Avoided Costs'!$B$14:$B$47&lt;$B195+ROUND($O195,0)))))+_xlfn.XLOOKUP($B195,'2027 Avoided Costs'!$B$13:$B$47,'2027 Avoided Costs'!$C$13:$C$47),IF($O195=1,0,NPV('2027 Avoided Costs'!$D$6,_xlfn._xlws.FILTER('2027 Avoided Costs'!$E$14:$E$47,('2027 Avoided Costs'!$B$14:$B$47&gt;=$B195+1)*('2027 Avoided Costs'!$B$14:$B$47&lt;$B195+ROUND($O195,0)))))+_xlfn.XLOOKUP($B195,'2027 Avoided Costs'!$B$13:$B$47,'2027 Avoided Costs'!$E$13:$E$47))*IF($AE195&lt;0,$AE195*(-1),0),0)</f>
        <v>0</v>
      </c>
      <c r="BA195" s="291" cm="1">
        <f t="array" ref="BA195">IFERROR((IF($O195=1,0,NPV('2027 Avoided Costs'!$D$6,_xlfn._xlws.FILTER('2027 Avoided Costs'!$M$14:$M$47,('2027 Avoided Costs'!$B$14:$B$47&gt;=$B195+1)*('2027 Avoided Costs'!$B$14:$B$47&lt;$B195+ROUND($O195,0)))))+_xlfn.XLOOKUP($B195,'2027 Avoided Costs'!$B$13:$B$47,'2027 Avoided Costs'!$M$13:$M$47))*IF($AK195&lt;0,$AK195*(-1),0),0)</f>
        <v>0</v>
      </c>
      <c r="BB195" s="291" cm="1">
        <f t="array" ref="BB195">IFERROR((IF($O195=1,0,NPV('2027 Avoided Costs'!$D$6,_xlfn._xlws.FILTER('2027 Avoided Costs'!$S$14:$S$47,('2027 Avoided Costs'!$B$14:$B$47&gt;=$B195+1)*('2027 Avoided Costs'!$B$14:$B$47&lt;$B195+ROUND($O195,0)))))+_xlfn.XLOOKUP($B195,'2027 Avoided Costs'!$B$13:$B$47,'2027 Avoided Costs'!$S$13:$S$47))*IF($AI195&lt;0,$AI195*(-1),0),0)</f>
        <v>0</v>
      </c>
      <c r="BC195" s="291" cm="1">
        <f t="array" ref="BC195">IFERROR((IF($O195=1,0,NPV('2027 Avoided Costs'!$D$6,_xlfn._xlws.FILTER('2027 Avoided Costs'!$Y$14:$Y$47,('2027 Avoided Costs'!$B$14:$B$47&gt;=$B195+1)*('2027 Avoided Costs'!$B$14:$B$47&lt;$B195+ROUND($O195,0)))))+_xlfn.XLOOKUP($B195,'2027 Avoided Costs'!$B$13:$B$47,'2027 Avoided Costs'!$Y$13:$Y$47))*IF($AM195&lt;0,$AM195*(-1),0),0)</f>
        <v>0</v>
      </c>
      <c r="BD195" s="291" cm="1">
        <f t="array" ref="BD195">IFERROR((IF($O195=1,0,NPV('2027 Avoided Costs'!$D$6,_xlfn._xlws.FILTER('2027 Avoided Costs'!$AE$14:$AE$47,('2027 Avoided Costs'!$B$14:$B$47&gt;=$B195+1)*('2027 Avoided Costs'!$B$14:$B$47&lt;$B195+ROUND($O195,0)))))+_xlfn.XLOOKUP($B195,'2027 Avoided Costs'!$B$13:$B$47,'2027 Avoided Costs'!$AE$13:$AE$47))*IF($AO195&lt;0,$AO195*(-1),0),0)</f>
        <v>0</v>
      </c>
      <c r="BE195" s="291" cm="1">
        <f t="array" ref="BE195">IFERROR((IF($O195=1,0,NPV('2027 Avoided Costs'!$D$4,_xlfn._xlws.FILTER('2027 Avoided Costs'!$I$14:$I$47,('2027 Avoided Costs'!$B$14:$B$47&gt;=$B195+1)*('2027 Avoided Costs'!$B$14:$B$47&lt;$B195+ROUND($O195,0)))))+_xlfn.XLOOKUP($B195,'2027 Avoided Costs'!$B$13:$B$47,'2027 Avoided Costs'!$I$13:$I$47))*IF($X195="Residential",'2027 Avoided Costs'!$J$5,IF($X195="Large Volume",'2027 Avoided Costs'!$J$7,'2027 Avoided Costs'!$J$6))*IF($AE195&lt;0,$AE195*(-1),0),0)</f>
        <v>0</v>
      </c>
      <c r="BF195" s="291">
        <f t="shared" si="58"/>
        <v>1837589.4294084185</v>
      </c>
      <c r="BG195" s="291">
        <f t="shared" si="59"/>
        <v>722264.4</v>
      </c>
      <c r="BH195" s="291">
        <f t="shared" si="60"/>
        <v>1115325.0294084186</v>
      </c>
      <c r="BI195" s="292">
        <f t="shared" si="83"/>
        <v>2.5442060129343469</v>
      </c>
      <c r="BJ195" s="196" cm="1">
        <f t="array" ref="BJ195">IFERROR(IF($J195="Baseload",IF($O195=1,0,NPV('2027 Avoided Costs'!$D$6,_xlfn._xlws.FILTER('2027 Avoided Costs'!$C$14:$C$47,('2027 Avoided Costs'!$B$14:$B$47&gt;=$B195+1)*('2027 Avoided Costs'!$B$14:$B$47&lt;$B195+ROUND($O195,0)))))+_xlfn.XLOOKUP($B195,'2027 Avoided Costs'!$B$13:$B$47,'2027 Avoided Costs'!$C$13:$C$47),IF($O195=1,0,NPV('2027 Avoided Costs'!$D$6,_xlfn._xlws.FILTER('2027 Avoided Costs'!$E$14:$E$47,('2027 Avoided Costs'!$B$14:$B$47&gt;=$B195+1)*('2027 Avoided Costs'!$B$14:$B$47&lt;$B195+ROUND($O195,0)))))+_xlfn.XLOOKUP($B195,'2027 Avoided Costs'!$B$13:$B$47,'2027 Avoided Costs'!$E$13:$E$47))*IF($AE195&gt;0,$AE195*(1+0),0),0)</f>
        <v>1392921.3247383437</v>
      </c>
      <c r="BK195" s="293">
        <f t="shared" si="81"/>
        <v>3.3004936093608865</v>
      </c>
    </row>
    <row r="196" spans="1:63" s="56" customFormat="1" x14ac:dyDescent="0.25">
      <c r="A196" s="270" t="s">
        <v>133</v>
      </c>
      <c r="B196" s="271">
        <v>2027</v>
      </c>
      <c r="C196" s="272" t="s">
        <v>13</v>
      </c>
      <c r="D196" s="272" t="s">
        <v>167</v>
      </c>
      <c r="E196" s="272" t="s">
        <v>1</v>
      </c>
      <c r="F196" s="273">
        <v>28</v>
      </c>
      <c r="G196" s="274">
        <v>1250</v>
      </c>
      <c r="H196" s="275">
        <f t="shared" si="61"/>
        <v>1.1061946902654867</v>
      </c>
      <c r="I196" s="274">
        <v>50</v>
      </c>
      <c r="J196" s="276" t="s">
        <v>264</v>
      </c>
      <c r="K196" s="277">
        <f t="shared" si="57"/>
        <v>0.8</v>
      </c>
      <c r="L196" s="278">
        <v>0.19999999999999996</v>
      </c>
      <c r="M196" s="278">
        <v>0</v>
      </c>
      <c r="N196" s="278">
        <v>1</v>
      </c>
      <c r="O196" s="279">
        <v>16</v>
      </c>
      <c r="P196" s="280">
        <v>1130</v>
      </c>
      <c r="Q196" s="281">
        <v>-4121</v>
      </c>
      <c r="R196" s="282">
        <v>6.3624999999999973E-2</v>
      </c>
      <c r="S196" s="282">
        <v>-2.04</v>
      </c>
      <c r="T196" s="281">
        <v>0</v>
      </c>
      <c r="U196" s="283">
        <v>0</v>
      </c>
      <c r="V196" s="284">
        <v>6097</v>
      </c>
      <c r="W196" s="285">
        <v>0.15</v>
      </c>
      <c r="X196" s="286" t="s">
        <v>255</v>
      </c>
      <c r="Y196" s="287">
        <f t="shared" si="62"/>
        <v>28</v>
      </c>
      <c r="Z196" s="288">
        <f t="shared" si="63"/>
        <v>35000</v>
      </c>
      <c r="AA196" s="288">
        <f t="shared" si="64"/>
        <v>1400</v>
      </c>
      <c r="AB196" s="288">
        <f t="shared" si="65"/>
        <v>35000</v>
      </c>
      <c r="AC196" s="288">
        <f t="shared" si="82"/>
        <v>1400</v>
      </c>
      <c r="AD196" s="287">
        <f t="shared" si="66"/>
        <v>31640</v>
      </c>
      <c r="AE196" s="287">
        <f t="shared" si="67"/>
        <v>25312</v>
      </c>
      <c r="AF196" s="287">
        <f t="shared" si="68"/>
        <v>506240</v>
      </c>
      <c r="AG196" s="287">
        <f t="shared" si="69"/>
        <v>404992</v>
      </c>
      <c r="AH196" s="287">
        <f t="shared" si="70"/>
        <v>-123695.936</v>
      </c>
      <c r="AI196" s="287">
        <f t="shared" si="71"/>
        <v>-98956.748800000016</v>
      </c>
      <c r="AJ196" s="287">
        <f t="shared" si="72"/>
        <v>0</v>
      </c>
      <c r="AK196" s="287">
        <f t="shared" si="73"/>
        <v>0</v>
      </c>
      <c r="AL196" s="287">
        <f t="shared" si="74"/>
        <v>1.9097679999999992</v>
      </c>
      <c r="AM196" s="287">
        <f t="shared" si="75"/>
        <v>1.5278143999999994</v>
      </c>
      <c r="AN196" s="287">
        <f t="shared" si="76"/>
        <v>-61.232640000000011</v>
      </c>
      <c r="AO196" s="287">
        <f t="shared" si="77"/>
        <v>-48.986112000000006</v>
      </c>
      <c r="AP196" s="287">
        <f t="shared" si="78"/>
        <v>170716</v>
      </c>
      <c r="AQ196" s="287">
        <f t="shared" si="79"/>
        <v>136572.80000000002</v>
      </c>
      <c r="AR196" s="287">
        <f t="shared" si="80"/>
        <v>0</v>
      </c>
      <c r="AS196" s="289" t="e">
        <f>IF(J196='2027 Avoided Costs'!#REF!,3,5)</f>
        <v>#REF!</v>
      </c>
      <c r="AT196" s="290" cm="1">
        <f t="array" ref="AT196">IFERROR(IF($J196="Baseload",IF($O196=1,0,NPV('2027 Avoided Costs'!$D$6,_xlfn._xlws.FILTER('2027 Avoided Costs'!$C$14:$C$47,('2027 Avoided Costs'!$B$14:$B$47&gt;=$B196+1)*('2027 Avoided Costs'!$B$14:$B$47&lt;$B196+ROUND($O196,0)))))+_xlfn.XLOOKUP($B196,'2027 Avoided Costs'!$B$13:$B$47,'2027 Avoided Costs'!$C$13:$C$47),IF($O196=1,0,NPV('2027 Avoided Costs'!$D$6,_xlfn._xlws.FILTER('2027 Avoided Costs'!$E$14:$E$47,('2027 Avoided Costs'!$B$14:$B$47&gt;=$B196+1)*('2027 Avoided Costs'!$B$14:$B$47&lt;$B196+ROUND($O196,0)))))+_xlfn.XLOOKUP($B196,'2027 Avoided Costs'!$B$13:$B$47,'2027 Avoided Costs'!$E$13:$E$47))*IF($AE196&gt;0,$AE196*(1+$W196),0),0)</f>
        <v>105034.02068313576</v>
      </c>
      <c r="AU196" s="290" cm="1">
        <f t="array" ref="AU196">IFERROR((IF($O196=1,0,NPV('2027 Avoided Costs'!$D$6,_xlfn._xlws.FILTER('2027 Avoided Costs'!$M$14:$M$47,('2027 Avoided Costs'!$B$14:$B$47&gt;=$B196+1)*('2027 Avoided Costs'!$B$14:$B$47&lt;$B196+ROUND($O196,0)))))+_xlfn.XLOOKUP($B196,'2027 Avoided Costs'!$B$13:$B$47,'2027 Avoided Costs'!$M$13:$M$47))*IF($AK196&gt;0,$AK196*(1+$W196),0),0)</f>
        <v>0</v>
      </c>
      <c r="AV196" s="291" cm="1">
        <f t="array" ref="AV196">IFERROR((IF($O196=1,0,NPV('2027 Avoided Costs'!$D$6,_xlfn._xlws.FILTER('2027 Avoided Costs'!$Q$14:$Q$47,('2027 Avoided Costs'!$B$14:$B$47&gt;=$B196+1)*('2027 Avoided Costs'!$B$14:$B$47&lt;$B196+ROUND($O196,0)))))+_xlfn.XLOOKUP($B196,'2027 Avoided Costs'!$B$13:$B$47,'2027 Avoided Costs'!$Q$13:$Q$47))*IF($AI196&gt;0,$AI196*(1+$W196),0),0)</f>
        <v>0</v>
      </c>
      <c r="AW196" s="291" cm="1">
        <f t="array" ref="AW196">IFERROR((IF($O196=1,0,NPV('2027 Avoided Costs'!$D$6,_xlfn._xlws.FILTER('2027 Avoided Costs'!$W$14:$W$47,('2027 Avoided Costs'!$B$14:$B$47&gt;=$B196+1)*('2027 Avoided Costs'!$B$14:$B$47&lt;$B196+ROUND($O196,0)))))+_xlfn.XLOOKUP($B196,'2027 Avoided Costs'!$B$13:$B$47,'2027 Avoided Costs'!$W$13:$W$47))*IF($AM196&gt;0,$AM196*(1+$W196),0),0)</f>
        <v>6269.5579583618392</v>
      </c>
      <c r="AX196" s="291" cm="1">
        <f t="array" ref="AX196">IFERROR((IF($O196=1,0,NPV('2027 Avoided Costs'!$D$6,_xlfn._xlws.FILTER('2027 Avoided Costs'!$AC$14:$AC$47,('2027 Avoided Costs'!$B$14:$B$47&gt;=$B196+1)*('2027 Avoided Costs'!$B$14:$B$47&lt;$B196+ROUND($O196,0)))))+_xlfn.XLOOKUP($B196,'2027 Avoided Costs'!$B$13:$B$47,'2027 Avoided Costs'!$AC$13:$AC$47))*IF($AO196&gt;0,$AO196*(1+$W196),0),0)</f>
        <v>0</v>
      </c>
      <c r="AY196" s="291" cm="1">
        <f t="array" ref="AY196">IFERROR((IF($O196=1,0,NPV('2027 Avoided Costs'!$D$4,_xlfn._xlws.FILTER('2027 Avoided Costs'!$I$14:$I$47,('2027 Avoided Costs'!$B$14:$B$47&gt;=$B196+1)*('2027 Avoided Costs'!$B$14:$B$47&lt;$B196+ROUND($O196,0)))))+_xlfn.XLOOKUP($B196,'2027 Avoided Costs'!$B$13:$B$47,'2027 Avoided Costs'!$I$13:$I$47))*IF($X196="Residential",'2027 Avoided Costs'!$J$5,IF($X196="Large Volume",'2027 Avoided Costs'!$J$7,'2027 Avoided Costs'!$J$6))*IF($AE196&gt;0,$AE196,0),0)</f>
        <v>0</v>
      </c>
      <c r="AZ196" s="291" cm="1">
        <f t="array" ref="AZ196">IFERROR(IF($J196="Baseload",IF($O196=1,0,NPV('2027 Avoided Costs'!$D$6,_xlfn._xlws.FILTER('2027 Avoided Costs'!$C$14:$C$47,('2027 Avoided Costs'!$B$14:$B$47&gt;=$B196+1)*('2027 Avoided Costs'!$B$14:$B$47&lt;$B196+ROUND($O196,0)))))+_xlfn.XLOOKUP($B196,'2027 Avoided Costs'!$B$13:$B$47,'2027 Avoided Costs'!$C$13:$C$47),IF($O196=1,0,NPV('2027 Avoided Costs'!$D$6,_xlfn._xlws.FILTER('2027 Avoided Costs'!$E$14:$E$47,('2027 Avoided Costs'!$B$14:$B$47&gt;=$B196+1)*('2027 Avoided Costs'!$B$14:$B$47&lt;$B196+ROUND($O196,0)))))+_xlfn.XLOOKUP($B196,'2027 Avoided Costs'!$B$13:$B$47,'2027 Avoided Costs'!$E$13:$E$47))*IF($AE196&lt;0,$AE196*(-1),0),0)</f>
        <v>0</v>
      </c>
      <c r="BA196" s="291" cm="1">
        <f t="array" ref="BA196">IFERROR((IF($O196=1,0,NPV('2027 Avoided Costs'!$D$6,_xlfn._xlws.FILTER('2027 Avoided Costs'!$M$14:$M$47,('2027 Avoided Costs'!$B$14:$B$47&gt;=$B196+1)*('2027 Avoided Costs'!$B$14:$B$47&lt;$B196+ROUND($O196,0)))))+_xlfn.XLOOKUP($B196,'2027 Avoided Costs'!$B$13:$B$47,'2027 Avoided Costs'!$M$13:$M$47))*IF($AK196&lt;0,$AK196*(-1),0),0)</f>
        <v>0</v>
      </c>
      <c r="BB196" s="291" cm="1">
        <f t="array" ref="BB196">IFERROR((IF($O196=1,0,NPV('2027 Avoided Costs'!$D$6,_xlfn._xlws.FILTER('2027 Avoided Costs'!$S$14:$S$47,('2027 Avoided Costs'!$B$14:$B$47&gt;=$B196+1)*('2027 Avoided Costs'!$B$14:$B$47&lt;$B196+ROUND($O196,0)))))+_xlfn.XLOOKUP($B196,'2027 Avoided Costs'!$B$13:$B$47,'2027 Avoided Costs'!$S$13:$S$47))*IF($AI196&lt;0,$AI196*(-1),0),0)</f>
        <v>59570.199766875397</v>
      </c>
      <c r="BC196" s="291" cm="1">
        <f t="array" ref="BC196">IFERROR((IF($O196=1,0,NPV('2027 Avoided Costs'!$D$6,_xlfn._xlws.FILTER('2027 Avoided Costs'!$Y$14:$Y$47,('2027 Avoided Costs'!$B$14:$B$47&gt;=$B196+1)*('2027 Avoided Costs'!$B$14:$B$47&lt;$B196+ROUND($O196,0)))))+_xlfn.XLOOKUP($B196,'2027 Avoided Costs'!$B$13:$B$47,'2027 Avoided Costs'!$Y$13:$Y$47))*IF($AM196&lt;0,$AM196*(-1),0),0)</f>
        <v>0</v>
      </c>
      <c r="BD196" s="291" cm="1">
        <f t="array" ref="BD196">IFERROR((IF($O196=1,0,NPV('2027 Avoided Costs'!$D$6,_xlfn._xlws.FILTER('2027 Avoided Costs'!$AE$14:$AE$47,('2027 Avoided Costs'!$B$14:$B$47&gt;=$B196+1)*('2027 Avoided Costs'!$B$14:$B$47&lt;$B196+ROUND($O196,0)))))+_xlfn.XLOOKUP($B196,'2027 Avoided Costs'!$B$13:$B$47,'2027 Avoided Costs'!$AE$13:$AE$47))*IF($AO196&lt;0,$AO196*(-1),0),0)</f>
        <v>10400.909072378554</v>
      </c>
      <c r="BE196" s="291" cm="1">
        <f t="array" ref="BE196">IFERROR((IF($O196=1,0,NPV('2027 Avoided Costs'!$D$4,_xlfn._xlws.FILTER('2027 Avoided Costs'!$I$14:$I$47,('2027 Avoided Costs'!$B$14:$B$47&gt;=$B196+1)*('2027 Avoided Costs'!$B$14:$B$47&lt;$B196+ROUND($O196,0)))))+_xlfn.XLOOKUP($B196,'2027 Avoided Costs'!$B$13:$B$47,'2027 Avoided Costs'!$I$13:$I$47))*IF($X196="Residential",'2027 Avoided Costs'!$J$5,IF($X196="Large Volume",'2027 Avoided Costs'!$J$7,'2027 Avoided Costs'!$J$6))*IF($AE196&lt;0,$AE196*(-1),0),0)</f>
        <v>0</v>
      </c>
      <c r="BF196" s="291">
        <f t="shared" ref="BF196:BF255" si="84">SUM(AT196:AY196)+IF(AQ196&lt;0,AQ196*(-1),0)</f>
        <v>111303.5786414976</v>
      </c>
      <c r="BG196" s="291">
        <f t="shared" ref="BG196:BG255" si="85">SUM(AZ196:BE196)+IF(AQ196&gt;=0,AQ196,0)</f>
        <v>206543.90883925397</v>
      </c>
      <c r="BH196" s="291">
        <f t="shared" ref="BH196:BH255" si="86">BF196-BG196</f>
        <v>-95240.330197756368</v>
      </c>
      <c r="BI196" s="292">
        <f t="shared" si="83"/>
        <v>0.53888579560156069</v>
      </c>
      <c r="BJ196" s="196" cm="1">
        <f t="array" ref="BJ196">IFERROR(IF($J196="Baseload",IF($O196=1,0,NPV('2027 Avoided Costs'!$D$6,_xlfn._xlws.FILTER('2027 Avoided Costs'!$C$14:$C$47,('2027 Avoided Costs'!$B$14:$B$47&gt;=$B196+1)*('2027 Avoided Costs'!$B$14:$B$47&lt;$B196+ROUND($O196,0)))))+_xlfn.XLOOKUP($B196,'2027 Avoided Costs'!$B$13:$B$47,'2027 Avoided Costs'!$C$13:$C$47),IF($O196=1,0,NPV('2027 Avoided Costs'!$D$6,_xlfn._xlws.FILTER('2027 Avoided Costs'!$E$14:$E$47,('2027 Avoided Costs'!$B$14:$B$47&gt;=$B196+1)*('2027 Avoided Costs'!$B$14:$B$47&lt;$B196+ROUND($O196,0)))))+_xlfn.XLOOKUP($B196,'2027 Avoided Costs'!$B$13:$B$47,'2027 Avoided Costs'!$E$13:$E$47))*IF($AE196&gt;0,$AE196*(1+0),0),0)</f>
        <v>91333.931028813706</v>
      </c>
      <c r="BK196" s="293">
        <f t="shared" si="81"/>
        <v>2.5091739293630138</v>
      </c>
    </row>
    <row r="197" spans="1:63" s="56" customFormat="1" x14ac:dyDescent="0.25">
      <c r="A197" s="270" t="s">
        <v>133</v>
      </c>
      <c r="B197" s="271">
        <v>2027</v>
      </c>
      <c r="C197" s="272" t="s">
        <v>13</v>
      </c>
      <c r="D197" s="272" t="s">
        <v>167</v>
      </c>
      <c r="E197" s="272" t="s">
        <v>356</v>
      </c>
      <c r="F197" s="273">
        <v>3</v>
      </c>
      <c r="G197" s="274">
        <v>1500</v>
      </c>
      <c r="H197" s="275">
        <f t="shared" si="61"/>
        <v>2.5167785234899327</v>
      </c>
      <c r="I197" s="274">
        <v>0</v>
      </c>
      <c r="J197" s="276" t="s">
        <v>263</v>
      </c>
      <c r="K197" s="277">
        <f t="shared" ref="K197:K256" si="87">1-L197+M197</f>
        <v>0.8</v>
      </c>
      <c r="L197" s="278">
        <v>0.19999999999999996</v>
      </c>
      <c r="M197" s="278">
        <v>0</v>
      </c>
      <c r="N197" s="278">
        <v>1</v>
      </c>
      <c r="O197" s="279">
        <v>15</v>
      </c>
      <c r="P197" s="280">
        <v>596</v>
      </c>
      <c r="Q197" s="281">
        <v>-1325</v>
      </c>
      <c r="R197" s="282">
        <v>-0.152</v>
      </c>
      <c r="S197" s="282">
        <v>-0.24</v>
      </c>
      <c r="T197" s="281">
        <v>0</v>
      </c>
      <c r="U197" s="283">
        <v>0</v>
      </c>
      <c r="V197" s="284">
        <v>1832</v>
      </c>
      <c r="W197" s="285">
        <v>0.15</v>
      </c>
      <c r="X197" s="286" t="s">
        <v>255</v>
      </c>
      <c r="Y197" s="287">
        <f t="shared" si="62"/>
        <v>3</v>
      </c>
      <c r="Z197" s="288">
        <f t="shared" si="63"/>
        <v>4500</v>
      </c>
      <c r="AA197" s="288">
        <f t="shared" si="64"/>
        <v>0</v>
      </c>
      <c r="AB197" s="288">
        <f t="shared" si="65"/>
        <v>4500</v>
      </c>
      <c r="AC197" s="288">
        <f t="shared" si="82"/>
        <v>0</v>
      </c>
      <c r="AD197" s="287">
        <f t="shared" si="66"/>
        <v>1788</v>
      </c>
      <c r="AE197" s="287">
        <f t="shared" si="67"/>
        <v>1430.4</v>
      </c>
      <c r="AF197" s="287">
        <f t="shared" si="68"/>
        <v>26820</v>
      </c>
      <c r="AG197" s="287">
        <f t="shared" si="69"/>
        <v>21456</v>
      </c>
      <c r="AH197" s="287">
        <f t="shared" si="70"/>
        <v>-4261.2</v>
      </c>
      <c r="AI197" s="287">
        <f t="shared" si="71"/>
        <v>-3408.96</v>
      </c>
      <c r="AJ197" s="287">
        <f t="shared" si="72"/>
        <v>0</v>
      </c>
      <c r="AK197" s="287">
        <f t="shared" si="73"/>
        <v>0</v>
      </c>
      <c r="AL197" s="287">
        <f t="shared" si="74"/>
        <v>-0.48883199999999999</v>
      </c>
      <c r="AM197" s="287">
        <f t="shared" si="75"/>
        <v>-0.39106560000000001</v>
      </c>
      <c r="AN197" s="287">
        <f t="shared" si="76"/>
        <v>-0.77183999999999997</v>
      </c>
      <c r="AO197" s="287">
        <f t="shared" si="77"/>
        <v>-0.61747200000000013</v>
      </c>
      <c r="AP197" s="287">
        <f t="shared" si="78"/>
        <v>5496</v>
      </c>
      <c r="AQ197" s="287">
        <f t="shared" si="79"/>
        <v>4396.8</v>
      </c>
      <c r="AR197" s="287">
        <f t="shared" si="80"/>
        <v>0</v>
      </c>
      <c r="AS197" s="289" t="e">
        <f>IF(J197='2027 Avoided Costs'!#REF!,3,5)</f>
        <v>#REF!</v>
      </c>
      <c r="AT197" s="290" cm="1">
        <f t="array" ref="AT197">IFERROR(IF($J197="Baseload",IF($O197=1,0,NPV('2027 Avoided Costs'!$D$6,_xlfn._xlws.FILTER('2027 Avoided Costs'!$C$14:$C$47,('2027 Avoided Costs'!$B$14:$B$47&gt;=$B197+1)*('2027 Avoided Costs'!$B$14:$B$47&lt;$B197+ROUND($O197,0)))))+_xlfn.XLOOKUP($B197,'2027 Avoided Costs'!$B$13:$B$47,'2027 Avoided Costs'!$C$13:$C$47),IF($O197=1,0,NPV('2027 Avoided Costs'!$D$6,_xlfn._xlws.FILTER('2027 Avoided Costs'!$E$14:$E$47,('2027 Avoided Costs'!$B$14:$B$47&gt;=$B197+1)*('2027 Avoided Costs'!$B$14:$B$47&lt;$B197+ROUND($O197,0)))))+_xlfn.XLOOKUP($B197,'2027 Avoided Costs'!$B$13:$B$47,'2027 Avoided Costs'!$E$13:$E$47))*IF($AE197&gt;0,$AE197*(1+$W197),0),0)</f>
        <v>5000.1945194945674</v>
      </c>
      <c r="AU197" s="290" cm="1">
        <f t="array" ref="AU197">IFERROR((IF($O197=1,0,NPV('2027 Avoided Costs'!$D$6,_xlfn._xlws.FILTER('2027 Avoided Costs'!$M$14:$M$47,('2027 Avoided Costs'!$B$14:$B$47&gt;=$B197+1)*('2027 Avoided Costs'!$B$14:$B$47&lt;$B197+ROUND($O197,0)))))+_xlfn.XLOOKUP($B197,'2027 Avoided Costs'!$B$13:$B$47,'2027 Avoided Costs'!$M$13:$M$47))*IF($AK197&gt;0,$AK197*(1+$W197),0),0)</f>
        <v>0</v>
      </c>
      <c r="AV197" s="291" cm="1">
        <f t="array" ref="AV197">IFERROR((IF($O197=1,0,NPV('2027 Avoided Costs'!$D$6,_xlfn._xlws.FILTER('2027 Avoided Costs'!$Q$14:$Q$47,('2027 Avoided Costs'!$B$14:$B$47&gt;=$B197+1)*('2027 Avoided Costs'!$B$14:$B$47&lt;$B197+ROUND($O197,0)))))+_xlfn.XLOOKUP($B197,'2027 Avoided Costs'!$B$13:$B$47,'2027 Avoided Costs'!$Q$13:$Q$47))*IF($AI197&gt;0,$AI197*(1+$W197),0),0)</f>
        <v>0</v>
      </c>
      <c r="AW197" s="291" cm="1">
        <f t="array" ref="AW197">IFERROR((IF($O197=1,0,NPV('2027 Avoided Costs'!$D$6,_xlfn._xlws.FILTER('2027 Avoided Costs'!$W$14:$W$47,('2027 Avoided Costs'!$B$14:$B$47&gt;=$B197+1)*('2027 Avoided Costs'!$B$14:$B$47&lt;$B197+ROUND($O197,0)))))+_xlfn.XLOOKUP($B197,'2027 Avoided Costs'!$B$13:$B$47,'2027 Avoided Costs'!$W$13:$W$47))*IF($AM197&gt;0,$AM197*(1+$W197),0),0)</f>
        <v>0</v>
      </c>
      <c r="AX197" s="291" cm="1">
        <f t="array" ref="AX197">IFERROR((IF($O197=1,0,NPV('2027 Avoided Costs'!$D$6,_xlfn._xlws.FILTER('2027 Avoided Costs'!$AC$14:$AC$47,('2027 Avoided Costs'!$B$14:$B$47&gt;=$B197+1)*('2027 Avoided Costs'!$B$14:$B$47&lt;$B197+ROUND($O197,0)))))+_xlfn.XLOOKUP($B197,'2027 Avoided Costs'!$B$13:$B$47,'2027 Avoided Costs'!$AC$13:$AC$47))*IF($AO197&gt;0,$AO197*(1+$W197),0),0)</f>
        <v>0</v>
      </c>
      <c r="AY197" s="291" cm="1">
        <f t="array" ref="AY197">IFERROR((IF($O197=1,0,NPV('2027 Avoided Costs'!$D$4,_xlfn._xlws.FILTER('2027 Avoided Costs'!$I$14:$I$47,('2027 Avoided Costs'!$B$14:$B$47&gt;=$B197+1)*('2027 Avoided Costs'!$B$14:$B$47&lt;$B197+ROUND($O197,0)))))+_xlfn.XLOOKUP($B197,'2027 Avoided Costs'!$B$13:$B$47,'2027 Avoided Costs'!$I$13:$I$47))*IF($X197="Residential",'2027 Avoided Costs'!$J$5,IF($X197="Large Volume",'2027 Avoided Costs'!$J$7,'2027 Avoided Costs'!$J$6))*IF($AE197&gt;0,$AE197,0),0)</f>
        <v>0</v>
      </c>
      <c r="AZ197" s="291" cm="1">
        <f t="array" ref="AZ197">IFERROR(IF($J197="Baseload",IF($O197=1,0,NPV('2027 Avoided Costs'!$D$6,_xlfn._xlws.FILTER('2027 Avoided Costs'!$C$14:$C$47,('2027 Avoided Costs'!$B$14:$B$47&gt;=$B197+1)*('2027 Avoided Costs'!$B$14:$B$47&lt;$B197+ROUND($O197,0)))))+_xlfn.XLOOKUP($B197,'2027 Avoided Costs'!$B$13:$B$47,'2027 Avoided Costs'!$C$13:$C$47),IF($O197=1,0,NPV('2027 Avoided Costs'!$D$6,_xlfn._xlws.FILTER('2027 Avoided Costs'!$E$14:$E$47,('2027 Avoided Costs'!$B$14:$B$47&gt;=$B197+1)*('2027 Avoided Costs'!$B$14:$B$47&lt;$B197+ROUND($O197,0)))))+_xlfn.XLOOKUP($B197,'2027 Avoided Costs'!$B$13:$B$47,'2027 Avoided Costs'!$E$13:$E$47))*IF($AE197&lt;0,$AE197*(-1),0),0)</f>
        <v>0</v>
      </c>
      <c r="BA197" s="291" cm="1">
        <f t="array" ref="BA197">IFERROR((IF($O197=1,0,NPV('2027 Avoided Costs'!$D$6,_xlfn._xlws.FILTER('2027 Avoided Costs'!$M$14:$M$47,('2027 Avoided Costs'!$B$14:$B$47&gt;=$B197+1)*('2027 Avoided Costs'!$B$14:$B$47&lt;$B197+ROUND($O197,0)))))+_xlfn.XLOOKUP($B197,'2027 Avoided Costs'!$B$13:$B$47,'2027 Avoided Costs'!$M$13:$M$47))*IF($AK197&lt;0,$AK197*(-1),0),0)</f>
        <v>0</v>
      </c>
      <c r="BB197" s="291" cm="1">
        <f t="array" ref="BB197">IFERROR((IF($O197=1,0,NPV('2027 Avoided Costs'!$D$6,_xlfn._xlws.FILTER('2027 Avoided Costs'!$S$14:$S$47,('2027 Avoided Costs'!$B$14:$B$47&gt;=$B197+1)*('2027 Avoided Costs'!$B$14:$B$47&lt;$B197+ROUND($O197,0)))))+_xlfn.XLOOKUP($B197,'2027 Avoided Costs'!$B$13:$B$47,'2027 Avoided Costs'!$S$13:$S$47))*IF($AI197&lt;0,$AI197*(-1),0),0)</f>
        <v>1962.5192416137527</v>
      </c>
      <c r="BC197" s="291" cm="1">
        <f t="array" ref="BC197">IFERROR((IF($O197=1,0,NPV('2027 Avoided Costs'!$D$6,_xlfn._xlws.FILTER('2027 Avoided Costs'!$Y$14:$Y$47,('2027 Avoided Costs'!$B$14:$B$47&gt;=$B197+1)*('2027 Avoided Costs'!$B$14:$B$47&lt;$B197+ROUND($O197,0)))))+_xlfn.XLOOKUP($B197,'2027 Avoided Costs'!$B$13:$B$47,'2027 Avoided Costs'!$Y$13:$Y$47))*IF($AM197&lt;0,$AM197*(-1),0),0)</f>
        <v>1317.8974875206102</v>
      </c>
      <c r="BD197" s="291" cm="1">
        <f t="array" ref="BD197">IFERROR((IF($O197=1,0,NPV('2027 Avoided Costs'!$D$6,_xlfn._xlws.FILTER('2027 Avoided Costs'!$AE$14:$AE$47,('2027 Avoided Costs'!$B$14:$B$47&gt;=$B197+1)*('2027 Avoided Costs'!$B$14:$B$47&lt;$B197+ROUND($O197,0)))))+_xlfn.XLOOKUP($B197,'2027 Avoided Costs'!$B$13:$B$47,'2027 Avoided Costs'!$AE$13:$AE$47))*IF($AO197&lt;0,$AO197*(-1),0),0)</f>
        <v>131.10389587031793</v>
      </c>
      <c r="BE197" s="291" cm="1">
        <f t="array" ref="BE197">IFERROR((IF($O197=1,0,NPV('2027 Avoided Costs'!$D$4,_xlfn._xlws.FILTER('2027 Avoided Costs'!$I$14:$I$47,('2027 Avoided Costs'!$B$14:$B$47&gt;=$B197+1)*('2027 Avoided Costs'!$B$14:$B$47&lt;$B197+ROUND($O197,0)))))+_xlfn.XLOOKUP($B197,'2027 Avoided Costs'!$B$13:$B$47,'2027 Avoided Costs'!$I$13:$I$47))*IF($X197="Residential",'2027 Avoided Costs'!$J$5,IF($X197="Large Volume",'2027 Avoided Costs'!$J$7,'2027 Avoided Costs'!$J$6))*IF($AE197&lt;0,$AE197*(-1),0),0)</f>
        <v>0</v>
      </c>
      <c r="BF197" s="291">
        <f t="shared" si="84"/>
        <v>5000.1945194945674</v>
      </c>
      <c r="BG197" s="291">
        <f t="shared" si="85"/>
        <v>7808.3206250046806</v>
      </c>
      <c r="BH197" s="291">
        <f t="shared" si="86"/>
        <v>-2808.1261055101131</v>
      </c>
      <c r="BI197" s="292">
        <f t="shared" si="83"/>
        <v>0.64036746947639211</v>
      </c>
      <c r="BJ197" s="196" cm="1">
        <f t="array" ref="BJ197">IFERROR(IF($J197="Baseload",IF($O197=1,0,NPV('2027 Avoided Costs'!$D$6,_xlfn._xlws.FILTER('2027 Avoided Costs'!$C$14:$C$47,('2027 Avoided Costs'!$B$14:$B$47&gt;=$B197+1)*('2027 Avoided Costs'!$B$14:$B$47&lt;$B197+ROUND($O197,0)))))+_xlfn.XLOOKUP($B197,'2027 Avoided Costs'!$B$13:$B$47,'2027 Avoided Costs'!$C$13:$C$47),IF($O197=1,0,NPV('2027 Avoided Costs'!$D$6,_xlfn._xlws.FILTER('2027 Avoided Costs'!$E$14:$E$47,('2027 Avoided Costs'!$B$14:$B$47&gt;=$B197+1)*('2027 Avoided Costs'!$B$14:$B$47&lt;$B197+ROUND($O197,0)))))+_xlfn.XLOOKUP($B197,'2027 Avoided Costs'!$B$13:$B$47,'2027 Avoided Costs'!$E$13:$E$47))*IF($AE197&gt;0,$AE197*(1+0),0),0)</f>
        <v>4347.9952343431023</v>
      </c>
      <c r="BK197" s="293">
        <f t="shared" si="81"/>
        <v>0.96622116318735607</v>
      </c>
    </row>
    <row r="198" spans="1:63" s="56" customFormat="1" x14ac:dyDescent="0.25">
      <c r="A198" s="270" t="s">
        <v>133</v>
      </c>
      <c r="B198" s="271">
        <v>2027</v>
      </c>
      <c r="C198" s="272" t="s">
        <v>13</v>
      </c>
      <c r="D198" s="272" t="s">
        <v>167</v>
      </c>
      <c r="E198" s="272" t="s">
        <v>87</v>
      </c>
      <c r="F198" s="273">
        <v>37</v>
      </c>
      <c r="G198" s="274">
        <v>1037</v>
      </c>
      <c r="H198" s="275">
        <f t="shared" si="61"/>
        <v>3.6132404181184667</v>
      </c>
      <c r="I198" s="274">
        <v>38</v>
      </c>
      <c r="J198" s="276" t="s">
        <v>264</v>
      </c>
      <c r="K198" s="277">
        <f t="shared" si="87"/>
        <v>0.8</v>
      </c>
      <c r="L198" s="278">
        <v>0.19999999999999996</v>
      </c>
      <c r="M198" s="278">
        <v>0</v>
      </c>
      <c r="N198" s="278">
        <v>1</v>
      </c>
      <c r="O198" s="279">
        <v>22</v>
      </c>
      <c r="P198" s="280">
        <v>287</v>
      </c>
      <c r="Q198" s="281">
        <v>130</v>
      </c>
      <c r="R198" s="282">
        <v>1.6845329387422218E-2</v>
      </c>
      <c r="S198" s="282">
        <v>1.6845329387422218E-2</v>
      </c>
      <c r="T198" s="281">
        <v>0</v>
      </c>
      <c r="U198" s="283">
        <v>0</v>
      </c>
      <c r="V198" s="284">
        <v>1816</v>
      </c>
      <c r="W198" s="285">
        <v>0.15</v>
      </c>
      <c r="X198" s="286" t="s">
        <v>255</v>
      </c>
      <c r="Y198" s="287">
        <f t="shared" si="62"/>
        <v>37</v>
      </c>
      <c r="Z198" s="288">
        <f t="shared" si="63"/>
        <v>38369</v>
      </c>
      <c r="AA198" s="288">
        <f t="shared" si="64"/>
        <v>1406</v>
      </c>
      <c r="AB198" s="288">
        <f t="shared" si="65"/>
        <v>38369</v>
      </c>
      <c r="AC198" s="288">
        <f t="shared" si="82"/>
        <v>1406</v>
      </c>
      <c r="AD198" s="287">
        <f t="shared" si="66"/>
        <v>10619</v>
      </c>
      <c r="AE198" s="287">
        <f t="shared" si="67"/>
        <v>8495.2000000000007</v>
      </c>
      <c r="AF198" s="287">
        <f t="shared" si="68"/>
        <v>233618</v>
      </c>
      <c r="AG198" s="287">
        <f t="shared" si="69"/>
        <v>186894.40000000002</v>
      </c>
      <c r="AH198" s="287">
        <f t="shared" si="70"/>
        <v>5156.3200000000006</v>
      </c>
      <c r="AI198" s="287">
        <f t="shared" si="71"/>
        <v>4125.0560000000005</v>
      </c>
      <c r="AJ198" s="287">
        <f t="shared" si="72"/>
        <v>0</v>
      </c>
      <c r="AK198" s="287">
        <f t="shared" si="73"/>
        <v>0</v>
      </c>
      <c r="AL198" s="287">
        <f t="shared" si="74"/>
        <v>0.66815314482271493</v>
      </c>
      <c r="AM198" s="287">
        <f t="shared" si="75"/>
        <v>0.53452251585817201</v>
      </c>
      <c r="AN198" s="287">
        <f t="shared" si="76"/>
        <v>0.66815314482271493</v>
      </c>
      <c r="AO198" s="287">
        <f t="shared" si="77"/>
        <v>0.53452251585817201</v>
      </c>
      <c r="AP198" s="287">
        <f t="shared" si="78"/>
        <v>67192</v>
      </c>
      <c r="AQ198" s="287">
        <f t="shared" si="79"/>
        <v>53753.600000000006</v>
      </c>
      <c r="AR198" s="287">
        <f t="shared" si="80"/>
        <v>0</v>
      </c>
      <c r="AS198" s="289" t="e">
        <f>IF(J198='2027 Avoided Costs'!#REF!,3,5)</f>
        <v>#REF!</v>
      </c>
      <c r="AT198" s="290" cm="1">
        <f t="array" ref="AT198">IFERROR(IF($J198="Baseload",IF($O198=1,0,NPV('2027 Avoided Costs'!$D$6,_xlfn._xlws.FILTER('2027 Avoided Costs'!$C$14:$C$47,('2027 Avoided Costs'!$B$14:$B$47&gt;=$B198+1)*('2027 Avoided Costs'!$B$14:$B$47&lt;$B198+ROUND($O198,0)))))+_xlfn.XLOOKUP($B198,'2027 Avoided Costs'!$B$13:$B$47,'2027 Avoided Costs'!$C$13:$C$47),IF($O198=1,0,NPV('2027 Avoided Costs'!$D$6,_xlfn._xlws.FILTER('2027 Avoided Costs'!$E$14:$E$47,('2027 Avoided Costs'!$B$14:$B$47&gt;=$B198+1)*('2027 Avoided Costs'!$B$14:$B$47&lt;$B198+ROUND($O198,0)))))+_xlfn.XLOOKUP($B198,'2027 Avoided Costs'!$B$13:$B$47,'2027 Avoided Costs'!$E$13:$E$47))*IF($AE198&gt;0,$AE198*(1+$W198),0),0)</f>
        <v>45084.571314270492</v>
      </c>
      <c r="AU198" s="290" cm="1">
        <f t="array" ref="AU198">IFERROR((IF($O198=1,0,NPV('2027 Avoided Costs'!$D$6,_xlfn._xlws.FILTER('2027 Avoided Costs'!$M$14:$M$47,('2027 Avoided Costs'!$B$14:$B$47&gt;=$B198+1)*('2027 Avoided Costs'!$B$14:$B$47&lt;$B198+ROUND($O198,0)))))+_xlfn.XLOOKUP($B198,'2027 Avoided Costs'!$B$13:$B$47,'2027 Avoided Costs'!$M$13:$M$47))*IF($AK198&gt;0,$AK198*(1+$W198),0),0)</f>
        <v>0</v>
      </c>
      <c r="AV198" s="291" cm="1">
        <f t="array" ref="AV198">IFERROR((IF($O198=1,0,NPV('2027 Avoided Costs'!$D$6,_xlfn._xlws.FILTER('2027 Avoided Costs'!$Q$14:$Q$47,('2027 Avoided Costs'!$B$14:$B$47&gt;=$B198+1)*('2027 Avoided Costs'!$B$14:$B$47&lt;$B198+ROUND($O198,0)))))+_xlfn.XLOOKUP($B198,'2027 Avoided Costs'!$B$13:$B$47,'2027 Avoided Costs'!$Q$13:$Q$47))*IF($AI198&gt;0,$AI198*(1+$W198),0),0)</f>
        <v>3444.0343508419928</v>
      </c>
      <c r="AW198" s="291" cm="1">
        <f t="array" ref="AW198">IFERROR((IF($O198=1,0,NPV('2027 Avoided Costs'!$D$6,_xlfn._xlws.FILTER('2027 Avoided Costs'!$W$14:$W$47,('2027 Avoided Costs'!$B$14:$B$47&gt;=$B198+1)*('2027 Avoided Costs'!$B$14:$B$47&lt;$B198+ROUND($O198,0)))))+_xlfn.XLOOKUP($B198,'2027 Avoided Costs'!$B$13:$B$47,'2027 Avoided Costs'!$W$13:$W$47))*IF($AM198&gt;0,$AM198*(1+$W198),0),0)</f>
        <v>2681.3666864821244</v>
      </c>
      <c r="AX198" s="291" cm="1">
        <f t="array" ref="AX198">IFERROR((IF($O198=1,0,NPV('2027 Avoided Costs'!$D$6,_xlfn._xlws.FILTER('2027 Avoided Costs'!$AC$14:$AC$47,('2027 Avoided Costs'!$B$14:$B$47&gt;=$B198+1)*('2027 Avoided Costs'!$B$14:$B$47&lt;$B198+ROUND($O198,0)))))+_xlfn.XLOOKUP($B198,'2027 Avoided Costs'!$B$13:$B$47,'2027 Avoided Costs'!$AC$13:$AC$47))*IF($AO198&gt;0,$AO198*(1+$W198),0),0)</f>
        <v>376.30564124282586</v>
      </c>
      <c r="AY198" s="291" cm="1">
        <f t="array" ref="AY198">IFERROR((IF($O198=1,0,NPV('2027 Avoided Costs'!$D$4,_xlfn._xlws.FILTER('2027 Avoided Costs'!$I$14:$I$47,('2027 Avoided Costs'!$B$14:$B$47&gt;=$B198+1)*('2027 Avoided Costs'!$B$14:$B$47&lt;$B198+ROUND($O198,0)))))+_xlfn.XLOOKUP($B198,'2027 Avoided Costs'!$B$13:$B$47,'2027 Avoided Costs'!$I$13:$I$47))*IF($X198="Residential",'2027 Avoided Costs'!$J$5,IF($X198="Large Volume",'2027 Avoided Costs'!$J$7,'2027 Avoided Costs'!$J$6))*IF($AE198&gt;0,$AE198,0),0)</f>
        <v>0</v>
      </c>
      <c r="AZ198" s="291" cm="1">
        <f t="array" ref="AZ198">IFERROR(IF($J198="Baseload",IF($O198=1,0,NPV('2027 Avoided Costs'!$D$6,_xlfn._xlws.FILTER('2027 Avoided Costs'!$C$14:$C$47,('2027 Avoided Costs'!$B$14:$B$47&gt;=$B198+1)*('2027 Avoided Costs'!$B$14:$B$47&lt;$B198+ROUND($O198,0)))))+_xlfn.XLOOKUP($B198,'2027 Avoided Costs'!$B$13:$B$47,'2027 Avoided Costs'!$C$13:$C$47),IF($O198=1,0,NPV('2027 Avoided Costs'!$D$6,_xlfn._xlws.FILTER('2027 Avoided Costs'!$E$14:$E$47,('2027 Avoided Costs'!$B$14:$B$47&gt;=$B198+1)*('2027 Avoided Costs'!$B$14:$B$47&lt;$B198+ROUND($O198,0)))))+_xlfn.XLOOKUP($B198,'2027 Avoided Costs'!$B$13:$B$47,'2027 Avoided Costs'!$E$13:$E$47))*IF($AE198&lt;0,$AE198*(-1),0),0)</f>
        <v>0</v>
      </c>
      <c r="BA198" s="291" cm="1">
        <f t="array" ref="BA198">IFERROR((IF($O198=1,0,NPV('2027 Avoided Costs'!$D$6,_xlfn._xlws.FILTER('2027 Avoided Costs'!$M$14:$M$47,('2027 Avoided Costs'!$B$14:$B$47&gt;=$B198+1)*('2027 Avoided Costs'!$B$14:$B$47&lt;$B198+ROUND($O198,0)))))+_xlfn.XLOOKUP($B198,'2027 Avoided Costs'!$B$13:$B$47,'2027 Avoided Costs'!$M$13:$M$47))*IF($AK198&lt;0,$AK198*(-1),0),0)</f>
        <v>0</v>
      </c>
      <c r="BB198" s="291" cm="1">
        <f t="array" ref="BB198">IFERROR((IF($O198=1,0,NPV('2027 Avoided Costs'!$D$6,_xlfn._xlws.FILTER('2027 Avoided Costs'!$S$14:$S$47,('2027 Avoided Costs'!$B$14:$B$47&gt;=$B198+1)*('2027 Avoided Costs'!$B$14:$B$47&lt;$B198+ROUND($O198,0)))))+_xlfn.XLOOKUP($B198,'2027 Avoided Costs'!$B$13:$B$47,'2027 Avoided Costs'!$S$13:$S$47))*IF($AI198&lt;0,$AI198*(-1),0),0)</f>
        <v>0</v>
      </c>
      <c r="BC198" s="291" cm="1">
        <f t="array" ref="BC198">IFERROR((IF($O198=1,0,NPV('2027 Avoided Costs'!$D$6,_xlfn._xlws.FILTER('2027 Avoided Costs'!$Y$14:$Y$47,('2027 Avoided Costs'!$B$14:$B$47&gt;=$B198+1)*('2027 Avoided Costs'!$B$14:$B$47&lt;$B198+ROUND($O198,0)))))+_xlfn.XLOOKUP($B198,'2027 Avoided Costs'!$B$13:$B$47,'2027 Avoided Costs'!$Y$13:$Y$47))*IF($AM198&lt;0,$AM198*(-1),0),0)</f>
        <v>0</v>
      </c>
      <c r="BD198" s="291" cm="1">
        <f t="array" ref="BD198">IFERROR((IF($O198=1,0,NPV('2027 Avoided Costs'!$D$6,_xlfn._xlws.FILTER('2027 Avoided Costs'!$AE$14:$AE$47,('2027 Avoided Costs'!$B$14:$B$47&gt;=$B198+1)*('2027 Avoided Costs'!$B$14:$B$47&lt;$B198+ROUND($O198,0)))))+_xlfn.XLOOKUP($B198,'2027 Avoided Costs'!$B$13:$B$47,'2027 Avoided Costs'!$AE$13:$AE$47))*IF($AO198&lt;0,$AO198*(-1),0),0)</f>
        <v>0</v>
      </c>
      <c r="BE198" s="291" cm="1">
        <f t="array" ref="BE198">IFERROR((IF($O198=1,0,NPV('2027 Avoided Costs'!$D$4,_xlfn._xlws.FILTER('2027 Avoided Costs'!$I$14:$I$47,('2027 Avoided Costs'!$B$14:$B$47&gt;=$B198+1)*('2027 Avoided Costs'!$B$14:$B$47&lt;$B198+ROUND($O198,0)))))+_xlfn.XLOOKUP($B198,'2027 Avoided Costs'!$B$13:$B$47,'2027 Avoided Costs'!$I$13:$I$47))*IF($X198="Residential",'2027 Avoided Costs'!$J$5,IF($X198="Large Volume",'2027 Avoided Costs'!$J$7,'2027 Avoided Costs'!$J$6))*IF($AE198&lt;0,$AE198*(-1),0),0)</f>
        <v>0</v>
      </c>
      <c r="BF198" s="291">
        <f t="shared" si="84"/>
        <v>51586.277992837437</v>
      </c>
      <c r="BG198" s="291">
        <f t="shared" si="85"/>
        <v>53753.600000000006</v>
      </c>
      <c r="BH198" s="291">
        <f t="shared" si="86"/>
        <v>-2167.3220071625692</v>
      </c>
      <c r="BI198" s="292">
        <f t="shared" si="83"/>
        <v>0.95968043057278829</v>
      </c>
      <c r="BJ198" s="196" cm="1">
        <f t="array" ref="BJ198">IFERROR(IF($J198="Baseload",IF($O198=1,0,NPV('2027 Avoided Costs'!$D$6,_xlfn._xlws.FILTER('2027 Avoided Costs'!$C$14:$C$47,('2027 Avoided Costs'!$B$14:$B$47&gt;=$B198+1)*('2027 Avoided Costs'!$B$14:$B$47&lt;$B198+ROUND($O198,0)))))+_xlfn.XLOOKUP($B198,'2027 Avoided Costs'!$B$13:$B$47,'2027 Avoided Costs'!$C$13:$C$47),IF($O198=1,0,NPV('2027 Avoided Costs'!$D$6,_xlfn._xlws.FILTER('2027 Avoided Costs'!$E$14:$E$47,('2027 Avoided Costs'!$B$14:$B$47&gt;=$B198+1)*('2027 Avoided Costs'!$B$14:$B$47&lt;$B198+ROUND($O198,0)))))+_xlfn.XLOOKUP($B198,'2027 Avoided Costs'!$B$13:$B$47,'2027 Avoided Costs'!$E$13:$E$47))*IF($AE198&gt;0,$AE198*(1+0),0),0)</f>
        <v>39203.975055887393</v>
      </c>
      <c r="BK198" s="293">
        <f t="shared" si="81"/>
        <v>0.98564362176963904</v>
      </c>
    </row>
    <row r="199" spans="1:63" s="56" customFormat="1" x14ac:dyDescent="0.25">
      <c r="A199" s="270" t="s">
        <v>133</v>
      </c>
      <c r="B199" s="271">
        <v>2028</v>
      </c>
      <c r="C199" s="272" t="s">
        <v>13</v>
      </c>
      <c r="D199" s="272" t="s">
        <v>167</v>
      </c>
      <c r="E199" s="272" t="s">
        <v>1</v>
      </c>
      <c r="F199" s="273">
        <v>40</v>
      </c>
      <c r="G199" s="274">
        <v>1250</v>
      </c>
      <c r="H199" s="275">
        <f t="shared" si="61"/>
        <v>1.1061946902654867</v>
      </c>
      <c r="I199" s="274">
        <v>50</v>
      </c>
      <c r="J199" s="276" t="s">
        <v>264</v>
      </c>
      <c r="K199" s="277">
        <f t="shared" si="87"/>
        <v>0.8</v>
      </c>
      <c r="L199" s="278">
        <v>0.19999999999999996</v>
      </c>
      <c r="M199" s="278">
        <v>0</v>
      </c>
      <c r="N199" s="278">
        <v>1</v>
      </c>
      <c r="O199" s="279">
        <v>16</v>
      </c>
      <c r="P199" s="280">
        <v>1130</v>
      </c>
      <c r="Q199" s="281">
        <v>-4121</v>
      </c>
      <c r="R199" s="282">
        <v>6.3624999999999973E-2</v>
      </c>
      <c r="S199" s="282">
        <v>-2.04</v>
      </c>
      <c r="T199" s="281">
        <v>0</v>
      </c>
      <c r="U199" s="283">
        <v>0</v>
      </c>
      <c r="V199" s="284">
        <v>6097</v>
      </c>
      <c r="W199" s="285">
        <v>0.15</v>
      </c>
      <c r="X199" s="286" t="s">
        <v>255</v>
      </c>
      <c r="Y199" s="287">
        <f t="shared" si="62"/>
        <v>40</v>
      </c>
      <c r="Z199" s="288">
        <f t="shared" si="63"/>
        <v>50000</v>
      </c>
      <c r="AA199" s="288">
        <f t="shared" si="64"/>
        <v>2000</v>
      </c>
      <c r="AB199" s="288">
        <f t="shared" si="65"/>
        <v>51000</v>
      </c>
      <c r="AC199" s="288">
        <f t="shared" si="82"/>
        <v>2034.4000000000003</v>
      </c>
      <c r="AD199" s="287">
        <f t="shared" si="66"/>
        <v>45200</v>
      </c>
      <c r="AE199" s="287">
        <f t="shared" si="67"/>
        <v>36160</v>
      </c>
      <c r="AF199" s="287">
        <f t="shared" si="68"/>
        <v>723200</v>
      </c>
      <c r="AG199" s="287">
        <f t="shared" si="69"/>
        <v>578560</v>
      </c>
      <c r="AH199" s="287">
        <f t="shared" si="70"/>
        <v>-176708.48000000001</v>
      </c>
      <c r="AI199" s="287">
        <f t="shared" si="71"/>
        <v>-141366.78400000001</v>
      </c>
      <c r="AJ199" s="287">
        <f t="shared" si="72"/>
        <v>0</v>
      </c>
      <c r="AK199" s="287">
        <f t="shared" si="73"/>
        <v>0</v>
      </c>
      <c r="AL199" s="287">
        <f t="shared" si="74"/>
        <v>2.7282399999999991</v>
      </c>
      <c r="AM199" s="287">
        <f t="shared" si="75"/>
        <v>2.1825919999999992</v>
      </c>
      <c r="AN199" s="287">
        <f t="shared" si="76"/>
        <v>-87.475200000000001</v>
      </c>
      <c r="AO199" s="287">
        <f t="shared" si="77"/>
        <v>-69.980160000000012</v>
      </c>
      <c r="AP199" s="287">
        <f t="shared" si="78"/>
        <v>243880</v>
      </c>
      <c r="AQ199" s="287">
        <f t="shared" si="79"/>
        <v>195104</v>
      </c>
      <c r="AR199" s="287">
        <f t="shared" si="80"/>
        <v>0</v>
      </c>
      <c r="AS199" s="289" t="e">
        <f>IF(J199='2027 Avoided Costs'!#REF!,3,5)</f>
        <v>#REF!</v>
      </c>
      <c r="AT199" s="290" cm="1">
        <f t="array" ref="AT199">IFERROR(IF($J199="Baseload",IF($O199=1,0,NPV('2027 Avoided Costs'!$D$6,_xlfn._xlws.FILTER('2027 Avoided Costs'!$C$14:$C$47,('2027 Avoided Costs'!$B$14:$B$47&gt;=$B199+1)*('2027 Avoided Costs'!$B$14:$B$47&lt;$B199+ROUND($O199,0)))))+_xlfn.XLOOKUP($B199,'2027 Avoided Costs'!$B$13:$B$47,'2027 Avoided Costs'!$C$13:$C$47),IF($O199=1,0,NPV('2027 Avoided Costs'!$D$6,_xlfn._xlws.FILTER('2027 Avoided Costs'!$E$14:$E$47,('2027 Avoided Costs'!$B$14:$B$47&gt;=$B199+1)*('2027 Avoided Costs'!$B$14:$B$47&lt;$B199+ROUND($O199,0)))))+_xlfn.XLOOKUP($B199,'2027 Avoided Costs'!$B$13:$B$47,'2027 Avoided Costs'!$E$13:$E$47))*IF($AE199&gt;0,$AE199*(1+$W199),0),0)</f>
        <v>156130.3933150974</v>
      </c>
      <c r="AU199" s="290" cm="1">
        <f t="array" ref="AU199">IFERROR((IF($O199=1,0,NPV('2027 Avoided Costs'!$D$6,_xlfn._xlws.FILTER('2027 Avoided Costs'!$M$14:$M$47,('2027 Avoided Costs'!$B$14:$B$47&gt;=$B199+1)*('2027 Avoided Costs'!$B$14:$B$47&lt;$B199+ROUND($O199,0)))))+_xlfn.XLOOKUP($B199,'2027 Avoided Costs'!$B$13:$B$47,'2027 Avoided Costs'!$M$13:$M$47))*IF($AK199&gt;0,$AK199*(1+$W199),0),0)</f>
        <v>0</v>
      </c>
      <c r="AV199" s="291" cm="1">
        <f t="array" ref="AV199">IFERROR((IF($O199=1,0,NPV('2027 Avoided Costs'!$D$6,_xlfn._xlws.FILTER('2027 Avoided Costs'!$Q$14:$Q$47,('2027 Avoided Costs'!$B$14:$B$47&gt;=$B199+1)*('2027 Avoided Costs'!$B$14:$B$47&lt;$B199+ROUND($O199,0)))))+_xlfn.XLOOKUP($B199,'2027 Avoided Costs'!$B$13:$B$47,'2027 Avoided Costs'!$Q$13:$Q$47))*IF($AI199&gt;0,$AI199*(1+$W199),0),0)</f>
        <v>0</v>
      </c>
      <c r="AW199" s="291" cm="1">
        <f t="array" ref="AW199">IFERROR((IF($O199=1,0,NPV('2027 Avoided Costs'!$D$6,_xlfn._xlws.FILTER('2027 Avoided Costs'!$W$14:$W$47,('2027 Avoided Costs'!$B$14:$B$47&gt;=$B199+1)*('2027 Avoided Costs'!$B$14:$B$47&lt;$B199+ROUND($O199,0)))))+_xlfn.XLOOKUP($B199,'2027 Avoided Costs'!$B$13:$B$47,'2027 Avoided Costs'!$W$13:$W$47))*IF($AM199&gt;0,$AM199*(1+$W199),0),0)</f>
        <v>8939.6672325738673</v>
      </c>
      <c r="AX199" s="291" cm="1">
        <f t="array" ref="AX199">IFERROR((IF($O199=1,0,NPV('2027 Avoided Costs'!$D$6,_xlfn._xlws.FILTER('2027 Avoided Costs'!$AC$14:$AC$47,('2027 Avoided Costs'!$B$14:$B$47&gt;=$B199+1)*('2027 Avoided Costs'!$B$14:$B$47&lt;$B199+ROUND($O199,0)))))+_xlfn.XLOOKUP($B199,'2027 Avoided Costs'!$B$13:$B$47,'2027 Avoided Costs'!$AC$13:$AC$47))*IF($AO199&gt;0,$AO199*(1+$W199),0),0)</f>
        <v>0</v>
      </c>
      <c r="AY199" s="291" cm="1">
        <f t="array" ref="AY199">IFERROR((IF($O199=1,0,NPV('2027 Avoided Costs'!$D$4,_xlfn._xlws.FILTER('2027 Avoided Costs'!$I$14:$I$47,('2027 Avoided Costs'!$B$14:$B$47&gt;=$B199+1)*('2027 Avoided Costs'!$B$14:$B$47&lt;$B199+ROUND($O199,0)))))+_xlfn.XLOOKUP($B199,'2027 Avoided Costs'!$B$13:$B$47,'2027 Avoided Costs'!$I$13:$I$47))*IF($X199="Residential",'2027 Avoided Costs'!$J$5,IF($X199="Large Volume",'2027 Avoided Costs'!$J$7,'2027 Avoided Costs'!$J$6))*IF($AE199&gt;0,$AE199,0),0)</f>
        <v>0</v>
      </c>
      <c r="AZ199" s="291" cm="1">
        <f t="array" ref="AZ199">IFERROR(IF($J199="Baseload",IF($O199=1,0,NPV('2027 Avoided Costs'!$D$6,_xlfn._xlws.FILTER('2027 Avoided Costs'!$C$14:$C$47,('2027 Avoided Costs'!$B$14:$B$47&gt;=$B199+1)*('2027 Avoided Costs'!$B$14:$B$47&lt;$B199+ROUND($O199,0)))))+_xlfn.XLOOKUP($B199,'2027 Avoided Costs'!$B$13:$B$47,'2027 Avoided Costs'!$C$13:$C$47),IF($O199=1,0,NPV('2027 Avoided Costs'!$D$6,_xlfn._xlws.FILTER('2027 Avoided Costs'!$E$14:$E$47,('2027 Avoided Costs'!$B$14:$B$47&gt;=$B199+1)*('2027 Avoided Costs'!$B$14:$B$47&lt;$B199+ROUND($O199,0)))))+_xlfn.XLOOKUP($B199,'2027 Avoided Costs'!$B$13:$B$47,'2027 Avoided Costs'!$E$13:$E$47))*IF($AE199&lt;0,$AE199*(-1),0),0)</f>
        <v>0</v>
      </c>
      <c r="BA199" s="291" cm="1">
        <f t="array" ref="BA199">IFERROR((IF($O199=1,0,NPV('2027 Avoided Costs'!$D$6,_xlfn._xlws.FILTER('2027 Avoided Costs'!$M$14:$M$47,('2027 Avoided Costs'!$B$14:$B$47&gt;=$B199+1)*('2027 Avoided Costs'!$B$14:$B$47&lt;$B199+ROUND($O199,0)))))+_xlfn.XLOOKUP($B199,'2027 Avoided Costs'!$B$13:$B$47,'2027 Avoided Costs'!$M$13:$M$47))*IF($AK199&lt;0,$AK199*(-1),0),0)</f>
        <v>0</v>
      </c>
      <c r="BB199" s="291" cm="1">
        <f t="array" ref="BB199">IFERROR((IF($O199=1,0,NPV('2027 Avoided Costs'!$D$6,_xlfn._xlws.FILTER('2027 Avoided Costs'!$S$14:$S$47,('2027 Avoided Costs'!$B$14:$B$47&gt;=$B199+1)*('2027 Avoided Costs'!$B$14:$B$47&lt;$B199+ROUND($O199,0)))))+_xlfn.XLOOKUP($B199,'2027 Avoided Costs'!$B$13:$B$47,'2027 Avoided Costs'!$S$13:$S$47))*IF($AI199&lt;0,$AI199*(-1),0),0)</f>
        <v>84864.665044480949</v>
      </c>
      <c r="BC199" s="291" cm="1">
        <f t="array" ref="BC199">IFERROR((IF($O199=1,0,NPV('2027 Avoided Costs'!$D$6,_xlfn._xlws.FILTER('2027 Avoided Costs'!$Y$14:$Y$47,('2027 Avoided Costs'!$B$14:$B$47&gt;=$B199+1)*('2027 Avoided Costs'!$B$14:$B$47&lt;$B199+ROUND($O199,0)))))+_xlfn.XLOOKUP($B199,'2027 Avoided Costs'!$B$13:$B$47,'2027 Avoided Costs'!$Y$13:$Y$47))*IF($AM199&lt;0,$AM199*(-1),0),0)</f>
        <v>0</v>
      </c>
      <c r="BD199" s="291" cm="1">
        <f t="array" ref="BD199">IFERROR((IF($O199=1,0,NPV('2027 Avoided Costs'!$D$6,_xlfn._xlws.FILTER('2027 Avoided Costs'!$AE$14:$AE$47,('2027 Avoided Costs'!$B$14:$B$47&gt;=$B199+1)*('2027 Avoided Costs'!$B$14:$B$47&lt;$B199+ROUND($O199,0)))))+_xlfn.XLOOKUP($B199,'2027 Avoided Costs'!$B$13:$B$47,'2027 Avoided Costs'!$AE$13:$AE$47))*IF($AO199&lt;0,$AO199*(-1),0),0)</f>
        <v>30596.115856585777</v>
      </c>
      <c r="BE199" s="291" cm="1">
        <f t="array" ref="BE199">IFERROR((IF($O199=1,0,NPV('2027 Avoided Costs'!$D$4,_xlfn._xlws.FILTER('2027 Avoided Costs'!$I$14:$I$47,('2027 Avoided Costs'!$B$14:$B$47&gt;=$B199+1)*('2027 Avoided Costs'!$B$14:$B$47&lt;$B199+ROUND($O199,0)))))+_xlfn.XLOOKUP($B199,'2027 Avoided Costs'!$B$13:$B$47,'2027 Avoided Costs'!$I$13:$I$47))*IF($X199="Residential",'2027 Avoided Costs'!$J$5,IF($X199="Large Volume",'2027 Avoided Costs'!$J$7,'2027 Avoided Costs'!$J$6))*IF($AE199&lt;0,$AE199*(-1),0),0)</f>
        <v>0</v>
      </c>
      <c r="BF199" s="291">
        <f t="shared" si="84"/>
        <v>165070.06054767128</v>
      </c>
      <c r="BG199" s="291">
        <f t="shared" si="85"/>
        <v>310564.78090106673</v>
      </c>
      <c r="BH199" s="291">
        <f t="shared" si="86"/>
        <v>-145494.72035339545</v>
      </c>
      <c r="BI199" s="292">
        <f t="shared" si="83"/>
        <v>0.53151571169383782</v>
      </c>
      <c r="BJ199" s="196" cm="1">
        <f t="array" ref="BJ199">IFERROR(IF($J199="Baseload",IF($O199=1,0,NPV('2027 Avoided Costs'!$D$6,_xlfn._xlws.FILTER('2027 Avoided Costs'!$C$14:$C$47,('2027 Avoided Costs'!$B$14:$B$47&gt;=$B199+1)*('2027 Avoided Costs'!$B$14:$B$47&lt;$B199+ROUND($O199,0)))))+_xlfn.XLOOKUP($B199,'2027 Avoided Costs'!$B$13:$B$47,'2027 Avoided Costs'!$C$13:$C$47),IF($O199=1,0,NPV('2027 Avoided Costs'!$D$6,_xlfn._xlws.FILTER('2027 Avoided Costs'!$E$14:$E$47,('2027 Avoided Costs'!$B$14:$B$47&gt;=$B199+1)*('2027 Avoided Costs'!$B$14:$B$47&lt;$B199+ROUND($O199,0)))))+_xlfn.XLOOKUP($B199,'2027 Avoided Costs'!$B$13:$B$47,'2027 Avoided Costs'!$E$13:$E$47))*IF($AE199&gt;0,$AE199*(1+0),0),0)</f>
        <v>135765.55940443251</v>
      </c>
      <c r="BK199" s="293">
        <f t="shared" si="81"/>
        <v>2.5599527741321202</v>
      </c>
    </row>
    <row r="200" spans="1:63" s="56" customFormat="1" x14ac:dyDescent="0.25">
      <c r="A200" s="270" t="s">
        <v>133</v>
      </c>
      <c r="B200" s="271">
        <v>2028</v>
      </c>
      <c r="C200" s="272" t="s">
        <v>13</v>
      </c>
      <c r="D200" s="272" t="s">
        <v>167</v>
      </c>
      <c r="E200" s="272" t="s">
        <v>356</v>
      </c>
      <c r="F200" s="273">
        <v>5</v>
      </c>
      <c r="G200" s="274">
        <v>1500</v>
      </c>
      <c r="H200" s="275">
        <f t="shared" si="61"/>
        <v>2.5167785234899327</v>
      </c>
      <c r="I200" s="274">
        <v>0</v>
      </c>
      <c r="J200" s="276" t="s">
        <v>263</v>
      </c>
      <c r="K200" s="277">
        <f t="shared" si="87"/>
        <v>0.8</v>
      </c>
      <c r="L200" s="278">
        <v>0.19999999999999996</v>
      </c>
      <c r="M200" s="278">
        <v>0</v>
      </c>
      <c r="N200" s="278">
        <v>1</v>
      </c>
      <c r="O200" s="279">
        <v>15</v>
      </c>
      <c r="P200" s="280">
        <v>596</v>
      </c>
      <c r="Q200" s="281">
        <v>-1325</v>
      </c>
      <c r="R200" s="282">
        <v>-0.152</v>
      </c>
      <c r="S200" s="282">
        <v>-0.24</v>
      </c>
      <c r="T200" s="281">
        <v>0</v>
      </c>
      <c r="U200" s="283">
        <v>0</v>
      </c>
      <c r="V200" s="284">
        <v>1832</v>
      </c>
      <c r="W200" s="285">
        <v>0.15</v>
      </c>
      <c r="X200" s="286" t="s">
        <v>255</v>
      </c>
      <c r="Y200" s="287">
        <f t="shared" si="62"/>
        <v>5</v>
      </c>
      <c r="Z200" s="288">
        <f t="shared" si="63"/>
        <v>7500</v>
      </c>
      <c r="AA200" s="288">
        <f t="shared" si="64"/>
        <v>0</v>
      </c>
      <c r="AB200" s="288">
        <f t="shared" si="65"/>
        <v>7650</v>
      </c>
      <c r="AC200" s="288">
        <f t="shared" si="82"/>
        <v>0</v>
      </c>
      <c r="AD200" s="287">
        <f t="shared" si="66"/>
        <v>2980</v>
      </c>
      <c r="AE200" s="287">
        <f t="shared" si="67"/>
        <v>2384</v>
      </c>
      <c r="AF200" s="287">
        <f t="shared" si="68"/>
        <v>44700</v>
      </c>
      <c r="AG200" s="287">
        <f t="shared" si="69"/>
        <v>35760</v>
      </c>
      <c r="AH200" s="287">
        <f t="shared" si="70"/>
        <v>-7102</v>
      </c>
      <c r="AI200" s="287">
        <f t="shared" si="71"/>
        <v>-5681.6</v>
      </c>
      <c r="AJ200" s="287">
        <f t="shared" si="72"/>
        <v>0</v>
      </c>
      <c r="AK200" s="287">
        <f t="shared" si="73"/>
        <v>0</v>
      </c>
      <c r="AL200" s="287">
        <f t="shared" si="74"/>
        <v>-0.81472000000000011</v>
      </c>
      <c r="AM200" s="287">
        <f t="shared" si="75"/>
        <v>-0.65177600000000002</v>
      </c>
      <c r="AN200" s="287">
        <f t="shared" si="76"/>
        <v>-1.2864</v>
      </c>
      <c r="AO200" s="287">
        <f t="shared" si="77"/>
        <v>-1.02912</v>
      </c>
      <c r="AP200" s="287">
        <f t="shared" si="78"/>
        <v>9160</v>
      </c>
      <c r="AQ200" s="287">
        <f t="shared" si="79"/>
        <v>7328</v>
      </c>
      <c r="AR200" s="287">
        <f t="shared" si="80"/>
        <v>0</v>
      </c>
      <c r="AS200" s="289" t="e">
        <f>IF(J200='2027 Avoided Costs'!#REF!,3,5)</f>
        <v>#REF!</v>
      </c>
      <c r="AT200" s="290" cm="1">
        <f t="array" ref="AT200">IFERROR(IF($J200="Baseload",IF($O200=1,0,NPV('2027 Avoided Costs'!$D$6,_xlfn._xlws.FILTER('2027 Avoided Costs'!$C$14:$C$47,('2027 Avoided Costs'!$B$14:$B$47&gt;=$B200+1)*('2027 Avoided Costs'!$B$14:$B$47&lt;$B200+ROUND($O200,0)))))+_xlfn.XLOOKUP($B200,'2027 Avoided Costs'!$B$13:$B$47,'2027 Avoided Costs'!$C$13:$C$47),IF($O200=1,0,NPV('2027 Avoided Costs'!$D$6,_xlfn._xlws.FILTER('2027 Avoided Costs'!$E$14:$E$47,('2027 Avoided Costs'!$B$14:$B$47&gt;=$B200+1)*('2027 Avoided Costs'!$B$14:$B$47&lt;$B200+ROUND($O200,0)))))+_xlfn.XLOOKUP($B200,'2027 Avoided Costs'!$B$13:$B$47,'2027 Avoided Costs'!$E$13:$E$47))*IF($AE200&gt;0,$AE200*(1+$W200),0),0)</f>
        <v>8717.2496294255416</v>
      </c>
      <c r="AU200" s="290" cm="1">
        <f t="array" ref="AU200">IFERROR((IF($O200=1,0,NPV('2027 Avoided Costs'!$D$6,_xlfn._xlws.FILTER('2027 Avoided Costs'!$M$14:$M$47,('2027 Avoided Costs'!$B$14:$B$47&gt;=$B200+1)*('2027 Avoided Costs'!$B$14:$B$47&lt;$B200+ROUND($O200,0)))))+_xlfn.XLOOKUP($B200,'2027 Avoided Costs'!$B$13:$B$47,'2027 Avoided Costs'!$M$13:$M$47))*IF($AK200&gt;0,$AK200*(1+$W200),0),0)</f>
        <v>0</v>
      </c>
      <c r="AV200" s="291" cm="1">
        <f t="array" ref="AV200">IFERROR((IF($O200=1,0,NPV('2027 Avoided Costs'!$D$6,_xlfn._xlws.FILTER('2027 Avoided Costs'!$Q$14:$Q$47,('2027 Avoided Costs'!$B$14:$B$47&gt;=$B200+1)*('2027 Avoided Costs'!$B$14:$B$47&lt;$B200+ROUND($O200,0)))))+_xlfn.XLOOKUP($B200,'2027 Avoided Costs'!$B$13:$B$47,'2027 Avoided Costs'!$Q$13:$Q$47))*IF($AI200&gt;0,$AI200*(1+$W200),0),0)</f>
        <v>0</v>
      </c>
      <c r="AW200" s="291" cm="1">
        <f t="array" ref="AW200">IFERROR((IF($O200=1,0,NPV('2027 Avoided Costs'!$D$6,_xlfn._xlws.FILTER('2027 Avoided Costs'!$W$14:$W$47,('2027 Avoided Costs'!$B$14:$B$47&gt;=$B200+1)*('2027 Avoided Costs'!$B$14:$B$47&lt;$B200+ROUND($O200,0)))))+_xlfn.XLOOKUP($B200,'2027 Avoided Costs'!$B$13:$B$47,'2027 Avoided Costs'!$W$13:$W$47))*IF($AM200&gt;0,$AM200*(1+$W200),0),0)</f>
        <v>0</v>
      </c>
      <c r="AX200" s="291" cm="1">
        <f t="array" ref="AX200">IFERROR((IF($O200=1,0,NPV('2027 Avoided Costs'!$D$6,_xlfn._xlws.FILTER('2027 Avoided Costs'!$AC$14:$AC$47,('2027 Avoided Costs'!$B$14:$B$47&gt;=$B200+1)*('2027 Avoided Costs'!$B$14:$B$47&lt;$B200+ROUND($O200,0)))))+_xlfn.XLOOKUP($B200,'2027 Avoided Costs'!$B$13:$B$47,'2027 Avoided Costs'!$AC$13:$AC$47))*IF($AO200&gt;0,$AO200*(1+$W200),0),0)</f>
        <v>0</v>
      </c>
      <c r="AY200" s="291" cm="1">
        <f t="array" ref="AY200">IFERROR((IF($O200=1,0,NPV('2027 Avoided Costs'!$D$4,_xlfn._xlws.FILTER('2027 Avoided Costs'!$I$14:$I$47,('2027 Avoided Costs'!$B$14:$B$47&gt;=$B200+1)*('2027 Avoided Costs'!$B$14:$B$47&lt;$B200+ROUND($O200,0)))))+_xlfn.XLOOKUP($B200,'2027 Avoided Costs'!$B$13:$B$47,'2027 Avoided Costs'!$I$13:$I$47))*IF($X200="Residential",'2027 Avoided Costs'!$J$5,IF($X200="Large Volume",'2027 Avoided Costs'!$J$7,'2027 Avoided Costs'!$J$6))*IF($AE200&gt;0,$AE200,0),0)</f>
        <v>0</v>
      </c>
      <c r="AZ200" s="291" cm="1">
        <f t="array" ref="AZ200">IFERROR(IF($J200="Baseload",IF($O200=1,0,NPV('2027 Avoided Costs'!$D$6,_xlfn._xlws.FILTER('2027 Avoided Costs'!$C$14:$C$47,('2027 Avoided Costs'!$B$14:$B$47&gt;=$B200+1)*('2027 Avoided Costs'!$B$14:$B$47&lt;$B200+ROUND($O200,0)))))+_xlfn.XLOOKUP($B200,'2027 Avoided Costs'!$B$13:$B$47,'2027 Avoided Costs'!$C$13:$C$47),IF($O200=1,0,NPV('2027 Avoided Costs'!$D$6,_xlfn._xlws.FILTER('2027 Avoided Costs'!$E$14:$E$47,('2027 Avoided Costs'!$B$14:$B$47&gt;=$B200+1)*('2027 Avoided Costs'!$B$14:$B$47&lt;$B200+ROUND($O200,0)))))+_xlfn.XLOOKUP($B200,'2027 Avoided Costs'!$B$13:$B$47,'2027 Avoided Costs'!$E$13:$E$47))*IF($AE200&lt;0,$AE200*(-1),0),0)</f>
        <v>0</v>
      </c>
      <c r="BA200" s="291" cm="1">
        <f t="array" ref="BA200">IFERROR((IF($O200=1,0,NPV('2027 Avoided Costs'!$D$6,_xlfn._xlws.FILTER('2027 Avoided Costs'!$M$14:$M$47,('2027 Avoided Costs'!$B$14:$B$47&gt;=$B200+1)*('2027 Avoided Costs'!$B$14:$B$47&lt;$B200+ROUND($O200,0)))))+_xlfn.XLOOKUP($B200,'2027 Avoided Costs'!$B$13:$B$47,'2027 Avoided Costs'!$M$13:$M$47))*IF($AK200&lt;0,$AK200*(-1),0),0)</f>
        <v>0</v>
      </c>
      <c r="BB200" s="291" cm="1">
        <f t="array" ref="BB200">IFERROR((IF($O200=1,0,NPV('2027 Avoided Costs'!$D$6,_xlfn._xlws.FILTER('2027 Avoided Costs'!$S$14:$S$47,('2027 Avoided Costs'!$B$14:$B$47&gt;=$B200+1)*('2027 Avoided Costs'!$B$14:$B$47&lt;$B200+ROUND($O200,0)))))+_xlfn.XLOOKUP($B200,'2027 Avoided Costs'!$B$13:$B$47,'2027 Avoided Costs'!$S$13:$S$47))*IF($AI200&lt;0,$AI200*(-1),0),0)</f>
        <v>3227.6379742580912</v>
      </c>
      <c r="BC200" s="291" cm="1">
        <f t="array" ref="BC200">IFERROR((IF($O200=1,0,NPV('2027 Avoided Costs'!$D$6,_xlfn._xlws.FILTER('2027 Avoided Costs'!$Y$14:$Y$47,('2027 Avoided Costs'!$B$14:$B$47&gt;=$B200+1)*('2027 Avoided Costs'!$B$14:$B$47&lt;$B200+ROUND($O200,0)))))+_xlfn.XLOOKUP($B200,'2027 Avoided Costs'!$B$13:$B$47,'2027 Avoided Costs'!$Y$13:$Y$47))*IF($AM200&lt;0,$AM200*(-1),0),0)</f>
        <v>2321.3964625458761</v>
      </c>
      <c r="BD200" s="291" cm="1">
        <f t="array" ref="BD200">IFERROR((IF($O200=1,0,NPV('2027 Avoided Costs'!$D$6,_xlfn._xlws.FILTER('2027 Avoided Costs'!$AE$14:$AE$47,('2027 Avoided Costs'!$B$14:$B$47&gt;=$B200+1)*('2027 Avoided Costs'!$B$14:$B$47&lt;$B200+ROUND($O200,0)))))+_xlfn.XLOOKUP($B200,'2027 Avoided Costs'!$B$13:$B$47,'2027 Avoided Costs'!$AE$13:$AE$47))*IF($AO200&lt;0,$AO200*(-1),0),0)</f>
        <v>231.79168789872202</v>
      </c>
      <c r="BE200" s="291" cm="1">
        <f t="array" ref="BE200">IFERROR((IF($O200=1,0,NPV('2027 Avoided Costs'!$D$4,_xlfn._xlws.FILTER('2027 Avoided Costs'!$I$14:$I$47,('2027 Avoided Costs'!$B$14:$B$47&gt;=$B200+1)*('2027 Avoided Costs'!$B$14:$B$47&lt;$B200+ROUND($O200,0)))))+_xlfn.XLOOKUP($B200,'2027 Avoided Costs'!$B$13:$B$47,'2027 Avoided Costs'!$I$13:$I$47))*IF($X200="Residential",'2027 Avoided Costs'!$J$5,IF($X200="Large Volume",'2027 Avoided Costs'!$J$7,'2027 Avoided Costs'!$J$6))*IF($AE200&lt;0,$AE200*(-1),0),0)</f>
        <v>0</v>
      </c>
      <c r="BF200" s="291">
        <f t="shared" si="84"/>
        <v>8717.2496294255416</v>
      </c>
      <c r="BG200" s="291">
        <f t="shared" si="85"/>
        <v>13108.826124702689</v>
      </c>
      <c r="BH200" s="291">
        <f t="shared" si="86"/>
        <v>-4391.5764952771478</v>
      </c>
      <c r="BI200" s="292">
        <f t="shared" si="83"/>
        <v>0.6649908654290928</v>
      </c>
      <c r="BJ200" s="196" cm="1">
        <f t="array" ref="BJ200">IFERROR(IF($J200="Baseload",IF($O200=1,0,NPV('2027 Avoided Costs'!$D$6,_xlfn._xlws.FILTER('2027 Avoided Costs'!$C$14:$C$47,('2027 Avoided Costs'!$B$14:$B$47&gt;=$B200+1)*('2027 Avoided Costs'!$B$14:$B$47&lt;$B200+ROUND($O200,0)))))+_xlfn.XLOOKUP($B200,'2027 Avoided Costs'!$B$13:$B$47,'2027 Avoided Costs'!$C$13:$C$47),IF($O200=1,0,NPV('2027 Avoided Costs'!$D$6,_xlfn._xlws.FILTER('2027 Avoided Costs'!$E$14:$E$47,('2027 Avoided Costs'!$B$14:$B$47&gt;=$B200+1)*('2027 Avoided Costs'!$B$14:$B$47&lt;$B200+ROUND($O200,0)))))+_xlfn.XLOOKUP($B200,'2027 Avoided Costs'!$B$13:$B$47,'2027 Avoided Costs'!$E$13:$E$47))*IF($AE200&gt;0,$AE200*(1+0),0),0)</f>
        <v>7580.2170690656894</v>
      </c>
      <c r="BK200" s="293">
        <f t="shared" si="81"/>
        <v>0.99087804824388093</v>
      </c>
    </row>
    <row r="201" spans="1:63" s="56" customFormat="1" x14ac:dyDescent="0.25">
      <c r="A201" s="270" t="s">
        <v>133</v>
      </c>
      <c r="B201" s="271">
        <v>2028</v>
      </c>
      <c r="C201" s="272" t="s">
        <v>13</v>
      </c>
      <c r="D201" s="272" t="s">
        <v>167</v>
      </c>
      <c r="E201" s="272" t="s">
        <v>87</v>
      </c>
      <c r="F201" s="273">
        <v>55</v>
      </c>
      <c r="G201" s="274">
        <v>1037</v>
      </c>
      <c r="H201" s="275">
        <f t="shared" ref="H201:H264" si="88">IFERROR(G201/P201,0)</f>
        <v>3.6132404181184667</v>
      </c>
      <c r="I201" s="274">
        <v>38</v>
      </c>
      <c r="J201" s="276" t="s">
        <v>264</v>
      </c>
      <c r="K201" s="277">
        <f t="shared" si="87"/>
        <v>0.8</v>
      </c>
      <c r="L201" s="278">
        <v>0.19999999999999996</v>
      </c>
      <c r="M201" s="278">
        <v>0</v>
      </c>
      <c r="N201" s="278">
        <v>1</v>
      </c>
      <c r="O201" s="279">
        <v>22</v>
      </c>
      <c r="P201" s="280">
        <v>287</v>
      </c>
      <c r="Q201" s="281">
        <v>130</v>
      </c>
      <c r="R201" s="282">
        <v>1.6845329387422218E-2</v>
      </c>
      <c r="S201" s="282">
        <v>1.6845329387422218E-2</v>
      </c>
      <c r="T201" s="281">
        <v>0</v>
      </c>
      <c r="U201" s="283">
        <v>0</v>
      </c>
      <c r="V201" s="284">
        <v>1816</v>
      </c>
      <c r="W201" s="285">
        <v>0.15</v>
      </c>
      <c r="X201" s="286" t="s">
        <v>255</v>
      </c>
      <c r="Y201" s="287">
        <f t="shared" ref="Y201:Y264" si="89">F201</f>
        <v>55</v>
      </c>
      <c r="Z201" s="288">
        <f t="shared" ref="Z201:Z264" si="90">F201*G201</f>
        <v>57035</v>
      </c>
      <c r="AA201" s="288">
        <f t="shared" ref="AA201:AA264" si="91">F201*I201</f>
        <v>2090</v>
      </c>
      <c r="AB201" s="288">
        <f t="shared" ref="AB201:AB264" si="92">Z201*(1+$AB$1)^($B201-2027)</f>
        <v>58175.700000000004</v>
      </c>
      <c r="AC201" s="288">
        <f t="shared" si="82"/>
        <v>2125.9480000000003</v>
      </c>
      <c r="AD201" s="287">
        <f t="shared" ref="AD201:AD264" si="93">IF($AD$2="Yes",P201*F201,P201*F201*N201)</f>
        <v>15785</v>
      </c>
      <c r="AE201" s="287">
        <f t="shared" ref="AE201:AE264" si="94">AD201*(1-L201+M201)</f>
        <v>12628</v>
      </c>
      <c r="AF201" s="287">
        <f t="shared" ref="AF201:AF264" si="95">AD201*O201</f>
        <v>347270</v>
      </c>
      <c r="AG201" s="287">
        <f t="shared" ref="AG201:AG264" si="96">AE201*O201</f>
        <v>277816</v>
      </c>
      <c r="AH201" s="287">
        <f t="shared" ref="AH201:AH264" si="97">$Q201*N201*$F201*1.072</f>
        <v>7664.8</v>
      </c>
      <c r="AI201" s="287">
        <f t="shared" ref="AI201:AI264" si="98">$Q201*(1-L201+$M201)*N201*$F201*1.072</f>
        <v>6131.84</v>
      </c>
      <c r="AJ201" s="287">
        <f t="shared" ref="AJ201:AJ264" si="99">$T201*N201*$F201</f>
        <v>0</v>
      </c>
      <c r="AK201" s="287">
        <f t="shared" ref="AK201:AK264" si="100">$T201*(1-L201+$M201)*N201*$F201</f>
        <v>0</v>
      </c>
      <c r="AL201" s="287">
        <f t="shared" ref="AL201:AL264" si="101">R201*N201*$F201*1.072</f>
        <v>0.9932006206824141</v>
      </c>
      <c r="AM201" s="287">
        <f t="shared" ref="AM201:AM264" si="102">R201*(1-L201+$M201)*N201*$F201*1.072</f>
        <v>0.79456049654593119</v>
      </c>
      <c r="AN201" s="287">
        <f t="shared" ref="AN201:AN264" si="103">S201*N201*$F201*1.072</f>
        <v>0.9932006206824141</v>
      </c>
      <c r="AO201" s="287">
        <f t="shared" ref="AO201:AO264" si="104">S201*(1-L201+$M201)*N201*$F201*1.072</f>
        <v>0.79456049654593119</v>
      </c>
      <c r="AP201" s="287">
        <f t="shared" ref="AP201:AP264" si="105">V201*F201</f>
        <v>99880</v>
      </c>
      <c r="AQ201" s="287">
        <f t="shared" ref="AQ201:AQ264" si="106">V201*F201*(1-L201+M201)</f>
        <v>79904</v>
      </c>
      <c r="AR201" s="287">
        <f t="shared" ref="AR201:AR264" si="107">AE201*U201</f>
        <v>0</v>
      </c>
      <c r="AS201" s="289" t="e">
        <f>IF(J201='2027 Avoided Costs'!#REF!,3,5)</f>
        <v>#REF!</v>
      </c>
      <c r="AT201" s="290" cm="1">
        <f t="array" ref="AT201">IFERROR(IF($J201="Baseload",IF($O201=1,0,NPV('2027 Avoided Costs'!$D$6,_xlfn._xlws.FILTER('2027 Avoided Costs'!$C$14:$C$47,('2027 Avoided Costs'!$B$14:$B$47&gt;=$B201+1)*('2027 Avoided Costs'!$B$14:$B$47&lt;$B201+ROUND($O201,0)))))+_xlfn.XLOOKUP($B201,'2027 Avoided Costs'!$B$13:$B$47,'2027 Avoided Costs'!$C$13:$C$47),IF($O201=1,0,NPV('2027 Avoided Costs'!$D$6,_xlfn._xlws.FILTER('2027 Avoided Costs'!$E$14:$E$47,('2027 Avoided Costs'!$B$14:$B$47&gt;=$B201+1)*('2027 Avoided Costs'!$B$14:$B$47&lt;$B201+ROUND($O201,0)))))+_xlfn.XLOOKUP($B201,'2027 Avoided Costs'!$B$13:$B$47,'2027 Avoided Costs'!$E$13:$E$47))*IF($AE201&gt;0,$AE201*(1+$W201),0),0)</f>
        <v>69661.121587528614</v>
      </c>
      <c r="AU201" s="290" cm="1">
        <f t="array" ref="AU201">IFERROR((IF($O201=1,0,NPV('2027 Avoided Costs'!$D$6,_xlfn._xlws.FILTER('2027 Avoided Costs'!$M$14:$M$47,('2027 Avoided Costs'!$B$14:$B$47&gt;=$B201+1)*('2027 Avoided Costs'!$B$14:$B$47&lt;$B201+ROUND($O201,0)))))+_xlfn.XLOOKUP($B201,'2027 Avoided Costs'!$B$13:$B$47,'2027 Avoided Costs'!$M$13:$M$47))*IF($AK201&gt;0,$AK201*(1+$W201),0),0)</f>
        <v>0</v>
      </c>
      <c r="AV201" s="291" cm="1">
        <f t="array" ref="AV201">IFERROR((IF($O201=1,0,NPV('2027 Avoided Costs'!$D$6,_xlfn._xlws.FILTER('2027 Avoided Costs'!$Q$14:$Q$47,('2027 Avoided Costs'!$B$14:$B$47&gt;=$B201+1)*('2027 Avoided Costs'!$B$14:$B$47&lt;$B201+ROUND($O201,0)))))+_xlfn.XLOOKUP($B201,'2027 Avoided Costs'!$B$13:$B$47,'2027 Avoided Costs'!$Q$13:$Q$47))*IF($AI201&gt;0,$AI201*(1+$W201),0),0)</f>
        <v>5010.2237515192282</v>
      </c>
      <c r="AW201" s="291" cm="1">
        <f t="array" ref="AW201">IFERROR((IF($O201=1,0,NPV('2027 Avoided Costs'!$D$6,_xlfn._xlws.FILTER('2027 Avoided Costs'!$W$14:$W$47,('2027 Avoided Costs'!$B$14:$B$47&gt;=$B201+1)*('2027 Avoided Costs'!$B$14:$B$47&lt;$B201+ROUND($O201,0)))))+_xlfn.XLOOKUP($B201,'2027 Avoided Costs'!$B$13:$B$47,'2027 Avoided Costs'!$W$13:$W$47))*IF($AM201&gt;0,$AM201*(1+$W201),0),0)</f>
        <v>4210.7642215846527</v>
      </c>
      <c r="AX201" s="291" cm="1">
        <f t="array" ref="AX201">IFERROR((IF($O201=1,0,NPV('2027 Avoided Costs'!$D$6,_xlfn._xlws.FILTER('2027 Avoided Costs'!$AC$14:$AC$47,('2027 Avoided Costs'!$B$14:$B$47&gt;=$B201+1)*('2027 Avoided Costs'!$B$14:$B$47&lt;$B201+ROUND($O201,0)))))+_xlfn.XLOOKUP($B201,'2027 Avoided Costs'!$B$13:$B$47,'2027 Avoided Costs'!$AC$13:$AC$47))*IF($AO201&gt;0,$AO201*(1+$W201),0),0)</f>
        <v>593.38314412625471</v>
      </c>
      <c r="AY201" s="291" cm="1">
        <f t="array" ref="AY201">IFERROR((IF($O201=1,0,NPV('2027 Avoided Costs'!$D$4,_xlfn._xlws.FILTER('2027 Avoided Costs'!$I$14:$I$47,('2027 Avoided Costs'!$B$14:$B$47&gt;=$B201+1)*('2027 Avoided Costs'!$B$14:$B$47&lt;$B201+ROUND($O201,0)))))+_xlfn.XLOOKUP($B201,'2027 Avoided Costs'!$B$13:$B$47,'2027 Avoided Costs'!$I$13:$I$47))*IF($X201="Residential",'2027 Avoided Costs'!$J$5,IF($X201="Large Volume",'2027 Avoided Costs'!$J$7,'2027 Avoided Costs'!$J$6))*IF($AE201&gt;0,$AE201,0),0)</f>
        <v>0</v>
      </c>
      <c r="AZ201" s="291" cm="1">
        <f t="array" ref="AZ201">IFERROR(IF($J201="Baseload",IF($O201=1,0,NPV('2027 Avoided Costs'!$D$6,_xlfn._xlws.FILTER('2027 Avoided Costs'!$C$14:$C$47,('2027 Avoided Costs'!$B$14:$B$47&gt;=$B201+1)*('2027 Avoided Costs'!$B$14:$B$47&lt;$B201+ROUND($O201,0)))))+_xlfn.XLOOKUP($B201,'2027 Avoided Costs'!$B$13:$B$47,'2027 Avoided Costs'!$C$13:$C$47),IF($O201=1,0,NPV('2027 Avoided Costs'!$D$6,_xlfn._xlws.FILTER('2027 Avoided Costs'!$E$14:$E$47,('2027 Avoided Costs'!$B$14:$B$47&gt;=$B201+1)*('2027 Avoided Costs'!$B$14:$B$47&lt;$B201+ROUND($O201,0)))))+_xlfn.XLOOKUP($B201,'2027 Avoided Costs'!$B$13:$B$47,'2027 Avoided Costs'!$E$13:$E$47))*IF($AE201&lt;0,$AE201*(-1),0),0)</f>
        <v>0</v>
      </c>
      <c r="BA201" s="291" cm="1">
        <f t="array" ref="BA201">IFERROR((IF($O201=1,0,NPV('2027 Avoided Costs'!$D$6,_xlfn._xlws.FILTER('2027 Avoided Costs'!$M$14:$M$47,('2027 Avoided Costs'!$B$14:$B$47&gt;=$B201+1)*('2027 Avoided Costs'!$B$14:$B$47&lt;$B201+ROUND($O201,0)))))+_xlfn.XLOOKUP($B201,'2027 Avoided Costs'!$B$13:$B$47,'2027 Avoided Costs'!$M$13:$M$47))*IF($AK201&lt;0,$AK201*(-1),0),0)</f>
        <v>0</v>
      </c>
      <c r="BB201" s="291" cm="1">
        <f t="array" ref="BB201">IFERROR((IF($O201=1,0,NPV('2027 Avoided Costs'!$D$6,_xlfn._xlws.FILTER('2027 Avoided Costs'!$S$14:$S$47,('2027 Avoided Costs'!$B$14:$B$47&gt;=$B201+1)*('2027 Avoided Costs'!$B$14:$B$47&lt;$B201+ROUND($O201,0)))))+_xlfn.XLOOKUP($B201,'2027 Avoided Costs'!$B$13:$B$47,'2027 Avoided Costs'!$S$13:$S$47))*IF($AI201&lt;0,$AI201*(-1),0),0)</f>
        <v>0</v>
      </c>
      <c r="BC201" s="291" cm="1">
        <f t="array" ref="BC201">IFERROR((IF($O201=1,0,NPV('2027 Avoided Costs'!$D$6,_xlfn._xlws.FILTER('2027 Avoided Costs'!$Y$14:$Y$47,('2027 Avoided Costs'!$B$14:$B$47&gt;=$B201+1)*('2027 Avoided Costs'!$B$14:$B$47&lt;$B201+ROUND($O201,0)))))+_xlfn.XLOOKUP($B201,'2027 Avoided Costs'!$B$13:$B$47,'2027 Avoided Costs'!$Y$13:$Y$47))*IF($AM201&lt;0,$AM201*(-1),0),0)</f>
        <v>0</v>
      </c>
      <c r="BD201" s="291" cm="1">
        <f t="array" ref="BD201">IFERROR((IF($O201=1,0,NPV('2027 Avoided Costs'!$D$6,_xlfn._xlws.FILTER('2027 Avoided Costs'!$AE$14:$AE$47,('2027 Avoided Costs'!$B$14:$B$47&gt;=$B201+1)*('2027 Avoided Costs'!$B$14:$B$47&lt;$B201+ROUND($O201,0)))))+_xlfn.XLOOKUP($B201,'2027 Avoided Costs'!$B$13:$B$47,'2027 Avoided Costs'!$AE$13:$AE$47))*IF($AO201&lt;0,$AO201*(-1),0),0)</f>
        <v>0</v>
      </c>
      <c r="BE201" s="291" cm="1">
        <f t="array" ref="BE201">IFERROR((IF($O201=1,0,NPV('2027 Avoided Costs'!$D$4,_xlfn._xlws.FILTER('2027 Avoided Costs'!$I$14:$I$47,('2027 Avoided Costs'!$B$14:$B$47&gt;=$B201+1)*('2027 Avoided Costs'!$B$14:$B$47&lt;$B201+ROUND($O201,0)))))+_xlfn.XLOOKUP($B201,'2027 Avoided Costs'!$B$13:$B$47,'2027 Avoided Costs'!$I$13:$I$47))*IF($X201="Residential",'2027 Avoided Costs'!$J$5,IF($X201="Large Volume",'2027 Avoided Costs'!$J$7,'2027 Avoided Costs'!$J$6))*IF($AE201&lt;0,$AE201*(-1),0),0)</f>
        <v>0</v>
      </c>
      <c r="BF201" s="291">
        <f t="shared" si="84"/>
        <v>79475.492704758755</v>
      </c>
      <c r="BG201" s="291">
        <f t="shared" si="85"/>
        <v>79904</v>
      </c>
      <c r="BH201" s="291">
        <f t="shared" si="86"/>
        <v>-428.50729524124472</v>
      </c>
      <c r="BI201" s="292">
        <f t="shared" si="83"/>
        <v>0.99463722347765759</v>
      </c>
      <c r="BJ201" s="196" cm="1">
        <f t="array" ref="BJ201">IFERROR(IF($J201="Baseload",IF($O201=1,0,NPV('2027 Avoided Costs'!$D$6,_xlfn._xlws.FILTER('2027 Avoided Costs'!$C$14:$C$47,('2027 Avoided Costs'!$B$14:$B$47&gt;=$B201+1)*('2027 Avoided Costs'!$B$14:$B$47&lt;$B201+ROUND($O201,0)))))+_xlfn.XLOOKUP($B201,'2027 Avoided Costs'!$B$13:$B$47,'2027 Avoided Costs'!$C$13:$C$47),IF($O201=1,0,NPV('2027 Avoided Costs'!$D$6,_xlfn._xlws.FILTER('2027 Avoided Costs'!$E$14:$E$47,('2027 Avoided Costs'!$B$14:$B$47&gt;=$B201+1)*('2027 Avoided Costs'!$B$14:$B$47&lt;$B201+ROUND($O201,0)))))+_xlfn.XLOOKUP($B201,'2027 Avoided Costs'!$B$13:$B$47,'2027 Avoided Costs'!$E$13:$E$47))*IF($AE201&gt;0,$AE201*(1+0),0),0)</f>
        <v>60574.888336981407</v>
      </c>
      <c r="BK201" s="293">
        <f t="shared" ref="BK201:BK264" si="108">IFERROR(BJ201/(AB201+AC201),0)</f>
        <v>1.0045312250335414</v>
      </c>
    </row>
    <row r="202" spans="1:63" s="56" customFormat="1" x14ac:dyDescent="0.25">
      <c r="A202" s="270" t="s">
        <v>133</v>
      </c>
      <c r="B202" s="271">
        <v>2029</v>
      </c>
      <c r="C202" s="272" t="s">
        <v>13</v>
      </c>
      <c r="D202" s="272" t="s">
        <v>167</v>
      </c>
      <c r="E202" s="272" t="s">
        <v>1</v>
      </c>
      <c r="F202" s="273">
        <v>80</v>
      </c>
      <c r="G202" s="274">
        <v>1250</v>
      </c>
      <c r="H202" s="275">
        <f t="shared" si="88"/>
        <v>1.1061946902654867</v>
      </c>
      <c r="I202" s="274">
        <v>50</v>
      </c>
      <c r="J202" s="276" t="s">
        <v>264</v>
      </c>
      <c r="K202" s="277">
        <f t="shared" si="87"/>
        <v>0.8</v>
      </c>
      <c r="L202" s="278">
        <v>0.19999999999999996</v>
      </c>
      <c r="M202" s="278">
        <v>0</v>
      </c>
      <c r="N202" s="278">
        <v>1</v>
      </c>
      <c r="O202" s="279">
        <v>16</v>
      </c>
      <c r="P202" s="280">
        <v>1130</v>
      </c>
      <c r="Q202" s="281">
        <v>-4121</v>
      </c>
      <c r="R202" s="282">
        <v>6.3624999999999973E-2</v>
      </c>
      <c r="S202" s="282">
        <v>-2.04</v>
      </c>
      <c r="T202" s="281">
        <v>0</v>
      </c>
      <c r="U202" s="283">
        <v>0</v>
      </c>
      <c r="V202" s="284">
        <v>6097</v>
      </c>
      <c r="W202" s="285">
        <v>0.15</v>
      </c>
      <c r="X202" s="286" t="s">
        <v>255</v>
      </c>
      <c r="Y202" s="287">
        <f t="shared" si="89"/>
        <v>80</v>
      </c>
      <c r="Z202" s="288">
        <f t="shared" si="90"/>
        <v>100000</v>
      </c>
      <c r="AA202" s="288">
        <f t="shared" si="91"/>
        <v>4000</v>
      </c>
      <c r="AB202" s="288">
        <f t="shared" si="92"/>
        <v>104040</v>
      </c>
      <c r="AC202" s="288">
        <f t="shared" ref="AC202:AC265" si="109">AA202*(1+$AC$1)^($B202-2027)</f>
        <v>4138.7833600000004</v>
      </c>
      <c r="AD202" s="287">
        <f t="shared" si="93"/>
        <v>90400</v>
      </c>
      <c r="AE202" s="287">
        <f t="shared" si="94"/>
        <v>72320</v>
      </c>
      <c r="AF202" s="287">
        <f t="shared" si="95"/>
        <v>1446400</v>
      </c>
      <c r="AG202" s="287">
        <f t="shared" si="96"/>
        <v>1157120</v>
      </c>
      <c r="AH202" s="287">
        <f t="shared" si="97"/>
        <v>-353416.96000000002</v>
      </c>
      <c r="AI202" s="287">
        <f t="shared" si="98"/>
        <v>-282733.56800000003</v>
      </c>
      <c r="AJ202" s="287">
        <f t="shared" si="99"/>
        <v>0</v>
      </c>
      <c r="AK202" s="287">
        <f t="shared" si="100"/>
        <v>0</v>
      </c>
      <c r="AL202" s="287">
        <f t="shared" si="101"/>
        <v>5.4564799999999982</v>
      </c>
      <c r="AM202" s="287">
        <f t="shared" si="102"/>
        <v>4.3651839999999984</v>
      </c>
      <c r="AN202" s="287">
        <f t="shared" si="103"/>
        <v>-174.9504</v>
      </c>
      <c r="AO202" s="287">
        <f t="shared" si="104"/>
        <v>-139.96032000000002</v>
      </c>
      <c r="AP202" s="287">
        <f t="shared" si="105"/>
        <v>487760</v>
      </c>
      <c r="AQ202" s="287">
        <f t="shared" si="106"/>
        <v>390208</v>
      </c>
      <c r="AR202" s="287">
        <f t="shared" si="107"/>
        <v>0</v>
      </c>
      <c r="AS202" s="289" t="e">
        <f>IF(J202='2027 Avoided Costs'!#REF!,3,5)</f>
        <v>#REF!</v>
      </c>
      <c r="AT202" s="290" cm="1">
        <f t="array" ref="AT202">IFERROR(IF($J202="Baseload",IF($O202=1,0,NPV('2027 Avoided Costs'!$D$6,_xlfn._xlws.FILTER('2027 Avoided Costs'!$C$14:$C$47,('2027 Avoided Costs'!$B$14:$B$47&gt;=$B202+1)*('2027 Avoided Costs'!$B$14:$B$47&lt;$B202+ROUND($O202,0)))))+_xlfn.XLOOKUP($B202,'2027 Avoided Costs'!$B$13:$B$47,'2027 Avoided Costs'!$C$13:$C$47),IF($O202=1,0,NPV('2027 Avoided Costs'!$D$6,_xlfn._xlws.FILTER('2027 Avoided Costs'!$E$14:$E$47,('2027 Avoided Costs'!$B$14:$B$47&gt;=$B202+1)*('2027 Avoided Costs'!$B$14:$B$47&lt;$B202+ROUND($O202,0)))))+_xlfn.XLOOKUP($B202,'2027 Avoided Costs'!$B$13:$B$47,'2027 Avoided Costs'!$E$13:$E$47))*IF($AE202&gt;0,$AE202*(1+$W202),0),0)</f>
        <v>323590.13885716442</v>
      </c>
      <c r="AU202" s="290" cm="1">
        <f t="array" ref="AU202">IFERROR((IF($O202=1,0,NPV('2027 Avoided Costs'!$D$6,_xlfn._xlws.FILTER('2027 Avoided Costs'!$M$14:$M$47,('2027 Avoided Costs'!$B$14:$B$47&gt;=$B202+1)*('2027 Avoided Costs'!$B$14:$B$47&lt;$B202+ROUND($O202,0)))))+_xlfn.XLOOKUP($B202,'2027 Avoided Costs'!$B$13:$B$47,'2027 Avoided Costs'!$M$13:$M$47))*IF($AK202&gt;0,$AK202*(1+$W202),0),0)</f>
        <v>0</v>
      </c>
      <c r="AV202" s="291" cm="1">
        <f t="array" ref="AV202">IFERROR((IF($O202=1,0,NPV('2027 Avoided Costs'!$D$6,_xlfn._xlws.FILTER('2027 Avoided Costs'!$Q$14:$Q$47,('2027 Avoided Costs'!$B$14:$B$47&gt;=$B202+1)*('2027 Avoided Costs'!$B$14:$B$47&lt;$B202+ROUND($O202,0)))))+_xlfn.XLOOKUP($B202,'2027 Avoided Costs'!$B$13:$B$47,'2027 Avoided Costs'!$Q$13:$Q$47))*IF($AI202&gt;0,$AI202*(1+$W202),0),0)</f>
        <v>0</v>
      </c>
      <c r="AW202" s="291" cm="1">
        <f t="array" ref="AW202">IFERROR((IF($O202=1,0,NPV('2027 Avoided Costs'!$D$6,_xlfn._xlws.FILTER('2027 Avoided Costs'!$W$14:$W$47,('2027 Avoided Costs'!$B$14:$B$47&gt;=$B202+1)*('2027 Avoided Costs'!$B$14:$B$47&lt;$B202+ROUND($O202,0)))))+_xlfn.XLOOKUP($B202,'2027 Avoided Costs'!$B$13:$B$47,'2027 Avoided Costs'!$W$13:$W$47))*IF($AM202&gt;0,$AM202*(1+$W202),0),0)</f>
        <v>17673.441085561426</v>
      </c>
      <c r="AX202" s="291" cm="1">
        <f t="array" ref="AX202">IFERROR((IF($O202=1,0,NPV('2027 Avoided Costs'!$D$6,_xlfn._xlws.FILTER('2027 Avoided Costs'!$AC$14:$AC$47,('2027 Avoided Costs'!$B$14:$B$47&gt;=$B202+1)*('2027 Avoided Costs'!$B$14:$B$47&lt;$B202+ROUND($O202,0)))))+_xlfn.XLOOKUP($B202,'2027 Avoided Costs'!$B$13:$B$47,'2027 Avoided Costs'!$AC$13:$AC$47))*IF($AO202&gt;0,$AO202*(1+$W202),0),0)</f>
        <v>0</v>
      </c>
      <c r="AY202" s="291" cm="1">
        <f t="array" ref="AY202">IFERROR((IF($O202=1,0,NPV('2027 Avoided Costs'!$D$4,_xlfn._xlws.FILTER('2027 Avoided Costs'!$I$14:$I$47,('2027 Avoided Costs'!$B$14:$B$47&gt;=$B202+1)*('2027 Avoided Costs'!$B$14:$B$47&lt;$B202+ROUND($O202,0)))))+_xlfn.XLOOKUP($B202,'2027 Avoided Costs'!$B$13:$B$47,'2027 Avoided Costs'!$I$13:$I$47))*IF($X202="Residential",'2027 Avoided Costs'!$J$5,IF($X202="Large Volume",'2027 Avoided Costs'!$J$7,'2027 Avoided Costs'!$J$6))*IF($AE202&gt;0,$AE202,0),0)</f>
        <v>0</v>
      </c>
      <c r="AZ202" s="291" cm="1">
        <f t="array" ref="AZ202">IFERROR(IF($J202="Baseload",IF($O202=1,0,NPV('2027 Avoided Costs'!$D$6,_xlfn._xlws.FILTER('2027 Avoided Costs'!$C$14:$C$47,('2027 Avoided Costs'!$B$14:$B$47&gt;=$B202+1)*('2027 Avoided Costs'!$B$14:$B$47&lt;$B202+ROUND($O202,0)))))+_xlfn.XLOOKUP($B202,'2027 Avoided Costs'!$B$13:$B$47,'2027 Avoided Costs'!$C$13:$C$47),IF($O202=1,0,NPV('2027 Avoided Costs'!$D$6,_xlfn._xlws.FILTER('2027 Avoided Costs'!$E$14:$E$47,('2027 Avoided Costs'!$B$14:$B$47&gt;=$B202+1)*('2027 Avoided Costs'!$B$14:$B$47&lt;$B202+ROUND($O202,0)))))+_xlfn.XLOOKUP($B202,'2027 Avoided Costs'!$B$13:$B$47,'2027 Avoided Costs'!$E$13:$E$47))*IF($AE202&lt;0,$AE202*(-1),0),0)</f>
        <v>0</v>
      </c>
      <c r="BA202" s="291" cm="1">
        <f t="array" ref="BA202">IFERROR((IF($O202=1,0,NPV('2027 Avoided Costs'!$D$6,_xlfn._xlws.FILTER('2027 Avoided Costs'!$M$14:$M$47,('2027 Avoided Costs'!$B$14:$B$47&gt;=$B202+1)*('2027 Avoided Costs'!$B$14:$B$47&lt;$B202+ROUND($O202,0)))))+_xlfn.XLOOKUP($B202,'2027 Avoided Costs'!$B$13:$B$47,'2027 Avoided Costs'!$M$13:$M$47))*IF($AK202&lt;0,$AK202*(-1),0),0)</f>
        <v>0</v>
      </c>
      <c r="BB202" s="291" cm="1">
        <f t="array" ref="BB202">IFERROR((IF($O202=1,0,NPV('2027 Avoided Costs'!$D$6,_xlfn._xlws.FILTER('2027 Avoided Costs'!$S$14:$S$47,('2027 Avoided Costs'!$B$14:$B$47&gt;=$B202+1)*('2027 Avoided Costs'!$B$14:$B$47&lt;$B202+ROUND($O202,0)))))+_xlfn.XLOOKUP($B202,'2027 Avoided Costs'!$B$13:$B$47,'2027 Avoided Costs'!$S$13:$S$47))*IF($AI202&lt;0,$AI202*(-1),0),0)</f>
        <v>168951.68003634529</v>
      </c>
      <c r="BC202" s="291" cm="1">
        <f t="array" ref="BC202">IFERROR((IF($O202=1,0,NPV('2027 Avoided Costs'!$D$6,_xlfn._xlws.FILTER('2027 Avoided Costs'!$Y$14:$Y$47,('2027 Avoided Costs'!$B$14:$B$47&gt;=$B202+1)*('2027 Avoided Costs'!$B$14:$B$47&lt;$B202+ROUND($O202,0)))))+_xlfn.XLOOKUP($B202,'2027 Avoided Costs'!$B$13:$B$47,'2027 Avoided Costs'!$Y$13:$Y$47))*IF($AM202&lt;0,$AM202*(-1),0),0)</f>
        <v>0</v>
      </c>
      <c r="BD202" s="291" cm="1">
        <f t="array" ref="BD202">IFERROR((IF($O202=1,0,NPV('2027 Avoided Costs'!$D$6,_xlfn._xlws.FILTER('2027 Avoided Costs'!$AE$14:$AE$47,('2027 Avoided Costs'!$B$14:$B$47&gt;=$B202+1)*('2027 Avoided Costs'!$B$14:$B$47&lt;$B202+ROUND($O202,0)))))+_xlfn.XLOOKUP($B202,'2027 Avoided Costs'!$B$13:$B$47,'2027 Avoided Costs'!$AE$13:$AE$47))*IF($AO202&lt;0,$AO202*(-1),0),0)</f>
        <v>96415.938641667715</v>
      </c>
      <c r="BE202" s="291" cm="1">
        <f t="array" ref="BE202">IFERROR((IF($O202=1,0,NPV('2027 Avoided Costs'!$D$4,_xlfn._xlws.FILTER('2027 Avoided Costs'!$I$14:$I$47,('2027 Avoided Costs'!$B$14:$B$47&gt;=$B202+1)*('2027 Avoided Costs'!$B$14:$B$47&lt;$B202+ROUND($O202,0)))))+_xlfn.XLOOKUP($B202,'2027 Avoided Costs'!$B$13:$B$47,'2027 Avoided Costs'!$I$13:$I$47))*IF($X202="Residential",'2027 Avoided Costs'!$J$5,IF($X202="Large Volume",'2027 Avoided Costs'!$J$7,'2027 Avoided Costs'!$J$6))*IF($AE202&lt;0,$AE202*(-1),0),0)</f>
        <v>0</v>
      </c>
      <c r="BF202" s="291">
        <f t="shared" si="84"/>
        <v>341263.57994272583</v>
      </c>
      <c r="BG202" s="291">
        <f t="shared" si="85"/>
        <v>655575.61867801298</v>
      </c>
      <c r="BH202" s="291">
        <f t="shared" si="86"/>
        <v>-314312.03873528715</v>
      </c>
      <c r="BI202" s="292">
        <f t="shared" ref="BI202:BI265" si="110">IFERROR(BF202/BG202,0)</f>
        <v>0.52055563114274084</v>
      </c>
      <c r="BJ202" s="196" cm="1">
        <f t="array" ref="BJ202">IFERROR(IF($J202="Baseload",IF($O202=1,0,NPV('2027 Avoided Costs'!$D$6,_xlfn._xlws.FILTER('2027 Avoided Costs'!$C$14:$C$47,('2027 Avoided Costs'!$B$14:$B$47&gt;=$B202+1)*('2027 Avoided Costs'!$B$14:$B$47&lt;$B202+ROUND($O202,0)))))+_xlfn.XLOOKUP($B202,'2027 Avoided Costs'!$B$13:$B$47,'2027 Avoided Costs'!$C$13:$C$47),IF($O202=1,0,NPV('2027 Avoided Costs'!$D$6,_xlfn._xlws.FILTER('2027 Avoided Costs'!$E$14:$E$47,('2027 Avoided Costs'!$B$14:$B$47&gt;=$B202+1)*('2027 Avoided Costs'!$B$14:$B$47&lt;$B202+ROUND($O202,0)))))+_xlfn.XLOOKUP($B202,'2027 Avoided Costs'!$B$13:$B$47,'2027 Avoided Costs'!$E$13:$E$47))*IF($AE202&gt;0,$AE202*(1+0),0),0)</f>
        <v>281382.72944101255</v>
      </c>
      <c r="BK202" s="293">
        <f t="shared" si="108"/>
        <v>2.6010897950721095</v>
      </c>
    </row>
    <row r="203" spans="1:63" s="56" customFormat="1" x14ac:dyDescent="0.25">
      <c r="A203" s="270" t="s">
        <v>133</v>
      </c>
      <c r="B203" s="271">
        <v>2029</v>
      </c>
      <c r="C203" s="272" t="s">
        <v>13</v>
      </c>
      <c r="D203" s="272" t="s">
        <v>167</v>
      </c>
      <c r="E203" s="272" t="s">
        <v>356</v>
      </c>
      <c r="F203" s="273">
        <v>10</v>
      </c>
      <c r="G203" s="274">
        <v>1500</v>
      </c>
      <c r="H203" s="275">
        <f t="shared" si="88"/>
        <v>2.5167785234899327</v>
      </c>
      <c r="I203" s="274">
        <v>0</v>
      </c>
      <c r="J203" s="276" t="s">
        <v>263</v>
      </c>
      <c r="K203" s="277">
        <f t="shared" si="87"/>
        <v>0.8</v>
      </c>
      <c r="L203" s="278">
        <v>0.19999999999999996</v>
      </c>
      <c r="M203" s="278">
        <v>0</v>
      </c>
      <c r="N203" s="278">
        <v>1</v>
      </c>
      <c r="O203" s="279">
        <v>15</v>
      </c>
      <c r="P203" s="280">
        <v>596</v>
      </c>
      <c r="Q203" s="281">
        <v>-1325</v>
      </c>
      <c r="R203" s="282">
        <v>-0.152</v>
      </c>
      <c r="S203" s="282">
        <v>-0.24</v>
      </c>
      <c r="T203" s="281">
        <v>0</v>
      </c>
      <c r="U203" s="283">
        <v>0</v>
      </c>
      <c r="V203" s="284">
        <v>1832</v>
      </c>
      <c r="W203" s="285">
        <v>0.15</v>
      </c>
      <c r="X203" s="286" t="s">
        <v>255</v>
      </c>
      <c r="Y203" s="287">
        <f t="shared" si="89"/>
        <v>10</v>
      </c>
      <c r="Z203" s="288">
        <f t="shared" si="90"/>
        <v>15000</v>
      </c>
      <c r="AA203" s="288">
        <f t="shared" si="91"/>
        <v>0</v>
      </c>
      <c r="AB203" s="288">
        <f t="shared" si="92"/>
        <v>15606</v>
      </c>
      <c r="AC203" s="288">
        <f t="shared" si="109"/>
        <v>0</v>
      </c>
      <c r="AD203" s="287">
        <f t="shared" si="93"/>
        <v>5960</v>
      </c>
      <c r="AE203" s="287">
        <f t="shared" si="94"/>
        <v>4768</v>
      </c>
      <c r="AF203" s="287">
        <f t="shared" si="95"/>
        <v>89400</v>
      </c>
      <c r="AG203" s="287">
        <f t="shared" si="96"/>
        <v>71520</v>
      </c>
      <c r="AH203" s="287">
        <f t="shared" si="97"/>
        <v>-14204</v>
      </c>
      <c r="AI203" s="287">
        <f t="shared" si="98"/>
        <v>-11363.2</v>
      </c>
      <c r="AJ203" s="287">
        <f t="shared" si="99"/>
        <v>0</v>
      </c>
      <c r="AK203" s="287">
        <f t="shared" si="100"/>
        <v>0</v>
      </c>
      <c r="AL203" s="287">
        <f t="shared" si="101"/>
        <v>-1.6294400000000002</v>
      </c>
      <c r="AM203" s="287">
        <f t="shared" si="102"/>
        <v>-1.303552</v>
      </c>
      <c r="AN203" s="287">
        <f t="shared" si="103"/>
        <v>-2.5728</v>
      </c>
      <c r="AO203" s="287">
        <f t="shared" si="104"/>
        <v>-2.0582400000000001</v>
      </c>
      <c r="AP203" s="287">
        <f t="shared" si="105"/>
        <v>18320</v>
      </c>
      <c r="AQ203" s="287">
        <f t="shared" si="106"/>
        <v>14656</v>
      </c>
      <c r="AR203" s="287">
        <f t="shared" si="107"/>
        <v>0</v>
      </c>
      <c r="AS203" s="289" t="e">
        <f>IF(J203='2027 Avoided Costs'!#REF!,3,5)</f>
        <v>#REF!</v>
      </c>
      <c r="AT203" s="290" cm="1">
        <f t="array" ref="AT203">IFERROR(IF($J203="Baseload",IF($O203=1,0,NPV('2027 Avoided Costs'!$D$6,_xlfn._xlws.FILTER('2027 Avoided Costs'!$C$14:$C$47,('2027 Avoided Costs'!$B$14:$B$47&gt;=$B203+1)*('2027 Avoided Costs'!$B$14:$B$47&lt;$B203+ROUND($O203,0)))))+_xlfn.XLOOKUP($B203,'2027 Avoided Costs'!$B$13:$B$47,'2027 Avoided Costs'!$C$13:$C$47),IF($O203=1,0,NPV('2027 Avoided Costs'!$D$6,_xlfn._xlws.FILTER('2027 Avoided Costs'!$E$14:$E$47,('2027 Avoided Costs'!$B$14:$B$47&gt;=$B203+1)*('2027 Avoided Costs'!$B$14:$B$47&lt;$B203+ROUND($O203,0)))))+_xlfn.XLOOKUP($B203,'2027 Avoided Costs'!$B$13:$B$47,'2027 Avoided Costs'!$E$13:$E$47))*IF($AE203&gt;0,$AE203*(1+$W203),0),0)</f>
        <v>18104.856754321689</v>
      </c>
      <c r="AU203" s="290" cm="1">
        <f t="array" ref="AU203">IFERROR((IF($O203=1,0,NPV('2027 Avoided Costs'!$D$6,_xlfn._xlws.FILTER('2027 Avoided Costs'!$M$14:$M$47,('2027 Avoided Costs'!$B$14:$B$47&gt;=$B203+1)*('2027 Avoided Costs'!$B$14:$B$47&lt;$B203+ROUND($O203,0)))))+_xlfn.XLOOKUP($B203,'2027 Avoided Costs'!$B$13:$B$47,'2027 Avoided Costs'!$M$13:$M$47))*IF($AK203&gt;0,$AK203*(1+$W203),0),0)</f>
        <v>0</v>
      </c>
      <c r="AV203" s="291" cm="1">
        <f t="array" ref="AV203">IFERROR((IF($O203=1,0,NPV('2027 Avoided Costs'!$D$6,_xlfn._xlws.FILTER('2027 Avoided Costs'!$Q$14:$Q$47,('2027 Avoided Costs'!$B$14:$B$47&gt;=$B203+1)*('2027 Avoided Costs'!$B$14:$B$47&lt;$B203+ROUND($O203,0)))))+_xlfn.XLOOKUP($B203,'2027 Avoided Costs'!$B$13:$B$47,'2027 Avoided Costs'!$Q$13:$Q$47))*IF($AI203&gt;0,$AI203*(1+$W203),0),0)</f>
        <v>0</v>
      </c>
      <c r="AW203" s="291" cm="1">
        <f t="array" ref="AW203">IFERROR((IF($O203=1,0,NPV('2027 Avoided Costs'!$D$6,_xlfn._xlws.FILTER('2027 Avoided Costs'!$W$14:$W$47,('2027 Avoided Costs'!$B$14:$B$47&gt;=$B203+1)*('2027 Avoided Costs'!$B$14:$B$47&lt;$B203+ROUND($O203,0)))))+_xlfn.XLOOKUP($B203,'2027 Avoided Costs'!$B$13:$B$47,'2027 Avoided Costs'!$W$13:$W$47))*IF($AM203&gt;0,$AM203*(1+$W203),0),0)</f>
        <v>0</v>
      </c>
      <c r="AX203" s="291" cm="1">
        <f t="array" ref="AX203">IFERROR((IF($O203=1,0,NPV('2027 Avoided Costs'!$D$6,_xlfn._xlws.FILTER('2027 Avoided Costs'!$AC$14:$AC$47,('2027 Avoided Costs'!$B$14:$B$47&gt;=$B203+1)*('2027 Avoided Costs'!$B$14:$B$47&lt;$B203+ROUND($O203,0)))))+_xlfn.XLOOKUP($B203,'2027 Avoided Costs'!$B$13:$B$47,'2027 Avoided Costs'!$AC$13:$AC$47))*IF($AO203&gt;0,$AO203*(1+$W203),0),0)</f>
        <v>0</v>
      </c>
      <c r="AY203" s="291" cm="1">
        <f t="array" ref="AY203">IFERROR((IF($O203=1,0,NPV('2027 Avoided Costs'!$D$4,_xlfn._xlws.FILTER('2027 Avoided Costs'!$I$14:$I$47,('2027 Avoided Costs'!$B$14:$B$47&gt;=$B203+1)*('2027 Avoided Costs'!$B$14:$B$47&lt;$B203+ROUND($O203,0)))))+_xlfn.XLOOKUP($B203,'2027 Avoided Costs'!$B$13:$B$47,'2027 Avoided Costs'!$I$13:$I$47))*IF($X203="Residential",'2027 Avoided Costs'!$J$5,IF($X203="Large Volume",'2027 Avoided Costs'!$J$7,'2027 Avoided Costs'!$J$6))*IF($AE203&gt;0,$AE203,0),0)</f>
        <v>0</v>
      </c>
      <c r="AZ203" s="291" cm="1">
        <f t="array" ref="AZ203">IFERROR(IF($J203="Baseload",IF($O203=1,0,NPV('2027 Avoided Costs'!$D$6,_xlfn._xlws.FILTER('2027 Avoided Costs'!$C$14:$C$47,('2027 Avoided Costs'!$B$14:$B$47&gt;=$B203+1)*('2027 Avoided Costs'!$B$14:$B$47&lt;$B203+ROUND($O203,0)))))+_xlfn.XLOOKUP($B203,'2027 Avoided Costs'!$B$13:$B$47,'2027 Avoided Costs'!$C$13:$C$47),IF($O203=1,0,NPV('2027 Avoided Costs'!$D$6,_xlfn._xlws.FILTER('2027 Avoided Costs'!$E$14:$E$47,('2027 Avoided Costs'!$B$14:$B$47&gt;=$B203+1)*('2027 Avoided Costs'!$B$14:$B$47&lt;$B203+ROUND($O203,0)))))+_xlfn.XLOOKUP($B203,'2027 Avoided Costs'!$B$13:$B$47,'2027 Avoided Costs'!$E$13:$E$47))*IF($AE203&lt;0,$AE203*(-1),0),0)</f>
        <v>0</v>
      </c>
      <c r="BA203" s="291" cm="1">
        <f t="array" ref="BA203">IFERROR((IF($O203=1,0,NPV('2027 Avoided Costs'!$D$6,_xlfn._xlws.FILTER('2027 Avoided Costs'!$M$14:$M$47,('2027 Avoided Costs'!$B$14:$B$47&gt;=$B203+1)*('2027 Avoided Costs'!$B$14:$B$47&lt;$B203+ROUND($O203,0)))))+_xlfn.XLOOKUP($B203,'2027 Avoided Costs'!$B$13:$B$47,'2027 Avoided Costs'!$M$13:$M$47))*IF($AK203&lt;0,$AK203*(-1),0),0)</f>
        <v>0</v>
      </c>
      <c r="BB203" s="291" cm="1">
        <f t="array" ref="BB203">IFERROR((IF($O203=1,0,NPV('2027 Avoided Costs'!$D$6,_xlfn._xlws.FILTER('2027 Avoided Costs'!$S$14:$S$47,('2027 Avoided Costs'!$B$14:$B$47&gt;=$B203+1)*('2027 Avoided Costs'!$B$14:$B$47&lt;$B203+ROUND($O203,0)))))+_xlfn.XLOOKUP($B203,'2027 Avoided Costs'!$B$13:$B$47,'2027 Avoided Costs'!$S$13:$S$47))*IF($AI203&lt;0,$AI203*(-1),0),0)</f>
        <v>6451.854141376858</v>
      </c>
      <c r="BC203" s="291" cm="1">
        <f t="array" ref="BC203">IFERROR((IF($O203=1,0,NPV('2027 Avoided Costs'!$D$6,_xlfn._xlws.FILTER('2027 Avoided Costs'!$Y$14:$Y$47,('2027 Avoided Costs'!$B$14:$B$47&gt;=$B203+1)*('2027 Avoided Costs'!$B$14:$B$47&lt;$B203+ROUND($O203,0)))))+_xlfn.XLOOKUP($B203,'2027 Avoided Costs'!$B$13:$B$47,'2027 Avoided Costs'!$Y$13:$Y$47))*IF($AM203&lt;0,$AM203*(-1),0),0)</f>
        <v>4589.3278295128348</v>
      </c>
      <c r="BD203" s="291" cm="1">
        <f t="array" ref="BD203">IFERROR((IF($O203=1,0,NPV('2027 Avoided Costs'!$D$6,_xlfn._xlws.FILTER('2027 Avoided Costs'!$AE$14:$AE$47,('2027 Avoided Costs'!$B$14:$B$47&gt;=$B203+1)*('2027 Avoided Costs'!$B$14:$B$47&lt;$B203+ROUND($O203,0)))))+_xlfn.XLOOKUP($B203,'2027 Avoided Costs'!$B$13:$B$47,'2027 Avoided Costs'!$AE$13:$AE$47))*IF($AO203&lt;0,$AO203*(-1),0),0)</f>
        <v>954.59881472547602</v>
      </c>
      <c r="BE203" s="291" cm="1">
        <f t="array" ref="BE203">IFERROR((IF($O203=1,0,NPV('2027 Avoided Costs'!$D$4,_xlfn._xlws.FILTER('2027 Avoided Costs'!$I$14:$I$47,('2027 Avoided Costs'!$B$14:$B$47&gt;=$B203+1)*('2027 Avoided Costs'!$B$14:$B$47&lt;$B203+ROUND($O203,0)))))+_xlfn.XLOOKUP($B203,'2027 Avoided Costs'!$B$13:$B$47,'2027 Avoided Costs'!$I$13:$I$47))*IF($X203="Residential",'2027 Avoided Costs'!$J$5,IF($X203="Large Volume",'2027 Avoided Costs'!$J$7,'2027 Avoided Costs'!$J$6))*IF($AE203&lt;0,$AE203*(-1),0),0)</f>
        <v>0</v>
      </c>
      <c r="BF203" s="291">
        <f t="shared" si="84"/>
        <v>18104.856754321689</v>
      </c>
      <c r="BG203" s="291">
        <f t="shared" si="85"/>
        <v>26651.78078561517</v>
      </c>
      <c r="BH203" s="291">
        <f t="shared" si="86"/>
        <v>-8546.9240312934817</v>
      </c>
      <c r="BI203" s="292">
        <f t="shared" si="110"/>
        <v>0.67931133382627351</v>
      </c>
      <c r="BJ203" s="196" cm="1">
        <f t="array" ref="BJ203">IFERROR(IF($J203="Baseload",IF($O203=1,0,NPV('2027 Avoided Costs'!$D$6,_xlfn._xlws.FILTER('2027 Avoided Costs'!$C$14:$C$47,('2027 Avoided Costs'!$B$14:$B$47&gt;=$B203+1)*('2027 Avoided Costs'!$B$14:$B$47&lt;$B203+ROUND($O203,0)))))+_xlfn.XLOOKUP($B203,'2027 Avoided Costs'!$B$13:$B$47,'2027 Avoided Costs'!$C$13:$C$47),IF($O203=1,0,NPV('2027 Avoided Costs'!$D$6,_xlfn._xlws.FILTER('2027 Avoided Costs'!$E$14:$E$47,('2027 Avoided Costs'!$B$14:$B$47&gt;=$B203+1)*('2027 Avoided Costs'!$B$14:$B$47&lt;$B203+ROUND($O203,0)))))+_xlfn.XLOOKUP($B203,'2027 Avoided Costs'!$B$13:$B$47,'2027 Avoided Costs'!$E$13:$E$47))*IF($AE203&gt;0,$AE203*(1+0),0),0)</f>
        <v>15743.353699410165</v>
      </c>
      <c r="BK203" s="293">
        <f t="shared" si="108"/>
        <v>1.0088013391907065</v>
      </c>
    </row>
    <row r="204" spans="1:63" s="56" customFormat="1" x14ac:dyDescent="0.25">
      <c r="A204" s="270" t="s">
        <v>133</v>
      </c>
      <c r="B204" s="271">
        <v>2029</v>
      </c>
      <c r="C204" s="272" t="s">
        <v>13</v>
      </c>
      <c r="D204" s="272" t="s">
        <v>167</v>
      </c>
      <c r="E204" s="272" t="s">
        <v>87</v>
      </c>
      <c r="F204" s="273">
        <v>110</v>
      </c>
      <c r="G204" s="274">
        <v>1037</v>
      </c>
      <c r="H204" s="275">
        <f t="shared" si="88"/>
        <v>3.6132404181184667</v>
      </c>
      <c r="I204" s="274">
        <v>38</v>
      </c>
      <c r="J204" s="276" t="s">
        <v>264</v>
      </c>
      <c r="K204" s="277">
        <f t="shared" si="87"/>
        <v>0.8</v>
      </c>
      <c r="L204" s="278">
        <v>0.19999999999999996</v>
      </c>
      <c r="M204" s="278">
        <v>0</v>
      </c>
      <c r="N204" s="278">
        <v>1</v>
      </c>
      <c r="O204" s="279">
        <v>22</v>
      </c>
      <c r="P204" s="280">
        <v>287</v>
      </c>
      <c r="Q204" s="281">
        <v>130</v>
      </c>
      <c r="R204" s="282">
        <v>1.6845329387422218E-2</v>
      </c>
      <c r="S204" s="282">
        <v>1.6845329387422218E-2</v>
      </c>
      <c r="T204" s="281">
        <v>0</v>
      </c>
      <c r="U204" s="283">
        <v>0</v>
      </c>
      <c r="V204" s="284">
        <v>1816</v>
      </c>
      <c r="W204" s="285">
        <v>0.15</v>
      </c>
      <c r="X204" s="286" t="s">
        <v>255</v>
      </c>
      <c r="Y204" s="287">
        <f t="shared" si="89"/>
        <v>110</v>
      </c>
      <c r="Z204" s="288">
        <f t="shared" si="90"/>
        <v>114070</v>
      </c>
      <c r="AA204" s="288">
        <f t="shared" si="91"/>
        <v>4180</v>
      </c>
      <c r="AB204" s="288">
        <f t="shared" si="92"/>
        <v>118678.428</v>
      </c>
      <c r="AC204" s="288">
        <f t="shared" si="109"/>
        <v>4325.0286112000003</v>
      </c>
      <c r="AD204" s="287">
        <f t="shared" si="93"/>
        <v>31570</v>
      </c>
      <c r="AE204" s="287">
        <f t="shared" si="94"/>
        <v>25256</v>
      </c>
      <c r="AF204" s="287">
        <f t="shared" si="95"/>
        <v>694540</v>
      </c>
      <c r="AG204" s="287">
        <f t="shared" si="96"/>
        <v>555632</v>
      </c>
      <c r="AH204" s="287">
        <f t="shared" si="97"/>
        <v>15329.6</v>
      </c>
      <c r="AI204" s="287">
        <f t="shared" si="98"/>
        <v>12263.68</v>
      </c>
      <c r="AJ204" s="287">
        <f t="shared" si="99"/>
        <v>0</v>
      </c>
      <c r="AK204" s="287">
        <f t="shared" si="100"/>
        <v>0</v>
      </c>
      <c r="AL204" s="287">
        <f t="shared" si="101"/>
        <v>1.9864012413648282</v>
      </c>
      <c r="AM204" s="287">
        <f t="shared" si="102"/>
        <v>1.5891209930918624</v>
      </c>
      <c r="AN204" s="287">
        <f t="shared" si="103"/>
        <v>1.9864012413648282</v>
      </c>
      <c r="AO204" s="287">
        <f t="shared" si="104"/>
        <v>1.5891209930918624</v>
      </c>
      <c r="AP204" s="287">
        <f t="shared" si="105"/>
        <v>199760</v>
      </c>
      <c r="AQ204" s="287">
        <f t="shared" si="106"/>
        <v>159808</v>
      </c>
      <c r="AR204" s="287">
        <f t="shared" si="107"/>
        <v>0</v>
      </c>
      <c r="AS204" s="289" t="e">
        <f>IF(J204='2027 Avoided Costs'!#REF!,3,5)</f>
        <v>#REF!</v>
      </c>
      <c r="AT204" s="290" cm="1">
        <f t="array" ref="AT204">IFERROR(IF($J204="Baseload",IF($O204=1,0,NPV('2027 Avoided Costs'!$D$6,_xlfn._xlws.FILTER('2027 Avoided Costs'!$C$14:$C$47,('2027 Avoided Costs'!$B$14:$B$47&gt;=$B204+1)*('2027 Avoided Costs'!$B$14:$B$47&lt;$B204+ROUND($O204,0)))))+_xlfn.XLOOKUP($B204,'2027 Avoided Costs'!$B$13:$B$47,'2027 Avoided Costs'!$C$13:$C$47),IF($O204=1,0,NPV('2027 Avoided Costs'!$D$6,_xlfn._xlws.FILTER('2027 Avoided Costs'!$E$14:$E$47,('2027 Avoided Costs'!$B$14:$B$47&gt;=$B204+1)*('2027 Avoided Costs'!$B$14:$B$47&lt;$B204+ROUND($O204,0)))))+_xlfn.XLOOKUP($B204,'2027 Avoided Costs'!$B$13:$B$47,'2027 Avoided Costs'!$E$13:$E$47))*IF($AE204&gt;0,$AE204*(1+$W204),0),0)</f>
        <v>144354.99167491921</v>
      </c>
      <c r="AU204" s="290" cm="1">
        <f t="array" ref="AU204">IFERROR((IF($O204=1,0,NPV('2027 Avoided Costs'!$D$6,_xlfn._xlws.FILTER('2027 Avoided Costs'!$M$14:$M$47,('2027 Avoided Costs'!$B$14:$B$47&gt;=$B204+1)*('2027 Avoided Costs'!$B$14:$B$47&lt;$B204+ROUND($O204,0)))))+_xlfn.XLOOKUP($B204,'2027 Avoided Costs'!$B$13:$B$47,'2027 Avoided Costs'!$M$13:$M$47))*IF($AK204&gt;0,$AK204*(1+$W204),0),0)</f>
        <v>0</v>
      </c>
      <c r="AV204" s="291" cm="1">
        <f t="array" ref="AV204">IFERROR((IF($O204=1,0,NPV('2027 Avoided Costs'!$D$6,_xlfn._xlws.FILTER('2027 Avoided Costs'!$Q$14:$Q$47,('2027 Avoided Costs'!$B$14:$B$47&gt;=$B204+1)*('2027 Avoided Costs'!$B$14:$B$47&lt;$B204+ROUND($O204,0)))))+_xlfn.XLOOKUP($B204,'2027 Avoided Costs'!$B$13:$B$47,'2027 Avoided Costs'!$Q$13:$Q$47))*IF($AI204&gt;0,$AI204*(1+$W204),0),0)</f>
        <v>9802.0263116361093</v>
      </c>
      <c r="AW204" s="291" cm="1">
        <f t="array" ref="AW204">IFERROR((IF($O204=1,0,NPV('2027 Avoided Costs'!$D$6,_xlfn._xlws.FILTER('2027 Avoided Costs'!$W$14:$W$47,('2027 Avoided Costs'!$B$14:$B$47&gt;=$B204+1)*('2027 Avoided Costs'!$B$14:$B$47&lt;$B204+ROUND($O204,0)))))+_xlfn.XLOOKUP($B204,'2027 Avoided Costs'!$B$13:$B$47,'2027 Avoided Costs'!$W$13:$W$47))*IF($AM204&gt;0,$AM204*(1+$W204),0),0)</f>
        <v>8852.2449390034035</v>
      </c>
      <c r="AX204" s="291" cm="1">
        <f t="array" ref="AX204">IFERROR((IF($O204=1,0,NPV('2027 Avoided Costs'!$D$6,_xlfn._xlws.FILTER('2027 Avoided Costs'!$AC$14:$AC$47,('2027 Avoided Costs'!$B$14:$B$47&gt;=$B204+1)*('2027 Avoided Costs'!$B$14:$B$47&lt;$B204+ROUND($O204,0)))))+_xlfn.XLOOKUP($B204,'2027 Avoided Costs'!$B$13:$B$47,'2027 Avoided Costs'!$AC$13:$AC$47))*IF($AO204&gt;0,$AO204*(1+$W204),0),0)</f>
        <v>1258.9216785782619</v>
      </c>
      <c r="AY204" s="291" cm="1">
        <f t="array" ref="AY204">IFERROR((IF($O204=1,0,NPV('2027 Avoided Costs'!$D$4,_xlfn._xlws.FILTER('2027 Avoided Costs'!$I$14:$I$47,('2027 Avoided Costs'!$B$14:$B$47&gt;=$B204+1)*('2027 Avoided Costs'!$B$14:$B$47&lt;$B204+ROUND($O204,0)))))+_xlfn.XLOOKUP($B204,'2027 Avoided Costs'!$B$13:$B$47,'2027 Avoided Costs'!$I$13:$I$47))*IF($X204="Residential",'2027 Avoided Costs'!$J$5,IF($X204="Large Volume",'2027 Avoided Costs'!$J$7,'2027 Avoided Costs'!$J$6))*IF($AE204&gt;0,$AE204,0),0)</f>
        <v>0</v>
      </c>
      <c r="AZ204" s="291" cm="1">
        <f t="array" ref="AZ204">IFERROR(IF($J204="Baseload",IF($O204=1,0,NPV('2027 Avoided Costs'!$D$6,_xlfn._xlws.FILTER('2027 Avoided Costs'!$C$14:$C$47,('2027 Avoided Costs'!$B$14:$B$47&gt;=$B204+1)*('2027 Avoided Costs'!$B$14:$B$47&lt;$B204+ROUND($O204,0)))))+_xlfn.XLOOKUP($B204,'2027 Avoided Costs'!$B$13:$B$47,'2027 Avoided Costs'!$C$13:$C$47),IF($O204=1,0,NPV('2027 Avoided Costs'!$D$6,_xlfn._xlws.FILTER('2027 Avoided Costs'!$E$14:$E$47,('2027 Avoided Costs'!$B$14:$B$47&gt;=$B204+1)*('2027 Avoided Costs'!$B$14:$B$47&lt;$B204+ROUND($O204,0)))))+_xlfn.XLOOKUP($B204,'2027 Avoided Costs'!$B$13:$B$47,'2027 Avoided Costs'!$E$13:$E$47))*IF($AE204&lt;0,$AE204*(-1),0),0)</f>
        <v>0</v>
      </c>
      <c r="BA204" s="291" cm="1">
        <f t="array" ref="BA204">IFERROR((IF($O204=1,0,NPV('2027 Avoided Costs'!$D$6,_xlfn._xlws.FILTER('2027 Avoided Costs'!$M$14:$M$47,('2027 Avoided Costs'!$B$14:$B$47&gt;=$B204+1)*('2027 Avoided Costs'!$B$14:$B$47&lt;$B204+ROUND($O204,0)))))+_xlfn.XLOOKUP($B204,'2027 Avoided Costs'!$B$13:$B$47,'2027 Avoided Costs'!$M$13:$M$47))*IF($AK204&lt;0,$AK204*(-1),0),0)</f>
        <v>0</v>
      </c>
      <c r="BB204" s="291" cm="1">
        <f t="array" ref="BB204">IFERROR((IF($O204=1,0,NPV('2027 Avoided Costs'!$D$6,_xlfn._xlws.FILTER('2027 Avoided Costs'!$S$14:$S$47,('2027 Avoided Costs'!$B$14:$B$47&gt;=$B204+1)*('2027 Avoided Costs'!$B$14:$B$47&lt;$B204+ROUND($O204,0)))))+_xlfn.XLOOKUP($B204,'2027 Avoided Costs'!$B$13:$B$47,'2027 Avoided Costs'!$S$13:$S$47))*IF($AI204&lt;0,$AI204*(-1),0),0)</f>
        <v>0</v>
      </c>
      <c r="BC204" s="291" cm="1">
        <f t="array" ref="BC204">IFERROR((IF($O204=1,0,NPV('2027 Avoided Costs'!$D$6,_xlfn._xlws.FILTER('2027 Avoided Costs'!$Y$14:$Y$47,('2027 Avoided Costs'!$B$14:$B$47&gt;=$B204+1)*('2027 Avoided Costs'!$B$14:$B$47&lt;$B204+ROUND($O204,0)))))+_xlfn.XLOOKUP($B204,'2027 Avoided Costs'!$B$13:$B$47,'2027 Avoided Costs'!$Y$13:$Y$47))*IF($AM204&lt;0,$AM204*(-1),0),0)</f>
        <v>0</v>
      </c>
      <c r="BD204" s="291" cm="1">
        <f t="array" ref="BD204">IFERROR((IF($O204=1,0,NPV('2027 Avoided Costs'!$D$6,_xlfn._xlws.FILTER('2027 Avoided Costs'!$AE$14:$AE$47,('2027 Avoided Costs'!$B$14:$B$47&gt;=$B204+1)*('2027 Avoided Costs'!$B$14:$B$47&lt;$B204+ROUND($O204,0)))))+_xlfn.XLOOKUP($B204,'2027 Avoided Costs'!$B$13:$B$47,'2027 Avoided Costs'!$AE$13:$AE$47))*IF($AO204&lt;0,$AO204*(-1),0),0)</f>
        <v>0</v>
      </c>
      <c r="BE204" s="291" cm="1">
        <f t="array" ref="BE204">IFERROR((IF($O204=1,0,NPV('2027 Avoided Costs'!$D$4,_xlfn._xlws.FILTER('2027 Avoided Costs'!$I$14:$I$47,('2027 Avoided Costs'!$B$14:$B$47&gt;=$B204+1)*('2027 Avoided Costs'!$B$14:$B$47&lt;$B204+ROUND($O204,0)))))+_xlfn.XLOOKUP($B204,'2027 Avoided Costs'!$B$13:$B$47,'2027 Avoided Costs'!$I$13:$I$47))*IF($X204="Residential",'2027 Avoided Costs'!$J$5,IF($X204="Large Volume",'2027 Avoided Costs'!$J$7,'2027 Avoided Costs'!$J$6))*IF($AE204&lt;0,$AE204*(-1),0),0)</f>
        <v>0</v>
      </c>
      <c r="BF204" s="291">
        <f t="shared" si="84"/>
        <v>164268.18460413697</v>
      </c>
      <c r="BG204" s="291">
        <f t="shared" si="85"/>
        <v>159808</v>
      </c>
      <c r="BH204" s="291">
        <f t="shared" si="86"/>
        <v>4460.1846041369718</v>
      </c>
      <c r="BI204" s="292">
        <f t="shared" si="110"/>
        <v>1.0279096453502765</v>
      </c>
      <c r="BJ204" s="196" cm="1">
        <f t="array" ref="BJ204">IFERROR(IF($J204="Baseload",IF($O204=1,0,NPV('2027 Avoided Costs'!$D$6,_xlfn._xlws.FILTER('2027 Avoided Costs'!$C$14:$C$47,('2027 Avoided Costs'!$B$14:$B$47&gt;=$B204+1)*('2027 Avoided Costs'!$B$14:$B$47&lt;$B204+ROUND($O204,0)))))+_xlfn.XLOOKUP($B204,'2027 Avoided Costs'!$B$13:$B$47,'2027 Avoided Costs'!$C$13:$C$47),IF($O204=1,0,NPV('2027 Avoided Costs'!$D$6,_xlfn._xlws.FILTER('2027 Avoided Costs'!$E$14:$E$47,('2027 Avoided Costs'!$B$14:$B$47&gt;=$B204+1)*('2027 Avoided Costs'!$B$14:$B$47&lt;$B204+ROUND($O204,0)))))+_xlfn.XLOOKUP($B204,'2027 Avoided Costs'!$B$13:$B$47,'2027 Avoided Costs'!$E$13:$E$47))*IF($AE204&gt;0,$AE204*(1+0),0),0)</f>
        <v>125526.07971732107</v>
      </c>
      <c r="BK204" s="293">
        <f t="shared" si="108"/>
        <v>1.0205085546018011</v>
      </c>
    </row>
    <row r="205" spans="1:63" s="56" customFormat="1" x14ac:dyDescent="0.25">
      <c r="A205" s="270" t="s">
        <v>133</v>
      </c>
      <c r="B205" s="271">
        <v>2030</v>
      </c>
      <c r="C205" s="272" t="s">
        <v>13</v>
      </c>
      <c r="D205" s="272" t="s">
        <v>167</v>
      </c>
      <c r="E205" s="272" t="s">
        <v>1</v>
      </c>
      <c r="F205" s="273">
        <v>140</v>
      </c>
      <c r="G205" s="274">
        <v>1250</v>
      </c>
      <c r="H205" s="275">
        <f t="shared" si="88"/>
        <v>1.1061946902654867</v>
      </c>
      <c r="I205" s="274">
        <v>50</v>
      </c>
      <c r="J205" s="276" t="s">
        <v>264</v>
      </c>
      <c r="K205" s="277">
        <f t="shared" si="87"/>
        <v>0.8</v>
      </c>
      <c r="L205" s="278">
        <v>0.19999999999999996</v>
      </c>
      <c r="M205" s="278">
        <v>0</v>
      </c>
      <c r="N205" s="278">
        <v>1</v>
      </c>
      <c r="O205" s="279">
        <v>16</v>
      </c>
      <c r="P205" s="280">
        <v>1130</v>
      </c>
      <c r="Q205" s="281">
        <v>-4121</v>
      </c>
      <c r="R205" s="282">
        <v>6.3624999999999973E-2</v>
      </c>
      <c r="S205" s="282">
        <v>-2.04</v>
      </c>
      <c r="T205" s="281">
        <v>0</v>
      </c>
      <c r="U205" s="283">
        <v>0</v>
      </c>
      <c r="V205" s="284">
        <v>6097</v>
      </c>
      <c r="W205" s="285">
        <v>0.15</v>
      </c>
      <c r="X205" s="286" t="s">
        <v>255</v>
      </c>
      <c r="Y205" s="287">
        <f t="shared" si="89"/>
        <v>140</v>
      </c>
      <c r="Z205" s="288">
        <f t="shared" si="90"/>
        <v>175000</v>
      </c>
      <c r="AA205" s="288">
        <f t="shared" si="91"/>
        <v>7000</v>
      </c>
      <c r="AB205" s="288">
        <f t="shared" si="92"/>
        <v>185711.4</v>
      </c>
      <c r="AC205" s="288">
        <f t="shared" si="109"/>
        <v>7367.4482591360011</v>
      </c>
      <c r="AD205" s="287">
        <f t="shared" si="93"/>
        <v>158200</v>
      </c>
      <c r="AE205" s="287">
        <f t="shared" si="94"/>
        <v>126560</v>
      </c>
      <c r="AF205" s="287">
        <f t="shared" si="95"/>
        <v>2531200</v>
      </c>
      <c r="AG205" s="287">
        <f t="shared" si="96"/>
        <v>2024960</v>
      </c>
      <c r="AH205" s="287">
        <f t="shared" si="97"/>
        <v>-618479.68000000005</v>
      </c>
      <c r="AI205" s="287">
        <f t="shared" si="98"/>
        <v>-494783.74400000001</v>
      </c>
      <c r="AJ205" s="287">
        <f t="shared" si="99"/>
        <v>0</v>
      </c>
      <c r="AK205" s="287">
        <f t="shared" si="100"/>
        <v>0</v>
      </c>
      <c r="AL205" s="287">
        <f t="shared" si="101"/>
        <v>9.5488399999999967</v>
      </c>
      <c r="AM205" s="287">
        <f t="shared" si="102"/>
        <v>7.639071999999997</v>
      </c>
      <c r="AN205" s="287">
        <f t="shared" si="103"/>
        <v>-306.16320000000002</v>
      </c>
      <c r="AO205" s="287">
        <f t="shared" si="104"/>
        <v>-244.93056000000004</v>
      </c>
      <c r="AP205" s="287">
        <f t="shared" si="105"/>
        <v>853580</v>
      </c>
      <c r="AQ205" s="287">
        <f t="shared" si="106"/>
        <v>682864</v>
      </c>
      <c r="AR205" s="287">
        <f t="shared" si="107"/>
        <v>0</v>
      </c>
      <c r="AS205" s="289" t="e">
        <f>IF(J205='2027 Avoided Costs'!#REF!,3,5)</f>
        <v>#REF!</v>
      </c>
      <c r="AT205" s="290" cm="1">
        <f t="array" ref="AT205">IFERROR(IF($J205="Baseload",IF($O205=1,0,NPV('2027 Avoided Costs'!$D$6,_xlfn._xlws.FILTER('2027 Avoided Costs'!$C$14:$C$47,('2027 Avoided Costs'!$B$14:$B$47&gt;=$B205+1)*('2027 Avoided Costs'!$B$14:$B$47&lt;$B205+ROUND($O205,0)))))+_xlfn.XLOOKUP($B205,'2027 Avoided Costs'!$B$13:$B$47,'2027 Avoided Costs'!$C$13:$C$47),IF($O205=1,0,NPV('2027 Avoided Costs'!$D$6,_xlfn._xlws.FILTER('2027 Avoided Costs'!$E$14:$E$47,('2027 Avoided Costs'!$B$14:$B$47&gt;=$B205+1)*('2027 Avoided Costs'!$B$14:$B$47&lt;$B205+ROUND($O205,0)))))+_xlfn.XLOOKUP($B205,'2027 Avoided Costs'!$B$13:$B$47,'2027 Avoided Costs'!$E$13:$E$47))*IF($AE205&gt;0,$AE205*(1+$W205),0),0)</f>
        <v>584798.15937531576</v>
      </c>
      <c r="AU205" s="290" cm="1">
        <f t="array" ref="AU205">IFERROR((IF($O205=1,0,NPV('2027 Avoided Costs'!$D$6,_xlfn._xlws.FILTER('2027 Avoided Costs'!$M$14:$M$47,('2027 Avoided Costs'!$B$14:$B$47&gt;=$B205+1)*('2027 Avoided Costs'!$B$14:$B$47&lt;$B205+ROUND($O205,0)))))+_xlfn.XLOOKUP($B205,'2027 Avoided Costs'!$B$13:$B$47,'2027 Avoided Costs'!$M$13:$M$47))*IF($AK205&gt;0,$AK205*(1+$W205),0),0)</f>
        <v>0</v>
      </c>
      <c r="AV205" s="291" cm="1">
        <f t="array" ref="AV205">IFERROR((IF($O205=1,0,NPV('2027 Avoided Costs'!$D$6,_xlfn._xlws.FILTER('2027 Avoided Costs'!$Q$14:$Q$47,('2027 Avoided Costs'!$B$14:$B$47&gt;=$B205+1)*('2027 Avoided Costs'!$B$14:$B$47&lt;$B205+ROUND($O205,0)))))+_xlfn.XLOOKUP($B205,'2027 Avoided Costs'!$B$13:$B$47,'2027 Avoided Costs'!$Q$13:$Q$47))*IF($AI205&gt;0,$AI205*(1+$W205),0),0)</f>
        <v>0</v>
      </c>
      <c r="AW205" s="291" cm="1">
        <f t="array" ref="AW205">IFERROR((IF($O205=1,0,NPV('2027 Avoided Costs'!$D$6,_xlfn._xlws.FILTER('2027 Avoided Costs'!$W$14:$W$47,('2027 Avoided Costs'!$B$14:$B$47&gt;=$B205+1)*('2027 Avoided Costs'!$B$14:$B$47&lt;$B205+ROUND($O205,0)))))+_xlfn.XLOOKUP($B205,'2027 Avoided Costs'!$B$13:$B$47,'2027 Avoided Costs'!$W$13:$W$47))*IF($AM205&gt;0,$AM205*(1+$W205),0),0)</f>
        <v>32451.037718631564</v>
      </c>
      <c r="AX205" s="291" cm="1">
        <f t="array" ref="AX205">IFERROR((IF($O205=1,0,NPV('2027 Avoided Costs'!$D$6,_xlfn._xlws.FILTER('2027 Avoided Costs'!$AC$14:$AC$47,('2027 Avoided Costs'!$B$14:$B$47&gt;=$B205+1)*('2027 Avoided Costs'!$B$14:$B$47&lt;$B205+ROUND($O205,0)))))+_xlfn.XLOOKUP($B205,'2027 Avoided Costs'!$B$13:$B$47,'2027 Avoided Costs'!$AC$13:$AC$47))*IF($AO205&gt;0,$AO205*(1+$W205),0),0)</f>
        <v>0</v>
      </c>
      <c r="AY205" s="291" cm="1">
        <f t="array" ref="AY205">IFERROR((IF($O205=1,0,NPV('2027 Avoided Costs'!$D$4,_xlfn._xlws.FILTER('2027 Avoided Costs'!$I$14:$I$47,('2027 Avoided Costs'!$B$14:$B$47&gt;=$B205+1)*('2027 Avoided Costs'!$B$14:$B$47&lt;$B205+ROUND($O205,0)))))+_xlfn.XLOOKUP($B205,'2027 Avoided Costs'!$B$13:$B$47,'2027 Avoided Costs'!$I$13:$I$47))*IF($X205="Residential",'2027 Avoided Costs'!$J$5,IF($X205="Large Volume",'2027 Avoided Costs'!$J$7,'2027 Avoided Costs'!$J$6))*IF($AE205&gt;0,$AE205,0),0)</f>
        <v>0</v>
      </c>
      <c r="AZ205" s="291" cm="1">
        <f t="array" ref="AZ205">IFERROR(IF($J205="Baseload",IF($O205=1,0,NPV('2027 Avoided Costs'!$D$6,_xlfn._xlws.FILTER('2027 Avoided Costs'!$C$14:$C$47,('2027 Avoided Costs'!$B$14:$B$47&gt;=$B205+1)*('2027 Avoided Costs'!$B$14:$B$47&lt;$B205+ROUND($O205,0)))))+_xlfn.XLOOKUP($B205,'2027 Avoided Costs'!$B$13:$B$47,'2027 Avoided Costs'!$C$13:$C$47),IF($O205=1,0,NPV('2027 Avoided Costs'!$D$6,_xlfn._xlws.FILTER('2027 Avoided Costs'!$E$14:$E$47,('2027 Avoided Costs'!$B$14:$B$47&gt;=$B205+1)*('2027 Avoided Costs'!$B$14:$B$47&lt;$B205+ROUND($O205,0)))))+_xlfn.XLOOKUP($B205,'2027 Avoided Costs'!$B$13:$B$47,'2027 Avoided Costs'!$E$13:$E$47))*IF($AE205&lt;0,$AE205*(-1),0),0)</f>
        <v>0</v>
      </c>
      <c r="BA205" s="291" cm="1">
        <f t="array" ref="BA205">IFERROR((IF($O205=1,0,NPV('2027 Avoided Costs'!$D$6,_xlfn._xlws.FILTER('2027 Avoided Costs'!$M$14:$M$47,('2027 Avoided Costs'!$B$14:$B$47&gt;=$B205+1)*('2027 Avoided Costs'!$B$14:$B$47&lt;$B205+ROUND($O205,0)))))+_xlfn.XLOOKUP($B205,'2027 Avoided Costs'!$B$13:$B$47,'2027 Avoided Costs'!$M$13:$M$47))*IF($AK205&lt;0,$AK205*(-1),0),0)</f>
        <v>0</v>
      </c>
      <c r="BB205" s="291" cm="1">
        <f t="array" ref="BB205">IFERROR((IF($O205=1,0,NPV('2027 Avoided Costs'!$D$6,_xlfn._xlws.FILTER('2027 Avoided Costs'!$S$14:$S$47,('2027 Avoided Costs'!$B$14:$B$47&gt;=$B205+1)*('2027 Avoided Costs'!$B$14:$B$47&lt;$B205+ROUND($O205,0)))))+_xlfn.XLOOKUP($B205,'2027 Avoided Costs'!$B$13:$B$47,'2027 Avoided Costs'!$S$13:$S$47))*IF($AI205&lt;0,$AI205*(-1),0),0)</f>
        <v>289181.18424345669</v>
      </c>
      <c r="BC205" s="291" cm="1">
        <f t="array" ref="BC205">IFERROR((IF($O205=1,0,NPV('2027 Avoided Costs'!$D$6,_xlfn._xlws.FILTER('2027 Avoided Costs'!$Y$14:$Y$47,('2027 Avoided Costs'!$B$14:$B$47&gt;=$B205+1)*('2027 Avoided Costs'!$B$14:$B$47&lt;$B205+ROUND($O205,0)))))+_xlfn.XLOOKUP($B205,'2027 Avoided Costs'!$B$13:$B$47,'2027 Avoided Costs'!$Y$13:$Y$47))*IF($AM205&lt;0,$AM205*(-1),0),0)</f>
        <v>0</v>
      </c>
      <c r="BD205" s="291" cm="1">
        <f t="array" ref="BD205">IFERROR((IF($O205=1,0,NPV('2027 Avoided Costs'!$D$6,_xlfn._xlws.FILTER('2027 Avoided Costs'!$AE$14:$AE$47,('2027 Avoided Costs'!$B$14:$B$47&gt;=$B205+1)*('2027 Avoided Costs'!$B$14:$B$47&lt;$B205+ROUND($O205,0)))))+_xlfn.XLOOKUP($B205,'2027 Avoided Costs'!$B$13:$B$47,'2027 Avoided Costs'!$AE$13:$AE$47))*IF($AO205&lt;0,$AO205*(-1),0),0)</f>
        <v>178986.54849439196</v>
      </c>
      <c r="BE205" s="291" cm="1">
        <f t="array" ref="BE205">IFERROR((IF($O205=1,0,NPV('2027 Avoided Costs'!$D$4,_xlfn._xlws.FILTER('2027 Avoided Costs'!$I$14:$I$47,('2027 Avoided Costs'!$B$14:$B$47&gt;=$B205+1)*('2027 Avoided Costs'!$B$14:$B$47&lt;$B205+ROUND($O205,0)))))+_xlfn.XLOOKUP($B205,'2027 Avoided Costs'!$B$13:$B$47,'2027 Avoided Costs'!$I$13:$I$47))*IF($X205="Residential",'2027 Avoided Costs'!$J$5,IF($X205="Large Volume",'2027 Avoided Costs'!$J$7,'2027 Avoided Costs'!$J$6))*IF($AE205&lt;0,$AE205*(-1),0),0)</f>
        <v>0</v>
      </c>
      <c r="BF205" s="291">
        <f t="shared" si="84"/>
        <v>617249.19709394732</v>
      </c>
      <c r="BG205" s="291">
        <f t="shared" si="85"/>
        <v>1151031.7327378485</v>
      </c>
      <c r="BH205" s="291">
        <f t="shared" si="86"/>
        <v>-533782.53564390121</v>
      </c>
      <c r="BI205" s="292">
        <f t="shared" si="110"/>
        <v>0.53625732422316108</v>
      </c>
      <c r="BJ205" s="196" cm="1">
        <f t="array" ref="BJ205">IFERROR(IF($J205="Baseload",IF($O205=1,0,NPV('2027 Avoided Costs'!$D$6,_xlfn._xlws.FILTER('2027 Avoided Costs'!$C$14:$C$47,('2027 Avoided Costs'!$B$14:$B$47&gt;=$B205+1)*('2027 Avoided Costs'!$B$14:$B$47&lt;$B205+ROUND($O205,0)))))+_xlfn.XLOOKUP($B205,'2027 Avoided Costs'!$B$13:$B$47,'2027 Avoided Costs'!$C$13:$C$47),IF($O205=1,0,NPV('2027 Avoided Costs'!$D$6,_xlfn._xlws.FILTER('2027 Avoided Costs'!$E$14:$E$47,('2027 Avoided Costs'!$B$14:$B$47&gt;=$B205+1)*('2027 Avoided Costs'!$B$14:$B$47&lt;$B205+ROUND($O205,0)))))+_xlfn.XLOOKUP($B205,'2027 Avoided Costs'!$B$13:$B$47,'2027 Avoided Costs'!$E$13:$E$47))*IF($AE205&gt;0,$AE205*(1+0),0),0)</f>
        <v>508520.13858723111</v>
      </c>
      <c r="BK205" s="293">
        <f t="shared" si="108"/>
        <v>2.633743380863415</v>
      </c>
    </row>
    <row r="206" spans="1:63" s="56" customFormat="1" x14ac:dyDescent="0.25">
      <c r="A206" s="270" t="s">
        <v>133</v>
      </c>
      <c r="B206" s="271">
        <v>2030</v>
      </c>
      <c r="C206" s="272" t="s">
        <v>13</v>
      </c>
      <c r="D206" s="272" t="s">
        <v>167</v>
      </c>
      <c r="E206" s="272" t="s">
        <v>356</v>
      </c>
      <c r="F206" s="273">
        <v>18</v>
      </c>
      <c r="G206" s="274">
        <v>1500</v>
      </c>
      <c r="H206" s="275">
        <f t="shared" si="88"/>
        <v>2.5167785234899327</v>
      </c>
      <c r="I206" s="274">
        <v>0</v>
      </c>
      <c r="J206" s="276" t="s">
        <v>263</v>
      </c>
      <c r="K206" s="277">
        <f t="shared" si="87"/>
        <v>0.8</v>
      </c>
      <c r="L206" s="278">
        <v>0.19999999999999996</v>
      </c>
      <c r="M206" s="278">
        <v>0</v>
      </c>
      <c r="N206" s="278">
        <v>1</v>
      </c>
      <c r="O206" s="279">
        <v>15</v>
      </c>
      <c r="P206" s="280">
        <v>596</v>
      </c>
      <c r="Q206" s="281">
        <v>-1325</v>
      </c>
      <c r="R206" s="282">
        <v>-0.152</v>
      </c>
      <c r="S206" s="282">
        <v>-0.24</v>
      </c>
      <c r="T206" s="281">
        <v>0</v>
      </c>
      <c r="U206" s="283">
        <v>0</v>
      </c>
      <c r="V206" s="284">
        <v>1832</v>
      </c>
      <c r="W206" s="285">
        <v>0.15</v>
      </c>
      <c r="X206" s="286" t="s">
        <v>255</v>
      </c>
      <c r="Y206" s="287">
        <f t="shared" si="89"/>
        <v>18</v>
      </c>
      <c r="Z206" s="288">
        <f t="shared" si="90"/>
        <v>27000</v>
      </c>
      <c r="AA206" s="288">
        <f t="shared" si="91"/>
        <v>0</v>
      </c>
      <c r="AB206" s="288">
        <f t="shared" si="92"/>
        <v>28652.615999999998</v>
      </c>
      <c r="AC206" s="288">
        <f t="shared" si="109"/>
        <v>0</v>
      </c>
      <c r="AD206" s="287">
        <f t="shared" si="93"/>
        <v>10728</v>
      </c>
      <c r="AE206" s="287">
        <f t="shared" si="94"/>
        <v>8582.4</v>
      </c>
      <c r="AF206" s="287">
        <f t="shared" si="95"/>
        <v>160920</v>
      </c>
      <c r="AG206" s="287">
        <f t="shared" si="96"/>
        <v>128736</v>
      </c>
      <c r="AH206" s="287">
        <f t="shared" si="97"/>
        <v>-25567.200000000001</v>
      </c>
      <c r="AI206" s="287">
        <f t="shared" si="98"/>
        <v>-20453.760000000002</v>
      </c>
      <c r="AJ206" s="287">
        <f t="shared" si="99"/>
        <v>0</v>
      </c>
      <c r="AK206" s="287">
        <f t="shared" si="100"/>
        <v>0</v>
      </c>
      <c r="AL206" s="287">
        <f t="shared" si="101"/>
        <v>-2.932992</v>
      </c>
      <c r="AM206" s="287">
        <f t="shared" si="102"/>
        <v>-2.3463936000000003</v>
      </c>
      <c r="AN206" s="287">
        <f t="shared" si="103"/>
        <v>-4.6310400000000005</v>
      </c>
      <c r="AO206" s="287">
        <f t="shared" si="104"/>
        <v>-3.7048320000000001</v>
      </c>
      <c r="AP206" s="287">
        <f t="shared" si="105"/>
        <v>32976</v>
      </c>
      <c r="AQ206" s="287">
        <f t="shared" si="106"/>
        <v>26380.800000000003</v>
      </c>
      <c r="AR206" s="287">
        <f t="shared" si="107"/>
        <v>0</v>
      </c>
      <c r="AS206" s="289" t="e">
        <f>IF(J206='2027 Avoided Costs'!#REF!,3,5)</f>
        <v>#REF!</v>
      </c>
      <c r="AT206" s="290" cm="1">
        <f t="array" ref="AT206">IFERROR(IF($J206="Baseload",IF($O206=1,0,NPV('2027 Avoided Costs'!$D$6,_xlfn._xlws.FILTER('2027 Avoided Costs'!$C$14:$C$47,('2027 Avoided Costs'!$B$14:$B$47&gt;=$B206+1)*('2027 Avoided Costs'!$B$14:$B$47&lt;$B206+ROUND($O206,0)))))+_xlfn.XLOOKUP($B206,'2027 Avoided Costs'!$B$13:$B$47,'2027 Avoided Costs'!$C$13:$C$47),IF($O206=1,0,NPV('2027 Avoided Costs'!$D$6,_xlfn._xlws.FILTER('2027 Avoided Costs'!$E$14:$E$47,('2027 Avoided Costs'!$B$14:$B$47&gt;=$B206+1)*('2027 Avoided Costs'!$B$14:$B$47&lt;$B206+ROUND($O206,0)))))+_xlfn.XLOOKUP($B206,'2027 Avoided Costs'!$B$13:$B$47,'2027 Avoided Costs'!$E$13:$E$47))*IF($AE206&gt;0,$AE206*(1+$W206),0),0)</f>
        <v>33660.527862123017</v>
      </c>
      <c r="AU206" s="290" cm="1">
        <f t="array" ref="AU206">IFERROR((IF($O206=1,0,NPV('2027 Avoided Costs'!$D$6,_xlfn._xlws.FILTER('2027 Avoided Costs'!$M$14:$M$47,('2027 Avoided Costs'!$B$14:$B$47&gt;=$B206+1)*('2027 Avoided Costs'!$B$14:$B$47&lt;$B206+ROUND($O206,0)))))+_xlfn.XLOOKUP($B206,'2027 Avoided Costs'!$B$13:$B$47,'2027 Avoided Costs'!$M$13:$M$47))*IF($AK206&gt;0,$AK206*(1+$W206),0),0)</f>
        <v>0</v>
      </c>
      <c r="AV206" s="291" cm="1">
        <f t="array" ref="AV206">IFERROR((IF($O206=1,0,NPV('2027 Avoided Costs'!$D$6,_xlfn._xlws.FILTER('2027 Avoided Costs'!$Q$14:$Q$47,('2027 Avoided Costs'!$B$14:$B$47&gt;=$B206+1)*('2027 Avoided Costs'!$B$14:$B$47&lt;$B206+ROUND($O206,0)))))+_xlfn.XLOOKUP($B206,'2027 Avoided Costs'!$B$13:$B$47,'2027 Avoided Costs'!$Q$13:$Q$47))*IF($AI206&gt;0,$AI206*(1+$W206),0),0)</f>
        <v>0</v>
      </c>
      <c r="AW206" s="291" cm="1">
        <f t="array" ref="AW206">IFERROR((IF($O206=1,0,NPV('2027 Avoided Costs'!$D$6,_xlfn._xlws.FILTER('2027 Avoided Costs'!$W$14:$W$47,('2027 Avoided Costs'!$B$14:$B$47&gt;=$B206+1)*('2027 Avoided Costs'!$B$14:$B$47&lt;$B206+ROUND($O206,0)))))+_xlfn.XLOOKUP($B206,'2027 Avoided Costs'!$B$13:$B$47,'2027 Avoided Costs'!$W$13:$W$47))*IF($AM206&gt;0,$AM206*(1+$W206),0),0)</f>
        <v>0</v>
      </c>
      <c r="AX206" s="291" cm="1">
        <f t="array" ref="AX206">IFERROR((IF($O206=1,0,NPV('2027 Avoided Costs'!$D$6,_xlfn._xlws.FILTER('2027 Avoided Costs'!$AC$14:$AC$47,('2027 Avoided Costs'!$B$14:$B$47&gt;=$B206+1)*('2027 Avoided Costs'!$B$14:$B$47&lt;$B206+ROUND($O206,0)))))+_xlfn.XLOOKUP($B206,'2027 Avoided Costs'!$B$13:$B$47,'2027 Avoided Costs'!$AC$13:$AC$47))*IF($AO206&gt;0,$AO206*(1+$W206),0),0)</f>
        <v>0</v>
      </c>
      <c r="AY206" s="291" cm="1">
        <f t="array" ref="AY206">IFERROR((IF($O206=1,0,NPV('2027 Avoided Costs'!$D$4,_xlfn._xlws.FILTER('2027 Avoided Costs'!$I$14:$I$47,('2027 Avoided Costs'!$B$14:$B$47&gt;=$B206+1)*('2027 Avoided Costs'!$B$14:$B$47&lt;$B206+ROUND($O206,0)))))+_xlfn.XLOOKUP($B206,'2027 Avoided Costs'!$B$13:$B$47,'2027 Avoided Costs'!$I$13:$I$47))*IF($X206="Residential",'2027 Avoided Costs'!$J$5,IF($X206="Large Volume",'2027 Avoided Costs'!$J$7,'2027 Avoided Costs'!$J$6))*IF($AE206&gt;0,$AE206,0),0)</f>
        <v>0</v>
      </c>
      <c r="AZ206" s="291" cm="1">
        <f t="array" ref="AZ206">IFERROR(IF($J206="Baseload",IF($O206=1,0,NPV('2027 Avoided Costs'!$D$6,_xlfn._xlws.FILTER('2027 Avoided Costs'!$C$14:$C$47,('2027 Avoided Costs'!$B$14:$B$47&gt;=$B206+1)*('2027 Avoided Costs'!$B$14:$B$47&lt;$B206+ROUND($O206,0)))))+_xlfn.XLOOKUP($B206,'2027 Avoided Costs'!$B$13:$B$47,'2027 Avoided Costs'!$C$13:$C$47),IF($O206=1,0,NPV('2027 Avoided Costs'!$D$6,_xlfn._xlws.FILTER('2027 Avoided Costs'!$E$14:$E$47,('2027 Avoided Costs'!$B$14:$B$47&gt;=$B206+1)*('2027 Avoided Costs'!$B$14:$B$47&lt;$B206+ROUND($O206,0)))))+_xlfn.XLOOKUP($B206,'2027 Avoided Costs'!$B$13:$B$47,'2027 Avoided Costs'!$E$13:$E$47))*IF($AE206&lt;0,$AE206*(-1),0),0)</f>
        <v>0</v>
      </c>
      <c r="BA206" s="291" cm="1">
        <f t="array" ref="BA206">IFERROR((IF($O206=1,0,NPV('2027 Avoided Costs'!$D$6,_xlfn._xlws.FILTER('2027 Avoided Costs'!$M$14:$M$47,('2027 Avoided Costs'!$B$14:$B$47&gt;=$B206+1)*('2027 Avoided Costs'!$B$14:$B$47&lt;$B206+ROUND($O206,0)))))+_xlfn.XLOOKUP($B206,'2027 Avoided Costs'!$B$13:$B$47,'2027 Avoided Costs'!$M$13:$M$47))*IF($AK206&lt;0,$AK206*(-1),0),0)</f>
        <v>0</v>
      </c>
      <c r="BB206" s="291" cm="1">
        <f t="array" ref="BB206">IFERROR((IF($O206=1,0,NPV('2027 Avoided Costs'!$D$6,_xlfn._xlws.FILTER('2027 Avoided Costs'!$S$14:$S$47,('2027 Avoided Costs'!$B$14:$B$47&gt;=$B206+1)*('2027 Avoided Costs'!$B$14:$B$47&lt;$B206+ROUND($O206,0)))))+_xlfn.XLOOKUP($B206,'2027 Avoided Costs'!$B$13:$B$47,'2027 Avoided Costs'!$S$13:$S$47))*IF($AI206&lt;0,$AI206*(-1),0),0)</f>
        <v>11398.023578957807</v>
      </c>
      <c r="BC206" s="291" cm="1">
        <f t="array" ref="BC206">IFERROR((IF($O206=1,0,NPV('2027 Avoided Costs'!$D$6,_xlfn._xlws.FILTER('2027 Avoided Costs'!$Y$14:$Y$47,('2027 Avoided Costs'!$B$14:$B$47&gt;=$B206+1)*('2027 Avoided Costs'!$B$14:$B$47&lt;$B206+ROUND($O206,0)))))+_xlfn.XLOOKUP($B206,'2027 Avoided Costs'!$B$13:$B$47,'2027 Avoided Costs'!$Y$13:$Y$47))*IF($AM206&lt;0,$AM206*(-1),0),0)</f>
        <v>8107.2599132048326</v>
      </c>
      <c r="BD206" s="291" cm="1">
        <f t="array" ref="BD206">IFERROR((IF($O206=1,0,NPV('2027 Avoided Costs'!$D$6,_xlfn._xlws.FILTER('2027 Avoided Costs'!$AE$14:$AE$47,('2027 Avoided Costs'!$B$14:$B$47&gt;=$B206+1)*('2027 Avoided Costs'!$B$14:$B$47&lt;$B206+ROUND($O206,0)))))+_xlfn.XLOOKUP($B206,'2027 Avoided Costs'!$B$13:$B$47,'2027 Avoided Costs'!$AE$13:$AE$47))*IF($AO206&lt;0,$AO206*(-1),0),0)</f>
        <v>2707.3595570580292</v>
      </c>
      <c r="BE206" s="291" cm="1">
        <f t="array" ref="BE206">IFERROR((IF($O206=1,0,NPV('2027 Avoided Costs'!$D$4,_xlfn._xlws.FILTER('2027 Avoided Costs'!$I$14:$I$47,('2027 Avoided Costs'!$B$14:$B$47&gt;=$B206+1)*('2027 Avoided Costs'!$B$14:$B$47&lt;$B206+ROUND($O206,0)))))+_xlfn.XLOOKUP($B206,'2027 Avoided Costs'!$B$13:$B$47,'2027 Avoided Costs'!$I$13:$I$47))*IF($X206="Residential",'2027 Avoided Costs'!$J$5,IF($X206="Large Volume",'2027 Avoided Costs'!$J$7,'2027 Avoided Costs'!$J$6))*IF($AE206&lt;0,$AE206*(-1),0),0)</f>
        <v>0</v>
      </c>
      <c r="BF206" s="291">
        <f t="shared" si="84"/>
        <v>33660.527862123017</v>
      </c>
      <c r="BG206" s="291">
        <f t="shared" si="85"/>
        <v>48593.443049220674</v>
      </c>
      <c r="BH206" s="291">
        <f t="shared" si="86"/>
        <v>-14932.915187097657</v>
      </c>
      <c r="BI206" s="292">
        <f t="shared" si="110"/>
        <v>0.69269691032240721</v>
      </c>
      <c r="BJ206" s="196" cm="1">
        <f t="array" ref="BJ206">IFERROR(IF($J206="Baseload",IF($O206=1,0,NPV('2027 Avoided Costs'!$D$6,_xlfn._xlws.FILTER('2027 Avoided Costs'!$C$14:$C$47,('2027 Avoided Costs'!$B$14:$B$47&gt;=$B206+1)*('2027 Avoided Costs'!$B$14:$B$47&lt;$B206+ROUND($O206,0)))))+_xlfn.XLOOKUP($B206,'2027 Avoided Costs'!$B$13:$B$47,'2027 Avoided Costs'!$C$13:$C$47),IF($O206=1,0,NPV('2027 Avoided Costs'!$D$6,_xlfn._xlws.FILTER('2027 Avoided Costs'!$E$14:$E$47,('2027 Avoided Costs'!$B$14:$B$47&gt;=$B206+1)*('2027 Avoided Costs'!$B$14:$B$47&lt;$B206+ROUND($O206,0)))))+_xlfn.XLOOKUP($B206,'2027 Avoided Costs'!$B$13:$B$47,'2027 Avoided Costs'!$E$13:$E$47))*IF($AE206&gt;0,$AE206*(1+0),0),0)</f>
        <v>29270.024227933063</v>
      </c>
      <c r="BK206" s="293">
        <f t="shared" si="108"/>
        <v>1.0215480578783125</v>
      </c>
    </row>
    <row r="207" spans="1:63" s="56" customFormat="1" x14ac:dyDescent="0.25">
      <c r="A207" s="270" t="s">
        <v>133</v>
      </c>
      <c r="B207" s="271">
        <v>2030</v>
      </c>
      <c r="C207" s="272" t="s">
        <v>13</v>
      </c>
      <c r="D207" s="272" t="s">
        <v>167</v>
      </c>
      <c r="E207" s="272" t="s">
        <v>87</v>
      </c>
      <c r="F207" s="273">
        <v>194</v>
      </c>
      <c r="G207" s="274">
        <v>1037</v>
      </c>
      <c r="H207" s="275">
        <f t="shared" si="88"/>
        <v>3.6132404181184667</v>
      </c>
      <c r="I207" s="274">
        <v>38</v>
      </c>
      <c r="J207" s="276" t="s">
        <v>264</v>
      </c>
      <c r="K207" s="277">
        <f t="shared" si="87"/>
        <v>0.8</v>
      </c>
      <c r="L207" s="278">
        <v>0.19999999999999996</v>
      </c>
      <c r="M207" s="278">
        <v>0</v>
      </c>
      <c r="N207" s="278">
        <v>1</v>
      </c>
      <c r="O207" s="279">
        <v>22</v>
      </c>
      <c r="P207" s="280">
        <v>287</v>
      </c>
      <c r="Q207" s="281">
        <v>130</v>
      </c>
      <c r="R207" s="282">
        <v>1.6845329387422218E-2</v>
      </c>
      <c r="S207" s="282">
        <v>1.6845329387422218E-2</v>
      </c>
      <c r="T207" s="281">
        <v>0</v>
      </c>
      <c r="U207" s="283">
        <v>0</v>
      </c>
      <c r="V207" s="284">
        <v>1816</v>
      </c>
      <c r="W207" s="285">
        <v>0.15</v>
      </c>
      <c r="X207" s="286" t="s">
        <v>255</v>
      </c>
      <c r="Y207" s="287">
        <f t="shared" si="89"/>
        <v>194</v>
      </c>
      <c r="Z207" s="288">
        <f t="shared" si="90"/>
        <v>201178</v>
      </c>
      <c r="AA207" s="288">
        <f t="shared" si="91"/>
        <v>7372</v>
      </c>
      <c r="AB207" s="288">
        <f t="shared" si="92"/>
        <v>213491.70302399999</v>
      </c>
      <c r="AC207" s="288">
        <f t="shared" si="109"/>
        <v>7758.9755094786578</v>
      </c>
      <c r="AD207" s="287">
        <f t="shared" si="93"/>
        <v>55678</v>
      </c>
      <c r="AE207" s="287">
        <f t="shared" si="94"/>
        <v>44542.400000000001</v>
      </c>
      <c r="AF207" s="287">
        <f t="shared" si="95"/>
        <v>1224916</v>
      </c>
      <c r="AG207" s="287">
        <f t="shared" si="96"/>
        <v>979932.8</v>
      </c>
      <c r="AH207" s="287">
        <f t="shared" si="97"/>
        <v>27035.84</v>
      </c>
      <c r="AI207" s="287">
        <f t="shared" si="98"/>
        <v>21628.672000000002</v>
      </c>
      <c r="AJ207" s="287">
        <f t="shared" si="99"/>
        <v>0</v>
      </c>
      <c r="AK207" s="287">
        <f t="shared" si="100"/>
        <v>0</v>
      </c>
      <c r="AL207" s="287">
        <f t="shared" si="101"/>
        <v>3.5032894620434241</v>
      </c>
      <c r="AM207" s="287">
        <f t="shared" si="102"/>
        <v>2.8026315696347393</v>
      </c>
      <c r="AN207" s="287">
        <f t="shared" si="103"/>
        <v>3.5032894620434241</v>
      </c>
      <c r="AO207" s="287">
        <f t="shared" si="104"/>
        <v>2.8026315696347393</v>
      </c>
      <c r="AP207" s="287">
        <f t="shared" si="105"/>
        <v>352304</v>
      </c>
      <c r="AQ207" s="287">
        <f t="shared" si="106"/>
        <v>281843.20000000001</v>
      </c>
      <c r="AR207" s="287">
        <f t="shared" si="107"/>
        <v>0</v>
      </c>
      <c r="AS207" s="289" t="e">
        <f>IF(J207='2027 Avoided Costs'!#REF!,3,5)</f>
        <v>#REF!</v>
      </c>
      <c r="AT207" s="290" cm="1">
        <f t="array" ref="AT207">IFERROR(IF($J207="Baseload",IF($O207=1,0,NPV('2027 Avoided Costs'!$D$6,_xlfn._xlws.FILTER('2027 Avoided Costs'!$C$14:$C$47,('2027 Avoided Costs'!$B$14:$B$47&gt;=$B207+1)*('2027 Avoided Costs'!$B$14:$B$47&lt;$B207+ROUND($O207,0)))))+_xlfn.XLOOKUP($B207,'2027 Avoided Costs'!$B$13:$B$47,'2027 Avoided Costs'!$C$13:$C$47),IF($O207=1,0,NPV('2027 Avoided Costs'!$D$6,_xlfn._xlws.FILTER('2027 Avoided Costs'!$E$14:$E$47,('2027 Avoided Costs'!$B$14:$B$47&gt;=$B207+1)*('2027 Avoided Costs'!$B$14:$B$47&lt;$B207+ROUND($O207,0)))))+_xlfn.XLOOKUP($B207,'2027 Avoided Costs'!$B$13:$B$47,'2027 Avoided Costs'!$E$13:$E$47))*IF($AE207&gt;0,$AE207*(1+$W207),0),0)</f>
        <v>262850.57580082456</v>
      </c>
      <c r="AU207" s="290" cm="1">
        <f t="array" ref="AU207">IFERROR((IF($O207=1,0,NPV('2027 Avoided Costs'!$D$6,_xlfn._xlws.FILTER('2027 Avoided Costs'!$M$14:$M$47,('2027 Avoided Costs'!$B$14:$B$47&gt;=$B207+1)*('2027 Avoided Costs'!$B$14:$B$47&lt;$B207+ROUND($O207,0)))))+_xlfn.XLOOKUP($B207,'2027 Avoided Costs'!$B$13:$B$47,'2027 Avoided Costs'!$M$13:$M$47))*IF($AK207&gt;0,$AK207*(1+$W207),0),0)</f>
        <v>0</v>
      </c>
      <c r="AV207" s="291" cm="1">
        <f t="array" ref="AV207">IFERROR((IF($O207=1,0,NPV('2027 Avoided Costs'!$D$6,_xlfn._xlws.FILTER('2027 Avoided Costs'!$Q$14:$Q$47,('2027 Avoided Costs'!$B$14:$B$47&gt;=$B207+1)*('2027 Avoided Costs'!$B$14:$B$47&lt;$B207+ROUND($O207,0)))))+_xlfn.XLOOKUP($B207,'2027 Avoided Costs'!$B$13:$B$47,'2027 Avoided Costs'!$Q$13:$Q$47))*IF($AI207&gt;0,$AI207*(1+$W207),0),0)</f>
        <v>16694.456370542895</v>
      </c>
      <c r="AW207" s="291" cm="1">
        <f t="array" ref="AW207">IFERROR((IF($O207=1,0,NPV('2027 Avoided Costs'!$D$6,_xlfn._xlws.FILTER('2027 Avoided Costs'!$W$14:$W$47,('2027 Avoided Costs'!$B$14:$B$47&gt;=$B207+1)*('2027 Avoided Costs'!$B$14:$B$47&lt;$B207+ROUND($O207,0)))))+_xlfn.XLOOKUP($B207,'2027 Avoided Costs'!$B$13:$B$47,'2027 Avoided Costs'!$W$13:$W$47))*IF($AM207&gt;0,$AM207*(1+$W207),0),0)</f>
        <v>16361.027349749096</v>
      </c>
      <c r="AX207" s="291" cm="1">
        <f t="array" ref="AX207">IFERROR((IF($O207=1,0,NPV('2027 Avoided Costs'!$D$6,_xlfn._xlws.FILTER('2027 Avoided Costs'!$AC$14:$AC$47,('2027 Avoided Costs'!$B$14:$B$47&gt;=$B207+1)*('2027 Avoided Costs'!$B$14:$B$47&lt;$B207+ROUND($O207,0)))))+_xlfn.XLOOKUP($B207,'2027 Avoided Costs'!$B$13:$B$47,'2027 Avoided Costs'!$AC$13:$AC$47))*IF($AO207&gt;0,$AO207*(1+$W207),0),0)</f>
        <v>2355.2730784304467</v>
      </c>
      <c r="AY207" s="291" cm="1">
        <f t="array" ref="AY207">IFERROR((IF($O207=1,0,NPV('2027 Avoided Costs'!$D$4,_xlfn._xlws.FILTER('2027 Avoided Costs'!$I$14:$I$47,('2027 Avoided Costs'!$B$14:$B$47&gt;=$B207+1)*('2027 Avoided Costs'!$B$14:$B$47&lt;$B207+ROUND($O207,0)))))+_xlfn.XLOOKUP($B207,'2027 Avoided Costs'!$B$13:$B$47,'2027 Avoided Costs'!$I$13:$I$47))*IF($X207="Residential",'2027 Avoided Costs'!$J$5,IF($X207="Large Volume",'2027 Avoided Costs'!$J$7,'2027 Avoided Costs'!$J$6))*IF($AE207&gt;0,$AE207,0),0)</f>
        <v>0</v>
      </c>
      <c r="AZ207" s="291" cm="1">
        <f t="array" ref="AZ207">IFERROR(IF($J207="Baseload",IF($O207=1,0,NPV('2027 Avoided Costs'!$D$6,_xlfn._xlws.FILTER('2027 Avoided Costs'!$C$14:$C$47,('2027 Avoided Costs'!$B$14:$B$47&gt;=$B207+1)*('2027 Avoided Costs'!$B$14:$B$47&lt;$B207+ROUND($O207,0)))))+_xlfn.XLOOKUP($B207,'2027 Avoided Costs'!$B$13:$B$47,'2027 Avoided Costs'!$C$13:$C$47),IF($O207=1,0,NPV('2027 Avoided Costs'!$D$6,_xlfn._xlws.FILTER('2027 Avoided Costs'!$E$14:$E$47,('2027 Avoided Costs'!$B$14:$B$47&gt;=$B207+1)*('2027 Avoided Costs'!$B$14:$B$47&lt;$B207+ROUND($O207,0)))))+_xlfn.XLOOKUP($B207,'2027 Avoided Costs'!$B$13:$B$47,'2027 Avoided Costs'!$E$13:$E$47))*IF($AE207&lt;0,$AE207*(-1),0),0)</f>
        <v>0</v>
      </c>
      <c r="BA207" s="291" cm="1">
        <f t="array" ref="BA207">IFERROR((IF($O207=1,0,NPV('2027 Avoided Costs'!$D$6,_xlfn._xlws.FILTER('2027 Avoided Costs'!$M$14:$M$47,('2027 Avoided Costs'!$B$14:$B$47&gt;=$B207+1)*('2027 Avoided Costs'!$B$14:$B$47&lt;$B207+ROUND($O207,0)))))+_xlfn.XLOOKUP($B207,'2027 Avoided Costs'!$B$13:$B$47,'2027 Avoided Costs'!$M$13:$M$47))*IF($AK207&lt;0,$AK207*(-1),0),0)</f>
        <v>0</v>
      </c>
      <c r="BB207" s="291" cm="1">
        <f t="array" ref="BB207">IFERROR((IF($O207=1,0,NPV('2027 Avoided Costs'!$D$6,_xlfn._xlws.FILTER('2027 Avoided Costs'!$S$14:$S$47,('2027 Avoided Costs'!$B$14:$B$47&gt;=$B207+1)*('2027 Avoided Costs'!$B$14:$B$47&lt;$B207+ROUND($O207,0)))))+_xlfn.XLOOKUP($B207,'2027 Avoided Costs'!$B$13:$B$47,'2027 Avoided Costs'!$S$13:$S$47))*IF($AI207&lt;0,$AI207*(-1),0),0)</f>
        <v>0</v>
      </c>
      <c r="BC207" s="291" cm="1">
        <f t="array" ref="BC207">IFERROR((IF($O207=1,0,NPV('2027 Avoided Costs'!$D$6,_xlfn._xlws.FILTER('2027 Avoided Costs'!$Y$14:$Y$47,('2027 Avoided Costs'!$B$14:$B$47&gt;=$B207+1)*('2027 Avoided Costs'!$B$14:$B$47&lt;$B207+ROUND($O207,0)))))+_xlfn.XLOOKUP($B207,'2027 Avoided Costs'!$B$13:$B$47,'2027 Avoided Costs'!$Y$13:$Y$47))*IF($AM207&lt;0,$AM207*(-1),0),0)</f>
        <v>0</v>
      </c>
      <c r="BD207" s="291" cm="1">
        <f t="array" ref="BD207">IFERROR((IF($O207=1,0,NPV('2027 Avoided Costs'!$D$6,_xlfn._xlws.FILTER('2027 Avoided Costs'!$AE$14:$AE$47,('2027 Avoided Costs'!$B$14:$B$47&gt;=$B207+1)*('2027 Avoided Costs'!$B$14:$B$47&lt;$B207+ROUND($O207,0)))))+_xlfn.XLOOKUP($B207,'2027 Avoided Costs'!$B$13:$B$47,'2027 Avoided Costs'!$AE$13:$AE$47))*IF($AO207&lt;0,$AO207*(-1),0),0)</f>
        <v>0</v>
      </c>
      <c r="BE207" s="291" cm="1">
        <f t="array" ref="BE207">IFERROR((IF($O207=1,0,NPV('2027 Avoided Costs'!$D$4,_xlfn._xlws.FILTER('2027 Avoided Costs'!$I$14:$I$47,('2027 Avoided Costs'!$B$14:$B$47&gt;=$B207+1)*('2027 Avoided Costs'!$B$14:$B$47&lt;$B207+ROUND($O207,0)))))+_xlfn.XLOOKUP($B207,'2027 Avoided Costs'!$B$13:$B$47,'2027 Avoided Costs'!$I$13:$I$47))*IF($X207="Residential",'2027 Avoided Costs'!$J$5,IF($X207="Large Volume",'2027 Avoided Costs'!$J$7,'2027 Avoided Costs'!$J$6))*IF($AE207&lt;0,$AE207*(-1),0),0)</f>
        <v>0</v>
      </c>
      <c r="BF207" s="291">
        <f t="shared" si="84"/>
        <v>298261.33259954699</v>
      </c>
      <c r="BG207" s="291">
        <f t="shared" si="85"/>
        <v>281843.20000000001</v>
      </c>
      <c r="BH207" s="291">
        <f t="shared" si="86"/>
        <v>16418.132599546982</v>
      </c>
      <c r="BI207" s="292">
        <f t="shared" si="110"/>
        <v>1.0582527185312507</v>
      </c>
      <c r="BJ207" s="196" cm="1">
        <f t="array" ref="BJ207">IFERROR(IF($J207="Baseload",IF($O207=1,0,NPV('2027 Avoided Costs'!$D$6,_xlfn._xlws.FILTER('2027 Avoided Costs'!$C$14:$C$47,('2027 Avoided Costs'!$B$14:$B$47&gt;=$B207+1)*('2027 Avoided Costs'!$B$14:$B$47&lt;$B207+ROUND($O207,0)))))+_xlfn.XLOOKUP($B207,'2027 Avoided Costs'!$B$13:$B$47,'2027 Avoided Costs'!$C$13:$C$47),IF($O207=1,0,NPV('2027 Avoided Costs'!$D$6,_xlfn._xlws.FILTER('2027 Avoided Costs'!$E$14:$E$47,('2027 Avoided Costs'!$B$14:$B$47&gt;=$B207+1)*('2027 Avoided Costs'!$B$14:$B$47&lt;$B207+ROUND($O207,0)))))+_xlfn.XLOOKUP($B207,'2027 Avoided Costs'!$B$13:$B$47,'2027 Avoided Costs'!$E$13:$E$47))*IF($AE207&gt;0,$AE207*(1+0),0),0)</f>
        <v>228565.71808767357</v>
      </c>
      <c r="BK207" s="293">
        <f t="shared" si="108"/>
        <v>1.0330622242728538</v>
      </c>
    </row>
    <row r="208" spans="1:63" s="56" customFormat="1" x14ac:dyDescent="0.25">
      <c r="A208" s="270" t="s">
        <v>133</v>
      </c>
      <c r="B208" s="271">
        <v>2027</v>
      </c>
      <c r="C208" s="272" t="s">
        <v>14</v>
      </c>
      <c r="D208" s="272" t="s">
        <v>8</v>
      </c>
      <c r="E208" s="272" t="s">
        <v>104</v>
      </c>
      <c r="F208" s="273">
        <v>12</v>
      </c>
      <c r="G208" s="274">
        <v>58801.308174459533</v>
      </c>
      <c r="H208" s="275">
        <f t="shared" si="88"/>
        <v>0.20276908548424979</v>
      </c>
      <c r="I208" s="274">
        <v>0</v>
      </c>
      <c r="J208" s="276" t="s">
        <v>264</v>
      </c>
      <c r="K208" s="277">
        <f t="shared" si="87"/>
        <v>0.7</v>
      </c>
      <c r="L208" s="278">
        <v>0.33</v>
      </c>
      <c r="M208" s="278">
        <v>0.03</v>
      </c>
      <c r="N208" s="278">
        <v>0.99119999999999997</v>
      </c>
      <c r="O208" s="279">
        <v>14</v>
      </c>
      <c r="P208" s="280">
        <v>289991.48481649073</v>
      </c>
      <c r="Q208" s="281">
        <v>834</v>
      </c>
      <c r="R208" s="282">
        <v>0.50823023899145403</v>
      </c>
      <c r="S208" s="282">
        <v>0.1501147227485764</v>
      </c>
      <c r="T208" s="281">
        <v>0</v>
      </c>
      <c r="U208" s="283">
        <v>0.93</v>
      </c>
      <c r="V208" s="284">
        <v>381308.06133333233</v>
      </c>
      <c r="W208" s="285">
        <v>0.15</v>
      </c>
      <c r="X208" s="286" t="s">
        <v>255</v>
      </c>
      <c r="Y208" s="287">
        <f t="shared" si="89"/>
        <v>12</v>
      </c>
      <c r="Z208" s="288">
        <f t="shared" si="90"/>
        <v>705615.69809351442</v>
      </c>
      <c r="AA208" s="288">
        <f t="shared" si="91"/>
        <v>0</v>
      </c>
      <c r="AB208" s="288">
        <f t="shared" si="92"/>
        <v>705615.69809351442</v>
      </c>
      <c r="AC208" s="288">
        <f t="shared" si="109"/>
        <v>0</v>
      </c>
      <c r="AD208" s="287">
        <f t="shared" si="93"/>
        <v>3449274.7170012672</v>
      </c>
      <c r="AE208" s="287">
        <f t="shared" si="94"/>
        <v>2414492.3019008869</v>
      </c>
      <c r="AF208" s="287">
        <f t="shared" si="95"/>
        <v>48289846.038017742</v>
      </c>
      <c r="AG208" s="287">
        <f t="shared" si="96"/>
        <v>33802892.226612419</v>
      </c>
      <c r="AH208" s="287">
        <f t="shared" si="97"/>
        <v>10634.1645312</v>
      </c>
      <c r="AI208" s="287">
        <f t="shared" si="98"/>
        <v>7443.9151718399999</v>
      </c>
      <c r="AJ208" s="287">
        <f t="shared" si="99"/>
        <v>0</v>
      </c>
      <c r="AK208" s="287">
        <f t="shared" si="100"/>
        <v>0</v>
      </c>
      <c r="AL208" s="287">
        <f t="shared" si="101"/>
        <v>6.4803405049954668</v>
      </c>
      <c r="AM208" s="287">
        <f t="shared" si="102"/>
        <v>4.5362383534968265</v>
      </c>
      <c r="AN208" s="287">
        <f t="shared" si="103"/>
        <v>1.9140823264554352</v>
      </c>
      <c r="AO208" s="287">
        <f t="shared" si="104"/>
        <v>1.3398576285188044</v>
      </c>
      <c r="AP208" s="287">
        <f t="shared" si="105"/>
        <v>4575696.7359999884</v>
      </c>
      <c r="AQ208" s="287">
        <f t="shared" si="106"/>
        <v>3202987.7151999916</v>
      </c>
      <c r="AR208" s="287">
        <f t="shared" si="107"/>
        <v>2245477.840767825</v>
      </c>
      <c r="AS208" s="289" t="e">
        <f>IF(J208='2027 Avoided Costs'!#REF!,3,5)</f>
        <v>#REF!</v>
      </c>
      <c r="AT208" s="290" cm="1">
        <f t="array" ref="AT208">IFERROR(IF($J208="Baseload",IF($O208=1,0,NPV('2027 Avoided Costs'!$D$6,_xlfn._xlws.FILTER('2027 Avoided Costs'!$C$14:$C$47,('2027 Avoided Costs'!$B$14:$B$47&gt;=$B208+1)*('2027 Avoided Costs'!$B$14:$B$47&lt;$B208+ROUND($O208,0)))))+_xlfn.XLOOKUP($B208,'2027 Avoided Costs'!$B$13:$B$47,'2027 Avoided Costs'!$C$13:$C$47),IF($O208=1,0,NPV('2027 Avoided Costs'!$D$6,_xlfn._xlws.FILTER('2027 Avoided Costs'!$E$14:$E$47,('2027 Avoided Costs'!$B$14:$B$47&gt;=$B208+1)*('2027 Avoided Costs'!$B$14:$B$47&lt;$B208+ROUND($O208,0)))))+_xlfn.XLOOKUP($B208,'2027 Avoided Costs'!$B$13:$B$47,'2027 Avoided Costs'!$E$13:$E$47))*IF($AE208&gt;0,$AE208*(1+$W208),0),0)</f>
        <v>9005878.5844934061</v>
      </c>
      <c r="AU208" s="290" cm="1">
        <f t="array" ref="AU208">IFERROR((IF($O208=1,0,NPV('2027 Avoided Costs'!$D$6,_xlfn._xlws.FILTER('2027 Avoided Costs'!$M$14:$M$47,('2027 Avoided Costs'!$B$14:$B$47&gt;=$B208+1)*('2027 Avoided Costs'!$B$14:$B$47&lt;$B208+ROUND($O208,0)))))+_xlfn.XLOOKUP($B208,'2027 Avoided Costs'!$B$13:$B$47,'2027 Avoided Costs'!$M$13:$M$47))*IF($AK208&gt;0,$AK208*(1+$W208),0),0)</f>
        <v>0</v>
      </c>
      <c r="AV208" s="291" cm="1">
        <f t="array" ref="AV208">IFERROR((IF($O208=1,0,NPV('2027 Avoided Costs'!$D$6,_xlfn._xlws.FILTER('2027 Avoided Costs'!$Q$14:$Q$47,('2027 Avoided Costs'!$B$14:$B$47&gt;=$B208+1)*('2027 Avoided Costs'!$B$14:$B$47&lt;$B208+ROUND($O208,0)))))+_xlfn.XLOOKUP($B208,'2027 Avoided Costs'!$B$13:$B$47,'2027 Avoided Costs'!$Q$13:$Q$47))*IF($AI208&gt;0,$AI208*(1+$W208),0),0)</f>
        <v>4694.5180007816471</v>
      </c>
      <c r="AW208" s="291" cm="1">
        <f t="array" ref="AW208">IFERROR((IF($O208=1,0,NPV('2027 Avoided Costs'!$D$6,_xlfn._xlws.FILTER('2027 Avoided Costs'!$W$14:$W$47,('2027 Avoided Costs'!$B$14:$B$47&gt;=$B208+1)*('2027 Avoided Costs'!$B$14:$B$47&lt;$B208+ROUND($O208,0)))))+_xlfn.XLOOKUP($B208,'2027 Avoided Costs'!$B$13:$B$47,'2027 Avoided Costs'!$W$13:$W$47))*IF($AM208&gt;0,$AM208*(1+$W208),0),0)</f>
        <v>16521.137845978916</v>
      </c>
      <c r="AX208" s="291" cm="1">
        <f t="array" ref="AX208">IFERROR((IF($O208=1,0,NPV('2027 Avoided Costs'!$D$6,_xlfn._xlws.FILTER('2027 Avoided Costs'!$AC$14:$AC$47,('2027 Avoided Costs'!$B$14:$B$47&gt;=$B208+1)*('2027 Avoided Costs'!$B$14:$B$47&lt;$B208+ROUND($O208,0)))))+_xlfn.XLOOKUP($B208,'2027 Avoided Costs'!$B$13:$B$47,'2027 Avoided Costs'!$AC$13:$AC$47))*IF($AO208&gt;0,$AO208*(1+$W208),0),0)</f>
        <v>327.15594919597561</v>
      </c>
      <c r="AY208" s="291" cm="1">
        <f t="array" ref="AY208">IFERROR((IF($O208=1,0,NPV('2027 Avoided Costs'!$D$4,_xlfn._xlws.FILTER('2027 Avoided Costs'!$I$14:$I$47,('2027 Avoided Costs'!$B$14:$B$47&gt;=$B208+1)*('2027 Avoided Costs'!$B$14:$B$47&lt;$B208+ROUND($O208,0)))))+_xlfn.XLOOKUP($B208,'2027 Avoided Costs'!$B$13:$B$47,'2027 Avoided Costs'!$I$13:$I$47))*IF($X208="Residential",'2027 Avoided Costs'!$J$5,IF($X208="Large Volume",'2027 Avoided Costs'!$J$7,'2027 Avoided Costs'!$J$6))*IF($AE208&gt;0,$AE208,0),0)</f>
        <v>0</v>
      </c>
      <c r="AZ208" s="291" cm="1">
        <f t="array" ref="AZ208">IFERROR(IF($J208="Baseload",IF($O208=1,0,NPV('2027 Avoided Costs'!$D$6,_xlfn._xlws.FILTER('2027 Avoided Costs'!$C$14:$C$47,('2027 Avoided Costs'!$B$14:$B$47&gt;=$B208+1)*('2027 Avoided Costs'!$B$14:$B$47&lt;$B208+ROUND($O208,0)))))+_xlfn.XLOOKUP($B208,'2027 Avoided Costs'!$B$13:$B$47,'2027 Avoided Costs'!$C$13:$C$47),IF($O208=1,0,NPV('2027 Avoided Costs'!$D$6,_xlfn._xlws.FILTER('2027 Avoided Costs'!$E$14:$E$47,('2027 Avoided Costs'!$B$14:$B$47&gt;=$B208+1)*('2027 Avoided Costs'!$B$14:$B$47&lt;$B208+ROUND($O208,0)))))+_xlfn.XLOOKUP($B208,'2027 Avoided Costs'!$B$13:$B$47,'2027 Avoided Costs'!$E$13:$E$47))*IF($AE208&lt;0,$AE208*(-1),0),0)</f>
        <v>0</v>
      </c>
      <c r="BA208" s="291" cm="1">
        <f t="array" ref="BA208">IFERROR((IF($O208=1,0,NPV('2027 Avoided Costs'!$D$6,_xlfn._xlws.FILTER('2027 Avoided Costs'!$M$14:$M$47,('2027 Avoided Costs'!$B$14:$B$47&gt;=$B208+1)*('2027 Avoided Costs'!$B$14:$B$47&lt;$B208+ROUND($O208,0)))))+_xlfn.XLOOKUP($B208,'2027 Avoided Costs'!$B$13:$B$47,'2027 Avoided Costs'!$M$13:$M$47))*IF($AK208&lt;0,$AK208*(-1),0),0)</f>
        <v>0</v>
      </c>
      <c r="BB208" s="291" cm="1">
        <f t="array" ref="BB208">IFERROR((IF($O208=1,0,NPV('2027 Avoided Costs'!$D$6,_xlfn._xlws.FILTER('2027 Avoided Costs'!$S$14:$S$47,('2027 Avoided Costs'!$B$14:$B$47&gt;=$B208+1)*('2027 Avoided Costs'!$B$14:$B$47&lt;$B208+ROUND($O208,0)))))+_xlfn.XLOOKUP($B208,'2027 Avoided Costs'!$B$13:$B$47,'2027 Avoided Costs'!$S$13:$S$47))*IF($AI208&lt;0,$AI208*(-1),0),0)</f>
        <v>0</v>
      </c>
      <c r="BC208" s="291" cm="1">
        <f t="array" ref="BC208">IFERROR((IF($O208=1,0,NPV('2027 Avoided Costs'!$D$6,_xlfn._xlws.FILTER('2027 Avoided Costs'!$Y$14:$Y$47,('2027 Avoided Costs'!$B$14:$B$47&gt;=$B208+1)*('2027 Avoided Costs'!$B$14:$B$47&lt;$B208+ROUND($O208,0)))))+_xlfn.XLOOKUP($B208,'2027 Avoided Costs'!$B$13:$B$47,'2027 Avoided Costs'!$Y$13:$Y$47))*IF($AM208&lt;0,$AM208*(-1),0),0)</f>
        <v>0</v>
      </c>
      <c r="BD208" s="291" cm="1">
        <f t="array" ref="BD208">IFERROR((IF($O208=1,0,NPV('2027 Avoided Costs'!$D$6,_xlfn._xlws.FILTER('2027 Avoided Costs'!$AE$14:$AE$47,('2027 Avoided Costs'!$B$14:$B$47&gt;=$B208+1)*('2027 Avoided Costs'!$B$14:$B$47&lt;$B208+ROUND($O208,0)))))+_xlfn.XLOOKUP($B208,'2027 Avoided Costs'!$B$13:$B$47,'2027 Avoided Costs'!$AE$13:$AE$47))*IF($AO208&lt;0,$AO208*(-1),0),0)</f>
        <v>0</v>
      </c>
      <c r="BE208" s="291" cm="1">
        <f t="array" ref="BE208">IFERROR((IF($O208=1,0,NPV('2027 Avoided Costs'!$D$4,_xlfn._xlws.FILTER('2027 Avoided Costs'!$I$14:$I$47,('2027 Avoided Costs'!$B$14:$B$47&gt;=$B208+1)*('2027 Avoided Costs'!$B$14:$B$47&lt;$B208+ROUND($O208,0)))))+_xlfn.XLOOKUP($B208,'2027 Avoided Costs'!$B$13:$B$47,'2027 Avoided Costs'!$I$13:$I$47))*IF($X208="Residential",'2027 Avoided Costs'!$J$5,IF($X208="Large Volume",'2027 Avoided Costs'!$J$7,'2027 Avoided Costs'!$J$6))*IF($AE208&lt;0,$AE208*(-1),0),0)</f>
        <v>0</v>
      </c>
      <c r="BF208" s="291">
        <f t="shared" si="84"/>
        <v>9027421.3962893616</v>
      </c>
      <c r="BG208" s="291">
        <f t="shared" si="85"/>
        <v>3202987.7151999916</v>
      </c>
      <c r="BH208" s="291">
        <f t="shared" si="86"/>
        <v>5824433.6810893696</v>
      </c>
      <c r="BI208" s="292">
        <f t="shared" si="110"/>
        <v>2.818437720959444</v>
      </c>
      <c r="BJ208" s="196" cm="1">
        <f t="array" ref="BJ208">IFERROR(IF($J208="Baseload",IF($O208=1,0,NPV('2027 Avoided Costs'!$D$6,_xlfn._xlws.FILTER('2027 Avoided Costs'!$C$14:$C$47,('2027 Avoided Costs'!$B$14:$B$47&gt;=$B208+1)*('2027 Avoided Costs'!$B$14:$B$47&lt;$B208+ROUND($O208,0)))))+_xlfn.XLOOKUP($B208,'2027 Avoided Costs'!$B$13:$B$47,'2027 Avoided Costs'!$C$13:$C$47),IF($O208=1,0,NPV('2027 Avoided Costs'!$D$6,_xlfn._xlws.FILTER('2027 Avoided Costs'!$E$14:$E$47,('2027 Avoided Costs'!$B$14:$B$47&gt;=$B208+1)*('2027 Avoided Costs'!$B$14:$B$47&lt;$B208+ROUND($O208,0)))))+_xlfn.XLOOKUP($B208,'2027 Avoided Costs'!$B$13:$B$47,'2027 Avoided Costs'!$E$13:$E$47))*IF($AE208&gt;0,$AE208*(1+0),0),0)</f>
        <v>7831198.7691247016</v>
      </c>
      <c r="BK208" s="293">
        <f t="shared" si="108"/>
        <v>11.098390795844853</v>
      </c>
    </row>
    <row r="209" spans="1:63" s="57" customFormat="1" x14ac:dyDescent="0.25">
      <c r="A209" s="270" t="s">
        <v>133</v>
      </c>
      <c r="B209" s="271">
        <v>2027</v>
      </c>
      <c r="C209" s="272" t="s">
        <v>14</v>
      </c>
      <c r="D209" s="272" t="s">
        <v>8</v>
      </c>
      <c r="E209" s="272" t="s">
        <v>357</v>
      </c>
      <c r="F209" s="273">
        <v>105</v>
      </c>
      <c r="G209" s="274">
        <v>58801.308174459533</v>
      </c>
      <c r="H209" s="275">
        <f t="shared" si="88"/>
        <v>0.20276908548424979</v>
      </c>
      <c r="I209" s="274">
        <v>0</v>
      </c>
      <c r="J209" s="276" t="s">
        <v>263</v>
      </c>
      <c r="K209" s="277">
        <f t="shared" si="87"/>
        <v>0.7</v>
      </c>
      <c r="L209" s="278">
        <v>0.33</v>
      </c>
      <c r="M209" s="278">
        <v>0.03</v>
      </c>
      <c r="N209" s="278">
        <v>0.99119999999999997</v>
      </c>
      <c r="O209" s="279">
        <v>14</v>
      </c>
      <c r="P209" s="280">
        <v>289991.48481649073</v>
      </c>
      <c r="Q209" s="281">
        <v>834</v>
      </c>
      <c r="R209" s="282">
        <v>9.5205479452053918E-2</v>
      </c>
      <c r="S209" s="282">
        <v>9.5205479452055097E-2</v>
      </c>
      <c r="T209" s="281">
        <v>0</v>
      </c>
      <c r="U209" s="283">
        <v>0.93</v>
      </c>
      <c r="V209" s="284">
        <v>381308.06133333233</v>
      </c>
      <c r="W209" s="285">
        <v>0.15</v>
      </c>
      <c r="X209" s="286" t="s">
        <v>255</v>
      </c>
      <c r="Y209" s="287">
        <f t="shared" si="89"/>
        <v>105</v>
      </c>
      <c r="Z209" s="288">
        <f t="shared" si="90"/>
        <v>6174137.3583182506</v>
      </c>
      <c r="AA209" s="288">
        <f t="shared" si="91"/>
        <v>0</v>
      </c>
      <c r="AB209" s="288">
        <f t="shared" si="92"/>
        <v>6174137.3583182506</v>
      </c>
      <c r="AC209" s="288">
        <f t="shared" si="109"/>
        <v>0</v>
      </c>
      <c r="AD209" s="287">
        <f t="shared" si="93"/>
        <v>30181153.773761086</v>
      </c>
      <c r="AE209" s="287">
        <f t="shared" si="94"/>
        <v>21126807.641632758</v>
      </c>
      <c r="AF209" s="287">
        <f t="shared" si="95"/>
        <v>422536152.83265519</v>
      </c>
      <c r="AG209" s="287">
        <f t="shared" si="96"/>
        <v>295775306.9828586</v>
      </c>
      <c r="AH209" s="287">
        <f t="shared" si="97"/>
        <v>93048.939648000014</v>
      </c>
      <c r="AI209" s="287">
        <f t="shared" si="98"/>
        <v>65134.257753600003</v>
      </c>
      <c r="AJ209" s="287">
        <f t="shared" si="99"/>
        <v>0</v>
      </c>
      <c r="AK209" s="287">
        <f t="shared" si="100"/>
        <v>0</v>
      </c>
      <c r="AL209" s="287">
        <f t="shared" si="101"/>
        <v>10.622025073972505</v>
      </c>
      <c r="AM209" s="287">
        <f t="shared" si="102"/>
        <v>7.4354175517807537</v>
      </c>
      <c r="AN209" s="287">
        <f t="shared" si="103"/>
        <v>10.622025073972637</v>
      </c>
      <c r="AO209" s="287">
        <f t="shared" si="104"/>
        <v>7.4354175517808443</v>
      </c>
      <c r="AP209" s="287">
        <f t="shared" si="105"/>
        <v>40037346.439999893</v>
      </c>
      <c r="AQ209" s="287">
        <f t="shared" si="106"/>
        <v>28026142.507999923</v>
      </c>
      <c r="AR209" s="287">
        <f t="shared" si="107"/>
        <v>19647931.106718466</v>
      </c>
      <c r="AS209" s="289" t="e">
        <f>IF(J209='2027 Avoided Costs'!#REF!,3,5)</f>
        <v>#REF!</v>
      </c>
      <c r="AT209" s="290" cm="1">
        <f t="array" ref="AT209">IFERROR(IF($J209="Baseload",IF($O209=1,0,NPV('2027 Avoided Costs'!$D$6,_xlfn._xlws.FILTER('2027 Avoided Costs'!$C$14:$C$47,('2027 Avoided Costs'!$B$14:$B$47&gt;=$B209+1)*('2027 Avoided Costs'!$B$14:$B$47&lt;$B209+ROUND($O209,0)))))+_xlfn.XLOOKUP($B209,'2027 Avoided Costs'!$B$13:$B$47,'2027 Avoided Costs'!$C$13:$C$47),IF($O209=1,0,NPV('2027 Avoided Costs'!$D$6,_xlfn._xlws.FILTER('2027 Avoided Costs'!$E$14:$E$47,('2027 Avoided Costs'!$B$14:$B$47&gt;=$B209+1)*('2027 Avoided Costs'!$B$14:$B$47&lt;$B209+ROUND($O209,0)))))+_xlfn.XLOOKUP($B209,'2027 Avoided Costs'!$B$13:$B$47,'2027 Avoided Costs'!$E$13:$E$47))*IF($AE209&gt;0,$AE209*(1+$W209),0),0)</f>
        <v>69799094.994375899</v>
      </c>
      <c r="AU209" s="290" cm="1">
        <f t="array" ref="AU209">IFERROR((IF($O209=1,0,NPV('2027 Avoided Costs'!$D$6,_xlfn._xlws.FILTER('2027 Avoided Costs'!$M$14:$M$47,('2027 Avoided Costs'!$B$14:$B$47&gt;=$B209+1)*('2027 Avoided Costs'!$B$14:$B$47&lt;$B209+ROUND($O209,0)))))+_xlfn.XLOOKUP($B209,'2027 Avoided Costs'!$B$13:$B$47,'2027 Avoided Costs'!$M$13:$M$47))*IF($AK209&gt;0,$AK209*(1+$W209),0),0)</f>
        <v>0</v>
      </c>
      <c r="AV209" s="291" cm="1">
        <f t="array" ref="AV209">IFERROR((IF($O209=1,0,NPV('2027 Avoided Costs'!$D$6,_xlfn._xlws.FILTER('2027 Avoided Costs'!$Q$14:$Q$47,('2027 Avoided Costs'!$B$14:$B$47&gt;=$B209+1)*('2027 Avoided Costs'!$B$14:$B$47&lt;$B209+ROUND($O209,0)))))+_xlfn.XLOOKUP($B209,'2027 Avoided Costs'!$B$13:$B$47,'2027 Avoided Costs'!$Q$13:$Q$47))*IF($AI209&gt;0,$AI209*(1+$W209),0),0)</f>
        <v>41077.032506839409</v>
      </c>
      <c r="AW209" s="291" cm="1">
        <f t="array" ref="AW209">IFERROR((IF($O209=1,0,NPV('2027 Avoided Costs'!$D$6,_xlfn._xlws.FILTER('2027 Avoided Costs'!$W$14:$W$47,('2027 Avoided Costs'!$B$14:$B$47&gt;=$B209+1)*('2027 Avoided Costs'!$B$14:$B$47&lt;$B209+ROUND($O209,0)))))+_xlfn.XLOOKUP($B209,'2027 Avoided Costs'!$B$13:$B$47,'2027 Avoided Costs'!$W$13:$W$47))*IF($AM209&gt;0,$AM209*(1+$W209),0),0)</f>
        <v>27080.049314579486</v>
      </c>
      <c r="AX209" s="291" cm="1">
        <f t="array" ref="AX209">IFERROR((IF($O209=1,0,NPV('2027 Avoided Costs'!$D$6,_xlfn._xlws.FILTER('2027 Avoided Costs'!$AC$14:$AC$47,('2027 Avoided Costs'!$B$14:$B$47&gt;=$B209+1)*('2027 Avoided Costs'!$B$14:$B$47&lt;$B209+ROUND($O209,0)))))+_xlfn.XLOOKUP($B209,'2027 Avoided Costs'!$B$13:$B$47,'2027 Avoided Costs'!$AC$13:$AC$47))*IF($AO209&gt;0,$AO209*(1+$W209),0),0)</f>
        <v>1815.5220637213688</v>
      </c>
      <c r="AY209" s="291" cm="1">
        <f t="array" ref="AY209">IFERROR((IF($O209=1,0,NPV('2027 Avoided Costs'!$D$4,_xlfn._xlws.FILTER('2027 Avoided Costs'!$I$14:$I$47,('2027 Avoided Costs'!$B$14:$B$47&gt;=$B209+1)*('2027 Avoided Costs'!$B$14:$B$47&lt;$B209+ROUND($O209,0)))))+_xlfn.XLOOKUP($B209,'2027 Avoided Costs'!$B$13:$B$47,'2027 Avoided Costs'!$I$13:$I$47))*IF($X209="Residential",'2027 Avoided Costs'!$J$5,IF($X209="Large Volume",'2027 Avoided Costs'!$J$7,'2027 Avoided Costs'!$J$6))*IF($AE209&gt;0,$AE209,0),0)</f>
        <v>0</v>
      </c>
      <c r="AZ209" s="291" cm="1">
        <f t="array" ref="AZ209">IFERROR(IF($J209="Baseload",IF($O209=1,0,NPV('2027 Avoided Costs'!$D$6,_xlfn._xlws.FILTER('2027 Avoided Costs'!$C$14:$C$47,('2027 Avoided Costs'!$B$14:$B$47&gt;=$B209+1)*('2027 Avoided Costs'!$B$14:$B$47&lt;$B209+ROUND($O209,0)))))+_xlfn.XLOOKUP($B209,'2027 Avoided Costs'!$B$13:$B$47,'2027 Avoided Costs'!$C$13:$C$47),IF($O209=1,0,NPV('2027 Avoided Costs'!$D$6,_xlfn._xlws.FILTER('2027 Avoided Costs'!$E$14:$E$47,('2027 Avoided Costs'!$B$14:$B$47&gt;=$B209+1)*('2027 Avoided Costs'!$B$14:$B$47&lt;$B209+ROUND($O209,0)))))+_xlfn.XLOOKUP($B209,'2027 Avoided Costs'!$B$13:$B$47,'2027 Avoided Costs'!$E$13:$E$47))*IF($AE209&lt;0,$AE209*(-1),0),0)</f>
        <v>0</v>
      </c>
      <c r="BA209" s="291" cm="1">
        <f t="array" ref="BA209">IFERROR((IF($O209=1,0,NPV('2027 Avoided Costs'!$D$6,_xlfn._xlws.FILTER('2027 Avoided Costs'!$M$14:$M$47,('2027 Avoided Costs'!$B$14:$B$47&gt;=$B209+1)*('2027 Avoided Costs'!$B$14:$B$47&lt;$B209+ROUND($O209,0)))))+_xlfn.XLOOKUP($B209,'2027 Avoided Costs'!$B$13:$B$47,'2027 Avoided Costs'!$M$13:$M$47))*IF($AK209&lt;0,$AK209*(-1),0),0)</f>
        <v>0</v>
      </c>
      <c r="BB209" s="291" cm="1">
        <f t="array" ref="BB209">IFERROR((IF($O209=1,0,NPV('2027 Avoided Costs'!$D$6,_xlfn._xlws.FILTER('2027 Avoided Costs'!$S$14:$S$47,('2027 Avoided Costs'!$B$14:$B$47&gt;=$B209+1)*('2027 Avoided Costs'!$B$14:$B$47&lt;$B209+ROUND($O209,0)))))+_xlfn.XLOOKUP($B209,'2027 Avoided Costs'!$B$13:$B$47,'2027 Avoided Costs'!$S$13:$S$47))*IF($AI209&lt;0,$AI209*(-1),0),0)</f>
        <v>0</v>
      </c>
      <c r="BC209" s="291" cm="1">
        <f t="array" ref="BC209">IFERROR((IF($O209=1,0,NPV('2027 Avoided Costs'!$D$6,_xlfn._xlws.FILTER('2027 Avoided Costs'!$Y$14:$Y$47,('2027 Avoided Costs'!$B$14:$B$47&gt;=$B209+1)*('2027 Avoided Costs'!$B$14:$B$47&lt;$B209+ROUND($O209,0)))))+_xlfn.XLOOKUP($B209,'2027 Avoided Costs'!$B$13:$B$47,'2027 Avoided Costs'!$Y$13:$Y$47))*IF($AM209&lt;0,$AM209*(-1),0),0)</f>
        <v>0</v>
      </c>
      <c r="BD209" s="291" cm="1">
        <f t="array" ref="BD209">IFERROR((IF($O209=1,0,NPV('2027 Avoided Costs'!$D$6,_xlfn._xlws.FILTER('2027 Avoided Costs'!$AE$14:$AE$47,('2027 Avoided Costs'!$B$14:$B$47&gt;=$B209+1)*('2027 Avoided Costs'!$B$14:$B$47&lt;$B209+ROUND($O209,0)))))+_xlfn.XLOOKUP($B209,'2027 Avoided Costs'!$B$13:$B$47,'2027 Avoided Costs'!$AE$13:$AE$47))*IF($AO209&lt;0,$AO209*(-1),0),0)</f>
        <v>0</v>
      </c>
      <c r="BE209" s="291" cm="1">
        <f t="array" ref="BE209">IFERROR((IF($O209=1,0,NPV('2027 Avoided Costs'!$D$4,_xlfn._xlws.FILTER('2027 Avoided Costs'!$I$14:$I$47,('2027 Avoided Costs'!$B$14:$B$47&gt;=$B209+1)*('2027 Avoided Costs'!$B$14:$B$47&lt;$B209+ROUND($O209,0)))))+_xlfn.XLOOKUP($B209,'2027 Avoided Costs'!$B$13:$B$47,'2027 Avoided Costs'!$I$13:$I$47))*IF($X209="Residential",'2027 Avoided Costs'!$J$5,IF($X209="Large Volume",'2027 Avoided Costs'!$J$7,'2027 Avoided Costs'!$J$6))*IF($AE209&lt;0,$AE209*(-1),0),0)</f>
        <v>0</v>
      </c>
      <c r="BF209" s="291">
        <f t="shared" si="84"/>
        <v>69869067.598261029</v>
      </c>
      <c r="BG209" s="291">
        <f t="shared" si="85"/>
        <v>28026142.507999923</v>
      </c>
      <c r="BH209" s="291">
        <f t="shared" si="86"/>
        <v>41842925.090261102</v>
      </c>
      <c r="BI209" s="292">
        <f t="shared" si="110"/>
        <v>2.4929962294424661</v>
      </c>
      <c r="BJ209" s="196" cm="1">
        <f t="array" ref="BJ209">IFERROR(IF($J209="Baseload",IF($O209=1,0,NPV('2027 Avoided Costs'!$D$6,_xlfn._xlws.FILTER('2027 Avoided Costs'!$C$14:$C$47,('2027 Avoided Costs'!$B$14:$B$47&gt;=$B209+1)*('2027 Avoided Costs'!$B$14:$B$47&lt;$B209+ROUND($O209,0)))))+_xlfn.XLOOKUP($B209,'2027 Avoided Costs'!$B$13:$B$47,'2027 Avoided Costs'!$C$13:$C$47),IF($O209=1,0,NPV('2027 Avoided Costs'!$D$6,_xlfn._xlws.FILTER('2027 Avoided Costs'!$E$14:$E$47,('2027 Avoided Costs'!$B$14:$B$47&gt;=$B209+1)*('2027 Avoided Costs'!$B$14:$B$47&lt;$B209+ROUND($O209,0)))))+_xlfn.XLOOKUP($B209,'2027 Avoided Costs'!$B$13:$B$47,'2027 Avoided Costs'!$E$13:$E$47))*IF($AE209&gt;0,$AE209*(1+0),0),0)</f>
        <v>60694865.212500788</v>
      </c>
      <c r="BK209" s="293">
        <f t="shared" si="108"/>
        <v>9.8305012814022046</v>
      </c>
    </row>
    <row r="210" spans="1:63" s="56" customFormat="1" x14ac:dyDescent="0.25">
      <c r="A210" s="270" t="s">
        <v>133</v>
      </c>
      <c r="B210" s="271">
        <v>2027</v>
      </c>
      <c r="C210" s="272" t="s">
        <v>14</v>
      </c>
      <c r="D210" s="272" t="s">
        <v>8</v>
      </c>
      <c r="E210" s="272" t="s">
        <v>105</v>
      </c>
      <c r="F210" s="273">
        <v>42</v>
      </c>
      <c r="G210" s="274">
        <v>62526.011111111104</v>
      </c>
      <c r="H210" s="275">
        <f t="shared" si="88"/>
        <v>0.23</v>
      </c>
      <c r="I210" s="274">
        <v>0</v>
      </c>
      <c r="J210" s="276" t="s">
        <v>264</v>
      </c>
      <c r="K210" s="277">
        <f t="shared" si="87"/>
        <v>0.7</v>
      </c>
      <c r="L210" s="294">
        <v>0.33</v>
      </c>
      <c r="M210" s="294">
        <v>0.03</v>
      </c>
      <c r="N210" s="294">
        <v>0.96519999999999995</v>
      </c>
      <c r="O210" s="279">
        <v>18</v>
      </c>
      <c r="P210" s="280">
        <v>271852.22222222219</v>
      </c>
      <c r="Q210" s="295">
        <v>445</v>
      </c>
      <c r="R210" s="296">
        <v>0.2711780052172626</v>
      </c>
      <c r="S210" s="296">
        <v>8.0097184200379493E-2</v>
      </c>
      <c r="T210" s="295">
        <v>78.585790000000003</v>
      </c>
      <c r="U210" s="297">
        <v>0.99</v>
      </c>
      <c r="V210" s="284">
        <v>133723.28</v>
      </c>
      <c r="W210" s="298">
        <v>0.15</v>
      </c>
      <c r="X210" s="299" t="s">
        <v>255</v>
      </c>
      <c r="Y210" s="300">
        <f t="shared" si="89"/>
        <v>42</v>
      </c>
      <c r="Z210" s="196">
        <f t="shared" si="90"/>
        <v>2626092.4666666663</v>
      </c>
      <c r="AA210" s="196">
        <f t="shared" si="91"/>
        <v>0</v>
      </c>
      <c r="AB210" s="288">
        <f t="shared" si="92"/>
        <v>2626092.4666666663</v>
      </c>
      <c r="AC210" s="288">
        <f t="shared" si="109"/>
        <v>0</v>
      </c>
      <c r="AD210" s="287">
        <f t="shared" si="93"/>
        <v>11020454.125333332</v>
      </c>
      <c r="AE210" s="287">
        <f t="shared" si="94"/>
        <v>7714317.8877333319</v>
      </c>
      <c r="AF210" s="287">
        <f t="shared" si="95"/>
        <v>198368174.25599998</v>
      </c>
      <c r="AG210" s="287">
        <f t="shared" si="96"/>
        <v>138857721.97919998</v>
      </c>
      <c r="AH210" s="300">
        <f t="shared" si="97"/>
        <v>19338.438335999999</v>
      </c>
      <c r="AI210" s="300">
        <f t="shared" si="98"/>
        <v>13536.906835199999</v>
      </c>
      <c r="AJ210" s="300">
        <f t="shared" si="99"/>
        <v>3185.7421893360001</v>
      </c>
      <c r="AK210" s="300">
        <f t="shared" si="100"/>
        <v>2230.0195325352001</v>
      </c>
      <c r="AL210" s="300">
        <f t="shared" si="101"/>
        <v>11.784627262861839</v>
      </c>
      <c r="AM210" s="300">
        <f t="shared" si="102"/>
        <v>8.2492390840032872</v>
      </c>
      <c r="AN210" s="300">
        <f t="shared" si="103"/>
        <v>3.4807965338118478</v>
      </c>
      <c r="AO210" s="300">
        <f t="shared" si="104"/>
        <v>2.4365575736682934</v>
      </c>
      <c r="AP210" s="300">
        <f t="shared" si="105"/>
        <v>5616377.7599999998</v>
      </c>
      <c r="AQ210" s="300">
        <f t="shared" si="106"/>
        <v>3931464.4319999996</v>
      </c>
      <c r="AR210" s="300">
        <f t="shared" si="107"/>
        <v>7637174.7088559987</v>
      </c>
      <c r="AS210" s="301" t="e">
        <f>IF(J210='2027 Avoided Costs'!#REF!,3,5)</f>
        <v>#REF!</v>
      </c>
      <c r="AT210" s="290" cm="1">
        <f t="array" ref="AT210">IFERROR(IF($J210="Baseload",IF($O210=1,0,NPV('2027 Avoided Costs'!$D$6,_xlfn._xlws.FILTER('2027 Avoided Costs'!$C$14:$C$47,('2027 Avoided Costs'!$B$14:$B$47&gt;=$B210+1)*('2027 Avoided Costs'!$B$14:$B$47&lt;$B210+ROUND($O210,0)))))+_xlfn.XLOOKUP($B210,'2027 Avoided Costs'!$B$13:$B$47,'2027 Avoided Costs'!$C$13:$C$47),IF($O210=1,0,NPV('2027 Avoided Costs'!$D$6,_xlfn._xlws.FILTER('2027 Avoided Costs'!$E$14:$E$47,('2027 Avoided Costs'!$B$14:$B$47&gt;=$B210+1)*('2027 Avoided Costs'!$B$14:$B$47&lt;$B210+ROUND($O210,0)))))+_xlfn.XLOOKUP($B210,'2027 Avoided Costs'!$B$13:$B$47,'2027 Avoided Costs'!$E$13:$E$47))*IF($AE210&gt;0,$AE210*(1+$W210),0),0)</f>
        <v>35114709.389315598</v>
      </c>
      <c r="AU210" s="290" cm="1">
        <f t="array" ref="AU210">IFERROR((IF($O210=1,0,NPV('2027 Avoided Costs'!$D$6,_xlfn._xlws.FILTER('2027 Avoided Costs'!$M$14:$M$47,('2027 Avoided Costs'!$B$14:$B$47&gt;=$B210+1)*('2027 Avoided Costs'!$B$14:$B$47&lt;$B210+ROUND($O210,0)))))+_xlfn.XLOOKUP($B210,'2027 Avoided Costs'!$B$13:$B$47,'2027 Avoided Costs'!$M$13:$M$47))*IF($AK210&gt;0,$AK210*(1+$W210),0),0)</f>
        <v>36401.467487054484</v>
      </c>
      <c r="AV210" s="291" cm="1">
        <f t="array" ref="AV210">IFERROR((IF($O210=1,0,NPV('2027 Avoided Costs'!$D$6,_xlfn._xlws.FILTER('2027 Avoided Costs'!$Q$14:$Q$47,('2027 Avoided Costs'!$B$14:$B$47&gt;=$B210+1)*('2027 Avoided Costs'!$B$14:$B$47&lt;$B210+ROUND($O210,0)))))+_xlfn.XLOOKUP($B210,'2027 Avoided Costs'!$B$13:$B$47,'2027 Avoided Costs'!$Q$13:$Q$47))*IF($AI210&gt;0,$AI210*(1+$W210),0),0)</f>
        <v>10256.274317149118</v>
      </c>
      <c r="AW210" s="291" cm="1">
        <f t="array" ref="AW210">IFERROR((IF($O210=1,0,NPV('2027 Avoided Costs'!$D$6,_xlfn._xlws.FILTER('2027 Avoided Costs'!$W$14:$W$47,('2027 Avoided Costs'!$B$14:$B$47&gt;=$B210+1)*('2027 Avoided Costs'!$B$14:$B$47&lt;$B210+ROUND($O210,0)))))+_xlfn.XLOOKUP($B210,'2027 Avoided Costs'!$B$13:$B$47,'2027 Avoided Costs'!$W$13:$W$47))*IF($AM210&gt;0,$AM210*(1+$W210),0),0)</f>
        <v>33851.678940545629</v>
      </c>
      <c r="AX210" s="291" cm="1">
        <f t="array" ref="AX210">IFERROR((IF($O210=1,0,NPV('2027 Avoided Costs'!$D$6,_xlfn._xlws.FILTER('2027 Avoided Costs'!$AC$14:$AC$47,('2027 Avoided Costs'!$B$14:$B$47&gt;=$B210+1)*('2027 Avoided Costs'!$B$14:$B$47&lt;$B210+ROUND($O210,0)))))+_xlfn.XLOOKUP($B210,'2027 Avoided Costs'!$B$13:$B$47,'2027 Avoided Costs'!$AC$13:$AC$47))*IF($AO210&gt;0,$AO210*(1+$W210),0),0)</f>
        <v>1715.3446917240713</v>
      </c>
      <c r="AY210" s="291" cm="1">
        <f t="array" ref="AY210">IFERROR((IF($O210=1,0,NPV('2027 Avoided Costs'!$D$4,_xlfn._xlws.FILTER('2027 Avoided Costs'!$I$14:$I$47,('2027 Avoided Costs'!$B$14:$B$47&gt;=$B210+1)*('2027 Avoided Costs'!$B$14:$B$47&lt;$B210+ROUND($O210,0)))))+_xlfn.XLOOKUP($B210,'2027 Avoided Costs'!$B$13:$B$47,'2027 Avoided Costs'!$I$13:$I$47))*IF($X210="Residential",'2027 Avoided Costs'!$J$5,IF($X210="Large Volume",'2027 Avoided Costs'!$J$7,'2027 Avoided Costs'!$J$6))*IF($AE210&gt;0,$AE210,0),0)</f>
        <v>0</v>
      </c>
      <c r="AZ210" s="291" cm="1">
        <f t="array" ref="AZ210">IFERROR(IF($J210="Baseload",IF($O210=1,0,NPV('2027 Avoided Costs'!$D$6,_xlfn._xlws.FILTER('2027 Avoided Costs'!$C$14:$C$47,('2027 Avoided Costs'!$B$14:$B$47&gt;=$B210+1)*('2027 Avoided Costs'!$B$14:$B$47&lt;$B210+ROUND($O210,0)))))+_xlfn.XLOOKUP($B210,'2027 Avoided Costs'!$B$13:$B$47,'2027 Avoided Costs'!$C$13:$C$47),IF($O210=1,0,NPV('2027 Avoided Costs'!$D$6,_xlfn._xlws.FILTER('2027 Avoided Costs'!$E$14:$E$47,('2027 Avoided Costs'!$B$14:$B$47&gt;=$B210+1)*('2027 Avoided Costs'!$B$14:$B$47&lt;$B210+ROUND($O210,0)))))+_xlfn.XLOOKUP($B210,'2027 Avoided Costs'!$B$13:$B$47,'2027 Avoided Costs'!$E$13:$E$47))*IF($AE210&lt;0,$AE210*(-1),0),0)</f>
        <v>0</v>
      </c>
      <c r="BA210" s="291" cm="1">
        <f t="array" ref="BA210">IFERROR((IF($O210=1,0,NPV('2027 Avoided Costs'!$D$6,_xlfn._xlws.FILTER('2027 Avoided Costs'!$M$14:$M$47,('2027 Avoided Costs'!$B$14:$B$47&gt;=$B210+1)*('2027 Avoided Costs'!$B$14:$B$47&lt;$B210+ROUND($O210,0)))))+_xlfn.XLOOKUP($B210,'2027 Avoided Costs'!$B$13:$B$47,'2027 Avoided Costs'!$M$13:$M$47))*IF($AK210&lt;0,$AK210*(-1),0),0)</f>
        <v>0</v>
      </c>
      <c r="BB210" s="291" cm="1">
        <f t="array" ref="BB210">IFERROR((IF($O210=1,0,NPV('2027 Avoided Costs'!$D$6,_xlfn._xlws.FILTER('2027 Avoided Costs'!$S$14:$S$47,('2027 Avoided Costs'!$B$14:$B$47&gt;=$B210+1)*('2027 Avoided Costs'!$B$14:$B$47&lt;$B210+ROUND($O210,0)))))+_xlfn.XLOOKUP($B210,'2027 Avoided Costs'!$B$13:$B$47,'2027 Avoided Costs'!$S$13:$S$47))*IF($AI210&lt;0,$AI210*(-1),0),0)</f>
        <v>0</v>
      </c>
      <c r="BC210" s="291" cm="1">
        <f t="array" ref="BC210">IFERROR((IF($O210=1,0,NPV('2027 Avoided Costs'!$D$6,_xlfn._xlws.FILTER('2027 Avoided Costs'!$Y$14:$Y$47,('2027 Avoided Costs'!$B$14:$B$47&gt;=$B210+1)*('2027 Avoided Costs'!$B$14:$B$47&lt;$B210+ROUND($O210,0)))))+_xlfn.XLOOKUP($B210,'2027 Avoided Costs'!$B$13:$B$47,'2027 Avoided Costs'!$Y$13:$Y$47))*IF($AM210&lt;0,$AM210*(-1),0),0)</f>
        <v>0</v>
      </c>
      <c r="BD210" s="291" cm="1">
        <f t="array" ref="BD210">IFERROR((IF($O210=1,0,NPV('2027 Avoided Costs'!$D$6,_xlfn._xlws.FILTER('2027 Avoided Costs'!$AE$14:$AE$47,('2027 Avoided Costs'!$B$14:$B$47&gt;=$B210+1)*('2027 Avoided Costs'!$B$14:$B$47&lt;$B210+ROUND($O210,0)))))+_xlfn.XLOOKUP($B210,'2027 Avoided Costs'!$B$13:$B$47,'2027 Avoided Costs'!$AE$13:$AE$47))*IF($AO210&lt;0,$AO210*(-1),0),0)</f>
        <v>0</v>
      </c>
      <c r="BE210" s="291" cm="1">
        <f t="array" ref="BE210">IFERROR((IF($O210=1,0,NPV('2027 Avoided Costs'!$D$4,_xlfn._xlws.FILTER('2027 Avoided Costs'!$I$14:$I$47,('2027 Avoided Costs'!$B$14:$B$47&gt;=$B210+1)*('2027 Avoided Costs'!$B$14:$B$47&lt;$B210+ROUND($O210,0)))))+_xlfn.XLOOKUP($B210,'2027 Avoided Costs'!$B$13:$B$47,'2027 Avoided Costs'!$I$13:$I$47))*IF($X210="Residential",'2027 Avoided Costs'!$J$5,IF($X210="Large Volume",'2027 Avoided Costs'!$J$7,'2027 Avoided Costs'!$J$6))*IF($AE210&lt;0,$AE210*(-1),0),0)</f>
        <v>0</v>
      </c>
      <c r="BF210" s="291">
        <f t="shared" si="84"/>
        <v>35196934.154752068</v>
      </c>
      <c r="BG210" s="291">
        <f t="shared" si="85"/>
        <v>3931464.4319999996</v>
      </c>
      <c r="BH210" s="291">
        <f t="shared" si="86"/>
        <v>31265469.722752068</v>
      </c>
      <c r="BI210" s="292">
        <f t="shared" si="110"/>
        <v>8.9526268807795919</v>
      </c>
      <c r="BJ210" s="196" cm="1">
        <f t="array" ref="BJ210">IFERROR(IF($J210="Baseload",IF($O210=1,0,NPV('2027 Avoided Costs'!$D$6,_xlfn._xlws.FILTER('2027 Avoided Costs'!$C$14:$C$47,('2027 Avoided Costs'!$B$14:$B$47&gt;=$B210+1)*('2027 Avoided Costs'!$B$14:$B$47&lt;$B210+ROUND($O210,0)))))+_xlfn.XLOOKUP($B210,'2027 Avoided Costs'!$B$13:$B$47,'2027 Avoided Costs'!$C$13:$C$47),IF($O210=1,0,NPV('2027 Avoided Costs'!$D$6,_xlfn._xlws.FILTER('2027 Avoided Costs'!$E$14:$E$47,('2027 Avoided Costs'!$B$14:$B$47&gt;=$B210+1)*('2027 Avoided Costs'!$B$14:$B$47&lt;$B210+ROUND($O210,0)))))+_xlfn.XLOOKUP($B210,'2027 Avoided Costs'!$B$13:$B$47,'2027 Avoided Costs'!$E$13:$E$47))*IF($AE210&gt;0,$AE210*(1+0),0),0)</f>
        <v>30534529.903752696</v>
      </c>
      <c r="BK210" s="293">
        <f t="shared" si="108"/>
        <v>11.627362818077223</v>
      </c>
    </row>
    <row r="211" spans="1:63" s="56" customFormat="1" x14ac:dyDescent="0.25">
      <c r="A211" s="270" t="s">
        <v>133</v>
      </c>
      <c r="B211" s="271">
        <v>2027</v>
      </c>
      <c r="C211" s="272" t="s">
        <v>14</v>
      </c>
      <c r="D211" s="272" t="s">
        <v>8</v>
      </c>
      <c r="E211" s="272" t="s">
        <v>358</v>
      </c>
      <c r="F211" s="273">
        <v>125</v>
      </c>
      <c r="G211" s="274">
        <v>62526.011111111104</v>
      </c>
      <c r="H211" s="275">
        <f t="shared" si="88"/>
        <v>0.23</v>
      </c>
      <c r="I211" s="274">
        <v>0</v>
      </c>
      <c r="J211" s="276" t="s">
        <v>263</v>
      </c>
      <c r="K211" s="277">
        <f t="shared" si="87"/>
        <v>0.7</v>
      </c>
      <c r="L211" s="278">
        <v>0.33</v>
      </c>
      <c r="M211" s="278">
        <v>0.03</v>
      </c>
      <c r="N211" s="278">
        <v>0.96519999999999995</v>
      </c>
      <c r="O211" s="279">
        <v>18</v>
      </c>
      <c r="P211" s="280">
        <v>271852.22222222219</v>
      </c>
      <c r="Q211" s="281">
        <v>445</v>
      </c>
      <c r="R211" s="282">
        <v>5.07990867579904E-2</v>
      </c>
      <c r="S211" s="282">
        <v>5.0799086757991031E-2</v>
      </c>
      <c r="T211" s="281">
        <v>0</v>
      </c>
      <c r="U211" s="283">
        <v>0.99</v>
      </c>
      <c r="V211" s="284">
        <v>133723.28</v>
      </c>
      <c r="W211" s="285">
        <v>0.15</v>
      </c>
      <c r="X211" s="286" t="s">
        <v>255</v>
      </c>
      <c r="Y211" s="287">
        <f t="shared" si="89"/>
        <v>125</v>
      </c>
      <c r="Z211" s="288">
        <f t="shared" si="90"/>
        <v>7815751.3888888881</v>
      </c>
      <c r="AA211" s="288">
        <f t="shared" si="91"/>
        <v>0</v>
      </c>
      <c r="AB211" s="288">
        <f t="shared" si="92"/>
        <v>7815751.3888888881</v>
      </c>
      <c r="AC211" s="288">
        <f t="shared" si="109"/>
        <v>0</v>
      </c>
      <c r="AD211" s="287">
        <f t="shared" si="93"/>
        <v>32798970.611111108</v>
      </c>
      <c r="AE211" s="287">
        <f t="shared" si="94"/>
        <v>22959279.427777775</v>
      </c>
      <c r="AF211" s="287">
        <f t="shared" si="95"/>
        <v>590381471</v>
      </c>
      <c r="AG211" s="287">
        <f t="shared" si="96"/>
        <v>413267029.69999993</v>
      </c>
      <c r="AH211" s="287">
        <f t="shared" si="97"/>
        <v>57554.875999999997</v>
      </c>
      <c r="AI211" s="287">
        <f t="shared" si="98"/>
        <v>40288.413200000003</v>
      </c>
      <c r="AJ211" s="287">
        <f t="shared" si="99"/>
        <v>0</v>
      </c>
      <c r="AK211" s="287">
        <f t="shared" si="100"/>
        <v>0</v>
      </c>
      <c r="AL211" s="287">
        <f t="shared" si="101"/>
        <v>6.5701913242008523</v>
      </c>
      <c r="AM211" s="287">
        <f t="shared" si="102"/>
        <v>4.5991339269405973</v>
      </c>
      <c r="AN211" s="287">
        <f t="shared" si="103"/>
        <v>6.5701913242009349</v>
      </c>
      <c r="AO211" s="287">
        <f t="shared" si="104"/>
        <v>4.5991339269406541</v>
      </c>
      <c r="AP211" s="287">
        <f t="shared" si="105"/>
        <v>16715410</v>
      </c>
      <c r="AQ211" s="287">
        <f t="shared" si="106"/>
        <v>11700787</v>
      </c>
      <c r="AR211" s="287">
        <f t="shared" si="107"/>
        <v>22729686.633499995</v>
      </c>
      <c r="AS211" s="289" t="e">
        <f>IF(J211='2027 Avoided Costs'!#REF!,3,5)</f>
        <v>#REF!</v>
      </c>
      <c r="AT211" s="290" cm="1">
        <f t="array" ref="AT211">IFERROR(IF($J211="Baseload",IF($O211=1,0,NPV('2027 Avoided Costs'!$D$6,_xlfn._xlws.FILTER('2027 Avoided Costs'!$C$14:$C$47,('2027 Avoided Costs'!$B$14:$B$47&gt;=$B211+1)*('2027 Avoided Costs'!$B$14:$B$47&lt;$B211+ROUND($O211,0)))))+_xlfn.XLOOKUP($B211,'2027 Avoided Costs'!$B$13:$B$47,'2027 Avoided Costs'!$C$13:$C$47),IF($O211=1,0,NPV('2027 Avoided Costs'!$D$6,_xlfn._xlws.FILTER('2027 Avoided Costs'!$E$14:$E$47,('2027 Avoided Costs'!$B$14:$B$47&gt;=$B211+1)*('2027 Avoided Costs'!$B$14:$B$47&lt;$B211+ROUND($O211,0)))))+_xlfn.XLOOKUP($B211,'2027 Avoided Costs'!$B$13:$B$47,'2027 Avoided Costs'!$E$13:$E$47))*IF($AE211&gt;0,$AE211*(1+$W211),0),0)</f>
        <v>92836474.699420199</v>
      </c>
      <c r="AU211" s="290" cm="1">
        <f t="array" ref="AU211">IFERROR((IF($O211=1,0,NPV('2027 Avoided Costs'!$D$6,_xlfn._xlws.FILTER('2027 Avoided Costs'!$M$14:$M$47,('2027 Avoided Costs'!$B$14:$B$47&gt;=$B211+1)*('2027 Avoided Costs'!$B$14:$B$47&lt;$B211+ROUND($O211,0)))))+_xlfn.XLOOKUP($B211,'2027 Avoided Costs'!$B$13:$B$47,'2027 Avoided Costs'!$M$13:$M$47))*IF($AK211&gt;0,$AK211*(1+$W211),0),0)</f>
        <v>0</v>
      </c>
      <c r="AV211" s="291" cm="1">
        <f t="array" ref="AV211">IFERROR((IF($O211=1,0,NPV('2027 Avoided Costs'!$D$6,_xlfn._xlws.FILTER('2027 Avoided Costs'!$Q$14:$Q$47,('2027 Avoided Costs'!$B$14:$B$47&gt;=$B211+1)*('2027 Avoided Costs'!$B$14:$B$47&lt;$B211+ROUND($O211,0)))))+_xlfn.XLOOKUP($B211,'2027 Avoided Costs'!$B$13:$B$47,'2027 Avoided Costs'!$Q$13:$Q$47))*IF($AI211&gt;0,$AI211*(1+$W211),0),0)</f>
        <v>30524.62594389619</v>
      </c>
      <c r="AW211" s="291" cm="1">
        <f t="array" ref="AW211">IFERROR((IF($O211=1,0,NPV('2027 Avoided Costs'!$D$6,_xlfn._xlws.FILTER('2027 Avoided Costs'!$W$14:$W$47,('2027 Avoided Costs'!$B$14:$B$47&gt;=$B211+1)*('2027 Avoided Costs'!$B$14:$B$47&lt;$B211+ROUND($O211,0)))))+_xlfn.XLOOKUP($B211,'2027 Avoided Costs'!$B$13:$B$47,'2027 Avoided Costs'!$W$13:$W$47))*IF($AM211&gt;0,$AM211*(1+$W211),0),0)</f>
        <v>18873.062535097437</v>
      </c>
      <c r="AX211" s="291" cm="1">
        <f t="array" ref="AX211">IFERROR((IF($O211=1,0,NPV('2027 Avoided Costs'!$D$6,_xlfn._xlws.FILTER('2027 Avoided Costs'!$AC$14:$AC$47,('2027 Avoided Costs'!$B$14:$B$47&gt;=$B211+1)*('2027 Avoided Costs'!$B$14:$B$47&lt;$B211+ROUND($O211,0)))))+_xlfn.XLOOKUP($B211,'2027 Avoided Costs'!$B$13:$B$47,'2027 Avoided Costs'!$AC$13:$AC$47))*IF($AO211&gt;0,$AO211*(1+$W211),0),0)</f>
        <v>3237.8056867453834</v>
      </c>
      <c r="AY211" s="291" cm="1">
        <f t="array" ref="AY211">IFERROR((IF($O211=1,0,NPV('2027 Avoided Costs'!$D$4,_xlfn._xlws.FILTER('2027 Avoided Costs'!$I$14:$I$47,('2027 Avoided Costs'!$B$14:$B$47&gt;=$B211+1)*('2027 Avoided Costs'!$B$14:$B$47&lt;$B211+ROUND($O211,0)))))+_xlfn.XLOOKUP($B211,'2027 Avoided Costs'!$B$13:$B$47,'2027 Avoided Costs'!$I$13:$I$47))*IF($X211="Residential",'2027 Avoided Costs'!$J$5,IF($X211="Large Volume",'2027 Avoided Costs'!$J$7,'2027 Avoided Costs'!$J$6))*IF($AE211&gt;0,$AE211,0),0)</f>
        <v>0</v>
      </c>
      <c r="AZ211" s="291" cm="1">
        <f t="array" ref="AZ211">IFERROR(IF($J211="Baseload",IF($O211=1,0,NPV('2027 Avoided Costs'!$D$6,_xlfn._xlws.FILTER('2027 Avoided Costs'!$C$14:$C$47,('2027 Avoided Costs'!$B$14:$B$47&gt;=$B211+1)*('2027 Avoided Costs'!$B$14:$B$47&lt;$B211+ROUND($O211,0)))))+_xlfn.XLOOKUP($B211,'2027 Avoided Costs'!$B$13:$B$47,'2027 Avoided Costs'!$C$13:$C$47),IF($O211=1,0,NPV('2027 Avoided Costs'!$D$6,_xlfn._xlws.FILTER('2027 Avoided Costs'!$E$14:$E$47,('2027 Avoided Costs'!$B$14:$B$47&gt;=$B211+1)*('2027 Avoided Costs'!$B$14:$B$47&lt;$B211+ROUND($O211,0)))))+_xlfn.XLOOKUP($B211,'2027 Avoided Costs'!$B$13:$B$47,'2027 Avoided Costs'!$E$13:$E$47))*IF($AE211&lt;0,$AE211*(-1),0),0)</f>
        <v>0</v>
      </c>
      <c r="BA211" s="291" cm="1">
        <f t="array" ref="BA211">IFERROR((IF($O211=1,0,NPV('2027 Avoided Costs'!$D$6,_xlfn._xlws.FILTER('2027 Avoided Costs'!$M$14:$M$47,('2027 Avoided Costs'!$B$14:$B$47&gt;=$B211+1)*('2027 Avoided Costs'!$B$14:$B$47&lt;$B211+ROUND($O211,0)))))+_xlfn.XLOOKUP($B211,'2027 Avoided Costs'!$B$13:$B$47,'2027 Avoided Costs'!$M$13:$M$47))*IF($AK211&lt;0,$AK211*(-1),0),0)</f>
        <v>0</v>
      </c>
      <c r="BB211" s="291" cm="1">
        <f t="array" ref="BB211">IFERROR((IF($O211=1,0,NPV('2027 Avoided Costs'!$D$6,_xlfn._xlws.FILTER('2027 Avoided Costs'!$S$14:$S$47,('2027 Avoided Costs'!$B$14:$B$47&gt;=$B211+1)*('2027 Avoided Costs'!$B$14:$B$47&lt;$B211+ROUND($O211,0)))))+_xlfn.XLOOKUP($B211,'2027 Avoided Costs'!$B$13:$B$47,'2027 Avoided Costs'!$S$13:$S$47))*IF($AI211&lt;0,$AI211*(-1),0),0)</f>
        <v>0</v>
      </c>
      <c r="BC211" s="291" cm="1">
        <f t="array" ref="BC211">IFERROR((IF($O211=1,0,NPV('2027 Avoided Costs'!$D$6,_xlfn._xlws.FILTER('2027 Avoided Costs'!$Y$14:$Y$47,('2027 Avoided Costs'!$B$14:$B$47&gt;=$B211+1)*('2027 Avoided Costs'!$B$14:$B$47&lt;$B211+ROUND($O211,0)))))+_xlfn.XLOOKUP($B211,'2027 Avoided Costs'!$B$13:$B$47,'2027 Avoided Costs'!$Y$13:$Y$47))*IF($AM211&lt;0,$AM211*(-1),0),0)</f>
        <v>0</v>
      </c>
      <c r="BD211" s="291" cm="1">
        <f t="array" ref="BD211">IFERROR((IF($O211=1,0,NPV('2027 Avoided Costs'!$D$6,_xlfn._xlws.FILTER('2027 Avoided Costs'!$AE$14:$AE$47,('2027 Avoided Costs'!$B$14:$B$47&gt;=$B211+1)*('2027 Avoided Costs'!$B$14:$B$47&lt;$B211+ROUND($O211,0)))))+_xlfn.XLOOKUP($B211,'2027 Avoided Costs'!$B$13:$B$47,'2027 Avoided Costs'!$AE$13:$AE$47))*IF($AO211&lt;0,$AO211*(-1),0),0)</f>
        <v>0</v>
      </c>
      <c r="BE211" s="291" cm="1">
        <f t="array" ref="BE211">IFERROR((IF($O211=1,0,NPV('2027 Avoided Costs'!$D$4,_xlfn._xlws.FILTER('2027 Avoided Costs'!$I$14:$I$47,('2027 Avoided Costs'!$B$14:$B$47&gt;=$B211+1)*('2027 Avoided Costs'!$B$14:$B$47&lt;$B211+ROUND($O211,0)))))+_xlfn.XLOOKUP($B211,'2027 Avoided Costs'!$B$13:$B$47,'2027 Avoided Costs'!$I$13:$I$47))*IF($X211="Residential",'2027 Avoided Costs'!$J$5,IF($X211="Large Volume",'2027 Avoided Costs'!$J$7,'2027 Avoided Costs'!$J$6))*IF($AE211&lt;0,$AE211*(-1),0),0)</f>
        <v>0</v>
      </c>
      <c r="BF211" s="291">
        <f t="shared" si="84"/>
        <v>92889110.193585932</v>
      </c>
      <c r="BG211" s="291">
        <f t="shared" si="85"/>
        <v>11700787</v>
      </c>
      <c r="BH211" s="291">
        <f t="shared" si="86"/>
        <v>81188323.193585932</v>
      </c>
      <c r="BI211" s="292">
        <f t="shared" si="110"/>
        <v>7.938706190753317</v>
      </c>
      <c r="BJ211" s="196" cm="1">
        <f t="array" ref="BJ211">IFERROR(IF($J211="Baseload",IF($O211=1,0,NPV('2027 Avoided Costs'!$D$6,_xlfn._xlws.FILTER('2027 Avoided Costs'!$C$14:$C$47,('2027 Avoided Costs'!$B$14:$B$47&gt;=$B211+1)*('2027 Avoided Costs'!$B$14:$B$47&lt;$B211+ROUND($O211,0)))))+_xlfn.XLOOKUP($B211,'2027 Avoided Costs'!$B$13:$B$47,'2027 Avoided Costs'!$C$13:$C$47),IF($O211=1,0,NPV('2027 Avoided Costs'!$D$6,_xlfn._xlws.FILTER('2027 Avoided Costs'!$E$14:$E$47,('2027 Avoided Costs'!$B$14:$B$47&gt;=$B211+1)*('2027 Avoided Costs'!$B$14:$B$47&lt;$B211+ROUND($O211,0)))))+_xlfn.XLOOKUP($B211,'2027 Avoided Costs'!$B$13:$B$47,'2027 Avoided Costs'!$E$13:$E$47))*IF($AE211&gt;0,$AE211*(1+0),0),0)</f>
        <v>80727369.303843662</v>
      </c>
      <c r="BK211" s="293">
        <f t="shared" si="108"/>
        <v>10.328804651924852</v>
      </c>
    </row>
    <row r="212" spans="1:63" s="56" customFormat="1" x14ac:dyDescent="0.25">
      <c r="A212" s="270" t="s">
        <v>133</v>
      </c>
      <c r="B212" s="271">
        <v>2028</v>
      </c>
      <c r="C212" s="272" t="s">
        <v>14</v>
      </c>
      <c r="D212" s="272" t="s">
        <v>8</v>
      </c>
      <c r="E212" s="272" t="s">
        <v>104</v>
      </c>
      <c r="F212" s="273">
        <v>12</v>
      </c>
      <c r="G212" s="274">
        <v>58155.777642558664</v>
      </c>
      <c r="H212" s="275">
        <f t="shared" si="88"/>
        <v>0.20350004449704862</v>
      </c>
      <c r="I212" s="274">
        <v>0</v>
      </c>
      <c r="J212" s="276" t="s">
        <v>264</v>
      </c>
      <c r="K212" s="277">
        <f t="shared" si="87"/>
        <v>0.7</v>
      </c>
      <c r="L212" s="278">
        <v>0.33</v>
      </c>
      <c r="M212" s="278">
        <v>0.03</v>
      </c>
      <c r="N212" s="278">
        <v>0.99119999999999997</v>
      </c>
      <c r="O212" s="279">
        <v>14</v>
      </c>
      <c r="P212" s="280">
        <v>285777.71462552238</v>
      </c>
      <c r="Q212" s="281">
        <v>834</v>
      </c>
      <c r="R212" s="282">
        <v>0.50823023899145403</v>
      </c>
      <c r="S212" s="282">
        <v>0.1501147227485764</v>
      </c>
      <c r="T212" s="281">
        <v>0</v>
      </c>
      <c r="U212" s="283">
        <v>0.93</v>
      </c>
      <c r="V212" s="284">
        <v>376326.37849180232</v>
      </c>
      <c r="W212" s="285">
        <v>0.15</v>
      </c>
      <c r="X212" s="286" t="s">
        <v>255</v>
      </c>
      <c r="Y212" s="287">
        <f t="shared" si="89"/>
        <v>12</v>
      </c>
      <c r="Z212" s="288">
        <f t="shared" si="90"/>
        <v>697869.3317107039</v>
      </c>
      <c r="AA212" s="288">
        <f t="shared" si="91"/>
        <v>0</v>
      </c>
      <c r="AB212" s="288">
        <f t="shared" si="92"/>
        <v>711826.71834491799</v>
      </c>
      <c r="AC212" s="288">
        <f t="shared" si="109"/>
        <v>0</v>
      </c>
      <c r="AD212" s="287">
        <f t="shared" si="93"/>
        <v>3399154.4488418135</v>
      </c>
      <c r="AE212" s="287">
        <f t="shared" si="94"/>
        <v>2379408.1141892695</v>
      </c>
      <c r="AF212" s="287">
        <f t="shared" si="95"/>
        <v>47588162.283785388</v>
      </c>
      <c r="AG212" s="287">
        <f t="shared" si="96"/>
        <v>33311713.598649774</v>
      </c>
      <c r="AH212" s="287">
        <f t="shared" si="97"/>
        <v>10634.1645312</v>
      </c>
      <c r="AI212" s="287">
        <f t="shared" si="98"/>
        <v>7443.9151718399999</v>
      </c>
      <c r="AJ212" s="287">
        <f t="shared" si="99"/>
        <v>0</v>
      </c>
      <c r="AK212" s="287">
        <f t="shared" si="100"/>
        <v>0</v>
      </c>
      <c r="AL212" s="287">
        <f t="shared" si="101"/>
        <v>6.4803405049954668</v>
      </c>
      <c r="AM212" s="287">
        <f t="shared" si="102"/>
        <v>4.5362383534968265</v>
      </c>
      <c r="AN212" s="287">
        <f t="shared" si="103"/>
        <v>1.9140823264554352</v>
      </c>
      <c r="AO212" s="287">
        <f t="shared" si="104"/>
        <v>1.3398576285188044</v>
      </c>
      <c r="AP212" s="287">
        <f t="shared" si="105"/>
        <v>4515916.5419016276</v>
      </c>
      <c r="AQ212" s="287">
        <f t="shared" si="106"/>
        <v>3161141.5793311391</v>
      </c>
      <c r="AR212" s="287">
        <f t="shared" si="107"/>
        <v>2212849.5461960207</v>
      </c>
      <c r="AS212" s="289" t="e">
        <f>IF(J212='2027 Avoided Costs'!#REF!,3,5)</f>
        <v>#REF!</v>
      </c>
      <c r="AT212" s="290" cm="1">
        <f t="array" ref="AT212">IFERROR(IF($J212="Baseload",IF($O212=1,0,NPV('2027 Avoided Costs'!$D$6,_xlfn._xlws.FILTER('2027 Avoided Costs'!$C$14:$C$47,('2027 Avoided Costs'!$B$14:$B$47&gt;=$B212+1)*('2027 Avoided Costs'!$B$14:$B$47&lt;$B212+ROUND($O212,0)))))+_xlfn.XLOOKUP($B212,'2027 Avoided Costs'!$B$13:$B$47,'2027 Avoided Costs'!$C$13:$C$47),IF($O212=1,0,NPV('2027 Avoided Costs'!$D$6,_xlfn._xlws.FILTER('2027 Avoided Costs'!$E$14:$E$47,('2027 Avoided Costs'!$B$14:$B$47&gt;=$B212+1)*('2027 Avoided Costs'!$B$14:$B$47&lt;$B212+ROUND($O212,0)))))+_xlfn.XLOOKUP($B212,'2027 Avoided Costs'!$B$13:$B$47,'2027 Avoided Costs'!$E$13:$E$47))*IF($AE212&gt;0,$AE212*(1+$W212),0),0)</f>
        <v>9239281.8358861245</v>
      </c>
      <c r="AU212" s="290" cm="1">
        <f t="array" ref="AU212">IFERROR((IF($O212=1,0,NPV('2027 Avoided Costs'!$D$6,_xlfn._xlws.FILTER('2027 Avoided Costs'!$M$14:$M$47,('2027 Avoided Costs'!$B$14:$B$47&gt;=$B212+1)*('2027 Avoided Costs'!$B$14:$B$47&lt;$B212+ROUND($O212,0)))))+_xlfn.XLOOKUP($B212,'2027 Avoided Costs'!$B$13:$B$47,'2027 Avoided Costs'!$M$13:$M$47))*IF($AK212&gt;0,$AK212*(1+$W212),0),0)</f>
        <v>0</v>
      </c>
      <c r="AV212" s="291" cm="1">
        <f t="array" ref="AV212">IFERROR((IF($O212=1,0,NPV('2027 Avoided Costs'!$D$6,_xlfn._xlws.FILTER('2027 Avoided Costs'!$Q$14:$Q$47,('2027 Avoided Costs'!$B$14:$B$47&gt;=$B212+1)*('2027 Avoided Costs'!$B$14:$B$47&lt;$B212+ROUND($O212,0)))))+_xlfn.XLOOKUP($B212,'2027 Avoided Costs'!$B$13:$B$47,'2027 Avoided Costs'!$Q$13:$Q$47))*IF($AI212&gt;0,$AI212*(1+$W212),0),0)</f>
        <v>4624.3837242568043</v>
      </c>
      <c r="AW212" s="291" cm="1">
        <f t="array" ref="AW212">IFERROR((IF($O212=1,0,NPV('2027 Avoided Costs'!$D$6,_xlfn._xlws.FILTER('2027 Avoided Costs'!$W$14:$W$47,('2027 Avoided Costs'!$B$14:$B$47&gt;=$B212+1)*('2027 Avoided Costs'!$B$14:$B$47&lt;$B212+ROUND($O212,0)))))+_xlfn.XLOOKUP($B212,'2027 Avoided Costs'!$B$13:$B$47,'2027 Avoided Costs'!$W$13:$W$47))*IF($AM212&gt;0,$AM212*(1+$W212),0),0)</f>
        <v>17482.360017115669</v>
      </c>
      <c r="AX212" s="291" cm="1">
        <f t="array" ref="AX212">IFERROR((IF($O212=1,0,NPV('2027 Avoided Costs'!$D$6,_xlfn._xlws.FILTER('2027 Avoided Costs'!$AC$14:$AC$47,('2027 Avoided Costs'!$B$14:$B$47&gt;=$B212+1)*('2027 Avoided Costs'!$B$14:$B$47&lt;$B212+ROUND($O212,0)))))+_xlfn.XLOOKUP($B212,'2027 Avoided Costs'!$B$13:$B$47,'2027 Avoided Costs'!$AC$13:$AC$47))*IF($AO212&gt;0,$AO212*(1+$W212),0),0)</f>
        <v>347.04703090709091</v>
      </c>
      <c r="AY212" s="291" cm="1">
        <f t="array" ref="AY212">IFERROR((IF($O212=1,0,NPV('2027 Avoided Costs'!$D$4,_xlfn._xlws.FILTER('2027 Avoided Costs'!$I$14:$I$47,('2027 Avoided Costs'!$B$14:$B$47&gt;=$B212+1)*('2027 Avoided Costs'!$B$14:$B$47&lt;$B212+ROUND($O212,0)))))+_xlfn.XLOOKUP($B212,'2027 Avoided Costs'!$B$13:$B$47,'2027 Avoided Costs'!$I$13:$I$47))*IF($X212="Residential",'2027 Avoided Costs'!$J$5,IF($X212="Large Volume",'2027 Avoided Costs'!$J$7,'2027 Avoided Costs'!$J$6))*IF($AE212&gt;0,$AE212,0),0)</f>
        <v>0</v>
      </c>
      <c r="AZ212" s="291" cm="1">
        <f t="array" ref="AZ212">IFERROR(IF($J212="Baseload",IF($O212=1,0,NPV('2027 Avoided Costs'!$D$6,_xlfn._xlws.FILTER('2027 Avoided Costs'!$C$14:$C$47,('2027 Avoided Costs'!$B$14:$B$47&gt;=$B212+1)*('2027 Avoided Costs'!$B$14:$B$47&lt;$B212+ROUND($O212,0)))))+_xlfn.XLOOKUP($B212,'2027 Avoided Costs'!$B$13:$B$47,'2027 Avoided Costs'!$C$13:$C$47),IF($O212=1,0,NPV('2027 Avoided Costs'!$D$6,_xlfn._xlws.FILTER('2027 Avoided Costs'!$E$14:$E$47,('2027 Avoided Costs'!$B$14:$B$47&gt;=$B212+1)*('2027 Avoided Costs'!$B$14:$B$47&lt;$B212+ROUND($O212,0)))))+_xlfn.XLOOKUP($B212,'2027 Avoided Costs'!$B$13:$B$47,'2027 Avoided Costs'!$E$13:$E$47))*IF($AE212&lt;0,$AE212*(-1),0),0)</f>
        <v>0</v>
      </c>
      <c r="BA212" s="291" cm="1">
        <f t="array" ref="BA212">IFERROR((IF($O212=1,0,NPV('2027 Avoided Costs'!$D$6,_xlfn._xlws.FILTER('2027 Avoided Costs'!$M$14:$M$47,('2027 Avoided Costs'!$B$14:$B$47&gt;=$B212+1)*('2027 Avoided Costs'!$B$14:$B$47&lt;$B212+ROUND($O212,0)))))+_xlfn.XLOOKUP($B212,'2027 Avoided Costs'!$B$13:$B$47,'2027 Avoided Costs'!$M$13:$M$47))*IF($AK212&lt;0,$AK212*(-1),0),0)</f>
        <v>0</v>
      </c>
      <c r="BB212" s="291" cm="1">
        <f t="array" ref="BB212">IFERROR((IF($O212=1,0,NPV('2027 Avoided Costs'!$D$6,_xlfn._xlws.FILTER('2027 Avoided Costs'!$S$14:$S$47,('2027 Avoided Costs'!$B$14:$B$47&gt;=$B212+1)*('2027 Avoided Costs'!$B$14:$B$47&lt;$B212+ROUND($O212,0)))))+_xlfn.XLOOKUP($B212,'2027 Avoided Costs'!$B$13:$B$47,'2027 Avoided Costs'!$S$13:$S$47))*IF($AI212&lt;0,$AI212*(-1),0),0)</f>
        <v>0</v>
      </c>
      <c r="BC212" s="291" cm="1">
        <f t="array" ref="BC212">IFERROR((IF($O212=1,0,NPV('2027 Avoided Costs'!$D$6,_xlfn._xlws.FILTER('2027 Avoided Costs'!$Y$14:$Y$47,('2027 Avoided Costs'!$B$14:$B$47&gt;=$B212+1)*('2027 Avoided Costs'!$B$14:$B$47&lt;$B212+ROUND($O212,0)))))+_xlfn.XLOOKUP($B212,'2027 Avoided Costs'!$B$13:$B$47,'2027 Avoided Costs'!$Y$13:$Y$47))*IF($AM212&lt;0,$AM212*(-1),0),0)</f>
        <v>0</v>
      </c>
      <c r="BD212" s="291" cm="1">
        <f t="array" ref="BD212">IFERROR((IF($O212=1,0,NPV('2027 Avoided Costs'!$D$6,_xlfn._xlws.FILTER('2027 Avoided Costs'!$AE$14:$AE$47,('2027 Avoided Costs'!$B$14:$B$47&gt;=$B212+1)*('2027 Avoided Costs'!$B$14:$B$47&lt;$B212+ROUND($O212,0)))))+_xlfn.XLOOKUP($B212,'2027 Avoided Costs'!$B$13:$B$47,'2027 Avoided Costs'!$AE$13:$AE$47))*IF($AO212&lt;0,$AO212*(-1),0),0)</f>
        <v>0</v>
      </c>
      <c r="BE212" s="291" cm="1">
        <f t="array" ref="BE212">IFERROR((IF($O212=1,0,NPV('2027 Avoided Costs'!$D$4,_xlfn._xlws.FILTER('2027 Avoided Costs'!$I$14:$I$47,('2027 Avoided Costs'!$B$14:$B$47&gt;=$B212+1)*('2027 Avoided Costs'!$B$14:$B$47&lt;$B212+ROUND($O212,0)))))+_xlfn.XLOOKUP($B212,'2027 Avoided Costs'!$B$13:$B$47,'2027 Avoided Costs'!$I$13:$I$47))*IF($X212="Residential",'2027 Avoided Costs'!$J$5,IF($X212="Large Volume",'2027 Avoided Costs'!$J$7,'2027 Avoided Costs'!$J$6))*IF($AE212&lt;0,$AE212*(-1),0),0)</f>
        <v>0</v>
      </c>
      <c r="BF212" s="291">
        <f t="shared" si="84"/>
        <v>9261735.6266584042</v>
      </c>
      <c r="BG212" s="291">
        <f t="shared" si="85"/>
        <v>3161141.5793311391</v>
      </c>
      <c r="BH212" s="291">
        <f t="shared" si="86"/>
        <v>6100594.0473272651</v>
      </c>
      <c r="BI212" s="292">
        <f t="shared" si="110"/>
        <v>2.9298705528456845</v>
      </c>
      <c r="BJ212" s="196" cm="1">
        <f t="array" ref="BJ212">IFERROR(IF($J212="Baseload",IF($O212=1,0,NPV('2027 Avoided Costs'!$D$6,_xlfn._xlws.FILTER('2027 Avoided Costs'!$C$14:$C$47,('2027 Avoided Costs'!$B$14:$B$47&gt;=$B212+1)*('2027 Avoided Costs'!$B$14:$B$47&lt;$B212+ROUND($O212,0)))))+_xlfn.XLOOKUP($B212,'2027 Avoided Costs'!$B$13:$B$47,'2027 Avoided Costs'!$C$13:$C$47),IF($O212=1,0,NPV('2027 Avoided Costs'!$D$6,_xlfn._xlws.FILTER('2027 Avoided Costs'!$E$14:$E$47,('2027 Avoided Costs'!$B$14:$B$47&gt;=$B212+1)*('2027 Avoided Costs'!$B$14:$B$47&lt;$B212+ROUND($O212,0)))))+_xlfn.XLOOKUP($B212,'2027 Avoided Costs'!$B$13:$B$47,'2027 Avoided Costs'!$E$13:$E$47))*IF($AE212&gt;0,$AE212*(1+0),0),0)</f>
        <v>8034158.1181618497</v>
      </c>
      <c r="BK212" s="293">
        <f t="shared" si="108"/>
        <v>11.286676814888636</v>
      </c>
    </row>
    <row r="213" spans="1:63" s="56" customFormat="1" x14ac:dyDescent="0.25">
      <c r="A213" s="270" t="s">
        <v>133</v>
      </c>
      <c r="B213" s="271">
        <v>2028</v>
      </c>
      <c r="C213" s="272" t="s">
        <v>14</v>
      </c>
      <c r="D213" s="272" t="s">
        <v>8</v>
      </c>
      <c r="E213" s="272" t="s">
        <v>357</v>
      </c>
      <c r="F213" s="273">
        <v>110</v>
      </c>
      <c r="G213" s="274">
        <v>58155.777642558664</v>
      </c>
      <c r="H213" s="275">
        <f t="shared" si="88"/>
        <v>0.20350004449704862</v>
      </c>
      <c r="I213" s="274">
        <v>0</v>
      </c>
      <c r="J213" s="276" t="s">
        <v>263</v>
      </c>
      <c r="K213" s="277">
        <f t="shared" si="87"/>
        <v>0.7</v>
      </c>
      <c r="L213" s="294">
        <v>0.33</v>
      </c>
      <c r="M213" s="294">
        <v>0.03</v>
      </c>
      <c r="N213" s="294">
        <v>0.99119999999999997</v>
      </c>
      <c r="O213" s="279">
        <v>14</v>
      </c>
      <c r="P213" s="280">
        <v>285777.71462552238</v>
      </c>
      <c r="Q213" s="295">
        <v>834</v>
      </c>
      <c r="R213" s="296">
        <v>9.5205479452053918E-2</v>
      </c>
      <c r="S213" s="296">
        <v>9.5205479452055097E-2</v>
      </c>
      <c r="T213" s="295">
        <v>0</v>
      </c>
      <c r="U213" s="297">
        <v>0.93</v>
      </c>
      <c r="V213" s="284">
        <v>376326.37849180232</v>
      </c>
      <c r="W213" s="298">
        <v>0.15</v>
      </c>
      <c r="X213" s="299" t="s">
        <v>255</v>
      </c>
      <c r="Y213" s="300">
        <f t="shared" si="89"/>
        <v>110</v>
      </c>
      <c r="Z213" s="196">
        <f t="shared" si="90"/>
        <v>6397135.5406814534</v>
      </c>
      <c r="AA213" s="196">
        <f t="shared" si="91"/>
        <v>0</v>
      </c>
      <c r="AB213" s="288">
        <f t="shared" si="92"/>
        <v>6525078.2514950829</v>
      </c>
      <c r="AC213" s="288">
        <f t="shared" si="109"/>
        <v>0</v>
      </c>
      <c r="AD213" s="287">
        <f t="shared" si="93"/>
        <v>31158915.781049956</v>
      </c>
      <c r="AE213" s="287">
        <f t="shared" si="94"/>
        <v>21811241.046734966</v>
      </c>
      <c r="AF213" s="287">
        <f t="shared" si="95"/>
        <v>436224820.93469936</v>
      </c>
      <c r="AG213" s="287">
        <f t="shared" si="96"/>
        <v>305357374.65428954</v>
      </c>
      <c r="AH213" s="300">
        <f t="shared" si="97"/>
        <v>97479.841536000007</v>
      </c>
      <c r="AI213" s="300">
        <f t="shared" si="98"/>
        <v>68235.889075200001</v>
      </c>
      <c r="AJ213" s="300">
        <f t="shared" si="99"/>
        <v>0</v>
      </c>
      <c r="AK213" s="300">
        <f t="shared" si="100"/>
        <v>0</v>
      </c>
      <c r="AL213" s="300">
        <f t="shared" si="101"/>
        <v>11.127835791780718</v>
      </c>
      <c r="AM213" s="300">
        <f t="shared" si="102"/>
        <v>7.7894850542465033</v>
      </c>
      <c r="AN213" s="300">
        <f t="shared" si="103"/>
        <v>11.127835791780859</v>
      </c>
      <c r="AO213" s="300">
        <f t="shared" si="104"/>
        <v>7.7894850542466001</v>
      </c>
      <c r="AP213" s="300">
        <f t="shared" si="105"/>
        <v>41395901.634098254</v>
      </c>
      <c r="AQ213" s="300">
        <f t="shared" si="106"/>
        <v>28977131.143868778</v>
      </c>
      <c r="AR213" s="300">
        <f t="shared" si="107"/>
        <v>20284454.17346352</v>
      </c>
      <c r="AS213" s="301" t="e">
        <f>IF(J213='2027 Avoided Costs'!#REF!,3,5)</f>
        <v>#REF!</v>
      </c>
      <c r="AT213" s="290" cm="1">
        <f t="array" ref="AT213">IFERROR(IF($J213="Baseload",IF($O213=1,0,NPV('2027 Avoided Costs'!$D$6,_xlfn._xlws.FILTER('2027 Avoided Costs'!$C$14:$C$47,('2027 Avoided Costs'!$B$14:$B$47&gt;=$B213+1)*('2027 Avoided Costs'!$B$14:$B$47&lt;$B213+ROUND($O213,0)))))+_xlfn.XLOOKUP($B213,'2027 Avoided Costs'!$B$13:$B$47,'2027 Avoided Costs'!$C$13:$C$47),IF($O213=1,0,NPV('2027 Avoided Costs'!$D$6,_xlfn._xlws.FILTER('2027 Avoided Costs'!$E$14:$E$47,('2027 Avoided Costs'!$B$14:$B$47&gt;=$B213+1)*('2027 Avoided Costs'!$B$14:$B$47&lt;$B213+ROUND($O213,0)))))+_xlfn.XLOOKUP($B213,'2027 Avoided Costs'!$B$13:$B$47,'2027 Avoided Costs'!$E$13:$E$47))*IF($AE213&gt;0,$AE213*(1+$W213),0),0)</f>
        <v>75472289.474456742</v>
      </c>
      <c r="AU213" s="290" cm="1">
        <f t="array" ref="AU213">IFERROR((IF($O213=1,0,NPV('2027 Avoided Costs'!$D$6,_xlfn._xlws.FILTER('2027 Avoided Costs'!$M$14:$M$47,('2027 Avoided Costs'!$B$14:$B$47&gt;=$B213+1)*('2027 Avoided Costs'!$B$14:$B$47&lt;$B213+ROUND($O213,0)))))+_xlfn.XLOOKUP($B213,'2027 Avoided Costs'!$B$13:$B$47,'2027 Avoided Costs'!$M$13:$M$47))*IF($AK213&gt;0,$AK213*(1+$W213),0),0)</f>
        <v>0</v>
      </c>
      <c r="AV213" s="291" cm="1">
        <f t="array" ref="AV213">IFERROR((IF($O213=1,0,NPV('2027 Avoided Costs'!$D$6,_xlfn._xlws.FILTER('2027 Avoided Costs'!$Q$14:$Q$47,('2027 Avoided Costs'!$B$14:$B$47&gt;=$B213+1)*('2027 Avoided Costs'!$B$14:$B$47&lt;$B213+ROUND($O213,0)))))+_xlfn.XLOOKUP($B213,'2027 Avoided Costs'!$B$13:$B$47,'2027 Avoided Costs'!$Q$13:$Q$47))*IF($AI213&gt;0,$AI213*(1+$W213),0),0)</f>
        <v>42390.184139020705</v>
      </c>
      <c r="AW213" s="291" cm="1">
        <f t="array" ref="AW213">IFERROR((IF($O213=1,0,NPV('2027 Avoided Costs'!$D$6,_xlfn._xlws.FILTER('2027 Avoided Costs'!$W$14:$W$47,('2027 Avoided Costs'!$B$14:$B$47&gt;=$B213+1)*('2027 Avoided Costs'!$B$14:$B$47&lt;$B213+ROUND($O213,0)))))+_xlfn.XLOOKUP($B213,'2027 Avoided Costs'!$B$13:$B$47,'2027 Avoided Costs'!$W$13:$W$47))*IF($AM213&gt;0,$AM213*(1+$W213),0),0)</f>
        <v>30020.155788618093</v>
      </c>
      <c r="AX213" s="291" cm="1">
        <f t="array" ref="AX213">IFERROR((IF($O213=1,0,NPV('2027 Avoided Costs'!$D$6,_xlfn._xlws.FILTER('2027 Avoided Costs'!$AC$14:$AC$47,('2027 Avoided Costs'!$B$14:$B$47&gt;=$B213+1)*('2027 Avoided Costs'!$B$14:$B$47&lt;$B213+ROUND($O213,0)))))+_xlfn.XLOOKUP($B213,'2027 Avoided Costs'!$B$13:$B$47,'2027 Avoided Costs'!$AC$13:$AC$47))*IF($AO213&gt;0,$AO213*(1+$W213),0),0)</f>
        <v>2017.6156054430396</v>
      </c>
      <c r="AY213" s="291" cm="1">
        <f t="array" ref="AY213">IFERROR((IF($O213=1,0,NPV('2027 Avoided Costs'!$D$4,_xlfn._xlws.FILTER('2027 Avoided Costs'!$I$14:$I$47,('2027 Avoided Costs'!$B$14:$B$47&gt;=$B213+1)*('2027 Avoided Costs'!$B$14:$B$47&lt;$B213+ROUND($O213,0)))))+_xlfn.XLOOKUP($B213,'2027 Avoided Costs'!$B$13:$B$47,'2027 Avoided Costs'!$I$13:$I$47))*IF($X213="Residential",'2027 Avoided Costs'!$J$5,IF($X213="Large Volume",'2027 Avoided Costs'!$J$7,'2027 Avoided Costs'!$J$6))*IF($AE213&gt;0,$AE213,0),0)</f>
        <v>0</v>
      </c>
      <c r="AZ213" s="291" cm="1">
        <f t="array" ref="AZ213">IFERROR(IF($J213="Baseload",IF($O213=1,0,NPV('2027 Avoided Costs'!$D$6,_xlfn._xlws.FILTER('2027 Avoided Costs'!$C$14:$C$47,('2027 Avoided Costs'!$B$14:$B$47&gt;=$B213+1)*('2027 Avoided Costs'!$B$14:$B$47&lt;$B213+ROUND($O213,0)))))+_xlfn.XLOOKUP($B213,'2027 Avoided Costs'!$B$13:$B$47,'2027 Avoided Costs'!$C$13:$C$47),IF($O213=1,0,NPV('2027 Avoided Costs'!$D$6,_xlfn._xlws.FILTER('2027 Avoided Costs'!$E$14:$E$47,('2027 Avoided Costs'!$B$14:$B$47&gt;=$B213+1)*('2027 Avoided Costs'!$B$14:$B$47&lt;$B213+ROUND($O213,0)))))+_xlfn.XLOOKUP($B213,'2027 Avoided Costs'!$B$13:$B$47,'2027 Avoided Costs'!$E$13:$E$47))*IF($AE213&lt;0,$AE213*(-1),0),0)</f>
        <v>0</v>
      </c>
      <c r="BA213" s="291" cm="1">
        <f t="array" ref="BA213">IFERROR((IF($O213=1,0,NPV('2027 Avoided Costs'!$D$6,_xlfn._xlws.FILTER('2027 Avoided Costs'!$M$14:$M$47,('2027 Avoided Costs'!$B$14:$B$47&gt;=$B213+1)*('2027 Avoided Costs'!$B$14:$B$47&lt;$B213+ROUND($O213,0)))))+_xlfn.XLOOKUP($B213,'2027 Avoided Costs'!$B$13:$B$47,'2027 Avoided Costs'!$M$13:$M$47))*IF($AK213&lt;0,$AK213*(-1),0),0)</f>
        <v>0</v>
      </c>
      <c r="BB213" s="291" cm="1">
        <f t="array" ref="BB213">IFERROR((IF($O213=1,0,NPV('2027 Avoided Costs'!$D$6,_xlfn._xlws.FILTER('2027 Avoided Costs'!$S$14:$S$47,('2027 Avoided Costs'!$B$14:$B$47&gt;=$B213+1)*('2027 Avoided Costs'!$B$14:$B$47&lt;$B213+ROUND($O213,0)))))+_xlfn.XLOOKUP($B213,'2027 Avoided Costs'!$B$13:$B$47,'2027 Avoided Costs'!$S$13:$S$47))*IF($AI213&lt;0,$AI213*(-1),0),0)</f>
        <v>0</v>
      </c>
      <c r="BC213" s="291" cm="1">
        <f t="array" ref="BC213">IFERROR((IF($O213=1,0,NPV('2027 Avoided Costs'!$D$6,_xlfn._xlws.FILTER('2027 Avoided Costs'!$Y$14:$Y$47,('2027 Avoided Costs'!$B$14:$B$47&gt;=$B213+1)*('2027 Avoided Costs'!$B$14:$B$47&lt;$B213+ROUND($O213,0)))))+_xlfn.XLOOKUP($B213,'2027 Avoided Costs'!$B$13:$B$47,'2027 Avoided Costs'!$Y$13:$Y$47))*IF($AM213&lt;0,$AM213*(-1),0),0)</f>
        <v>0</v>
      </c>
      <c r="BD213" s="291" cm="1">
        <f t="array" ref="BD213">IFERROR((IF($O213=1,0,NPV('2027 Avoided Costs'!$D$6,_xlfn._xlws.FILTER('2027 Avoided Costs'!$AE$14:$AE$47,('2027 Avoided Costs'!$B$14:$B$47&gt;=$B213+1)*('2027 Avoided Costs'!$B$14:$B$47&lt;$B213+ROUND($O213,0)))))+_xlfn.XLOOKUP($B213,'2027 Avoided Costs'!$B$13:$B$47,'2027 Avoided Costs'!$AE$13:$AE$47))*IF($AO213&lt;0,$AO213*(-1),0),0)</f>
        <v>0</v>
      </c>
      <c r="BE213" s="291" cm="1">
        <f t="array" ref="BE213">IFERROR((IF($O213=1,0,NPV('2027 Avoided Costs'!$D$4,_xlfn._xlws.FILTER('2027 Avoided Costs'!$I$14:$I$47,('2027 Avoided Costs'!$B$14:$B$47&gt;=$B213+1)*('2027 Avoided Costs'!$B$14:$B$47&lt;$B213+ROUND($O213,0)))))+_xlfn.XLOOKUP($B213,'2027 Avoided Costs'!$B$13:$B$47,'2027 Avoided Costs'!$I$13:$I$47))*IF($X213="Residential",'2027 Avoided Costs'!$J$5,IF($X213="Large Volume",'2027 Avoided Costs'!$J$7,'2027 Avoided Costs'!$J$6))*IF($AE213&lt;0,$AE213*(-1),0),0)</f>
        <v>0</v>
      </c>
      <c r="BF213" s="291">
        <f t="shared" si="84"/>
        <v>75546717.429989815</v>
      </c>
      <c r="BG213" s="291">
        <f t="shared" si="85"/>
        <v>28977131.143868778</v>
      </c>
      <c r="BH213" s="291">
        <f t="shared" si="86"/>
        <v>46569586.286121041</v>
      </c>
      <c r="BI213" s="292">
        <f t="shared" si="110"/>
        <v>2.6071151438321256</v>
      </c>
      <c r="BJ213" s="196" cm="1">
        <f t="array" ref="BJ213">IFERROR(IF($J213="Baseload",IF($O213=1,0,NPV('2027 Avoided Costs'!$D$6,_xlfn._xlws.FILTER('2027 Avoided Costs'!$C$14:$C$47,('2027 Avoided Costs'!$B$14:$B$47&gt;=$B213+1)*('2027 Avoided Costs'!$B$14:$B$47&lt;$B213+ROUND($O213,0)))))+_xlfn.XLOOKUP($B213,'2027 Avoided Costs'!$B$13:$B$47,'2027 Avoided Costs'!$C$13:$C$47),IF($O213=1,0,NPV('2027 Avoided Costs'!$D$6,_xlfn._xlws.FILTER('2027 Avoided Costs'!$E$14:$E$47,('2027 Avoided Costs'!$B$14:$B$47&gt;=$B213+1)*('2027 Avoided Costs'!$B$14:$B$47&lt;$B213+ROUND($O213,0)))))+_xlfn.XLOOKUP($B213,'2027 Avoided Costs'!$B$13:$B$47,'2027 Avoided Costs'!$E$13:$E$47))*IF($AE213&gt;0,$AE213*(1+0),0),0)</f>
        <v>65628077.803875431</v>
      </c>
      <c r="BK213" s="293">
        <f t="shared" si="108"/>
        <v>10.057822339347142</v>
      </c>
    </row>
    <row r="214" spans="1:63" s="56" customFormat="1" x14ac:dyDescent="0.25">
      <c r="A214" s="270" t="s">
        <v>133</v>
      </c>
      <c r="B214" s="271">
        <v>2028</v>
      </c>
      <c r="C214" s="272" t="s">
        <v>14</v>
      </c>
      <c r="D214" s="272" t="s">
        <v>8</v>
      </c>
      <c r="E214" s="272" t="s">
        <v>105</v>
      </c>
      <c r="F214" s="273">
        <v>46</v>
      </c>
      <c r="G214" s="274">
        <v>62526.011111111104</v>
      </c>
      <c r="H214" s="275">
        <f t="shared" si="88"/>
        <v>0.23</v>
      </c>
      <c r="I214" s="274">
        <v>0</v>
      </c>
      <c r="J214" s="276" t="s">
        <v>264</v>
      </c>
      <c r="K214" s="277">
        <f t="shared" si="87"/>
        <v>0.7</v>
      </c>
      <c r="L214" s="278">
        <v>0.33</v>
      </c>
      <c r="M214" s="278">
        <v>0.03</v>
      </c>
      <c r="N214" s="278">
        <v>0.96519999999999995</v>
      </c>
      <c r="O214" s="279">
        <v>18</v>
      </c>
      <c r="P214" s="280">
        <v>271852.22222222219</v>
      </c>
      <c r="Q214" s="281">
        <v>445</v>
      </c>
      <c r="R214" s="282">
        <v>0.2711780052172626</v>
      </c>
      <c r="S214" s="282">
        <v>8.0097184200379493E-2</v>
      </c>
      <c r="T214" s="281">
        <v>78.585790000000003</v>
      </c>
      <c r="U214" s="283">
        <v>0.99</v>
      </c>
      <c r="V214" s="284">
        <v>133723.28</v>
      </c>
      <c r="W214" s="285">
        <v>0.15</v>
      </c>
      <c r="X214" s="286" t="s">
        <v>255</v>
      </c>
      <c r="Y214" s="287">
        <f t="shared" si="89"/>
        <v>46</v>
      </c>
      <c r="Z214" s="288">
        <f t="shared" si="90"/>
        <v>2876196.5111111109</v>
      </c>
      <c r="AA214" s="288">
        <f t="shared" si="91"/>
        <v>0</v>
      </c>
      <c r="AB214" s="288">
        <f t="shared" si="92"/>
        <v>2933720.441333333</v>
      </c>
      <c r="AC214" s="288">
        <f t="shared" si="109"/>
        <v>0</v>
      </c>
      <c r="AD214" s="287">
        <f t="shared" si="93"/>
        <v>12070021.184888886</v>
      </c>
      <c r="AE214" s="287">
        <f t="shared" si="94"/>
        <v>8449014.8294222206</v>
      </c>
      <c r="AF214" s="287">
        <f t="shared" si="95"/>
        <v>217260381.32799995</v>
      </c>
      <c r="AG214" s="287">
        <f t="shared" si="96"/>
        <v>152082266.92959997</v>
      </c>
      <c r="AH214" s="287">
        <f t="shared" si="97"/>
        <v>21180.194367999997</v>
      </c>
      <c r="AI214" s="287">
        <f t="shared" si="98"/>
        <v>14826.136057599999</v>
      </c>
      <c r="AJ214" s="287">
        <f t="shared" si="99"/>
        <v>3489.146207368</v>
      </c>
      <c r="AK214" s="287">
        <f t="shared" si="100"/>
        <v>2442.4023451575999</v>
      </c>
      <c r="AL214" s="287">
        <f t="shared" si="101"/>
        <v>12.906972716467729</v>
      </c>
      <c r="AM214" s="287">
        <f t="shared" si="102"/>
        <v>9.0348809015274103</v>
      </c>
      <c r="AN214" s="287">
        <f t="shared" si="103"/>
        <v>3.8123009656034519</v>
      </c>
      <c r="AO214" s="287">
        <f t="shared" si="104"/>
        <v>2.6686106759224164</v>
      </c>
      <c r="AP214" s="287">
        <f t="shared" si="105"/>
        <v>6151270.8799999999</v>
      </c>
      <c r="AQ214" s="287">
        <f t="shared" si="106"/>
        <v>4305889.6159999995</v>
      </c>
      <c r="AR214" s="287">
        <f t="shared" si="107"/>
        <v>8364524.681127998</v>
      </c>
      <c r="AS214" s="289" t="e">
        <f>IF(J214='2027 Avoided Costs'!#REF!,3,5)</f>
        <v>#REF!</v>
      </c>
      <c r="AT214" s="290" cm="1">
        <f t="array" ref="AT214">IFERROR(IF($J214="Baseload",IF($O214=1,0,NPV('2027 Avoided Costs'!$D$6,_xlfn._xlws.FILTER('2027 Avoided Costs'!$C$14:$C$47,('2027 Avoided Costs'!$B$14:$B$47&gt;=$B214+1)*('2027 Avoided Costs'!$B$14:$B$47&lt;$B214+ROUND($O214,0)))))+_xlfn.XLOOKUP($B214,'2027 Avoided Costs'!$B$13:$B$47,'2027 Avoided Costs'!$C$13:$C$47),IF($O214=1,0,NPV('2027 Avoided Costs'!$D$6,_xlfn._xlws.FILTER('2027 Avoided Costs'!$E$14:$E$47,('2027 Avoided Costs'!$B$14:$B$47&gt;=$B214+1)*('2027 Avoided Costs'!$B$14:$B$47&lt;$B214+ROUND($O214,0)))))+_xlfn.XLOOKUP($B214,'2027 Avoided Costs'!$B$13:$B$47,'2027 Avoided Costs'!$E$13:$E$47))*IF($AE214&gt;0,$AE214*(1+$W214),0),0)</f>
        <v>40029687.668337777</v>
      </c>
      <c r="AU214" s="290" cm="1">
        <f t="array" ref="AU214">IFERROR((IF($O214=1,0,NPV('2027 Avoided Costs'!$D$6,_xlfn._xlws.FILTER('2027 Avoided Costs'!$M$14:$M$47,('2027 Avoided Costs'!$B$14:$B$47&gt;=$B214+1)*('2027 Avoided Costs'!$B$14:$B$47&lt;$B214+ROUND($O214,0)))))+_xlfn.XLOOKUP($B214,'2027 Avoided Costs'!$B$13:$B$47,'2027 Avoided Costs'!$M$13:$M$47))*IF($AK214&gt;0,$AK214*(1+$W214),0),0)</f>
        <v>40665.63939268086</v>
      </c>
      <c r="AV214" s="291" cm="1">
        <f t="array" ref="AV214">IFERROR((IF($O214=1,0,NPV('2027 Avoided Costs'!$D$6,_xlfn._xlws.FILTER('2027 Avoided Costs'!$Q$14:$Q$47,('2027 Avoided Costs'!$B$14:$B$47&gt;=$B214+1)*('2027 Avoided Costs'!$B$14:$B$47&lt;$B214+ROUND($O214,0)))))+_xlfn.XLOOKUP($B214,'2027 Avoided Costs'!$B$13:$B$47,'2027 Avoided Costs'!$Q$13:$Q$47))*IF($AI214&gt;0,$AI214*(1+$W214),0),0)</f>
        <v>11126.210208558088</v>
      </c>
      <c r="AW214" s="291" cm="1">
        <f t="array" ref="AW214">IFERROR((IF($O214=1,0,NPV('2027 Avoided Costs'!$D$6,_xlfn._xlws.FILTER('2027 Avoided Costs'!$W$14:$W$47,('2027 Avoided Costs'!$B$14:$B$47&gt;=$B214+1)*('2027 Avoided Costs'!$B$14:$B$47&lt;$B214+ROUND($O214,0)))))+_xlfn.XLOOKUP($B214,'2027 Avoided Costs'!$B$13:$B$47,'2027 Avoided Costs'!$W$13:$W$47))*IF($AM214&gt;0,$AM214*(1+$W214),0),0)</f>
        <v>39210.282312769865</v>
      </c>
      <c r="AX214" s="291" cm="1">
        <f t="array" ref="AX214">IFERROR((IF($O214=1,0,NPV('2027 Avoided Costs'!$D$6,_xlfn._xlws.FILTER('2027 Avoided Costs'!$AC$14:$AC$47,('2027 Avoided Costs'!$B$14:$B$47&gt;=$B214+1)*('2027 Avoided Costs'!$B$14:$B$47&lt;$B214+ROUND($O214,0)))))+_xlfn.XLOOKUP($B214,'2027 Avoided Costs'!$B$13:$B$47,'2027 Avoided Costs'!$AC$13:$AC$47))*IF($AO214&gt;0,$AO214*(1+$W214),0),0)</f>
        <v>1992.9364726933604</v>
      </c>
      <c r="AY214" s="291" cm="1">
        <f t="array" ref="AY214">IFERROR((IF($O214=1,0,NPV('2027 Avoided Costs'!$D$4,_xlfn._xlws.FILTER('2027 Avoided Costs'!$I$14:$I$47,('2027 Avoided Costs'!$B$14:$B$47&gt;=$B214+1)*('2027 Avoided Costs'!$B$14:$B$47&lt;$B214+ROUND($O214,0)))))+_xlfn.XLOOKUP($B214,'2027 Avoided Costs'!$B$13:$B$47,'2027 Avoided Costs'!$I$13:$I$47))*IF($X214="Residential",'2027 Avoided Costs'!$J$5,IF($X214="Large Volume",'2027 Avoided Costs'!$J$7,'2027 Avoided Costs'!$J$6))*IF($AE214&gt;0,$AE214,0),0)</f>
        <v>0</v>
      </c>
      <c r="AZ214" s="291" cm="1">
        <f t="array" ref="AZ214">IFERROR(IF($J214="Baseload",IF($O214=1,0,NPV('2027 Avoided Costs'!$D$6,_xlfn._xlws.FILTER('2027 Avoided Costs'!$C$14:$C$47,('2027 Avoided Costs'!$B$14:$B$47&gt;=$B214+1)*('2027 Avoided Costs'!$B$14:$B$47&lt;$B214+ROUND($O214,0)))))+_xlfn.XLOOKUP($B214,'2027 Avoided Costs'!$B$13:$B$47,'2027 Avoided Costs'!$C$13:$C$47),IF($O214=1,0,NPV('2027 Avoided Costs'!$D$6,_xlfn._xlws.FILTER('2027 Avoided Costs'!$E$14:$E$47,('2027 Avoided Costs'!$B$14:$B$47&gt;=$B214+1)*('2027 Avoided Costs'!$B$14:$B$47&lt;$B214+ROUND($O214,0)))))+_xlfn.XLOOKUP($B214,'2027 Avoided Costs'!$B$13:$B$47,'2027 Avoided Costs'!$E$13:$E$47))*IF($AE214&lt;0,$AE214*(-1),0),0)</f>
        <v>0</v>
      </c>
      <c r="BA214" s="291" cm="1">
        <f t="array" ref="BA214">IFERROR((IF($O214=1,0,NPV('2027 Avoided Costs'!$D$6,_xlfn._xlws.FILTER('2027 Avoided Costs'!$M$14:$M$47,('2027 Avoided Costs'!$B$14:$B$47&gt;=$B214+1)*('2027 Avoided Costs'!$B$14:$B$47&lt;$B214+ROUND($O214,0)))))+_xlfn.XLOOKUP($B214,'2027 Avoided Costs'!$B$13:$B$47,'2027 Avoided Costs'!$M$13:$M$47))*IF($AK214&lt;0,$AK214*(-1),0),0)</f>
        <v>0</v>
      </c>
      <c r="BB214" s="291" cm="1">
        <f t="array" ref="BB214">IFERROR((IF($O214=1,0,NPV('2027 Avoided Costs'!$D$6,_xlfn._xlws.FILTER('2027 Avoided Costs'!$S$14:$S$47,('2027 Avoided Costs'!$B$14:$B$47&gt;=$B214+1)*('2027 Avoided Costs'!$B$14:$B$47&lt;$B214+ROUND($O214,0)))))+_xlfn.XLOOKUP($B214,'2027 Avoided Costs'!$B$13:$B$47,'2027 Avoided Costs'!$S$13:$S$47))*IF($AI214&lt;0,$AI214*(-1),0),0)</f>
        <v>0</v>
      </c>
      <c r="BC214" s="291" cm="1">
        <f t="array" ref="BC214">IFERROR((IF($O214=1,0,NPV('2027 Avoided Costs'!$D$6,_xlfn._xlws.FILTER('2027 Avoided Costs'!$Y$14:$Y$47,('2027 Avoided Costs'!$B$14:$B$47&gt;=$B214+1)*('2027 Avoided Costs'!$B$14:$B$47&lt;$B214+ROUND($O214,0)))))+_xlfn.XLOOKUP($B214,'2027 Avoided Costs'!$B$13:$B$47,'2027 Avoided Costs'!$Y$13:$Y$47))*IF($AM214&lt;0,$AM214*(-1),0),0)</f>
        <v>0</v>
      </c>
      <c r="BD214" s="291" cm="1">
        <f t="array" ref="BD214">IFERROR((IF($O214=1,0,NPV('2027 Avoided Costs'!$D$6,_xlfn._xlws.FILTER('2027 Avoided Costs'!$AE$14:$AE$47,('2027 Avoided Costs'!$B$14:$B$47&gt;=$B214+1)*('2027 Avoided Costs'!$B$14:$B$47&lt;$B214+ROUND($O214,0)))))+_xlfn.XLOOKUP($B214,'2027 Avoided Costs'!$B$13:$B$47,'2027 Avoided Costs'!$AE$13:$AE$47))*IF($AO214&lt;0,$AO214*(-1),0),0)</f>
        <v>0</v>
      </c>
      <c r="BE214" s="291" cm="1">
        <f t="array" ref="BE214">IFERROR((IF($O214=1,0,NPV('2027 Avoided Costs'!$D$4,_xlfn._xlws.FILTER('2027 Avoided Costs'!$I$14:$I$47,('2027 Avoided Costs'!$B$14:$B$47&gt;=$B214+1)*('2027 Avoided Costs'!$B$14:$B$47&lt;$B214+ROUND($O214,0)))))+_xlfn.XLOOKUP($B214,'2027 Avoided Costs'!$B$13:$B$47,'2027 Avoided Costs'!$I$13:$I$47))*IF($X214="Residential",'2027 Avoided Costs'!$J$5,IF($X214="Large Volume",'2027 Avoided Costs'!$J$7,'2027 Avoided Costs'!$J$6))*IF($AE214&lt;0,$AE214*(-1),0),0)</f>
        <v>0</v>
      </c>
      <c r="BF214" s="291">
        <f t="shared" si="84"/>
        <v>40122682.736724481</v>
      </c>
      <c r="BG214" s="291">
        <f t="shared" si="85"/>
        <v>4305889.6159999995</v>
      </c>
      <c r="BH214" s="291">
        <f t="shared" si="86"/>
        <v>35816793.120724484</v>
      </c>
      <c r="BI214" s="292">
        <f t="shared" si="110"/>
        <v>9.3180936612111438</v>
      </c>
      <c r="BJ214" s="196" cm="1">
        <f t="array" ref="BJ214">IFERROR(IF($J214="Baseload",IF($O214=1,0,NPV('2027 Avoided Costs'!$D$6,_xlfn._xlws.FILTER('2027 Avoided Costs'!$C$14:$C$47,('2027 Avoided Costs'!$B$14:$B$47&gt;=$B214+1)*('2027 Avoided Costs'!$B$14:$B$47&lt;$B214+ROUND($O214,0)))))+_xlfn.XLOOKUP($B214,'2027 Avoided Costs'!$B$13:$B$47,'2027 Avoided Costs'!$C$13:$C$47),IF($O214=1,0,NPV('2027 Avoided Costs'!$D$6,_xlfn._xlws.FILTER('2027 Avoided Costs'!$E$14:$E$47,('2027 Avoided Costs'!$B$14:$B$47&gt;=$B214+1)*('2027 Avoided Costs'!$B$14:$B$47&lt;$B214+ROUND($O214,0)))))+_xlfn.XLOOKUP($B214,'2027 Avoided Costs'!$B$13:$B$47,'2027 Avoided Costs'!$E$13:$E$47))*IF($AE214&gt;0,$AE214*(1+0),0),0)</f>
        <v>34808424.059424162</v>
      </c>
      <c r="BK214" s="293">
        <f t="shared" si="108"/>
        <v>11.86494240180712</v>
      </c>
    </row>
    <row r="215" spans="1:63" s="56" customFormat="1" x14ac:dyDescent="0.25">
      <c r="A215" s="270" t="s">
        <v>133</v>
      </c>
      <c r="B215" s="271">
        <v>2028</v>
      </c>
      <c r="C215" s="272" t="s">
        <v>14</v>
      </c>
      <c r="D215" s="272" t="s">
        <v>8</v>
      </c>
      <c r="E215" s="272" t="s">
        <v>358</v>
      </c>
      <c r="F215" s="273">
        <v>138</v>
      </c>
      <c r="G215" s="274">
        <v>62526.011111111104</v>
      </c>
      <c r="H215" s="275">
        <f t="shared" si="88"/>
        <v>0.23</v>
      </c>
      <c r="I215" s="274">
        <v>0</v>
      </c>
      <c r="J215" s="276" t="s">
        <v>263</v>
      </c>
      <c r="K215" s="277">
        <f t="shared" si="87"/>
        <v>0.7</v>
      </c>
      <c r="L215" s="278">
        <v>0.33</v>
      </c>
      <c r="M215" s="278">
        <v>0.03</v>
      </c>
      <c r="N215" s="278">
        <v>0.96519999999999995</v>
      </c>
      <c r="O215" s="279">
        <v>18</v>
      </c>
      <c r="P215" s="280">
        <v>271852.22222222219</v>
      </c>
      <c r="Q215" s="281">
        <v>445</v>
      </c>
      <c r="R215" s="282">
        <v>5.07990867579904E-2</v>
      </c>
      <c r="S215" s="282">
        <v>5.0799086757991031E-2</v>
      </c>
      <c r="T215" s="281">
        <v>0</v>
      </c>
      <c r="U215" s="283">
        <v>0.99</v>
      </c>
      <c r="V215" s="284">
        <v>133723.28</v>
      </c>
      <c r="W215" s="285">
        <v>0.15</v>
      </c>
      <c r="X215" s="286" t="s">
        <v>255</v>
      </c>
      <c r="Y215" s="287">
        <f t="shared" si="89"/>
        <v>138</v>
      </c>
      <c r="Z215" s="288">
        <f t="shared" si="90"/>
        <v>8628589.5333333332</v>
      </c>
      <c r="AA215" s="288">
        <f t="shared" si="91"/>
        <v>0</v>
      </c>
      <c r="AB215" s="288">
        <f t="shared" si="92"/>
        <v>8801161.324000001</v>
      </c>
      <c r="AC215" s="288">
        <f t="shared" si="109"/>
        <v>0</v>
      </c>
      <c r="AD215" s="287">
        <f t="shared" si="93"/>
        <v>36210063.554666661</v>
      </c>
      <c r="AE215" s="287">
        <f t="shared" si="94"/>
        <v>25347044.488266662</v>
      </c>
      <c r="AF215" s="287">
        <f t="shared" si="95"/>
        <v>651781143.98399985</v>
      </c>
      <c r="AG215" s="287">
        <f t="shared" si="96"/>
        <v>456246800.78879988</v>
      </c>
      <c r="AH215" s="287">
        <f t="shared" si="97"/>
        <v>63540.583103999998</v>
      </c>
      <c r="AI215" s="287">
        <f t="shared" si="98"/>
        <v>44478.408172799995</v>
      </c>
      <c r="AJ215" s="287">
        <f t="shared" si="99"/>
        <v>0</v>
      </c>
      <c r="AK215" s="287">
        <f t="shared" si="100"/>
        <v>0</v>
      </c>
      <c r="AL215" s="287">
        <f t="shared" si="101"/>
        <v>7.2534912219177423</v>
      </c>
      <c r="AM215" s="287">
        <f t="shared" si="102"/>
        <v>5.0774438553424188</v>
      </c>
      <c r="AN215" s="287">
        <f t="shared" si="103"/>
        <v>7.253491221917832</v>
      </c>
      <c r="AO215" s="287">
        <f t="shared" si="104"/>
        <v>5.0774438553424828</v>
      </c>
      <c r="AP215" s="287">
        <f t="shared" si="105"/>
        <v>18453812.640000001</v>
      </c>
      <c r="AQ215" s="287">
        <f t="shared" si="106"/>
        <v>12917668.847999999</v>
      </c>
      <c r="AR215" s="287">
        <f t="shared" si="107"/>
        <v>25093574.043383993</v>
      </c>
      <c r="AS215" s="289" t="e">
        <f>IF(J215='2027 Avoided Costs'!#REF!,3,5)</f>
        <v>#REF!</v>
      </c>
      <c r="AT215" s="290" cm="1">
        <f t="array" ref="AT215">IFERROR(IF($J215="Baseload",IF($O215=1,0,NPV('2027 Avoided Costs'!$D$6,_xlfn._xlws.FILTER('2027 Avoided Costs'!$C$14:$C$47,('2027 Avoided Costs'!$B$14:$B$47&gt;=$B215+1)*('2027 Avoided Costs'!$B$14:$B$47&lt;$B215+ROUND($O215,0)))))+_xlfn.XLOOKUP($B215,'2027 Avoided Costs'!$B$13:$B$47,'2027 Avoided Costs'!$C$13:$C$47),IF($O215=1,0,NPV('2027 Avoided Costs'!$D$6,_xlfn._xlws.FILTER('2027 Avoided Costs'!$E$14:$E$47,('2027 Avoided Costs'!$B$14:$B$47&gt;=$B215+1)*('2027 Avoided Costs'!$B$14:$B$47&lt;$B215+ROUND($O215,0)))))+_xlfn.XLOOKUP($B215,'2027 Avoided Costs'!$B$13:$B$47,'2027 Avoided Costs'!$E$13:$E$47))*IF($AE215&gt;0,$AE215*(1+$W215),0),0)</f>
        <v>107246602.93667187</v>
      </c>
      <c r="AU215" s="290" cm="1">
        <f t="array" ref="AU215">IFERROR((IF($O215=1,0,NPV('2027 Avoided Costs'!$D$6,_xlfn._xlws.FILTER('2027 Avoided Costs'!$M$14:$M$47,('2027 Avoided Costs'!$B$14:$B$47&gt;=$B215+1)*('2027 Avoided Costs'!$B$14:$B$47&lt;$B215+ROUND($O215,0)))))+_xlfn.XLOOKUP($B215,'2027 Avoided Costs'!$B$13:$B$47,'2027 Avoided Costs'!$M$13:$M$47))*IF($AK215&gt;0,$AK215*(1+$W215),0),0)</f>
        <v>0</v>
      </c>
      <c r="AV215" s="291" cm="1">
        <f t="array" ref="AV215">IFERROR((IF($O215=1,0,NPV('2027 Avoided Costs'!$D$6,_xlfn._xlws.FILTER('2027 Avoided Costs'!$Q$14:$Q$47,('2027 Avoided Costs'!$B$14:$B$47&gt;=$B215+1)*('2027 Avoided Costs'!$B$14:$B$47&lt;$B215+ROUND($O215,0)))))+_xlfn.XLOOKUP($B215,'2027 Avoided Costs'!$B$13:$B$47,'2027 Avoided Costs'!$Q$13:$Q$47))*IF($AI215&gt;0,$AI215*(1+$W215),0),0)</f>
        <v>33378.630625674268</v>
      </c>
      <c r="AW215" s="291" cm="1">
        <f t="array" ref="AW215">IFERROR((IF($O215=1,0,NPV('2027 Avoided Costs'!$D$6,_xlfn._xlws.FILTER('2027 Avoided Costs'!$W$14:$W$47,('2027 Avoided Costs'!$B$14:$B$47&gt;=$B215+1)*('2027 Avoided Costs'!$B$14:$B$47&lt;$B215+ROUND($O215,0)))))+_xlfn.XLOOKUP($B215,'2027 Avoided Costs'!$B$13:$B$47,'2027 Avoided Costs'!$W$13:$W$47))*IF($AM215&gt;0,$AM215*(1+$W215),0),0)</f>
        <v>22035.487702063416</v>
      </c>
      <c r="AX215" s="291" cm="1">
        <f t="array" ref="AX215">IFERROR((IF($O215=1,0,NPV('2027 Avoided Costs'!$D$6,_xlfn._xlws.FILTER('2027 Avoided Costs'!$AC$14:$AC$47,('2027 Avoided Costs'!$B$14:$B$47&gt;=$B215+1)*('2027 Avoided Costs'!$B$14:$B$47&lt;$B215+ROUND($O215,0)))))+_xlfn.XLOOKUP($B215,'2027 Avoided Costs'!$B$13:$B$47,'2027 Avoided Costs'!$AC$13:$AC$47))*IF($AO215&gt;0,$AO215*(1+$W215),0),0)</f>
        <v>3791.8693568394506</v>
      </c>
      <c r="AY215" s="291" cm="1">
        <f t="array" ref="AY215">IFERROR((IF($O215=1,0,NPV('2027 Avoided Costs'!$D$4,_xlfn._xlws.FILTER('2027 Avoided Costs'!$I$14:$I$47,('2027 Avoided Costs'!$B$14:$B$47&gt;=$B215+1)*('2027 Avoided Costs'!$B$14:$B$47&lt;$B215+ROUND($O215,0)))))+_xlfn.XLOOKUP($B215,'2027 Avoided Costs'!$B$13:$B$47,'2027 Avoided Costs'!$I$13:$I$47))*IF($X215="Residential",'2027 Avoided Costs'!$J$5,IF($X215="Large Volume",'2027 Avoided Costs'!$J$7,'2027 Avoided Costs'!$J$6))*IF($AE215&gt;0,$AE215,0),0)</f>
        <v>0</v>
      </c>
      <c r="AZ215" s="291" cm="1">
        <f t="array" ref="AZ215">IFERROR(IF($J215="Baseload",IF($O215=1,0,NPV('2027 Avoided Costs'!$D$6,_xlfn._xlws.FILTER('2027 Avoided Costs'!$C$14:$C$47,('2027 Avoided Costs'!$B$14:$B$47&gt;=$B215+1)*('2027 Avoided Costs'!$B$14:$B$47&lt;$B215+ROUND($O215,0)))))+_xlfn.XLOOKUP($B215,'2027 Avoided Costs'!$B$13:$B$47,'2027 Avoided Costs'!$C$13:$C$47),IF($O215=1,0,NPV('2027 Avoided Costs'!$D$6,_xlfn._xlws.FILTER('2027 Avoided Costs'!$E$14:$E$47,('2027 Avoided Costs'!$B$14:$B$47&gt;=$B215+1)*('2027 Avoided Costs'!$B$14:$B$47&lt;$B215+ROUND($O215,0)))))+_xlfn.XLOOKUP($B215,'2027 Avoided Costs'!$B$13:$B$47,'2027 Avoided Costs'!$E$13:$E$47))*IF($AE215&lt;0,$AE215*(-1),0),0)</f>
        <v>0</v>
      </c>
      <c r="BA215" s="291" cm="1">
        <f t="array" ref="BA215">IFERROR((IF($O215=1,0,NPV('2027 Avoided Costs'!$D$6,_xlfn._xlws.FILTER('2027 Avoided Costs'!$M$14:$M$47,('2027 Avoided Costs'!$B$14:$B$47&gt;=$B215+1)*('2027 Avoided Costs'!$B$14:$B$47&lt;$B215+ROUND($O215,0)))))+_xlfn.XLOOKUP($B215,'2027 Avoided Costs'!$B$13:$B$47,'2027 Avoided Costs'!$M$13:$M$47))*IF($AK215&lt;0,$AK215*(-1),0),0)</f>
        <v>0</v>
      </c>
      <c r="BB215" s="291" cm="1">
        <f t="array" ref="BB215">IFERROR((IF($O215=1,0,NPV('2027 Avoided Costs'!$D$6,_xlfn._xlws.FILTER('2027 Avoided Costs'!$S$14:$S$47,('2027 Avoided Costs'!$B$14:$B$47&gt;=$B215+1)*('2027 Avoided Costs'!$B$14:$B$47&lt;$B215+ROUND($O215,0)))))+_xlfn.XLOOKUP($B215,'2027 Avoided Costs'!$B$13:$B$47,'2027 Avoided Costs'!$S$13:$S$47))*IF($AI215&lt;0,$AI215*(-1),0),0)</f>
        <v>0</v>
      </c>
      <c r="BC215" s="291" cm="1">
        <f t="array" ref="BC215">IFERROR((IF($O215=1,0,NPV('2027 Avoided Costs'!$D$6,_xlfn._xlws.FILTER('2027 Avoided Costs'!$Y$14:$Y$47,('2027 Avoided Costs'!$B$14:$B$47&gt;=$B215+1)*('2027 Avoided Costs'!$B$14:$B$47&lt;$B215+ROUND($O215,0)))))+_xlfn.XLOOKUP($B215,'2027 Avoided Costs'!$B$13:$B$47,'2027 Avoided Costs'!$Y$13:$Y$47))*IF($AM215&lt;0,$AM215*(-1),0),0)</f>
        <v>0</v>
      </c>
      <c r="BD215" s="291" cm="1">
        <f t="array" ref="BD215">IFERROR((IF($O215=1,0,NPV('2027 Avoided Costs'!$D$6,_xlfn._xlws.FILTER('2027 Avoided Costs'!$AE$14:$AE$47,('2027 Avoided Costs'!$B$14:$B$47&gt;=$B215+1)*('2027 Avoided Costs'!$B$14:$B$47&lt;$B215+ROUND($O215,0)))))+_xlfn.XLOOKUP($B215,'2027 Avoided Costs'!$B$13:$B$47,'2027 Avoided Costs'!$AE$13:$AE$47))*IF($AO215&lt;0,$AO215*(-1),0),0)</f>
        <v>0</v>
      </c>
      <c r="BE215" s="291" cm="1">
        <f t="array" ref="BE215">IFERROR((IF($O215=1,0,NPV('2027 Avoided Costs'!$D$4,_xlfn._xlws.FILTER('2027 Avoided Costs'!$I$14:$I$47,('2027 Avoided Costs'!$B$14:$B$47&gt;=$B215+1)*('2027 Avoided Costs'!$B$14:$B$47&lt;$B215+ROUND($O215,0)))))+_xlfn.XLOOKUP($B215,'2027 Avoided Costs'!$B$13:$B$47,'2027 Avoided Costs'!$I$13:$I$47))*IF($X215="Residential",'2027 Avoided Costs'!$J$5,IF($X215="Large Volume",'2027 Avoided Costs'!$J$7,'2027 Avoided Costs'!$J$6))*IF($AE215&lt;0,$AE215*(-1),0),0)</f>
        <v>0</v>
      </c>
      <c r="BF215" s="291">
        <f t="shared" si="84"/>
        <v>107305808.92435645</v>
      </c>
      <c r="BG215" s="291">
        <f t="shared" si="85"/>
        <v>12917668.847999999</v>
      </c>
      <c r="BH215" s="291">
        <f t="shared" si="86"/>
        <v>94388140.076356441</v>
      </c>
      <c r="BI215" s="292">
        <f t="shared" si="110"/>
        <v>8.3069019795293997</v>
      </c>
      <c r="BJ215" s="196" cm="1">
        <f t="array" ref="BJ215">IFERROR(IF($J215="Baseload",IF($O215=1,0,NPV('2027 Avoided Costs'!$D$6,_xlfn._xlws.FILTER('2027 Avoided Costs'!$C$14:$C$47,('2027 Avoided Costs'!$B$14:$B$47&gt;=$B215+1)*('2027 Avoided Costs'!$B$14:$B$47&lt;$B215+ROUND($O215,0)))))+_xlfn.XLOOKUP($B215,'2027 Avoided Costs'!$B$13:$B$47,'2027 Avoided Costs'!$C$13:$C$47),IF($O215=1,0,NPV('2027 Avoided Costs'!$D$6,_xlfn._xlws.FILTER('2027 Avoided Costs'!$E$14:$E$47,('2027 Avoided Costs'!$B$14:$B$47&gt;=$B215+1)*('2027 Avoided Costs'!$B$14:$B$47&lt;$B215+ROUND($O215,0)))))+_xlfn.XLOOKUP($B215,'2027 Avoided Costs'!$B$13:$B$47,'2027 Avoided Costs'!$E$13:$E$47))*IF($AE215&gt;0,$AE215*(1+0),0),0)</f>
        <v>93257915.59710598</v>
      </c>
      <c r="BK215" s="293">
        <f t="shared" si="108"/>
        <v>10.596092056942505</v>
      </c>
    </row>
    <row r="216" spans="1:63" s="56" customFormat="1" x14ac:dyDescent="0.25">
      <c r="A216" s="270" t="s">
        <v>133</v>
      </c>
      <c r="B216" s="271">
        <v>2029</v>
      </c>
      <c r="C216" s="272" t="s">
        <v>14</v>
      </c>
      <c r="D216" s="272" t="s">
        <v>8</v>
      </c>
      <c r="E216" s="272" t="s">
        <v>104</v>
      </c>
      <c r="F216" s="273">
        <v>13</v>
      </c>
      <c r="G216" s="274">
        <v>57561.076286398013</v>
      </c>
      <c r="H216" s="275">
        <f t="shared" si="88"/>
        <v>0.204192787109373</v>
      </c>
      <c r="I216" s="274">
        <v>0</v>
      </c>
      <c r="J216" s="276" t="s">
        <v>264</v>
      </c>
      <c r="K216" s="277">
        <f t="shared" si="87"/>
        <v>0.7</v>
      </c>
      <c r="L216" s="294">
        <v>0.33</v>
      </c>
      <c r="M216" s="294">
        <v>0.03</v>
      </c>
      <c r="N216" s="294">
        <v>0.99119999999999997</v>
      </c>
      <c r="O216" s="279">
        <v>14</v>
      </c>
      <c r="P216" s="280">
        <v>281895.73736297665</v>
      </c>
      <c r="Q216" s="295">
        <v>834</v>
      </c>
      <c r="R216" s="296">
        <v>0.50823023899145403</v>
      </c>
      <c r="S216" s="296">
        <v>0.1501147227485764</v>
      </c>
      <c r="T216" s="295">
        <v>0</v>
      </c>
      <c r="U216" s="297">
        <v>0.93</v>
      </c>
      <c r="V216" s="284">
        <v>371736.95414173132</v>
      </c>
      <c r="W216" s="298">
        <v>0.15</v>
      </c>
      <c r="X216" s="299" t="s">
        <v>255</v>
      </c>
      <c r="Y216" s="300">
        <f t="shared" si="89"/>
        <v>13</v>
      </c>
      <c r="Z216" s="196">
        <f t="shared" si="90"/>
        <v>748293.99172317411</v>
      </c>
      <c r="AA216" s="196">
        <f t="shared" si="91"/>
        <v>0</v>
      </c>
      <c r="AB216" s="288">
        <f t="shared" si="92"/>
        <v>778525.06898879039</v>
      </c>
      <c r="AC216" s="288">
        <f t="shared" si="109"/>
        <v>0</v>
      </c>
      <c r="AD216" s="287">
        <f t="shared" si="93"/>
        <v>3632395.713364372</v>
      </c>
      <c r="AE216" s="287">
        <f t="shared" si="94"/>
        <v>2542676.99935506</v>
      </c>
      <c r="AF216" s="287">
        <f t="shared" si="95"/>
        <v>50853539.987101212</v>
      </c>
      <c r="AG216" s="287">
        <f t="shared" si="96"/>
        <v>35597477.990970843</v>
      </c>
      <c r="AH216" s="300">
        <f t="shared" si="97"/>
        <v>11520.3449088</v>
      </c>
      <c r="AI216" s="300">
        <f t="shared" si="98"/>
        <v>8064.2414361600004</v>
      </c>
      <c r="AJ216" s="300">
        <f t="shared" si="99"/>
        <v>0</v>
      </c>
      <c r="AK216" s="300">
        <f t="shared" si="100"/>
        <v>0</v>
      </c>
      <c r="AL216" s="300">
        <f t="shared" si="101"/>
        <v>7.0203688804117563</v>
      </c>
      <c r="AM216" s="300">
        <f t="shared" si="102"/>
        <v>4.9142582162882293</v>
      </c>
      <c r="AN216" s="300">
        <f t="shared" si="103"/>
        <v>2.0735891869933885</v>
      </c>
      <c r="AO216" s="300">
        <f t="shared" si="104"/>
        <v>1.4515124308953713</v>
      </c>
      <c r="AP216" s="300">
        <f t="shared" si="105"/>
        <v>4832580.4038425069</v>
      </c>
      <c r="AQ216" s="300">
        <f t="shared" si="106"/>
        <v>3382806.2826897549</v>
      </c>
      <c r="AR216" s="300">
        <f t="shared" si="107"/>
        <v>2364689.6094002058</v>
      </c>
      <c r="AS216" s="301" t="e">
        <f>IF(J216='2027 Avoided Costs'!#REF!,3,5)</f>
        <v>#REF!</v>
      </c>
      <c r="AT216" s="290" cm="1">
        <f t="array" ref="AT216">IFERROR(IF($J216="Baseload",IF($O216=1,0,NPV('2027 Avoided Costs'!$D$6,_xlfn._xlws.FILTER('2027 Avoided Costs'!$C$14:$C$47,('2027 Avoided Costs'!$B$14:$B$47&gt;=$B216+1)*('2027 Avoided Costs'!$B$14:$B$47&lt;$B216+ROUND($O216,0)))))+_xlfn.XLOOKUP($B216,'2027 Avoided Costs'!$B$13:$B$47,'2027 Avoided Costs'!$C$13:$C$47),IF($O216=1,0,NPV('2027 Avoided Costs'!$D$6,_xlfn._xlws.FILTER('2027 Avoided Costs'!$E$14:$E$47,('2027 Avoided Costs'!$B$14:$B$47&gt;=$B216+1)*('2027 Avoided Costs'!$B$14:$B$47&lt;$B216+ROUND($O216,0)))))+_xlfn.XLOOKUP($B216,'2027 Avoided Costs'!$B$13:$B$47,'2027 Avoided Costs'!$E$13:$E$47))*IF($AE216&gt;0,$AE216*(1+$W216),0),0)</f>
        <v>10225881.47773475</v>
      </c>
      <c r="AU216" s="290" cm="1">
        <f t="array" ref="AU216">IFERROR((IF($O216=1,0,NPV('2027 Avoided Costs'!$D$6,_xlfn._xlws.FILTER('2027 Avoided Costs'!$M$14:$M$47,('2027 Avoided Costs'!$B$14:$B$47&gt;=$B216+1)*('2027 Avoided Costs'!$B$14:$B$47&lt;$B216+ROUND($O216,0)))))+_xlfn.XLOOKUP($B216,'2027 Avoided Costs'!$B$13:$B$47,'2027 Avoided Costs'!$M$13:$M$47))*IF($AK216&gt;0,$AK216*(1+$W216),0),0)</f>
        <v>0</v>
      </c>
      <c r="AV216" s="291" cm="1">
        <f t="array" ref="AV216">IFERROR((IF($O216=1,0,NPV('2027 Avoided Costs'!$D$6,_xlfn._xlws.FILTER('2027 Avoided Costs'!$Q$14:$Q$47,('2027 Avoided Costs'!$B$14:$B$47&gt;=$B216+1)*('2027 Avoided Costs'!$B$14:$B$47&lt;$B216+ROUND($O216,0)))))+_xlfn.XLOOKUP($B216,'2027 Avoided Costs'!$B$13:$B$47,'2027 Avoided Costs'!$Q$13:$Q$47))*IF($AI216&gt;0,$AI216*(1+$W216),0),0)</f>
        <v>4948.5046412900219</v>
      </c>
      <c r="AW216" s="291" cm="1">
        <f t="array" ref="AW216">IFERROR((IF($O216=1,0,NPV('2027 Avoided Costs'!$D$6,_xlfn._xlws.FILTER('2027 Avoided Costs'!$W$14:$W$47,('2027 Avoided Costs'!$B$14:$B$47&gt;=$B216+1)*('2027 Avoided Costs'!$B$14:$B$47&lt;$B216+ROUND($O216,0)))))+_xlfn.XLOOKUP($B216,'2027 Avoided Costs'!$B$13:$B$47,'2027 Avoided Costs'!$W$13:$W$47))*IF($AM216&gt;0,$AM216*(1+$W216),0),0)</f>
        <v>19896.493037820681</v>
      </c>
      <c r="AX216" s="291" cm="1">
        <f t="array" ref="AX216">IFERROR((IF($O216=1,0,NPV('2027 Avoided Costs'!$D$6,_xlfn._xlws.FILTER('2027 Avoided Costs'!$AC$14:$AC$47,('2027 Avoided Costs'!$B$14:$B$47&gt;=$B216+1)*('2027 Avoided Costs'!$B$14:$B$47&lt;$B216+ROUND($O216,0)))))+_xlfn.XLOOKUP($B216,'2027 Avoided Costs'!$B$13:$B$47,'2027 Avoided Costs'!$AC$13:$AC$47))*IF($AO216&gt;0,$AO216*(1+$W216),0),0)</f>
        <v>398.82644791842876</v>
      </c>
      <c r="AY216" s="291" cm="1">
        <f t="array" ref="AY216">IFERROR((IF($O216=1,0,NPV('2027 Avoided Costs'!$D$4,_xlfn._xlws.FILTER('2027 Avoided Costs'!$I$14:$I$47,('2027 Avoided Costs'!$B$14:$B$47&gt;=$B216+1)*('2027 Avoided Costs'!$B$14:$B$47&lt;$B216+ROUND($O216,0)))))+_xlfn.XLOOKUP($B216,'2027 Avoided Costs'!$B$13:$B$47,'2027 Avoided Costs'!$I$13:$I$47))*IF($X216="Residential",'2027 Avoided Costs'!$J$5,IF($X216="Large Volume",'2027 Avoided Costs'!$J$7,'2027 Avoided Costs'!$J$6))*IF($AE216&gt;0,$AE216,0),0)</f>
        <v>0</v>
      </c>
      <c r="AZ216" s="291" cm="1">
        <f t="array" ref="AZ216">IFERROR(IF($J216="Baseload",IF($O216=1,0,NPV('2027 Avoided Costs'!$D$6,_xlfn._xlws.FILTER('2027 Avoided Costs'!$C$14:$C$47,('2027 Avoided Costs'!$B$14:$B$47&gt;=$B216+1)*('2027 Avoided Costs'!$B$14:$B$47&lt;$B216+ROUND($O216,0)))))+_xlfn.XLOOKUP($B216,'2027 Avoided Costs'!$B$13:$B$47,'2027 Avoided Costs'!$C$13:$C$47),IF($O216=1,0,NPV('2027 Avoided Costs'!$D$6,_xlfn._xlws.FILTER('2027 Avoided Costs'!$E$14:$E$47,('2027 Avoided Costs'!$B$14:$B$47&gt;=$B216+1)*('2027 Avoided Costs'!$B$14:$B$47&lt;$B216+ROUND($O216,0)))))+_xlfn.XLOOKUP($B216,'2027 Avoided Costs'!$B$13:$B$47,'2027 Avoided Costs'!$E$13:$E$47))*IF($AE216&lt;0,$AE216*(-1),0),0)</f>
        <v>0</v>
      </c>
      <c r="BA216" s="291" cm="1">
        <f t="array" ref="BA216">IFERROR((IF($O216=1,0,NPV('2027 Avoided Costs'!$D$6,_xlfn._xlws.FILTER('2027 Avoided Costs'!$M$14:$M$47,('2027 Avoided Costs'!$B$14:$B$47&gt;=$B216+1)*('2027 Avoided Costs'!$B$14:$B$47&lt;$B216+ROUND($O216,0)))))+_xlfn.XLOOKUP($B216,'2027 Avoided Costs'!$B$13:$B$47,'2027 Avoided Costs'!$M$13:$M$47))*IF($AK216&lt;0,$AK216*(-1),0),0)</f>
        <v>0</v>
      </c>
      <c r="BB216" s="291" cm="1">
        <f t="array" ref="BB216">IFERROR((IF($O216=1,0,NPV('2027 Avoided Costs'!$D$6,_xlfn._xlws.FILTER('2027 Avoided Costs'!$S$14:$S$47,('2027 Avoided Costs'!$B$14:$B$47&gt;=$B216+1)*('2027 Avoided Costs'!$B$14:$B$47&lt;$B216+ROUND($O216,0)))))+_xlfn.XLOOKUP($B216,'2027 Avoided Costs'!$B$13:$B$47,'2027 Avoided Costs'!$S$13:$S$47))*IF($AI216&lt;0,$AI216*(-1),0),0)</f>
        <v>0</v>
      </c>
      <c r="BC216" s="291" cm="1">
        <f t="array" ref="BC216">IFERROR((IF($O216=1,0,NPV('2027 Avoided Costs'!$D$6,_xlfn._xlws.FILTER('2027 Avoided Costs'!$Y$14:$Y$47,('2027 Avoided Costs'!$B$14:$B$47&gt;=$B216+1)*('2027 Avoided Costs'!$B$14:$B$47&lt;$B216+ROUND($O216,0)))))+_xlfn.XLOOKUP($B216,'2027 Avoided Costs'!$B$13:$B$47,'2027 Avoided Costs'!$Y$13:$Y$47))*IF($AM216&lt;0,$AM216*(-1),0),0)</f>
        <v>0</v>
      </c>
      <c r="BD216" s="291" cm="1">
        <f t="array" ref="BD216">IFERROR((IF($O216=1,0,NPV('2027 Avoided Costs'!$D$6,_xlfn._xlws.FILTER('2027 Avoided Costs'!$AE$14:$AE$47,('2027 Avoided Costs'!$B$14:$B$47&gt;=$B216+1)*('2027 Avoided Costs'!$B$14:$B$47&lt;$B216+ROUND($O216,0)))))+_xlfn.XLOOKUP($B216,'2027 Avoided Costs'!$B$13:$B$47,'2027 Avoided Costs'!$AE$13:$AE$47))*IF($AO216&lt;0,$AO216*(-1),0),0)</f>
        <v>0</v>
      </c>
      <c r="BE216" s="291" cm="1">
        <f t="array" ref="BE216">IFERROR((IF($O216=1,0,NPV('2027 Avoided Costs'!$D$4,_xlfn._xlws.FILTER('2027 Avoided Costs'!$I$14:$I$47,('2027 Avoided Costs'!$B$14:$B$47&gt;=$B216+1)*('2027 Avoided Costs'!$B$14:$B$47&lt;$B216+ROUND($O216,0)))))+_xlfn.XLOOKUP($B216,'2027 Avoided Costs'!$B$13:$B$47,'2027 Avoided Costs'!$I$13:$I$47))*IF($X216="Residential",'2027 Avoided Costs'!$J$5,IF($X216="Large Volume",'2027 Avoided Costs'!$J$7,'2027 Avoided Costs'!$J$6))*IF($AE216&lt;0,$AE216*(-1),0),0)</f>
        <v>0</v>
      </c>
      <c r="BF216" s="291">
        <f t="shared" si="84"/>
        <v>10251125.30186178</v>
      </c>
      <c r="BG216" s="291">
        <f t="shared" si="85"/>
        <v>3382806.2826897549</v>
      </c>
      <c r="BH216" s="291">
        <f t="shared" si="86"/>
        <v>6868319.0191720249</v>
      </c>
      <c r="BI216" s="292">
        <f t="shared" si="110"/>
        <v>3.0303613169687185</v>
      </c>
      <c r="BJ216" s="196" cm="1">
        <f t="array" ref="BJ216">IFERROR(IF($J216="Baseload",IF($O216=1,0,NPV('2027 Avoided Costs'!$D$6,_xlfn._xlws.FILTER('2027 Avoided Costs'!$C$14:$C$47,('2027 Avoided Costs'!$B$14:$B$47&gt;=$B216+1)*('2027 Avoided Costs'!$B$14:$B$47&lt;$B216+ROUND($O216,0)))))+_xlfn.XLOOKUP($B216,'2027 Avoided Costs'!$B$13:$B$47,'2027 Avoided Costs'!$C$13:$C$47),IF($O216=1,0,NPV('2027 Avoided Costs'!$D$6,_xlfn._xlws.FILTER('2027 Avoided Costs'!$E$14:$E$47,('2027 Avoided Costs'!$B$14:$B$47&gt;=$B216+1)*('2027 Avoided Costs'!$B$14:$B$47&lt;$B216+ROUND($O216,0)))))+_xlfn.XLOOKUP($B216,'2027 Avoided Costs'!$B$13:$B$47,'2027 Avoided Costs'!$E$13:$E$47))*IF($AE216&gt;0,$AE216*(1+0),0),0)</f>
        <v>8892070.8502041306</v>
      </c>
      <c r="BK216" s="293">
        <f t="shared" si="108"/>
        <v>11.421688529251668</v>
      </c>
    </row>
    <row r="217" spans="1:63" s="56" customFormat="1" x14ac:dyDescent="0.25">
      <c r="A217" s="270" t="s">
        <v>133</v>
      </c>
      <c r="B217" s="271">
        <v>2029</v>
      </c>
      <c r="C217" s="272" t="s">
        <v>14</v>
      </c>
      <c r="D217" s="272" t="s">
        <v>8</v>
      </c>
      <c r="E217" s="272" t="s">
        <v>357</v>
      </c>
      <c r="F217" s="273">
        <v>114</v>
      </c>
      <c r="G217" s="274">
        <v>57561.076286398013</v>
      </c>
      <c r="H217" s="275">
        <f t="shared" si="88"/>
        <v>0.204192787109373</v>
      </c>
      <c r="I217" s="274">
        <v>0</v>
      </c>
      <c r="J217" s="276" t="s">
        <v>263</v>
      </c>
      <c r="K217" s="277">
        <f t="shared" si="87"/>
        <v>0.7</v>
      </c>
      <c r="L217" s="278">
        <v>0.33</v>
      </c>
      <c r="M217" s="278">
        <v>0.03</v>
      </c>
      <c r="N217" s="278">
        <v>0.99119999999999997</v>
      </c>
      <c r="O217" s="279">
        <v>14</v>
      </c>
      <c r="P217" s="280">
        <v>281895.73736297665</v>
      </c>
      <c r="Q217" s="281">
        <v>834</v>
      </c>
      <c r="R217" s="282">
        <v>9.5205479452053918E-2</v>
      </c>
      <c r="S217" s="282">
        <v>9.5205479452055097E-2</v>
      </c>
      <c r="T217" s="281">
        <v>0</v>
      </c>
      <c r="U217" s="283">
        <v>0.93</v>
      </c>
      <c r="V217" s="284">
        <v>371736.95414173132</v>
      </c>
      <c r="W217" s="285">
        <v>0.15</v>
      </c>
      <c r="X217" s="286" t="s">
        <v>255</v>
      </c>
      <c r="Y217" s="287">
        <f t="shared" si="89"/>
        <v>114</v>
      </c>
      <c r="Z217" s="288">
        <f t="shared" si="90"/>
        <v>6561962.6966493735</v>
      </c>
      <c r="AA217" s="288">
        <f t="shared" si="91"/>
        <v>0</v>
      </c>
      <c r="AB217" s="288">
        <f t="shared" si="92"/>
        <v>6827065.9895940078</v>
      </c>
      <c r="AC217" s="288">
        <f t="shared" si="109"/>
        <v>0</v>
      </c>
      <c r="AD217" s="287">
        <f t="shared" si="93"/>
        <v>31853316.255656801</v>
      </c>
      <c r="AE217" s="287">
        <f t="shared" si="94"/>
        <v>22297321.37895976</v>
      </c>
      <c r="AF217" s="287">
        <f t="shared" si="95"/>
        <v>445946427.5791952</v>
      </c>
      <c r="AG217" s="287">
        <f t="shared" si="96"/>
        <v>312162499.30543661</v>
      </c>
      <c r="AH217" s="287">
        <f t="shared" si="97"/>
        <v>101024.56304640001</v>
      </c>
      <c r="AI217" s="287">
        <f t="shared" si="98"/>
        <v>70717.194132479999</v>
      </c>
      <c r="AJ217" s="287">
        <f t="shared" si="99"/>
        <v>0</v>
      </c>
      <c r="AK217" s="287">
        <f t="shared" si="100"/>
        <v>0</v>
      </c>
      <c r="AL217" s="287">
        <f t="shared" si="101"/>
        <v>11.532484366027292</v>
      </c>
      <c r="AM217" s="287">
        <f t="shared" si="102"/>
        <v>8.0727390562191026</v>
      </c>
      <c r="AN217" s="287">
        <f t="shared" si="103"/>
        <v>11.532484366027434</v>
      </c>
      <c r="AO217" s="287">
        <f t="shared" si="104"/>
        <v>8.0727390562192021</v>
      </c>
      <c r="AP217" s="287">
        <f t="shared" si="105"/>
        <v>42378012.772157371</v>
      </c>
      <c r="AQ217" s="287">
        <f t="shared" si="106"/>
        <v>29664608.940510157</v>
      </c>
      <c r="AR217" s="287">
        <f t="shared" si="107"/>
        <v>20736508.882432576</v>
      </c>
      <c r="AS217" s="289" t="e">
        <f>IF(J217='2027 Avoided Costs'!#REF!,3,5)</f>
        <v>#REF!</v>
      </c>
      <c r="AT217" s="290" cm="1">
        <f t="array" ref="AT217">IFERROR(IF($J217="Baseload",IF($O217=1,0,NPV('2027 Avoided Costs'!$D$6,_xlfn._xlws.FILTER('2027 Avoided Costs'!$C$14:$C$47,('2027 Avoided Costs'!$B$14:$B$47&gt;=$B217+1)*('2027 Avoided Costs'!$B$14:$B$47&lt;$B217+ROUND($O217,0)))))+_xlfn.XLOOKUP($B217,'2027 Avoided Costs'!$B$13:$B$47,'2027 Avoided Costs'!$C$13:$C$47),IF($O217=1,0,NPV('2027 Avoided Costs'!$D$6,_xlfn._xlws.FILTER('2027 Avoided Costs'!$E$14:$E$47,('2027 Avoided Costs'!$B$14:$B$47&gt;=$B217+1)*('2027 Avoided Costs'!$B$14:$B$47&lt;$B217+ROUND($O217,0)))))+_xlfn.XLOOKUP($B217,'2027 Avoided Costs'!$B$13:$B$47,'2027 Avoided Costs'!$E$13:$E$47))*IF($AE217&gt;0,$AE217*(1+$W217),0),0)</f>
        <v>80057954.660338715</v>
      </c>
      <c r="AU217" s="290" cm="1">
        <f t="array" ref="AU217">IFERROR((IF($O217=1,0,NPV('2027 Avoided Costs'!$D$6,_xlfn._xlws.FILTER('2027 Avoided Costs'!$M$14:$M$47,('2027 Avoided Costs'!$B$14:$B$47&gt;=$B217+1)*('2027 Avoided Costs'!$B$14:$B$47&lt;$B217+ROUND($O217,0)))))+_xlfn.XLOOKUP($B217,'2027 Avoided Costs'!$B$13:$B$47,'2027 Avoided Costs'!$M$13:$M$47))*IF($AK217&gt;0,$AK217*(1+$W217),0),0)</f>
        <v>0</v>
      </c>
      <c r="AV217" s="291" cm="1">
        <f t="array" ref="AV217">IFERROR((IF($O217=1,0,NPV('2027 Avoided Costs'!$D$6,_xlfn._xlws.FILTER('2027 Avoided Costs'!$Q$14:$Q$47,('2027 Avoided Costs'!$B$14:$B$47&gt;=$B217+1)*('2027 Avoided Costs'!$B$14:$B$47&lt;$B217+ROUND($O217,0)))))+_xlfn.XLOOKUP($B217,'2027 Avoided Costs'!$B$13:$B$47,'2027 Avoided Costs'!$Q$13:$Q$47))*IF($AI217&gt;0,$AI217*(1+$W217),0),0)</f>
        <v>43394.579162081725</v>
      </c>
      <c r="AW217" s="291" cm="1">
        <f t="array" ref="AW217">IFERROR((IF($O217=1,0,NPV('2027 Avoided Costs'!$D$6,_xlfn._xlws.FILTER('2027 Avoided Costs'!$W$14:$W$47,('2027 Avoided Costs'!$B$14:$B$47&gt;=$B217+1)*('2027 Avoided Costs'!$B$14:$B$47&lt;$B217+ROUND($O217,0)))))+_xlfn.XLOOKUP($B217,'2027 Avoided Costs'!$B$13:$B$47,'2027 Avoided Costs'!$W$13:$W$47))*IF($AM217&gt;0,$AM217*(1+$W217),0),0)</f>
        <v>32684.32169393068</v>
      </c>
      <c r="AX217" s="291" cm="1">
        <f t="array" ref="AX217">IFERROR((IF($O217=1,0,NPV('2027 Avoided Costs'!$D$6,_xlfn._xlws.FILTER('2027 Avoided Costs'!$AC$14:$AC$47,('2027 Avoided Costs'!$B$14:$B$47&gt;=$B217+1)*('2027 Avoided Costs'!$B$14:$B$47&lt;$B217+ROUND($O217,0)))))+_xlfn.XLOOKUP($B217,'2027 Avoided Costs'!$B$13:$B$47,'2027 Avoided Costs'!$AC$13:$AC$47))*IF($AO217&gt;0,$AO217*(1+$W217),0),0)</f>
        <v>2218.1152391359378</v>
      </c>
      <c r="AY217" s="291" cm="1">
        <f t="array" ref="AY217">IFERROR((IF($O217=1,0,NPV('2027 Avoided Costs'!$D$4,_xlfn._xlws.FILTER('2027 Avoided Costs'!$I$14:$I$47,('2027 Avoided Costs'!$B$14:$B$47&gt;=$B217+1)*('2027 Avoided Costs'!$B$14:$B$47&lt;$B217+ROUND($O217,0)))))+_xlfn.XLOOKUP($B217,'2027 Avoided Costs'!$B$13:$B$47,'2027 Avoided Costs'!$I$13:$I$47))*IF($X217="Residential",'2027 Avoided Costs'!$J$5,IF($X217="Large Volume",'2027 Avoided Costs'!$J$7,'2027 Avoided Costs'!$J$6))*IF($AE217&gt;0,$AE217,0),0)</f>
        <v>0</v>
      </c>
      <c r="AZ217" s="291" cm="1">
        <f t="array" ref="AZ217">IFERROR(IF($J217="Baseload",IF($O217=1,0,NPV('2027 Avoided Costs'!$D$6,_xlfn._xlws.FILTER('2027 Avoided Costs'!$C$14:$C$47,('2027 Avoided Costs'!$B$14:$B$47&gt;=$B217+1)*('2027 Avoided Costs'!$B$14:$B$47&lt;$B217+ROUND($O217,0)))))+_xlfn.XLOOKUP($B217,'2027 Avoided Costs'!$B$13:$B$47,'2027 Avoided Costs'!$C$13:$C$47),IF($O217=1,0,NPV('2027 Avoided Costs'!$D$6,_xlfn._xlws.FILTER('2027 Avoided Costs'!$E$14:$E$47,('2027 Avoided Costs'!$B$14:$B$47&gt;=$B217+1)*('2027 Avoided Costs'!$B$14:$B$47&lt;$B217+ROUND($O217,0)))))+_xlfn.XLOOKUP($B217,'2027 Avoided Costs'!$B$13:$B$47,'2027 Avoided Costs'!$E$13:$E$47))*IF($AE217&lt;0,$AE217*(-1),0),0)</f>
        <v>0</v>
      </c>
      <c r="BA217" s="291" cm="1">
        <f t="array" ref="BA217">IFERROR((IF($O217=1,0,NPV('2027 Avoided Costs'!$D$6,_xlfn._xlws.FILTER('2027 Avoided Costs'!$M$14:$M$47,('2027 Avoided Costs'!$B$14:$B$47&gt;=$B217+1)*('2027 Avoided Costs'!$B$14:$B$47&lt;$B217+ROUND($O217,0)))))+_xlfn.XLOOKUP($B217,'2027 Avoided Costs'!$B$13:$B$47,'2027 Avoided Costs'!$M$13:$M$47))*IF($AK217&lt;0,$AK217*(-1),0),0)</f>
        <v>0</v>
      </c>
      <c r="BB217" s="291" cm="1">
        <f t="array" ref="BB217">IFERROR((IF($O217=1,0,NPV('2027 Avoided Costs'!$D$6,_xlfn._xlws.FILTER('2027 Avoided Costs'!$S$14:$S$47,('2027 Avoided Costs'!$B$14:$B$47&gt;=$B217+1)*('2027 Avoided Costs'!$B$14:$B$47&lt;$B217+ROUND($O217,0)))))+_xlfn.XLOOKUP($B217,'2027 Avoided Costs'!$B$13:$B$47,'2027 Avoided Costs'!$S$13:$S$47))*IF($AI217&lt;0,$AI217*(-1),0),0)</f>
        <v>0</v>
      </c>
      <c r="BC217" s="291" cm="1">
        <f t="array" ref="BC217">IFERROR((IF($O217=1,0,NPV('2027 Avoided Costs'!$D$6,_xlfn._xlws.FILTER('2027 Avoided Costs'!$Y$14:$Y$47,('2027 Avoided Costs'!$B$14:$B$47&gt;=$B217+1)*('2027 Avoided Costs'!$B$14:$B$47&lt;$B217+ROUND($O217,0)))))+_xlfn.XLOOKUP($B217,'2027 Avoided Costs'!$B$13:$B$47,'2027 Avoided Costs'!$Y$13:$Y$47))*IF($AM217&lt;0,$AM217*(-1),0),0)</f>
        <v>0</v>
      </c>
      <c r="BD217" s="291" cm="1">
        <f t="array" ref="BD217">IFERROR((IF($O217=1,0,NPV('2027 Avoided Costs'!$D$6,_xlfn._xlws.FILTER('2027 Avoided Costs'!$AE$14:$AE$47,('2027 Avoided Costs'!$B$14:$B$47&gt;=$B217+1)*('2027 Avoided Costs'!$B$14:$B$47&lt;$B217+ROUND($O217,0)))))+_xlfn.XLOOKUP($B217,'2027 Avoided Costs'!$B$13:$B$47,'2027 Avoided Costs'!$AE$13:$AE$47))*IF($AO217&lt;0,$AO217*(-1),0),0)</f>
        <v>0</v>
      </c>
      <c r="BE217" s="291" cm="1">
        <f t="array" ref="BE217">IFERROR((IF($O217=1,0,NPV('2027 Avoided Costs'!$D$4,_xlfn._xlws.FILTER('2027 Avoided Costs'!$I$14:$I$47,('2027 Avoided Costs'!$B$14:$B$47&gt;=$B217+1)*('2027 Avoided Costs'!$B$14:$B$47&lt;$B217+ROUND($O217,0)))))+_xlfn.XLOOKUP($B217,'2027 Avoided Costs'!$B$13:$B$47,'2027 Avoided Costs'!$I$13:$I$47))*IF($X217="Residential",'2027 Avoided Costs'!$J$5,IF($X217="Large Volume",'2027 Avoided Costs'!$J$7,'2027 Avoided Costs'!$J$6))*IF($AE217&lt;0,$AE217*(-1),0),0)</f>
        <v>0</v>
      </c>
      <c r="BF217" s="291">
        <f t="shared" si="84"/>
        <v>80136251.676433861</v>
      </c>
      <c r="BG217" s="291">
        <f t="shared" si="85"/>
        <v>29664608.940510157</v>
      </c>
      <c r="BH217" s="291">
        <f t="shared" si="86"/>
        <v>50471642.735923707</v>
      </c>
      <c r="BI217" s="292">
        <f t="shared" si="110"/>
        <v>2.7014093405761823</v>
      </c>
      <c r="BJ217" s="196" cm="1">
        <f t="array" ref="BJ217">IFERROR(IF($J217="Baseload",IF($O217=1,0,NPV('2027 Avoided Costs'!$D$6,_xlfn._xlws.FILTER('2027 Avoided Costs'!$C$14:$C$47,('2027 Avoided Costs'!$B$14:$B$47&gt;=$B217+1)*('2027 Avoided Costs'!$B$14:$B$47&lt;$B217+ROUND($O217,0)))))+_xlfn.XLOOKUP($B217,'2027 Avoided Costs'!$B$13:$B$47,'2027 Avoided Costs'!$C$13:$C$47),IF($O217=1,0,NPV('2027 Avoided Costs'!$D$6,_xlfn._xlws.FILTER('2027 Avoided Costs'!$E$14:$E$47,('2027 Avoided Costs'!$B$14:$B$47&gt;=$B217+1)*('2027 Avoided Costs'!$B$14:$B$47&lt;$B217+ROUND($O217,0)))))+_xlfn.XLOOKUP($B217,'2027 Avoided Costs'!$B$13:$B$47,'2027 Avoided Costs'!$E$13:$E$47))*IF($AE217&gt;0,$AE217*(1+0),0),0)</f>
        <v>69615612.748120636</v>
      </c>
      <c r="BK217" s="293">
        <f t="shared" si="108"/>
        <v>10.197003054347295</v>
      </c>
    </row>
    <row r="218" spans="1:63" s="56" customFormat="1" x14ac:dyDescent="0.25">
      <c r="A218" s="270" t="s">
        <v>133</v>
      </c>
      <c r="B218" s="271">
        <v>2029</v>
      </c>
      <c r="C218" s="272" t="s">
        <v>14</v>
      </c>
      <c r="D218" s="272" t="s">
        <v>8</v>
      </c>
      <c r="E218" s="272" t="s">
        <v>105</v>
      </c>
      <c r="F218" s="273">
        <v>48</v>
      </c>
      <c r="G218" s="274">
        <v>62526.011111111104</v>
      </c>
      <c r="H218" s="275">
        <f t="shared" si="88"/>
        <v>0.23</v>
      </c>
      <c r="I218" s="274">
        <v>0</v>
      </c>
      <c r="J218" s="276" t="s">
        <v>264</v>
      </c>
      <c r="K218" s="277">
        <f t="shared" si="87"/>
        <v>0.7</v>
      </c>
      <c r="L218" s="278">
        <v>0.33</v>
      </c>
      <c r="M218" s="278">
        <v>0.03</v>
      </c>
      <c r="N218" s="278">
        <v>0.96519999999999995</v>
      </c>
      <c r="O218" s="279">
        <v>18</v>
      </c>
      <c r="P218" s="280">
        <v>271852.22222222219</v>
      </c>
      <c r="Q218" s="281">
        <v>445</v>
      </c>
      <c r="R218" s="282">
        <v>0.2711780052172626</v>
      </c>
      <c r="S218" s="282">
        <v>8.0097184200379493E-2</v>
      </c>
      <c r="T218" s="281">
        <v>78.585790000000003</v>
      </c>
      <c r="U218" s="283">
        <v>0.99</v>
      </c>
      <c r="V218" s="284">
        <v>133723.28</v>
      </c>
      <c r="W218" s="285">
        <v>0.15</v>
      </c>
      <c r="X218" s="286" t="s">
        <v>255</v>
      </c>
      <c r="Y218" s="287">
        <f t="shared" si="89"/>
        <v>48</v>
      </c>
      <c r="Z218" s="288">
        <f t="shared" si="90"/>
        <v>3001248.5333333332</v>
      </c>
      <c r="AA218" s="288">
        <f t="shared" si="91"/>
        <v>0</v>
      </c>
      <c r="AB218" s="288">
        <f t="shared" si="92"/>
        <v>3122498.9740800001</v>
      </c>
      <c r="AC218" s="288">
        <f t="shared" si="109"/>
        <v>0</v>
      </c>
      <c r="AD218" s="287">
        <f t="shared" si="93"/>
        <v>12594804.714666663</v>
      </c>
      <c r="AE218" s="287">
        <f t="shared" si="94"/>
        <v>8816363.3002666626</v>
      </c>
      <c r="AF218" s="287">
        <f t="shared" si="95"/>
        <v>226706484.86399993</v>
      </c>
      <c r="AG218" s="287">
        <f t="shared" si="96"/>
        <v>158694539.40479994</v>
      </c>
      <c r="AH218" s="287">
        <f t="shared" si="97"/>
        <v>22101.072383999999</v>
      </c>
      <c r="AI218" s="287">
        <f t="shared" si="98"/>
        <v>15470.750668799999</v>
      </c>
      <c r="AJ218" s="287">
        <f t="shared" si="99"/>
        <v>3640.8482163839999</v>
      </c>
      <c r="AK218" s="287">
        <f t="shared" si="100"/>
        <v>2548.5937514687998</v>
      </c>
      <c r="AL218" s="287">
        <f t="shared" si="101"/>
        <v>13.468145443270673</v>
      </c>
      <c r="AM218" s="287">
        <f t="shared" si="102"/>
        <v>9.4277018102894719</v>
      </c>
      <c r="AN218" s="287">
        <f t="shared" si="103"/>
        <v>3.9780531814992544</v>
      </c>
      <c r="AO218" s="287">
        <f t="shared" si="104"/>
        <v>2.7846372270494784</v>
      </c>
      <c r="AP218" s="287">
        <f t="shared" si="105"/>
        <v>6418717.4399999995</v>
      </c>
      <c r="AQ218" s="287">
        <f t="shared" si="106"/>
        <v>4493102.2079999996</v>
      </c>
      <c r="AR218" s="287">
        <f t="shared" si="107"/>
        <v>8728199.6672639959</v>
      </c>
      <c r="AS218" s="289" t="e">
        <f>IF(J218='2027 Avoided Costs'!#REF!,3,5)</f>
        <v>#REF!</v>
      </c>
      <c r="AT218" s="290" cm="1">
        <f t="array" ref="AT218">IFERROR(IF($J218="Baseload",IF($O218=1,0,NPV('2027 Avoided Costs'!$D$6,_xlfn._xlws.FILTER('2027 Avoided Costs'!$C$14:$C$47,('2027 Avoided Costs'!$B$14:$B$47&gt;=$B218+1)*('2027 Avoided Costs'!$B$14:$B$47&lt;$B218+ROUND($O218,0)))))+_xlfn.XLOOKUP($B218,'2027 Avoided Costs'!$B$13:$B$47,'2027 Avoided Costs'!$C$13:$C$47),IF($O218=1,0,NPV('2027 Avoided Costs'!$D$6,_xlfn._xlws.FILTER('2027 Avoided Costs'!$E$14:$E$47,('2027 Avoided Costs'!$B$14:$B$47&gt;=$B218+1)*('2027 Avoided Costs'!$B$14:$B$47&lt;$B218+ROUND($O218,0)))))+_xlfn.XLOOKUP($B218,'2027 Avoided Costs'!$B$13:$B$47,'2027 Avoided Costs'!$E$13:$E$47))*IF($AE218&gt;0,$AE218*(1+$W218),0),0)</f>
        <v>43300296.629391007</v>
      </c>
      <c r="AU218" s="290" cm="1">
        <f t="array" ref="AU218">IFERROR((IF($O218=1,0,NPV('2027 Avoided Costs'!$D$6,_xlfn._xlws.FILTER('2027 Avoided Costs'!$M$14:$M$47,('2027 Avoided Costs'!$B$14:$B$47&gt;=$B218+1)*('2027 Avoided Costs'!$B$14:$B$47&lt;$B218+ROUND($O218,0)))))+_xlfn.XLOOKUP($B218,'2027 Avoided Costs'!$B$13:$B$47,'2027 Avoided Costs'!$M$13:$M$47))*IF($AK218&gt;0,$AK218*(1+$W218),0),0)</f>
        <v>43282.384884035986</v>
      </c>
      <c r="AV218" s="291" cm="1">
        <f t="array" ref="AV218">IFERROR((IF($O218=1,0,NPV('2027 Avoided Costs'!$D$6,_xlfn._xlws.FILTER('2027 Avoided Costs'!$Q$14:$Q$47,('2027 Avoided Costs'!$B$14:$B$47&gt;=$B218+1)*('2027 Avoided Costs'!$B$14:$B$47&lt;$B218+ROUND($O218,0)))))+_xlfn.XLOOKUP($B218,'2027 Avoided Costs'!$B$13:$B$47,'2027 Avoided Costs'!$Q$13:$Q$47))*IF($AI218&gt;0,$AI218*(1+$W218),0),0)</f>
        <v>11444.024595683399</v>
      </c>
      <c r="AW218" s="291" cm="1">
        <f t="array" ref="AW218">IFERROR((IF($O218=1,0,NPV('2027 Avoided Costs'!$D$6,_xlfn._xlws.FILTER('2027 Avoided Costs'!$W$14:$W$47,('2027 Avoided Costs'!$B$14:$B$47&gt;=$B218+1)*('2027 Avoided Costs'!$B$14:$B$47&lt;$B218+ROUND($O218,0)))))+_xlfn.XLOOKUP($B218,'2027 Avoided Costs'!$B$13:$B$47,'2027 Avoided Costs'!$W$13:$W$47))*IF($AM218&gt;0,$AM218*(1+$W218),0),0)</f>
        <v>43045.656836619819</v>
      </c>
      <c r="AX218" s="291" cm="1">
        <f t="array" ref="AX218">IFERROR((IF($O218=1,0,NPV('2027 Avoided Costs'!$D$6,_xlfn._xlws.FILTER('2027 Avoided Costs'!$AC$14:$AC$47,('2027 Avoided Costs'!$B$14:$B$47&gt;=$B218+1)*('2027 Avoided Costs'!$B$14:$B$47&lt;$B218+ROUND($O218,0)))))+_xlfn.XLOOKUP($B218,'2027 Avoided Costs'!$B$13:$B$47,'2027 Avoided Costs'!$AC$13:$AC$47))*IF($AO218&gt;0,$AO218*(1+$W218),0),0)</f>
        <v>2206.024706330209</v>
      </c>
      <c r="AY218" s="291" cm="1">
        <f t="array" ref="AY218">IFERROR((IF($O218=1,0,NPV('2027 Avoided Costs'!$D$4,_xlfn._xlws.FILTER('2027 Avoided Costs'!$I$14:$I$47,('2027 Avoided Costs'!$B$14:$B$47&gt;=$B218+1)*('2027 Avoided Costs'!$B$14:$B$47&lt;$B218+ROUND($O218,0)))))+_xlfn.XLOOKUP($B218,'2027 Avoided Costs'!$B$13:$B$47,'2027 Avoided Costs'!$I$13:$I$47))*IF($X218="Residential",'2027 Avoided Costs'!$J$5,IF($X218="Large Volume",'2027 Avoided Costs'!$J$7,'2027 Avoided Costs'!$J$6))*IF($AE218&gt;0,$AE218,0),0)</f>
        <v>0</v>
      </c>
      <c r="AZ218" s="291" cm="1">
        <f t="array" ref="AZ218">IFERROR(IF($J218="Baseload",IF($O218=1,0,NPV('2027 Avoided Costs'!$D$6,_xlfn._xlws.FILTER('2027 Avoided Costs'!$C$14:$C$47,('2027 Avoided Costs'!$B$14:$B$47&gt;=$B218+1)*('2027 Avoided Costs'!$B$14:$B$47&lt;$B218+ROUND($O218,0)))))+_xlfn.XLOOKUP($B218,'2027 Avoided Costs'!$B$13:$B$47,'2027 Avoided Costs'!$C$13:$C$47),IF($O218=1,0,NPV('2027 Avoided Costs'!$D$6,_xlfn._xlws.FILTER('2027 Avoided Costs'!$E$14:$E$47,('2027 Avoided Costs'!$B$14:$B$47&gt;=$B218+1)*('2027 Avoided Costs'!$B$14:$B$47&lt;$B218+ROUND($O218,0)))))+_xlfn.XLOOKUP($B218,'2027 Avoided Costs'!$B$13:$B$47,'2027 Avoided Costs'!$E$13:$E$47))*IF($AE218&lt;0,$AE218*(-1),0),0)</f>
        <v>0</v>
      </c>
      <c r="BA218" s="291" cm="1">
        <f t="array" ref="BA218">IFERROR((IF($O218=1,0,NPV('2027 Avoided Costs'!$D$6,_xlfn._xlws.FILTER('2027 Avoided Costs'!$M$14:$M$47,('2027 Avoided Costs'!$B$14:$B$47&gt;=$B218+1)*('2027 Avoided Costs'!$B$14:$B$47&lt;$B218+ROUND($O218,0)))))+_xlfn.XLOOKUP($B218,'2027 Avoided Costs'!$B$13:$B$47,'2027 Avoided Costs'!$M$13:$M$47))*IF($AK218&lt;0,$AK218*(-1),0),0)</f>
        <v>0</v>
      </c>
      <c r="BB218" s="291" cm="1">
        <f t="array" ref="BB218">IFERROR((IF($O218=1,0,NPV('2027 Avoided Costs'!$D$6,_xlfn._xlws.FILTER('2027 Avoided Costs'!$S$14:$S$47,('2027 Avoided Costs'!$B$14:$B$47&gt;=$B218+1)*('2027 Avoided Costs'!$B$14:$B$47&lt;$B218+ROUND($O218,0)))))+_xlfn.XLOOKUP($B218,'2027 Avoided Costs'!$B$13:$B$47,'2027 Avoided Costs'!$S$13:$S$47))*IF($AI218&lt;0,$AI218*(-1),0),0)</f>
        <v>0</v>
      </c>
      <c r="BC218" s="291" cm="1">
        <f t="array" ref="BC218">IFERROR((IF($O218=1,0,NPV('2027 Avoided Costs'!$D$6,_xlfn._xlws.FILTER('2027 Avoided Costs'!$Y$14:$Y$47,('2027 Avoided Costs'!$B$14:$B$47&gt;=$B218+1)*('2027 Avoided Costs'!$B$14:$B$47&lt;$B218+ROUND($O218,0)))))+_xlfn.XLOOKUP($B218,'2027 Avoided Costs'!$B$13:$B$47,'2027 Avoided Costs'!$Y$13:$Y$47))*IF($AM218&lt;0,$AM218*(-1),0),0)</f>
        <v>0</v>
      </c>
      <c r="BD218" s="291" cm="1">
        <f t="array" ref="BD218">IFERROR((IF($O218=1,0,NPV('2027 Avoided Costs'!$D$6,_xlfn._xlws.FILTER('2027 Avoided Costs'!$AE$14:$AE$47,('2027 Avoided Costs'!$B$14:$B$47&gt;=$B218+1)*('2027 Avoided Costs'!$B$14:$B$47&lt;$B218+ROUND($O218,0)))))+_xlfn.XLOOKUP($B218,'2027 Avoided Costs'!$B$13:$B$47,'2027 Avoided Costs'!$AE$13:$AE$47))*IF($AO218&lt;0,$AO218*(-1),0),0)</f>
        <v>0</v>
      </c>
      <c r="BE218" s="291" cm="1">
        <f t="array" ref="BE218">IFERROR((IF($O218=1,0,NPV('2027 Avoided Costs'!$D$4,_xlfn._xlws.FILTER('2027 Avoided Costs'!$I$14:$I$47,('2027 Avoided Costs'!$B$14:$B$47&gt;=$B218+1)*('2027 Avoided Costs'!$B$14:$B$47&lt;$B218+ROUND($O218,0)))))+_xlfn.XLOOKUP($B218,'2027 Avoided Costs'!$B$13:$B$47,'2027 Avoided Costs'!$I$13:$I$47))*IF($X218="Residential",'2027 Avoided Costs'!$J$5,IF($X218="Large Volume",'2027 Avoided Costs'!$J$7,'2027 Avoided Costs'!$J$6))*IF($AE218&lt;0,$AE218*(-1),0),0)</f>
        <v>0</v>
      </c>
      <c r="BF218" s="291">
        <f t="shared" si="84"/>
        <v>43400274.720413685</v>
      </c>
      <c r="BG218" s="291">
        <f t="shared" si="85"/>
        <v>4493102.2079999996</v>
      </c>
      <c r="BH218" s="291">
        <f t="shared" si="86"/>
        <v>38907172.512413688</v>
      </c>
      <c r="BI218" s="292">
        <f t="shared" si="110"/>
        <v>9.6593116985274001</v>
      </c>
      <c r="BJ218" s="196" cm="1">
        <f t="array" ref="BJ218">IFERROR(IF($J218="Baseload",IF($O218=1,0,NPV('2027 Avoided Costs'!$D$6,_xlfn._xlws.FILTER('2027 Avoided Costs'!$C$14:$C$47,('2027 Avoided Costs'!$B$14:$B$47&gt;=$B218+1)*('2027 Avoided Costs'!$B$14:$B$47&lt;$B218+ROUND($O218,0)))))+_xlfn.XLOOKUP($B218,'2027 Avoided Costs'!$B$13:$B$47,'2027 Avoided Costs'!$C$13:$C$47),IF($O218=1,0,NPV('2027 Avoided Costs'!$D$6,_xlfn._xlws.FILTER('2027 Avoided Costs'!$E$14:$E$47,('2027 Avoided Costs'!$B$14:$B$47&gt;=$B218+1)*('2027 Avoided Costs'!$B$14:$B$47&lt;$B218+ROUND($O218,0)))))+_xlfn.XLOOKUP($B218,'2027 Avoided Costs'!$B$13:$B$47,'2027 Avoided Costs'!$E$13:$E$47))*IF($AE218&gt;0,$AE218*(1+0),0),0)</f>
        <v>37652431.851644352</v>
      </c>
      <c r="BK218" s="293">
        <f t="shared" si="108"/>
        <v>12.058428894356357</v>
      </c>
    </row>
    <row r="219" spans="1:63" s="56" customFormat="1" x14ac:dyDescent="0.25">
      <c r="A219" s="270" t="s">
        <v>133</v>
      </c>
      <c r="B219" s="271">
        <v>2029</v>
      </c>
      <c r="C219" s="272" t="s">
        <v>14</v>
      </c>
      <c r="D219" s="272" t="s">
        <v>8</v>
      </c>
      <c r="E219" s="272" t="s">
        <v>358</v>
      </c>
      <c r="F219" s="273">
        <v>145</v>
      </c>
      <c r="G219" s="274">
        <v>62526.011111111104</v>
      </c>
      <c r="H219" s="275">
        <f t="shared" si="88"/>
        <v>0.23</v>
      </c>
      <c r="I219" s="274">
        <v>0</v>
      </c>
      <c r="J219" s="276" t="s">
        <v>263</v>
      </c>
      <c r="K219" s="277">
        <f t="shared" si="87"/>
        <v>0.7</v>
      </c>
      <c r="L219" s="294">
        <v>0.33</v>
      </c>
      <c r="M219" s="294">
        <v>0.03</v>
      </c>
      <c r="N219" s="294">
        <v>0.96519999999999995</v>
      </c>
      <c r="O219" s="279">
        <v>18</v>
      </c>
      <c r="P219" s="280">
        <v>271852.22222222219</v>
      </c>
      <c r="Q219" s="295">
        <v>445</v>
      </c>
      <c r="R219" s="296">
        <v>5.07990867579904E-2</v>
      </c>
      <c r="S219" s="296">
        <v>5.0799086757991031E-2</v>
      </c>
      <c r="T219" s="295">
        <v>0</v>
      </c>
      <c r="U219" s="297">
        <v>0.99</v>
      </c>
      <c r="V219" s="284">
        <v>133723.28</v>
      </c>
      <c r="W219" s="298">
        <v>0.15</v>
      </c>
      <c r="X219" s="299" t="s">
        <v>255</v>
      </c>
      <c r="Y219" s="300">
        <f t="shared" si="89"/>
        <v>145</v>
      </c>
      <c r="Z219" s="196">
        <f t="shared" si="90"/>
        <v>9066271.6111111101</v>
      </c>
      <c r="AA219" s="196">
        <f t="shared" si="91"/>
        <v>0</v>
      </c>
      <c r="AB219" s="288">
        <f t="shared" si="92"/>
        <v>9432548.9841999989</v>
      </c>
      <c r="AC219" s="288">
        <f t="shared" si="109"/>
        <v>0</v>
      </c>
      <c r="AD219" s="287">
        <f t="shared" si="93"/>
        <v>38046805.908888884</v>
      </c>
      <c r="AE219" s="287">
        <f t="shared" si="94"/>
        <v>26632764.136222217</v>
      </c>
      <c r="AF219" s="287">
        <f t="shared" si="95"/>
        <v>684842506.3599999</v>
      </c>
      <c r="AG219" s="287">
        <f t="shared" si="96"/>
        <v>479389754.4519999</v>
      </c>
      <c r="AH219" s="300">
        <f t="shared" si="97"/>
        <v>66763.656159999999</v>
      </c>
      <c r="AI219" s="300">
        <f t="shared" si="98"/>
        <v>46734.559311999998</v>
      </c>
      <c r="AJ219" s="300">
        <f t="shared" si="99"/>
        <v>0</v>
      </c>
      <c r="AK219" s="300">
        <f t="shared" si="100"/>
        <v>0</v>
      </c>
      <c r="AL219" s="300">
        <f t="shared" si="101"/>
        <v>7.6214219360729887</v>
      </c>
      <c r="AM219" s="300">
        <f t="shared" si="102"/>
        <v>5.3349953552510918</v>
      </c>
      <c r="AN219" s="300">
        <f t="shared" si="103"/>
        <v>7.6214219360730846</v>
      </c>
      <c r="AO219" s="300">
        <f t="shared" si="104"/>
        <v>5.3349953552511584</v>
      </c>
      <c r="AP219" s="300">
        <f t="shared" si="105"/>
        <v>19389875.600000001</v>
      </c>
      <c r="AQ219" s="300">
        <f t="shared" si="106"/>
        <v>13572912.92</v>
      </c>
      <c r="AR219" s="300">
        <f t="shared" si="107"/>
        <v>26366436.494859993</v>
      </c>
      <c r="AS219" s="301" t="e">
        <f>IF(J219='2027 Avoided Costs'!#REF!,3,5)</f>
        <v>#REF!</v>
      </c>
      <c r="AT219" s="290" cm="1">
        <f t="array" ref="AT219">IFERROR(IF($J219="Baseload",IF($O219=1,0,NPV('2027 Avoided Costs'!$D$6,_xlfn._xlws.FILTER('2027 Avoided Costs'!$C$14:$C$47,('2027 Avoided Costs'!$B$14:$B$47&gt;=$B219+1)*('2027 Avoided Costs'!$B$14:$B$47&lt;$B219+ROUND($O219,0)))))+_xlfn.XLOOKUP($B219,'2027 Avoided Costs'!$B$13:$B$47,'2027 Avoided Costs'!$C$13:$C$47),IF($O219=1,0,NPV('2027 Avoided Costs'!$D$6,_xlfn._xlws.FILTER('2027 Avoided Costs'!$E$14:$E$47,('2027 Avoided Costs'!$B$14:$B$47&gt;=$B219+1)*('2027 Avoided Costs'!$B$14:$B$47&lt;$B219+ROUND($O219,0)))))+_xlfn.XLOOKUP($B219,'2027 Avoided Costs'!$B$13:$B$47,'2027 Avoided Costs'!$E$13:$E$47))*IF($AE219&gt;0,$AE219*(1+$W219),0),0)</f>
        <v>117039212.41499764</v>
      </c>
      <c r="AU219" s="290" cm="1">
        <f t="array" ref="AU219">IFERROR((IF($O219=1,0,NPV('2027 Avoided Costs'!$D$6,_xlfn._xlws.FILTER('2027 Avoided Costs'!$M$14:$M$47,('2027 Avoided Costs'!$B$14:$B$47&gt;=$B219+1)*('2027 Avoided Costs'!$B$14:$B$47&lt;$B219+ROUND($O219,0)))))+_xlfn.XLOOKUP($B219,'2027 Avoided Costs'!$B$13:$B$47,'2027 Avoided Costs'!$M$13:$M$47))*IF($AK219&gt;0,$AK219*(1+$W219),0),0)</f>
        <v>0</v>
      </c>
      <c r="AV219" s="291" cm="1">
        <f t="array" ref="AV219">IFERROR((IF($O219=1,0,NPV('2027 Avoided Costs'!$D$6,_xlfn._xlws.FILTER('2027 Avoided Costs'!$Q$14:$Q$47,('2027 Avoided Costs'!$B$14:$B$47&gt;=$B219+1)*('2027 Avoided Costs'!$B$14:$B$47&lt;$B219+ROUND($O219,0)))))+_xlfn.XLOOKUP($B219,'2027 Avoided Costs'!$B$13:$B$47,'2027 Avoided Costs'!$Q$13:$Q$47))*IF($AI219&gt;0,$AI219*(1+$W219),0),0)</f>
        <v>34570.490966126934</v>
      </c>
      <c r="AW219" s="291" cm="1">
        <f t="array" ref="AW219">IFERROR((IF($O219=1,0,NPV('2027 Avoided Costs'!$D$6,_xlfn._xlws.FILTER('2027 Avoided Costs'!$W$14:$W$47,('2027 Avoided Costs'!$B$14:$B$47&gt;=$B219+1)*('2027 Avoided Costs'!$B$14:$B$47&lt;$B219+ROUND($O219,0)))))+_xlfn.XLOOKUP($B219,'2027 Avoided Costs'!$B$13:$B$47,'2027 Avoided Costs'!$W$13:$W$47))*IF($AM219&gt;0,$AM219*(1+$W219),0),0)</f>
        <v>24358.892963336941</v>
      </c>
      <c r="AX219" s="291" cm="1">
        <f t="array" ref="AX219">IFERROR((IF($O219=1,0,NPV('2027 Avoided Costs'!$D$6,_xlfn._xlws.FILTER('2027 Avoided Costs'!$AC$14:$AC$47,('2027 Avoided Costs'!$B$14:$B$47&gt;=$B219+1)*('2027 Avoided Costs'!$B$14:$B$47&lt;$B219+ROUND($O219,0)))))+_xlfn.XLOOKUP($B219,'2027 Avoided Costs'!$B$13:$B$47,'2027 Avoided Costs'!$AC$13:$AC$47))*IF($AO219&gt;0,$AO219*(1+$W219),0),0)</f>
        <v>4226.450557910267</v>
      </c>
      <c r="AY219" s="291" cm="1">
        <f t="array" ref="AY219">IFERROR((IF($O219=1,0,NPV('2027 Avoided Costs'!$D$4,_xlfn._xlws.FILTER('2027 Avoided Costs'!$I$14:$I$47,('2027 Avoided Costs'!$B$14:$B$47&gt;=$B219+1)*('2027 Avoided Costs'!$B$14:$B$47&lt;$B219+ROUND($O219,0)))))+_xlfn.XLOOKUP($B219,'2027 Avoided Costs'!$B$13:$B$47,'2027 Avoided Costs'!$I$13:$I$47))*IF($X219="Residential",'2027 Avoided Costs'!$J$5,IF($X219="Large Volume",'2027 Avoided Costs'!$J$7,'2027 Avoided Costs'!$J$6))*IF($AE219&gt;0,$AE219,0),0)</f>
        <v>0</v>
      </c>
      <c r="AZ219" s="291" cm="1">
        <f t="array" ref="AZ219">IFERROR(IF($J219="Baseload",IF($O219=1,0,NPV('2027 Avoided Costs'!$D$6,_xlfn._xlws.FILTER('2027 Avoided Costs'!$C$14:$C$47,('2027 Avoided Costs'!$B$14:$B$47&gt;=$B219+1)*('2027 Avoided Costs'!$B$14:$B$47&lt;$B219+ROUND($O219,0)))))+_xlfn.XLOOKUP($B219,'2027 Avoided Costs'!$B$13:$B$47,'2027 Avoided Costs'!$C$13:$C$47),IF($O219=1,0,NPV('2027 Avoided Costs'!$D$6,_xlfn._xlws.FILTER('2027 Avoided Costs'!$E$14:$E$47,('2027 Avoided Costs'!$B$14:$B$47&gt;=$B219+1)*('2027 Avoided Costs'!$B$14:$B$47&lt;$B219+ROUND($O219,0)))))+_xlfn.XLOOKUP($B219,'2027 Avoided Costs'!$B$13:$B$47,'2027 Avoided Costs'!$E$13:$E$47))*IF($AE219&lt;0,$AE219*(-1),0),0)</f>
        <v>0</v>
      </c>
      <c r="BA219" s="291" cm="1">
        <f t="array" ref="BA219">IFERROR((IF($O219=1,0,NPV('2027 Avoided Costs'!$D$6,_xlfn._xlws.FILTER('2027 Avoided Costs'!$M$14:$M$47,('2027 Avoided Costs'!$B$14:$B$47&gt;=$B219+1)*('2027 Avoided Costs'!$B$14:$B$47&lt;$B219+ROUND($O219,0)))))+_xlfn.XLOOKUP($B219,'2027 Avoided Costs'!$B$13:$B$47,'2027 Avoided Costs'!$M$13:$M$47))*IF($AK219&lt;0,$AK219*(-1),0),0)</f>
        <v>0</v>
      </c>
      <c r="BB219" s="291" cm="1">
        <f t="array" ref="BB219">IFERROR((IF($O219=1,0,NPV('2027 Avoided Costs'!$D$6,_xlfn._xlws.FILTER('2027 Avoided Costs'!$S$14:$S$47,('2027 Avoided Costs'!$B$14:$B$47&gt;=$B219+1)*('2027 Avoided Costs'!$B$14:$B$47&lt;$B219+ROUND($O219,0)))))+_xlfn.XLOOKUP($B219,'2027 Avoided Costs'!$B$13:$B$47,'2027 Avoided Costs'!$S$13:$S$47))*IF($AI219&lt;0,$AI219*(-1),0),0)</f>
        <v>0</v>
      </c>
      <c r="BC219" s="291" cm="1">
        <f t="array" ref="BC219">IFERROR((IF($O219=1,0,NPV('2027 Avoided Costs'!$D$6,_xlfn._xlws.FILTER('2027 Avoided Costs'!$Y$14:$Y$47,('2027 Avoided Costs'!$B$14:$B$47&gt;=$B219+1)*('2027 Avoided Costs'!$B$14:$B$47&lt;$B219+ROUND($O219,0)))))+_xlfn.XLOOKUP($B219,'2027 Avoided Costs'!$B$13:$B$47,'2027 Avoided Costs'!$Y$13:$Y$47))*IF($AM219&lt;0,$AM219*(-1),0),0)</f>
        <v>0</v>
      </c>
      <c r="BD219" s="291" cm="1">
        <f t="array" ref="BD219">IFERROR((IF($O219=1,0,NPV('2027 Avoided Costs'!$D$6,_xlfn._xlws.FILTER('2027 Avoided Costs'!$AE$14:$AE$47,('2027 Avoided Costs'!$B$14:$B$47&gt;=$B219+1)*('2027 Avoided Costs'!$B$14:$B$47&lt;$B219+ROUND($O219,0)))))+_xlfn.XLOOKUP($B219,'2027 Avoided Costs'!$B$13:$B$47,'2027 Avoided Costs'!$AE$13:$AE$47))*IF($AO219&lt;0,$AO219*(-1),0),0)</f>
        <v>0</v>
      </c>
      <c r="BE219" s="291" cm="1">
        <f t="array" ref="BE219">IFERROR((IF($O219=1,0,NPV('2027 Avoided Costs'!$D$4,_xlfn._xlws.FILTER('2027 Avoided Costs'!$I$14:$I$47,('2027 Avoided Costs'!$B$14:$B$47&gt;=$B219+1)*('2027 Avoided Costs'!$B$14:$B$47&lt;$B219+ROUND($O219,0)))))+_xlfn.XLOOKUP($B219,'2027 Avoided Costs'!$B$13:$B$47,'2027 Avoided Costs'!$I$13:$I$47))*IF($X219="Residential",'2027 Avoided Costs'!$J$5,IF($X219="Large Volume",'2027 Avoided Costs'!$J$7,'2027 Avoided Costs'!$J$6))*IF($AE219&lt;0,$AE219*(-1),0),0)</f>
        <v>0</v>
      </c>
      <c r="BF219" s="291">
        <f t="shared" si="84"/>
        <v>117102368.24948502</v>
      </c>
      <c r="BG219" s="291">
        <f t="shared" si="85"/>
        <v>13572912.92</v>
      </c>
      <c r="BH219" s="291">
        <f t="shared" si="86"/>
        <v>103529455.32948501</v>
      </c>
      <c r="BI219" s="292">
        <f t="shared" si="110"/>
        <v>8.6276519225973942</v>
      </c>
      <c r="BJ219" s="196" cm="1">
        <f t="array" ref="BJ219">IFERROR(IF($J219="Baseload",IF($O219=1,0,NPV('2027 Avoided Costs'!$D$6,_xlfn._xlws.FILTER('2027 Avoided Costs'!$C$14:$C$47,('2027 Avoided Costs'!$B$14:$B$47&gt;=$B219+1)*('2027 Avoided Costs'!$B$14:$B$47&lt;$B219+ROUND($O219,0)))))+_xlfn.XLOOKUP($B219,'2027 Avoided Costs'!$B$13:$B$47,'2027 Avoided Costs'!$C$13:$C$47),IF($O219=1,0,NPV('2027 Avoided Costs'!$D$6,_xlfn._xlws.FILTER('2027 Avoided Costs'!$E$14:$E$47,('2027 Avoided Costs'!$B$14:$B$47&gt;=$B219+1)*('2027 Avoided Costs'!$B$14:$B$47&lt;$B219+ROUND($O219,0)))))+_xlfn.XLOOKUP($B219,'2027 Avoided Costs'!$B$13:$B$47,'2027 Avoided Costs'!$E$13:$E$47))*IF($AE219&gt;0,$AE219*(1+0),0),0)</f>
        <v>101773228.18695448</v>
      </c>
      <c r="BK219" s="293">
        <f t="shared" si="108"/>
        <v>10.789578549491749</v>
      </c>
    </row>
    <row r="220" spans="1:63" s="56" customFormat="1" x14ac:dyDescent="0.25">
      <c r="A220" s="270" t="s">
        <v>133</v>
      </c>
      <c r="B220" s="271">
        <v>2030</v>
      </c>
      <c r="C220" s="272" t="s">
        <v>14</v>
      </c>
      <c r="D220" s="272" t="s">
        <v>8</v>
      </c>
      <c r="E220" s="272" t="s">
        <v>104</v>
      </c>
      <c r="F220" s="273">
        <v>13</v>
      </c>
      <c r="G220" s="274">
        <v>57011.428063279862</v>
      </c>
      <c r="H220" s="275">
        <f t="shared" si="88"/>
        <v>0.20485023404600566</v>
      </c>
      <c r="I220" s="274">
        <v>0</v>
      </c>
      <c r="J220" s="276" t="s">
        <v>264</v>
      </c>
      <c r="K220" s="277">
        <f t="shared" si="87"/>
        <v>0.7</v>
      </c>
      <c r="L220" s="278">
        <v>0.33</v>
      </c>
      <c r="M220" s="278">
        <v>0.03</v>
      </c>
      <c r="N220" s="278">
        <v>0.99119999999999997</v>
      </c>
      <c r="O220" s="279">
        <v>14</v>
      </c>
      <c r="P220" s="280">
        <v>278307.8492869875</v>
      </c>
      <c r="Q220" s="281">
        <v>834</v>
      </c>
      <c r="R220" s="282">
        <v>0.50823023899145403</v>
      </c>
      <c r="S220" s="282">
        <v>0.1501147227485764</v>
      </c>
      <c r="T220" s="281">
        <v>0</v>
      </c>
      <c r="U220" s="283">
        <v>0.93</v>
      </c>
      <c r="V220" s="284">
        <v>367495.21345454454</v>
      </c>
      <c r="W220" s="285">
        <v>0.15</v>
      </c>
      <c r="X220" s="286" t="s">
        <v>255</v>
      </c>
      <c r="Y220" s="287">
        <f t="shared" si="89"/>
        <v>13</v>
      </c>
      <c r="Z220" s="288">
        <f t="shared" si="90"/>
        <v>741148.56482263817</v>
      </c>
      <c r="AA220" s="288">
        <f t="shared" si="91"/>
        <v>0</v>
      </c>
      <c r="AB220" s="288">
        <f t="shared" si="92"/>
        <v>786512.78617830214</v>
      </c>
      <c r="AC220" s="288">
        <f t="shared" si="109"/>
        <v>0</v>
      </c>
      <c r="AD220" s="287">
        <f t="shared" si="93"/>
        <v>3586163.6227724063</v>
      </c>
      <c r="AE220" s="287">
        <f t="shared" si="94"/>
        <v>2510314.5359406844</v>
      </c>
      <c r="AF220" s="287">
        <f t="shared" si="95"/>
        <v>50206290.718813688</v>
      </c>
      <c r="AG220" s="287">
        <f t="shared" si="96"/>
        <v>35144403.503169581</v>
      </c>
      <c r="AH220" s="287">
        <f t="shared" si="97"/>
        <v>11520.3449088</v>
      </c>
      <c r="AI220" s="287">
        <f t="shared" si="98"/>
        <v>8064.2414361600004</v>
      </c>
      <c r="AJ220" s="287">
        <f t="shared" si="99"/>
        <v>0</v>
      </c>
      <c r="AK220" s="287">
        <f t="shared" si="100"/>
        <v>0</v>
      </c>
      <c r="AL220" s="287">
        <f t="shared" si="101"/>
        <v>7.0203688804117563</v>
      </c>
      <c r="AM220" s="287">
        <f t="shared" si="102"/>
        <v>4.9142582162882293</v>
      </c>
      <c r="AN220" s="287">
        <f t="shared" si="103"/>
        <v>2.0735891869933885</v>
      </c>
      <c r="AO220" s="287">
        <f t="shared" si="104"/>
        <v>1.4515124308953713</v>
      </c>
      <c r="AP220" s="287">
        <f t="shared" si="105"/>
        <v>4777437.7749090791</v>
      </c>
      <c r="AQ220" s="287">
        <f t="shared" si="106"/>
        <v>3344206.4424363552</v>
      </c>
      <c r="AR220" s="287">
        <f t="shared" si="107"/>
        <v>2334592.5184248365</v>
      </c>
      <c r="AS220" s="289" t="e">
        <f>IF(J220='2027 Avoided Costs'!#REF!,3,5)</f>
        <v>#REF!</v>
      </c>
      <c r="AT220" s="290" cm="1">
        <f t="array" ref="AT220">IFERROR(IF($J220="Baseload",IF($O220=1,0,NPV('2027 Avoided Costs'!$D$6,_xlfn._xlws.FILTER('2027 Avoided Costs'!$C$14:$C$47,('2027 Avoided Costs'!$B$14:$B$47&gt;=$B220+1)*('2027 Avoided Costs'!$B$14:$B$47&lt;$B220+ROUND($O220,0)))))+_xlfn.XLOOKUP($B220,'2027 Avoided Costs'!$B$13:$B$47,'2027 Avoided Costs'!$C$13:$C$47),IF($O220=1,0,NPV('2027 Avoided Costs'!$D$6,_xlfn._xlws.FILTER('2027 Avoided Costs'!$E$14:$E$47,('2027 Avoided Costs'!$B$14:$B$47&gt;=$B220+1)*('2027 Avoided Costs'!$B$14:$B$47&lt;$B220+ROUND($O220,0)))))+_xlfn.XLOOKUP($B220,'2027 Avoided Costs'!$B$13:$B$47,'2027 Avoided Costs'!$E$13:$E$47))*IF($AE220&gt;0,$AE220*(1+$W220),0),0)</f>
        <v>10412941.259430999</v>
      </c>
      <c r="AU220" s="290" cm="1">
        <f t="array" ref="AU220">IFERROR((IF($O220=1,0,NPV('2027 Avoided Costs'!$D$6,_xlfn._xlws.FILTER('2027 Avoided Costs'!$M$14:$M$47,('2027 Avoided Costs'!$B$14:$B$47&gt;=$B220+1)*('2027 Avoided Costs'!$B$14:$B$47&lt;$B220+ROUND($O220,0)))))+_xlfn.XLOOKUP($B220,'2027 Avoided Costs'!$B$13:$B$47,'2027 Avoided Costs'!$M$13:$M$47))*IF($AK220&gt;0,$AK220*(1+$W220),0),0)</f>
        <v>0</v>
      </c>
      <c r="AV220" s="291" cm="1">
        <f t="array" ref="AV220">IFERROR((IF($O220=1,0,NPV('2027 Avoided Costs'!$D$6,_xlfn._xlws.FILTER('2027 Avoided Costs'!$Q$14:$Q$47,('2027 Avoided Costs'!$B$14:$B$47&gt;=$B220+1)*('2027 Avoided Costs'!$B$14:$B$47&lt;$B220+ROUND($O220,0)))))+_xlfn.XLOOKUP($B220,'2027 Avoided Costs'!$B$13:$B$47,'2027 Avoided Costs'!$Q$13:$Q$47))*IF($AI220&gt;0,$AI220*(1+$W220),0),0)</f>
        <v>4874.9757595050432</v>
      </c>
      <c r="AW220" s="291" cm="1">
        <f t="array" ref="AW220">IFERROR((IF($O220=1,0,NPV('2027 Avoided Costs'!$D$6,_xlfn._xlws.FILTER('2027 Avoided Costs'!$W$14:$W$47,('2027 Avoided Costs'!$B$14:$B$47&gt;=$B220+1)*('2027 Avoided Costs'!$B$14:$B$47&lt;$B220+ROUND($O220,0)))))+_xlfn.XLOOKUP($B220,'2027 Avoided Costs'!$B$13:$B$47,'2027 Avoided Costs'!$W$13:$W$47))*IF($AM220&gt;0,$AM220*(1+$W220),0),0)</f>
        <v>19526.708535200014</v>
      </c>
      <c r="AX220" s="291" cm="1">
        <f t="array" ref="AX220">IFERROR((IF($O220=1,0,NPV('2027 Avoided Costs'!$D$6,_xlfn._xlws.FILTER('2027 Avoided Costs'!$AC$14:$AC$47,('2027 Avoided Costs'!$B$14:$B$47&gt;=$B220+1)*('2027 Avoided Costs'!$B$14:$B$47&lt;$B220+ROUND($O220,0)))))+_xlfn.XLOOKUP($B220,'2027 Avoided Costs'!$B$13:$B$47,'2027 Avoided Costs'!$AC$13:$AC$47))*IF($AO220&gt;0,$AO220*(1+$W220),0),0)</f>
        <v>821.25303524786796</v>
      </c>
      <c r="AY220" s="291" cm="1">
        <f t="array" ref="AY220">IFERROR((IF($O220=1,0,NPV('2027 Avoided Costs'!$D$4,_xlfn._xlws.FILTER('2027 Avoided Costs'!$I$14:$I$47,('2027 Avoided Costs'!$B$14:$B$47&gt;=$B220+1)*('2027 Avoided Costs'!$B$14:$B$47&lt;$B220+ROUND($O220,0)))))+_xlfn.XLOOKUP($B220,'2027 Avoided Costs'!$B$13:$B$47,'2027 Avoided Costs'!$I$13:$I$47))*IF($X220="Residential",'2027 Avoided Costs'!$J$5,IF($X220="Large Volume",'2027 Avoided Costs'!$J$7,'2027 Avoided Costs'!$J$6))*IF($AE220&gt;0,$AE220,0),0)</f>
        <v>0</v>
      </c>
      <c r="AZ220" s="291" cm="1">
        <f t="array" ref="AZ220">IFERROR(IF($J220="Baseload",IF($O220=1,0,NPV('2027 Avoided Costs'!$D$6,_xlfn._xlws.FILTER('2027 Avoided Costs'!$C$14:$C$47,('2027 Avoided Costs'!$B$14:$B$47&gt;=$B220+1)*('2027 Avoided Costs'!$B$14:$B$47&lt;$B220+ROUND($O220,0)))))+_xlfn.XLOOKUP($B220,'2027 Avoided Costs'!$B$13:$B$47,'2027 Avoided Costs'!$C$13:$C$47),IF($O220=1,0,NPV('2027 Avoided Costs'!$D$6,_xlfn._xlws.FILTER('2027 Avoided Costs'!$E$14:$E$47,('2027 Avoided Costs'!$B$14:$B$47&gt;=$B220+1)*('2027 Avoided Costs'!$B$14:$B$47&lt;$B220+ROUND($O220,0)))))+_xlfn.XLOOKUP($B220,'2027 Avoided Costs'!$B$13:$B$47,'2027 Avoided Costs'!$E$13:$E$47))*IF($AE220&lt;0,$AE220*(-1),0),0)</f>
        <v>0</v>
      </c>
      <c r="BA220" s="291" cm="1">
        <f t="array" ref="BA220">IFERROR((IF($O220=1,0,NPV('2027 Avoided Costs'!$D$6,_xlfn._xlws.FILTER('2027 Avoided Costs'!$M$14:$M$47,('2027 Avoided Costs'!$B$14:$B$47&gt;=$B220+1)*('2027 Avoided Costs'!$B$14:$B$47&lt;$B220+ROUND($O220,0)))))+_xlfn.XLOOKUP($B220,'2027 Avoided Costs'!$B$13:$B$47,'2027 Avoided Costs'!$M$13:$M$47))*IF($AK220&lt;0,$AK220*(-1),0),0)</f>
        <v>0</v>
      </c>
      <c r="BB220" s="291" cm="1">
        <f t="array" ref="BB220">IFERROR((IF($O220=1,0,NPV('2027 Avoided Costs'!$D$6,_xlfn._xlws.FILTER('2027 Avoided Costs'!$S$14:$S$47,('2027 Avoided Costs'!$B$14:$B$47&gt;=$B220+1)*('2027 Avoided Costs'!$B$14:$B$47&lt;$B220+ROUND($O220,0)))))+_xlfn.XLOOKUP($B220,'2027 Avoided Costs'!$B$13:$B$47,'2027 Avoided Costs'!$S$13:$S$47))*IF($AI220&lt;0,$AI220*(-1),0),0)</f>
        <v>0</v>
      </c>
      <c r="BC220" s="291" cm="1">
        <f t="array" ref="BC220">IFERROR((IF($O220=1,0,NPV('2027 Avoided Costs'!$D$6,_xlfn._xlws.FILTER('2027 Avoided Costs'!$Y$14:$Y$47,('2027 Avoided Costs'!$B$14:$B$47&gt;=$B220+1)*('2027 Avoided Costs'!$B$14:$B$47&lt;$B220+ROUND($O220,0)))))+_xlfn.XLOOKUP($B220,'2027 Avoided Costs'!$B$13:$B$47,'2027 Avoided Costs'!$Y$13:$Y$47))*IF($AM220&lt;0,$AM220*(-1),0),0)</f>
        <v>0</v>
      </c>
      <c r="BD220" s="291" cm="1">
        <f t="array" ref="BD220">IFERROR((IF($O220=1,0,NPV('2027 Avoided Costs'!$D$6,_xlfn._xlws.FILTER('2027 Avoided Costs'!$AE$14:$AE$47,('2027 Avoided Costs'!$B$14:$B$47&gt;=$B220+1)*('2027 Avoided Costs'!$B$14:$B$47&lt;$B220+ROUND($O220,0)))))+_xlfn.XLOOKUP($B220,'2027 Avoided Costs'!$B$13:$B$47,'2027 Avoided Costs'!$AE$13:$AE$47))*IF($AO220&lt;0,$AO220*(-1),0),0)</f>
        <v>0</v>
      </c>
      <c r="BE220" s="291" cm="1">
        <f t="array" ref="BE220">IFERROR((IF($O220=1,0,NPV('2027 Avoided Costs'!$D$4,_xlfn._xlws.FILTER('2027 Avoided Costs'!$I$14:$I$47,('2027 Avoided Costs'!$B$14:$B$47&gt;=$B220+1)*('2027 Avoided Costs'!$B$14:$B$47&lt;$B220+ROUND($O220,0)))))+_xlfn.XLOOKUP($B220,'2027 Avoided Costs'!$B$13:$B$47,'2027 Avoided Costs'!$I$13:$I$47))*IF($X220="Residential",'2027 Avoided Costs'!$J$5,IF($X220="Large Volume",'2027 Avoided Costs'!$J$7,'2027 Avoided Costs'!$J$6))*IF($AE220&lt;0,$AE220*(-1),0),0)</f>
        <v>0</v>
      </c>
      <c r="BF220" s="291">
        <f t="shared" si="84"/>
        <v>10438164.196760951</v>
      </c>
      <c r="BG220" s="291">
        <f t="shared" si="85"/>
        <v>3344206.4424363552</v>
      </c>
      <c r="BH220" s="291">
        <f t="shared" si="86"/>
        <v>7093957.7543245954</v>
      </c>
      <c r="BI220" s="292">
        <f t="shared" si="110"/>
        <v>3.1212678931257707</v>
      </c>
      <c r="BJ220" s="196" cm="1">
        <f t="array" ref="BJ220">IFERROR(IF($J220="Baseload",IF($O220=1,0,NPV('2027 Avoided Costs'!$D$6,_xlfn._xlws.FILTER('2027 Avoided Costs'!$C$14:$C$47,('2027 Avoided Costs'!$B$14:$B$47&gt;=$B220+1)*('2027 Avoided Costs'!$B$14:$B$47&lt;$B220+ROUND($O220,0)))))+_xlfn.XLOOKUP($B220,'2027 Avoided Costs'!$B$13:$B$47,'2027 Avoided Costs'!$C$13:$C$47),IF($O220=1,0,NPV('2027 Avoided Costs'!$D$6,_xlfn._xlws.FILTER('2027 Avoided Costs'!$E$14:$E$47,('2027 Avoided Costs'!$B$14:$B$47&gt;=$B220+1)*('2027 Avoided Costs'!$B$14:$B$47&lt;$B220+ROUND($O220,0)))))+_xlfn.XLOOKUP($B220,'2027 Avoided Costs'!$B$13:$B$47,'2027 Avoided Costs'!$E$13:$E$47))*IF($AE220&gt;0,$AE220*(1+0),0),0)</f>
        <v>9054731.5299399979</v>
      </c>
      <c r="BK220" s="293">
        <f t="shared" si="108"/>
        <v>11.512503914828022</v>
      </c>
    </row>
    <row r="221" spans="1:63" s="56" customFormat="1" x14ac:dyDescent="0.25">
      <c r="A221" s="270" t="s">
        <v>133</v>
      </c>
      <c r="B221" s="271">
        <v>2030</v>
      </c>
      <c r="C221" s="272" t="s">
        <v>14</v>
      </c>
      <c r="D221" s="272" t="s">
        <v>8</v>
      </c>
      <c r="E221" s="272" t="s">
        <v>357</v>
      </c>
      <c r="F221" s="273">
        <v>119</v>
      </c>
      <c r="G221" s="274">
        <v>57011.428063279862</v>
      </c>
      <c r="H221" s="275">
        <f t="shared" si="88"/>
        <v>0.20485023404600566</v>
      </c>
      <c r="I221" s="274">
        <v>0</v>
      </c>
      <c r="J221" s="276" t="s">
        <v>263</v>
      </c>
      <c r="K221" s="277">
        <f t="shared" si="87"/>
        <v>0.7</v>
      </c>
      <c r="L221" s="278">
        <v>0.33</v>
      </c>
      <c r="M221" s="278">
        <v>0.03</v>
      </c>
      <c r="N221" s="278">
        <v>0.99119999999999997</v>
      </c>
      <c r="O221" s="279">
        <v>14</v>
      </c>
      <c r="P221" s="280">
        <v>278307.8492869875</v>
      </c>
      <c r="Q221" s="281">
        <v>834</v>
      </c>
      <c r="R221" s="282">
        <v>9.5205479452053918E-2</v>
      </c>
      <c r="S221" s="282">
        <v>9.5205479452055097E-2</v>
      </c>
      <c r="T221" s="281">
        <v>0</v>
      </c>
      <c r="U221" s="283">
        <v>0.93</v>
      </c>
      <c r="V221" s="284">
        <v>367495.21345454454</v>
      </c>
      <c r="W221" s="285">
        <v>0.15</v>
      </c>
      <c r="X221" s="286" t="s">
        <v>255</v>
      </c>
      <c r="Y221" s="287">
        <f t="shared" si="89"/>
        <v>119</v>
      </c>
      <c r="Z221" s="288">
        <f t="shared" si="90"/>
        <v>6784359.9395303037</v>
      </c>
      <c r="AA221" s="288">
        <f t="shared" si="91"/>
        <v>0</v>
      </c>
      <c r="AB221" s="288">
        <f t="shared" si="92"/>
        <v>7199617.042709074</v>
      </c>
      <c r="AC221" s="288">
        <f t="shared" si="109"/>
        <v>0</v>
      </c>
      <c r="AD221" s="287">
        <f t="shared" si="93"/>
        <v>32827190.085378177</v>
      </c>
      <c r="AE221" s="287">
        <f t="shared" si="94"/>
        <v>22979033.059764724</v>
      </c>
      <c r="AF221" s="287">
        <f t="shared" si="95"/>
        <v>459580661.1952945</v>
      </c>
      <c r="AG221" s="287">
        <f t="shared" si="96"/>
        <v>321706462.83670616</v>
      </c>
      <c r="AH221" s="287">
        <f t="shared" si="97"/>
        <v>105455.46493440001</v>
      </c>
      <c r="AI221" s="287">
        <f t="shared" si="98"/>
        <v>73818.825454079997</v>
      </c>
      <c r="AJ221" s="287">
        <f t="shared" si="99"/>
        <v>0</v>
      </c>
      <c r="AK221" s="287">
        <f t="shared" si="100"/>
        <v>0</v>
      </c>
      <c r="AL221" s="287">
        <f t="shared" si="101"/>
        <v>12.038295083835507</v>
      </c>
      <c r="AM221" s="287">
        <f t="shared" si="102"/>
        <v>8.426806558684854</v>
      </c>
      <c r="AN221" s="287">
        <f t="shared" si="103"/>
        <v>12.038295083835655</v>
      </c>
      <c r="AO221" s="287">
        <f t="shared" si="104"/>
        <v>8.426806558684957</v>
      </c>
      <c r="AP221" s="287">
        <f t="shared" si="105"/>
        <v>43731930.401090801</v>
      </c>
      <c r="AQ221" s="287">
        <f t="shared" si="106"/>
        <v>30612351.280763559</v>
      </c>
      <c r="AR221" s="287">
        <f t="shared" si="107"/>
        <v>21370500.745581195</v>
      </c>
      <c r="AS221" s="289" t="e">
        <f>IF(J221='2027 Avoided Costs'!#REF!,3,5)</f>
        <v>#REF!</v>
      </c>
      <c r="AT221" s="290" cm="1">
        <f t="array" ref="AT221">IFERROR(IF($J221="Baseload",IF($O221=1,0,NPV('2027 Avoided Costs'!$D$6,_xlfn._xlws.FILTER('2027 Avoided Costs'!$C$14:$C$47,('2027 Avoided Costs'!$B$14:$B$47&gt;=$B221+1)*('2027 Avoided Costs'!$B$14:$B$47&lt;$B221+ROUND($O221,0)))))+_xlfn.XLOOKUP($B221,'2027 Avoided Costs'!$B$13:$B$47,'2027 Avoided Costs'!$C$13:$C$47),IF($O221=1,0,NPV('2027 Avoided Costs'!$D$6,_xlfn._xlws.FILTER('2027 Avoided Costs'!$E$14:$E$47,('2027 Avoided Costs'!$B$14:$B$47&gt;=$B221+1)*('2027 Avoided Costs'!$B$14:$B$47&lt;$B221+ROUND($O221,0)))))+_xlfn.XLOOKUP($B221,'2027 Avoided Costs'!$B$13:$B$47,'2027 Avoided Costs'!$E$13:$E$47))*IF($AE221&gt;0,$AE221*(1+$W221),0),0)</f>
        <v>85211148.802767277</v>
      </c>
      <c r="AU221" s="290" cm="1">
        <f t="array" ref="AU221">IFERROR((IF($O221=1,0,NPV('2027 Avoided Costs'!$D$6,_xlfn._xlws.FILTER('2027 Avoided Costs'!$M$14:$M$47,('2027 Avoided Costs'!$B$14:$B$47&gt;=$B221+1)*('2027 Avoided Costs'!$B$14:$B$47&lt;$B221+ROUND($O221,0)))))+_xlfn.XLOOKUP($B221,'2027 Avoided Costs'!$B$13:$B$47,'2027 Avoided Costs'!$M$13:$M$47))*IF($AK221&gt;0,$AK221*(1+$W221),0),0)</f>
        <v>0</v>
      </c>
      <c r="AV221" s="291" cm="1">
        <f t="array" ref="AV221">IFERROR((IF($O221=1,0,NPV('2027 Avoided Costs'!$D$6,_xlfn._xlws.FILTER('2027 Avoided Costs'!$Q$14:$Q$47,('2027 Avoided Costs'!$B$14:$B$47&gt;=$B221+1)*('2027 Avoided Costs'!$B$14:$B$47&lt;$B221+ROUND($O221,0)))))+_xlfn.XLOOKUP($B221,'2027 Avoided Costs'!$B$13:$B$47,'2027 Avoided Costs'!$Q$13:$Q$47))*IF($AI221&gt;0,$AI221*(1+$W221),0),0)</f>
        <v>44624.778106238475</v>
      </c>
      <c r="AW221" s="291" cm="1">
        <f t="array" ref="AW221">IFERROR((IF($O221=1,0,NPV('2027 Avoided Costs'!$D$6,_xlfn._xlws.FILTER('2027 Avoided Costs'!$W$14:$W$47,('2027 Avoided Costs'!$B$14:$B$47&gt;=$B221+1)*('2027 Avoided Costs'!$B$14:$B$47&lt;$B221+ROUND($O221,0)))))+_xlfn.XLOOKUP($B221,'2027 Avoided Costs'!$B$13:$B$47,'2027 Avoided Costs'!$W$13:$W$47))*IF($AM221&gt;0,$AM221*(1+$W221),0),0)</f>
        <v>33483.75040785606</v>
      </c>
      <c r="AX221" s="291" cm="1">
        <f t="array" ref="AX221">IFERROR((IF($O221=1,0,NPV('2027 Avoided Costs'!$D$6,_xlfn._xlws.FILTER('2027 Avoided Costs'!$AC$14:$AC$47,('2027 Avoided Costs'!$B$14:$B$47&gt;=$B221+1)*('2027 Avoided Costs'!$B$14:$B$47&lt;$B221+ROUND($O221,0)))))+_xlfn.XLOOKUP($B221,'2027 Avoided Costs'!$B$13:$B$47,'2027 Avoided Costs'!$AC$13:$AC$47))*IF($AO221&gt;0,$AO221*(1+$W221),0),0)</f>
        <v>4767.8134313308619</v>
      </c>
      <c r="AY221" s="291" cm="1">
        <f t="array" ref="AY221">IFERROR((IF($O221=1,0,NPV('2027 Avoided Costs'!$D$4,_xlfn._xlws.FILTER('2027 Avoided Costs'!$I$14:$I$47,('2027 Avoided Costs'!$B$14:$B$47&gt;=$B221+1)*('2027 Avoided Costs'!$B$14:$B$47&lt;$B221+ROUND($O221,0)))))+_xlfn.XLOOKUP($B221,'2027 Avoided Costs'!$B$13:$B$47,'2027 Avoided Costs'!$I$13:$I$47))*IF($X221="Residential",'2027 Avoided Costs'!$J$5,IF($X221="Large Volume",'2027 Avoided Costs'!$J$7,'2027 Avoided Costs'!$J$6))*IF($AE221&gt;0,$AE221,0),0)</f>
        <v>0</v>
      </c>
      <c r="AZ221" s="291" cm="1">
        <f t="array" ref="AZ221">IFERROR(IF($J221="Baseload",IF($O221=1,0,NPV('2027 Avoided Costs'!$D$6,_xlfn._xlws.FILTER('2027 Avoided Costs'!$C$14:$C$47,('2027 Avoided Costs'!$B$14:$B$47&gt;=$B221+1)*('2027 Avoided Costs'!$B$14:$B$47&lt;$B221+ROUND($O221,0)))))+_xlfn.XLOOKUP($B221,'2027 Avoided Costs'!$B$13:$B$47,'2027 Avoided Costs'!$C$13:$C$47),IF($O221=1,0,NPV('2027 Avoided Costs'!$D$6,_xlfn._xlws.FILTER('2027 Avoided Costs'!$E$14:$E$47,('2027 Avoided Costs'!$B$14:$B$47&gt;=$B221+1)*('2027 Avoided Costs'!$B$14:$B$47&lt;$B221+ROUND($O221,0)))))+_xlfn.XLOOKUP($B221,'2027 Avoided Costs'!$B$13:$B$47,'2027 Avoided Costs'!$E$13:$E$47))*IF($AE221&lt;0,$AE221*(-1),0),0)</f>
        <v>0</v>
      </c>
      <c r="BA221" s="291" cm="1">
        <f t="array" ref="BA221">IFERROR((IF($O221=1,0,NPV('2027 Avoided Costs'!$D$6,_xlfn._xlws.FILTER('2027 Avoided Costs'!$M$14:$M$47,('2027 Avoided Costs'!$B$14:$B$47&gt;=$B221+1)*('2027 Avoided Costs'!$B$14:$B$47&lt;$B221+ROUND($O221,0)))))+_xlfn.XLOOKUP($B221,'2027 Avoided Costs'!$B$13:$B$47,'2027 Avoided Costs'!$M$13:$M$47))*IF($AK221&lt;0,$AK221*(-1),0),0)</f>
        <v>0</v>
      </c>
      <c r="BB221" s="291" cm="1">
        <f t="array" ref="BB221">IFERROR((IF($O221=1,0,NPV('2027 Avoided Costs'!$D$6,_xlfn._xlws.FILTER('2027 Avoided Costs'!$S$14:$S$47,('2027 Avoided Costs'!$B$14:$B$47&gt;=$B221+1)*('2027 Avoided Costs'!$B$14:$B$47&lt;$B221+ROUND($O221,0)))))+_xlfn.XLOOKUP($B221,'2027 Avoided Costs'!$B$13:$B$47,'2027 Avoided Costs'!$S$13:$S$47))*IF($AI221&lt;0,$AI221*(-1),0),0)</f>
        <v>0</v>
      </c>
      <c r="BC221" s="291" cm="1">
        <f t="array" ref="BC221">IFERROR((IF($O221=1,0,NPV('2027 Avoided Costs'!$D$6,_xlfn._xlws.FILTER('2027 Avoided Costs'!$Y$14:$Y$47,('2027 Avoided Costs'!$B$14:$B$47&gt;=$B221+1)*('2027 Avoided Costs'!$B$14:$B$47&lt;$B221+ROUND($O221,0)))))+_xlfn.XLOOKUP($B221,'2027 Avoided Costs'!$B$13:$B$47,'2027 Avoided Costs'!$Y$13:$Y$47))*IF($AM221&lt;0,$AM221*(-1),0),0)</f>
        <v>0</v>
      </c>
      <c r="BD221" s="291" cm="1">
        <f t="array" ref="BD221">IFERROR((IF($O221=1,0,NPV('2027 Avoided Costs'!$D$6,_xlfn._xlws.FILTER('2027 Avoided Costs'!$AE$14:$AE$47,('2027 Avoided Costs'!$B$14:$B$47&gt;=$B221+1)*('2027 Avoided Costs'!$B$14:$B$47&lt;$B221+ROUND($O221,0)))))+_xlfn.XLOOKUP($B221,'2027 Avoided Costs'!$B$13:$B$47,'2027 Avoided Costs'!$AE$13:$AE$47))*IF($AO221&lt;0,$AO221*(-1),0),0)</f>
        <v>0</v>
      </c>
      <c r="BE221" s="291" cm="1">
        <f t="array" ref="BE221">IFERROR((IF($O221=1,0,NPV('2027 Avoided Costs'!$D$4,_xlfn._xlws.FILTER('2027 Avoided Costs'!$I$14:$I$47,('2027 Avoided Costs'!$B$14:$B$47&gt;=$B221+1)*('2027 Avoided Costs'!$B$14:$B$47&lt;$B221+ROUND($O221,0)))))+_xlfn.XLOOKUP($B221,'2027 Avoided Costs'!$B$13:$B$47,'2027 Avoided Costs'!$I$13:$I$47))*IF($X221="Residential",'2027 Avoided Costs'!$J$5,IF($X221="Large Volume",'2027 Avoided Costs'!$J$7,'2027 Avoided Costs'!$J$6))*IF($AE221&lt;0,$AE221*(-1),0),0)</f>
        <v>0</v>
      </c>
      <c r="BF221" s="291">
        <f t="shared" si="84"/>
        <v>85294025.144712716</v>
      </c>
      <c r="BG221" s="291">
        <f t="shared" si="85"/>
        <v>30612351.280763559</v>
      </c>
      <c r="BH221" s="291">
        <f t="shared" si="86"/>
        <v>54681673.863949157</v>
      </c>
      <c r="BI221" s="292">
        <f t="shared" si="110"/>
        <v>2.7862618053226926</v>
      </c>
      <c r="BJ221" s="196" cm="1">
        <f t="array" ref="BJ221">IFERROR(IF($J221="Baseload",IF($O221=1,0,NPV('2027 Avoided Costs'!$D$6,_xlfn._xlws.FILTER('2027 Avoided Costs'!$C$14:$C$47,('2027 Avoided Costs'!$B$14:$B$47&gt;=$B221+1)*('2027 Avoided Costs'!$B$14:$B$47&lt;$B221+ROUND($O221,0)))))+_xlfn.XLOOKUP($B221,'2027 Avoided Costs'!$B$13:$B$47,'2027 Avoided Costs'!$C$13:$C$47),IF($O221=1,0,NPV('2027 Avoided Costs'!$D$6,_xlfn._xlws.FILTER('2027 Avoided Costs'!$E$14:$E$47,('2027 Avoided Costs'!$B$14:$B$47&gt;=$B221+1)*('2027 Avoided Costs'!$B$14:$B$47&lt;$B221+ROUND($O221,0)))))+_xlfn.XLOOKUP($B221,'2027 Avoided Costs'!$B$13:$B$47,'2027 Avoided Costs'!$E$13:$E$47))*IF($AE221&gt;0,$AE221*(1+0),0),0)</f>
        <v>74096651.13284111</v>
      </c>
      <c r="BK221" s="293">
        <f t="shared" si="108"/>
        <v>10.291748949046879</v>
      </c>
    </row>
    <row r="222" spans="1:63" s="56" customFormat="1" x14ac:dyDescent="0.25">
      <c r="A222" s="270" t="s">
        <v>133</v>
      </c>
      <c r="B222" s="271">
        <v>2030</v>
      </c>
      <c r="C222" s="272" t="s">
        <v>14</v>
      </c>
      <c r="D222" s="272" t="s">
        <v>8</v>
      </c>
      <c r="E222" s="272" t="s">
        <v>105</v>
      </c>
      <c r="F222" s="273">
        <v>51</v>
      </c>
      <c r="G222" s="274">
        <v>62526.011111111104</v>
      </c>
      <c r="H222" s="275">
        <f t="shared" si="88"/>
        <v>0.23</v>
      </c>
      <c r="I222" s="274">
        <v>0</v>
      </c>
      <c r="J222" s="276" t="s">
        <v>264</v>
      </c>
      <c r="K222" s="277">
        <f t="shared" si="87"/>
        <v>0.7</v>
      </c>
      <c r="L222" s="294">
        <v>0.33</v>
      </c>
      <c r="M222" s="294">
        <v>0.03</v>
      </c>
      <c r="N222" s="294">
        <v>0.96519999999999995</v>
      </c>
      <c r="O222" s="279">
        <v>18</v>
      </c>
      <c r="P222" s="280">
        <v>271852.22222222219</v>
      </c>
      <c r="Q222" s="295">
        <v>445</v>
      </c>
      <c r="R222" s="296">
        <v>0.2711780052172626</v>
      </c>
      <c r="S222" s="296">
        <v>8.0097184200379493E-2</v>
      </c>
      <c r="T222" s="295">
        <v>78.585790000000003</v>
      </c>
      <c r="U222" s="297">
        <v>0.99</v>
      </c>
      <c r="V222" s="284">
        <v>133723.28</v>
      </c>
      <c r="W222" s="298">
        <v>0.15</v>
      </c>
      <c r="X222" s="299" t="s">
        <v>255</v>
      </c>
      <c r="Y222" s="300">
        <f t="shared" si="89"/>
        <v>51</v>
      </c>
      <c r="Z222" s="196">
        <f t="shared" si="90"/>
        <v>3188826.5666666664</v>
      </c>
      <c r="AA222" s="196">
        <f t="shared" si="91"/>
        <v>0</v>
      </c>
      <c r="AB222" s="288">
        <f t="shared" si="92"/>
        <v>3384008.2631591996</v>
      </c>
      <c r="AC222" s="288">
        <f t="shared" si="109"/>
        <v>0</v>
      </c>
      <c r="AD222" s="287">
        <f t="shared" si="93"/>
        <v>13381980.009333331</v>
      </c>
      <c r="AE222" s="287">
        <f t="shared" si="94"/>
        <v>9367386.0065333303</v>
      </c>
      <c r="AF222" s="287">
        <f t="shared" si="95"/>
        <v>240875640.16799995</v>
      </c>
      <c r="AG222" s="287">
        <f t="shared" si="96"/>
        <v>168612948.11759993</v>
      </c>
      <c r="AH222" s="300">
        <f t="shared" si="97"/>
        <v>23482.389407999999</v>
      </c>
      <c r="AI222" s="300">
        <f t="shared" si="98"/>
        <v>16437.672585599998</v>
      </c>
      <c r="AJ222" s="300">
        <f t="shared" si="99"/>
        <v>3868.401229908</v>
      </c>
      <c r="AK222" s="300">
        <f t="shared" si="100"/>
        <v>2707.8808609356001</v>
      </c>
      <c r="AL222" s="300">
        <f t="shared" si="101"/>
        <v>14.309904533475091</v>
      </c>
      <c r="AM222" s="300">
        <f t="shared" si="102"/>
        <v>10.016933173432562</v>
      </c>
      <c r="AN222" s="300">
        <f t="shared" si="103"/>
        <v>4.2266815053429578</v>
      </c>
      <c r="AO222" s="300">
        <f t="shared" si="104"/>
        <v>2.9586770537400704</v>
      </c>
      <c r="AP222" s="300">
        <f t="shared" si="105"/>
        <v>6819887.2800000003</v>
      </c>
      <c r="AQ222" s="300">
        <f t="shared" si="106"/>
        <v>4773921.0959999999</v>
      </c>
      <c r="AR222" s="300">
        <f t="shared" si="107"/>
        <v>9273712.1464679968</v>
      </c>
      <c r="AS222" s="301" t="e">
        <f>IF(J222='2027 Avoided Costs'!#REF!,3,5)</f>
        <v>#REF!</v>
      </c>
      <c r="AT222" s="290" cm="1">
        <f t="array" ref="AT222">IFERROR(IF($J222="Baseload",IF($O222=1,0,NPV('2027 Avoided Costs'!$D$6,_xlfn._xlws.FILTER('2027 Avoided Costs'!$C$14:$C$47,('2027 Avoided Costs'!$B$14:$B$47&gt;=$B222+1)*('2027 Avoided Costs'!$B$14:$B$47&lt;$B222+ROUND($O222,0)))))+_xlfn.XLOOKUP($B222,'2027 Avoided Costs'!$B$13:$B$47,'2027 Avoided Costs'!$C$13:$C$47),IF($O222=1,0,NPV('2027 Avoided Costs'!$D$6,_xlfn._xlws.FILTER('2027 Avoided Costs'!$E$14:$E$47,('2027 Avoided Costs'!$B$14:$B$47&gt;=$B222+1)*('2027 Avoided Costs'!$B$14:$B$47&lt;$B222+ROUND($O222,0)))))+_xlfn.XLOOKUP($B222,'2027 Avoided Costs'!$B$13:$B$47,'2027 Avoided Costs'!$E$13:$E$47))*IF($AE222&gt;0,$AE222*(1+$W222),0),0)</f>
        <v>47496322.77675046</v>
      </c>
      <c r="AU222" s="290" cm="1">
        <f t="array" ref="AU222">IFERROR((IF($O222=1,0,NPV('2027 Avoided Costs'!$D$6,_xlfn._xlws.FILTER('2027 Avoided Costs'!$M$14:$M$47,('2027 Avoided Costs'!$B$14:$B$47&gt;=$B222+1)*('2027 Avoided Costs'!$B$14:$B$47&lt;$B222+ROUND($O222,0)))))+_xlfn.XLOOKUP($B222,'2027 Avoided Costs'!$B$13:$B$47,'2027 Avoided Costs'!$M$13:$M$47))*IF($AK222&gt;0,$AK222*(1+$W222),0),0)</f>
        <v>46907.284618073994</v>
      </c>
      <c r="AV222" s="291" cm="1">
        <f t="array" ref="AV222">IFERROR((IF($O222=1,0,NPV('2027 Avoided Costs'!$D$6,_xlfn._xlws.FILTER('2027 Avoided Costs'!$Q$14:$Q$47,('2027 Avoided Costs'!$B$14:$B$47&gt;=$B222+1)*('2027 Avoided Costs'!$B$14:$B$47&lt;$B222+ROUND($O222,0)))))+_xlfn.XLOOKUP($B222,'2027 Avoided Costs'!$B$13:$B$47,'2027 Avoided Costs'!$Q$13:$Q$47))*IF($AI222&gt;0,$AI222*(1+$W222),0),0)</f>
        <v>11774.72730661153</v>
      </c>
      <c r="AW222" s="291" cm="1">
        <f t="array" ref="AW222">IFERROR((IF($O222=1,0,NPV('2027 Avoided Costs'!$D$6,_xlfn._xlws.FILTER('2027 Avoided Costs'!$W$14:$W$47,('2027 Avoided Costs'!$B$14:$B$47&gt;=$B222+1)*('2027 Avoided Costs'!$B$14:$B$47&lt;$B222+ROUND($O222,0)))))+_xlfn.XLOOKUP($B222,'2027 Avoided Costs'!$B$13:$B$47,'2027 Avoided Costs'!$W$13:$W$47))*IF($AM222&gt;0,$AM222*(1+$W222),0),0)</f>
        <v>48022.52282773819</v>
      </c>
      <c r="AX222" s="291" cm="1">
        <f t="array" ref="AX222">IFERROR((IF($O222=1,0,NPV('2027 Avoided Costs'!$D$6,_xlfn._xlws.FILTER('2027 Avoided Costs'!$AC$14:$AC$47,('2027 Avoided Costs'!$B$14:$B$47&gt;=$B222+1)*('2027 Avoided Costs'!$B$14:$B$47&lt;$B222+ROUND($O222,0)))))+_xlfn.XLOOKUP($B222,'2027 Avoided Costs'!$B$13:$B$47,'2027 Avoided Costs'!$AC$13:$AC$47))*IF($AO222&gt;0,$AO222*(1+$W222),0),0)</f>
        <v>2486.4104465047785</v>
      </c>
      <c r="AY222" s="291" cm="1">
        <f t="array" ref="AY222">IFERROR((IF($O222=1,0,NPV('2027 Avoided Costs'!$D$4,_xlfn._xlws.FILTER('2027 Avoided Costs'!$I$14:$I$47,('2027 Avoided Costs'!$B$14:$B$47&gt;=$B222+1)*('2027 Avoided Costs'!$B$14:$B$47&lt;$B222+ROUND($O222,0)))))+_xlfn.XLOOKUP($B222,'2027 Avoided Costs'!$B$13:$B$47,'2027 Avoided Costs'!$I$13:$I$47))*IF($X222="Residential",'2027 Avoided Costs'!$J$5,IF($X222="Large Volume",'2027 Avoided Costs'!$J$7,'2027 Avoided Costs'!$J$6))*IF($AE222&gt;0,$AE222,0),0)</f>
        <v>0</v>
      </c>
      <c r="AZ222" s="291" cm="1">
        <f t="array" ref="AZ222">IFERROR(IF($J222="Baseload",IF($O222=1,0,NPV('2027 Avoided Costs'!$D$6,_xlfn._xlws.FILTER('2027 Avoided Costs'!$C$14:$C$47,('2027 Avoided Costs'!$B$14:$B$47&gt;=$B222+1)*('2027 Avoided Costs'!$B$14:$B$47&lt;$B222+ROUND($O222,0)))))+_xlfn.XLOOKUP($B222,'2027 Avoided Costs'!$B$13:$B$47,'2027 Avoided Costs'!$C$13:$C$47),IF($O222=1,0,NPV('2027 Avoided Costs'!$D$6,_xlfn._xlws.FILTER('2027 Avoided Costs'!$E$14:$E$47,('2027 Avoided Costs'!$B$14:$B$47&gt;=$B222+1)*('2027 Avoided Costs'!$B$14:$B$47&lt;$B222+ROUND($O222,0)))))+_xlfn.XLOOKUP($B222,'2027 Avoided Costs'!$B$13:$B$47,'2027 Avoided Costs'!$E$13:$E$47))*IF($AE222&lt;0,$AE222*(-1),0),0)</f>
        <v>0</v>
      </c>
      <c r="BA222" s="291" cm="1">
        <f t="array" ref="BA222">IFERROR((IF($O222=1,0,NPV('2027 Avoided Costs'!$D$6,_xlfn._xlws.FILTER('2027 Avoided Costs'!$M$14:$M$47,('2027 Avoided Costs'!$B$14:$B$47&gt;=$B222+1)*('2027 Avoided Costs'!$B$14:$B$47&lt;$B222+ROUND($O222,0)))))+_xlfn.XLOOKUP($B222,'2027 Avoided Costs'!$B$13:$B$47,'2027 Avoided Costs'!$M$13:$M$47))*IF($AK222&lt;0,$AK222*(-1),0),0)</f>
        <v>0</v>
      </c>
      <c r="BB222" s="291" cm="1">
        <f t="array" ref="BB222">IFERROR((IF($O222=1,0,NPV('2027 Avoided Costs'!$D$6,_xlfn._xlws.FILTER('2027 Avoided Costs'!$S$14:$S$47,('2027 Avoided Costs'!$B$14:$B$47&gt;=$B222+1)*('2027 Avoided Costs'!$B$14:$B$47&lt;$B222+ROUND($O222,0)))))+_xlfn.XLOOKUP($B222,'2027 Avoided Costs'!$B$13:$B$47,'2027 Avoided Costs'!$S$13:$S$47))*IF($AI222&lt;0,$AI222*(-1),0),0)</f>
        <v>0</v>
      </c>
      <c r="BC222" s="291" cm="1">
        <f t="array" ref="BC222">IFERROR((IF($O222=1,0,NPV('2027 Avoided Costs'!$D$6,_xlfn._xlws.FILTER('2027 Avoided Costs'!$Y$14:$Y$47,('2027 Avoided Costs'!$B$14:$B$47&gt;=$B222+1)*('2027 Avoided Costs'!$B$14:$B$47&lt;$B222+ROUND($O222,0)))))+_xlfn.XLOOKUP($B222,'2027 Avoided Costs'!$B$13:$B$47,'2027 Avoided Costs'!$Y$13:$Y$47))*IF($AM222&lt;0,$AM222*(-1),0),0)</f>
        <v>0</v>
      </c>
      <c r="BD222" s="291" cm="1">
        <f t="array" ref="BD222">IFERROR((IF($O222=1,0,NPV('2027 Avoided Costs'!$D$6,_xlfn._xlws.FILTER('2027 Avoided Costs'!$AE$14:$AE$47,('2027 Avoided Costs'!$B$14:$B$47&gt;=$B222+1)*('2027 Avoided Costs'!$B$14:$B$47&lt;$B222+ROUND($O222,0)))))+_xlfn.XLOOKUP($B222,'2027 Avoided Costs'!$B$13:$B$47,'2027 Avoided Costs'!$AE$13:$AE$47))*IF($AO222&lt;0,$AO222*(-1),0),0)</f>
        <v>0</v>
      </c>
      <c r="BE222" s="291" cm="1">
        <f t="array" ref="BE222">IFERROR((IF($O222=1,0,NPV('2027 Avoided Costs'!$D$4,_xlfn._xlws.FILTER('2027 Avoided Costs'!$I$14:$I$47,('2027 Avoided Costs'!$B$14:$B$47&gt;=$B222+1)*('2027 Avoided Costs'!$B$14:$B$47&lt;$B222+ROUND($O222,0)))))+_xlfn.XLOOKUP($B222,'2027 Avoided Costs'!$B$13:$B$47,'2027 Avoided Costs'!$I$13:$I$47))*IF($X222="Residential",'2027 Avoided Costs'!$J$5,IF($X222="Large Volume",'2027 Avoided Costs'!$J$7,'2027 Avoided Costs'!$J$6))*IF($AE222&lt;0,$AE222*(-1),0),0)</f>
        <v>0</v>
      </c>
      <c r="BF222" s="291">
        <f t="shared" si="84"/>
        <v>47605513.721949384</v>
      </c>
      <c r="BG222" s="291">
        <f t="shared" si="85"/>
        <v>4773921.0959999999</v>
      </c>
      <c r="BH222" s="291">
        <f t="shared" si="86"/>
        <v>42831592.625949383</v>
      </c>
      <c r="BI222" s="292">
        <f t="shared" si="110"/>
        <v>9.9719942505621564</v>
      </c>
      <c r="BJ222" s="196" cm="1">
        <f t="array" ref="BJ222">IFERROR(IF($J222="Baseload",IF($O222=1,0,NPV('2027 Avoided Costs'!$D$6,_xlfn._xlws.FILTER('2027 Avoided Costs'!$C$14:$C$47,('2027 Avoided Costs'!$B$14:$B$47&gt;=$B222+1)*('2027 Avoided Costs'!$B$14:$B$47&lt;$B222+ROUND($O222,0)))))+_xlfn.XLOOKUP($B222,'2027 Avoided Costs'!$B$13:$B$47,'2027 Avoided Costs'!$C$13:$C$47),IF($O222=1,0,NPV('2027 Avoided Costs'!$D$6,_xlfn._xlws.FILTER('2027 Avoided Costs'!$E$14:$E$47,('2027 Avoided Costs'!$B$14:$B$47&gt;=$B222+1)*('2027 Avoided Costs'!$B$14:$B$47&lt;$B222+ROUND($O222,0)))))+_xlfn.XLOOKUP($B222,'2027 Avoided Costs'!$B$13:$B$47,'2027 Avoided Costs'!$E$13:$E$47))*IF($AE222&gt;0,$AE222*(1+0),0),0)</f>
        <v>41301150.240652576</v>
      </c>
      <c r="BK222" s="293">
        <f t="shared" si="108"/>
        <v>12.204801829323895</v>
      </c>
    </row>
    <row r="223" spans="1:63" s="56" customFormat="1" x14ac:dyDescent="0.25">
      <c r="A223" s="270" t="s">
        <v>133</v>
      </c>
      <c r="B223" s="271">
        <v>2030</v>
      </c>
      <c r="C223" s="272" t="s">
        <v>14</v>
      </c>
      <c r="D223" s="272" t="s">
        <v>8</v>
      </c>
      <c r="E223" s="272" t="s">
        <v>358</v>
      </c>
      <c r="F223" s="273">
        <v>152</v>
      </c>
      <c r="G223" s="274">
        <v>62526.011111111104</v>
      </c>
      <c r="H223" s="275">
        <f t="shared" si="88"/>
        <v>0.23</v>
      </c>
      <c r="I223" s="274">
        <v>0</v>
      </c>
      <c r="J223" s="276" t="s">
        <v>263</v>
      </c>
      <c r="K223" s="277">
        <f t="shared" si="87"/>
        <v>0.7</v>
      </c>
      <c r="L223" s="278">
        <v>0.33</v>
      </c>
      <c r="M223" s="278">
        <v>0.03</v>
      </c>
      <c r="N223" s="278">
        <v>0.96519999999999995</v>
      </c>
      <c r="O223" s="279">
        <v>18</v>
      </c>
      <c r="P223" s="280">
        <v>271852.22222222219</v>
      </c>
      <c r="Q223" s="281">
        <v>445</v>
      </c>
      <c r="R223" s="282">
        <v>5.07990867579904E-2</v>
      </c>
      <c r="S223" s="282">
        <v>5.0799086757991031E-2</v>
      </c>
      <c r="T223" s="281">
        <v>0</v>
      </c>
      <c r="U223" s="283">
        <v>0.99</v>
      </c>
      <c r="V223" s="284">
        <v>133723.28</v>
      </c>
      <c r="W223" s="285">
        <v>0.15</v>
      </c>
      <c r="X223" s="286" t="s">
        <v>255</v>
      </c>
      <c r="Y223" s="287">
        <f t="shared" si="89"/>
        <v>152</v>
      </c>
      <c r="Z223" s="288">
        <f t="shared" si="90"/>
        <v>9503953.6888888869</v>
      </c>
      <c r="AA223" s="288">
        <f t="shared" si="91"/>
        <v>0</v>
      </c>
      <c r="AB223" s="288">
        <f t="shared" si="92"/>
        <v>10085671.686278397</v>
      </c>
      <c r="AC223" s="288">
        <f t="shared" si="109"/>
        <v>0</v>
      </c>
      <c r="AD223" s="287">
        <f t="shared" si="93"/>
        <v>39883548.263111107</v>
      </c>
      <c r="AE223" s="287">
        <f t="shared" si="94"/>
        <v>27918483.784177773</v>
      </c>
      <c r="AF223" s="287">
        <f t="shared" si="95"/>
        <v>717903868.73599994</v>
      </c>
      <c r="AG223" s="287">
        <f t="shared" si="96"/>
        <v>502532708.11519992</v>
      </c>
      <c r="AH223" s="287">
        <f t="shared" si="97"/>
        <v>69986.729215999992</v>
      </c>
      <c r="AI223" s="287">
        <f t="shared" si="98"/>
        <v>48990.710451200001</v>
      </c>
      <c r="AJ223" s="287">
        <f t="shared" si="99"/>
        <v>0</v>
      </c>
      <c r="AK223" s="287">
        <f t="shared" si="100"/>
        <v>0</v>
      </c>
      <c r="AL223" s="287">
        <f t="shared" si="101"/>
        <v>7.9893526502282368</v>
      </c>
      <c r="AM223" s="287">
        <f t="shared" si="102"/>
        <v>5.5925468551597657</v>
      </c>
      <c r="AN223" s="287">
        <f t="shared" si="103"/>
        <v>7.9893526502283372</v>
      </c>
      <c r="AO223" s="287">
        <f t="shared" si="104"/>
        <v>5.592546855159835</v>
      </c>
      <c r="AP223" s="287">
        <f t="shared" si="105"/>
        <v>20325938.559999999</v>
      </c>
      <c r="AQ223" s="287">
        <f t="shared" si="106"/>
        <v>14228156.991999999</v>
      </c>
      <c r="AR223" s="287">
        <f t="shared" si="107"/>
        <v>27639298.946335994</v>
      </c>
      <c r="AS223" s="289" t="e">
        <f>IF(J223='2027 Avoided Costs'!#REF!,3,5)</f>
        <v>#REF!</v>
      </c>
      <c r="AT223" s="290" cm="1">
        <f t="array" ref="AT223">IFERROR(IF($J223="Baseload",IF($O223=1,0,NPV('2027 Avoided Costs'!$D$6,_xlfn._xlws.FILTER('2027 Avoided Costs'!$C$14:$C$47,('2027 Avoided Costs'!$B$14:$B$47&gt;=$B223+1)*('2027 Avoided Costs'!$B$14:$B$47&lt;$B223+ROUND($O223,0)))))+_xlfn.XLOOKUP($B223,'2027 Avoided Costs'!$B$13:$B$47,'2027 Avoided Costs'!$C$13:$C$47),IF($O223=1,0,NPV('2027 Avoided Costs'!$D$6,_xlfn._xlws.FILTER('2027 Avoided Costs'!$E$14:$E$47,('2027 Avoided Costs'!$B$14:$B$47&gt;=$B223+1)*('2027 Avoided Costs'!$B$14:$B$47&lt;$B223+ROUND($O223,0)))))+_xlfn.XLOOKUP($B223,'2027 Avoided Costs'!$B$13:$B$47,'2027 Avoided Costs'!$E$13:$E$47))*IF($AE223&gt;0,$AE223*(1+$W223),0),0)</f>
        <v>126840878.68672402</v>
      </c>
      <c r="AU223" s="290" cm="1">
        <f t="array" ref="AU223">IFERROR((IF($O223=1,0,NPV('2027 Avoided Costs'!$D$6,_xlfn._xlws.FILTER('2027 Avoided Costs'!$M$14:$M$47,('2027 Avoided Costs'!$B$14:$B$47&gt;=$B223+1)*('2027 Avoided Costs'!$B$14:$B$47&lt;$B223+ROUND($O223,0)))))+_xlfn.XLOOKUP($B223,'2027 Avoided Costs'!$B$13:$B$47,'2027 Avoided Costs'!$M$13:$M$47))*IF($AK223&gt;0,$AK223*(1+$W223),0),0)</f>
        <v>0</v>
      </c>
      <c r="AV223" s="291" cm="1">
        <f t="array" ref="AV223">IFERROR((IF($O223=1,0,NPV('2027 Avoided Costs'!$D$6,_xlfn._xlws.FILTER('2027 Avoided Costs'!$Q$14:$Q$47,('2027 Avoided Costs'!$B$14:$B$47&gt;=$B223+1)*('2027 Avoided Costs'!$B$14:$B$47&lt;$B223+ROUND($O223,0)))))+_xlfn.XLOOKUP($B223,'2027 Avoided Costs'!$B$13:$B$47,'2027 Avoided Costs'!$Q$13:$Q$47))*IF($AI223&gt;0,$AI223*(1+$W223),0),0)</f>
        <v>35093.304913822605</v>
      </c>
      <c r="AW223" s="291" cm="1">
        <f t="array" ref="AW223">IFERROR((IF($O223=1,0,NPV('2027 Avoided Costs'!$D$6,_xlfn._xlws.FILTER('2027 Avoided Costs'!$W$14:$W$47,('2027 Avoided Costs'!$B$14:$B$47&gt;=$B223+1)*('2027 Avoided Costs'!$B$14:$B$47&lt;$B223+ROUND($O223,0)))))+_xlfn.XLOOKUP($B223,'2027 Avoided Costs'!$B$13:$B$47,'2027 Avoided Costs'!$W$13:$W$47))*IF($AM223&gt;0,$AM223*(1+$W223),0),0)</f>
        <v>26811.420658112806</v>
      </c>
      <c r="AX223" s="291" cm="1">
        <f t="array" ref="AX223">IFERROR((IF($O223=1,0,NPV('2027 Avoided Costs'!$D$6,_xlfn._xlws.FILTER('2027 Avoided Costs'!$AC$14:$AC$47,('2027 Avoided Costs'!$B$14:$B$47&gt;=$B223+1)*('2027 Avoided Costs'!$B$14:$B$47&lt;$B223+ROUND($O223,0)))))+_xlfn.XLOOKUP($B223,'2027 Avoided Costs'!$B$13:$B$47,'2027 Avoided Costs'!$AC$13:$AC$47))*IF($AO223&gt;0,$AO223*(1+$W223),0),0)</f>
        <v>4699.8596570920281</v>
      </c>
      <c r="AY223" s="291" cm="1">
        <f t="array" ref="AY223">IFERROR((IF($O223=1,0,NPV('2027 Avoided Costs'!$D$4,_xlfn._xlws.FILTER('2027 Avoided Costs'!$I$14:$I$47,('2027 Avoided Costs'!$B$14:$B$47&gt;=$B223+1)*('2027 Avoided Costs'!$B$14:$B$47&lt;$B223+ROUND($O223,0)))))+_xlfn.XLOOKUP($B223,'2027 Avoided Costs'!$B$13:$B$47,'2027 Avoided Costs'!$I$13:$I$47))*IF($X223="Residential",'2027 Avoided Costs'!$J$5,IF($X223="Large Volume",'2027 Avoided Costs'!$J$7,'2027 Avoided Costs'!$J$6))*IF($AE223&gt;0,$AE223,0),0)</f>
        <v>0</v>
      </c>
      <c r="AZ223" s="291" cm="1">
        <f t="array" ref="AZ223">IFERROR(IF($J223="Baseload",IF($O223=1,0,NPV('2027 Avoided Costs'!$D$6,_xlfn._xlws.FILTER('2027 Avoided Costs'!$C$14:$C$47,('2027 Avoided Costs'!$B$14:$B$47&gt;=$B223+1)*('2027 Avoided Costs'!$B$14:$B$47&lt;$B223+ROUND($O223,0)))))+_xlfn.XLOOKUP($B223,'2027 Avoided Costs'!$B$13:$B$47,'2027 Avoided Costs'!$C$13:$C$47),IF($O223=1,0,NPV('2027 Avoided Costs'!$D$6,_xlfn._xlws.FILTER('2027 Avoided Costs'!$E$14:$E$47,('2027 Avoided Costs'!$B$14:$B$47&gt;=$B223+1)*('2027 Avoided Costs'!$B$14:$B$47&lt;$B223+ROUND($O223,0)))))+_xlfn.XLOOKUP($B223,'2027 Avoided Costs'!$B$13:$B$47,'2027 Avoided Costs'!$E$13:$E$47))*IF($AE223&lt;0,$AE223*(-1),0),0)</f>
        <v>0</v>
      </c>
      <c r="BA223" s="291" cm="1">
        <f t="array" ref="BA223">IFERROR((IF($O223=1,0,NPV('2027 Avoided Costs'!$D$6,_xlfn._xlws.FILTER('2027 Avoided Costs'!$M$14:$M$47,('2027 Avoided Costs'!$B$14:$B$47&gt;=$B223+1)*('2027 Avoided Costs'!$B$14:$B$47&lt;$B223+ROUND($O223,0)))))+_xlfn.XLOOKUP($B223,'2027 Avoided Costs'!$B$13:$B$47,'2027 Avoided Costs'!$M$13:$M$47))*IF($AK223&lt;0,$AK223*(-1),0),0)</f>
        <v>0</v>
      </c>
      <c r="BB223" s="291" cm="1">
        <f t="array" ref="BB223">IFERROR((IF($O223=1,0,NPV('2027 Avoided Costs'!$D$6,_xlfn._xlws.FILTER('2027 Avoided Costs'!$S$14:$S$47,('2027 Avoided Costs'!$B$14:$B$47&gt;=$B223+1)*('2027 Avoided Costs'!$B$14:$B$47&lt;$B223+ROUND($O223,0)))))+_xlfn.XLOOKUP($B223,'2027 Avoided Costs'!$B$13:$B$47,'2027 Avoided Costs'!$S$13:$S$47))*IF($AI223&lt;0,$AI223*(-1),0),0)</f>
        <v>0</v>
      </c>
      <c r="BC223" s="291" cm="1">
        <f t="array" ref="BC223">IFERROR((IF($O223=1,0,NPV('2027 Avoided Costs'!$D$6,_xlfn._xlws.FILTER('2027 Avoided Costs'!$Y$14:$Y$47,('2027 Avoided Costs'!$B$14:$B$47&gt;=$B223+1)*('2027 Avoided Costs'!$B$14:$B$47&lt;$B223+ROUND($O223,0)))))+_xlfn.XLOOKUP($B223,'2027 Avoided Costs'!$B$13:$B$47,'2027 Avoided Costs'!$Y$13:$Y$47))*IF($AM223&lt;0,$AM223*(-1),0),0)</f>
        <v>0</v>
      </c>
      <c r="BD223" s="291" cm="1">
        <f t="array" ref="BD223">IFERROR((IF($O223=1,0,NPV('2027 Avoided Costs'!$D$6,_xlfn._xlws.FILTER('2027 Avoided Costs'!$AE$14:$AE$47,('2027 Avoided Costs'!$B$14:$B$47&gt;=$B223+1)*('2027 Avoided Costs'!$B$14:$B$47&lt;$B223+ROUND($O223,0)))))+_xlfn.XLOOKUP($B223,'2027 Avoided Costs'!$B$13:$B$47,'2027 Avoided Costs'!$AE$13:$AE$47))*IF($AO223&lt;0,$AO223*(-1),0),0)</f>
        <v>0</v>
      </c>
      <c r="BE223" s="291" cm="1">
        <f t="array" ref="BE223">IFERROR((IF($O223=1,0,NPV('2027 Avoided Costs'!$D$4,_xlfn._xlws.FILTER('2027 Avoided Costs'!$I$14:$I$47,('2027 Avoided Costs'!$B$14:$B$47&gt;=$B223+1)*('2027 Avoided Costs'!$B$14:$B$47&lt;$B223+ROUND($O223,0)))))+_xlfn.XLOOKUP($B223,'2027 Avoided Costs'!$B$13:$B$47,'2027 Avoided Costs'!$I$13:$I$47))*IF($X223="Residential",'2027 Avoided Costs'!$J$5,IF($X223="Large Volume",'2027 Avoided Costs'!$J$7,'2027 Avoided Costs'!$J$6))*IF($AE223&lt;0,$AE223*(-1),0),0)</f>
        <v>0</v>
      </c>
      <c r="BF223" s="291">
        <f t="shared" si="84"/>
        <v>126907483.27195305</v>
      </c>
      <c r="BG223" s="291">
        <f t="shared" si="85"/>
        <v>14228156.991999999</v>
      </c>
      <c r="BH223" s="291">
        <f t="shared" si="86"/>
        <v>112679326.27995305</v>
      </c>
      <c r="BI223" s="292">
        <f t="shared" si="110"/>
        <v>8.9194604292958495</v>
      </c>
      <c r="BJ223" s="196" cm="1">
        <f t="array" ref="BJ223">IFERROR(IF($J223="Baseload",IF($O223=1,0,NPV('2027 Avoided Costs'!$D$6,_xlfn._xlws.FILTER('2027 Avoided Costs'!$C$14:$C$47,('2027 Avoided Costs'!$B$14:$B$47&gt;=$B223+1)*('2027 Avoided Costs'!$B$14:$B$47&lt;$B223+ROUND($O223,0)))))+_xlfn.XLOOKUP($B223,'2027 Avoided Costs'!$B$13:$B$47,'2027 Avoided Costs'!$C$13:$C$47),IF($O223=1,0,NPV('2027 Avoided Costs'!$D$6,_xlfn._xlws.FILTER('2027 Avoided Costs'!$E$14:$E$47,('2027 Avoided Costs'!$B$14:$B$47&gt;=$B223+1)*('2027 Avoided Costs'!$B$14:$B$47&lt;$B223+ROUND($O223,0)))))+_xlfn.XLOOKUP($B223,'2027 Avoided Costs'!$B$13:$B$47,'2027 Avoided Costs'!$E$13:$E$47))*IF($AE223&gt;0,$AE223*(1+0),0),0)</f>
        <v>110296416.24932525</v>
      </c>
      <c r="BK223" s="293">
        <f t="shared" si="108"/>
        <v>10.935951484459288</v>
      </c>
    </row>
    <row r="224" spans="1:63" s="56" customFormat="1" x14ac:dyDescent="0.25">
      <c r="A224" s="270" t="s">
        <v>133</v>
      </c>
      <c r="B224" s="271">
        <v>2027</v>
      </c>
      <c r="C224" s="272" t="s">
        <v>15</v>
      </c>
      <c r="D224" s="272" t="s">
        <v>27</v>
      </c>
      <c r="E224" s="272" t="s">
        <v>118</v>
      </c>
      <c r="F224" s="273">
        <v>67</v>
      </c>
      <c r="G224" s="274">
        <v>47443.41950154752</v>
      </c>
      <c r="H224" s="275">
        <f t="shared" si="88"/>
        <v>4.056922727154956E-2</v>
      </c>
      <c r="I224" s="274">
        <v>0</v>
      </c>
      <c r="J224" s="276" t="s">
        <v>263</v>
      </c>
      <c r="K224" s="277">
        <f t="shared" si="87"/>
        <v>0.23749999999999996</v>
      </c>
      <c r="L224" s="278">
        <v>0.77070000000000005</v>
      </c>
      <c r="M224" s="278">
        <v>8.2000000000000007E-3</v>
      </c>
      <c r="N224" s="278">
        <v>0.98070000000000002</v>
      </c>
      <c r="O224" s="279">
        <v>11</v>
      </c>
      <c r="P224" s="280">
        <v>1169443.509090909</v>
      </c>
      <c r="Q224" s="281">
        <v>29425.176470588234</v>
      </c>
      <c r="R224" s="282">
        <v>3.3590384098844708</v>
      </c>
      <c r="S224" s="282">
        <v>3.3590384098845121</v>
      </c>
      <c r="T224" s="281">
        <v>1713.8665190235138</v>
      </c>
      <c r="U224" s="283">
        <v>0</v>
      </c>
      <c r="V224" s="284">
        <v>557554.28407612292</v>
      </c>
      <c r="W224" s="285">
        <v>0.15</v>
      </c>
      <c r="X224" s="286" t="s">
        <v>15</v>
      </c>
      <c r="Y224" s="287">
        <f t="shared" si="89"/>
        <v>67</v>
      </c>
      <c r="Z224" s="288">
        <f t="shared" si="90"/>
        <v>3178709.1066036839</v>
      </c>
      <c r="AA224" s="288">
        <f t="shared" si="91"/>
        <v>0</v>
      </c>
      <c r="AB224" s="288">
        <f t="shared" si="92"/>
        <v>3178709.1066036839</v>
      </c>
      <c r="AC224" s="288">
        <f t="shared" si="109"/>
        <v>0</v>
      </c>
      <c r="AD224" s="287">
        <f t="shared" si="93"/>
        <v>76840507.707485452</v>
      </c>
      <c r="AE224" s="287">
        <f t="shared" si="94"/>
        <v>18249620.580527794</v>
      </c>
      <c r="AF224" s="287">
        <f t="shared" si="95"/>
        <v>845245584.78233993</v>
      </c>
      <c r="AG224" s="287">
        <f t="shared" si="96"/>
        <v>200745826.38580573</v>
      </c>
      <c r="AH224" s="287">
        <f t="shared" si="97"/>
        <v>2072644.6010394355</v>
      </c>
      <c r="AI224" s="287">
        <f t="shared" si="98"/>
        <v>492253.09274686582</v>
      </c>
      <c r="AJ224" s="287">
        <f t="shared" si="99"/>
        <v>112612.85597882612</v>
      </c>
      <c r="AK224" s="287">
        <f t="shared" si="100"/>
        <v>26745.5532949712</v>
      </c>
      <c r="AL224" s="287">
        <f t="shared" si="101"/>
        <v>236.60326495883749</v>
      </c>
      <c r="AM224" s="287">
        <f t="shared" si="102"/>
        <v>56.19327542772389</v>
      </c>
      <c r="AN224" s="287">
        <f t="shared" si="103"/>
        <v>236.60326495884038</v>
      </c>
      <c r="AO224" s="287">
        <f t="shared" si="104"/>
        <v>56.193275427724586</v>
      </c>
      <c r="AP224" s="287">
        <f t="shared" si="105"/>
        <v>37356137.033100232</v>
      </c>
      <c r="AQ224" s="287">
        <f t="shared" si="106"/>
        <v>8872082.5453613047</v>
      </c>
      <c r="AR224" s="287">
        <f t="shared" si="107"/>
        <v>0</v>
      </c>
      <c r="AS224" s="289" t="e">
        <f>IF(J224='2027 Avoided Costs'!#REF!,3,5)</f>
        <v>#REF!</v>
      </c>
      <c r="AT224" s="290" cm="1">
        <f t="array" ref="AT224">IFERROR(IF($J224="Baseload",IF($O224=1,0,NPV('2027 Avoided Costs'!$D$6,_xlfn._xlws.FILTER('2027 Avoided Costs'!$C$14:$C$47,('2027 Avoided Costs'!$B$14:$B$47&gt;=$B224+1)*('2027 Avoided Costs'!$B$14:$B$47&lt;$B224+ROUND($O224,0)))))+_xlfn.XLOOKUP($B224,'2027 Avoided Costs'!$B$13:$B$47,'2027 Avoided Costs'!$C$13:$C$47),IF($O224=1,0,NPV('2027 Avoided Costs'!$D$6,_xlfn._xlws.FILTER('2027 Avoided Costs'!$E$14:$E$47,('2027 Avoided Costs'!$B$14:$B$47&gt;=$B224+1)*('2027 Avoided Costs'!$B$14:$B$47&lt;$B224+ROUND($O224,0)))))+_xlfn.XLOOKUP($B224,'2027 Avoided Costs'!$B$13:$B$47,'2027 Avoided Costs'!$E$13:$E$47))*IF($AE224&gt;0,$AE224*(1+$W224),0),0)</f>
        <v>49307631.164054997</v>
      </c>
      <c r="AU224" s="290" cm="1">
        <f t="array" ref="AU224">IFERROR((IF($O224=1,0,NPV('2027 Avoided Costs'!$D$6,_xlfn._xlws.FILTER('2027 Avoided Costs'!$M$14:$M$47,('2027 Avoided Costs'!$B$14:$B$47&gt;=$B224+1)*('2027 Avoided Costs'!$B$14:$B$47&lt;$B224+ROUND($O224,0)))))+_xlfn.XLOOKUP($B224,'2027 Avoided Costs'!$B$13:$B$47,'2027 Avoided Costs'!$M$13:$M$47))*IF($AK224&gt;0,$AK224*(1+$W224),0),0)</f>
        <v>302120.33888109907</v>
      </c>
      <c r="AV224" s="291" cm="1">
        <f t="array" ref="AV224">IFERROR((IF($O224=1,0,NPV('2027 Avoided Costs'!$D$6,_xlfn._xlws.FILTER('2027 Avoided Costs'!$Q$14:$Q$47,('2027 Avoided Costs'!$B$14:$B$47&gt;=$B224+1)*('2027 Avoided Costs'!$B$14:$B$47&lt;$B224+ROUND($O224,0)))))+_xlfn.XLOOKUP($B224,'2027 Avoided Costs'!$B$13:$B$47,'2027 Avoided Costs'!$Q$13:$Q$47))*IF($AI224&gt;0,$AI224*(1+$W224),0),0)</f>
        <v>264771.91739027825</v>
      </c>
      <c r="AW224" s="291" cm="1">
        <f t="array" ref="AW224">IFERROR((IF($O224=1,0,NPV('2027 Avoided Costs'!$D$6,_xlfn._xlws.FILTER('2027 Avoided Costs'!$W$14:$W$47,('2027 Avoided Costs'!$B$14:$B$47&gt;=$B224+1)*('2027 Avoided Costs'!$B$14:$B$47&lt;$B224+ROUND($O224,0)))))+_xlfn.XLOOKUP($B224,'2027 Avoided Costs'!$B$13:$B$47,'2027 Avoided Costs'!$W$13:$W$47))*IF($AM224&gt;0,$AM224*(1+$W224),0),0)</f>
        <v>176979.76696047149</v>
      </c>
      <c r="AX224" s="291" cm="1">
        <f t="array" ref="AX224">IFERROR((IF($O224=1,0,NPV('2027 Avoided Costs'!$D$6,_xlfn._xlws.FILTER('2027 Avoided Costs'!$AC$14:$AC$47,('2027 Avoided Costs'!$B$14:$B$47&gt;=$B224+1)*('2027 Avoided Costs'!$B$14:$B$47&lt;$B224+ROUND($O224,0)))))+_xlfn.XLOOKUP($B224,'2027 Avoided Costs'!$B$13:$B$47,'2027 Avoided Costs'!$AC$13:$AC$47))*IF($AO224&gt;0,$AO224*(1+$W224),0),0)</f>
        <v>0</v>
      </c>
      <c r="AY224" s="291" cm="1">
        <f t="array" ref="AY224">IFERROR((IF($O224=1,0,NPV('2027 Avoided Costs'!$D$4,_xlfn._xlws.FILTER('2027 Avoided Costs'!$I$14:$I$47,('2027 Avoided Costs'!$B$14:$B$47&gt;=$B224+1)*('2027 Avoided Costs'!$B$14:$B$47&lt;$B224+ROUND($O224,0)))))+_xlfn.XLOOKUP($B224,'2027 Avoided Costs'!$B$13:$B$47,'2027 Avoided Costs'!$I$13:$I$47))*IF($X224="Residential",'2027 Avoided Costs'!$J$5,IF($X224="Large Volume",'2027 Avoided Costs'!$J$7,'2027 Avoided Costs'!$J$6))*IF($AE224&gt;0,$AE224,0),0)</f>
        <v>0</v>
      </c>
      <c r="AZ224" s="291" cm="1">
        <f t="array" ref="AZ224">IFERROR(IF($J224="Baseload",IF($O224=1,0,NPV('2027 Avoided Costs'!$D$6,_xlfn._xlws.FILTER('2027 Avoided Costs'!$C$14:$C$47,('2027 Avoided Costs'!$B$14:$B$47&gt;=$B224+1)*('2027 Avoided Costs'!$B$14:$B$47&lt;$B224+ROUND($O224,0)))))+_xlfn.XLOOKUP($B224,'2027 Avoided Costs'!$B$13:$B$47,'2027 Avoided Costs'!$C$13:$C$47),IF($O224=1,0,NPV('2027 Avoided Costs'!$D$6,_xlfn._xlws.FILTER('2027 Avoided Costs'!$E$14:$E$47,('2027 Avoided Costs'!$B$14:$B$47&gt;=$B224+1)*('2027 Avoided Costs'!$B$14:$B$47&lt;$B224+ROUND($O224,0)))))+_xlfn.XLOOKUP($B224,'2027 Avoided Costs'!$B$13:$B$47,'2027 Avoided Costs'!$E$13:$E$47))*IF($AE224&lt;0,$AE224*(-1),0),0)</f>
        <v>0</v>
      </c>
      <c r="BA224" s="291" cm="1">
        <f t="array" ref="BA224">IFERROR((IF($O224=1,0,NPV('2027 Avoided Costs'!$D$6,_xlfn._xlws.FILTER('2027 Avoided Costs'!$M$14:$M$47,('2027 Avoided Costs'!$B$14:$B$47&gt;=$B224+1)*('2027 Avoided Costs'!$B$14:$B$47&lt;$B224+ROUND($O224,0)))))+_xlfn.XLOOKUP($B224,'2027 Avoided Costs'!$B$13:$B$47,'2027 Avoided Costs'!$M$13:$M$47))*IF($AK224&lt;0,$AK224*(-1),0),0)</f>
        <v>0</v>
      </c>
      <c r="BB224" s="291" cm="1">
        <f t="array" ref="BB224">IFERROR((IF($O224=1,0,NPV('2027 Avoided Costs'!$D$6,_xlfn._xlws.FILTER('2027 Avoided Costs'!$S$14:$S$47,('2027 Avoided Costs'!$B$14:$B$47&gt;=$B224+1)*('2027 Avoided Costs'!$B$14:$B$47&lt;$B224+ROUND($O224,0)))))+_xlfn.XLOOKUP($B224,'2027 Avoided Costs'!$B$13:$B$47,'2027 Avoided Costs'!$S$13:$S$47))*IF($AI224&lt;0,$AI224*(-1),0),0)</f>
        <v>0</v>
      </c>
      <c r="BC224" s="291" cm="1">
        <f t="array" ref="BC224">IFERROR((IF($O224=1,0,NPV('2027 Avoided Costs'!$D$6,_xlfn._xlws.FILTER('2027 Avoided Costs'!$Y$14:$Y$47,('2027 Avoided Costs'!$B$14:$B$47&gt;=$B224+1)*('2027 Avoided Costs'!$B$14:$B$47&lt;$B224+ROUND($O224,0)))))+_xlfn.XLOOKUP($B224,'2027 Avoided Costs'!$B$13:$B$47,'2027 Avoided Costs'!$Y$13:$Y$47))*IF($AM224&lt;0,$AM224*(-1),0),0)</f>
        <v>0</v>
      </c>
      <c r="BD224" s="291" cm="1">
        <f t="array" ref="BD224">IFERROR((IF($O224=1,0,NPV('2027 Avoided Costs'!$D$6,_xlfn._xlws.FILTER('2027 Avoided Costs'!$AE$14:$AE$47,('2027 Avoided Costs'!$B$14:$B$47&gt;=$B224+1)*('2027 Avoided Costs'!$B$14:$B$47&lt;$B224+ROUND($O224,0)))))+_xlfn.XLOOKUP($B224,'2027 Avoided Costs'!$B$13:$B$47,'2027 Avoided Costs'!$AE$13:$AE$47))*IF($AO224&lt;0,$AO224*(-1),0),0)</f>
        <v>0</v>
      </c>
      <c r="BE224" s="291" cm="1">
        <f t="array" ref="BE224">IFERROR((IF($O224=1,0,NPV('2027 Avoided Costs'!$D$4,_xlfn._xlws.FILTER('2027 Avoided Costs'!$I$14:$I$47,('2027 Avoided Costs'!$B$14:$B$47&gt;=$B224+1)*('2027 Avoided Costs'!$B$14:$B$47&lt;$B224+ROUND($O224,0)))))+_xlfn.XLOOKUP($B224,'2027 Avoided Costs'!$B$13:$B$47,'2027 Avoided Costs'!$I$13:$I$47))*IF($X224="Residential",'2027 Avoided Costs'!$J$5,IF($X224="Large Volume",'2027 Avoided Costs'!$J$7,'2027 Avoided Costs'!$J$6))*IF($AE224&lt;0,$AE224*(-1),0),0)</f>
        <v>0</v>
      </c>
      <c r="BF224" s="291">
        <f t="shared" si="84"/>
        <v>50051503.187286846</v>
      </c>
      <c r="BG224" s="291">
        <f t="shared" si="85"/>
        <v>8872082.5453613047</v>
      </c>
      <c r="BH224" s="291">
        <f t="shared" si="86"/>
        <v>41179420.641925544</v>
      </c>
      <c r="BI224" s="292">
        <f t="shared" si="110"/>
        <v>5.641460494915691</v>
      </c>
      <c r="BJ224" s="196" cm="1">
        <f t="array" ref="BJ224">IFERROR(IF($J224="Baseload",IF($O224=1,0,NPV('2027 Avoided Costs'!$D$6,_xlfn._xlws.FILTER('2027 Avoided Costs'!$C$14:$C$47,('2027 Avoided Costs'!$B$14:$B$47&gt;=$B224+1)*('2027 Avoided Costs'!$B$14:$B$47&lt;$B224+ROUND($O224,0)))))+_xlfn.XLOOKUP($B224,'2027 Avoided Costs'!$B$13:$B$47,'2027 Avoided Costs'!$C$13:$C$47),IF($O224=1,0,NPV('2027 Avoided Costs'!$D$6,_xlfn._xlws.FILTER('2027 Avoided Costs'!$E$14:$E$47,('2027 Avoided Costs'!$B$14:$B$47&gt;=$B224+1)*('2027 Avoided Costs'!$B$14:$B$47&lt;$B224+ROUND($O224,0)))))+_xlfn.XLOOKUP($B224,'2027 Avoided Costs'!$B$13:$B$47,'2027 Avoided Costs'!$E$13:$E$47))*IF($AE224&gt;0,$AE224*(1+0),0),0)</f>
        <v>42876201.012221739</v>
      </c>
      <c r="BK224" s="293">
        <f t="shared" si="108"/>
        <v>13.488557642203739</v>
      </c>
    </row>
    <row r="225" spans="1:63" s="56" customFormat="1" x14ac:dyDescent="0.25">
      <c r="A225" s="270" t="s">
        <v>133</v>
      </c>
      <c r="B225" s="271">
        <v>2028</v>
      </c>
      <c r="C225" s="272" t="s">
        <v>15</v>
      </c>
      <c r="D225" s="272" t="s">
        <v>27</v>
      </c>
      <c r="E225" s="272" t="s">
        <v>118</v>
      </c>
      <c r="F225" s="273">
        <v>74</v>
      </c>
      <c r="G225" s="274">
        <v>43814.639036969704</v>
      </c>
      <c r="H225" s="275">
        <f t="shared" si="88"/>
        <v>3.7466229618076989E-2</v>
      </c>
      <c r="I225" s="274">
        <v>0</v>
      </c>
      <c r="J225" s="276" t="s">
        <v>263</v>
      </c>
      <c r="K225" s="277">
        <f t="shared" si="87"/>
        <v>0.23749999999999996</v>
      </c>
      <c r="L225" s="278">
        <v>0.77070000000000005</v>
      </c>
      <c r="M225" s="278">
        <v>8.2000000000000007E-3</v>
      </c>
      <c r="N225" s="278">
        <v>0.98070000000000002</v>
      </c>
      <c r="O225" s="279">
        <v>11</v>
      </c>
      <c r="P225" s="280">
        <v>1169443.509090909</v>
      </c>
      <c r="Q225" s="281">
        <v>29425.176470588201</v>
      </c>
      <c r="R225" s="282">
        <v>3.3590384098844672</v>
      </c>
      <c r="S225" s="282">
        <v>3.3590384098845085</v>
      </c>
      <c r="T225" s="281">
        <v>1713.8665190235138</v>
      </c>
      <c r="U225" s="283">
        <v>0</v>
      </c>
      <c r="V225" s="284">
        <v>557554.28407612292</v>
      </c>
      <c r="W225" s="285">
        <v>0.15</v>
      </c>
      <c r="X225" s="286" t="s">
        <v>15</v>
      </c>
      <c r="Y225" s="287">
        <f t="shared" si="89"/>
        <v>74</v>
      </c>
      <c r="Z225" s="288">
        <f t="shared" si="90"/>
        <v>3242283.288735758</v>
      </c>
      <c r="AA225" s="288">
        <f t="shared" si="91"/>
        <v>0</v>
      </c>
      <c r="AB225" s="288">
        <f t="shared" si="92"/>
        <v>3307128.9545104732</v>
      </c>
      <c r="AC225" s="288">
        <f t="shared" si="109"/>
        <v>0</v>
      </c>
      <c r="AD225" s="287">
        <f t="shared" si="93"/>
        <v>84868620.45304364</v>
      </c>
      <c r="AE225" s="287">
        <f t="shared" si="94"/>
        <v>20156297.357597861</v>
      </c>
      <c r="AF225" s="287">
        <f t="shared" si="95"/>
        <v>933554824.98347998</v>
      </c>
      <c r="AG225" s="287">
        <f t="shared" si="96"/>
        <v>221719270.93357646</v>
      </c>
      <c r="AH225" s="287">
        <f t="shared" si="97"/>
        <v>2289189.5593569861</v>
      </c>
      <c r="AI225" s="287">
        <f t="shared" si="98"/>
        <v>543682.52034728404</v>
      </c>
      <c r="AJ225" s="287">
        <f t="shared" si="99"/>
        <v>124378.37824527064</v>
      </c>
      <c r="AK225" s="287">
        <f t="shared" si="100"/>
        <v>29539.86483325177</v>
      </c>
      <c r="AL225" s="287">
        <f t="shared" si="101"/>
        <v>261.32300905901423</v>
      </c>
      <c r="AM225" s="287">
        <f t="shared" si="102"/>
        <v>62.064214651515876</v>
      </c>
      <c r="AN225" s="287">
        <f t="shared" si="103"/>
        <v>261.32300905901747</v>
      </c>
      <c r="AO225" s="287">
        <f t="shared" si="104"/>
        <v>62.064214651516629</v>
      </c>
      <c r="AP225" s="287">
        <f t="shared" si="105"/>
        <v>41259017.021633096</v>
      </c>
      <c r="AQ225" s="287">
        <f t="shared" si="106"/>
        <v>9799016.5426378585</v>
      </c>
      <c r="AR225" s="287">
        <f t="shared" si="107"/>
        <v>0</v>
      </c>
      <c r="AS225" s="289" t="e">
        <f>IF(J225='2027 Avoided Costs'!#REF!,3,5)</f>
        <v>#REF!</v>
      </c>
      <c r="AT225" s="290" cm="1">
        <f t="array" ref="AT225">IFERROR(IF($J225="Baseload",IF($O225=1,0,NPV('2027 Avoided Costs'!$D$6,_xlfn._xlws.FILTER('2027 Avoided Costs'!$C$14:$C$47,('2027 Avoided Costs'!$B$14:$B$47&gt;=$B225+1)*('2027 Avoided Costs'!$B$14:$B$47&lt;$B225+ROUND($O225,0)))))+_xlfn.XLOOKUP($B225,'2027 Avoided Costs'!$B$13:$B$47,'2027 Avoided Costs'!$C$13:$C$47),IF($O225=1,0,NPV('2027 Avoided Costs'!$D$6,_xlfn._xlws.FILTER('2027 Avoided Costs'!$E$14:$E$47,('2027 Avoided Costs'!$B$14:$B$47&gt;=$B225+1)*('2027 Avoided Costs'!$B$14:$B$47&lt;$B225+ROUND($O225,0)))))+_xlfn.XLOOKUP($B225,'2027 Avoided Costs'!$B$13:$B$47,'2027 Avoided Costs'!$E$13:$E$47))*IF($AE225&gt;0,$AE225*(1+$W225),0),0)</f>
        <v>57151753.009904079</v>
      </c>
      <c r="AU225" s="290" cm="1">
        <f t="array" ref="AU225">IFERROR((IF($O225=1,0,NPV('2027 Avoided Costs'!$D$6,_xlfn._xlws.FILTER('2027 Avoided Costs'!$M$14:$M$47,('2027 Avoided Costs'!$B$14:$B$47&gt;=$B225+1)*('2027 Avoided Costs'!$B$14:$B$47&lt;$B225+ROUND($O225,0)))))+_xlfn.XLOOKUP($B225,'2027 Avoided Costs'!$B$13:$B$47,'2027 Avoided Costs'!$M$13:$M$47))*IF($AK225&gt;0,$AK225*(1+$W225),0),0)</f>
        <v>340358.85341410973</v>
      </c>
      <c r="AV225" s="291" cm="1">
        <f t="array" ref="AV225">IFERROR((IF($O225=1,0,NPV('2027 Avoided Costs'!$D$6,_xlfn._xlws.FILTER('2027 Avoided Costs'!$Q$14:$Q$47,('2027 Avoided Costs'!$B$14:$B$47&gt;=$B225+1)*('2027 Avoided Costs'!$B$14:$B$47&lt;$B225+ROUND($O225,0)))))+_xlfn.XLOOKUP($B225,'2027 Avoided Costs'!$B$13:$B$47,'2027 Avoided Costs'!$Q$13:$Q$47))*IF($AI225&gt;0,$AI225*(1+$W225),0),0)</f>
        <v>282723.86890791048</v>
      </c>
      <c r="AW225" s="291" cm="1">
        <f t="array" ref="AW225">IFERROR((IF($O225=1,0,NPV('2027 Avoided Costs'!$D$6,_xlfn._xlws.FILTER('2027 Avoided Costs'!$W$14:$W$47,('2027 Avoided Costs'!$B$14:$B$47&gt;=$B225+1)*('2027 Avoided Costs'!$B$14:$B$47&lt;$B225+ROUND($O225,0)))))+_xlfn.XLOOKUP($B225,'2027 Avoided Costs'!$B$13:$B$47,'2027 Avoided Costs'!$W$13:$W$47))*IF($AM225&gt;0,$AM225*(1+$W225),0),0)</f>
        <v>208109.56789132653</v>
      </c>
      <c r="AX225" s="291" cm="1">
        <f t="array" ref="AX225">IFERROR((IF($O225=1,0,NPV('2027 Avoided Costs'!$D$6,_xlfn._xlws.FILTER('2027 Avoided Costs'!$AC$14:$AC$47,('2027 Avoided Costs'!$B$14:$B$47&gt;=$B225+1)*('2027 Avoided Costs'!$B$14:$B$47&lt;$B225+ROUND($O225,0)))))+_xlfn.XLOOKUP($B225,'2027 Avoided Costs'!$B$13:$B$47,'2027 Avoided Costs'!$AC$13:$AC$47))*IF($AO225&gt;0,$AO225*(1+$W225),0),0)</f>
        <v>0</v>
      </c>
      <c r="AY225" s="291" cm="1">
        <f t="array" ref="AY225">IFERROR((IF($O225=1,0,NPV('2027 Avoided Costs'!$D$4,_xlfn._xlws.FILTER('2027 Avoided Costs'!$I$14:$I$47,('2027 Avoided Costs'!$B$14:$B$47&gt;=$B225+1)*('2027 Avoided Costs'!$B$14:$B$47&lt;$B225+ROUND($O225,0)))))+_xlfn.XLOOKUP($B225,'2027 Avoided Costs'!$B$13:$B$47,'2027 Avoided Costs'!$I$13:$I$47))*IF($X225="Residential",'2027 Avoided Costs'!$J$5,IF($X225="Large Volume",'2027 Avoided Costs'!$J$7,'2027 Avoided Costs'!$J$6))*IF($AE225&gt;0,$AE225,0),0)</f>
        <v>0</v>
      </c>
      <c r="AZ225" s="291" cm="1">
        <f t="array" ref="AZ225">IFERROR(IF($J225="Baseload",IF($O225=1,0,NPV('2027 Avoided Costs'!$D$6,_xlfn._xlws.FILTER('2027 Avoided Costs'!$C$14:$C$47,('2027 Avoided Costs'!$B$14:$B$47&gt;=$B225+1)*('2027 Avoided Costs'!$B$14:$B$47&lt;$B225+ROUND($O225,0)))))+_xlfn.XLOOKUP($B225,'2027 Avoided Costs'!$B$13:$B$47,'2027 Avoided Costs'!$C$13:$C$47),IF($O225=1,0,NPV('2027 Avoided Costs'!$D$6,_xlfn._xlws.FILTER('2027 Avoided Costs'!$E$14:$E$47,('2027 Avoided Costs'!$B$14:$B$47&gt;=$B225+1)*('2027 Avoided Costs'!$B$14:$B$47&lt;$B225+ROUND($O225,0)))))+_xlfn.XLOOKUP($B225,'2027 Avoided Costs'!$B$13:$B$47,'2027 Avoided Costs'!$E$13:$E$47))*IF($AE225&lt;0,$AE225*(-1),0),0)</f>
        <v>0</v>
      </c>
      <c r="BA225" s="291" cm="1">
        <f t="array" ref="BA225">IFERROR((IF($O225=1,0,NPV('2027 Avoided Costs'!$D$6,_xlfn._xlws.FILTER('2027 Avoided Costs'!$M$14:$M$47,('2027 Avoided Costs'!$B$14:$B$47&gt;=$B225+1)*('2027 Avoided Costs'!$B$14:$B$47&lt;$B225+ROUND($O225,0)))))+_xlfn.XLOOKUP($B225,'2027 Avoided Costs'!$B$13:$B$47,'2027 Avoided Costs'!$M$13:$M$47))*IF($AK225&lt;0,$AK225*(-1),0),0)</f>
        <v>0</v>
      </c>
      <c r="BB225" s="291" cm="1">
        <f t="array" ref="BB225">IFERROR((IF($O225=1,0,NPV('2027 Avoided Costs'!$D$6,_xlfn._xlws.FILTER('2027 Avoided Costs'!$S$14:$S$47,('2027 Avoided Costs'!$B$14:$B$47&gt;=$B225+1)*('2027 Avoided Costs'!$B$14:$B$47&lt;$B225+ROUND($O225,0)))))+_xlfn.XLOOKUP($B225,'2027 Avoided Costs'!$B$13:$B$47,'2027 Avoided Costs'!$S$13:$S$47))*IF($AI225&lt;0,$AI225*(-1),0),0)</f>
        <v>0</v>
      </c>
      <c r="BC225" s="291" cm="1">
        <f t="array" ref="BC225">IFERROR((IF($O225=1,0,NPV('2027 Avoided Costs'!$D$6,_xlfn._xlws.FILTER('2027 Avoided Costs'!$Y$14:$Y$47,('2027 Avoided Costs'!$B$14:$B$47&gt;=$B225+1)*('2027 Avoided Costs'!$B$14:$B$47&lt;$B225+ROUND($O225,0)))))+_xlfn.XLOOKUP($B225,'2027 Avoided Costs'!$B$13:$B$47,'2027 Avoided Costs'!$Y$13:$Y$47))*IF($AM225&lt;0,$AM225*(-1),0),0)</f>
        <v>0</v>
      </c>
      <c r="BD225" s="291" cm="1">
        <f t="array" ref="BD225">IFERROR((IF($O225=1,0,NPV('2027 Avoided Costs'!$D$6,_xlfn._xlws.FILTER('2027 Avoided Costs'!$AE$14:$AE$47,('2027 Avoided Costs'!$B$14:$B$47&gt;=$B225+1)*('2027 Avoided Costs'!$B$14:$B$47&lt;$B225+ROUND($O225,0)))))+_xlfn.XLOOKUP($B225,'2027 Avoided Costs'!$B$13:$B$47,'2027 Avoided Costs'!$AE$13:$AE$47))*IF($AO225&lt;0,$AO225*(-1),0),0)</f>
        <v>0</v>
      </c>
      <c r="BE225" s="291" cm="1">
        <f t="array" ref="BE225">IFERROR((IF($O225=1,0,NPV('2027 Avoided Costs'!$D$4,_xlfn._xlws.FILTER('2027 Avoided Costs'!$I$14:$I$47,('2027 Avoided Costs'!$B$14:$B$47&gt;=$B225+1)*('2027 Avoided Costs'!$B$14:$B$47&lt;$B225+ROUND($O225,0)))))+_xlfn.XLOOKUP($B225,'2027 Avoided Costs'!$B$13:$B$47,'2027 Avoided Costs'!$I$13:$I$47))*IF($X225="Residential",'2027 Avoided Costs'!$J$5,IF($X225="Large Volume",'2027 Avoided Costs'!$J$7,'2027 Avoided Costs'!$J$6))*IF($AE225&lt;0,$AE225*(-1),0),0)</f>
        <v>0</v>
      </c>
      <c r="BF225" s="291">
        <f t="shared" si="84"/>
        <v>57982945.300117433</v>
      </c>
      <c r="BG225" s="291">
        <f t="shared" si="85"/>
        <v>9799016.5426378585</v>
      </c>
      <c r="BH225" s="291">
        <f t="shared" si="86"/>
        <v>48183928.757479578</v>
      </c>
      <c r="BI225" s="292">
        <f t="shared" si="110"/>
        <v>5.9172208810771778</v>
      </c>
      <c r="BJ225" s="196" cm="1">
        <f t="array" ref="BJ225">IFERROR(IF($J225="Baseload",IF($O225=1,0,NPV('2027 Avoided Costs'!$D$6,_xlfn._xlws.FILTER('2027 Avoided Costs'!$C$14:$C$47,('2027 Avoided Costs'!$B$14:$B$47&gt;=$B225+1)*('2027 Avoided Costs'!$B$14:$B$47&lt;$B225+ROUND($O225,0)))))+_xlfn.XLOOKUP($B225,'2027 Avoided Costs'!$B$13:$B$47,'2027 Avoided Costs'!$C$13:$C$47),IF($O225=1,0,NPV('2027 Avoided Costs'!$D$6,_xlfn._xlws.FILTER('2027 Avoided Costs'!$E$14:$E$47,('2027 Avoided Costs'!$B$14:$B$47&gt;=$B225+1)*('2027 Avoided Costs'!$B$14:$B$47&lt;$B225+ROUND($O225,0)))))+_xlfn.XLOOKUP($B225,'2027 Avoided Costs'!$B$13:$B$47,'2027 Avoided Costs'!$E$13:$E$47))*IF($AE225&gt;0,$AE225*(1+0),0),0)</f>
        <v>49697176.530351378</v>
      </c>
      <c r="BK225" s="293">
        <f t="shared" si="108"/>
        <v>15.027287176864151</v>
      </c>
    </row>
    <row r="226" spans="1:63" s="56" customFormat="1" x14ac:dyDescent="0.25">
      <c r="A226" s="270" t="s">
        <v>133</v>
      </c>
      <c r="B226" s="271">
        <v>2029</v>
      </c>
      <c r="C226" s="272" t="s">
        <v>15</v>
      </c>
      <c r="D226" s="272" t="s">
        <v>27</v>
      </c>
      <c r="E226" s="272" t="s">
        <v>118</v>
      </c>
      <c r="F226" s="273">
        <v>78</v>
      </c>
      <c r="G226" s="274">
        <v>42399.089160390686</v>
      </c>
      <c r="H226" s="275">
        <f t="shared" si="88"/>
        <v>3.6255782199646813E-2</v>
      </c>
      <c r="I226" s="274">
        <v>0</v>
      </c>
      <c r="J226" s="276" t="s">
        <v>263</v>
      </c>
      <c r="K226" s="277">
        <f t="shared" si="87"/>
        <v>0.23749999999999996</v>
      </c>
      <c r="L226" s="278">
        <v>0.77070000000000005</v>
      </c>
      <c r="M226" s="278">
        <v>8.2000000000000007E-3</v>
      </c>
      <c r="N226" s="278">
        <v>0.98070000000000002</v>
      </c>
      <c r="O226" s="279">
        <v>11</v>
      </c>
      <c r="P226" s="280">
        <v>1169443.509090909</v>
      </c>
      <c r="Q226" s="281">
        <v>29425.176470588201</v>
      </c>
      <c r="R226" s="282">
        <v>3.3590384098844672</v>
      </c>
      <c r="S226" s="282">
        <v>3.3590384098845085</v>
      </c>
      <c r="T226" s="281">
        <v>1713.8665190235138</v>
      </c>
      <c r="U226" s="283">
        <v>0</v>
      </c>
      <c r="V226" s="284">
        <v>557554.28407612292</v>
      </c>
      <c r="W226" s="285">
        <v>0.15</v>
      </c>
      <c r="X226" s="286" t="s">
        <v>15</v>
      </c>
      <c r="Y226" s="287">
        <f t="shared" si="89"/>
        <v>78</v>
      </c>
      <c r="Z226" s="288">
        <f t="shared" si="90"/>
        <v>3307128.9545104736</v>
      </c>
      <c r="AA226" s="288">
        <f t="shared" si="91"/>
        <v>0</v>
      </c>
      <c r="AB226" s="288">
        <f t="shared" si="92"/>
        <v>3440736.9642726965</v>
      </c>
      <c r="AC226" s="288">
        <f t="shared" si="109"/>
        <v>0</v>
      </c>
      <c r="AD226" s="287">
        <f t="shared" si="93"/>
        <v>89456113.45050545</v>
      </c>
      <c r="AE226" s="287">
        <f t="shared" si="94"/>
        <v>21245826.944495041</v>
      </c>
      <c r="AF226" s="287">
        <f t="shared" si="95"/>
        <v>984017247.95555997</v>
      </c>
      <c r="AG226" s="287">
        <f t="shared" si="96"/>
        <v>233704096.38944545</v>
      </c>
      <c r="AH226" s="287">
        <f t="shared" si="97"/>
        <v>2412929.5355384443</v>
      </c>
      <c r="AI226" s="287">
        <f t="shared" si="98"/>
        <v>573070.76469038054</v>
      </c>
      <c r="AJ226" s="287">
        <f t="shared" si="99"/>
        <v>131101.53382609607</v>
      </c>
      <c r="AK226" s="287">
        <f t="shared" si="100"/>
        <v>31136.614283697814</v>
      </c>
      <c r="AL226" s="287">
        <f t="shared" si="101"/>
        <v>275.44857711625826</v>
      </c>
      <c r="AM226" s="287">
        <f t="shared" si="102"/>
        <v>65.419037065111326</v>
      </c>
      <c r="AN226" s="287">
        <f t="shared" si="103"/>
        <v>275.44857711626167</v>
      </c>
      <c r="AO226" s="287">
        <f t="shared" si="104"/>
        <v>65.419037065112136</v>
      </c>
      <c r="AP226" s="287">
        <f t="shared" si="105"/>
        <v>43489234.157937586</v>
      </c>
      <c r="AQ226" s="287">
        <f t="shared" si="106"/>
        <v>10328693.112510175</v>
      </c>
      <c r="AR226" s="287">
        <f t="shared" si="107"/>
        <v>0</v>
      </c>
      <c r="AS226" s="289" t="e">
        <f>IF(J226='2027 Avoided Costs'!#REF!,3,5)</f>
        <v>#REF!</v>
      </c>
      <c r="AT226" s="290" cm="1">
        <f t="array" ref="AT226">IFERROR(IF($J226="Baseload",IF($O226=1,0,NPV('2027 Avoided Costs'!$D$6,_xlfn._xlws.FILTER('2027 Avoided Costs'!$C$14:$C$47,('2027 Avoided Costs'!$B$14:$B$47&gt;=$B226+1)*('2027 Avoided Costs'!$B$14:$B$47&lt;$B226+ROUND($O226,0)))))+_xlfn.XLOOKUP($B226,'2027 Avoided Costs'!$B$13:$B$47,'2027 Avoided Costs'!$C$13:$C$47),IF($O226=1,0,NPV('2027 Avoided Costs'!$D$6,_xlfn._xlws.FILTER('2027 Avoided Costs'!$E$14:$E$47,('2027 Avoided Costs'!$B$14:$B$47&gt;=$B226+1)*('2027 Avoided Costs'!$B$14:$B$47&lt;$B226+ROUND($O226,0)))))+_xlfn.XLOOKUP($B226,'2027 Avoided Costs'!$B$13:$B$47,'2027 Avoided Costs'!$E$13:$E$47))*IF($AE226&gt;0,$AE226*(1+$W226),0),0)</f>
        <v>62592997.53488154</v>
      </c>
      <c r="AU226" s="290" cm="1">
        <f t="array" ref="AU226">IFERROR((IF($O226=1,0,NPV('2027 Avoided Costs'!$D$6,_xlfn._xlws.FILTER('2027 Avoided Costs'!$M$14:$M$47,('2027 Avoided Costs'!$B$14:$B$47&gt;=$B226+1)*('2027 Avoided Costs'!$B$14:$B$47&lt;$B226+ROUND($O226,0)))))+_xlfn.XLOOKUP($B226,'2027 Avoided Costs'!$B$13:$B$47,'2027 Avoided Costs'!$M$13:$M$47))*IF($AK226&gt;0,$AK226*(1+$W226),0),0)</f>
        <v>365931.76185981865</v>
      </c>
      <c r="AV226" s="291" cm="1">
        <f t="array" ref="AV226">IFERROR((IF($O226=1,0,NPV('2027 Avoided Costs'!$D$6,_xlfn._xlws.FILTER('2027 Avoided Costs'!$Q$14:$Q$47,('2027 Avoided Costs'!$B$14:$B$47&gt;=$B226+1)*('2027 Avoided Costs'!$B$14:$B$47&lt;$B226+ROUND($O226,0)))))+_xlfn.XLOOKUP($B226,'2027 Avoided Costs'!$B$13:$B$47,'2027 Avoided Costs'!$Q$13:$Q$47))*IF($AI226&gt;0,$AI226*(1+$W226),0),0)</f>
        <v>292163.78822099115</v>
      </c>
      <c r="AW226" s="291" cm="1">
        <f t="array" ref="AW226">IFERROR((IF($O226=1,0,NPV('2027 Avoided Costs'!$D$6,_xlfn._xlws.FILTER('2027 Avoided Costs'!$W$14:$W$47,('2027 Avoided Costs'!$B$14:$B$47&gt;=$B226+1)*('2027 Avoided Costs'!$B$14:$B$47&lt;$B226+ROUND($O226,0)))))+_xlfn.XLOOKUP($B226,'2027 Avoided Costs'!$B$13:$B$47,'2027 Avoided Costs'!$W$13:$W$47))*IF($AM226&gt;0,$AM226*(1+$W226),0),0)</f>
        <v>213318.78459856554</v>
      </c>
      <c r="AX226" s="291" cm="1">
        <f t="array" ref="AX226">IFERROR((IF($O226=1,0,NPV('2027 Avoided Costs'!$D$6,_xlfn._xlws.FILTER('2027 Avoided Costs'!$AC$14:$AC$47,('2027 Avoided Costs'!$B$14:$B$47&gt;=$B226+1)*('2027 Avoided Costs'!$B$14:$B$47&lt;$B226+ROUND($O226,0)))))+_xlfn.XLOOKUP($B226,'2027 Avoided Costs'!$B$13:$B$47,'2027 Avoided Costs'!$AC$13:$AC$47))*IF($AO226&gt;0,$AO226*(1+$W226),0),0)</f>
        <v>17974.935400882834</v>
      </c>
      <c r="AY226" s="291" cm="1">
        <f t="array" ref="AY226">IFERROR((IF($O226=1,0,NPV('2027 Avoided Costs'!$D$4,_xlfn._xlws.FILTER('2027 Avoided Costs'!$I$14:$I$47,('2027 Avoided Costs'!$B$14:$B$47&gt;=$B226+1)*('2027 Avoided Costs'!$B$14:$B$47&lt;$B226+ROUND($O226,0)))))+_xlfn.XLOOKUP($B226,'2027 Avoided Costs'!$B$13:$B$47,'2027 Avoided Costs'!$I$13:$I$47))*IF($X226="Residential",'2027 Avoided Costs'!$J$5,IF($X226="Large Volume",'2027 Avoided Costs'!$J$7,'2027 Avoided Costs'!$J$6))*IF($AE226&gt;0,$AE226,0),0)</f>
        <v>0</v>
      </c>
      <c r="AZ226" s="291" cm="1">
        <f t="array" ref="AZ226">IFERROR(IF($J226="Baseload",IF($O226=1,0,NPV('2027 Avoided Costs'!$D$6,_xlfn._xlws.FILTER('2027 Avoided Costs'!$C$14:$C$47,('2027 Avoided Costs'!$B$14:$B$47&gt;=$B226+1)*('2027 Avoided Costs'!$B$14:$B$47&lt;$B226+ROUND($O226,0)))))+_xlfn.XLOOKUP($B226,'2027 Avoided Costs'!$B$13:$B$47,'2027 Avoided Costs'!$C$13:$C$47),IF($O226=1,0,NPV('2027 Avoided Costs'!$D$6,_xlfn._xlws.FILTER('2027 Avoided Costs'!$E$14:$E$47,('2027 Avoided Costs'!$B$14:$B$47&gt;=$B226+1)*('2027 Avoided Costs'!$B$14:$B$47&lt;$B226+ROUND($O226,0)))))+_xlfn.XLOOKUP($B226,'2027 Avoided Costs'!$B$13:$B$47,'2027 Avoided Costs'!$E$13:$E$47))*IF($AE226&lt;0,$AE226*(-1),0),0)</f>
        <v>0</v>
      </c>
      <c r="BA226" s="291" cm="1">
        <f t="array" ref="BA226">IFERROR((IF($O226=1,0,NPV('2027 Avoided Costs'!$D$6,_xlfn._xlws.FILTER('2027 Avoided Costs'!$M$14:$M$47,('2027 Avoided Costs'!$B$14:$B$47&gt;=$B226+1)*('2027 Avoided Costs'!$B$14:$B$47&lt;$B226+ROUND($O226,0)))))+_xlfn.XLOOKUP($B226,'2027 Avoided Costs'!$B$13:$B$47,'2027 Avoided Costs'!$M$13:$M$47))*IF($AK226&lt;0,$AK226*(-1),0),0)</f>
        <v>0</v>
      </c>
      <c r="BB226" s="291" cm="1">
        <f t="array" ref="BB226">IFERROR((IF($O226=1,0,NPV('2027 Avoided Costs'!$D$6,_xlfn._xlws.FILTER('2027 Avoided Costs'!$S$14:$S$47,('2027 Avoided Costs'!$B$14:$B$47&gt;=$B226+1)*('2027 Avoided Costs'!$B$14:$B$47&lt;$B226+ROUND($O226,0)))))+_xlfn.XLOOKUP($B226,'2027 Avoided Costs'!$B$13:$B$47,'2027 Avoided Costs'!$S$13:$S$47))*IF($AI226&lt;0,$AI226*(-1),0),0)</f>
        <v>0</v>
      </c>
      <c r="BC226" s="291" cm="1">
        <f t="array" ref="BC226">IFERROR((IF($O226=1,0,NPV('2027 Avoided Costs'!$D$6,_xlfn._xlws.FILTER('2027 Avoided Costs'!$Y$14:$Y$47,('2027 Avoided Costs'!$B$14:$B$47&gt;=$B226+1)*('2027 Avoided Costs'!$B$14:$B$47&lt;$B226+ROUND($O226,0)))))+_xlfn.XLOOKUP($B226,'2027 Avoided Costs'!$B$13:$B$47,'2027 Avoided Costs'!$Y$13:$Y$47))*IF($AM226&lt;0,$AM226*(-1),0),0)</f>
        <v>0</v>
      </c>
      <c r="BD226" s="291" cm="1">
        <f t="array" ref="BD226">IFERROR((IF($O226=1,0,NPV('2027 Avoided Costs'!$D$6,_xlfn._xlws.FILTER('2027 Avoided Costs'!$AE$14:$AE$47,('2027 Avoided Costs'!$B$14:$B$47&gt;=$B226+1)*('2027 Avoided Costs'!$B$14:$B$47&lt;$B226+ROUND($O226,0)))))+_xlfn.XLOOKUP($B226,'2027 Avoided Costs'!$B$13:$B$47,'2027 Avoided Costs'!$AE$13:$AE$47))*IF($AO226&lt;0,$AO226*(-1),0),0)</f>
        <v>0</v>
      </c>
      <c r="BE226" s="291" cm="1">
        <f t="array" ref="BE226">IFERROR((IF($O226=1,0,NPV('2027 Avoided Costs'!$D$4,_xlfn._xlws.FILTER('2027 Avoided Costs'!$I$14:$I$47,('2027 Avoided Costs'!$B$14:$B$47&gt;=$B226+1)*('2027 Avoided Costs'!$B$14:$B$47&lt;$B226+ROUND($O226,0)))))+_xlfn.XLOOKUP($B226,'2027 Avoided Costs'!$B$13:$B$47,'2027 Avoided Costs'!$I$13:$I$47))*IF($X226="Residential",'2027 Avoided Costs'!$J$5,IF($X226="Large Volume",'2027 Avoided Costs'!$J$7,'2027 Avoided Costs'!$J$6))*IF($AE226&lt;0,$AE226*(-1),0),0)</f>
        <v>0</v>
      </c>
      <c r="BF226" s="291">
        <f t="shared" si="84"/>
        <v>63482386.804961801</v>
      </c>
      <c r="BG226" s="291">
        <f t="shared" si="85"/>
        <v>10328693.112510175</v>
      </c>
      <c r="BH226" s="291">
        <f t="shared" si="86"/>
        <v>53153693.692451626</v>
      </c>
      <c r="BI226" s="292">
        <f t="shared" si="110"/>
        <v>6.1462167685156173</v>
      </c>
      <c r="BJ226" s="196" cm="1">
        <f t="array" ref="BJ226">IFERROR(IF($J226="Baseload",IF($O226=1,0,NPV('2027 Avoided Costs'!$D$6,_xlfn._xlws.FILTER('2027 Avoided Costs'!$C$14:$C$47,('2027 Avoided Costs'!$B$14:$B$47&gt;=$B226+1)*('2027 Avoided Costs'!$B$14:$B$47&lt;$B226+ROUND($O226,0)))))+_xlfn.XLOOKUP($B226,'2027 Avoided Costs'!$B$13:$B$47,'2027 Avoided Costs'!$C$13:$C$47),IF($O226=1,0,NPV('2027 Avoided Costs'!$D$6,_xlfn._xlws.FILTER('2027 Avoided Costs'!$E$14:$E$47,('2027 Avoided Costs'!$B$14:$B$47&gt;=$B226+1)*('2027 Avoided Costs'!$B$14:$B$47&lt;$B226+ROUND($O226,0)))))+_xlfn.XLOOKUP($B226,'2027 Avoided Costs'!$B$13:$B$47,'2027 Avoided Costs'!$E$13:$E$47))*IF($AE226&gt;0,$AE226*(1+0),0),0)</f>
        <v>54428693.50859265</v>
      </c>
      <c r="BK226" s="293">
        <f t="shared" si="108"/>
        <v>15.818905680311948</v>
      </c>
    </row>
    <row r="227" spans="1:63" s="56" customFormat="1" x14ac:dyDescent="0.25">
      <c r="A227" s="270" t="s">
        <v>133</v>
      </c>
      <c r="B227" s="271">
        <v>2030</v>
      </c>
      <c r="C227" s="272" t="s">
        <v>15</v>
      </c>
      <c r="D227" s="272" t="s">
        <v>27</v>
      </c>
      <c r="E227" s="272" t="s">
        <v>118</v>
      </c>
      <c r="F227" s="273">
        <v>79</v>
      </c>
      <c r="G227" s="274">
        <v>42699.639665831433</v>
      </c>
      <c r="H227" s="275">
        <f t="shared" si="88"/>
        <v>3.6512785212707601E-2</v>
      </c>
      <c r="I227" s="274">
        <v>0</v>
      </c>
      <c r="J227" s="276" t="s">
        <v>263</v>
      </c>
      <c r="K227" s="277">
        <f t="shared" si="87"/>
        <v>0.23749999999999996</v>
      </c>
      <c r="L227" s="278">
        <v>0.77070000000000005</v>
      </c>
      <c r="M227" s="278">
        <v>8.2000000000000007E-3</v>
      </c>
      <c r="N227" s="278">
        <v>0.98070000000000002</v>
      </c>
      <c r="O227" s="279">
        <v>11</v>
      </c>
      <c r="P227" s="280">
        <v>1169443.509090909</v>
      </c>
      <c r="Q227" s="281">
        <v>29425.176470588201</v>
      </c>
      <c r="R227" s="282">
        <v>3.3590384098844672</v>
      </c>
      <c r="S227" s="282">
        <v>3.3590384098845085</v>
      </c>
      <c r="T227" s="281">
        <v>1713.8665190235138</v>
      </c>
      <c r="U227" s="283">
        <v>0</v>
      </c>
      <c r="V227" s="284">
        <v>557554.28407612292</v>
      </c>
      <c r="W227" s="285">
        <v>0.15</v>
      </c>
      <c r="X227" s="286" t="s">
        <v>15</v>
      </c>
      <c r="Y227" s="287">
        <f t="shared" si="89"/>
        <v>79</v>
      </c>
      <c r="Z227" s="288">
        <f t="shared" si="90"/>
        <v>3373271.5336006833</v>
      </c>
      <c r="AA227" s="288">
        <f t="shared" si="91"/>
        <v>0</v>
      </c>
      <c r="AB227" s="288">
        <f t="shared" si="92"/>
        <v>3579742.7376293135</v>
      </c>
      <c r="AC227" s="288">
        <f t="shared" si="109"/>
        <v>0</v>
      </c>
      <c r="AD227" s="287">
        <f t="shared" si="93"/>
        <v>90602986.699870914</v>
      </c>
      <c r="AE227" s="287">
        <f t="shared" si="94"/>
        <v>21518209.34121934</v>
      </c>
      <c r="AF227" s="287">
        <f t="shared" si="95"/>
        <v>996632853.69858003</v>
      </c>
      <c r="AG227" s="287">
        <f t="shared" si="96"/>
        <v>236700302.75341272</v>
      </c>
      <c r="AH227" s="287">
        <f t="shared" si="97"/>
        <v>2443864.5295838094</v>
      </c>
      <c r="AI227" s="287">
        <f t="shared" si="98"/>
        <v>580417.82577615464</v>
      </c>
      <c r="AJ227" s="287">
        <f t="shared" si="99"/>
        <v>132782.32272130242</v>
      </c>
      <c r="AK227" s="287">
        <f t="shared" si="100"/>
        <v>31535.801646309323</v>
      </c>
      <c r="AL227" s="287">
        <f t="shared" si="101"/>
        <v>278.97996913056926</v>
      </c>
      <c r="AM227" s="287">
        <f t="shared" si="102"/>
        <v>66.25774266851019</v>
      </c>
      <c r="AN227" s="287">
        <f t="shared" si="103"/>
        <v>278.97996913057267</v>
      </c>
      <c r="AO227" s="287">
        <f t="shared" si="104"/>
        <v>66.257742668511</v>
      </c>
      <c r="AP227" s="287">
        <f t="shared" si="105"/>
        <v>44046788.442013711</v>
      </c>
      <c r="AQ227" s="287">
        <f t="shared" si="106"/>
        <v>10461112.254978254</v>
      </c>
      <c r="AR227" s="287">
        <f t="shared" si="107"/>
        <v>0</v>
      </c>
      <c r="AS227" s="289" t="e">
        <f>IF(J227='2027 Avoided Costs'!#REF!,3,5)</f>
        <v>#REF!</v>
      </c>
      <c r="AT227" s="290" cm="1">
        <f t="array" ref="AT227">IFERROR(IF($J227="Baseload",IF($O227=1,0,NPV('2027 Avoided Costs'!$D$6,_xlfn._xlws.FILTER('2027 Avoided Costs'!$C$14:$C$47,('2027 Avoided Costs'!$B$14:$B$47&gt;=$B227+1)*('2027 Avoided Costs'!$B$14:$B$47&lt;$B227+ROUND($O227,0)))))+_xlfn.XLOOKUP($B227,'2027 Avoided Costs'!$B$13:$B$47,'2027 Avoided Costs'!$C$13:$C$47),IF($O227=1,0,NPV('2027 Avoided Costs'!$D$6,_xlfn._xlws.FILTER('2027 Avoided Costs'!$E$14:$E$47,('2027 Avoided Costs'!$B$14:$B$47&gt;=$B227+1)*('2027 Avoided Costs'!$B$14:$B$47&lt;$B227+ROUND($O227,0)))))+_xlfn.XLOOKUP($B227,'2027 Avoided Costs'!$B$13:$B$47,'2027 Avoided Costs'!$E$13:$E$47))*IF($AE227&gt;0,$AE227*(1+$W227),0),0)</f>
        <v>65394647.578752637</v>
      </c>
      <c r="AU227" s="290" cm="1">
        <f t="array" ref="AU227">IFERROR((IF($O227=1,0,NPV('2027 Avoided Costs'!$D$6,_xlfn._xlws.FILTER('2027 Avoided Costs'!$M$14:$M$47,('2027 Avoided Costs'!$B$14:$B$47&gt;=$B227+1)*('2027 Avoided Costs'!$B$14:$B$47&lt;$B227+ROUND($O227,0)))))+_xlfn.XLOOKUP($B227,'2027 Avoided Costs'!$B$13:$B$47,'2027 Avoided Costs'!$M$13:$M$47))*IF($AK227&gt;0,$AK227*(1+$W227),0),0)</f>
        <v>378035.6585982588</v>
      </c>
      <c r="AV227" s="291" cm="1">
        <f t="array" ref="AV227">IFERROR((IF($O227=1,0,NPV('2027 Avoided Costs'!$D$6,_xlfn._xlws.FILTER('2027 Avoided Costs'!$Q$14:$Q$47,('2027 Avoided Costs'!$B$14:$B$47&gt;=$B227+1)*('2027 Avoided Costs'!$B$14:$B$47&lt;$B227+ROUND($O227,0)))))+_xlfn.XLOOKUP($B227,'2027 Avoided Costs'!$B$13:$B$47,'2027 Avoided Costs'!$Q$13:$Q$47))*IF($AI227&gt;0,$AI227*(1+$W227),0),0)</f>
        <v>283965.86777820688</v>
      </c>
      <c r="AW227" s="291" cm="1">
        <f t="array" ref="AW227">IFERROR((IF($O227=1,0,NPV('2027 Avoided Costs'!$D$6,_xlfn._xlws.FILTER('2027 Avoided Costs'!$W$14:$W$47,('2027 Avoided Costs'!$B$14:$B$47&gt;=$B227+1)*('2027 Avoided Costs'!$B$14:$B$47&lt;$B227+ROUND($O227,0)))))+_xlfn.XLOOKUP($B227,'2027 Avoided Costs'!$B$13:$B$47,'2027 Avoided Costs'!$W$13:$W$47))*IF($AM227&gt;0,$AM227*(1+$W227),0),0)</f>
        <v>226766.3628868954</v>
      </c>
      <c r="AX227" s="291" cm="1">
        <f t="array" ref="AX227">IFERROR((IF($O227=1,0,NPV('2027 Avoided Costs'!$D$6,_xlfn._xlws.FILTER('2027 Avoided Costs'!$AC$14:$AC$47,('2027 Avoided Costs'!$B$14:$B$47&gt;=$B227+1)*('2027 Avoided Costs'!$B$14:$B$47&lt;$B227+ROUND($O227,0)))))+_xlfn.XLOOKUP($B227,'2027 Avoided Costs'!$B$13:$B$47,'2027 Avoided Costs'!$AC$13:$AC$47))*IF($AO227&gt;0,$AO227*(1+$W227),0),0)</f>
        <v>19312.27059470852</v>
      </c>
      <c r="AY227" s="291" cm="1">
        <f t="array" ref="AY227">IFERROR((IF($O227=1,0,NPV('2027 Avoided Costs'!$D$4,_xlfn._xlws.FILTER('2027 Avoided Costs'!$I$14:$I$47,('2027 Avoided Costs'!$B$14:$B$47&gt;=$B227+1)*('2027 Avoided Costs'!$B$14:$B$47&lt;$B227+ROUND($O227,0)))))+_xlfn.XLOOKUP($B227,'2027 Avoided Costs'!$B$13:$B$47,'2027 Avoided Costs'!$I$13:$I$47))*IF($X227="Residential",'2027 Avoided Costs'!$J$5,IF($X227="Large Volume",'2027 Avoided Costs'!$J$7,'2027 Avoided Costs'!$J$6))*IF($AE227&gt;0,$AE227,0),0)</f>
        <v>0</v>
      </c>
      <c r="AZ227" s="291" cm="1">
        <f t="array" ref="AZ227">IFERROR(IF($J227="Baseload",IF($O227=1,0,NPV('2027 Avoided Costs'!$D$6,_xlfn._xlws.FILTER('2027 Avoided Costs'!$C$14:$C$47,('2027 Avoided Costs'!$B$14:$B$47&gt;=$B227+1)*('2027 Avoided Costs'!$B$14:$B$47&lt;$B227+ROUND($O227,0)))))+_xlfn.XLOOKUP($B227,'2027 Avoided Costs'!$B$13:$B$47,'2027 Avoided Costs'!$C$13:$C$47),IF($O227=1,0,NPV('2027 Avoided Costs'!$D$6,_xlfn._xlws.FILTER('2027 Avoided Costs'!$E$14:$E$47,('2027 Avoided Costs'!$B$14:$B$47&gt;=$B227+1)*('2027 Avoided Costs'!$B$14:$B$47&lt;$B227+ROUND($O227,0)))))+_xlfn.XLOOKUP($B227,'2027 Avoided Costs'!$B$13:$B$47,'2027 Avoided Costs'!$E$13:$E$47))*IF($AE227&lt;0,$AE227*(-1),0),0)</f>
        <v>0</v>
      </c>
      <c r="BA227" s="291" cm="1">
        <f t="array" ref="BA227">IFERROR((IF($O227=1,0,NPV('2027 Avoided Costs'!$D$6,_xlfn._xlws.FILTER('2027 Avoided Costs'!$M$14:$M$47,('2027 Avoided Costs'!$B$14:$B$47&gt;=$B227+1)*('2027 Avoided Costs'!$B$14:$B$47&lt;$B227+ROUND($O227,0)))))+_xlfn.XLOOKUP($B227,'2027 Avoided Costs'!$B$13:$B$47,'2027 Avoided Costs'!$M$13:$M$47))*IF($AK227&lt;0,$AK227*(-1),0),0)</f>
        <v>0</v>
      </c>
      <c r="BB227" s="291" cm="1">
        <f t="array" ref="BB227">IFERROR((IF($O227=1,0,NPV('2027 Avoided Costs'!$D$6,_xlfn._xlws.FILTER('2027 Avoided Costs'!$S$14:$S$47,('2027 Avoided Costs'!$B$14:$B$47&gt;=$B227+1)*('2027 Avoided Costs'!$B$14:$B$47&lt;$B227+ROUND($O227,0)))))+_xlfn.XLOOKUP($B227,'2027 Avoided Costs'!$B$13:$B$47,'2027 Avoided Costs'!$S$13:$S$47))*IF($AI227&lt;0,$AI227*(-1),0),0)</f>
        <v>0</v>
      </c>
      <c r="BC227" s="291" cm="1">
        <f t="array" ref="BC227">IFERROR((IF($O227=1,0,NPV('2027 Avoided Costs'!$D$6,_xlfn._xlws.FILTER('2027 Avoided Costs'!$Y$14:$Y$47,('2027 Avoided Costs'!$B$14:$B$47&gt;=$B227+1)*('2027 Avoided Costs'!$B$14:$B$47&lt;$B227+ROUND($O227,0)))))+_xlfn.XLOOKUP($B227,'2027 Avoided Costs'!$B$13:$B$47,'2027 Avoided Costs'!$Y$13:$Y$47))*IF($AM227&lt;0,$AM227*(-1),0),0)</f>
        <v>0</v>
      </c>
      <c r="BD227" s="291" cm="1">
        <f t="array" ref="BD227">IFERROR((IF($O227=1,0,NPV('2027 Avoided Costs'!$D$6,_xlfn._xlws.FILTER('2027 Avoided Costs'!$AE$14:$AE$47,('2027 Avoided Costs'!$B$14:$B$47&gt;=$B227+1)*('2027 Avoided Costs'!$B$14:$B$47&lt;$B227+ROUND($O227,0)))))+_xlfn.XLOOKUP($B227,'2027 Avoided Costs'!$B$13:$B$47,'2027 Avoided Costs'!$AE$13:$AE$47))*IF($AO227&lt;0,$AO227*(-1),0),0)</f>
        <v>0</v>
      </c>
      <c r="BE227" s="291" cm="1">
        <f t="array" ref="BE227">IFERROR((IF($O227=1,0,NPV('2027 Avoided Costs'!$D$4,_xlfn._xlws.FILTER('2027 Avoided Costs'!$I$14:$I$47,('2027 Avoided Costs'!$B$14:$B$47&gt;=$B227+1)*('2027 Avoided Costs'!$B$14:$B$47&lt;$B227+ROUND($O227,0)))))+_xlfn.XLOOKUP($B227,'2027 Avoided Costs'!$B$13:$B$47,'2027 Avoided Costs'!$I$13:$I$47))*IF($X227="Residential",'2027 Avoided Costs'!$J$5,IF($X227="Large Volume",'2027 Avoided Costs'!$J$7,'2027 Avoided Costs'!$J$6))*IF($AE227&lt;0,$AE227*(-1),0),0)</f>
        <v>0</v>
      </c>
      <c r="BF227" s="291">
        <f t="shared" si="84"/>
        <v>66302727.738610707</v>
      </c>
      <c r="BG227" s="291">
        <f t="shared" si="85"/>
        <v>10461112.254978254</v>
      </c>
      <c r="BH227" s="291">
        <f t="shared" si="86"/>
        <v>55841615.483632453</v>
      </c>
      <c r="BI227" s="292">
        <f t="shared" si="110"/>
        <v>6.3380189527225879</v>
      </c>
      <c r="BJ227" s="196" cm="1">
        <f t="array" ref="BJ227">IFERROR(IF($J227="Baseload",IF($O227=1,0,NPV('2027 Avoided Costs'!$D$6,_xlfn._xlws.FILTER('2027 Avoided Costs'!$C$14:$C$47,('2027 Avoided Costs'!$B$14:$B$47&gt;=$B227+1)*('2027 Avoided Costs'!$B$14:$B$47&lt;$B227+ROUND($O227,0)))))+_xlfn.XLOOKUP($B227,'2027 Avoided Costs'!$B$13:$B$47,'2027 Avoided Costs'!$C$13:$C$47),IF($O227=1,0,NPV('2027 Avoided Costs'!$D$6,_xlfn._xlws.FILTER('2027 Avoided Costs'!$E$14:$E$47,('2027 Avoided Costs'!$B$14:$B$47&gt;=$B227+1)*('2027 Avoided Costs'!$B$14:$B$47&lt;$B227+ROUND($O227,0)))))+_xlfn.XLOOKUP($B227,'2027 Avoided Costs'!$B$13:$B$47,'2027 Avoided Costs'!$E$13:$E$47))*IF($AE227&gt;0,$AE227*(1+0),0),0)</f>
        <v>56864910.938045777</v>
      </c>
      <c r="BK227" s="293">
        <f t="shared" si="108"/>
        <v>15.88519486059621</v>
      </c>
    </row>
    <row r="228" spans="1:63" s="56" customFormat="1" x14ac:dyDescent="0.25">
      <c r="A228" s="270" t="s">
        <v>133</v>
      </c>
      <c r="B228" s="271">
        <v>2027</v>
      </c>
      <c r="C228" s="272" t="s">
        <v>11</v>
      </c>
      <c r="D228" s="272" t="s">
        <v>162</v>
      </c>
      <c r="E228" s="272" t="s">
        <v>119</v>
      </c>
      <c r="F228" s="273">
        <v>150000</v>
      </c>
      <c r="G228" s="274">
        <v>0</v>
      </c>
      <c r="H228" s="275">
        <f t="shared" si="88"/>
        <v>0</v>
      </c>
      <c r="I228" s="274">
        <v>0</v>
      </c>
      <c r="J228" s="276" t="s">
        <v>264</v>
      </c>
      <c r="K228" s="277">
        <f t="shared" si="87"/>
        <v>1</v>
      </c>
      <c r="L228" s="278">
        <v>0</v>
      </c>
      <c r="M228" s="278">
        <v>0</v>
      </c>
      <c r="N228" s="278">
        <v>1</v>
      </c>
      <c r="O228" s="279">
        <v>1</v>
      </c>
      <c r="P228" s="280">
        <v>16.850000000000001</v>
      </c>
      <c r="Q228" s="281">
        <v>13.6</v>
      </c>
      <c r="R228" s="282">
        <v>1.7622806128380166E-3</v>
      </c>
      <c r="S228" s="282">
        <v>1.7622806128380166E-3</v>
      </c>
      <c r="T228" s="281">
        <v>0</v>
      </c>
      <c r="U228" s="283">
        <v>0</v>
      </c>
      <c r="V228" s="284">
        <v>0</v>
      </c>
      <c r="W228" s="285">
        <v>0.15</v>
      </c>
      <c r="X228" s="286" t="s">
        <v>11</v>
      </c>
      <c r="Y228" s="287">
        <f t="shared" si="89"/>
        <v>150000</v>
      </c>
      <c r="Z228" s="288">
        <f t="shared" si="90"/>
        <v>0</v>
      </c>
      <c r="AA228" s="288">
        <f t="shared" si="91"/>
        <v>0</v>
      </c>
      <c r="AB228" s="288">
        <f t="shared" si="92"/>
        <v>0</v>
      </c>
      <c r="AC228" s="288">
        <f t="shared" si="109"/>
        <v>0</v>
      </c>
      <c r="AD228" s="287">
        <f t="shared" si="93"/>
        <v>2527500</v>
      </c>
      <c r="AE228" s="287">
        <f t="shared" si="94"/>
        <v>2527500</v>
      </c>
      <c r="AF228" s="287">
        <f t="shared" si="95"/>
        <v>2527500</v>
      </c>
      <c r="AG228" s="287">
        <f t="shared" si="96"/>
        <v>2527500</v>
      </c>
      <c r="AH228" s="287">
        <f t="shared" si="97"/>
        <v>2186880</v>
      </c>
      <c r="AI228" s="287">
        <f t="shared" si="98"/>
        <v>2186880</v>
      </c>
      <c r="AJ228" s="287">
        <f t="shared" si="99"/>
        <v>0</v>
      </c>
      <c r="AK228" s="287">
        <f t="shared" si="100"/>
        <v>0</v>
      </c>
      <c r="AL228" s="287">
        <f t="shared" si="101"/>
        <v>283.37472254435312</v>
      </c>
      <c r="AM228" s="287">
        <f t="shared" si="102"/>
        <v>283.37472254435312</v>
      </c>
      <c r="AN228" s="287">
        <f t="shared" si="103"/>
        <v>283.37472254435312</v>
      </c>
      <c r="AO228" s="287">
        <f t="shared" si="104"/>
        <v>283.37472254435312</v>
      </c>
      <c r="AP228" s="287">
        <f t="shared" si="105"/>
        <v>0</v>
      </c>
      <c r="AQ228" s="287">
        <f t="shared" si="106"/>
        <v>0</v>
      </c>
      <c r="AR228" s="287">
        <f t="shared" si="107"/>
        <v>0</v>
      </c>
      <c r="AS228" s="289" t="e">
        <f>IF(J228='2027 Avoided Costs'!#REF!,3,5)</f>
        <v>#REF!</v>
      </c>
      <c r="AT228" s="290" cm="1">
        <f t="array" ref="AT228">IFERROR(IF($J228="Baseload",IF($O228=1,0,NPV('2027 Avoided Costs'!$D$6,_xlfn._xlws.FILTER('2027 Avoided Costs'!$C$14:$C$47,('2027 Avoided Costs'!$B$14:$B$47&gt;=$B228+1)*('2027 Avoided Costs'!$B$14:$B$47&lt;$B228+ROUND($O228,0)))))+_xlfn.XLOOKUP($B228,'2027 Avoided Costs'!$B$13:$B$47,'2027 Avoided Costs'!$C$13:$C$47),IF($O228=1,0,NPV('2027 Avoided Costs'!$D$6,_xlfn._xlws.FILTER('2027 Avoided Costs'!$E$14:$E$47,('2027 Avoided Costs'!$B$14:$B$47&gt;=$B228+1)*('2027 Avoided Costs'!$B$14:$B$47&lt;$B228+ROUND($O228,0)))))+_xlfn.XLOOKUP($B228,'2027 Avoided Costs'!$B$13:$B$47,'2027 Avoided Costs'!$E$13:$E$47))*IF($AE228&gt;0,$AE228*(1+$W228),0),0)</f>
        <v>715531.42997750826</v>
      </c>
      <c r="AU228" s="290" cm="1">
        <f t="array" ref="AU228">IFERROR((IF($O228=1,0,NPV('2027 Avoided Costs'!$D$6,_xlfn._xlws.FILTER('2027 Avoided Costs'!$M$14:$M$47,('2027 Avoided Costs'!$B$14:$B$47&gt;=$B228+1)*('2027 Avoided Costs'!$B$14:$B$47&lt;$B228+ROUND($O228,0)))))+_xlfn.XLOOKUP($B228,'2027 Avoided Costs'!$B$13:$B$47,'2027 Avoided Costs'!$M$13:$M$47))*IF($AK228&gt;0,$AK228*(1+$W228),0),0)</f>
        <v>0</v>
      </c>
      <c r="AV228" s="291" cm="1">
        <f t="array" ref="AV228">IFERROR((IF($O228=1,0,NPV('2027 Avoided Costs'!$D$6,_xlfn._xlws.FILTER('2027 Avoided Costs'!$Q$14:$Q$47,('2027 Avoided Costs'!$B$14:$B$47&gt;=$B228+1)*('2027 Avoided Costs'!$B$14:$B$47&lt;$B228+ROUND($O228,0)))))+_xlfn.XLOOKUP($B228,'2027 Avoided Costs'!$B$13:$B$47,'2027 Avoided Costs'!$Q$13:$Q$47))*IF($AI228&gt;0,$AI228*(1+$W228),0),0)</f>
        <v>167131.1768884575</v>
      </c>
      <c r="AW228" s="291" cm="1">
        <f t="array" ref="AW228">IFERROR((IF($O228=1,0,NPV('2027 Avoided Costs'!$D$6,_xlfn._xlws.FILTER('2027 Avoided Costs'!$W$14:$W$47,('2027 Avoided Costs'!$B$14:$B$47&gt;=$B228+1)*('2027 Avoided Costs'!$B$14:$B$47&lt;$B228+ROUND($O228,0)))))+_xlfn.XLOOKUP($B228,'2027 Avoided Costs'!$B$13:$B$47,'2027 Avoided Costs'!$W$13:$W$47))*IF($AM228&gt;0,$AM228*(1+$W228),0),0)</f>
        <v>68711.189605167368</v>
      </c>
      <c r="AX228" s="291" cm="1">
        <f t="array" ref="AX228">IFERROR((IF($O228=1,0,NPV('2027 Avoided Costs'!$D$6,_xlfn._xlws.FILTER('2027 Avoided Costs'!$AC$14:$AC$47,('2027 Avoided Costs'!$B$14:$B$47&gt;=$B228+1)*('2027 Avoided Costs'!$B$14:$B$47&lt;$B228+ROUND($O228,0)))))+_xlfn.XLOOKUP($B228,'2027 Avoided Costs'!$B$13:$B$47,'2027 Avoided Costs'!$AC$13:$AC$47))*IF($AO228&gt;0,$AO228*(1+$W228),0),0)</f>
        <v>0</v>
      </c>
      <c r="AY228" s="291" cm="1">
        <f t="array" ref="AY228">IFERROR((IF($O228=1,0,NPV('2027 Avoided Costs'!$D$4,_xlfn._xlws.FILTER('2027 Avoided Costs'!$I$14:$I$47,('2027 Avoided Costs'!$B$14:$B$47&gt;=$B228+1)*('2027 Avoided Costs'!$B$14:$B$47&lt;$B228+ROUND($O228,0)))))+_xlfn.XLOOKUP($B228,'2027 Avoided Costs'!$B$13:$B$47,'2027 Avoided Costs'!$I$13:$I$47))*IF($X228="Residential",'2027 Avoided Costs'!$J$5,IF($X228="Large Volume",'2027 Avoided Costs'!$J$7,'2027 Avoided Costs'!$J$6))*IF($AE228&gt;0,$AE228,0),0)</f>
        <v>0</v>
      </c>
      <c r="AZ228" s="291" cm="1">
        <f t="array" ref="AZ228">IFERROR(IF($J228="Baseload",IF($O228=1,0,NPV('2027 Avoided Costs'!$D$6,_xlfn._xlws.FILTER('2027 Avoided Costs'!$C$14:$C$47,('2027 Avoided Costs'!$B$14:$B$47&gt;=$B228+1)*('2027 Avoided Costs'!$B$14:$B$47&lt;$B228+ROUND($O228,0)))))+_xlfn.XLOOKUP($B228,'2027 Avoided Costs'!$B$13:$B$47,'2027 Avoided Costs'!$C$13:$C$47),IF($O228=1,0,NPV('2027 Avoided Costs'!$D$6,_xlfn._xlws.FILTER('2027 Avoided Costs'!$E$14:$E$47,('2027 Avoided Costs'!$B$14:$B$47&gt;=$B228+1)*('2027 Avoided Costs'!$B$14:$B$47&lt;$B228+ROUND($O228,0)))))+_xlfn.XLOOKUP($B228,'2027 Avoided Costs'!$B$13:$B$47,'2027 Avoided Costs'!$E$13:$E$47))*IF($AE228&lt;0,$AE228*(-1),0),0)</f>
        <v>0</v>
      </c>
      <c r="BA228" s="291" cm="1">
        <f t="array" ref="BA228">IFERROR((IF($O228=1,0,NPV('2027 Avoided Costs'!$D$6,_xlfn._xlws.FILTER('2027 Avoided Costs'!$M$14:$M$47,('2027 Avoided Costs'!$B$14:$B$47&gt;=$B228+1)*('2027 Avoided Costs'!$B$14:$B$47&lt;$B228+ROUND($O228,0)))))+_xlfn.XLOOKUP($B228,'2027 Avoided Costs'!$B$13:$B$47,'2027 Avoided Costs'!$M$13:$M$47))*IF($AK228&lt;0,$AK228*(-1),0),0)</f>
        <v>0</v>
      </c>
      <c r="BB228" s="291" cm="1">
        <f t="array" ref="BB228">IFERROR((IF($O228=1,0,NPV('2027 Avoided Costs'!$D$6,_xlfn._xlws.FILTER('2027 Avoided Costs'!$S$14:$S$47,('2027 Avoided Costs'!$B$14:$B$47&gt;=$B228+1)*('2027 Avoided Costs'!$B$14:$B$47&lt;$B228+ROUND($O228,0)))))+_xlfn.XLOOKUP($B228,'2027 Avoided Costs'!$B$13:$B$47,'2027 Avoided Costs'!$S$13:$S$47))*IF($AI228&lt;0,$AI228*(-1),0),0)</f>
        <v>0</v>
      </c>
      <c r="BC228" s="291" cm="1">
        <f t="array" ref="BC228">IFERROR((IF($O228=1,0,NPV('2027 Avoided Costs'!$D$6,_xlfn._xlws.FILTER('2027 Avoided Costs'!$Y$14:$Y$47,('2027 Avoided Costs'!$B$14:$B$47&gt;=$B228+1)*('2027 Avoided Costs'!$B$14:$B$47&lt;$B228+ROUND($O228,0)))))+_xlfn.XLOOKUP($B228,'2027 Avoided Costs'!$B$13:$B$47,'2027 Avoided Costs'!$Y$13:$Y$47))*IF($AM228&lt;0,$AM228*(-1),0),0)</f>
        <v>0</v>
      </c>
      <c r="BD228" s="291" cm="1">
        <f t="array" ref="BD228">IFERROR((IF($O228=1,0,NPV('2027 Avoided Costs'!$D$6,_xlfn._xlws.FILTER('2027 Avoided Costs'!$AE$14:$AE$47,('2027 Avoided Costs'!$B$14:$B$47&gt;=$B228+1)*('2027 Avoided Costs'!$B$14:$B$47&lt;$B228+ROUND($O228,0)))))+_xlfn.XLOOKUP($B228,'2027 Avoided Costs'!$B$13:$B$47,'2027 Avoided Costs'!$AE$13:$AE$47))*IF($AO228&lt;0,$AO228*(-1),0),0)</f>
        <v>0</v>
      </c>
      <c r="BE228" s="291" cm="1">
        <f t="array" ref="BE228">IFERROR((IF($O228=1,0,NPV('2027 Avoided Costs'!$D$4,_xlfn._xlws.FILTER('2027 Avoided Costs'!$I$14:$I$47,('2027 Avoided Costs'!$B$14:$B$47&gt;=$B228+1)*('2027 Avoided Costs'!$B$14:$B$47&lt;$B228+ROUND($O228,0)))))+_xlfn.XLOOKUP($B228,'2027 Avoided Costs'!$B$13:$B$47,'2027 Avoided Costs'!$I$13:$I$47))*IF($X228="Residential",'2027 Avoided Costs'!$J$5,IF($X228="Large Volume",'2027 Avoided Costs'!$J$7,'2027 Avoided Costs'!$J$6))*IF($AE228&lt;0,$AE228*(-1),0),0)</f>
        <v>0</v>
      </c>
      <c r="BF228" s="291">
        <f t="shared" si="84"/>
        <v>951373.79647113313</v>
      </c>
      <c r="BG228" s="291">
        <f t="shared" si="85"/>
        <v>0</v>
      </c>
      <c r="BH228" s="291">
        <f t="shared" si="86"/>
        <v>951373.79647113313</v>
      </c>
      <c r="BI228" s="292">
        <f t="shared" si="110"/>
        <v>0</v>
      </c>
      <c r="BJ228" s="196" cm="1">
        <f t="array" ref="BJ228">IFERROR(IF($J228="Baseload",IF($O228=1,0,NPV('2027 Avoided Costs'!$D$6,_xlfn._xlws.FILTER('2027 Avoided Costs'!$C$14:$C$47,('2027 Avoided Costs'!$B$14:$B$47&gt;=$B228+1)*('2027 Avoided Costs'!$B$14:$B$47&lt;$B228+ROUND($O228,0)))))+_xlfn.XLOOKUP($B228,'2027 Avoided Costs'!$B$13:$B$47,'2027 Avoided Costs'!$C$13:$C$47),IF($O228=1,0,NPV('2027 Avoided Costs'!$D$6,_xlfn._xlws.FILTER('2027 Avoided Costs'!$E$14:$E$47,('2027 Avoided Costs'!$B$14:$B$47&gt;=$B228+1)*('2027 Avoided Costs'!$B$14:$B$47&lt;$B228+ROUND($O228,0)))))+_xlfn.XLOOKUP($B228,'2027 Avoided Costs'!$B$13:$B$47,'2027 Avoided Costs'!$E$13:$E$47))*IF($AE228&gt;0,$AE228*(1+0),0),0)</f>
        <v>622201.24345870281</v>
      </c>
      <c r="BK228" s="293">
        <f t="shared" si="108"/>
        <v>0</v>
      </c>
    </row>
    <row r="229" spans="1:63" s="56" customFormat="1" x14ac:dyDescent="0.25">
      <c r="A229" s="270" t="s">
        <v>133</v>
      </c>
      <c r="B229" s="271">
        <v>2028</v>
      </c>
      <c r="C229" s="272" t="s">
        <v>11</v>
      </c>
      <c r="D229" s="272" t="s">
        <v>162</v>
      </c>
      <c r="E229" s="272" t="s">
        <v>119</v>
      </c>
      <c r="F229" s="273">
        <v>188000</v>
      </c>
      <c r="G229" s="274">
        <v>0</v>
      </c>
      <c r="H229" s="275">
        <f t="shared" si="88"/>
        <v>0</v>
      </c>
      <c r="I229" s="274">
        <v>0</v>
      </c>
      <c r="J229" s="276" t="s">
        <v>264</v>
      </c>
      <c r="K229" s="277">
        <f t="shared" si="87"/>
        <v>1</v>
      </c>
      <c r="L229" s="278">
        <v>0</v>
      </c>
      <c r="M229" s="278">
        <v>0</v>
      </c>
      <c r="N229" s="278">
        <v>1</v>
      </c>
      <c r="O229" s="279">
        <v>1</v>
      </c>
      <c r="P229" s="280">
        <v>24.23936170212766</v>
      </c>
      <c r="Q229" s="281">
        <v>12.140575079872207</v>
      </c>
      <c r="R229" s="282">
        <v>1.5731691244090548E-3</v>
      </c>
      <c r="S229" s="282">
        <v>1.5731691244090548E-3</v>
      </c>
      <c r="T229" s="281">
        <v>0</v>
      </c>
      <c r="U229" s="283">
        <v>0</v>
      </c>
      <c r="V229" s="284">
        <v>0</v>
      </c>
      <c r="W229" s="285">
        <v>0.15</v>
      </c>
      <c r="X229" s="286" t="s">
        <v>11</v>
      </c>
      <c r="Y229" s="287">
        <f t="shared" si="89"/>
        <v>188000</v>
      </c>
      <c r="Z229" s="288">
        <f t="shared" si="90"/>
        <v>0</v>
      </c>
      <c r="AA229" s="288">
        <f t="shared" si="91"/>
        <v>0</v>
      </c>
      <c r="AB229" s="288">
        <f t="shared" si="92"/>
        <v>0</v>
      </c>
      <c r="AC229" s="288">
        <f t="shared" si="109"/>
        <v>0</v>
      </c>
      <c r="AD229" s="287">
        <f t="shared" si="93"/>
        <v>4557000</v>
      </c>
      <c r="AE229" s="287">
        <f t="shared" si="94"/>
        <v>4557000</v>
      </c>
      <c r="AF229" s="287">
        <f t="shared" si="95"/>
        <v>4557000</v>
      </c>
      <c r="AG229" s="287">
        <f t="shared" si="96"/>
        <v>4557000</v>
      </c>
      <c r="AH229" s="287">
        <f t="shared" si="97"/>
        <v>2446762.9392971252</v>
      </c>
      <c r="AI229" s="287">
        <f t="shared" si="98"/>
        <v>2446762.9392971252</v>
      </c>
      <c r="AJ229" s="287">
        <f t="shared" si="99"/>
        <v>0</v>
      </c>
      <c r="AK229" s="287">
        <f t="shared" si="100"/>
        <v>0</v>
      </c>
      <c r="AL229" s="287">
        <f t="shared" si="101"/>
        <v>317.05021265690328</v>
      </c>
      <c r="AM229" s="287">
        <f t="shared" si="102"/>
        <v>317.05021265690328</v>
      </c>
      <c r="AN229" s="287">
        <f t="shared" si="103"/>
        <v>317.05021265690328</v>
      </c>
      <c r="AO229" s="287">
        <f t="shared" si="104"/>
        <v>317.05021265690328</v>
      </c>
      <c r="AP229" s="287">
        <f t="shared" si="105"/>
        <v>0</v>
      </c>
      <c r="AQ229" s="287">
        <f t="shared" si="106"/>
        <v>0</v>
      </c>
      <c r="AR229" s="287">
        <f t="shared" si="107"/>
        <v>0</v>
      </c>
      <c r="AS229" s="289" t="e">
        <f>IF(J229='2027 Avoided Costs'!#REF!,3,5)</f>
        <v>#REF!</v>
      </c>
      <c r="AT229" s="290" cm="1">
        <f t="array" ref="AT229">IFERROR(IF($J229="Baseload",IF($O229=1,0,NPV('2027 Avoided Costs'!$D$6,_xlfn._xlws.FILTER('2027 Avoided Costs'!$C$14:$C$47,('2027 Avoided Costs'!$B$14:$B$47&gt;=$B229+1)*('2027 Avoided Costs'!$B$14:$B$47&lt;$B229+ROUND($O229,0)))))+_xlfn.XLOOKUP($B229,'2027 Avoided Costs'!$B$13:$B$47,'2027 Avoided Costs'!$C$13:$C$47),IF($O229=1,0,NPV('2027 Avoided Costs'!$D$6,_xlfn._xlws.FILTER('2027 Avoided Costs'!$E$14:$E$47,('2027 Avoided Costs'!$B$14:$B$47&gt;=$B229+1)*('2027 Avoided Costs'!$B$14:$B$47&lt;$B229+ROUND($O229,0)))))+_xlfn.XLOOKUP($B229,'2027 Avoided Costs'!$B$13:$B$47,'2027 Avoided Costs'!$E$13:$E$47))*IF($AE229&gt;0,$AE229*(1+$W229),0),0)</f>
        <v>1414324.2671799064</v>
      </c>
      <c r="AU229" s="290" cm="1">
        <f t="array" ref="AU229">IFERROR((IF($O229=1,0,NPV('2027 Avoided Costs'!$D$6,_xlfn._xlws.FILTER('2027 Avoided Costs'!$M$14:$M$47,('2027 Avoided Costs'!$B$14:$B$47&gt;=$B229+1)*('2027 Avoided Costs'!$B$14:$B$47&lt;$B229+ROUND($O229,0)))))+_xlfn.XLOOKUP($B229,'2027 Avoided Costs'!$B$13:$B$47,'2027 Avoided Costs'!$M$13:$M$47))*IF($AK229&gt;0,$AK229*(1+$W229),0),0)</f>
        <v>0</v>
      </c>
      <c r="AV229" s="291" cm="1">
        <f t="array" ref="AV229">IFERROR((IF($O229=1,0,NPV('2027 Avoided Costs'!$D$6,_xlfn._xlws.FILTER('2027 Avoided Costs'!$Q$14:$Q$47,('2027 Avoided Costs'!$B$14:$B$47&gt;=$B229+1)*('2027 Avoided Costs'!$B$14:$B$47&lt;$B229+ROUND($O229,0)))))+_xlfn.XLOOKUP($B229,'2027 Avoided Costs'!$B$13:$B$47,'2027 Avoided Costs'!$Q$13:$Q$47))*IF($AI229&gt;0,$AI229*(1+$W229),0),0)</f>
        <v>183101.53830005467</v>
      </c>
      <c r="AW229" s="291" cm="1">
        <f t="array" ref="AW229">IFERROR((IF($O229=1,0,NPV('2027 Avoided Costs'!$D$6,_xlfn._xlws.FILTER('2027 Avoided Costs'!$W$14:$W$47,('2027 Avoided Costs'!$B$14:$B$47&gt;=$B229+1)*('2027 Avoided Costs'!$B$14:$B$47&lt;$B229+ROUND($O229,0)))))+_xlfn.XLOOKUP($B229,'2027 Avoided Costs'!$B$13:$B$47,'2027 Avoided Costs'!$W$13:$W$47))*IF($AM229&gt;0,$AM229*(1+$W229),0),0)</f>
        <v>88527.05894652917</v>
      </c>
      <c r="AX229" s="291" cm="1">
        <f t="array" ref="AX229">IFERROR((IF($O229=1,0,NPV('2027 Avoided Costs'!$D$6,_xlfn._xlws.FILTER('2027 Avoided Costs'!$AC$14:$AC$47,('2027 Avoided Costs'!$B$14:$B$47&gt;=$B229+1)*('2027 Avoided Costs'!$B$14:$B$47&lt;$B229+ROUND($O229,0)))))+_xlfn.XLOOKUP($B229,'2027 Avoided Costs'!$B$13:$B$47,'2027 Avoided Costs'!$AC$13:$AC$47))*IF($AO229&gt;0,$AO229*(1+$W229),0),0)</f>
        <v>0</v>
      </c>
      <c r="AY229" s="291" cm="1">
        <f t="array" ref="AY229">IFERROR((IF($O229=1,0,NPV('2027 Avoided Costs'!$D$4,_xlfn._xlws.FILTER('2027 Avoided Costs'!$I$14:$I$47,('2027 Avoided Costs'!$B$14:$B$47&gt;=$B229+1)*('2027 Avoided Costs'!$B$14:$B$47&lt;$B229+ROUND($O229,0)))))+_xlfn.XLOOKUP($B229,'2027 Avoided Costs'!$B$13:$B$47,'2027 Avoided Costs'!$I$13:$I$47))*IF($X229="Residential",'2027 Avoided Costs'!$J$5,IF($X229="Large Volume",'2027 Avoided Costs'!$J$7,'2027 Avoided Costs'!$J$6))*IF($AE229&gt;0,$AE229,0),0)</f>
        <v>0</v>
      </c>
      <c r="AZ229" s="291" cm="1">
        <f t="array" ref="AZ229">IFERROR(IF($J229="Baseload",IF($O229=1,0,NPV('2027 Avoided Costs'!$D$6,_xlfn._xlws.FILTER('2027 Avoided Costs'!$C$14:$C$47,('2027 Avoided Costs'!$B$14:$B$47&gt;=$B229+1)*('2027 Avoided Costs'!$B$14:$B$47&lt;$B229+ROUND($O229,0)))))+_xlfn.XLOOKUP($B229,'2027 Avoided Costs'!$B$13:$B$47,'2027 Avoided Costs'!$C$13:$C$47),IF($O229=1,0,NPV('2027 Avoided Costs'!$D$6,_xlfn._xlws.FILTER('2027 Avoided Costs'!$E$14:$E$47,('2027 Avoided Costs'!$B$14:$B$47&gt;=$B229+1)*('2027 Avoided Costs'!$B$14:$B$47&lt;$B229+ROUND($O229,0)))))+_xlfn.XLOOKUP($B229,'2027 Avoided Costs'!$B$13:$B$47,'2027 Avoided Costs'!$E$13:$E$47))*IF($AE229&lt;0,$AE229*(-1),0),0)</f>
        <v>0</v>
      </c>
      <c r="BA229" s="291" cm="1">
        <f t="array" ref="BA229">IFERROR((IF($O229=1,0,NPV('2027 Avoided Costs'!$D$6,_xlfn._xlws.FILTER('2027 Avoided Costs'!$M$14:$M$47,('2027 Avoided Costs'!$B$14:$B$47&gt;=$B229+1)*('2027 Avoided Costs'!$B$14:$B$47&lt;$B229+ROUND($O229,0)))))+_xlfn.XLOOKUP($B229,'2027 Avoided Costs'!$B$13:$B$47,'2027 Avoided Costs'!$M$13:$M$47))*IF($AK229&lt;0,$AK229*(-1),0),0)</f>
        <v>0</v>
      </c>
      <c r="BB229" s="291" cm="1">
        <f t="array" ref="BB229">IFERROR((IF($O229=1,0,NPV('2027 Avoided Costs'!$D$6,_xlfn._xlws.FILTER('2027 Avoided Costs'!$S$14:$S$47,('2027 Avoided Costs'!$B$14:$B$47&gt;=$B229+1)*('2027 Avoided Costs'!$B$14:$B$47&lt;$B229+ROUND($O229,0)))))+_xlfn.XLOOKUP($B229,'2027 Avoided Costs'!$B$13:$B$47,'2027 Avoided Costs'!$S$13:$S$47))*IF($AI229&lt;0,$AI229*(-1),0),0)</f>
        <v>0</v>
      </c>
      <c r="BC229" s="291" cm="1">
        <f t="array" ref="BC229">IFERROR((IF($O229=1,0,NPV('2027 Avoided Costs'!$D$6,_xlfn._xlws.FILTER('2027 Avoided Costs'!$Y$14:$Y$47,('2027 Avoided Costs'!$B$14:$B$47&gt;=$B229+1)*('2027 Avoided Costs'!$B$14:$B$47&lt;$B229+ROUND($O229,0)))))+_xlfn.XLOOKUP($B229,'2027 Avoided Costs'!$B$13:$B$47,'2027 Avoided Costs'!$Y$13:$Y$47))*IF($AM229&lt;0,$AM229*(-1),0),0)</f>
        <v>0</v>
      </c>
      <c r="BD229" s="291" cm="1">
        <f t="array" ref="BD229">IFERROR((IF($O229=1,0,NPV('2027 Avoided Costs'!$D$6,_xlfn._xlws.FILTER('2027 Avoided Costs'!$AE$14:$AE$47,('2027 Avoided Costs'!$B$14:$B$47&gt;=$B229+1)*('2027 Avoided Costs'!$B$14:$B$47&lt;$B229+ROUND($O229,0)))))+_xlfn.XLOOKUP($B229,'2027 Avoided Costs'!$B$13:$B$47,'2027 Avoided Costs'!$AE$13:$AE$47))*IF($AO229&lt;0,$AO229*(-1),0),0)</f>
        <v>0</v>
      </c>
      <c r="BE229" s="291" cm="1">
        <f t="array" ref="BE229">IFERROR((IF($O229=1,0,NPV('2027 Avoided Costs'!$D$4,_xlfn._xlws.FILTER('2027 Avoided Costs'!$I$14:$I$47,('2027 Avoided Costs'!$B$14:$B$47&gt;=$B229+1)*('2027 Avoided Costs'!$B$14:$B$47&lt;$B229+ROUND($O229,0)))))+_xlfn.XLOOKUP($B229,'2027 Avoided Costs'!$B$13:$B$47,'2027 Avoided Costs'!$I$13:$I$47))*IF($X229="Residential",'2027 Avoided Costs'!$J$5,IF($X229="Large Volume",'2027 Avoided Costs'!$J$7,'2027 Avoided Costs'!$J$6))*IF($AE229&lt;0,$AE229*(-1),0),0)</f>
        <v>0</v>
      </c>
      <c r="BF229" s="291">
        <f t="shared" si="84"/>
        <v>1685952.8644264902</v>
      </c>
      <c r="BG229" s="291">
        <f t="shared" si="85"/>
        <v>0</v>
      </c>
      <c r="BH229" s="291">
        <f t="shared" si="86"/>
        <v>1685952.8644264902</v>
      </c>
      <c r="BI229" s="292">
        <f t="shared" si="110"/>
        <v>0</v>
      </c>
      <c r="BJ229" s="196" cm="1">
        <f t="array" ref="BJ229">IFERROR(IF($J229="Baseload",IF($O229=1,0,NPV('2027 Avoided Costs'!$D$6,_xlfn._xlws.FILTER('2027 Avoided Costs'!$C$14:$C$47,('2027 Avoided Costs'!$B$14:$B$47&gt;=$B229+1)*('2027 Avoided Costs'!$B$14:$B$47&lt;$B229+ROUND($O229,0)))))+_xlfn.XLOOKUP($B229,'2027 Avoided Costs'!$B$13:$B$47,'2027 Avoided Costs'!$C$13:$C$47),IF($O229=1,0,NPV('2027 Avoided Costs'!$D$6,_xlfn._xlws.FILTER('2027 Avoided Costs'!$E$14:$E$47,('2027 Avoided Costs'!$B$14:$B$47&gt;=$B229+1)*('2027 Avoided Costs'!$B$14:$B$47&lt;$B229+ROUND($O229,0)))))+_xlfn.XLOOKUP($B229,'2027 Avoided Costs'!$B$13:$B$47,'2027 Avoided Costs'!$E$13:$E$47))*IF($AE229&gt;0,$AE229*(1+0),0),0)</f>
        <v>1229847.1888520925</v>
      </c>
      <c r="BK229" s="293">
        <f t="shared" si="108"/>
        <v>0</v>
      </c>
    </row>
    <row r="230" spans="1:63" s="56" customFormat="1" x14ac:dyDescent="0.25">
      <c r="A230" s="270" t="s">
        <v>133</v>
      </c>
      <c r="B230" s="271">
        <v>2029</v>
      </c>
      <c r="C230" s="272" t="s">
        <v>11</v>
      </c>
      <c r="D230" s="272" t="s">
        <v>162</v>
      </c>
      <c r="E230" s="272" t="s">
        <v>119</v>
      </c>
      <c r="F230" s="273">
        <v>226000</v>
      </c>
      <c r="G230" s="274">
        <v>0</v>
      </c>
      <c r="H230" s="275">
        <f t="shared" si="88"/>
        <v>0</v>
      </c>
      <c r="I230" s="274">
        <v>0</v>
      </c>
      <c r="J230" s="276" t="s">
        <v>264</v>
      </c>
      <c r="K230" s="277">
        <f t="shared" si="87"/>
        <v>1</v>
      </c>
      <c r="L230" s="278">
        <v>0</v>
      </c>
      <c r="M230" s="278">
        <v>0</v>
      </c>
      <c r="N230" s="278">
        <v>1</v>
      </c>
      <c r="O230" s="279">
        <v>1</v>
      </c>
      <c r="P230" s="280">
        <v>25.389380530973451</v>
      </c>
      <c r="Q230" s="281">
        <v>12.76595744680851</v>
      </c>
      <c r="R230" s="282">
        <v>1.6542058318254225E-3</v>
      </c>
      <c r="S230" s="282">
        <v>1.6542058318254225E-3</v>
      </c>
      <c r="T230" s="281">
        <v>0</v>
      </c>
      <c r="U230" s="283">
        <v>0</v>
      </c>
      <c r="V230" s="284">
        <v>0</v>
      </c>
      <c r="W230" s="285">
        <v>0.15</v>
      </c>
      <c r="X230" s="286" t="s">
        <v>11</v>
      </c>
      <c r="Y230" s="287">
        <f t="shared" si="89"/>
        <v>226000</v>
      </c>
      <c r="Z230" s="288">
        <f t="shared" si="90"/>
        <v>0</v>
      </c>
      <c r="AA230" s="288">
        <f t="shared" si="91"/>
        <v>0</v>
      </c>
      <c r="AB230" s="288">
        <f t="shared" si="92"/>
        <v>0</v>
      </c>
      <c r="AC230" s="288">
        <f t="shared" si="109"/>
        <v>0</v>
      </c>
      <c r="AD230" s="287">
        <f t="shared" si="93"/>
        <v>5738000</v>
      </c>
      <c r="AE230" s="287">
        <f t="shared" si="94"/>
        <v>5738000</v>
      </c>
      <c r="AF230" s="287">
        <f t="shared" si="95"/>
        <v>5738000</v>
      </c>
      <c r="AG230" s="287">
        <f t="shared" si="96"/>
        <v>5738000</v>
      </c>
      <c r="AH230" s="287">
        <f t="shared" si="97"/>
        <v>3092834.0425531915</v>
      </c>
      <c r="AI230" s="287">
        <f t="shared" si="98"/>
        <v>3092834.0425531915</v>
      </c>
      <c r="AJ230" s="287">
        <f t="shared" si="99"/>
        <v>0</v>
      </c>
      <c r="AK230" s="287">
        <f t="shared" si="100"/>
        <v>0</v>
      </c>
      <c r="AL230" s="287">
        <f t="shared" si="101"/>
        <v>400.76775528800874</v>
      </c>
      <c r="AM230" s="287">
        <f t="shared" si="102"/>
        <v>400.76775528800874</v>
      </c>
      <c r="AN230" s="287">
        <f t="shared" si="103"/>
        <v>400.76775528800874</v>
      </c>
      <c r="AO230" s="287">
        <f t="shared" si="104"/>
        <v>400.76775528800874</v>
      </c>
      <c r="AP230" s="287">
        <f t="shared" si="105"/>
        <v>0</v>
      </c>
      <c r="AQ230" s="287">
        <f t="shared" si="106"/>
        <v>0</v>
      </c>
      <c r="AR230" s="287">
        <f t="shared" si="107"/>
        <v>0</v>
      </c>
      <c r="AS230" s="289" t="e">
        <f>IF(J230='2027 Avoided Costs'!#REF!,3,5)</f>
        <v>#REF!</v>
      </c>
      <c r="AT230" s="290" cm="1">
        <f t="array" ref="AT230">IFERROR(IF($J230="Baseload",IF($O230=1,0,NPV('2027 Avoided Costs'!$D$6,_xlfn._xlws.FILTER('2027 Avoided Costs'!$C$14:$C$47,('2027 Avoided Costs'!$B$14:$B$47&gt;=$B230+1)*('2027 Avoided Costs'!$B$14:$B$47&lt;$B230+ROUND($O230,0)))))+_xlfn.XLOOKUP($B230,'2027 Avoided Costs'!$B$13:$B$47,'2027 Avoided Costs'!$C$13:$C$47),IF($O230=1,0,NPV('2027 Avoided Costs'!$D$6,_xlfn._xlws.FILTER('2027 Avoided Costs'!$E$14:$E$47,('2027 Avoided Costs'!$B$14:$B$47&gt;=$B230+1)*('2027 Avoided Costs'!$B$14:$B$47&lt;$B230+ROUND($O230,0)))))+_xlfn.XLOOKUP($B230,'2027 Avoided Costs'!$B$13:$B$47,'2027 Avoided Costs'!$E$13:$E$47))*IF($AE230&gt;0,$AE230*(1+$W230),0),0)</f>
        <v>1955149.7096636223</v>
      </c>
      <c r="AU230" s="290" cm="1">
        <f t="array" ref="AU230">IFERROR((IF($O230=1,0,NPV('2027 Avoided Costs'!$D$6,_xlfn._xlws.FILTER('2027 Avoided Costs'!$M$14:$M$47,('2027 Avoided Costs'!$B$14:$B$47&gt;=$B230+1)*('2027 Avoided Costs'!$B$14:$B$47&lt;$B230+ROUND($O230,0)))))+_xlfn.XLOOKUP($B230,'2027 Avoided Costs'!$B$13:$B$47,'2027 Avoided Costs'!$M$13:$M$47))*IF($AK230&gt;0,$AK230*(1+$W230),0),0)</f>
        <v>0</v>
      </c>
      <c r="AV230" s="291" cm="1">
        <f t="array" ref="AV230">IFERROR((IF($O230=1,0,NPV('2027 Avoided Costs'!$D$6,_xlfn._xlws.FILTER('2027 Avoided Costs'!$Q$14:$Q$47,('2027 Avoided Costs'!$B$14:$B$47&gt;=$B230+1)*('2027 Avoided Costs'!$B$14:$B$47&lt;$B230+ROUND($O230,0)))))+_xlfn.XLOOKUP($B230,'2027 Avoided Costs'!$B$13:$B$47,'2027 Avoided Costs'!$Q$13:$Q$47))*IF($AI230&gt;0,$AI230*(1+$W230),0),0)</f>
        <v>256962.53079597201</v>
      </c>
      <c r="AW230" s="291" cm="1">
        <f t="array" ref="AW230">IFERROR((IF($O230=1,0,NPV('2027 Avoided Costs'!$D$6,_xlfn._xlws.FILTER('2027 Avoided Costs'!$W$14:$W$47,('2027 Avoided Costs'!$B$14:$B$47&gt;=$B230+1)*('2027 Avoided Costs'!$B$14:$B$47&lt;$B230+ROUND($O230,0)))))+_xlfn.XLOOKUP($B230,'2027 Avoided Costs'!$B$13:$B$47,'2027 Avoided Costs'!$W$13:$W$47))*IF($AM230&gt;0,$AM230*(1+$W230),0),0)</f>
        <v>121427.91026052792</v>
      </c>
      <c r="AX230" s="291" cm="1">
        <f t="array" ref="AX230">IFERROR((IF($O230=1,0,NPV('2027 Avoided Costs'!$D$6,_xlfn._xlws.FILTER('2027 Avoided Costs'!$AC$14:$AC$47,('2027 Avoided Costs'!$B$14:$B$47&gt;=$B230+1)*('2027 Avoided Costs'!$B$14:$B$47&lt;$B230+ROUND($O230,0)))))+_xlfn.XLOOKUP($B230,'2027 Avoided Costs'!$B$13:$B$47,'2027 Avoided Costs'!$AC$13:$AC$47))*IF($AO230&gt;0,$AO230*(1+$W230),0),0)</f>
        <v>0</v>
      </c>
      <c r="AY230" s="291" cm="1">
        <f t="array" ref="AY230">IFERROR((IF($O230=1,0,NPV('2027 Avoided Costs'!$D$4,_xlfn._xlws.FILTER('2027 Avoided Costs'!$I$14:$I$47,('2027 Avoided Costs'!$B$14:$B$47&gt;=$B230+1)*('2027 Avoided Costs'!$B$14:$B$47&lt;$B230+ROUND($O230,0)))))+_xlfn.XLOOKUP($B230,'2027 Avoided Costs'!$B$13:$B$47,'2027 Avoided Costs'!$I$13:$I$47))*IF($X230="Residential",'2027 Avoided Costs'!$J$5,IF($X230="Large Volume",'2027 Avoided Costs'!$J$7,'2027 Avoided Costs'!$J$6))*IF($AE230&gt;0,$AE230,0),0)</f>
        <v>0</v>
      </c>
      <c r="AZ230" s="291" cm="1">
        <f t="array" ref="AZ230">IFERROR(IF($J230="Baseload",IF($O230=1,0,NPV('2027 Avoided Costs'!$D$6,_xlfn._xlws.FILTER('2027 Avoided Costs'!$C$14:$C$47,('2027 Avoided Costs'!$B$14:$B$47&gt;=$B230+1)*('2027 Avoided Costs'!$B$14:$B$47&lt;$B230+ROUND($O230,0)))))+_xlfn.XLOOKUP($B230,'2027 Avoided Costs'!$B$13:$B$47,'2027 Avoided Costs'!$C$13:$C$47),IF($O230=1,0,NPV('2027 Avoided Costs'!$D$6,_xlfn._xlws.FILTER('2027 Avoided Costs'!$E$14:$E$47,('2027 Avoided Costs'!$B$14:$B$47&gt;=$B230+1)*('2027 Avoided Costs'!$B$14:$B$47&lt;$B230+ROUND($O230,0)))))+_xlfn.XLOOKUP($B230,'2027 Avoided Costs'!$B$13:$B$47,'2027 Avoided Costs'!$E$13:$E$47))*IF($AE230&lt;0,$AE230*(-1),0),0)</f>
        <v>0</v>
      </c>
      <c r="BA230" s="291" cm="1">
        <f t="array" ref="BA230">IFERROR((IF($O230=1,0,NPV('2027 Avoided Costs'!$D$6,_xlfn._xlws.FILTER('2027 Avoided Costs'!$M$14:$M$47,('2027 Avoided Costs'!$B$14:$B$47&gt;=$B230+1)*('2027 Avoided Costs'!$B$14:$B$47&lt;$B230+ROUND($O230,0)))))+_xlfn.XLOOKUP($B230,'2027 Avoided Costs'!$B$13:$B$47,'2027 Avoided Costs'!$M$13:$M$47))*IF($AK230&lt;0,$AK230*(-1),0),0)</f>
        <v>0</v>
      </c>
      <c r="BB230" s="291" cm="1">
        <f t="array" ref="BB230">IFERROR((IF($O230=1,0,NPV('2027 Avoided Costs'!$D$6,_xlfn._xlws.FILTER('2027 Avoided Costs'!$S$14:$S$47,('2027 Avoided Costs'!$B$14:$B$47&gt;=$B230+1)*('2027 Avoided Costs'!$B$14:$B$47&lt;$B230+ROUND($O230,0)))))+_xlfn.XLOOKUP($B230,'2027 Avoided Costs'!$B$13:$B$47,'2027 Avoided Costs'!$S$13:$S$47))*IF($AI230&lt;0,$AI230*(-1),0),0)</f>
        <v>0</v>
      </c>
      <c r="BC230" s="291" cm="1">
        <f t="array" ref="BC230">IFERROR((IF($O230=1,0,NPV('2027 Avoided Costs'!$D$6,_xlfn._xlws.FILTER('2027 Avoided Costs'!$Y$14:$Y$47,('2027 Avoided Costs'!$B$14:$B$47&gt;=$B230+1)*('2027 Avoided Costs'!$B$14:$B$47&lt;$B230+ROUND($O230,0)))))+_xlfn.XLOOKUP($B230,'2027 Avoided Costs'!$B$13:$B$47,'2027 Avoided Costs'!$Y$13:$Y$47))*IF($AM230&lt;0,$AM230*(-1),0),0)</f>
        <v>0</v>
      </c>
      <c r="BD230" s="291" cm="1">
        <f t="array" ref="BD230">IFERROR((IF($O230=1,0,NPV('2027 Avoided Costs'!$D$6,_xlfn._xlws.FILTER('2027 Avoided Costs'!$AE$14:$AE$47,('2027 Avoided Costs'!$B$14:$B$47&gt;=$B230+1)*('2027 Avoided Costs'!$B$14:$B$47&lt;$B230+ROUND($O230,0)))))+_xlfn.XLOOKUP($B230,'2027 Avoided Costs'!$B$13:$B$47,'2027 Avoided Costs'!$AE$13:$AE$47))*IF($AO230&lt;0,$AO230*(-1),0),0)</f>
        <v>0</v>
      </c>
      <c r="BE230" s="291" cm="1">
        <f t="array" ref="BE230">IFERROR((IF($O230=1,0,NPV('2027 Avoided Costs'!$D$4,_xlfn._xlws.FILTER('2027 Avoided Costs'!$I$14:$I$47,('2027 Avoided Costs'!$B$14:$B$47&gt;=$B230+1)*('2027 Avoided Costs'!$B$14:$B$47&lt;$B230+ROUND($O230,0)))))+_xlfn.XLOOKUP($B230,'2027 Avoided Costs'!$B$13:$B$47,'2027 Avoided Costs'!$I$13:$I$47))*IF($X230="Residential",'2027 Avoided Costs'!$J$5,IF($X230="Large Volume",'2027 Avoided Costs'!$J$7,'2027 Avoided Costs'!$J$6))*IF($AE230&lt;0,$AE230*(-1),0),0)</f>
        <v>0</v>
      </c>
      <c r="BF230" s="291">
        <f t="shared" si="84"/>
        <v>2333540.1507201223</v>
      </c>
      <c r="BG230" s="291">
        <f t="shared" si="85"/>
        <v>0</v>
      </c>
      <c r="BH230" s="291">
        <f t="shared" si="86"/>
        <v>2333540.1507201223</v>
      </c>
      <c r="BI230" s="292">
        <f t="shared" si="110"/>
        <v>0</v>
      </c>
      <c r="BJ230" s="196" cm="1">
        <f t="array" ref="BJ230">IFERROR(IF($J230="Baseload",IF($O230=1,0,NPV('2027 Avoided Costs'!$D$6,_xlfn._xlws.FILTER('2027 Avoided Costs'!$C$14:$C$47,('2027 Avoided Costs'!$B$14:$B$47&gt;=$B230+1)*('2027 Avoided Costs'!$B$14:$B$47&lt;$B230+ROUND($O230,0)))))+_xlfn.XLOOKUP($B230,'2027 Avoided Costs'!$B$13:$B$47,'2027 Avoided Costs'!$C$13:$C$47),IF($O230=1,0,NPV('2027 Avoided Costs'!$D$6,_xlfn._xlws.FILTER('2027 Avoided Costs'!$E$14:$E$47,('2027 Avoided Costs'!$B$14:$B$47&gt;=$B230+1)*('2027 Avoided Costs'!$B$14:$B$47&lt;$B230+ROUND($O230,0)))))+_xlfn.XLOOKUP($B230,'2027 Avoided Costs'!$B$13:$B$47,'2027 Avoided Costs'!$E$13:$E$47))*IF($AE230&gt;0,$AE230*(1+0),0),0)</f>
        <v>1700130.1823161936</v>
      </c>
      <c r="BK230" s="293">
        <f t="shared" si="108"/>
        <v>0</v>
      </c>
    </row>
    <row r="231" spans="1:63" s="56" customFormat="1" x14ac:dyDescent="0.25">
      <c r="A231" s="270" t="s">
        <v>133</v>
      </c>
      <c r="B231" s="271">
        <v>2030</v>
      </c>
      <c r="C231" s="272" t="s">
        <v>11</v>
      </c>
      <c r="D231" s="272" t="s">
        <v>162</v>
      </c>
      <c r="E231" s="272" t="s">
        <v>119</v>
      </c>
      <c r="F231" s="273">
        <v>263000</v>
      </c>
      <c r="G231" s="274">
        <v>0</v>
      </c>
      <c r="H231" s="275">
        <f t="shared" si="88"/>
        <v>0</v>
      </c>
      <c r="I231" s="274">
        <v>0</v>
      </c>
      <c r="J231" s="276" t="s">
        <v>264</v>
      </c>
      <c r="K231" s="277">
        <f t="shared" si="87"/>
        <v>1</v>
      </c>
      <c r="L231" s="278">
        <v>0</v>
      </c>
      <c r="M231" s="278">
        <v>0</v>
      </c>
      <c r="N231" s="278">
        <v>1</v>
      </c>
      <c r="O231" s="279">
        <v>1</v>
      </c>
      <c r="P231" s="280">
        <v>25.631178707224336</v>
      </c>
      <c r="Q231" s="281">
        <v>13</v>
      </c>
      <c r="R231" s="282">
        <v>1.6845329387422218E-3</v>
      </c>
      <c r="S231" s="282">
        <v>1.6845329387422218E-3</v>
      </c>
      <c r="T231" s="281">
        <v>0</v>
      </c>
      <c r="U231" s="283">
        <v>0</v>
      </c>
      <c r="V231" s="284">
        <v>0</v>
      </c>
      <c r="W231" s="285">
        <v>0.15</v>
      </c>
      <c r="X231" s="286" t="s">
        <v>11</v>
      </c>
      <c r="Y231" s="287">
        <f t="shared" si="89"/>
        <v>263000</v>
      </c>
      <c r="Z231" s="288">
        <f t="shared" si="90"/>
        <v>0</v>
      </c>
      <c r="AA231" s="288">
        <f t="shared" si="91"/>
        <v>0</v>
      </c>
      <c r="AB231" s="288">
        <f t="shared" si="92"/>
        <v>0</v>
      </c>
      <c r="AC231" s="288">
        <f t="shared" si="109"/>
        <v>0</v>
      </c>
      <c r="AD231" s="287">
        <f t="shared" si="93"/>
        <v>6741000</v>
      </c>
      <c r="AE231" s="287">
        <f t="shared" si="94"/>
        <v>6741000</v>
      </c>
      <c r="AF231" s="287">
        <f t="shared" si="95"/>
        <v>6741000</v>
      </c>
      <c r="AG231" s="287">
        <f t="shared" si="96"/>
        <v>6741000</v>
      </c>
      <c r="AH231" s="287">
        <f t="shared" si="97"/>
        <v>3665168</v>
      </c>
      <c r="AI231" s="287">
        <f t="shared" si="98"/>
        <v>3665168</v>
      </c>
      <c r="AJ231" s="287">
        <f t="shared" si="99"/>
        <v>0</v>
      </c>
      <c r="AK231" s="287">
        <f t="shared" si="100"/>
        <v>0</v>
      </c>
      <c r="AL231" s="287">
        <f t="shared" si="101"/>
        <v>474.9304786172271</v>
      </c>
      <c r="AM231" s="287">
        <f t="shared" si="102"/>
        <v>474.9304786172271</v>
      </c>
      <c r="AN231" s="287">
        <f t="shared" si="103"/>
        <v>474.9304786172271</v>
      </c>
      <c r="AO231" s="287">
        <f t="shared" si="104"/>
        <v>474.9304786172271</v>
      </c>
      <c r="AP231" s="287">
        <f t="shared" si="105"/>
        <v>0</v>
      </c>
      <c r="AQ231" s="287">
        <f t="shared" si="106"/>
        <v>0</v>
      </c>
      <c r="AR231" s="287">
        <f t="shared" si="107"/>
        <v>0</v>
      </c>
      <c r="AS231" s="289" t="e">
        <f>IF(J231='2027 Avoided Costs'!#REF!,3,5)</f>
        <v>#REF!</v>
      </c>
      <c r="AT231" s="290" cm="1">
        <f t="array" ref="AT231">IFERROR(IF($J231="Baseload",IF($O231=1,0,NPV('2027 Avoided Costs'!$D$6,_xlfn._xlws.FILTER('2027 Avoided Costs'!$C$14:$C$47,('2027 Avoided Costs'!$B$14:$B$47&gt;=$B231+1)*('2027 Avoided Costs'!$B$14:$B$47&lt;$B231+ROUND($O231,0)))))+_xlfn.XLOOKUP($B231,'2027 Avoided Costs'!$B$13:$B$47,'2027 Avoided Costs'!$C$13:$C$47),IF($O231=1,0,NPV('2027 Avoided Costs'!$D$6,_xlfn._xlws.FILTER('2027 Avoided Costs'!$E$14:$E$47,('2027 Avoided Costs'!$B$14:$B$47&gt;=$B231+1)*('2027 Avoided Costs'!$B$14:$B$47&lt;$B231+ROUND($O231,0)))))+_xlfn.XLOOKUP($B231,'2027 Avoided Costs'!$B$13:$B$47,'2027 Avoided Costs'!$E$13:$E$47))*IF($AE231&gt;0,$AE231*(1+$W231),0),0)</f>
        <v>2465843.8376178462</v>
      </c>
      <c r="AU231" s="290" cm="1">
        <f t="array" ref="AU231">IFERROR((IF($O231=1,0,NPV('2027 Avoided Costs'!$D$6,_xlfn._xlws.FILTER('2027 Avoided Costs'!$M$14:$M$47,('2027 Avoided Costs'!$B$14:$B$47&gt;=$B231+1)*('2027 Avoided Costs'!$B$14:$B$47&lt;$B231+ROUND($O231,0)))))+_xlfn.XLOOKUP($B231,'2027 Avoided Costs'!$B$13:$B$47,'2027 Avoided Costs'!$M$13:$M$47))*IF($AK231&gt;0,$AK231*(1+$W231),0),0)</f>
        <v>0</v>
      </c>
      <c r="AV231" s="291" cm="1">
        <f t="array" ref="AV231">IFERROR((IF($O231=1,0,NPV('2027 Avoided Costs'!$D$6,_xlfn._xlws.FILTER('2027 Avoided Costs'!$Q$14:$Q$47,('2027 Avoided Costs'!$B$14:$B$47&gt;=$B231+1)*('2027 Avoided Costs'!$B$14:$B$47&lt;$B231+ROUND($O231,0)))))+_xlfn.XLOOKUP($B231,'2027 Avoided Costs'!$B$13:$B$47,'2027 Avoided Costs'!$Q$13:$Q$47))*IF($AI231&gt;0,$AI231*(1+$W231),0),0)</f>
        <v>283638.91325755441</v>
      </c>
      <c r="AW231" s="291" cm="1">
        <f t="array" ref="AW231">IFERROR((IF($O231=1,0,NPV('2027 Avoided Costs'!$D$6,_xlfn._xlws.FILTER('2027 Avoided Costs'!$W$14:$W$47,('2027 Avoided Costs'!$B$14:$B$47&gt;=$B231+1)*('2027 Avoided Costs'!$B$14:$B$47&lt;$B231+ROUND($O231,0)))))+_xlfn.XLOOKUP($B231,'2027 Avoided Costs'!$B$13:$B$47,'2027 Avoided Costs'!$W$13:$W$47))*IF($AM231&gt;0,$AM231*(1+$W231),0),0)</f>
        <v>158602.40985889896</v>
      </c>
      <c r="AX231" s="291" cm="1">
        <f t="array" ref="AX231">IFERROR((IF($O231=1,0,NPV('2027 Avoided Costs'!$D$6,_xlfn._xlws.FILTER('2027 Avoided Costs'!$AC$14:$AC$47,('2027 Avoided Costs'!$B$14:$B$47&gt;=$B231+1)*('2027 Avoided Costs'!$B$14:$B$47&lt;$B231+ROUND($O231,0)))))+_xlfn.XLOOKUP($B231,'2027 Avoided Costs'!$B$13:$B$47,'2027 Avoided Costs'!$AC$13:$AC$47))*IF($AO231&gt;0,$AO231*(1+$W231),0),0)</f>
        <v>0</v>
      </c>
      <c r="AY231" s="291" cm="1">
        <f t="array" ref="AY231">IFERROR((IF($O231=1,0,NPV('2027 Avoided Costs'!$D$4,_xlfn._xlws.FILTER('2027 Avoided Costs'!$I$14:$I$47,('2027 Avoided Costs'!$B$14:$B$47&gt;=$B231+1)*('2027 Avoided Costs'!$B$14:$B$47&lt;$B231+ROUND($O231,0)))))+_xlfn.XLOOKUP($B231,'2027 Avoided Costs'!$B$13:$B$47,'2027 Avoided Costs'!$I$13:$I$47))*IF($X231="Residential",'2027 Avoided Costs'!$J$5,IF($X231="Large Volume",'2027 Avoided Costs'!$J$7,'2027 Avoided Costs'!$J$6))*IF($AE231&gt;0,$AE231,0),0)</f>
        <v>0</v>
      </c>
      <c r="AZ231" s="291" cm="1">
        <f t="array" ref="AZ231">IFERROR(IF($J231="Baseload",IF($O231=1,0,NPV('2027 Avoided Costs'!$D$6,_xlfn._xlws.FILTER('2027 Avoided Costs'!$C$14:$C$47,('2027 Avoided Costs'!$B$14:$B$47&gt;=$B231+1)*('2027 Avoided Costs'!$B$14:$B$47&lt;$B231+ROUND($O231,0)))))+_xlfn.XLOOKUP($B231,'2027 Avoided Costs'!$B$13:$B$47,'2027 Avoided Costs'!$C$13:$C$47),IF($O231=1,0,NPV('2027 Avoided Costs'!$D$6,_xlfn._xlws.FILTER('2027 Avoided Costs'!$E$14:$E$47,('2027 Avoided Costs'!$B$14:$B$47&gt;=$B231+1)*('2027 Avoided Costs'!$B$14:$B$47&lt;$B231+ROUND($O231,0)))))+_xlfn.XLOOKUP($B231,'2027 Avoided Costs'!$B$13:$B$47,'2027 Avoided Costs'!$E$13:$E$47))*IF($AE231&lt;0,$AE231*(-1),0),0)</f>
        <v>0</v>
      </c>
      <c r="BA231" s="291" cm="1">
        <f t="array" ref="BA231">IFERROR((IF($O231=1,0,NPV('2027 Avoided Costs'!$D$6,_xlfn._xlws.FILTER('2027 Avoided Costs'!$M$14:$M$47,('2027 Avoided Costs'!$B$14:$B$47&gt;=$B231+1)*('2027 Avoided Costs'!$B$14:$B$47&lt;$B231+ROUND($O231,0)))))+_xlfn.XLOOKUP($B231,'2027 Avoided Costs'!$B$13:$B$47,'2027 Avoided Costs'!$M$13:$M$47))*IF($AK231&lt;0,$AK231*(-1),0),0)</f>
        <v>0</v>
      </c>
      <c r="BB231" s="291" cm="1">
        <f t="array" ref="BB231">IFERROR((IF($O231=1,0,NPV('2027 Avoided Costs'!$D$6,_xlfn._xlws.FILTER('2027 Avoided Costs'!$S$14:$S$47,('2027 Avoided Costs'!$B$14:$B$47&gt;=$B231+1)*('2027 Avoided Costs'!$B$14:$B$47&lt;$B231+ROUND($O231,0)))))+_xlfn.XLOOKUP($B231,'2027 Avoided Costs'!$B$13:$B$47,'2027 Avoided Costs'!$S$13:$S$47))*IF($AI231&lt;0,$AI231*(-1),0),0)</f>
        <v>0</v>
      </c>
      <c r="BC231" s="291" cm="1">
        <f t="array" ref="BC231">IFERROR((IF($O231=1,0,NPV('2027 Avoided Costs'!$D$6,_xlfn._xlws.FILTER('2027 Avoided Costs'!$Y$14:$Y$47,('2027 Avoided Costs'!$B$14:$B$47&gt;=$B231+1)*('2027 Avoided Costs'!$B$14:$B$47&lt;$B231+ROUND($O231,0)))))+_xlfn.XLOOKUP($B231,'2027 Avoided Costs'!$B$13:$B$47,'2027 Avoided Costs'!$Y$13:$Y$47))*IF($AM231&lt;0,$AM231*(-1),0),0)</f>
        <v>0</v>
      </c>
      <c r="BD231" s="291" cm="1">
        <f t="array" ref="BD231">IFERROR((IF($O231=1,0,NPV('2027 Avoided Costs'!$D$6,_xlfn._xlws.FILTER('2027 Avoided Costs'!$AE$14:$AE$47,('2027 Avoided Costs'!$B$14:$B$47&gt;=$B231+1)*('2027 Avoided Costs'!$B$14:$B$47&lt;$B231+ROUND($O231,0)))))+_xlfn.XLOOKUP($B231,'2027 Avoided Costs'!$B$13:$B$47,'2027 Avoided Costs'!$AE$13:$AE$47))*IF($AO231&lt;0,$AO231*(-1),0),0)</f>
        <v>0</v>
      </c>
      <c r="BE231" s="291" cm="1">
        <f t="array" ref="BE231">IFERROR((IF($O231=1,0,NPV('2027 Avoided Costs'!$D$4,_xlfn._xlws.FILTER('2027 Avoided Costs'!$I$14:$I$47,('2027 Avoided Costs'!$B$14:$B$47&gt;=$B231+1)*('2027 Avoided Costs'!$B$14:$B$47&lt;$B231+ROUND($O231,0)))))+_xlfn.XLOOKUP($B231,'2027 Avoided Costs'!$B$13:$B$47,'2027 Avoided Costs'!$I$13:$I$47))*IF($X231="Residential",'2027 Avoided Costs'!$J$5,IF($X231="Large Volume",'2027 Avoided Costs'!$J$7,'2027 Avoided Costs'!$J$6))*IF($AE231&lt;0,$AE231*(-1),0),0)</f>
        <v>0</v>
      </c>
      <c r="BF231" s="291">
        <f t="shared" si="84"/>
        <v>2908085.1607342996</v>
      </c>
      <c r="BG231" s="291">
        <f t="shared" si="85"/>
        <v>0</v>
      </c>
      <c r="BH231" s="291">
        <f t="shared" si="86"/>
        <v>2908085.1607342996</v>
      </c>
      <c r="BI231" s="292">
        <f t="shared" si="110"/>
        <v>0</v>
      </c>
      <c r="BJ231" s="196" cm="1">
        <f t="array" ref="BJ231">IFERROR(IF($J231="Baseload",IF($O231=1,0,NPV('2027 Avoided Costs'!$D$6,_xlfn._xlws.FILTER('2027 Avoided Costs'!$C$14:$C$47,('2027 Avoided Costs'!$B$14:$B$47&gt;=$B231+1)*('2027 Avoided Costs'!$B$14:$B$47&lt;$B231+ROUND($O231,0)))))+_xlfn.XLOOKUP($B231,'2027 Avoided Costs'!$B$13:$B$47,'2027 Avoided Costs'!$C$13:$C$47),IF($O231=1,0,NPV('2027 Avoided Costs'!$D$6,_xlfn._xlws.FILTER('2027 Avoided Costs'!$E$14:$E$47,('2027 Avoided Costs'!$B$14:$B$47&gt;=$B231+1)*('2027 Avoided Costs'!$B$14:$B$47&lt;$B231+ROUND($O231,0)))))+_xlfn.XLOOKUP($B231,'2027 Avoided Costs'!$B$13:$B$47,'2027 Avoided Costs'!$E$13:$E$47))*IF($AE231&gt;0,$AE231*(1+0),0),0)</f>
        <v>2144212.0327111711</v>
      </c>
      <c r="BK231" s="293">
        <f t="shared" si="108"/>
        <v>0</v>
      </c>
    </row>
    <row r="232" spans="1:63" s="56" customFormat="1" x14ac:dyDescent="0.25">
      <c r="A232" s="270" t="s">
        <v>133</v>
      </c>
      <c r="B232" s="271">
        <v>2027</v>
      </c>
      <c r="C232" s="272" t="s">
        <v>11</v>
      </c>
      <c r="D232" s="272" t="s">
        <v>333</v>
      </c>
      <c r="E232" s="272" t="s">
        <v>2</v>
      </c>
      <c r="F232" s="273">
        <v>150</v>
      </c>
      <c r="G232" s="274">
        <v>1000</v>
      </c>
      <c r="H232" s="275">
        <f t="shared" si="88"/>
        <v>1.6778523489932886</v>
      </c>
      <c r="I232" s="274">
        <v>0</v>
      </c>
      <c r="J232" s="276" t="s">
        <v>263</v>
      </c>
      <c r="K232" s="277">
        <f t="shared" si="87"/>
        <v>0.8</v>
      </c>
      <c r="L232" s="278">
        <v>0.2</v>
      </c>
      <c r="M232" s="278">
        <v>0</v>
      </c>
      <c r="N232" s="278">
        <v>1</v>
      </c>
      <c r="O232" s="279">
        <v>15</v>
      </c>
      <c r="P232" s="280">
        <v>596</v>
      </c>
      <c r="Q232" s="281">
        <v>-1325</v>
      </c>
      <c r="R232" s="282">
        <v>-0.152</v>
      </c>
      <c r="S232" s="282">
        <v>-0.24</v>
      </c>
      <c r="T232" s="281">
        <v>0</v>
      </c>
      <c r="U232" s="283">
        <v>0</v>
      </c>
      <c r="V232" s="284">
        <v>1832</v>
      </c>
      <c r="W232" s="285">
        <v>0.15</v>
      </c>
      <c r="X232" s="286" t="s">
        <v>11</v>
      </c>
      <c r="Y232" s="287">
        <f t="shared" si="89"/>
        <v>150</v>
      </c>
      <c r="Z232" s="288">
        <f t="shared" si="90"/>
        <v>150000</v>
      </c>
      <c r="AA232" s="288">
        <f t="shared" si="91"/>
        <v>0</v>
      </c>
      <c r="AB232" s="288">
        <f t="shared" si="92"/>
        <v>150000</v>
      </c>
      <c r="AC232" s="288">
        <f t="shared" si="109"/>
        <v>0</v>
      </c>
      <c r="AD232" s="287">
        <f t="shared" si="93"/>
        <v>89400</v>
      </c>
      <c r="AE232" s="287">
        <f t="shared" si="94"/>
        <v>71520</v>
      </c>
      <c r="AF232" s="287">
        <f t="shared" si="95"/>
        <v>1341000</v>
      </c>
      <c r="AG232" s="287">
        <f t="shared" si="96"/>
        <v>1072800</v>
      </c>
      <c r="AH232" s="287">
        <f t="shared" si="97"/>
        <v>-213060</v>
      </c>
      <c r="AI232" s="287">
        <f t="shared" si="98"/>
        <v>-170448</v>
      </c>
      <c r="AJ232" s="287">
        <f t="shared" si="99"/>
        <v>0</v>
      </c>
      <c r="AK232" s="287">
        <f t="shared" si="100"/>
        <v>0</v>
      </c>
      <c r="AL232" s="287">
        <f t="shared" si="101"/>
        <v>-24.441600000000001</v>
      </c>
      <c r="AM232" s="287">
        <f t="shared" si="102"/>
        <v>-19.553280000000001</v>
      </c>
      <c r="AN232" s="287">
        <f t="shared" si="103"/>
        <v>-38.591999999999999</v>
      </c>
      <c r="AO232" s="287">
        <f t="shared" si="104"/>
        <v>-30.873600000000003</v>
      </c>
      <c r="AP232" s="287">
        <f t="shared" si="105"/>
        <v>274800</v>
      </c>
      <c r="AQ232" s="287">
        <f t="shared" si="106"/>
        <v>219840</v>
      </c>
      <c r="AR232" s="287">
        <f t="shared" si="107"/>
        <v>0</v>
      </c>
      <c r="AS232" s="289" t="e">
        <f>IF(J232='2027 Avoided Costs'!#REF!,3,5)</f>
        <v>#REF!</v>
      </c>
      <c r="AT232" s="290" cm="1">
        <f t="array" ref="AT232">IFERROR(IF($J232="Baseload",IF($O232=1,0,NPV('2027 Avoided Costs'!$D$6,_xlfn._xlws.FILTER('2027 Avoided Costs'!$C$14:$C$47,('2027 Avoided Costs'!$B$14:$B$47&gt;=$B232+1)*('2027 Avoided Costs'!$B$14:$B$47&lt;$B232+ROUND($O232,0)))))+_xlfn.XLOOKUP($B232,'2027 Avoided Costs'!$B$13:$B$47,'2027 Avoided Costs'!$C$13:$C$47),IF($O232=1,0,NPV('2027 Avoided Costs'!$D$6,_xlfn._xlws.FILTER('2027 Avoided Costs'!$E$14:$E$47,('2027 Avoided Costs'!$B$14:$B$47&gt;=$B232+1)*('2027 Avoided Costs'!$B$14:$B$47&lt;$B232+ROUND($O232,0)))))+_xlfn.XLOOKUP($B232,'2027 Avoided Costs'!$B$13:$B$47,'2027 Avoided Costs'!$E$13:$E$47))*IF($AE232&gt;0,$AE232*(1+$W232),0),0)</f>
        <v>250009.72597472835</v>
      </c>
      <c r="AU232" s="290" cm="1">
        <f t="array" ref="AU232">IFERROR((IF($O232=1,0,NPV('2027 Avoided Costs'!$D$6,_xlfn._xlws.FILTER('2027 Avoided Costs'!$M$14:$M$47,('2027 Avoided Costs'!$B$14:$B$47&gt;=$B232+1)*('2027 Avoided Costs'!$B$14:$B$47&lt;$B232+ROUND($O232,0)))))+_xlfn.XLOOKUP($B232,'2027 Avoided Costs'!$B$13:$B$47,'2027 Avoided Costs'!$M$13:$M$47))*IF($AK232&gt;0,$AK232*(1+$W232),0),0)</f>
        <v>0</v>
      </c>
      <c r="AV232" s="291" cm="1">
        <f t="array" ref="AV232">IFERROR((IF($O232=1,0,NPV('2027 Avoided Costs'!$D$6,_xlfn._xlws.FILTER('2027 Avoided Costs'!$Q$14:$Q$47,('2027 Avoided Costs'!$B$14:$B$47&gt;=$B232+1)*('2027 Avoided Costs'!$B$14:$B$47&lt;$B232+ROUND($O232,0)))))+_xlfn.XLOOKUP($B232,'2027 Avoided Costs'!$B$13:$B$47,'2027 Avoided Costs'!$Q$13:$Q$47))*IF($AI232&gt;0,$AI232*(1+$W232),0),0)</f>
        <v>0</v>
      </c>
      <c r="AW232" s="291" cm="1">
        <f t="array" ref="AW232">IFERROR((IF($O232=1,0,NPV('2027 Avoided Costs'!$D$6,_xlfn._xlws.FILTER('2027 Avoided Costs'!$W$14:$W$47,('2027 Avoided Costs'!$B$14:$B$47&gt;=$B232+1)*('2027 Avoided Costs'!$B$14:$B$47&lt;$B232+ROUND($O232,0)))))+_xlfn.XLOOKUP($B232,'2027 Avoided Costs'!$B$13:$B$47,'2027 Avoided Costs'!$W$13:$W$47))*IF($AM232&gt;0,$AM232*(1+$W232),0),0)</f>
        <v>0</v>
      </c>
      <c r="AX232" s="291" cm="1">
        <f t="array" ref="AX232">IFERROR((IF($O232=1,0,NPV('2027 Avoided Costs'!$D$6,_xlfn._xlws.FILTER('2027 Avoided Costs'!$AC$14:$AC$47,('2027 Avoided Costs'!$B$14:$B$47&gt;=$B232+1)*('2027 Avoided Costs'!$B$14:$B$47&lt;$B232+ROUND($O232,0)))))+_xlfn.XLOOKUP($B232,'2027 Avoided Costs'!$B$13:$B$47,'2027 Avoided Costs'!$AC$13:$AC$47))*IF($AO232&gt;0,$AO232*(1+$W232),0),0)</f>
        <v>0</v>
      </c>
      <c r="AY232" s="291" cm="1">
        <f t="array" ref="AY232">IFERROR((IF($O232=1,0,NPV('2027 Avoided Costs'!$D$4,_xlfn._xlws.FILTER('2027 Avoided Costs'!$I$14:$I$47,('2027 Avoided Costs'!$B$14:$B$47&gt;=$B232+1)*('2027 Avoided Costs'!$B$14:$B$47&lt;$B232+ROUND($O232,0)))))+_xlfn.XLOOKUP($B232,'2027 Avoided Costs'!$B$13:$B$47,'2027 Avoided Costs'!$I$13:$I$47))*IF($X232="Residential",'2027 Avoided Costs'!$J$5,IF($X232="Large Volume",'2027 Avoided Costs'!$J$7,'2027 Avoided Costs'!$J$6))*IF($AE232&gt;0,$AE232,0),0)</f>
        <v>0</v>
      </c>
      <c r="AZ232" s="291" cm="1">
        <f t="array" ref="AZ232">IFERROR(IF($J232="Baseload",IF($O232=1,0,NPV('2027 Avoided Costs'!$D$6,_xlfn._xlws.FILTER('2027 Avoided Costs'!$C$14:$C$47,('2027 Avoided Costs'!$B$14:$B$47&gt;=$B232+1)*('2027 Avoided Costs'!$B$14:$B$47&lt;$B232+ROUND($O232,0)))))+_xlfn.XLOOKUP($B232,'2027 Avoided Costs'!$B$13:$B$47,'2027 Avoided Costs'!$C$13:$C$47),IF($O232=1,0,NPV('2027 Avoided Costs'!$D$6,_xlfn._xlws.FILTER('2027 Avoided Costs'!$E$14:$E$47,('2027 Avoided Costs'!$B$14:$B$47&gt;=$B232+1)*('2027 Avoided Costs'!$B$14:$B$47&lt;$B232+ROUND($O232,0)))))+_xlfn.XLOOKUP($B232,'2027 Avoided Costs'!$B$13:$B$47,'2027 Avoided Costs'!$E$13:$E$47))*IF($AE232&lt;0,$AE232*(-1),0),0)</f>
        <v>0</v>
      </c>
      <c r="BA232" s="291" cm="1">
        <f t="array" ref="BA232">IFERROR((IF($O232=1,0,NPV('2027 Avoided Costs'!$D$6,_xlfn._xlws.FILTER('2027 Avoided Costs'!$M$14:$M$47,('2027 Avoided Costs'!$B$14:$B$47&gt;=$B232+1)*('2027 Avoided Costs'!$B$14:$B$47&lt;$B232+ROUND($O232,0)))))+_xlfn.XLOOKUP($B232,'2027 Avoided Costs'!$B$13:$B$47,'2027 Avoided Costs'!$M$13:$M$47))*IF($AK232&lt;0,$AK232*(-1),0),0)</f>
        <v>0</v>
      </c>
      <c r="BB232" s="291" cm="1">
        <f t="array" ref="BB232">IFERROR((IF($O232=1,0,NPV('2027 Avoided Costs'!$D$6,_xlfn._xlws.FILTER('2027 Avoided Costs'!$S$14:$S$47,('2027 Avoided Costs'!$B$14:$B$47&gt;=$B232+1)*('2027 Avoided Costs'!$B$14:$B$47&lt;$B232+ROUND($O232,0)))))+_xlfn.XLOOKUP($B232,'2027 Avoided Costs'!$B$13:$B$47,'2027 Avoided Costs'!$S$13:$S$47))*IF($AI232&lt;0,$AI232*(-1),0),0)</f>
        <v>98125.962080687634</v>
      </c>
      <c r="BC232" s="291" cm="1">
        <f t="array" ref="BC232">IFERROR((IF($O232=1,0,NPV('2027 Avoided Costs'!$D$6,_xlfn._xlws.FILTER('2027 Avoided Costs'!$Y$14:$Y$47,('2027 Avoided Costs'!$B$14:$B$47&gt;=$B232+1)*('2027 Avoided Costs'!$B$14:$B$47&lt;$B232+ROUND($O232,0)))))+_xlfn.XLOOKUP($B232,'2027 Avoided Costs'!$B$13:$B$47,'2027 Avoided Costs'!$Y$13:$Y$47))*IF($AM232&lt;0,$AM232*(-1),0),0)</f>
        <v>65894.874376030508</v>
      </c>
      <c r="BD232" s="291" cm="1">
        <f t="array" ref="BD232">IFERROR((IF($O232=1,0,NPV('2027 Avoided Costs'!$D$6,_xlfn._xlws.FILTER('2027 Avoided Costs'!$AE$14:$AE$47,('2027 Avoided Costs'!$B$14:$B$47&gt;=$B232+1)*('2027 Avoided Costs'!$B$14:$B$47&lt;$B232+ROUND($O232,0)))))+_xlfn.XLOOKUP($B232,'2027 Avoided Costs'!$B$13:$B$47,'2027 Avoided Costs'!$AE$13:$AE$47))*IF($AO232&lt;0,$AO232*(-1),0),0)</f>
        <v>6555.1947935158951</v>
      </c>
      <c r="BE232" s="291" cm="1">
        <f t="array" ref="BE232">IFERROR((IF($O232=1,0,NPV('2027 Avoided Costs'!$D$4,_xlfn._xlws.FILTER('2027 Avoided Costs'!$I$14:$I$47,('2027 Avoided Costs'!$B$14:$B$47&gt;=$B232+1)*('2027 Avoided Costs'!$B$14:$B$47&lt;$B232+ROUND($O232,0)))))+_xlfn.XLOOKUP($B232,'2027 Avoided Costs'!$B$13:$B$47,'2027 Avoided Costs'!$I$13:$I$47))*IF($X232="Residential",'2027 Avoided Costs'!$J$5,IF($X232="Large Volume",'2027 Avoided Costs'!$J$7,'2027 Avoided Costs'!$J$6))*IF($AE232&lt;0,$AE232*(-1),0),0)</f>
        <v>0</v>
      </c>
      <c r="BF232" s="291">
        <f t="shared" si="84"/>
        <v>250009.72597472835</v>
      </c>
      <c r="BG232" s="291">
        <f t="shared" si="85"/>
        <v>390416.03125023405</v>
      </c>
      <c r="BH232" s="291">
        <f t="shared" si="86"/>
        <v>-140406.3052755057</v>
      </c>
      <c r="BI232" s="292">
        <f t="shared" si="110"/>
        <v>0.640367469476392</v>
      </c>
      <c r="BJ232" s="196" cm="1">
        <f t="array" ref="BJ232">IFERROR(IF($J232="Baseload",IF($O232=1,0,NPV('2027 Avoided Costs'!$D$6,_xlfn._xlws.FILTER('2027 Avoided Costs'!$C$14:$C$47,('2027 Avoided Costs'!$B$14:$B$47&gt;=$B232+1)*('2027 Avoided Costs'!$B$14:$B$47&lt;$B232+ROUND($O232,0)))))+_xlfn.XLOOKUP($B232,'2027 Avoided Costs'!$B$13:$B$47,'2027 Avoided Costs'!$C$13:$C$47),IF($O232=1,0,NPV('2027 Avoided Costs'!$D$6,_xlfn._xlws.FILTER('2027 Avoided Costs'!$E$14:$E$47,('2027 Avoided Costs'!$B$14:$B$47&gt;=$B232+1)*('2027 Avoided Costs'!$B$14:$B$47&lt;$B232+ROUND($O232,0)))))+_xlfn.XLOOKUP($B232,'2027 Avoided Costs'!$B$13:$B$47,'2027 Avoided Costs'!$E$13:$E$47))*IF($AE232&gt;0,$AE232*(1+0),0),0)</f>
        <v>217399.76171715508</v>
      </c>
      <c r="BK232" s="293">
        <f t="shared" si="108"/>
        <v>1.4493317447810339</v>
      </c>
    </row>
    <row r="233" spans="1:63" s="56" customFormat="1" x14ac:dyDescent="0.25">
      <c r="A233" s="270" t="s">
        <v>133</v>
      </c>
      <c r="B233" s="271">
        <v>2028</v>
      </c>
      <c r="C233" s="272" t="s">
        <v>11</v>
      </c>
      <c r="D233" s="272" t="s">
        <v>333</v>
      </c>
      <c r="E233" s="272" t="s">
        <v>2</v>
      </c>
      <c r="F233" s="273">
        <v>160</v>
      </c>
      <c r="G233" s="274">
        <v>1000</v>
      </c>
      <c r="H233" s="275">
        <f t="shared" si="88"/>
        <v>1.6778523489932886</v>
      </c>
      <c r="I233" s="274">
        <v>0</v>
      </c>
      <c r="J233" s="276" t="s">
        <v>263</v>
      </c>
      <c r="K233" s="277">
        <f t="shared" si="87"/>
        <v>0.8</v>
      </c>
      <c r="L233" s="278">
        <v>0.2</v>
      </c>
      <c r="M233" s="278">
        <v>0</v>
      </c>
      <c r="N233" s="278">
        <v>1</v>
      </c>
      <c r="O233" s="279">
        <v>15</v>
      </c>
      <c r="P233" s="280">
        <v>596</v>
      </c>
      <c r="Q233" s="281">
        <v>-1325</v>
      </c>
      <c r="R233" s="282">
        <v>-0.152</v>
      </c>
      <c r="S233" s="282">
        <v>-0.24</v>
      </c>
      <c r="T233" s="281">
        <v>0</v>
      </c>
      <c r="U233" s="283">
        <v>0</v>
      </c>
      <c r="V233" s="284">
        <v>1832</v>
      </c>
      <c r="W233" s="285">
        <v>0.15</v>
      </c>
      <c r="X233" s="286" t="s">
        <v>11</v>
      </c>
      <c r="Y233" s="287">
        <f t="shared" si="89"/>
        <v>160</v>
      </c>
      <c r="Z233" s="288">
        <f t="shared" si="90"/>
        <v>160000</v>
      </c>
      <c r="AA233" s="288">
        <f t="shared" si="91"/>
        <v>0</v>
      </c>
      <c r="AB233" s="288">
        <f t="shared" si="92"/>
        <v>163200</v>
      </c>
      <c r="AC233" s="288">
        <f t="shared" si="109"/>
        <v>0</v>
      </c>
      <c r="AD233" s="287">
        <f t="shared" si="93"/>
        <v>95360</v>
      </c>
      <c r="AE233" s="287">
        <f t="shared" si="94"/>
        <v>76288</v>
      </c>
      <c r="AF233" s="287">
        <f t="shared" si="95"/>
        <v>1430400</v>
      </c>
      <c r="AG233" s="287">
        <f t="shared" si="96"/>
        <v>1144320</v>
      </c>
      <c r="AH233" s="287">
        <f t="shared" si="97"/>
        <v>-227264</v>
      </c>
      <c r="AI233" s="287">
        <f t="shared" si="98"/>
        <v>-181811.20000000001</v>
      </c>
      <c r="AJ233" s="287">
        <f t="shared" si="99"/>
        <v>0</v>
      </c>
      <c r="AK233" s="287">
        <f t="shared" si="100"/>
        <v>0</v>
      </c>
      <c r="AL233" s="287">
        <f t="shared" si="101"/>
        <v>-26.071040000000004</v>
      </c>
      <c r="AM233" s="287">
        <f t="shared" si="102"/>
        <v>-20.856832000000001</v>
      </c>
      <c r="AN233" s="287">
        <f t="shared" si="103"/>
        <v>-41.1648</v>
      </c>
      <c r="AO233" s="287">
        <f t="shared" si="104"/>
        <v>-32.931840000000001</v>
      </c>
      <c r="AP233" s="287">
        <f t="shared" si="105"/>
        <v>293120</v>
      </c>
      <c r="AQ233" s="287">
        <f t="shared" si="106"/>
        <v>234496</v>
      </c>
      <c r="AR233" s="287">
        <f t="shared" si="107"/>
        <v>0</v>
      </c>
      <c r="AS233" s="289" t="e">
        <f>IF(J233='2027 Avoided Costs'!#REF!,3,5)</f>
        <v>#REF!</v>
      </c>
      <c r="AT233" s="290" cm="1">
        <f t="array" ref="AT233">IFERROR(IF($J233="Baseload",IF($O233=1,0,NPV('2027 Avoided Costs'!$D$6,_xlfn._xlws.FILTER('2027 Avoided Costs'!$C$14:$C$47,('2027 Avoided Costs'!$B$14:$B$47&gt;=$B233+1)*('2027 Avoided Costs'!$B$14:$B$47&lt;$B233+ROUND($O233,0)))))+_xlfn.XLOOKUP($B233,'2027 Avoided Costs'!$B$13:$B$47,'2027 Avoided Costs'!$C$13:$C$47),IF($O233=1,0,NPV('2027 Avoided Costs'!$D$6,_xlfn._xlws.FILTER('2027 Avoided Costs'!$E$14:$E$47,('2027 Avoided Costs'!$B$14:$B$47&gt;=$B233+1)*('2027 Avoided Costs'!$B$14:$B$47&lt;$B233+ROUND($O233,0)))))+_xlfn.XLOOKUP($B233,'2027 Avoided Costs'!$B$13:$B$47,'2027 Avoided Costs'!$E$13:$E$47))*IF($AE233&gt;0,$AE233*(1+$W233),0),0)</f>
        <v>278951.98814161733</v>
      </c>
      <c r="AU233" s="290" cm="1">
        <f t="array" ref="AU233">IFERROR((IF($O233=1,0,NPV('2027 Avoided Costs'!$D$6,_xlfn._xlws.FILTER('2027 Avoided Costs'!$M$14:$M$47,('2027 Avoided Costs'!$B$14:$B$47&gt;=$B233+1)*('2027 Avoided Costs'!$B$14:$B$47&lt;$B233+ROUND($O233,0)))))+_xlfn.XLOOKUP($B233,'2027 Avoided Costs'!$B$13:$B$47,'2027 Avoided Costs'!$M$13:$M$47))*IF($AK233&gt;0,$AK233*(1+$W233),0),0)</f>
        <v>0</v>
      </c>
      <c r="AV233" s="291" cm="1">
        <f t="array" ref="AV233">IFERROR((IF($O233=1,0,NPV('2027 Avoided Costs'!$D$6,_xlfn._xlws.FILTER('2027 Avoided Costs'!$Q$14:$Q$47,('2027 Avoided Costs'!$B$14:$B$47&gt;=$B233+1)*('2027 Avoided Costs'!$B$14:$B$47&lt;$B233+ROUND($O233,0)))))+_xlfn.XLOOKUP($B233,'2027 Avoided Costs'!$B$13:$B$47,'2027 Avoided Costs'!$Q$13:$Q$47))*IF($AI233&gt;0,$AI233*(1+$W233),0),0)</f>
        <v>0</v>
      </c>
      <c r="AW233" s="291" cm="1">
        <f t="array" ref="AW233">IFERROR((IF($O233=1,0,NPV('2027 Avoided Costs'!$D$6,_xlfn._xlws.FILTER('2027 Avoided Costs'!$W$14:$W$47,('2027 Avoided Costs'!$B$14:$B$47&gt;=$B233+1)*('2027 Avoided Costs'!$B$14:$B$47&lt;$B233+ROUND($O233,0)))))+_xlfn.XLOOKUP($B233,'2027 Avoided Costs'!$B$13:$B$47,'2027 Avoided Costs'!$W$13:$W$47))*IF($AM233&gt;0,$AM233*(1+$W233),0),0)</f>
        <v>0</v>
      </c>
      <c r="AX233" s="291" cm="1">
        <f t="array" ref="AX233">IFERROR((IF($O233=1,0,NPV('2027 Avoided Costs'!$D$6,_xlfn._xlws.FILTER('2027 Avoided Costs'!$AC$14:$AC$47,('2027 Avoided Costs'!$B$14:$B$47&gt;=$B233+1)*('2027 Avoided Costs'!$B$14:$B$47&lt;$B233+ROUND($O233,0)))))+_xlfn.XLOOKUP($B233,'2027 Avoided Costs'!$B$13:$B$47,'2027 Avoided Costs'!$AC$13:$AC$47))*IF($AO233&gt;0,$AO233*(1+$W233),0),0)</f>
        <v>0</v>
      </c>
      <c r="AY233" s="291" cm="1">
        <f t="array" ref="AY233">IFERROR((IF($O233=1,0,NPV('2027 Avoided Costs'!$D$4,_xlfn._xlws.FILTER('2027 Avoided Costs'!$I$14:$I$47,('2027 Avoided Costs'!$B$14:$B$47&gt;=$B233+1)*('2027 Avoided Costs'!$B$14:$B$47&lt;$B233+ROUND($O233,0)))))+_xlfn.XLOOKUP($B233,'2027 Avoided Costs'!$B$13:$B$47,'2027 Avoided Costs'!$I$13:$I$47))*IF($X233="Residential",'2027 Avoided Costs'!$J$5,IF($X233="Large Volume",'2027 Avoided Costs'!$J$7,'2027 Avoided Costs'!$J$6))*IF($AE233&gt;0,$AE233,0),0)</f>
        <v>0</v>
      </c>
      <c r="AZ233" s="291" cm="1">
        <f t="array" ref="AZ233">IFERROR(IF($J233="Baseload",IF($O233=1,0,NPV('2027 Avoided Costs'!$D$6,_xlfn._xlws.FILTER('2027 Avoided Costs'!$C$14:$C$47,('2027 Avoided Costs'!$B$14:$B$47&gt;=$B233+1)*('2027 Avoided Costs'!$B$14:$B$47&lt;$B233+ROUND($O233,0)))))+_xlfn.XLOOKUP($B233,'2027 Avoided Costs'!$B$13:$B$47,'2027 Avoided Costs'!$C$13:$C$47),IF($O233=1,0,NPV('2027 Avoided Costs'!$D$6,_xlfn._xlws.FILTER('2027 Avoided Costs'!$E$14:$E$47,('2027 Avoided Costs'!$B$14:$B$47&gt;=$B233+1)*('2027 Avoided Costs'!$B$14:$B$47&lt;$B233+ROUND($O233,0)))))+_xlfn.XLOOKUP($B233,'2027 Avoided Costs'!$B$13:$B$47,'2027 Avoided Costs'!$E$13:$E$47))*IF($AE233&lt;0,$AE233*(-1),0),0)</f>
        <v>0</v>
      </c>
      <c r="BA233" s="291" cm="1">
        <f t="array" ref="BA233">IFERROR((IF($O233=1,0,NPV('2027 Avoided Costs'!$D$6,_xlfn._xlws.FILTER('2027 Avoided Costs'!$M$14:$M$47,('2027 Avoided Costs'!$B$14:$B$47&gt;=$B233+1)*('2027 Avoided Costs'!$B$14:$B$47&lt;$B233+ROUND($O233,0)))))+_xlfn.XLOOKUP($B233,'2027 Avoided Costs'!$B$13:$B$47,'2027 Avoided Costs'!$M$13:$M$47))*IF($AK233&lt;0,$AK233*(-1),0),0)</f>
        <v>0</v>
      </c>
      <c r="BB233" s="291" cm="1">
        <f t="array" ref="BB233">IFERROR((IF($O233=1,0,NPV('2027 Avoided Costs'!$D$6,_xlfn._xlws.FILTER('2027 Avoided Costs'!$S$14:$S$47,('2027 Avoided Costs'!$B$14:$B$47&gt;=$B233+1)*('2027 Avoided Costs'!$B$14:$B$47&lt;$B233+ROUND($O233,0)))))+_xlfn.XLOOKUP($B233,'2027 Avoided Costs'!$B$13:$B$47,'2027 Avoided Costs'!$S$13:$S$47))*IF($AI233&lt;0,$AI233*(-1),0),0)</f>
        <v>103284.41517625892</v>
      </c>
      <c r="BC233" s="291" cm="1">
        <f t="array" ref="BC233">IFERROR((IF($O233=1,0,NPV('2027 Avoided Costs'!$D$6,_xlfn._xlws.FILTER('2027 Avoided Costs'!$Y$14:$Y$47,('2027 Avoided Costs'!$B$14:$B$47&gt;=$B233+1)*('2027 Avoided Costs'!$B$14:$B$47&lt;$B233+ROUND($O233,0)))))+_xlfn.XLOOKUP($B233,'2027 Avoided Costs'!$B$13:$B$47,'2027 Avoided Costs'!$Y$13:$Y$47))*IF($AM233&lt;0,$AM233*(-1),0),0)</f>
        <v>74284.686801468037</v>
      </c>
      <c r="BD233" s="291" cm="1">
        <f t="array" ref="BD233">IFERROR((IF($O233=1,0,NPV('2027 Avoided Costs'!$D$6,_xlfn._xlws.FILTER('2027 Avoided Costs'!$AE$14:$AE$47,('2027 Avoided Costs'!$B$14:$B$47&gt;=$B233+1)*('2027 Avoided Costs'!$B$14:$B$47&lt;$B233+ROUND($O233,0)))))+_xlfn.XLOOKUP($B233,'2027 Avoided Costs'!$B$13:$B$47,'2027 Avoided Costs'!$AE$13:$AE$47))*IF($AO233&lt;0,$AO233*(-1),0),0)</f>
        <v>7417.3340127591046</v>
      </c>
      <c r="BE233" s="291" cm="1">
        <f t="array" ref="BE233">IFERROR((IF($O233=1,0,NPV('2027 Avoided Costs'!$D$4,_xlfn._xlws.FILTER('2027 Avoided Costs'!$I$14:$I$47,('2027 Avoided Costs'!$B$14:$B$47&gt;=$B233+1)*('2027 Avoided Costs'!$B$14:$B$47&lt;$B233+ROUND($O233,0)))))+_xlfn.XLOOKUP($B233,'2027 Avoided Costs'!$B$13:$B$47,'2027 Avoided Costs'!$I$13:$I$47))*IF($X233="Residential",'2027 Avoided Costs'!$J$5,IF($X233="Large Volume",'2027 Avoided Costs'!$J$7,'2027 Avoided Costs'!$J$6))*IF($AE233&lt;0,$AE233*(-1),0),0)</f>
        <v>0</v>
      </c>
      <c r="BF233" s="291">
        <f t="shared" si="84"/>
        <v>278951.98814161733</v>
      </c>
      <c r="BG233" s="291">
        <f t="shared" si="85"/>
        <v>419482.43599048606</v>
      </c>
      <c r="BH233" s="291">
        <f t="shared" si="86"/>
        <v>-140530.44784886873</v>
      </c>
      <c r="BI233" s="292">
        <f t="shared" si="110"/>
        <v>0.6649908654290928</v>
      </c>
      <c r="BJ233" s="196" cm="1">
        <f t="array" ref="BJ233">IFERROR(IF($J233="Baseload",IF($O233=1,0,NPV('2027 Avoided Costs'!$D$6,_xlfn._xlws.FILTER('2027 Avoided Costs'!$C$14:$C$47,('2027 Avoided Costs'!$B$14:$B$47&gt;=$B233+1)*('2027 Avoided Costs'!$B$14:$B$47&lt;$B233+ROUND($O233,0)))))+_xlfn.XLOOKUP($B233,'2027 Avoided Costs'!$B$13:$B$47,'2027 Avoided Costs'!$C$13:$C$47),IF($O233=1,0,NPV('2027 Avoided Costs'!$D$6,_xlfn._xlws.FILTER('2027 Avoided Costs'!$E$14:$E$47,('2027 Avoided Costs'!$B$14:$B$47&gt;=$B233+1)*('2027 Avoided Costs'!$B$14:$B$47&lt;$B233+ROUND($O233,0)))))+_xlfn.XLOOKUP($B233,'2027 Avoided Costs'!$B$13:$B$47,'2027 Avoided Costs'!$E$13:$E$47))*IF($AE233&gt;0,$AE233*(1+0),0),0)</f>
        <v>242566.94621010206</v>
      </c>
      <c r="BK233" s="293">
        <f t="shared" si="108"/>
        <v>1.4863170723658214</v>
      </c>
    </row>
    <row r="234" spans="1:63" s="56" customFormat="1" x14ac:dyDescent="0.25">
      <c r="A234" s="270" t="s">
        <v>133</v>
      </c>
      <c r="B234" s="271">
        <v>2029</v>
      </c>
      <c r="C234" s="272" t="s">
        <v>11</v>
      </c>
      <c r="D234" s="272" t="s">
        <v>333</v>
      </c>
      <c r="E234" s="272" t="s">
        <v>2</v>
      </c>
      <c r="F234" s="273">
        <v>175</v>
      </c>
      <c r="G234" s="274">
        <v>1000</v>
      </c>
      <c r="H234" s="275">
        <f t="shared" si="88"/>
        <v>1.6778523489932886</v>
      </c>
      <c r="I234" s="274">
        <v>0</v>
      </c>
      <c r="J234" s="276" t="s">
        <v>263</v>
      </c>
      <c r="K234" s="277">
        <f t="shared" si="87"/>
        <v>0.8</v>
      </c>
      <c r="L234" s="278">
        <v>0.2</v>
      </c>
      <c r="M234" s="278">
        <v>0</v>
      </c>
      <c r="N234" s="278">
        <v>1</v>
      </c>
      <c r="O234" s="279">
        <v>15</v>
      </c>
      <c r="P234" s="280">
        <v>596</v>
      </c>
      <c r="Q234" s="281">
        <v>-1325</v>
      </c>
      <c r="R234" s="282">
        <v>-0.152</v>
      </c>
      <c r="S234" s="282">
        <v>-0.24</v>
      </c>
      <c r="T234" s="281">
        <v>0</v>
      </c>
      <c r="U234" s="283">
        <v>0</v>
      </c>
      <c r="V234" s="284">
        <v>1832</v>
      </c>
      <c r="W234" s="285">
        <v>0.15</v>
      </c>
      <c r="X234" s="286" t="s">
        <v>11</v>
      </c>
      <c r="Y234" s="287">
        <f t="shared" si="89"/>
        <v>175</v>
      </c>
      <c r="Z234" s="288">
        <f t="shared" si="90"/>
        <v>175000</v>
      </c>
      <c r="AA234" s="288">
        <f t="shared" si="91"/>
        <v>0</v>
      </c>
      <c r="AB234" s="288">
        <f t="shared" si="92"/>
        <v>182070</v>
      </c>
      <c r="AC234" s="288">
        <f t="shared" si="109"/>
        <v>0</v>
      </c>
      <c r="AD234" s="287">
        <f t="shared" si="93"/>
        <v>104300</v>
      </c>
      <c r="AE234" s="287">
        <f t="shared" si="94"/>
        <v>83440</v>
      </c>
      <c r="AF234" s="287">
        <f t="shared" si="95"/>
        <v>1564500</v>
      </c>
      <c r="AG234" s="287">
        <f t="shared" si="96"/>
        <v>1251600</v>
      </c>
      <c r="AH234" s="287">
        <f t="shared" si="97"/>
        <v>-248570.00000000003</v>
      </c>
      <c r="AI234" s="287">
        <f t="shared" si="98"/>
        <v>-198856</v>
      </c>
      <c r="AJ234" s="287">
        <f t="shared" si="99"/>
        <v>0</v>
      </c>
      <c r="AK234" s="287">
        <f t="shared" si="100"/>
        <v>0</v>
      </c>
      <c r="AL234" s="287">
        <f t="shared" si="101"/>
        <v>-28.5152</v>
      </c>
      <c r="AM234" s="287">
        <f t="shared" si="102"/>
        <v>-22.812160000000002</v>
      </c>
      <c r="AN234" s="287">
        <f t="shared" si="103"/>
        <v>-45.024000000000001</v>
      </c>
      <c r="AO234" s="287">
        <f t="shared" si="104"/>
        <v>-36.019200000000005</v>
      </c>
      <c r="AP234" s="287">
        <f t="shared" si="105"/>
        <v>320600</v>
      </c>
      <c r="AQ234" s="287">
        <f t="shared" si="106"/>
        <v>256480</v>
      </c>
      <c r="AR234" s="287">
        <f t="shared" si="107"/>
        <v>0</v>
      </c>
      <c r="AS234" s="289" t="e">
        <f>IF(J234='2027 Avoided Costs'!#REF!,3,5)</f>
        <v>#REF!</v>
      </c>
      <c r="AT234" s="290" cm="1">
        <f t="array" ref="AT234">IFERROR(IF($J234="Baseload",IF($O234=1,0,NPV('2027 Avoided Costs'!$D$6,_xlfn._xlws.FILTER('2027 Avoided Costs'!$C$14:$C$47,('2027 Avoided Costs'!$B$14:$B$47&gt;=$B234+1)*('2027 Avoided Costs'!$B$14:$B$47&lt;$B234+ROUND($O234,0)))))+_xlfn.XLOOKUP($B234,'2027 Avoided Costs'!$B$13:$B$47,'2027 Avoided Costs'!$C$13:$C$47),IF($O234=1,0,NPV('2027 Avoided Costs'!$D$6,_xlfn._xlws.FILTER('2027 Avoided Costs'!$E$14:$E$47,('2027 Avoided Costs'!$B$14:$B$47&gt;=$B234+1)*('2027 Avoided Costs'!$B$14:$B$47&lt;$B234+ROUND($O234,0)))))+_xlfn.XLOOKUP($B234,'2027 Avoided Costs'!$B$13:$B$47,'2027 Avoided Costs'!$E$13:$E$47))*IF($AE234&gt;0,$AE234*(1+$W234),0),0)</f>
        <v>316834.99320062954</v>
      </c>
      <c r="AU234" s="290" cm="1">
        <f t="array" ref="AU234">IFERROR((IF($O234=1,0,NPV('2027 Avoided Costs'!$D$6,_xlfn._xlws.FILTER('2027 Avoided Costs'!$M$14:$M$47,('2027 Avoided Costs'!$B$14:$B$47&gt;=$B234+1)*('2027 Avoided Costs'!$B$14:$B$47&lt;$B234+ROUND($O234,0)))))+_xlfn.XLOOKUP($B234,'2027 Avoided Costs'!$B$13:$B$47,'2027 Avoided Costs'!$M$13:$M$47))*IF($AK234&gt;0,$AK234*(1+$W234),0),0)</f>
        <v>0</v>
      </c>
      <c r="AV234" s="291" cm="1">
        <f t="array" ref="AV234">IFERROR((IF($O234=1,0,NPV('2027 Avoided Costs'!$D$6,_xlfn._xlws.FILTER('2027 Avoided Costs'!$Q$14:$Q$47,('2027 Avoided Costs'!$B$14:$B$47&gt;=$B234+1)*('2027 Avoided Costs'!$B$14:$B$47&lt;$B234+ROUND($O234,0)))))+_xlfn.XLOOKUP($B234,'2027 Avoided Costs'!$B$13:$B$47,'2027 Avoided Costs'!$Q$13:$Q$47))*IF($AI234&gt;0,$AI234*(1+$W234),0),0)</f>
        <v>0</v>
      </c>
      <c r="AW234" s="291" cm="1">
        <f t="array" ref="AW234">IFERROR((IF($O234=1,0,NPV('2027 Avoided Costs'!$D$6,_xlfn._xlws.FILTER('2027 Avoided Costs'!$W$14:$W$47,('2027 Avoided Costs'!$B$14:$B$47&gt;=$B234+1)*('2027 Avoided Costs'!$B$14:$B$47&lt;$B234+ROUND($O234,0)))))+_xlfn.XLOOKUP($B234,'2027 Avoided Costs'!$B$13:$B$47,'2027 Avoided Costs'!$W$13:$W$47))*IF($AM234&gt;0,$AM234*(1+$W234),0),0)</f>
        <v>0</v>
      </c>
      <c r="AX234" s="291" cm="1">
        <f t="array" ref="AX234">IFERROR((IF($O234=1,0,NPV('2027 Avoided Costs'!$D$6,_xlfn._xlws.FILTER('2027 Avoided Costs'!$AC$14:$AC$47,('2027 Avoided Costs'!$B$14:$B$47&gt;=$B234+1)*('2027 Avoided Costs'!$B$14:$B$47&lt;$B234+ROUND($O234,0)))))+_xlfn.XLOOKUP($B234,'2027 Avoided Costs'!$B$13:$B$47,'2027 Avoided Costs'!$AC$13:$AC$47))*IF($AO234&gt;0,$AO234*(1+$W234),0),0)</f>
        <v>0</v>
      </c>
      <c r="AY234" s="291" cm="1">
        <f t="array" ref="AY234">IFERROR((IF($O234=1,0,NPV('2027 Avoided Costs'!$D$4,_xlfn._xlws.FILTER('2027 Avoided Costs'!$I$14:$I$47,('2027 Avoided Costs'!$B$14:$B$47&gt;=$B234+1)*('2027 Avoided Costs'!$B$14:$B$47&lt;$B234+ROUND($O234,0)))))+_xlfn.XLOOKUP($B234,'2027 Avoided Costs'!$B$13:$B$47,'2027 Avoided Costs'!$I$13:$I$47))*IF($X234="Residential",'2027 Avoided Costs'!$J$5,IF($X234="Large Volume",'2027 Avoided Costs'!$J$7,'2027 Avoided Costs'!$J$6))*IF($AE234&gt;0,$AE234,0),0)</f>
        <v>0</v>
      </c>
      <c r="AZ234" s="291" cm="1">
        <f t="array" ref="AZ234">IFERROR(IF($J234="Baseload",IF($O234=1,0,NPV('2027 Avoided Costs'!$D$6,_xlfn._xlws.FILTER('2027 Avoided Costs'!$C$14:$C$47,('2027 Avoided Costs'!$B$14:$B$47&gt;=$B234+1)*('2027 Avoided Costs'!$B$14:$B$47&lt;$B234+ROUND($O234,0)))))+_xlfn.XLOOKUP($B234,'2027 Avoided Costs'!$B$13:$B$47,'2027 Avoided Costs'!$C$13:$C$47),IF($O234=1,0,NPV('2027 Avoided Costs'!$D$6,_xlfn._xlws.FILTER('2027 Avoided Costs'!$E$14:$E$47,('2027 Avoided Costs'!$B$14:$B$47&gt;=$B234+1)*('2027 Avoided Costs'!$B$14:$B$47&lt;$B234+ROUND($O234,0)))))+_xlfn.XLOOKUP($B234,'2027 Avoided Costs'!$B$13:$B$47,'2027 Avoided Costs'!$E$13:$E$47))*IF($AE234&lt;0,$AE234*(-1),0),0)</f>
        <v>0</v>
      </c>
      <c r="BA234" s="291" cm="1">
        <f t="array" ref="BA234">IFERROR((IF($O234=1,0,NPV('2027 Avoided Costs'!$D$6,_xlfn._xlws.FILTER('2027 Avoided Costs'!$M$14:$M$47,('2027 Avoided Costs'!$B$14:$B$47&gt;=$B234+1)*('2027 Avoided Costs'!$B$14:$B$47&lt;$B234+ROUND($O234,0)))))+_xlfn.XLOOKUP($B234,'2027 Avoided Costs'!$B$13:$B$47,'2027 Avoided Costs'!$M$13:$M$47))*IF($AK234&lt;0,$AK234*(-1),0),0)</f>
        <v>0</v>
      </c>
      <c r="BB234" s="291" cm="1">
        <f t="array" ref="BB234">IFERROR((IF($O234=1,0,NPV('2027 Avoided Costs'!$D$6,_xlfn._xlws.FILTER('2027 Avoided Costs'!$S$14:$S$47,('2027 Avoided Costs'!$B$14:$B$47&gt;=$B234+1)*('2027 Avoided Costs'!$B$14:$B$47&lt;$B234+ROUND($O234,0)))))+_xlfn.XLOOKUP($B234,'2027 Avoided Costs'!$B$13:$B$47,'2027 Avoided Costs'!$S$13:$S$47))*IF($AI234&lt;0,$AI234*(-1),0),0)</f>
        <v>112907.44747409501</v>
      </c>
      <c r="BC234" s="291" cm="1">
        <f t="array" ref="BC234">IFERROR((IF($O234=1,0,NPV('2027 Avoided Costs'!$D$6,_xlfn._xlws.FILTER('2027 Avoided Costs'!$Y$14:$Y$47,('2027 Avoided Costs'!$B$14:$B$47&gt;=$B234+1)*('2027 Avoided Costs'!$B$14:$B$47&lt;$B234+ROUND($O234,0)))))+_xlfn.XLOOKUP($B234,'2027 Avoided Costs'!$B$13:$B$47,'2027 Avoided Costs'!$Y$13:$Y$47))*IF($AM234&lt;0,$AM234*(-1),0),0)</f>
        <v>80313.237016474624</v>
      </c>
      <c r="BD234" s="291" cm="1">
        <f t="array" ref="BD234">IFERROR((IF($O234=1,0,NPV('2027 Avoided Costs'!$D$6,_xlfn._xlws.FILTER('2027 Avoided Costs'!$AE$14:$AE$47,('2027 Avoided Costs'!$B$14:$B$47&gt;=$B234+1)*('2027 Avoided Costs'!$B$14:$B$47&lt;$B234+ROUND($O234,0)))))+_xlfn.XLOOKUP($B234,'2027 Avoided Costs'!$B$13:$B$47,'2027 Avoided Costs'!$AE$13:$AE$47))*IF($AO234&lt;0,$AO234*(-1),0),0)</f>
        <v>16705.479257695832</v>
      </c>
      <c r="BE234" s="291" cm="1">
        <f t="array" ref="BE234">IFERROR((IF($O234=1,0,NPV('2027 Avoided Costs'!$D$4,_xlfn._xlws.FILTER('2027 Avoided Costs'!$I$14:$I$47,('2027 Avoided Costs'!$B$14:$B$47&gt;=$B234+1)*('2027 Avoided Costs'!$B$14:$B$47&lt;$B234+ROUND($O234,0)))))+_xlfn.XLOOKUP($B234,'2027 Avoided Costs'!$B$13:$B$47,'2027 Avoided Costs'!$I$13:$I$47))*IF($X234="Residential",'2027 Avoided Costs'!$J$5,IF($X234="Large Volume",'2027 Avoided Costs'!$J$7,'2027 Avoided Costs'!$J$6))*IF($AE234&lt;0,$AE234*(-1),0),0)</f>
        <v>0</v>
      </c>
      <c r="BF234" s="291">
        <f t="shared" si="84"/>
        <v>316834.99320062954</v>
      </c>
      <c r="BG234" s="291">
        <f t="shared" si="85"/>
        <v>466406.16374826548</v>
      </c>
      <c r="BH234" s="291">
        <f t="shared" si="86"/>
        <v>-149571.17054763593</v>
      </c>
      <c r="BI234" s="292">
        <f t="shared" si="110"/>
        <v>0.67931133382627351</v>
      </c>
      <c r="BJ234" s="196" cm="1">
        <f t="array" ref="BJ234">IFERROR(IF($J234="Baseload",IF($O234=1,0,NPV('2027 Avoided Costs'!$D$6,_xlfn._xlws.FILTER('2027 Avoided Costs'!$C$14:$C$47,('2027 Avoided Costs'!$B$14:$B$47&gt;=$B234+1)*('2027 Avoided Costs'!$B$14:$B$47&lt;$B234+ROUND($O234,0)))))+_xlfn.XLOOKUP($B234,'2027 Avoided Costs'!$B$13:$B$47,'2027 Avoided Costs'!$C$13:$C$47),IF($O234=1,0,NPV('2027 Avoided Costs'!$D$6,_xlfn._xlws.FILTER('2027 Avoided Costs'!$E$14:$E$47,('2027 Avoided Costs'!$B$14:$B$47&gt;=$B234+1)*('2027 Avoided Costs'!$B$14:$B$47&lt;$B234+ROUND($O234,0)))))+_xlfn.XLOOKUP($B234,'2027 Avoided Costs'!$B$13:$B$47,'2027 Avoided Costs'!$E$13:$E$47))*IF($AE234&gt;0,$AE234*(1+0),0),0)</f>
        <v>275508.68973967788</v>
      </c>
      <c r="BK234" s="293">
        <f t="shared" si="108"/>
        <v>1.5132020087860596</v>
      </c>
    </row>
    <row r="235" spans="1:63" s="56" customFormat="1" x14ac:dyDescent="0.25">
      <c r="A235" s="270" t="s">
        <v>133</v>
      </c>
      <c r="B235" s="271">
        <v>2030</v>
      </c>
      <c r="C235" s="272" t="s">
        <v>11</v>
      </c>
      <c r="D235" s="272" t="s">
        <v>333</v>
      </c>
      <c r="E235" s="272" t="s">
        <v>2</v>
      </c>
      <c r="F235" s="273">
        <v>180</v>
      </c>
      <c r="G235" s="274">
        <v>1000</v>
      </c>
      <c r="H235" s="275">
        <f t="shared" si="88"/>
        <v>1.6778523489932886</v>
      </c>
      <c r="I235" s="274">
        <v>0</v>
      </c>
      <c r="J235" s="276" t="s">
        <v>263</v>
      </c>
      <c r="K235" s="277">
        <f t="shared" si="87"/>
        <v>0.8</v>
      </c>
      <c r="L235" s="278">
        <v>0.2</v>
      </c>
      <c r="M235" s="278">
        <v>0</v>
      </c>
      <c r="N235" s="278">
        <v>1</v>
      </c>
      <c r="O235" s="279">
        <v>15</v>
      </c>
      <c r="P235" s="280">
        <v>596</v>
      </c>
      <c r="Q235" s="281">
        <v>-1325</v>
      </c>
      <c r="R235" s="282">
        <v>-0.152</v>
      </c>
      <c r="S235" s="282">
        <v>-0.24</v>
      </c>
      <c r="T235" s="281">
        <v>0</v>
      </c>
      <c r="U235" s="283">
        <v>0</v>
      </c>
      <c r="V235" s="284">
        <v>1832</v>
      </c>
      <c r="W235" s="285">
        <v>0.15</v>
      </c>
      <c r="X235" s="286" t="s">
        <v>11</v>
      </c>
      <c r="Y235" s="287">
        <f t="shared" si="89"/>
        <v>180</v>
      </c>
      <c r="Z235" s="288">
        <f t="shared" si="90"/>
        <v>180000</v>
      </c>
      <c r="AA235" s="288">
        <f t="shared" si="91"/>
        <v>0</v>
      </c>
      <c r="AB235" s="288">
        <f t="shared" si="92"/>
        <v>191017.43999999997</v>
      </c>
      <c r="AC235" s="288">
        <f t="shared" si="109"/>
        <v>0</v>
      </c>
      <c r="AD235" s="287">
        <f t="shared" si="93"/>
        <v>107280</v>
      </c>
      <c r="AE235" s="287">
        <f t="shared" si="94"/>
        <v>85824</v>
      </c>
      <c r="AF235" s="287">
        <f t="shared" si="95"/>
        <v>1609200</v>
      </c>
      <c r="AG235" s="287">
        <f t="shared" si="96"/>
        <v>1287360</v>
      </c>
      <c r="AH235" s="287">
        <f t="shared" si="97"/>
        <v>-255672.00000000003</v>
      </c>
      <c r="AI235" s="287">
        <f t="shared" si="98"/>
        <v>-204537.60000000001</v>
      </c>
      <c r="AJ235" s="287">
        <f t="shared" si="99"/>
        <v>0</v>
      </c>
      <c r="AK235" s="287">
        <f t="shared" si="100"/>
        <v>0</v>
      </c>
      <c r="AL235" s="287">
        <f t="shared" si="101"/>
        <v>-29.329920000000001</v>
      </c>
      <c r="AM235" s="287">
        <f t="shared" si="102"/>
        <v>-23.463936000000004</v>
      </c>
      <c r="AN235" s="287">
        <f t="shared" si="103"/>
        <v>-46.310400000000001</v>
      </c>
      <c r="AO235" s="287">
        <f t="shared" si="104"/>
        <v>-37.048320000000004</v>
      </c>
      <c r="AP235" s="287">
        <f t="shared" si="105"/>
        <v>329760</v>
      </c>
      <c r="AQ235" s="287">
        <f t="shared" si="106"/>
        <v>263808</v>
      </c>
      <c r="AR235" s="287">
        <f t="shared" si="107"/>
        <v>0</v>
      </c>
      <c r="AS235" s="289" t="e">
        <f>IF(J235='2027 Avoided Costs'!#REF!,3,5)</f>
        <v>#REF!</v>
      </c>
      <c r="AT235" s="290" cm="1">
        <f t="array" ref="AT235">IFERROR(IF($J235="Baseload",IF($O235=1,0,NPV('2027 Avoided Costs'!$D$6,_xlfn._xlws.FILTER('2027 Avoided Costs'!$C$14:$C$47,('2027 Avoided Costs'!$B$14:$B$47&gt;=$B235+1)*('2027 Avoided Costs'!$B$14:$B$47&lt;$B235+ROUND($O235,0)))))+_xlfn.XLOOKUP($B235,'2027 Avoided Costs'!$B$13:$B$47,'2027 Avoided Costs'!$C$13:$C$47),IF($O235=1,0,NPV('2027 Avoided Costs'!$D$6,_xlfn._xlws.FILTER('2027 Avoided Costs'!$E$14:$E$47,('2027 Avoided Costs'!$B$14:$B$47&gt;=$B235+1)*('2027 Avoided Costs'!$B$14:$B$47&lt;$B235+ROUND($O235,0)))))+_xlfn.XLOOKUP($B235,'2027 Avoided Costs'!$B$13:$B$47,'2027 Avoided Costs'!$E$13:$E$47))*IF($AE235&gt;0,$AE235*(1+$W235),0),0)</f>
        <v>336605.27862123022</v>
      </c>
      <c r="AU235" s="290" cm="1">
        <f t="array" ref="AU235">IFERROR((IF($O235=1,0,NPV('2027 Avoided Costs'!$D$6,_xlfn._xlws.FILTER('2027 Avoided Costs'!$M$14:$M$47,('2027 Avoided Costs'!$B$14:$B$47&gt;=$B235+1)*('2027 Avoided Costs'!$B$14:$B$47&lt;$B235+ROUND($O235,0)))))+_xlfn.XLOOKUP($B235,'2027 Avoided Costs'!$B$13:$B$47,'2027 Avoided Costs'!$M$13:$M$47))*IF($AK235&gt;0,$AK235*(1+$W235),0),0)</f>
        <v>0</v>
      </c>
      <c r="AV235" s="291" cm="1">
        <f t="array" ref="AV235">IFERROR((IF($O235=1,0,NPV('2027 Avoided Costs'!$D$6,_xlfn._xlws.FILTER('2027 Avoided Costs'!$Q$14:$Q$47,('2027 Avoided Costs'!$B$14:$B$47&gt;=$B235+1)*('2027 Avoided Costs'!$B$14:$B$47&lt;$B235+ROUND($O235,0)))))+_xlfn.XLOOKUP($B235,'2027 Avoided Costs'!$B$13:$B$47,'2027 Avoided Costs'!$Q$13:$Q$47))*IF($AI235&gt;0,$AI235*(1+$W235),0),0)</f>
        <v>0</v>
      </c>
      <c r="AW235" s="291" cm="1">
        <f t="array" ref="AW235">IFERROR((IF($O235=1,0,NPV('2027 Avoided Costs'!$D$6,_xlfn._xlws.FILTER('2027 Avoided Costs'!$W$14:$W$47,('2027 Avoided Costs'!$B$14:$B$47&gt;=$B235+1)*('2027 Avoided Costs'!$B$14:$B$47&lt;$B235+ROUND($O235,0)))))+_xlfn.XLOOKUP($B235,'2027 Avoided Costs'!$B$13:$B$47,'2027 Avoided Costs'!$W$13:$W$47))*IF($AM235&gt;0,$AM235*(1+$W235),0),0)</f>
        <v>0</v>
      </c>
      <c r="AX235" s="291" cm="1">
        <f t="array" ref="AX235">IFERROR((IF($O235=1,0,NPV('2027 Avoided Costs'!$D$6,_xlfn._xlws.FILTER('2027 Avoided Costs'!$AC$14:$AC$47,('2027 Avoided Costs'!$B$14:$B$47&gt;=$B235+1)*('2027 Avoided Costs'!$B$14:$B$47&lt;$B235+ROUND($O235,0)))))+_xlfn.XLOOKUP($B235,'2027 Avoided Costs'!$B$13:$B$47,'2027 Avoided Costs'!$AC$13:$AC$47))*IF($AO235&gt;0,$AO235*(1+$W235),0),0)</f>
        <v>0</v>
      </c>
      <c r="AY235" s="291" cm="1">
        <f t="array" ref="AY235">IFERROR((IF($O235=1,0,NPV('2027 Avoided Costs'!$D$4,_xlfn._xlws.FILTER('2027 Avoided Costs'!$I$14:$I$47,('2027 Avoided Costs'!$B$14:$B$47&gt;=$B235+1)*('2027 Avoided Costs'!$B$14:$B$47&lt;$B235+ROUND($O235,0)))))+_xlfn.XLOOKUP($B235,'2027 Avoided Costs'!$B$13:$B$47,'2027 Avoided Costs'!$I$13:$I$47))*IF($X235="Residential",'2027 Avoided Costs'!$J$5,IF($X235="Large Volume",'2027 Avoided Costs'!$J$7,'2027 Avoided Costs'!$J$6))*IF($AE235&gt;0,$AE235,0),0)</f>
        <v>0</v>
      </c>
      <c r="AZ235" s="291" cm="1">
        <f t="array" ref="AZ235">IFERROR(IF($J235="Baseload",IF($O235=1,0,NPV('2027 Avoided Costs'!$D$6,_xlfn._xlws.FILTER('2027 Avoided Costs'!$C$14:$C$47,('2027 Avoided Costs'!$B$14:$B$47&gt;=$B235+1)*('2027 Avoided Costs'!$B$14:$B$47&lt;$B235+ROUND($O235,0)))))+_xlfn.XLOOKUP($B235,'2027 Avoided Costs'!$B$13:$B$47,'2027 Avoided Costs'!$C$13:$C$47),IF($O235=1,0,NPV('2027 Avoided Costs'!$D$6,_xlfn._xlws.FILTER('2027 Avoided Costs'!$E$14:$E$47,('2027 Avoided Costs'!$B$14:$B$47&gt;=$B235+1)*('2027 Avoided Costs'!$B$14:$B$47&lt;$B235+ROUND($O235,0)))))+_xlfn.XLOOKUP($B235,'2027 Avoided Costs'!$B$13:$B$47,'2027 Avoided Costs'!$E$13:$E$47))*IF($AE235&lt;0,$AE235*(-1),0),0)</f>
        <v>0</v>
      </c>
      <c r="BA235" s="291" cm="1">
        <f t="array" ref="BA235">IFERROR((IF($O235=1,0,NPV('2027 Avoided Costs'!$D$6,_xlfn._xlws.FILTER('2027 Avoided Costs'!$M$14:$M$47,('2027 Avoided Costs'!$B$14:$B$47&gt;=$B235+1)*('2027 Avoided Costs'!$B$14:$B$47&lt;$B235+ROUND($O235,0)))))+_xlfn.XLOOKUP($B235,'2027 Avoided Costs'!$B$13:$B$47,'2027 Avoided Costs'!$M$13:$M$47))*IF($AK235&lt;0,$AK235*(-1),0),0)</f>
        <v>0</v>
      </c>
      <c r="BB235" s="291" cm="1">
        <f t="array" ref="BB235">IFERROR((IF($O235=1,0,NPV('2027 Avoided Costs'!$D$6,_xlfn._xlws.FILTER('2027 Avoided Costs'!$S$14:$S$47,('2027 Avoided Costs'!$B$14:$B$47&gt;=$B235+1)*('2027 Avoided Costs'!$B$14:$B$47&lt;$B235+ROUND($O235,0)))))+_xlfn.XLOOKUP($B235,'2027 Avoided Costs'!$B$13:$B$47,'2027 Avoided Costs'!$S$13:$S$47))*IF($AI235&lt;0,$AI235*(-1),0),0)</f>
        <v>113980.23578957806</v>
      </c>
      <c r="BC235" s="291" cm="1">
        <f t="array" ref="BC235">IFERROR((IF($O235=1,0,NPV('2027 Avoided Costs'!$D$6,_xlfn._xlws.FILTER('2027 Avoided Costs'!$Y$14:$Y$47,('2027 Avoided Costs'!$B$14:$B$47&gt;=$B235+1)*('2027 Avoided Costs'!$B$14:$B$47&lt;$B235+ROUND($O235,0)))))+_xlfn.XLOOKUP($B235,'2027 Avoided Costs'!$B$13:$B$47,'2027 Avoided Costs'!$Y$13:$Y$47))*IF($AM235&lt;0,$AM235*(-1),0),0)</f>
        <v>81072.59913204833</v>
      </c>
      <c r="BD235" s="291" cm="1">
        <f t="array" ref="BD235">IFERROR((IF($O235=1,0,NPV('2027 Avoided Costs'!$D$6,_xlfn._xlws.FILTER('2027 Avoided Costs'!$AE$14:$AE$47,('2027 Avoided Costs'!$B$14:$B$47&gt;=$B235+1)*('2027 Avoided Costs'!$B$14:$B$47&lt;$B235+ROUND($O235,0)))))+_xlfn.XLOOKUP($B235,'2027 Avoided Costs'!$B$13:$B$47,'2027 Avoided Costs'!$AE$13:$AE$47))*IF($AO235&lt;0,$AO235*(-1),0),0)</f>
        <v>27073.595570580292</v>
      </c>
      <c r="BE235" s="291" cm="1">
        <f t="array" ref="BE235">IFERROR((IF($O235=1,0,NPV('2027 Avoided Costs'!$D$4,_xlfn._xlws.FILTER('2027 Avoided Costs'!$I$14:$I$47,('2027 Avoided Costs'!$B$14:$B$47&gt;=$B235+1)*('2027 Avoided Costs'!$B$14:$B$47&lt;$B235+ROUND($O235,0)))))+_xlfn.XLOOKUP($B235,'2027 Avoided Costs'!$B$13:$B$47,'2027 Avoided Costs'!$I$13:$I$47))*IF($X235="Residential",'2027 Avoided Costs'!$J$5,IF($X235="Large Volume",'2027 Avoided Costs'!$J$7,'2027 Avoided Costs'!$J$6))*IF($AE235&lt;0,$AE235*(-1),0),0)</f>
        <v>0</v>
      </c>
      <c r="BF235" s="291">
        <f t="shared" si="84"/>
        <v>336605.27862123022</v>
      </c>
      <c r="BG235" s="291">
        <f t="shared" si="85"/>
        <v>485934.43049220665</v>
      </c>
      <c r="BH235" s="291">
        <f t="shared" si="86"/>
        <v>-149329.15187097644</v>
      </c>
      <c r="BI235" s="292">
        <f t="shared" si="110"/>
        <v>0.69269691032240743</v>
      </c>
      <c r="BJ235" s="196" cm="1">
        <f t="array" ref="BJ235">IFERROR(IF($J235="Baseload",IF($O235=1,0,NPV('2027 Avoided Costs'!$D$6,_xlfn._xlws.FILTER('2027 Avoided Costs'!$C$14:$C$47,('2027 Avoided Costs'!$B$14:$B$47&gt;=$B235+1)*('2027 Avoided Costs'!$B$14:$B$47&lt;$B235+ROUND($O235,0)))))+_xlfn.XLOOKUP($B235,'2027 Avoided Costs'!$B$13:$B$47,'2027 Avoided Costs'!$C$13:$C$47),IF($O235=1,0,NPV('2027 Avoided Costs'!$D$6,_xlfn._xlws.FILTER('2027 Avoided Costs'!$E$14:$E$47,('2027 Avoided Costs'!$B$14:$B$47&gt;=$B235+1)*('2027 Avoided Costs'!$B$14:$B$47&lt;$B235+ROUND($O235,0)))))+_xlfn.XLOOKUP($B235,'2027 Avoided Costs'!$B$13:$B$47,'2027 Avoided Costs'!$E$13:$E$47))*IF($AE235&gt;0,$AE235*(1+0),0),0)</f>
        <v>292700.24227933062</v>
      </c>
      <c r="BK235" s="293">
        <f t="shared" si="108"/>
        <v>1.532322086817469</v>
      </c>
    </row>
    <row r="236" spans="1:63" s="56" customFormat="1" x14ac:dyDescent="0.25">
      <c r="A236" s="270" t="s">
        <v>133</v>
      </c>
      <c r="B236" s="271">
        <v>2027</v>
      </c>
      <c r="C236" s="272" t="s">
        <v>11</v>
      </c>
      <c r="D236" s="272" t="s">
        <v>130</v>
      </c>
      <c r="E236" s="272" t="s">
        <v>275</v>
      </c>
      <c r="F236" s="273">
        <v>1500</v>
      </c>
      <c r="G236" s="274">
        <v>1500</v>
      </c>
      <c r="H236" s="275">
        <f t="shared" si="88"/>
        <v>4</v>
      </c>
      <c r="I236" s="274">
        <v>7.5</v>
      </c>
      <c r="J236" s="276" t="s">
        <v>264</v>
      </c>
      <c r="K236" s="277">
        <f t="shared" si="87"/>
        <v>0.89</v>
      </c>
      <c r="L236" s="278">
        <v>0.11</v>
      </c>
      <c r="M236" s="278">
        <v>0</v>
      </c>
      <c r="N236" s="278">
        <v>1</v>
      </c>
      <c r="O236" s="279">
        <v>30</v>
      </c>
      <c r="P236" s="280">
        <v>375</v>
      </c>
      <c r="Q236" s="281">
        <v>101.2</v>
      </c>
      <c r="R236" s="282">
        <v>6.4526240089541359E-2</v>
      </c>
      <c r="S236" s="282">
        <v>6.0766210045660081E-3</v>
      </c>
      <c r="T236" s="281">
        <v>0</v>
      </c>
      <c r="U236" s="283">
        <v>0</v>
      </c>
      <c r="V236" s="284">
        <v>1840</v>
      </c>
      <c r="W236" s="285">
        <v>0.15</v>
      </c>
      <c r="X236" s="286" t="s">
        <v>11</v>
      </c>
      <c r="Y236" s="287">
        <f t="shared" si="89"/>
        <v>1500</v>
      </c>
      <c r="Z236" s="288">
        <f t="shared" si="90"/>
        <v>2250000</v>
      </c>
      <c r="AA236" s="288">
        <f t="shared" si="91"/>
        <v>11250</v>
      </c>
      <c r="AB236" s="288">
        <f t="shared" si="92"/>
        <v>2250000</v>
      </c>
      <c r="AC236" s="288">
        <f t="shared" si="109"/>
        <v>11250</v>
      </c>
      <c r="AD236" s="287">
        <f t="shared" si="93"/>
        <v>562500</v>
      </c>
      <c r="AE236" s="287">
        <f t="shared" si="94"/>
        <v>500625</v>
      </c>
      <c r="AF236" s="287">
        <f t="shared" si="95"/>
        <v>16875000</v>
      </c>
      <c r="AG236" s="287">
        <f t="shared" si="96"/>
        <v>15018750</v>
      </c>
      <c r="AH236" s="287">
        <f t="shared" si="97"/>
        <v>162729.60000000001</v>
      </c>
      <c r="AI236" s="287">
        <f t="shared" si="98"/>
        <v>144829.34400000001</v>
      </c>
      <c r="AJ236" s="287">
        <f t="shared" si="99"/>
        <v>0</v>
      </c>
      <c r="AK236" s="287">
        <f t="shared" si="100"/>
        <v>0</v>
      </c>
      <c r="AL236" s="287">
        <f t="shared" si="101"/>
        <v>103.7581940639825</v>
      </c>
      <c r="AM236" s="287">
        <f t="shared" si="102"/>
        <v>92.34479271694444</v>
      </c>
      <c r="AN236" s="287">
        <f t="shared" si="103"/>
        <v>9.7712065753421431</v>
      </c>
      <c r="AO236" s="287">
        <f t="shared" si="104"/>
        <v>8.6963738520545064</v>
      </c>
      <c r="AP236" s="287">
        <f t="shared" si="105"/>
        <v>2760000</v>
      </c>
      <c r="AQ236" s="287">
        <f t="shared" si="106"/>
        <v>2456400</v>
      </c>
      <c r="AR236" s="287">
        <f t="shared" si="107"/>
        <v>0</v>
      </c>
      <c r="AS236" s="289" t="e">
        <f>IF(J236='2027 Avoided Costs'!#REF!,3,5)</f>
        <v>#REF!</v>
      </c>
      <c r="AT236" s="290" cm="1">
        <f t="array" ref="AT236">IFERROR(IF($J236="Baseload",IF($O236=1,0,NPV('2027 Avoided Costs'!$D$6,_xlfn._xlws.FILTER('2027 Avoided Costs'!$C$14:$C$47,('2027 Avoided Costs'!$B$14:$B$47&gt;=$B236+1)*('2027 Avoided Costs'!$B$14:$B$47&lt;$B236+ROUND($O236,0)))))+_xlfn.XLOOKUP($B236,'2027 Avoided Costs'!$B$13:$B$47,'2027 Avoided Costs'!$C$13:$C$47),IF($O236=1,0,NPV('2027 Avoided Costs'!$D$6,_xlfn._xlws.FILTER('2027 Avoided Costs'!$E$14:$E$47,('2027 Avoided Costs'!$B$14:$B$47&gt;=$B236+1)*('2027 Avoided Costs'!$B$14:$B$47&lt;$B236+ROUND($O236,0)))))+_xlfn.XLOOKUP($B236,'2027 Avoided Costs'!$B$13:$B$47,'2027 Avoided Costs'!$E$13:$E$47))*IF($AE236&gt;0,$AE236*(1+$W236),0),0)</f>
        <v>3297641.4383158386</v>
      </c>
      <c r="AU236" s="290" cm="1">
        <f t="array" ref="AU236">IFERROR((IF($O236=1,0,NPV('2027 Avoided Costs'!$D$6,_xlfn._xlws.FILTER('2027 Avoided Costs'!$M$14:$M$47,('2027 Avoided Costs'!$B$14:$B$47&gt;=$B236+1)*('2027 Avoided Costs'!$B$14:$B$47&lt;$B236+ROUND($O236,0)))))+_xlfn.XLOOKUP($B236,'2027 Avoided Costs'!$B$13:$B$47,'2027 Avoided Costs'!$M$13:$M$47))*IF($AK236&gt;0,$AK236*(1+$W236),0),0)</f>
        <v>0</v>
      </c>
      <c r="AV236" s="291" cm="1">
        <f t="array" ref="AV236">IFERROR((IF($O236=1,0,NPV('2027 Avoided Costs'!$D$6,_xlfn._xlws.FILTER('2027 Avoided Costs'!$Q$14:$Q$47,('2027 Avoided Costs'!$B$14:$B$47&gt;=$B236+1)*('2027 Avoided Costs'!$B$14:$B$47&lt;$B236+ROUND($O236,0)))))+_xlfn.XLOOKUP($B236,'2027 Avoided Costs'!$B$13:$B$47,'2027 Avoided Costs'!$Q$13:$Q$47))*IF($AI236&gt;0,$AI236*(1+$W236),0),0)</f>
        <v>132179.86878977731</v>
      </c>
      <c r="AW236" s="291" cm="1">
        <f t="array" ref="AW236">IFERROR((IF($O236=1,0,NPV('2027 Avoided Costs'!$D$6,_xlfn._xlws.FILTER('2027 Avoided Costs'!$W$14:$W$47,('2027 Avoided Costs'!$B$14:$B$47&gt;=$B236+1)*('2027 Avoided Costs'!$B$14:$B$47&lt;$B236+ROUND($O236,0)))))+_xlfn.XLOOKUP($B236,'2027 Avoided Costs'!$B$13:$B$47,'2027 Avoided Costs'!$W$13:$W$47))*IF($AM236&gt;0,$AM236*(1+$W236),0),0)</f>
        <v>609237.85607177287</v>
      </c>
      <c r="AX236" s="291" cm="1">
        <f t="array" ref="AX236">IFERROR((IF($O236=1,0,NPV('2027 Avoided Costs'!$D$6,_xlfn._xlws.FILTER('2027 Avoided Costs'!$AC$14:$AC$47,('2027 Avoided Costs'!$B$14:$B$47&gt;=$B236+1)*('2027 Avoided Costs'!$B$14:$B$47&lt;$B236+ROUND($O236,0)))))+_xlfn.XLOOKUP($B236,'2027 Avoided Costs'!$B$13:$B$47,'2027 Avoided Costs'!$AC$13:$AC$47))*IF($AO236&gt;0,$AO236*(1+$W236),0),0)</f>
        <v>6122.2763153966462</v>
      </c>
      <c r="AY236" s="291" cm="1">
        <f t="array" ref="AY236">IFERROR((IF($O236=1,0,NPV('2027 Avoided Costs'!$D$4,_xlfn._xlws.FILTER('2027 Avoided Costs'!$I$14:$I$47,('2027 Avoided Costs'!$B$14:$B$47&gt;=$B236+1)*('2027 Avoided Costs'!$B$14:$B$47&lt;$B236+ROUND($O236,0)))))+_xlfn.XLOOKUP($B236,'2027 Avoided Costs'!$B$13:$B$47,'2027 Avoided Costs'!$I$13:$I$47))*IF($X236="Residential",'2027 Avoided Costs'!$J$5,IF($X236="Large Volume",'2027 Avoided Costs'!$J$7,'2027 Avoided Costs'!$J$6))*IF($AE236&gt;0,$AE236,0),0)</f>
        <v>0</v>
      </c>
      <c r="AZ236" s="291" cm="1">
        <f t="array" ref="AZ236">IFERROR(IF($J236="Baseload",IF($O236=1,0,NPV('2027 Avoided Costs'!$D$6,_xlfn._xlws.FILTER('2027 Avoided Costs'!$C$14:$C$47,('2027 Avoided Costs'!$B$14:$B$47&gt;=$B236+1)*('2027 Avoided Costs'!$B$14:$B$47&lt;$B236+ROUND($O236,0)))))+_xlfn.XLOOKUP($B236,'2027 Avoided Costs'!$B$13:$B$47,'2027 Avoided Costs'!$C$13:$C$47),IF($O236=1,0,NPV('2027 Avoided Costs'!$D$6,_xlfn._xlws.FILTER('2027 Avoided Costs'!$E$14:$E$47,('2027 Avoided Costs'!$B$14:$B$47&gt;=$B236+1)*('2027 Avoided Costs'!$B$14:$B$47&lt;$B236+ROUND($O236,0)))))+_xlfn.XLOOKUP($B236,'2027 Avoided Costs'!$B$13:$B$47,'2027 Avoided Costs'!$E$13:$E$47))*IF($AE236&lt;0,$AE236*(-1),0),0)</f>
        <v>0</v>
      </c>
      <c r="BA236" s="291" cm="1">
        <f t="array" ref="BA236">IFERROR((IF($O236=1,0,NPV('2027 Avoided Costs'!$D$6,_xlfn._xlws.FILTER('2027 Avoided Costs'!$M$14:$M$47,('2027 Avoided Costs'!$B$14:$B$47&gt;=$B236+1)*('2027 Avoided Costs'!$B$14:$B$47&lt;$B236+ROUND($O236,0)))))+_xlfn.XLOOKUP($B236,'2027 Avoided Costs'!$B$13:$B$47,'2027 Avoided Costs'!$M$13:$M$47))*IF($AK236&lt;0,$AK236*(-1),0),0)</f>
        <v>0</v>
      </c>
      <c r="BB236" s="291" cm="1">
        <f t="array" ref="BB236">IFERROR((IF($O236=1,0,NPV('2027 Avoided Costs'!$D$6,_xlfn._xlws.FILTER('2027 Avoided Costs'!$S$14:$S$47,('2027 Avoided Costs'!$B$14:$B$47&gt;=$B236+1)*('2027 Avoided Costs'!$B$14:$B$47&lt;$B236+ROUND($O236,0)))))+_xlfn.XLOOKUP($B236,'2027 Avoided Costs'!$B$13:$B$47,'2027 Avoided Costs'!$S$13:$S$47))*IF($AI236&lt;0,$AI236*(-1),0),0)</f>
        <v>0</v>
      </c>
      <c r="BC236" s="291" cm="1">
        <f t="array" ref="BC236">IFERROR((IF($O236=1,0,NPV('2027 Avoided Costs'!$D$6,_xlfn._xlws.FILTER('2027 Avoided Costs'!$Y$14:$Y$47,('2027 Avoided Costs'!$B$14:$B$47&gt;=$B236+1)*('2027 Avoided Costs'!$B$14:$B$47&lt;$B236+ROUND($O236,0)))))+_xlfn.XLOOKUP($B236,'2027 Avoided Costs'!$B$13:$B$47,'2027 Avoided Costs'!$Y$13:$Y$47))*IF($AM236&lt;0,$AM236*(-1),0),0)</f>
        <v>0</v>
      </c>
      <c r="BD236" s="291" cm="1">
        <f t="array" ref="BD236">IFERROR((IF($O236=1,0,NPV('2027 Avoided Costs'!$D$6,_xlfn._xlws.FILTER('2027 Avoided Costs'!$AE$14:$AE$47,('2027 Avoided Costs'!$B$14:$B$47&gt;=$B236+1)*('2027 Avoided Costs'!$B$14:$B$47&lt;$B236+ROUND($O236,0)))))+_xlfn.XLOOKUP($B236,'2027 Avoided Costs'!$B$13:$B$47,'2027 Avoided Costs'!$AE$13:$AE$47))*IF($AO236&lt;0,$AO236*(-1),0),0)</f>
        <v>0</v>
      </c>
      <c r="BE236" s="291" cm="1">
        <f t="array" ref="BE236">IFERROR((IF($O236=1,0,NPV('2027 Avoided Costs'!$D$4,_xlfn._xlws.FILTER('2027 Avoided Costs'!$I$14:$I$47,('2027 Avoided Costs'!$B$14:$B$47&gt;=$B236+1)*('2027 Avoided Costs'!$B$14:$B$47&lt;$B236+ROUND($O236,0)))))+_xlfn.XLOOKUP($B236,'2027 Avoided Costs'!$B$13:$B$47,'2027 Avoided Costs'!$I$13:$I$47))*IF($X236="Residential",'2027 Avoided Costs'!$J$5,IF($X236="Large Volume",'2027 Avoided Costs'!$J$7,'2027 Avoided Costs'!$J$6))*IF($AE236&lt;0,$AE236*(-1),0),0)</f>
        <v>0</v>
      </c>
      <c r="BF236" s="291">
        <f t="shared" si="84"/>
        <v>4045181.4394927854</v>
      </c>
      <c r="BG236" s="291">
        <f t="shared" si="85"/>
        <v>2456400</v>
      </c>
      <c r="BH236" s="291">
        <f t="shared" si="86"/>
        <v>1588781.4394927854</v>
      </c>
      <c r="BI236" s="292">
        <f t="shared" si="110"/>
        <v>1.6467926394287515</v>
      </c>
      <c r="BJ236" s="196" cm="1">
        <f t="array" ref="BJ236">IFERROR(IF($J236="Baseload",IF($O236=1,0,NPV('2027 Avoided Costs'!$D$6,_xlfn._xlws.FILTER('2027 Avoided Costs'!$C$14:$C$47,('2027 Avoided Costs'!$B$14:$B$47&gt;=$B236+1)*('2027 Avoided Costs'!$B$14:$B$47&lt;$B236+ROUND($O236,0)))))+_xlfn.XLOOKUP($B236,'2027 Avoided Costs'!$B$13:$B$47,'2027 Avoided Costs'!$C$13:$C$47),IF($O236=1,0,NPV('2027 Avoided Costs'!$D$6,_xlfn._xlws.FILTER('2027 Avoided Costs'!$E$14:$E$47,('2027 Avoided Costs'!$B$14:$B$47&gt;=$B236+1)*('2027 Avoided Costs'!$B$14:$B$47&lt;$B236+ROUND($O236,0)))))+_xlfn.XLOOKUP($B236,'2027 Avoided Costs'!$B$13:$B$47,'2027 Avoided Costs'!$E$13:$E$47))*IF($AE236&gt;0,$AE236*(1+0),0),0)</f>
        <v>2867514.2941876859</v>
      </c>
      <c r="BK236" s="293">
        <f t="shared" si="108"/>
        <v>1.2681102461858202</v>
      </c>
    </row>
    <row r="237" spans="1:63" s="56" customFormat="1" x14ac:dyDescent="0.25">
      <c r="A237" s="270" t="s">
        <v>133</v>
      </c>
      <c r="B237" s="271">
        <v>2027</v>
      </c>
      <c r="C237" s="272" t="s">
        <v>11</v>
      </c>
      <c r="D237" s="272" t="s">
        <v>130</v>
      </c>
      <c r="E237" s="272" t="s">
        <v>299</v>
      </c>
      <c r="F237" s="273">
        <v>10750</v>
      </c>
      <c r="G237" s="274">
        <v>1055</v>
      </c>
      <c r="H237" s="275">
        <f t="shared" si="88"/>
        <v>3.8224637681159419</v>
      </c>
      <c r="I237" s="274">
        <v>7.5</v>
      </c>
      <c r="J237" s="276" t="s">
        <v>264</v>
      </c>
      <c r="K237" s="277">
        <f t="shared" si="87"/>
        <v>0.89</v>
      </c>
      <c r="L237" s="278">
        <v>0.11</v>
      </c>
      <c r="M237" s="278">
        <v>0</v>
      </c>
      <c r="N237" s="278">
        <v>1</v>
      </c>
      <c r="O237" s="279">
        <v>30</v>
      </c>
      <c r="P237" s="280">
        <v>276</v>
      </c>
      <c r="Q237" s="281">
        <v>70.2</v>
      </c>
      <c r="R237" s="282">
        <v>4.476029697910873E-2</v>
      </c>
      <c r="S237" s="282">
        <v>4.2152054794519144E-3</v>
      </c>
      <c r="T237" s="281">
        <v>0</v>
      </c>
      <c r="U237" s="283">
        <v>0</v>
      </c>
      <c r="V237" s="284">
        <v>1840</v>
      </c>
      <c r="W237" s="285">
        <v>0.15</v>
      </c>
      <c r="X237" s="286" t="s">
        <v>11</v>
      </c>
      <c r="Y237" s="287">
        <f t="shared" si="89"/>
        <v>10750</v>
      </c>
      <c r="Z237" s="288">
        <f t="shared" si="90"/>
        <v>11341250</v>
      </c>
      <c r="AA237" s="288">
        <f t="shared" si="91"/>
        <v>80625</v>
      </c>
      <c r="AB237" s="288">
        <f t="shared" si="92"/>
        <v>11341250</v>
      </c>
      <c r="AC237" s="288">
        <f t="shared" si="109"/>
        <v>80625</v>
      </c>
      <c r="AD237" s="287">
        <f t="shared" si="93"/>
        <v>2967000</v>
      </c>
      <c r="AE237" s="287">
        <f t="shared" si="94"/>
        <v>2640630</v>
      </c>
      <c r="AF237" s="287">
        <f t="shared" si="95"/>
        <v>89010000</v>
      </c>
      <c r="AG237" s="287">
        <f t="shared" si="96"/>
        <v>79218900</v>
      </c>
      <c r="AH237" s="287">
        <f t="shared" si="97"/>
        <v>808984.8</v>
      </c>
      <c r="AI237" s="287">
        <f t="shared" si="98"/>
        <v>719996.47200000007</v>
      </c>
      <c r="AJ237" s="287">
        <f t="shared" si="99"/>
        <v>0</v>
      </c>
      <c r="AK237" s="287">
        <f t="shared" si="100"/>
        <v>0</v>
      </c>
      <c r="AL237" s="287">
        <f t="shared" si="101"/>
        <v>515.81766238724902</v>
      </c>
      <c r="AM237" s="287">
        <f t="shared" si="102"/>
        <v>459.07771952465163</v>
      </c>
      <c r="AN237" s="287">
        <f t="shared" si="103"/>
        <v>48.576027945203869</v>
      </c>
      <c r="AO237" s="287">
        <f t="shared" si="104"/>
        <v>43.232664871231442</v>
      </c>
      <c r="AP237" s="287">
        <f t="shared" si="105"/>
        <v>19780000</v>
      </c>
      <c r="AQ237" s="287">
        <f t="shared" si="106"/>
        <v>17604200</v>
      </c>
      <c r="AR237" s="287">
        <f t="shared" si="107"/>
        <v>0</v>
      </c>
      <c r="AS237" s="289" t="e">
        <f>IF(J237='2027 Avoided Costs'!#REF!,3,5)</f>
        <v>#REF!</v>
      </c>
      <c r="AT237" s="290" cm="1">
        <f t="array" ref="AT237">IFERROR(IF($J237="Baseload",IF($O237=1,0,NPV('2027 Avoided Costs'!$D$6,_xlfn._xlws.FILTER('2027 Avoided Costs'!$C$14:$C$47,('2027 Avoided Costs'!$B$14:$B$47&gt;=$B237+1)*('2027 Avoided Costs'!$B$14:$B$47&lt;$B237+ROUND($O237,0)))))+_xlfn.XLOOKUP($B237,'2027 Avoided Costs'!$B$13:$B$47,'2027 Avoided Costs'!$C$13:$C$47),IF($O237=1,0,NPV('2027 Avoided Costs'!$D$6,_xlfn._xlws.FILTER('2027 Avoided Costs'!$E$14:$E$47,('2027 Avoided Costs'!$B$14:$B$47&gt;=$B237+1)*('2027 Avoided Costs'!$B$14:$B$47&lt;$B237+ROUND($O237,0)))))+_xlfn.XLOOKUP($B237,'2027 Avoided Costs'!$B$13:$B$47,'2027 Avoided Costs'!$E$13:$E$47))*IF($AE237&gt;0,$AE237*(1+$W237),0),0)</f>
        <v>17393959.373303276</v>
      </c>
      <c r="AU237" s="290" cm="1">
        <f t="array" ref="AU237">IFERROR((IF($O237=1,0,NPV('2027 Avoided Costs'!$D$6,_xlfn._xlws.FILTER('2027 Avoided Costs'!$M$14:$M$47,('2027 Avoided Costs'!$B$14:$B$47&gt;=$B237+1)*('2027 Avoided Costs'!$B$14:$B$47&lt;$B237+ROUND($O237,0)))))+_xlfn.XLOOKUP($B237,'2027 Avoided Costs'!$B$13:$B$47,'2027 Avoided Costs'!$M$13:$M$47))*IF($AK237&gt;0,$AK237*(1+$W237),0),0)</f>
        <v>0</v>
      </c>
      <c r="AV237" s="291" cm="1">
        <f t="array" ref="AV237">IFERROR((IF($O237=1,0,NPV('2027 Avoided Costs'!$D$6,_xlfn._xlws.FILTER('2027 Avoided Costs'!$Q$14:$Q$47,('2027 Avoided Costs'!$B$14:$B$47&gt;=$B237+1)*('2027 Avoided Costs'!$B$14:$B$47&lt;$B237+ROUND($O237,0)))))+_xlfn.XLOOKUP($B237,'2027 Avoided Costs'!$B$13:$B$47,'2027 Avoided Costs'!$Q$13:$Q$47))*IF($AI237&gt;0,$AI237*(1+$W237),0),0)</f>
        <v>657111.58091044426</v>
      </c>
      <c r="AW237" s="291" cm="1">
        <f t="array" ref="AW237">IFERROR((IF($O237=1,0,NPV('2027 Avoided Costs'!$D$6,_xlfn._xlws.FILTER('2027 Avoided Costs'!$W$14:$W$47,('2027 Avoided Costs'!$B$14:$B$47&gt;=$B237+1)*('2027 Avoided Costs'!$B$14:$B$47&lt;$B237+ROUND($O237,0)))))+_xlfn.XLOOKUP($B237,'2027 Avoided Costs'!$B$13:$B$47,'2027 Avoided Costs'!$W$13:$W$47))*IF($AM237&gt;0,$AM237*(1+$W237),0),0)</f>
        <v>3028730.8832975193</v>
      </c>
      <c r="AX237" s="291" cm="1">
        <f t="array" ref="AX237">IFERROR((IF($O237=1,0,NPV('2027 Avoided Costs'!$D$6,_xlfn._xlws.FILTER('2027 Avoided Costs'!$AC$14:$AC$47,('2027 Avoided Costs'!$B$14:$B$47&gt;=$B237+1)*('2027 Avoided Costs'!$B$14:$B$47&lt;$B237+ROUND($O237,0)))))+_xlfn.XLOOKUP($B237,'2027 Avoided Costs'!$B$13:$B$47,'2027 Avoided Costs'!$AC$13:$AC$47))*IF($AO237&gt;0,$AO237*(1+$W237),0),0)</f>
        <v>30435.940852530159</v>
      </c>
      <c r="AY237" s="291" cm="1">
        <f t="array" ref="AY237">IFERROR((IF($O237=1,0,NPV('2027 Avoided Costs'!$D$4,_xlfn._xlws.FILTER('2027 Avoided Costs'!$I$14:$I$47,('2027 Avoided Costs'!$B$14:$B$47&gt;=$B237+1)*('2027 Avoided Costs'!$B$14:$B$47&lt;$B237+ROUND($O237,0)))))+_xlfn.XLOOKUP($B237,'2027 Avoided Costs'!$B$13:$B$47,'2027 Avoided Costs'!$I$13:$I$47))*IF($X237="Residential",'2027 Avoided Costs'!$J$5,IF($X237="Large Volume",'2027 Avoided Costs'!$J$7,'2027 Avoided Costs'!$J$6))*IF($AE237&gt;0,$AE237,0),0)</f>
        <v>0</v>
      </c>
      <c r="AZ237" s="291" cm="1">
        <f t="array" ref="AZ237">IFERROR(IF($J237="Baseload",IF($O237=1,0,NPV('2027 Avoided Costs'!$D$6,_xlfn._xlws.FILTER('2027 Avoided Costs'!$C$14:$C$47,('2027 Avoided Costs'!$B$14:$B$47&gt;=$B237+1)*('2027 Avoided Costs'!$B$14:$B$47&lt;$B237+ROUND($O237,0)))))+_xlfn.XLOOKUP($B237,'2027 Avoided Costs'!$B$13:$B$47,'2027 Avoided Costs'!$C$13:$C$47),IF($O237=1,0,NPV('2027 Avoided Costs'!$D$6,_xlfn._xlws.FILTER('2027 Avoided Costs'!$E$14:$E$47,('2027 Avoided Costs'!$B$14:$B$47&gt;=$B237+1)*('2027 Avoided Costs'!$B$14:$B$47&lt;$B237+ROUND($O237,0)))))+_xlfn.XLOOKUP($B237,'2027 Avoided Costs'!$B$13:$B$47,'2027 Avoided Costs'!$E$13:$E$47))*IF($AE237&lt;0,$AE237*(-1),0),0)</f>
        <v>0</v>
      </c>
      <c r="BA237" s="291" cm="1">
        <f t="array" ref="BA237">IFERROR((IF($O237=1,0,NPV('2027 Avoided Costs'!$D$6,_xlfn._xlws.FILTER('2027 Avoided Costs'!$M$14:$M$47,('2027 Avoided Costs'!$B$14:$B$47&gt;=$B237+1)*('2027 Avoided Costs'!$B$14:$B$47&lt;$B237+ROUND($O237,0)))))+_xlfn.XLOOKUP($B237,'2027 Avoided Costs'!$B$13:$B$47,'2027 Avoided Costs'!$M$13:$M$47))*IF($AK237&lt;0,$AK237*(-1),0),0)</f>
        <v>0</v>
      </c>
      <c r="BB237" s="291" cm="1">
        <f t="array" ref="BB237">IFERROR((IF($O237=1,0,NPV('2027 Avoided Costs'!$D$6,_xlfn._xlws.FILTER('2027 Avoided Costs'!$S$14:$S$47,('2027 Avoided Costs'!$B$14:$B$47&gt;=$B237+1)*('2027 Avoided Costs'!$B$14:$B$47&lt;$B237+ROUND($O237,0)))))+_xlfn.XLOOKUP($B237,'2027 Avoided Costs'!$B$13:$B$47,'2027 Avoided Costs'!$S$13:$S$47))*IF($AI237&lt;0,$AI237*(-1),0),0)</f>
        <v>0</v>
      </c>
      <c r="BC237" s="291" cm="1">
        <f t="array" ref="BC237">IFERROR((IF($O237=1,0,NPV('2027 Avoided Costs'!$D$6,_xlfn._xlws.FILTER('2027 Avoided Costs'!$Y$14:$Y$47,('2027 Avoided Costs'!$B$14:$B$47&gt;=$B237+1)*('2027 Avoided Costs'!$B$14:$B$47&lt;$B237+ROUND($O237,0)))))+_xlfn.XLOOKUP($B237,'2027 Avoided Costs'!$B$13:$B$47,'2027 Avoided Costs'!$Y$13:$Y$47))*IF($AM237&lt;0,$AM237*(-1),0),0)</f>
        <v>0</v>
      </c>
      <c r="BD237" s="291" cm="1">
        <f t="array" ref="BD237">IFERROR((IF($O237=1,0,NPV('2027 Avoided Costs'!$D$6,_xlfn._xlws.FILTER('2027 Avoided Costs'!$AE$14:$AE$47,('2027 Avoided Costs'!$B$14:$B$47&gt;=$B237+1)*('2027 Avoided Costs'!$B$14:$B$47&lt;$B237+ROUND($O237,0)))))+_xlfn.XLOOKUP($B237,'2027 Avoided Costs'!$B$13:$B$47,'2027 Avoided Costs'!$AE$13:$AE$47))*IF($AO237&lt;0,$AO237*(-1),0),0)</f>
        <v>0</v>
      </c>
      <c r="BE237" s="291" cm="1">
        <f t="array" ref="BE237">IFERROR((IF($O237=1,0,NPV('2027 Avoided Costs'!$D$4,_xlfn._xlws.FILTER('2027 Avoided Costs'!$I$14:$I$47,('2027 Avoided Costs'!$B$14:$B$47&gt;=$B237+1)*('2027 Avoided Costs'!$B$14:$B$47&lt;$B237+ROUND($O237,0)))))+_xlfn.XLOOKUP($B237,'2027 Avoided Costs'!$B$13:$B$47,'2027 Avoided Costs'!$I$13:$I$47))*IF($X237="Residential",'2027 Avoided Costs'!$J$5,IF($X237="Large Volume",'2027 Avoided Costs'!$J$7,'2027 Avoided Costs'!$J$6))*IF($AE237&lt;0,$AE237*(-1),0),0)</f>
        <v>0</v>
      </c>
      <c r="BF237" s="291">
        <f t="shared" si="84"/>
        <v>21110237.778363768</v>
      </c>
      <c r="BG237" s="291">
        <f t="shared" si="85"/>
        <v>17604200</v>
      </c>
      <c r="BH237" s="291">
        <f t="shared" si="86"/>
        <v>3506037.778363768</v>
      </c>
      <c r="BI237" s="292">
        <f t="shared" si="110"/>
        <v>1.1991591653334868</v>
      </c>
      <c r="BJ237" s="196" cm="1">
        <f t="array" ref="BJ237">IFERROR(IF($J237="Baseload",IF($O237=1,0,NPV('2027 Avoided Costs'!$D$6,_xlfn._xlws.FILTER('2027 Avoided Costs'!$C$14:$C$47,('2027 Avoided Costs'!$B$14:$B$47&gt;=$B237+1)*('2027 Avoided Costs'!$B$14:$B$47&lt;$B237+ROUND($O237,0)))))+_xlfn.XLOOKUP($B237,'2027 Avoided Costs'!$B$13:$B$47,'2027 Avoided Costs'!$C$13:$C$47),IF($O237=1,0,NPV('2027 Avoided Costs'!$D$6,_xlfn._xlws.FILTER('2027 Avoided Costs'!$E$14:$E$47,('2027 Avoided Costs'!$B$14:$B$47&gt;=$B237+1)*('2027 Avoided Costs'!$B$14:$B$47&lt;$B237+ROUND($O237,0)))))+_xlfn.XLOOKUP($B237,'2027 Avoided Costs'!$B$13:$B$47,'2027 Avoided Costs'!$E$13:$E$47))*IF($AE237&gt;0,$AE237*(1+0),0),0)</f>
        <v>15125182.06374198</v>
      </c>
      <c r="BK237" s="293">
        <f t="shared" si="108"/>
        <v>1.3242293462099681</v>
      </c>
    </row>
    <row r="238" spans="1:63" s="56" customFormat="1" x14ac:dyDescent="0.25">
      <c r="A238" s="270" t="s">
        <v>133</v>
      </c>
      <c r="B238" s="271">
        <v>2028</v>
      </c>
      <c r="C238" s="272" t="s">
        <v>11</v>
      </c>
      <c r="D238" s="272" t="s">
        <v>130</v>
      </c>
      <c r="E238" s="272" t="s">
        <v>275</v>
      </c>
      <c r="F238" s="273">
        <v>1500</v>
      </c>
      <c r="G238" s="274">
        <v>1500</v>
      </c>
      <c r="H238" s="275">
        <f t="shared" si="88"/>
        <v>4</v>
      </c>
      <c r="I238" s="274">
        <v>7.5</v>
      </c>
      <c r="J238" s="276" t="s">
        <v>264</v>
      </c>
      <c r="K238" s="277">
        <f t="shared" si="87"/>
        <v>0.89</v>
      </c>
      <c r="L238" s="278">
        <v>0.11</v>
      </c>
      <c r="M238" s="278">
        <v>0</v>
      </c>
      <c r="N238" s="278">
        <v>1</v>
      </c>
      <c r="O238" s="279">
        <v>30</v>
      </c>
      <c r="P238" s="280">
        <v>375</v>
      </c>
      <c r="Q238" s="281">
        <v>101.2</v>
      </c>
      <c r="R238" s="282">
        <v>6.4526240089541359E-2</v>
      </c>
      <c r="S238" s="282">
        <v>6.0766210045660081E-3</v>
      </c>
      <c r="T238" s="281">
        <v>0</v>
      </c>
      <c r="U238" s="283">
        <v>0</v>
      </c>
      <c r="V238" s="284">
        <v>1840</v>
      </c>
      <c r="W238" s="285">
        <v>0.15</v>
      </c>
      <c r="X238" s="286" t="s">
        <v>11</v>
      </c>
      <c r="Y238" s="287">
        <f t="shared" si="89"/>
        <v>1500</v>
      </c>
      <c r="Z238" s="288">
        <f t="shared" si="90"/>
        <v>2250000</v>
      </c>
      <c r="AA238" s="288">
        <f t="shared" si="91"/>
        <v>11250</v>
      </c>
      <c r="AB238" s="288">
        <f t="shared" si="92"/>
        <v>2295000</v>
      </c>
      <c r="AC238" s="288">
        <f t="shared" si="109"/>
        <v>11443.500000000002</v>
      </c>
      <c r="AD238" s="287">
        <f t="shared" si="93"/>
        <v>562500</v>
      </c>
      <c r="AE238" s="287">
        <f t="shared" si="94"/>
        <v>500625</v>
      </c>
      <c r="AF238" s="287">
        <f t="shared" si="95"/>
        <v>16875000</v>
      </c>
      <c r="AG238" s="287">
        <f t="shared" si="96"/>
        <v>15018750</v>
      </c>
      <c r="AH238" s="287">
        <f t="shared" si="97"/>
        <v>162729.60000000001</v>
      </c>
      <c r="AI238" s="287">
        <f t="shared" si="98"/>
        <v>144829.34400000001</v>
      </c>
      <c r="AJ238" s="287">
        <f t="shared" si="99"/>
        <v>0</v>
      </c>
      <c r="AK238" s="287">
        <f t="shared" si="100"/>
        <v>0</v>
      </c>
      <c r="AL238" s="287">
        <f t="shared" si="101"/>
        <v>103.7581940639825</v>
      </c>
      <c r="AM238" s="287">
        <f t="shared" si="102"/>
        <v>92.34479271694444</v>
      </c>
      <c r="AN238" s="287">
        <f t="shared" si="103"/>
        <v>9.7712065753421431</v>
      </c>
      <c r="AO238" s="287">
        <f t="shared" si="104"/>
        <v>8.6963738520545064</v>
      </c>
      <c r="AP238" s="287">
        <f t="shared" si="105"/>
        <v>2760000</v>
      </c>
      <c r="AQ238" s="287">
        <f t="shared" si="106"/>
        <v>2456400</v>
      </c>
      <c r="AR238" s="287">
        <f t="shared" si="107"/>
        <v>0</v>
      </c>
      <c r="AS238" s="289" t="e">
        <f>IF(J238='2027 Avoided Costs'!#REF!,3,5)</f>
        <v>#REF!</v>
      </c>
      <c r="AT238" s="290" cm="1">
        <f t="array" ref="AT238">IFERROR(IF($J238="Baseload",IF($O238=1,0,NPV('2027 Avoided Costs'!$D$6,_xlfn._xlws.FILTER('2027 Avoided Costs'!$C$14:$C$47,('2027 Avoided Costs'!$B$14:$B$47&gt;=$B238+1)*('2027 Avoided Costs'!$B$14:$B$47&lt;$B238+ROUND($O238,0)))))+_xlfn.XLOOKUP($B238,'2027 Avoided Costs'!$B$13:$B$47,'2027 Avoided Costs'!$C$13:$C$47),IF($O238=1,0,NPV('2027 Avoided Costs'!$D$6,_xlfn._xlws.FILTER('2027 Avoided Costs'!$E$14:$E$47,('2027 Avoided Costs'!$B$14:$B$47&gt;=$B238+1)*('2027 Avoided Costs'!$B$14:$B$47&lt;$B238+ROUND($O238,0)))))+_xlfn.XLOOKUP($B238,'2027 Avoided Costs'!$B$13:$B$47,'2027 Avoided Costs'!$E$13:$E$47))*IF($AE238&gt;0,$AE238*(1+$W238),0),0)</f>
        <v>3420471.8524848339</v>
      </c>
      <c r="AU238" s="290" cm="1">
        <f t="array" ref="AU238">IFERROR((IF($O238=1,0,NPV('2027 Avoided Costs'!$D$6,_xlfn._xlws.FILTER('2027 Avoided Costs'!$M$14:$M$47,('2027 Avoided Costs'!$B$14:$B$47&gt;=$B238+1)*('2027 Avoided Costs'!$B$14:$B$47&lt;$B238+ROUND($O238,0)))))+_xlfn.XLOOKUP($B238,'2027 Avoided Costs'!$B$13:$B$47,'2027 Avoided Costs'!$M$13:$M$47))*IF($AK238&gt;0,$AK238*(1+$W238),0),0)</f>
        <v>0</v>
      </c>
      <c r="AV238" s="291" cm="1">
        <f t="array" ref="AV238">IFERROR((IF($O238=1,0,NPV('2027 Avoided Costs'!$D$6,_xlfn._xlws.FILTER('2027 Avoided Costs'!$Q$14:$Q$47,('2027 Avoided Costs'!$B$14:$B$47&gt;=$B238+1)*('2027 Avoided Costs'!$B$14:$B$47&lt;$B238+ROUND($O238,0)))))+_xlfn.XLOOKUP($B238,'2027 Avoided Costs'!$B$13:$B$47,'2027 Avoided Costs'!$Q$13:$Q$47))*IF($AI238&gt;0,$AI238*(1+$W238),0),0)</f>
        <v>129709.04664506669</v>
      </c>
      <c r="AW238" s="291" cm="1">
        <f t="array" ref="AW238">IFERROR((IF($O238=1,0,NPV('2027 Avoided Costs'!$D$6,_xlfn._xlws.FILTER('2027 Avoided Costs'!$W$14:$W$47,('2027 Avoided Costs'!$B$14:$B$47&gt;=$B238+1)*('2027 Avoided Costs'!$B$14:$B$47&lt;$B238+ROUND($O238,0)))))+_xlfn.XLOOKUP($B238,'2027 Avoided Costs'!$B$13:$B$47,'2027 Avoided Costs'!$W$13:$W$47))*IF($AM238&gt;0,$AM238*(1+$W238),0),0)</f>
        <v>638736.1354800635</v>
      </c>
      <c r="AX238" s="291" cm="1">
        <f t="array" ref="AX238">IFERROR((IF($O238=1,0,NPV('2027 Avoided Costs'!$D$6,_xlfn._xlws.FILTER('2027 Avoided Costs'!$AC$14:$AC$47,('2027 Avoided Costs'!$B$14:$B$47&gt;=$B238+1)*('2027 Avoided Costs'!$B$14:$B$47&lt;$B238+ROUND($O238,0)))))+_xlfn.XLOOKUP($B238,'2027 Avoided Costs'!$B$13:$B$47,'2027 Avoided Costs'!$AC$13:$AC$47))*IF($AO238&gt;0,$AO238*(1+$W238),0),0)</f>
        <v>6494.5107153727613</v>
      </c>
      <c r="AY238" s="291" cm="1">
        <f t="array" ref="AY238">IFERROR((IF($O238=1,0,NPV('2027 Avoided Costs'!$D$4,_xlfn._xlws.FILTER('2027 Avoided Costs'!$I$14:$I$47,('2027 Avoided Costs'!$B$14:$B$47&gt;=$B238+1)*('2027 Avoided Costs'!$B$14:$B$47&lt;$B238+ROUND($O238,0)))))+_xlfn.XLOOKUP($B238,'2027 Avoided Costs'!$B$13:$B$47,'2027 Avoided Costs'!$I$13:$I$47))*IF($X238="Residential",'2027 Avoided Costs'!$J$5,IF($X238="Large Volume",'2027 Avoided Costs'!$J$7,'2027 Avoided Costs'!$J$6))*IF($AE238&gt;0,$AE238,0),0)</f>
        <v>0</v>
      </c>
      <c r="AZ238" s="291" cm="1">
        <f t="array" ref="AZ238">IFERROR(IF($J238="Baseload",IF($O238=1,0,NPV('2027 Avoided Costs'!$D$6,_xlfn._xlws.FILTER('2027 Avoided Costs'!$C$14:$C$47,('2027 Avoided Costs'!$B$14:$B$47&gt;=$B238+1)*('2027 Avoided Costs'!$B$14:$B$47&lt;$B238+ROUND($O238,0)))))+_xlfn.XLOOKUP($B238,'2027 Avoided Costs'!$B$13:$B$47,'2027 Avoided Costs'!$C$13:$C$47),IF($O238=1,0,NPV('2027 Avoided Costs'!$D$6,_xlfn._xlws.FILTER('2027 Avoided Costs'!$E$14:$E$47,('2027 Avoided Costs'!$B$14:$B$47&gt;=$B238+1)*('2027 Avoided Costs'!$B$14:$B$47&lt;$B238+ROUND($O238,0)))))+_xlfn.XLOOKUP($B238,'2027 Avoided Costs'!$B$13:$B$47,'2027 Avoided Costs'!$E$13:$E$47))*IF($AE238&lt;0,$AE238*(-1),0),0)</f>
        <v>0</v>
      </c>
      <c r="BA238" s="291" cm="1">
        <f t="array" ref="BA238">IFERROR((IF($O238=1,0,NPV('2027 Avoided Costs'!$D$6,_xlfn._xlws.FILTER('2027 Avoided Costs'!$M$14:$M$47,('2027 Avoided Costs'!$B$14:$B$47&gt;=$B238+1)*('2027 Avoided Costs'!$B$14:$B$47&lt;$B238+ROUND($O238,0)))))+_xlfn.XLOOKUP($B238,'2027 Avoided Costs'!$B$13:$B$47,'2027 Avoided Costs'!$M$13:$M$47))*IF($AK238&lt;0,$AK238*(-1),0),0)</f>
        <v>0</v>
      </c>
      <c r="BB238" s="291" cm="1">
        <f t="array" ref="BB238">IFERROR((IF($O238=1,0,NPV('2027 Avoided Costs'!$D$6,_xlfn._xlws.FILTER('2027 Avoided Costs'!$S$14:$S$47,('2027 Avoided Costs'!$B$14:$B$47&gt;=$B238+1)*('2027 Avoided Costs'!$B$14:$B$47&lt;$B238+ROUND($O238,0)))))+_xlfn.XLOOKUP($B238,'2027 Avoided Costs'!$B$13:$B$47,'2027 Avoided Costs'!$S$13:$S$47))*IF($AI238&lt;0,$AI238*(-1),0),0)</f>
        <v>0</v>
      </c>
      <c r="BC238" s="291" cm="1">
        <f t="array" ref="BC238">IFERROR((IF($O238=1,0,NPV('2027 Avoided Costs'!$D$6,_xlfn._xlws.FILTER('2027 Avoided Costs'!$Y$14:$Y$47,('2027 Avoided Costs'!$B$14:$B$47&gt;=$B238+1)*('2027 Avoided Costs'!$B$14:$B$47&lt;$B238+ROUND($O238,0)))))+_xlfn.XLOOKUP($B238,'2027 Avoided Costs'!$B$13:$B$47,'2027 Avoided Costs'!$Y$13:$Y$47))*IF($AM238&lt;0,$AM238*(-1),0),0)</f>
        <v>0</v>
      </c>
      <c r="BD238" s="291" cm="1">
        <f t="array" ref="BD238">IFERROR((IF($O238=1,0,NPV('2027 Avoided Costs'!$D$6,_xlfn._xlws.FILTER('2027 Avoided Costs'!$AE$14:$AE$47,('2027 Avoided Costs'!$B$14:$B$47&gt;=$B238+1)*('2027 Avoided Costs'!$B$14:$B$47&lt;$B238+ROUND($O238,0)))))+_xlfn.XLOOKUP($B238,'2027 Avoided Costs'!$B$13:$B$47,'2027 Avoided Costs'!$AE$13:$AE$47))*IF($AO238&lt;0,$AO238*(-1),0),0)</f>
        <v>0</v>
      </c>
      <c r="BE238" s="291" cm="1">
        <f t="array" ref="BE238">IFERROR((IF($O238=1,0,NPV('2027 Avoided Costs'!$D$4,_xlfn._xlws.FILTER('2027 Avoided Costs'!$I$14:$I$47,('2027 Avoided Costs'!$B$14:$B$47&gt;=$B238+1)*('2027 Avoided Costs'!$B$14:$B$47&lt;$B238+ROUND($O238,0)))))+_xlfn.XLOOKUP($B238,'2027 Avoided Costs'!$B$13:$B$47,'2027 Avoided Costs'!$I$13:$I$47))*IF($X238="Residential",'2027 Avoided Costs'!$J$5,IF($X238="Large Volume",'2027 Avoided Costs'!$J$7,'2027 Avoided Costs'!$J$6))*IF($AE238&lt;0,$AE238*(-1),0),0)</f>
        <v>0</v>
      </c>
      <c r="BF238" s="291">
        <f t="shared" si="84"/>
        <v>4195411.545325337</v>
      </c>
      <c r="BG238" s="291">
        <f t="shared" si="85"/>
        <v>2456400</v>
      </c>
      <c r="BH238" s="291">
        <f t="shared" si="86"/>
        <v>1739011.545325337</v>
      </c>
      <c r="BI238" s="292">
        <f t="shared" si="110"/>
        <v>1.7079512886033776</v>
      </c>
      <c r="BJ238" s="196" cm="1">
        <f t="array" ref="BJ238">IFERROR(IF($J238="Baseload",IF($O238=1,0,NPV('2027 Avoided Costs'!$D$6,_xlfn._xlws.FILTER('2027 Avoided Costs'!$C$14:$C$47,('2027 Avoided Costs'!$B$14:$B$47&gt;=$B238+1)*('2027 Avoided Costs'!$B$14:$B$47&lt;$B238+ROUND($O238,0)))))+_xlfn.XLOOKUP($B238,'2027 Avoided Costs'!$B$13:$B$47,'2027 Avoided Costs'!$C$13:$C$47),IF($O238=1,0,NPV('2027 Avoided Costs'!$D$6,_xlfn._xlws.FILTER('2027 Avoided Costs'!$E$14:$E$47,('2027 Avoided Costs'!$B$14:$B$47&gt;=$B238+1)*('2027 Avoided Costs'!$B$14:$B$47&lt;$B238+ROUND($O238,0)))))+_xlfn.XLOOKUP($B238,'2027 Avoided Costs'!$B$13:$B$47,'2027 Avoided Costs'!$E$13:$E$47))*IF($AE238&gt;0,$AE238*(1+0),0),0)</f>
        <v>2974323.3499868121</v>
      </c>
      <c r="BK238" s="293">
        <f t="shared" si="108"/>
        <v>1.2895713031716634</v>
      </c>
    </row>
    <row r="239" spans="1:63" s="56" customFormat="1" x14ac:dyDescent="0.25">
      <c r="A239" s="270" t="s">
        <v>133</v>
      </c>
      <c r="B239" s="271">
        <v>2028</v>
      </c>
      <c r="C239" s="272" t="s">
        <v>11</v>
      </c>
      <c r="D239" s="272" t="s">
        <v>130</v>
      </c>
      <c r="E239" s="272" t="s">
        <v>299</v>
      </c>
      <c r="F239" s="273">
        <v>13500</v>
      </c>
      <c r="G239" s="274">
        <v>1055</v>
      </c>
      <c r="H239" s="275">
        <f t="shared" si="88"/>
        <v>3.8224637681159419</v>
      </c>
      <c r="I239" s="274">
        <v>7.5</v>
      </c>
      <c r="J239" s="276" t="s">
        <v>264</v>
      </c>
      <c r="K239" s="277">
        <f t="shared" si="87"/>
        <v>0.89</v>
      </c>
      <c r="L239" s="278">
        <v>0.11</v>
      </c>
      <c r="M239" s="278">
        <v>0</v>
      </c>
      <c r="N239" s="278">
        <v>1</v>
      </c>
      <c r="O239" s="279">
        <v>30</v>
      </c>
      <c r="P239" s="280">
        <v>276</v>
      </c>
      <c r="Q239" s="281">
        <v>70.2</v>
      </c>
      <c r="R239" s="282">
        <v>4.476029697910873E-2</v>
      </c>
      <c r="S239" s="282">
        <v>4.2152054794519144E-3</v>
      </c>
      <c r="T239" s="281">
        <v>0</v>
      </c>
      <c r="U239" s="283">
        <v>0</v>
      </c>
      <c r="V239" s="284">
        <v>1840</v>
      </c>
      <c r="W239" s="285">
        <v>0.15</v>
      </c>
      <c r="X239" s="286" t="s">
        <v>11</v>
      </c>
      <c r="Y239" s="287">
        <f t="shared" si="89"/>
        <v>13500</v>
      </c>
      <c r="Z239" s="288">
        <f t="shared" si="90"/>
        <v>14242500</v>
      </c>
      <c r="AA239" s="288">
        <f t="shared" si="91"/>
        <v>101250</v>
      </c>
      <c r="AB239" s="288">
        <f t="shared" si="92"/>
        <v>14527350</v>
      </c>
      <c r="AC239" s="288">
        <f t="shared" si="109"/>
        <v>102991.50000000001</v>
      </c>
      <c r="AD239" s="287">
        <f t="shared" si="93"/>
        <v>3726000</v>
      </c>
      <c r="AE239" s="287">
        <f t="shared" si="94"/>
        <v>3316140</v>
      </c>
      <c r="AF239" s="287">
        <f t="shared" si="95"/>
        <v>111780000</v>
      </c>
      <c r="AG239" s="287">
        <f t="shared" si="96"/>
        <v>99484200</v>
      </c>
      <c r="AH239" s="287">
        <f t="shared" si="97"/>
        <v>1015934.4</v>
      </c>
      <c r="AI239" s="287">
        <f t="shared" si="98"/>
        <v>904181.61600000004</v>
      </c>
      <c r="AJ239" s="287">
        <f t="shared" si="99"/>
        <v>0</v>
      </c>
      <c r="AK239" s="287">
        <f t="shared" si="100"/>
        <v>0</v>
      </c>
      <c r="AL239" s="287">
        <f t="shared" si="101"/>
        <v>647.77101788166158</v>
      </c>
      <c r="AM239" s="287">
        <f t="shared" si="102"/>
        <v>576.51620591467884</v>
      </c>
      <c r="AN239" s="287">
        <f t="shared" si="103"/>
        <v>61.002453698628109</v>
      </c>
      <c r="AO239" s="287">
        <f t="shared" si="104"/>
        <v>54.292183791779017</v>
      </c>
      <c r="AP239" s="287">
        <f t="shared" si="105"/>
        <v>24840000</v>
      </c>
      <c r="AQ239" s="287">
        <f t="shared" si="106"/>
        <v>22107600</v>
      </c>
      <c r="AR239" s="287">
        <f t="shared" si="107"/>
        <v>0</v>
      </c>
      <c r="AS239" s="289" t="e">
        <f>IF(J239='2027 Avoided Costs'!#REF!,3,5)</f>
        <v>#REF!</v>
      </c>
      <c r="AT239" s="290" cm="1">
        <f t="array" ref="AT239">IFERROR(IF($J239="Baseload",IF($O239=1,0,NPV('2027 Avoided Costs'!$D$6,_xlfn._xlws.FILTER('2027 Avoided Costs'!$C$14:$C$47,('2027 Avoided Costs'!$B$14:$B$47&gt;=$B239+1)*('2027 Avoided Costs'!$B$14:$B$47&lt;$B239+ROUND($O239,0)))))+_xlfn.XLOOKUP($B239,'2027 Avoided Costs'!$B$13:$B$47,'2027 Avoided Costs'!$C$13:$C$47),IF($O239=1,0,NPV('2027 Avoided Costs'!$D$6,_xlfn._xlws.FILTER('2027 Avoided Costs'!$E$14:$E$47,('2027 Avoided Costs'!$B$14:$B$47&gt;=$B239+1)*('2027 Avoided Costs'!$B$14:$B$47&lt;$B239+ROUND($O239,0)))))+_xlfn.XLOOKUP($B239,'2027 Avoided Costs'!$B$13:$B$47,'2027 Avoided Costs'!$E$13:$E$47))*IF($AE239&gt;0,$AE239*(1+$W239),0),0)</f>
        <v>22657205.550859537</v>
      </c>
      <c r="AU239" s="290" cm="1">
        <f t="array" ref="AU239">IFERROR((IF($O239=1,0,NPV('2027 Avoided Costs'!$D$6,_xlfn._xlws.FILTER('2027 Avoided Costs'!$M$14:$M$47,('2027 Avoided Costs'!$B$14:$B$47&gt;=$B239+1)*('2027 Avoided Costs'!$B$14:$B$47&lt;$B239+ROUND($O239,0)))))+_xlfn.XLOOKUP($B239,'2027 Avoided Costs'!$B$13:$B$47,'2027 Avoided Costs'!$M$13:$M$47))*IF($AK239&gt;0,$AK239*(1+$W239),0),0)</f>
        <v>0</v>
      </c>
      <c r="AV239" s="291" cm="1">
        <f t="array" ref="AV239">IFERROR((IF($O239=1,0,NPV('2027 Avoided Costs'!$D$6,_xlfn._xlws.FILTER('2027 Avoided Costs'!$Q$14:$Q$47,('2027 Avoided Costs'!$B$14:$B$47&gt;=$B239+1)*('2027 Avoided Costs'!$B$14:$B$47&lt;$B239+ROUND($O239,0)))))+_xlfn.XLOOKUP($B239,'2027 Avoided Costs'!$B$13:$B$47,'2027 Avoided Costs'!$Q$13:$Q$47))*IF($AI239&gt;0,$AI239*(1+$W239),0),0)</f>
        <v>809784.34456870682</v>
      </c>
      <c r="AW239" s="291" cm="1">
        <f t="array" ref="AW239">IFERROR((IF($O239=1,0,NPV('2027 Avoided Costs'!$D$6,_xlfn._xlws.FILTER('2027 Avoided Costs'!$W$14:$W$47,('2027 Avoided Costs'!$B$14:$B$47&gt;=$B239+1)*('2027 Avoided Costs'!$B$14:$B$47&lt;$B239+ROUND($O239,0)))))+_xlfn.XLOOKUP($B239,'2027 Avoided Costs'!$B$13:$B$47,'2027 Avoided Costs'!$W$13:$W$47))*IF($AM239&gt;0,$AM239*(1+$W239),0),0)</f>
        <v>3987682.7114259307</v>
      </c>
      <c r="AX239" s="291" cm="1">
        <f t="array" ref="AX239">IFERROR((IF($O239=1,0,NPV('2027 Avoided Costs'!$D$6,_xlfn._xlws.FILTER('2027 Avoided Costs'!$AC$14:$AC$47,('2027 Avoided Costs'!$B$14:$B$47&gt;=$B239+1)*('2027 Avoided Costs'!$B$14:$B$47&lt;$B239+ROUND($O239,0)))))+_xlfn.XLOOKUP($B239,'2027 Avoided Costs'!$B$13:$B$47,'2027 Avoided Costs'!$AC$13:$AC$47))*IF($AO239&gt;0,$AO239*(1+$W239),0),0)</f>
        <v>40545.769466131518</v>
      </c>
      <c r="AY239" s="291" cm="1">
        <f t="array" ref="AY239">IFERROR((IF($O239=1,0,NPV('2027 Avoided Costs'!$D$4,_xlfn._xlws.FILTER('2027 Avoided Costs'!$I$14:$I$47,('2027 Avoided Costs'!$B$14:$B$47&gt;=$B239+1)*('2027 Avoided Costs'!$B$14:$B$47&lt;$B239+ROUND($O239,0)))))+_xlfn.XLOOKUP($B239,'2027 Avoided Costs'!$B$13:$B$47,'2027 Avoided Costs'!$I$13:$I$47))*IF($X239="Residential",'2027 Avoided Costs'!$J$5,IF($X239="Large Volume",'2027 Avoided Costs'!$J$7,'2027 Avoided Costs'!$J$6))*IF($AE239&gt;0,$AE239,0),0)</f>
        <v>0</v>
      </c>
      <c r="AZ239" s="291" cm="1">
        <f t="array" ref="AZ239">IFERROR(IF($J239="Baseload",IF($O239=1,0,NPV('2027 Avoided Costs'!$D$6,_xlfn._xlws.FILTER('2027 Avoided Costs'!$C$14:$C$47,('2027 Avoided Costs'!$B$14:$B$47&gt;=$B239+1)*('2027 Avoided Costs'!$B$14:$B$47&lt;$B239+ROUND($O239,0)))))+_xlfn.XLOOKUP($B239,'2027 Avoided Costs'!$B$13:$B$47,'2027 Avoided Costs'!$C$13:$C$47),IF($O239=1,0,NPV('2027 Avoided Costs'!$D$6,_xlfn._xlws.FILTER('2027 Avoided Costs'!$E$14:$E$47,('2027 Avoided Costs'!$B$14:$B$47&gt;=$B239+1)*('2027 Avoided Costs'!$B$14:$B$47&lt;$B239+ROUND($O239,0)))))+_xlfn.XLOOKUP($B239,'2027 Avoided Costs'!$B$13:$B$47,'2027 Avoided Costs'!$E$13:$E$47))*IF($AE239&lt;0,$AE239*(-1),0),0)</f>
        <v>0</v>
      </c>
      <c r="BA239" s="291" cm="1">
        <f t="array" ref="BA239">IFERROR((IF($O239=1,0,NPV('2027 Avoided Costs'!$D$6,_xlfn._xlws.FILTER('2027 Avoided Costs'!$M$14:$M$47,('2027 Avoided Costs'!$B$14:$B$47&gt;=$B239+1)*('2027 Avoided Costs'!$B$14:$B$47&lt;$B239+ROUND($O239,0)))))+_xlfn.XLOOKUP($B239,'2027 Avoided Costs'!$B$13:$B$47,'2027 Avoided Costs'!$M$13:$M$47))*IF($AK239&lt;0,$AK239*(-1),0),0)</f>
        <v>0</v>
      </c>
      <c r="BB239" s="291" cm="1">
        <f t="array" ref="BB239">IFERROR((IF($O239=1,0,NPV('2027 Avoided Costs'!$D$6,_xlfn._xlws.FILTER('2027 Avoided Costs'!$S$14:$S$47,('2027 Avoided Costs'!$B$14:$B$47&gt;=$B239+1)*('2027 Avoided Costs'!$B$14:$B$47&lt;$B239+ROUND($O239,0)))))+_xlfn.XLOOKUP($B239,'2027 Avoided Costs'!$B$13:$B$47,'2027 Avoided Costs'!$S$13:$S$47))*IF($AI239&lt;0,$AI239*(-1),0),0)</f>
        <v>0</v>
      </c>
      <c r="BC239" s="291" cm="1">
        <f t="array" ref="BC239">IFERROR((IF($O239=1,0,NPV('2027 Avoided Costs'!$D$6,_xlfn._xlws.FILTER('2027 Avoided Costs'!$Y$14:$Y$47,('2027 Avoided Costs'!$B$14:$B$47&gt;=$B239+1)*('2027 Avoided Costs'!$B$14:$B$47&lt;$B239+ROUND($O239,0)))))+_xlfn.XLOOKUP($B239,'2027 Avoided Costs'!$B$13:$B$47,'2027 Avoided Costs'!$Y$13:$Y$47))*IF($AM239&lt;0,$AM239*(-1),0),0)</f>
        <v>0</v>
      </c>
      <c r="BD239" s="291" cm="1">
        <f t="array" ref="BD239">IFERROR((IF($O239=1,0,NPV('2027 Avoided Costs'!$D$6,_xlfn._xlws.FILTER('2027 Avoided Costs'!$AE$14:$AE$47,('2027 Avoided Costs'!$B$14:$B$47&gt;=$B239+1)*('2027 Avoided Costs'!$B$14:$B$47&lt;$B239+ROUND($O239,0)))))+_xlfn.XLOOKUP($B239,'2027 Avoided Costs'!$B$13:$B$47,'2027 Avoided Costs'!$AE$13:$AE$47))*IF($AO239&lt;0,$AO239*(-1),0),0)</f>
        <v>0</v>
      </c>
      <c r="BE239" s="291" cm="1">
        <f t="array" ref="BE239">IFERROR((IF($O239=1,0,NPV('2027 Avoided Costs'!$D$4,_xlfn._xlws.FILTER('2027 Avoided Costs'!$I$14:$I$47,('2027 Avoided Costs'!$B$14:$B$47&gt;=$B239+1)*('2027 Avoided Costs'!$B$14:$B$47&lt;$B239+ROUND($O239,0)))))+_xlfn.XLOOKUP($B239,'2027 Avoided Costs'!$B$13:$B$47,'2027 Avoided Costs'!$I$13:$I$47))*IF($X239="Residential",'2027 Avoided Costs'!$J$5,IF($X239="Large Volume",'2027 Avoided Costs'!$J$7,'2027 Avoided Costs'!$J$6))*IF($AE239&lt;0,$AE239*(-1),0),0)</f>
        <v>0</v>
      </c>
      <c r="BF239" s="291">
        <f t="shared" si="84"/>
        <v>27495218.376320306</v>
      </c>
      <c r="BG239" s="291">
        <f t="shared" si="85"/>
        <v>22107600</v>
      </c>
      <c r="BH239" s="291">
        <f t="shared" si="86"/>
        <v>5387618.3763203062</v>
      </c>
      <c r="BI239" s="292">
        <f t="shared" si="110"/>
        <v>1.243699830660963</v>
      </c>
      <c r="BJ239" s="196" cm="1">
        <f t="array" ref="BJ239">IFERROR(IF($J239="Baseload",IF($O239=1,0,NPV('2027 Avoided Costs'!$D$6,_xlfn._xlws.FILTER('2027 Avoided Costs'!$C$14:$C$47,('2027 Avoided Costs'!$B$14:$B$47&gt;=$B239+1)*('2027 Avoided Costs'!$B$14:$B$47&lt;$B239+ROUND($O239,0)))))+_xlfn.XLOOKUP($B239,'2027 Avoided Costs'!$B$13:$B$47,'2027 Avoided Costs'!$C$13:$C$47),IF($O239=1,0,NPV('2027 Avoided Costs'!$D$6,_xlfn._xlws.FILTER('2027 Avoided Costs'!$E$14:$E$47,('2027 Avoided Costs'!$B$14:$B$47&gt;=$B239+1)*('2027 Avoided Costs'!$B$14:$B$47&lt;$B239+ROUND($O239,0)))))+_xlfn.XLOOKUP($B239,'2027 Avoided Costs'!$B$13:$B$47,'2027 Avoided Costs'!$E$13:$E$47))*IF($AE239&gt;0,$AE239*(1+0),0),0)</f>
        <v>19701917.870312646</v>
      </c>
      <c r="BK239" s="293">
        <f t="shared" si="108"/>
        <v>1.3466478462114262</v>
      </c>
    </row>
    <row r="240" spans="1:63" s="56" customFormat="1" x14ac:dyDescent="0.25">
      <c r="A240" s="270" t="s">
        <v>133</v>
      </c>
      <c r="B240" s="271">
        <v>2029</v>
      </c>
      <c r="C240" s="272" t="s">
        <v>11</v>
      </c>
      <c r="D240" s="272" t="s">
        <v>130</v>
      </c>
      <c r="E240" s="272" t="s">
        <v>275</v>
      </c>
      <c r="F240" s="273">
        <v>1500</v>
      </c>
      <c r="G240" s="274">
        <v>1500</v>
      </c>
      <c r="H240" s="275">
        <f t="shared" si="88"/>
        <v>4</v>
      </c>
      <c r="I240" s="274">
        <v>7.5</v>
      </c>
      <c r="J240" s="276" t="s">
        <v>264</v>
      </c>
      <c r="K240" s="277">
        <f t="shared" si="87"/>
        <v>0.89</v>
      </c>
      <c r="L240" s="278">
        <v>0.11</v>
      </c>
      <c r="M240" s="278">
        <v>0</v>
      </c>
      <c r="N240" s="278">
        <v>1</v>
      </c>
      <c r="O240" s="279">
        <v>30</v>
      </c>
      <c r="P240" s="280">
        <v>375</v>
      </c>
      <c r="Q240" s="281">
        <v>101.2</v>
      </c>
      <c r="R240" s="282">
        <v>6.4526240089541359E-2</v>
      </c>
      <c r="S240" s="282">
        <v>6.0766210045660081E-3</v>
      </c>
      <c r="T240" s="281">
        <v>0</v>
      </c>
      <c r="U240" s="283">
        <v>0</v>
      </c>
      <c r="V240" s="284">
        <v>1840</v>
      </c>
      <c r="W240" s="285">
        <v>0.15</v>
      </c>
      <c r="X240" s="286" t="s">
        <v>11</v>
      </c>
      <c r="Y240" s="287">
        <f t="shared" si="89"/>
        <v>1500</v>
      </c>
      <c r="Z240" s="288">
        <f t="shared" si="90"/>
        <v>2250000</v>
      </c>
      <c r="AA240" s="288">
        <f t="shared" si="91"/>
        <v>11250</v>
      </c>
      <c r="AB240" s="288">
        <f t="shared" si="92"/>
        <v>2340900</v>
      </c>
      <c r="AC240" s="288">
        <f t="shared" si="109"/>
        <v>11640.328200000002</v>
      </c>
      <c r="AD240" s="287">
        <f t="shared" si="93"/>
        <v>562500</v>
      </c>
      <c r="AE240" s="287">
        <f t="shared" si="94"/>
        <v>500625</v>
      </c>
      <c r="AF240" s="287">
        <f t="shared" si="95"/>
        <v>16875000</v>
      </c>
      <c r="AG240" s="287">
        <f t="shared" si="96"/>
        <v>15018750</v>
      </c>
      <c r="AH240" s="287">
        <f t="shared" si="97"/>
        <v>162729.60000000001</v>
      </c>
      <c r="AI240" s="287">
        <f t="shared" si="98"/>
        <v>144829.34400000001</v>
      </c>
      <c r="AJ240" s="287">
        <f t="shared" si="99"/>
        <v>0</v>
      </c>
      <c r="AK240" s="287">
        <f t="shared" si="100"/>
        <v>0</v>
      </c>
      <c r="AL240" s="287">
        <f t="shared" si="101"/>
        <v>103.7581940639825</v>
      </c>
      <c r="AM240" s="287">
        <f t="shared" si="102"/>
        <v>92.34479271694444</v>
      </c>
      <c r="AN240" s="287">
        <f t="shared" si="103"/>
        <v>9.7712065753421431</v>
      </c>
      <c r="AO240" s="287">
        <f t="shared" si="104"/>
        <v>8.6963738520545064</v>
      </c>
      <c r="AP240" s="287">
        <f t="shared" si="105"/>
        <v>2760000</v>
      </c>
      <c r="AQ240" s="287">
        <f t="shared" si="106"/>
        <v>2456400</v>
      </c>
      <c r="AR240" s="287">
        <f t="shared" si="107"/>
        <v>0</v>
      </c>
      <c r="AS240" s="289" t="e">
        <f>IF(J240='2027 Avoided Costs'!#REF!,3,5)</f>
        <v>#REF!</v>
      </c>
      <c r="AT240" s="290" cm="1">
        <f t="array" ref="AT240">IFERROR(IF($J240="Baseload",IF($O240=1,0,NPV('2027 Avoided Costs'!$D$6,_xlfn._xlws.FILTER('2027 Avoided Costs'!$C$14:$C$47,('2027 Avoided Costs'!$B$14:$B$47&gt;=$B240+1)*('2027 Avoided Costs'!$B$14:$B$47&lt;$B240+ROUND($O240,0)))))+_xlfn.XLOOKUP($B240,'2027 Avoided Costs'!$B$13:$B$47,'2027 Avoided Costs'!$C$13:$C$47),IF($O240=1,0,NPV('2027 Avoided Costs'!$D$6,_xlfn._xlws.FILTER('2027 Avoided Costs'!$E$14:$E$47,('2027 Avoided Costs'!$B$14:$B$47&gt;=$B240+1)*('2027 Avoided Costs'!$B$14:$B$47&lt;$B240+ROUND($O240,0)))))+_xlfn.XLOOKUP($B240,'2027 Avoided Costs'!$B$13:$B$47,'2027 Avoided Costs'!$E$13:$E$47))*IF($AE240&gt;0,$AE240*(1+$W240),0),0)</f>
        <v>3537744.712696048</v>
      </c>
      <c r="AU240" s="290" cm="1">
        <f t="array" ref="AU240">IFERROR((IF($O240=1,0,NPV('2027 Avoided Costs'!$D$6,_xlfn._xlws.FILTER('2027 Avoided Costs'!$M$14:$M$47,('2027 Avoided Costs'!$B$14:$B$47&gt;=$B240+1)*('2027 Avoided Costs'!$B$14:$B$47&lt;$B240+ROUND($O240,0)))))+_xlfn.XLOOKUP($B240,'2027 Avoided Costs'!$B$13:$B$47,'2027 Avoided Costs'!$M$13:$M$47))*IF($AK240&gt;0,$AK240*(1+$W240),0),0)</f>
        <v>0</v>
      </c>
      <c r="AV240" s="291" cm="1">
        <f t="array" ref="AV240">IFERROR((IF($O240=1,0,NPV('2027 Avoided Costs'!$D$6,_xlfn._xlws.FILTER('2027 Avoided Costs'!$Q$14:$Q$47,('2027 Avoided Costs'!$B$14:$B$47&gt;=$B240+1)*('2027 Avoided Costs'!$B$14:$B$47&lt;$B240+ROUND($O240,0)))))+_xlfn.XLOOKUP($B240,'2027 Avoided Costs'!$B$13:$B$47,'2027 Avoided Costs'!$Q$13:$Q$47))*IF($AI240&gt;0,$AI240*(1+$W240),0),0)</f>
        <v>127357.00469580454</v>
      </c>
      <c r="AW240" s="291" cm="1">
        <f t="array" ref="AW240">IFERROR((IF($O240=1,0,NPV('2027 Avoided Costs'!$D$6,_xlfn._xlws.FILTER('2027 Avoided Costs'!$W$14:$W$47,('2027 Avoided Costs'!$B$14:$B$47&gt;=$B240+1)*('2027 Avoided Costs'!$B$14:$B$47&lt;$B240+ROUND($O240,0)))))+_xlfn.XLOOKUP($B240,'2027 Avoided Costs'!$B$13:$B$47,'2027 Avoided Costs'!$W$13:$W$47))*IF($AM240&gt;0,$AM240*(1+$W240),0),0)</f>
        <v>666752.45380382705</v>
      </c>
      <c r="AX240" s="291" cm="1">
        <f t="array" ref="AX240">IFERROR((IF($O240=1,0,NPV('2027 Avoided Costs'!$D$6,_xlfn._xlws.FILTER('2027 Avoided Costs'!$AC$14:$AC$47,('2027 Avoided Costs'!$B$14:$B$47&gt;=$B240+1)*('2027 Avoided Costs'!$B$14:$B$47&lt;$B240+ROUND($O240,0)))))+_xlfn.XLOOKUP($B240,'2027 Avoided Costs'!$B$13:$B$47,'2027 Avoided Costs'!$AC$13:$AC$47))*IF($AO240&gt;0,$AO240*(1+$W240),0),0)</f>
        <v>6889.3769668674249</v>
      </c>
      <c r="AY240" s="291" cm="1">
        <f t="array" ref="AY240">IFERROR((IF($O240=1,0,NPV('2027 Avoided Costs'!$D$4,_xlfn._xlws.FILTER('2027 Avoided Costs'!$I$14:$I$47,('2027 Avoided Costs'!$B$14:$B$47&gt;=$B240+1)*('2027 Avoided Costs'!$B$14:$B$47&lt;$B240+ROUND($O240,0)))))+_xlfn.XLOOKUP($B240,'2027 Avoided Costs'!$B$13:$B$47,'2027 Avoided Costs'!$I$13:$I$47))*IF($X240="Residential",'2027 Avoided Costs'!$J$5,IF($X240="Large Volume",'2027 Avoided Costs'!$J$7,'2027 Avoided Costs'!$J$6))*IF($AE240&gt;0,$AE240,0),0)</f>
        <v>0</v>
      </c>
      <c r="AZ240" s="291" cm="1">
        <f t="array" ref="AZ240">IFERROR(IF($J240="Baseload",IF($O240=1,0,NPV('2027 Avoided Costs'!$D$6,_xlfn._xlws.FILTER('2027 Avoided Costs'!$C$14:$C$47,('2027 Avoided Costs'!$B$14:$B$47&gt;=$B240+1)*('2027 Avoided Costs'!$B$14:$B$47&lt;$B240+ROUND($O240,0)))))+_xlfn.XLOOKUP($B240,'2027 Avoided Costs'!$B$13:$B$47,'2027 Avoided Costs'!$C$13:$C$47),IF($O240=1,0,NPV('2027 Avoided Costs'!$D$6,_xlfn._xlws.FILTER('2027 Avoided Costs'!$E$14:$E$47,('2027 Avoided Costs'!$B$14:$B$47&gt;=$B240+1)*('2027 Avoided Costs'!$B$14:$B$47&lt;$B240+ROUND($O240,0)))))+_xlfn.XLOOKUP($B240,'2027 Avoided Costs'!$B$13:$B$47,'2027 Avoided Costs'!$E$13:$E$47))*IF($AE240&lt;0,$AE240*(-1),0),0)</f>
        <v>0</v>
      </c>
      <c r="BA240" s="291" cm="1">
        <f t="array" ref="BA240">IFERROR((IF($O240=1,0,NPV('2027 Avoided Costs'!$D$6,_xlfn._xlws.FILTER('2027 Avoided Costs'!$M$14:$M$47,('2027 Avoided Costs'!$B$14:$B$47&gt;=$B240+1)*('2027 Avoided Costs'!$B$14:$B$47&lt;$B240+ROUND($O240,0)))))+_xlfn.XLOOKUP($B240,'2027 Avoided Costs'!$B$13:$B$47,'2027 Avoided Costs'!$M$13:$M$47))*IF($AK240&lt;0,$AK240*(-1),0),0)</f>
        <v>0</v>
      </c>
      <c r="BB240" s="291" cm="1">
        <f t="array" ref="BB240">IFERROR((IF($O240=1,0,NPV('2027 Avoided Costs'!$D$6,_xlfn._xlws.FILTER('2027 Avoided Costs'!$S$14:$S$47,('2027 Avoided Costs'!$B$14:$B$47&gt;=$B240+1)*('2027 Avoided Costs'!$B$14:$B$47&lt;$B240+ROUND($O240,0)))))+_xlfn.XLOOKUP($B240,'2027 Avoided Costs'!$B$13:$B$47,'2027 Avoided Costs'!$S$13:$S$47))*IF($AI240&lt;0,$AI240*(-1),0),0)</f>
        <v>0</v>
      </c>
      <c r="BC240" s="291" cm="1">
        <f t="array" ref="BC240">IFERROR((IF($O240=1,0,NPV('2027 Avoided Costs'!$D$6,_xlfn._xlws.FILTER('2027 Avoided Costs'!$Y$14:$Y$47,('2027 Avoided Costs'!$B$14:$B$47&gt;=$B240+1)*('2027 Avoided Costs'!$B$14:$B$47&lt;$B240+ROUND($O240,0)))))+_xlfn.XLOOKUP($B240,'2027 Avoided Costs'!$B$13:$B$47,'2027 Avoided Costs'!$Y$13:$Y$47))*IF($AM240&lt;0,$AM240*(-1),0),0)</f>
        <v>0</v>
      </c>
      <c r="BD240" s="291" cm="1">
        <f t="array" ref="BD240">IFERROR((IF($O240=1,0,NPV('2027 Avoided Costs'!$D$6,_xlfn._xlws.FILTER('2027 Avoided Costs'!$AE$14:$AE$47,('2027 Avoided Costs'!$B$14:$B$47&gt;=$B240+1)*('2027 Avoided Costs'!$B$14:$B$47&lt;$B240+ROUND($O240,0)))))+_xlfn.XLOOKUP($B240,'2027 Avoided Costs'!$B$13:$B$47,'2027 Avoided Costs'!$AE$13:$AE$47))*IF($AO240&lt;0,$AO240*(-1),0),0)</f>
        <v>0</v>
      </c>
      <c r="BE240" s="291" cm="1">
        <f t="array" ref="BE240">IFERROR((IF($O240=1,0,NPV('2027 Avoided Costs'!$D$4,_xlfn._xlws.FILTER('2027 Avoided Costs'!$I$14:$I$47,('2027 Avoided Costs'!$B$14:$B$47&gt;=$B240+1)*('2027 Avoided Costs'!$B$14:$B$47&lt;$B240+ROUND($O240,0)))))+_xlfn.XLOOKUP($B240,'2027 Avoided Costs'!$B$13:$B$47,'2027 Avoided Costs'!$I$13:$I$47))*IF($X240="Residential",'2027 Avoided Costs'!$J$5,IF($X240="Large Volume",'2027 Avoided Costs'!$J$7,'2027 Avoided Costs'!$J$6))*IF($AE240&lt;0,$AE240*(-1),0),0)</f>
        <v>0</v>
      </c>
      <c r="BF240" s="291">
        <f t="shared" si="84"/>
        <v>4338743.5481625469</v>
      </c>
      <c r="BG240" s="291">
        <f t="shared" si="85"/>
        <v>2456400</v>
      </c>
      <c r="BH240" s="291">
        <f t="shared" si="86"/>
        <v>1882343.5481625469</v>
      </c>
      <c r="BI240" s="292">
        <f t="shared" si="110"/>
        <v>1.7663017212842156</v>
      </c>
      <c r="BJ240" s="196" cm="1">
        <f t="array" ref="BJ240">IFERROR(IF($J240="Baseload",IF($O240=1,0,NPV('2027 Avoided Costs'!$D$6,_xlfn._xlws.FILTER('2027 Avoided Costs'!$C$14:$C$47,('2027 Avoided Costs'!$B$14:$B$47&gt;=$B240+1)*('2027 Avoided Costs'!$B$14:$B$47&lt;$B240+ROUND($O240,0)))))+_xlfn.XLOOKUP($B240,'2027 Avoided Costs'!$B$13:$B$47,'2027 Avoided Costs'!$C$13:$C$47),IF($O240=1,0,NPV('2027 Avoided Costs'!$D$6,_xlfn._xlws.FILTER('2027 Avoided Costs'!$E$14:$E$47,('2027 Avoided Costs'!$B$14:$B$47&gt;=$B240+1)*('2027 Avoided Costs'!$B$14:$B$47&lt;$B240+ROUND($O240,0)))))+_xlfn.XLOOKUP($B240,'2027 Avoided Costs'!$B$13:$B$47,'2027 Avoided Costs'!$E$13:$E$47))*IF($AE240&gt;0,$AE240*(1+0),0),0)</f>
        <v>3076299.7501704767</v>
      </c>
      <c r="BK240" s="293">
        <f t="shared" si="108"/>
        <v>1.3076501657781345</v>
      </c>
    </row>
    <row r="241" spans="1:63" s="56" customFormat="1" x14ac:dyDescent="0.25">
      <c r="A241" s="270" t="s">
        <v>133</v>
      </c>
      <c r="B241" s="271">
        <v>2029</v>
      </c>
      <c r="C241" s="272" t="s">
        <v>11</v>
      </c>
      <c r="D241" s="272" t="s">
        <v>130</v>
      </c>
      <c r="E241" s="272" t="s">
        <v>299</v>
      </c>
      <c r="F241" s="273">
        <v>15000</v>
      </c>
      <c r="G241" s="274">
        <v>1055</v>
      </c>
      <c r="H241" s="275">
        <f t="shared" si="88"/>
        <v>3.8224637681159419</v>
      </c>
      <c r="I241" s="274">
        <v>7.5</v>
      </c>
      <c r="J241" s="276" t="s">
        <v>264</v>
      </c>
      <c r="K241" s="277">
        <f t="shared" si="87"/>
        <v>0.89</v>
      </c>
      <c r="L241" s="278">
        <v>0.11</v>
      </c>
      <c r="M241" s="278">
        <v>0</v>
      </c>
      <c r="N241" s="278">
        <v>1</v>
      </c>
      <c r="O241" s="279">
        <v>30</v>
      </c>
      <c r="P241" s="280">
        <v>276</v>
      </c>
      <c r="Q241" s="281">
        <v>70.2</v>
      </c>
      <c r="R241" s="282">
        <v>4.476029697910873E-2</v>
      </c>
      <c r="S241" s="282">
        <v>4.2152054794519144E-3</v>
      </c>
      <c r="T241" s="281">
        <v>0</v>
      </c>
      <c r="U241" s="283">
        <v>0</v>
      </c>
      <c r="V241" s="284">
        <v>1840</v>
      </c>
      <c r="W241" s="285">
        <v>0.15</v>
      </c>
      <c r="X241" s="286" t="s">
        <v>11</v>
      </c>
      <c r="Y241" s="287">
        <f t="shared" si="89"/>
        <v>15000</v>
      </c>
      <c r="Z241" s="288">
        <f t="shared" si="90"/>
        <v>15825000</v>
      </c>
      <c r="AA241" s="288">
        <f t="shared" si="91"/>
        <v>112500</v>
      </c>
      <c r="AB241" s="288">
        <f t="shared" si="92"/>
        <v>16464330</v>
      </c>
      <c r="AC241" s="288">
        <f t="shared" si="109"/>
        <v>116403.28200000002</v>
      </c>
      <c r="AD241" s="287">
        <f t="shared" si="93"/>
        <v>4140000</v>
      </c>
      <c r="AE241" s="287">
        <f t="shared" si="94"/>
        <v>3684600</v>
      </c>
      <c r="AF241" s="287">
        <f t="shared" si="95"/>
        <v>124200000</v>
      </c>
      <c r="AG241" s="287">
        <f t="shared" si="96"/>
        <v>110538000</v>
      </c>
      <c r="AH241" s="287">
        <f t="shared" si="97"/>
        <v>1128816</v>
      </c>
      <c r="AI241" s="287">
        <f t="shared" si="98"/>
        <v>1004646.2400000001</v>
      </c>
      <c r="AJ241" s="287">
        <f t="shared" si="99"/>
        <v>0</v>
      </c>
      <c r="AK241" s="287">
        <f t="shared" si="100"/>
        <v>0</v>
      </c>
      <c r="AL241" s="287">
        <f t="shared" si="101"/>
        <v>719.74557542406842</v>
      </c>
      <c r="AM241" s="287">
        <f t="shared" si="102"/>
        <v>640.57356212742081</v>
      </c>
      <c r="AN241" s="287">
        <f t="shared" si="103"/>
        <v>67.780504109586786</v>
      </c>
      <c r="AO241" s="287">
        <f t="shared" si="104"/>
        <v>60.324648657532244</v>
      </c>
      <c r="AP241" s="287">
        <f t="shared" si="105"/>
        <v>27600000</v>
      </c>
      <c r="AQ241" s="287">
        <f t="shared" si="106"/>
        <v>24564000</v>
      </c>
      <c r="AR241" s="287">
        <f t="shared" si="107"/>
        <v>0</v>
      </c>
      <c r="AS241" s="289" t="e">
        <f>IF(J241='2027 Avoided Costs'!#REF!,3,5)</f>
        <v>#REF!</v>
      </c>
      <c r="AT241" s="290" cm="1">
        <f t="array" ref="AT241">IFERROR(IF($J241="Baseload",IF($O241=1,0,NPV('2027 Avoided Costs'!$D$6,_xlfn._xlws.FILTER('2027 Avoided Costs'!$C$14:$C$47,('2027 Avoided Costs'!$B$14:$B$47&gt;=$B241+1)*('2027 Avoided Costs'!$B$14:$B$47&lt;$B241+ROUND($O241,0)))))+_xlfn.XLOOKUP($B241,'2027 Avoided Costs'!$B$13:$B$47,'2027 Avoided Costs'!$C$13:$C$47),IF($O241=1,0,NPV('2027 Avoided Costs'!$D$6,_xlfn._xlws.FILTER('2027 Avoided Costs'!$E$14:$E$47,('2027 Avoided Costs'!$B$14:$B$47&gt;=$B241+1)*('2027 Avoided Costs'!$B$14:$B$47&lt;$B241+ROUND($O241,0)))))+_xlfn.XLOOKUP($B241,'2027 Avoided Costs'!$B$13:$B$47,'2027 Avoided Costs'!$E$13:$E$47))*IF($AE241&gt;0,$AE241*(1+$W241),0),0)</f>
        <v>26037801.085442912</v>
      </c>
      <c r="AU241" s="290" cm="1">
        <f t="array" ref="AU241">IFERROR((IF($O241=1,0,NPV('2027 Avoided Costs'!$D$6,_xlfn._xlws.FILTER('2027 Avoided Costs'!$M$14:$M$47,('2027 Avoided Costs'!$B$14:$B$47&gt;=$B241+1)*('2027 Avoided Costs'!$B$14:$B$47&lt;$B241+ROUND($O241,0)))))+_xlfn.XLOOKUP($B241,'2027 Avoided Costs'!$B$13:$B$47,'2027 Avoided Costs'!$M$13:$M$47))*IF($AK241&gt;0,$AK241*(1+$W241),0),0)</f>
        <v>0</v>
      </c>
      <c r="AV241" s="291" cm="1">
        <f t="array" ref="AV241">IFERROR((IF($O241=1,0,NPV('2027 Avoided Costs'!$D$6,_xlfn._xlws.FILTER('2027 Avoided Costs'!$Q$14:$Q$47,('2027 Avoided Costs'!$B$14:$B$47&gt;=$B241+1)*('2027 Avoided Costs'!$B$14:$B$47&lt;$B241+ROUND($O241,0)))))+_xlfn.XLOOKUP($B241,'2027 Avoided Costs'!$B$13:$B$47,'2027 Avoided Costs'!$Q$13:$Q$47))*IF($AI241&gt;0,$AI241*(1+$W241),0),0)</f>
        <v>883444.83494520548</v>
      </c>
      <c r="AW241" s="291" cm="1">
        <f t="array" ref="AW241">IFERROR((IF($O241=1,0,NPV('2027 Avoided Costs'!$D$6,_xlfn._xlws.FILTER('2027 Avoided Costs'!$W$14:$W$47,('2027 Avoided Costs'!$B$14:$B$47&gt;=$B241+1)*('2027 Avoided Costs'!$B$14:$B$47&lt;$B241+ROUND($O241,0)))))+_xlfn.XLOOKUP($B241,'2027 Avoided Costs'!$B$13:$B$47,'2027 Avoided Costs'!$W$13:$W$47))*IF($AM241&gt;0,$AM241*(1+$W241),0),0)</f>
        <v>4625101.0135403806</v>
      </c>
      <c r="AX241" s="291" cm="1">
        <f t="array" ref="AX241">IFERROR((IF($O241=1,0,NPV('2027 Avoided Costs'!$D$6,_xlfn._xlws.FILTER('2027 Avoided Costs'!$AC$14:$AC$47,('2027 Avoided Costs'!$B$14:$B$47&gt;=$B241+1)*('2027 Avoided Costs'!$B$14:$B$47&lt;$B241+ROUND($O241,0)))))+_xlfn.XLOOKUP($B241,'2027 Avoided Costs'!$B$13:$B$47,'2027 Avoided Costs'!$AC$13:$AC$47))*IF($AO241&gt;0,$AO241*(1+$W241),0),0)</f>
        <v>47789.946944080351</v>
      </c>
      <c r="AY241" s="291" cm="1">
        <f t="array" ref="AY241">IFERROR((IF($O241=1,0,NPV('2027 Avoided Costs'!$D$4,_xlfn._xlws.FILTER('2027 Avoided Costs'!$I$14:$I$47,('2027 Avoided Costs'!$B$14:$B$47&gt;=$B241+1)*('2027 Avoided Costs'!$B$14:$B$47&lt;$B241+ROUND($O241,0)))))+_xlfn.XLOOKUP($B241,'2027 Avoided Costs'!$B$13:$B$47,'2027 Avoided Costs'!$I$13:$I$47))*IF($X241="Residential",'2027 Avoided Costs'!$J$5,IF($X241="Large Volume",'2027 Avoided Costs'!$J$7,'2027 Avoided Costs'!$J$6))*IF($AE241&gt;0,$AE241,0),0)</f>
        <v>0</v>
      </c>
      <c r="AZ241" s="291" cm="1">
        <f t="array" ref="AZ241">IFERROR(IF($J241="Baseload",IF($O241=1,0,NPV('2027 Avoided Costs'!$D$6,_xlfn._xlws.FILTER('2027 Avoided Costs'!$C$14:$C$47,('2027 Avoided Costs'!$B$14:$B$47&gt;=$B241+1)*('2027 Avoided Costs'!$B$14:$B$47&lt;$B241+ROUND($O241,0)))))+_xlfn.XLOOKUP($B241,'2027 Avoided Costs'!$B$13:$B$47,'2027 Avoided Costs'!$C$13:$C$47),IF($O241=1,0,NPV('2027 Avoided Costs'!$D$6,_xlfn._xlws.FILTER('2027 Avoided Costs'!$E$14:$E$47,('2027 Avoided Costs'!$B$14:$B$47&gt;=$B241+1)*('2027 Avoided Costs'!$B$14:$B$47&lt;$B241+ROUND($O241,0)))))+_xlfn.XLOOKUP($B241,'2027 Avoided Costs'!$B$13:$B$47,'2027 Avoided Costs'!$E$13:$E$47))*IF($AE241&lt;0,$AE241*(-1),0),0)</f>
        <v>0</v>
      </c>
      <c r="BA241" s="291" cm="1">
        <f t="array" ref="BA241">IFERROR((IF($O241=1,0,NPV('2027 Avoided Costs'!$D$6,_xlfn._xlws.FILTER('2027 Avoided Costs'!$M$14:$M$47,('2027 Avoided Costs'!$B$14:$B$47&gt;=$B241+1)*('2027 Avoided Costs'!$B$14:$B$47&lt;$B241+ROUND($O241,0)))))+_xlfn.XLOOKUP($B241,'2027 Avoided Costs'!$B$13:$B$47,'2027 Avoided Costs'!$M$13:$M$47))*IF($AK241&lt;0,$AK241*(-1),0),0)</f>
        <v>0</v>
      </c>
      <c r="BB241" s="291" cm="1">
        <f t="array" ref="BB241">IFERROR((IF($O241=1,0,NPV('2027 Avoided Costs'!$D$6,_xlfn._xlws.FILTER('2027 Avoided Costs'!$S$14:$S$47,('2027 Avoided Costs'!$B$14:$B$47&gt;=$B241+1)*('2027 Avoided Costs'!$B$14:$B$47&lt;$B241+ROUND($O241,0)))))+_xlfn.XLOOKUP($B241,'2027 Avoided Costs'!$B$13:$B$47,'2027 Avoided Costs'!$S$13:$S$47))*IF($AI241&lt;0,$AI241*(-1),0),0)</f>
        <v>0</v>
      </c>
      <c r="BC241" s="291" cm="1">
        <f t="array" ref="BC241">IFERROR((IF($O241=1,0,NPV('2027 Avoided Costs'!$D$6,_xlfn._xlws.FILTER('2027 Avoided Costs'!$Y$14:$Y$47,('2027 Avoided Costs'!$B$14:$B$47&gt;=$B241+1)*('2027 Avoided Costs'!$B$14:$B$47&lt;$B241+ROUND($O241,0)))))+_xlfn.XLOOKUP($B241,'2027 Avoided Costs'!$B$13:$B$47,'2027 Avoided Costs'!$Y$13:$Y$47))*IF($AM241&lt;0,$AM241*(-1),0),0)</f>
        <v>0</v>
      </c>
      <c r="BD241" s="291" cm="1">
        <f t="array" ref="BD241">IFERROR((IF($O241=1,0,NPV('2027 Avoided Costs'!$D$6,_xlfn._xlws.FILTER('2027 Avoided Costs'!$AE$14:$AE$47,('2027 Avoided Costs'!$B$14:$B$47&gt;=$B241+1)*('2027 Avoided Costs'!$B$14:$B$47&lt;$B241+ROUND($O241,0)))))+_xlfn.XLOOKUP($B241,'2027 Avoided Costs'!$B$13:$B$47,'2027 Avoided Costs'!$AE$13:$AE$47))*IF($AO241&lt;0,$AO241*(-1),0),0)</f>
        <v>0</v>
      </c>
      <c r="BE241" s="291" cm="1">
        <f t="array" ref="BE241">IFERROR((IF($O241=1,0,NPV('2027 Avoided Costs'!$D$4,_xlfn._xlws.FILTER('2027 Avoided Costs'!$I$14:$I$47,('2027 Avoided Costs'!$B$14:$B$47&gt;=$B241+1)*('2027 Avoided Costs'!$B$14:$B$47&lt;$B241+ROUND($O241,0)))))+_xlfn.XLOOKUP($B241,'2027 Avoided Costs'!$B$13:$B$47,'2027 Avoided Costs'!$I$13:$I$47))*IF($X241="Residential",'2027 Avoided Costs'!$J$5,IF($X241="Large Volume",'2027 Avoided Costs'!$J$7,'2027 Avoided Costs'!$J$6))*IF($AE241&lt;0,$AE241*(-1),0),0)</f>
        <v>0</v>
      </c>
      <c r="BF241" s="291">
        <f t="shared" si="84"/>
        <v>31594136.880872577</v>
      </c>
      <c r="BG241" s="291">
        <f t="shared" si="85"/>
        <v>24564000</v>
      </c>
      <c r="BH241" s="291">
        <f t="shared" si="86"/>
        <v>7030136.8808725774</v>
      </c>
      <c r="BI241" s="292">
        <f t="shared" si="110"/>
        <v>1.2861967464937543</v>
      </c>
      <c r="BJ241" s="196" cm="1">
        <f t="array" ref="BJ241">IFERROR(IF($J241="Baseload",IF($O241=1,0,NPV('2027 Avoided Costs'!$D$6,_xlfn._xlws.FILTER('2027 Avoided Costs'!$C$14:$C$47,('2027 Avoided Costs'!$B$14:$B$47&gt;=$B241+1)*('2027 Avoided Costs'!$B$14:$B$47&lt;$B241+ROUND($O241,0)))))+_xlfn.XLOOKUP($B241,'2027 Avoided Costs'!$B$13:$B$47,'2027 Avoided Costs'!$C$13:$C$47),IF($O241=1,0,NPV('2027 Avoided Costs'!$D$6,_xlfn._xlws.FILTER('2027 Avoided Costs'!$E$14:$E$47,('2027 Avoided Costs'!$B$14:$B$47&gt;=$B241+1)*('2027 Avoided Costs'!$B$14:$B$47&lt;$B241+ROUND($O241,0)))))+_xlfn.XLOOKUP($B241,'2027 Avoided Costs'!$B$13:$B$47,'2027 Avoided Costs'!$E$13:$E$47))*IF($AE241&gt;0,$AE241*(1+0),0),0)</f>
        <v>22641566.161254708</v>
      </c>
      <c r="BK241" s="293">
        <f t="shared" si="108"/>
        <v>1.3655346706429643</v>
      </c>
    </row>
    <row r="242" spans="1:63" s="56" customFormat="1" x14ac:dyDescent="0.25">
      <c r="A242" s="270" t="s">
        <v>133</v>
      </c>
      <c r="B242" s="271">
        <v>2030</v>
      </c>
      <c r="C242" s="272" t="s">
        <v>11</v>
      </c>
      <c r="D242" s="272" t="s">
        <v>130</v>
      </c>
      <c r="E242" s="272" t="s">
        <v>299</v>
      </c>
      <c r="F242" s="273">
        <v>16000</v>
      </c>
      <c r="G242" s="274">
        <v>1055</v>
      </c>
      <c r="H242" s="275">
        <f t="shared" si="88"/>
        <v>3.8224637681159419</v>
      </c>
      <c r="I242" s="274">
        <v>7.5</v>
      </c>
      <c r="J242" s="276" t="s">
        <v>264</v>
      </c>
      <c r="K242" s="277">
        <f t="shared" si="87"/>
        <v>0.89</v>
      </c>
      <c r="L242" s="278">
        <v>0.11</v>
      </c>
      <c r="M242" s="278">
        <v>0</v>
      </c>
      <c r="N242" s="278">
        <v>1</v>
      </c>
      <c r="O242" s="279">
        <v>30</v>
      </c>
      <c r="P242" s="280">
        <v>276</v>
      </c>
      <c r="Q242" s="281">
        <v>70.2</v>
      </c>
      <c r="R242" s="282">
        <v>4.476029697910873E-2</v>
      </c>
      <c r="S242" s="282">
        <v>4.2152054794519144E-3</v>
      </c>
      <c r="T242" s="281">
        <v>0</v>
      </c>
      <c r="U242" s="283">
        <v>0</v>
      </c>
      <c r="V242" s="284">
        <v>1840</v>
      </c>
      <c r="W242" s="285">
        <v>0.15</v>
      </c>
      <c r="X242" s="286" t="s">
        <v>11</v>
      </c>
      <c r="Y242" s="287">
        <f t="shared" si="89"/>
        <v>16000</v>
      </c>
      <c r="Z242" s="288">
        <f t="shared" si="90"/>
        <v>16880000</v>
      </c>
      <c r="AA242" s="288">
        <f t="shared" si="91"/>
        <v>120000</v>
      </c>
      <c r="AB242" s="288">
        <f t="shared" si="92"/>
        <v>17913191.039999999</v>
      </c>
      <c r="AC242" s="288">
        <f t="shared" si="109"/>
        <v>126299.11301376003</v>
      </c>
      <c r="AD242" s="287">
        <f t="shared" si="93"/>
        <v>4416000</v>
      </c>
      <c r="AE242" s="287">
        <f t="shared" si="94"/>
        <v>3930240</v>
      </c>
      <c r="AF242" s="287">
        <f t="shared" si="95"/>
        <v>132480000</v>
      </c>
      <c r="AG242" s="287">
        <f t="shared" si="96"/>
        <v>117907200</v>
      </c>
      <c r="AH242" s="287">
        <f t="shared" si="97"/>
        <v>1204070.4000000001</v>
      </c>
      <c r="AI242" s="287">
        <f t="shared" si="98"/>
        <v>1071622.656</v>
      </c>
      <c r="AJ242" s="287">
        <f t="shared" si="99"/>
        <v>0</v>
      </c>
      <c r="AK242" s="287">
        <f t="shared" si="100"/>
        <v>0</v>
      </c>
      <c r="AL242" s="287">
        <f t="shared" si="101"/>
        <v>767.72861378567302</v>
      </c>
      <c r="AM242" s="287">
        <f t="shared" si="102"/>
        <v>683.27846626924895</v>
      </c>
      <c r="AN242" s="287">
        <f t="shared" si="103"/>
        <v>72.299204383559243</v>
      </c>
      <c r="AO242" s="287">
        <f t="shared" si="104"/>
        <v>64.346291901367721</v>
      </c>
      <c r="AP242" s="287">
        <f t="shared" si="105"/>
        <v>29440000</v>
      </c>
      <c r="AQ242" s="287">
        <f t="shared" si="106"/>
        <v>26201600</v>
      </c>
      <c r="AR242" s="287">
        <f t="shared" si="107"/>
        <v>0</v>
      </c>
      <c r="AS242" s="289" t="e">
        <f>IF(J242='2027 Avoided Costs'!#REF!,3,5)</f>
        <v>#REF!</v>
      </c>
      <c r="AT242" s="290" cm="1">
        <f t="array" ref="AT242">IFERROR(IF($J242="Baseload",IF($O242=1,0,NPV('2027 Avoided Costs'!$D$6,_xlfn._xlws.FILTER('2027 Avoided Costs'!$C$14:$C$47,('2027 Avoided Costs'!$B$14:$B$47&gt;=$B242+1)*('2027 Avoided Costs'!$B$14:$B$47&lt;$B242+ROUND($O242,0)))))+_xlfn.XLOOKUP($B242,'2027 Avoided Costs'!$B$13:$B$47,'2027 Avoided Costs'!$C$13:$C$47),IF($O242=1,0,NPV('2027 Avoided Costs'!$D$6,_xlfn._xlws.FILTER('2027 Avoided Costs'!$E$14:$E$47,('2027 Avoided Costs'!$B$14:$B$47&gt;=$B242+1)*('2027 Avoided Costs'!$B$14:$B$47&lt;$B242+ROUND($O242,0)))))+_xlfn.XLOOKUP($B242,'2027 Avoided Costs'!$B$13:$B$47,'2027 Avoided Costs'!$E$13:$E$47))*IF($AE242&gt;0,$AE242*(1+$W242),0),0)</f>
        <v>28635305.092371415</v>
      </c>
      <c r="AU242" s="290" cm="1">
        <f t="array" ref="AU242">IFERROR((IF($O242=1,0,NPV('2027 Avoided Costs'!$D$6,_xlfn._xlws.FILTER('2027 Avoided Costs'!$M$14:$M$47,('2027 Avoided Costs'!$B$14:$B$47&gt;=$B242+1)*('2027 Avoided Costs'!$B$14:$B$47&lt;$B242+ROUND($O242,0)))))+_xlfn.XLOOKUP($B242,'2027 Avoided Costs'!$B$13:$B$47,'2027 Avoided Costs'!$M$13:$M$47))*IF($AK242&gt;0,$AK242*(1+$W242),0),0)</f>
        <v>0</v>
      </c>
      <c r="AV242" s="291" cm="1">
        <f t="array" ref="AV242">IFERROR((IF($O242=1,0,NPV('2027 Avoided Costs'!$D$6,_xlfn._xlws.FILTER('2027 Avoided Costs'!$Q$14:$Q$47,('2027 Avoided Costs'!$B$14:$B$47&gt;=$B242+1)*('2027 Avoided Costs'!$B$14:$B$47&lt;$B242+ROUND($O242,0)))))+_xlfn.XLOOKUP($B242,'2027 Avoided Costs'!$B$13:$B$47,'2027 Avoided Costs'!$Q$13:$Q$47))*IF($AI242&gt;0,$AI242*(1+$W242),0),0)</f>
        <v>914688.7972552916</v>
      </c>
      <c r="AW242" s="291" cm="1">
        <f t="array" ref="AW242">IFERROR((IF($O242=1,0,NPV('2027 Avoided Costs'!$D$6,_xlfn._xlws.FILTER('2027 Avoided Costs'!$W$14:$W$47,('2027 Avoided Costs'!$B$14:$B$47&gt;=$B242+1)*('2027 Avoided Costs'!$B$14:$B$47&lt;$B242+ROUND($O242,0)))))+_xlfn.XLOOKUP($B242,'2027 Avoided Costs'!$B$13:$B$47,'2027 Avoided Costs'!$W$13:$W$47))*IF($AM242&gt;0,$AM242*(1+$W242),0),0)</f>
        <v>5138563.0922282143</v>
      </c>
      <c r="AX242" s="291" cm="1">
        <f t="array" ref="AX242">IFERROR((IF($O242=1,0,NPV('2027 Avoided Costs'!$D$6,_xlfn._xlws.FILTER('2027 Avoided Costs'!$AC$14:$AC$47,('2027 Avoided Costs'!$B$14:$B$47&gt;=$B242+1)*('2027 Avoided Costs'!$B$14:$B$47&lt;$B242+ROUND($O242,0)))))+_xlfn.XLOOKUP($B242,'2027 Avoided Costs'!$B$13:$B$47,'2027 Avoided Costs'!$AC$13:$AC$47))*IF($AO242&gt;0,$AO242*(1+$W242),0),0)</f>
        <v>54075.280766165793</v>
      </c>
      <c r="AY242" s="291" cm="1">
        <f t="array" ref="AY242">IFERROR((IF($O242=1,0,NPV('2027 Avoided Costs'!$D$4,_xlfn._xlws.FILTER('2027 Avoided Costs'!$I$14:$I$47,('2027 Avoided Costs'!$B$14:$B$47&gt;=$B242+1)*('2027 Avoided Costs'!$B$14:$B$47&lt;$B242+ROUND($O242,0)))))+_xlfn.XLOOKUP($B242,'2027 Avoided Costs'!$B$13:$B$47,'2027 Avoided Costs'!$I$13:$I$47))*IF($X242="Residential",'2027 Avoided Costs'!$J$5,IF($X242="Large Volume",'2027 Avoided Costs'!$J$7,'2027 Avoided Costs'!$J$6))*IF($AE242&gt;0,$AE242,0),0)</f>
        <v>0</v>
      </c>
      <c r="AZ242" s="291" cm="1">
        <f t="array" ref="AZ242">IFERROR(IF($J242="Baseload",IF($O242=1,0,NPV('2027 Avoided Costs'!$D$6,_xlfn._xlws.FILTER('2027 Avoided Costs'!$C$14:$C$47,('2027 Avoided Costs'!$B$14:$B$47&gt;=$B242+1)*('2027 Avoided Costs'!$B$14:$B$47&lt;$B242+ROUND($O242,0)))))+_xlfn.XLOOKUP($B242,'2027 Avoided Costs'!$B$13:$B$47,'2027 Avoided Costs'!$C$13:$C$47),IF($O242=1,0,NPV('2027 Avoided Costs'!$D$6,_xlfn._xlws.FILTER('2027 Avoided Costs'!$E$14:$E$47,('2027 Avoided Costs'!$B$14:$B$47&gt;=$B242+1)*('2027 Avoided Costs'!$B$14:$B$47&lt;$B242+ROUND($O242,0)))))+_xlfn.XLOOKUP($B242,'2027 Avoided Costs'!$B$13:$B$47,'2027 Avoided Costs'!$E$13:$E$47))*IF($AE242&lt;0,$AE242*(-1),0),0)</f>
        <v>0</v>
      </c>
      <c r="BA242" s="291" cm="1">
        <f t="array" ref="BA242">IFERROR((IF($O242=1,0,NPV('2027 Avoided Costs'!$D$6,_xlfn._xlws.FILTER('2027 Avoided Costs'!$M$14:$M$47,('2027 Avoided Costs'!$B$14:$B$47&gt;=$B242+1)*('2027 Avoided Costs'!$B$14:$B$47&lt;$B242+ROUND($O242,0)))))+_xlfn.XLOOKUP($B242,'2027 Avoided Costs'!$B$13:$B$47,'2027 Avoided Costs'!$M$13:$M$47))*IF($AK242&lt;0,$AK242*(-1),0),0)</f>
        <v>0</v>
      </c>
      <c r="BB242" s="291" cm="1">
        <f t="array" ref="BB242">IFERROR((IF($O242=1,0,NPV('2027 Avoided Costs'!$D$6,_xlfn._xlws.FILTER('2027 Avoided Costs'!$S$14:$S$47,('2027 Avoided Costs'!$B$14:$B$47&gt;=$B242+1)*('2027 Avoided Costs'!$B$14:$B$47&lt;$B242+ROUND($O242,0)))))+_xlfn.XLOOKUP($B242,'2027 Avoided Costs'!$B$13:$B$47,'2027 Avoided Costs'!$S$13:$S$47))*IF($AI242&lt;0,$AI242*(-1),0),0)</f>
        <v>0</v>
      </c>
      <c r="BC242" s="291" cm="1">
        <f t="array" ref="BC242">IFERROR((IF($O242=1,0,NPV('2027 Avoided Costs'!$D$6,_xlfn._xlws.FILTER('2027 Avoided Costs'!$Y$14:$Y$47,('2027 Avoided Costs'!$B$14:$B$47&gt;=$B242+1)*('2027 Avoided Costs'!$B$14:$B$47&lt;$B242+ROUND($O242,0)))))+_xlfn.XLOOKUP($B242,'2027 Avoided Costs'!$B$13:$B$47,'2027 Avoided Costs'!$Y$13:$Y$47))*IF($AM242&lt;0,$AM242*(-1),0),0)</f>
        <v>0</v>
      </c>
      <c r="BD242" s="291" cm="1">
        <f t="array" ref="BD242">IFERROR((IF($O242=1,0,NPV('2027 Avoided Costs'!$D$6,_xlfn._xlws.FILTER('2027 Avoided Costs'!$AE$14:$AE$47,('2027 Avoided Costs'!$B$14:$B$47&gt;=$B242+1)*('2027 Avoided Costs'!$B$14:$B$47&lt;$B242+ROUND($O242,0)))))+_xlfn.XLOOKUP($B242,'2027 Avoided Costs'!$B$13:$B$47,'2027 Avoided Costs'!$AE$13:$AE$47))*IF($AO242&lt;0,$AO242*(-1),0),0)</f>
        <v>0</v>
      </c>
      <c r="BE242" s="291" cm="1">
        <f t="array" ref="BE242">IFERROR((IF($O242=1,0,NPV('2027 Avoided Costs'!$D$4,_xlfn._xlws.FILTER('2027 Avoided Costs'!$I$14:$I$47,('2027 Avoided Costs'!$B$14:$B$47&gt;=$B242+1)*('2027 Avoided Costs'!$B$14:$B$47&lt;$B242+ROUND($O242,0)))))+_xlfn.XLOOKUP($B242,'2027 Avoided Costs'!$B$13:$B$47,'2027 Avoided Costs'!$I$13:$I$47))*IF($X242="Residential",'2027 Avoided Costs'!$J$5,IF($X242="Large Volume",'2027 Avoided Costs'!$J$7,'2027 Avoided Costs'!$J$6))*IF($AE242&lt;0,$AE242*(-1),0),0)</f>
        <v>0</v>
      </c>
      <c r="BF242" s="291">
        <f t="shared" si="84"/>
        <v>34742632.26262109</v>
      </c>
      <c r="BG242" s="291">
        <f t="shared" si="85"/>
        <v>26201600</v>
      </c>
      <c r="BH242" s="291">
        <f t="shared" si="86"/>
        <v>8541032.2626210898</v>
      </c>
      <c r="BI242" s="292">
        <f t="shared" si="110"/>
        <v>1.325973691019674</v>
      </c>
      <c r="BJ242" s="196" cm="1">
        <f t="array" ref="BJ242">IFERROR(IF($J242="Baseload",IF($O242=1,0,NPV('2027 Avoided Costs'!$D$6,_xlfn._xlws.FILTER('2027 Avoided Costs'!$C$14:$C$47,('2027 Avoided Costs'!$B$14:$B$47&gt;=$B242+1)*('2027 Avoided Costs'!$B$14:$B$47&lt;$B242+ROUND($O242,0)))))+_xlfn.XLOOKUP($B242,'2027 Avoided Costs'!$B$13:$B$47,'2027 Avoided Costs'!$C$13:$C$47),IF($O242=1,0,NPV('2027 Avoided Costs'!$D$6,_xlfn._xlws.FILTER('2027 Avoided Costs'!$E$14:$E$47,('2027 Avoided Costs'!$B$14:$B$47&gt;=$B242+1)*('2027 Avoided Costs'!$B$14:$B$47&lt;$B242+ROUND($O242,0)))))+_xlfn.XLOOKUP($B242,'2027 Avoided Costs'!$B$13:$B$47,'2027 Avoided Costs'!$E$13:$E$47))*IF($AE242&gt;0,$AE242*(1+0),0),0)</f>
        <v>24900265.297714274</v>
      </c>
      <c r="BK242" s="293">
        <f t="shared" si="108"/>
        <v>1.3803197921064485</v>
      </c>
    </row>
    <row r="243" spans="1:63" s="56" customFormat="1" x14ac:dyDescent="0.25">
      <c r="A243" s="270" t="s">
        <v>133</v>
      </c>
      <c r="B243" s="271">
        <v>2030</v>
      </c>
      <c r="C243" s="272" t="s">
        <v>11</v>
      </c>
      <c r="D243" s="272" t="s">
        <v>130</v>
      </c>
      <c r="E243" s="272" t="s">
        <v>275</v>
      </c>
      <c r="F243" s="273">
        <v>1500</v>
      </c>
      <c r="G243" s="274">
        <v>1500</v>
      </c>
      <c r="H243" s="275">
        <f t="shared" si="88"/>
        <v>4</v>
      </c>
      <c r="I243" s="274">
        <v>7.5</v>
      </c>
      <c r="J243" s="276" t="s">
        <v>264</v>
      </c>
      <c r="K243" s="277">
        <f t="shared" si="87"/>
        <v>0.89</v>
      </c>
      <c r="L243" s="278">
        <v>0.11</v>
      </c>
      <c r="M243" s="278">
        <v>0</v>
      </c>
      <c r="N243" s="278">
        <v>1</v>
      </c>
      <c r="O243" s="279">
        <v>30</v>
      </c>
      <c r="P243" s="280">
        <v>375</v>
      </c>
      <c r="Q243" s="281">
        <v>101.2</v>
      </c>
      <c r="R243" s="282">
        <v>6.4526240089541359E-2</v>
      </c>
      <c r="S243" s="282">
        <v>6.0766210045660081E-3</v>
      </c>
      <c r="T243" s="281">
        <v>0</v>
      </c>
      <c r="U243" s="283">
        <v>0</v>
      </c>
      <c r="V243" s="284">
        <v>1840</v>
      </c>
      <c r="W243" s="285">
        <v>0.15</v>
      </c>
      <c r="X243" s="286" t="s">
        <v>11</v>
      </c>
      <c r="Y243" s="287">
        <f t="shared" si="89"/>
        <v>1500</v>
      </c>
      <c r="Z243" s="288">
        <f t="shared" si="90"/>
        <v>2250000</v>
      </c>
      <c r="AA243" s="288">
        <f t="shared" si="91"/>
        <v>11250</v>
      </c>
      <c r="AB243" s="288">
        <f t="shared" si="92"/>
        <v>2387718</v>
      </c>
      <c r="AC243" s="288">
        <f t="shared" si="109"/>
        <v>11840.541845040003</v>
      </c>
      <c r="AD243" s="287">
        <f t="shared" si="93"/>
        <v>562500</v>
      </c>
      <c r="AE243" s="287">
        <f t="shared" si="94"/>
        <v>500625</v>
      </c>
      <c r="AF243" s="287">
        <f t="shared" si="95"/>
        <v>16875000</v>
      </c>
      <c r="AG243" s="287">
        <f t="shared" si="96"/>
        <v>15018750</v>
      </c>
      <c r="AH243" s="287">
        <f t="shared" si="97"/>
        <v>162729.60000000001</v>
      </c>
      <c r="AI243" s="287">
        <f t="shared" si="98"/>
        <v>144829.34400000001</v>
      </c>
      <c r="AJ243" s="287">
        <f t="shared" si="99"/>
        <v>0</v>
      </c>
      <c r="AK243" s="287">
        <f t="shared" si="100"/>
        <v>0</v>
      </c>
      <c r="AL243" s="287">
        <f t="shared" si="101"/>
        <v>103.7581940639825</v>
      </c>
      <c r="AM243" s="287">
        <f t="shared" si="102"/>
        <v>92.34479271694444</v>
      </c>
      <c r="AN243" s="287">
        <f t="shared" si="103"/>
        <v>9.7712065753421431</v>
      </c>
      <c r="AO243" s="287">
        <f t="shared" si="104"/>
        <v>8.6963738520545064</v>
      </c>
      <c r="AP243" s="287">
        <f t="shared" si="105"/>
        <v>2760000</v>
      </c>
      <c r="AQ243" s="287">
        <f t="shared" si="106"/>
        <v>2456400</v>
      </c>
      <c r="AR243" s="287">
        <f t="shared" si="107"/>
        <v>0</v>
      </c>
      <c r="AS243" s="289" t="e">
        <f>IF(J243='2027 Avoided Costs'!#REF!,3,5)</f>
        <v>#REF!</v>
      </c>
      <c r="AT243" s="290" cm="1">
        <f t="array" ref="AT243">IFERROR(IF($J243="Baseload",IF($O243=1,0,NPV('2027 Avoided Costs'!$D$6,_xlfn._xlws.FILTER('2027 Avoided Costs'!$C$14:$C$47,('2027 Avoided Costs'!$B$14:$B$47&gt;=$B243+1)*('2027 Avoided Costs'!$B$14:$B$47&lt;$B243+ROUND($O243,0)))))+_xlfn.XLOOKUP($B243,'2027 Avoided Costs'!$B$13:$B$47,'2027 Avoided Costs'!$C$13:$C$47),IF($O243=1,0,NPV('2027 Avoided Costs'!$D$6,_xlfn._xlws.FILTER('2027 Avoided Costs'!$E$14:$E$47,('2027 Avoided Costs'!$B$14:$B$47&gt;=$B243+1)*('2027 Avoided Costs'!$B$14:$B$47&lt;$B243+ROUND($O243,0)))))+_xlfn.XLOOKUP($B243,'2027 Avoided Costs'!$B$13:$B$47,'2027 Avoided Costs'!$E$13:$E$47))*IF($AE243&gt;0,$AE243*(1+$W243),0),0)</f>
        <v>3647499.7994698645</v>
      </c>
      <c r="AU243" s="290" cm="1">
        <f t="array" ref="AU243">IFERROR((IF($O243=1,0,NPV('2027 Avoided Costs'!$D$6,_xlfn._xlws.FILTER('2027 Avoided Costs'!$M$14:$M$47,('2027 Avoided Costs'!$B$14:$B$47&gt;=$B243+1)*('2027 Avoided Costs'!$B$14:$B$47&lt;$B243+ROUND($O243,0)))))+_xlfn.XLOOKUP($B243,'2027 Avoided Costs'!$B$13:$B$47,'2027 Avoided Costs'!$M$13:$M$47))*IF($AK243&gt;0,$AK243*(1+$W243),0),0)</f>
        <v>0</v>
      </c>
      <c r="AV243" s="291" cm="1">
        <f t="array" ref="AV243">IFERROR((IF($O243=1,0,NPV('2027 Avoided Costs'!$D$6,_xlfn._xlws.FILTER('2027 Avoided Costs'!$Q$14:$Q$47,('2027 Avoided Costs'!$B$14:$B$47&gt;=$B243+1)*('2027 Avoided Costs'!$B$14:$B$47&lt;$B243+ROUND($O243,0)))))+_xlfn.XLOOKUP($B243,'2027 Avoided Costs'!$B$13:$B$47,'2027 Avoided Costs'!$Q$13:$Q$47))*IF($AI243&gt;0,$AI243*(1+$W243),0),0)</f>
        <v>123619.80005640427</v>
      </c>
      <c r="AW243" s="291" cm="1">
        <f t="array" ref="AW243">IFERROR((IF($O243=1,0,NPV('2027 Avoided Costs'!$D$6,_xlfn._xlws.FILTER('2027 Avoided Costs'!$W$14:$W$47,('2027 Avoided Costs'!$B$14:$B$47&gt;=$B243+1)*('2027 Avoided Costs'!$B$14:$B$47&lt;$B243+ROUND($O243,0)))))+_xlfn.XLOOKUP($B243,'2027 Avoided Costs'!$B$13:$B$47,'2027 Avoided Costs'!$W$13:$W$47))*IF($AM243&gt;0,$AM243*(1+$W243),0),0)</f>
        <v>694474.60594750964</v>
      </c>
      <c r="AX243" s="291" cm="1">
        <f t="array" ref="AX243">IFERROR((IF($O243=1,0,NPV('2027 Avoided Costs'!$D$6,_xlfn._xlws.FILTER('2027 Avoided Costs'!$AC$14:$AC$47,('2027 Avoided Costs'!$B$14:$B$47&gt;=$B243+1)*('2027 Avoided Costs'!$B$14:$B$47&lt;$B243+ROUND($O243,0)))))+_xlfn.XLOOKUP($B243,'2027 Avoided Costs'!$B$13:$B$47,'2027 Avoided Costs'!$AC$13:$AC$47))*IF($AO243&gt;0,$AO243*(1+$W243),0),0)</f>
        <v>7308.251086452965</v>
      </c>
      <c r="AY243" s="291" cm="1">
        <f t="array" ref="AY243">IFERROR((IF($O243=1,0,NPV('2027 Avoided Costs'!$D$4,_xlfn._xlws.FILTER('2027 Avoided Costs'!$I$14:$I$47,('2027 Avoided Costs'!$B$14:$B$47&gt;=$B243+1)*('2027 Avoided Costs'!$B$14:$B$47&lt;$B243+ROUND($O243,0)))))+_xlfn.XLOOKUP($B243,'2027 Avoided Costs'!$B$13:$B$47,'2027 Avoided Costs'!$I$13:$I$47))*IF($X243="Residential",'2027 Avoided Costs'!$J$5,IF($X243="Large Volume",'2027 Avoided Costs'!$J$7,'2027 Avoided Costs'!$J$6))*IF($AE243&gt;0,$AE243,0),0)</f>
        <v>0</v>
      </c>
      <c r="AZ243" s="291" cm="1">
        <f t="array" ref="AZ243">IFERROR(IF($J243="Baseload",IF($O243=1,0,NPV('2027 Avoided Costs'!$D$6,_xlfn._xlws.FILTER('2027 Avoided Costs'!$C$14:$C$47,('2027 Avoided Costs'!$B$14:$B$47&gt;=$B243+1)*('2027 Avoided Costs'!$B$14:$B$47&lt;$B243+ROUND($O243,0)))))+_xlfn.XLOOKUP($B243,'2027 Avoided Costs'!$B$13:$B$47,'2027 Avoided Costs'!$C$13:$C$47),IF($O243=1,0,NPV('2027 Avoided Costs'!$D$6,_xlfn._xlws.FILTER('2027 Avoided Costs'!$E$14:$E$47,('2027 Avoided Costs'!$B$14:$B$47&gt;=$B243+1)*('2027 Avoided Costs'!$B$14:$B$47&lt;$B243+ROUND($O243,0)))))+_xlfn.XLOOKUP($B243,'2027 Avoided Costs'!$B$13:$B$47,'2027 Avoided Costs'!$E$13:$E$47))*IF($AE243&lt;0,$AE243*(-1),0),0)</f>
        <v>0</v>
      </c>
      <c r="BA243" s="291" cm="1">
        <f t="array" ref="BA243">IFERROR((IF($O243=1,0,NPV('2027 Avoided Costs'!$D$6,_xlfn._xlws.FILTER('2027 Avoided Costs'!$M$14:$M$47,('2027 Avoided Costs'!$B$14:$B$47&gt;=$B243+1)*('2027 Avoided Costs'!$B$14:$B$47&lt;$B243+ROUND($O243,0)))))+_xlfn.XLOOKUP($B243,'2027 Avoided Costs'!$B$13:$B$47,'2027 Avoided Costs'!$M$13:$M$47))*IF($AK243&lt;0,$AK243*(-1),0),0)</f>
        <v>0</v>
      </c>
      <c r="BB243" s="291" cm="1">
        <f t="array" ref="BB243">IFERROR((IF($O243=1,0,NPV('2027 Avoided Costs'!$D$6,_xlfn._xlws.FILTER('2027 Avoided Costs'!$S$14:$S$47,('2027 Avoided Costs'!$B$14:$B$47&gt;=$B243+1)*('2027 Avoided Costs'!$B$14:$B$47&lt;$B243+ROUND($O243,0)))))+_xlfn.XLOOKUP($B243,'2027 Avoided Costs'!$B$13:$B$47,'2027 Avoided Costs'!$S$13:$S$47))*IF($AI243&lt;0,$AI243*(-1),0),0)</f>
        <v>0</v>
      </c>
      <c r="BC243" s="291" cm="1">
        <f t="array" ref="BC243">IFERROR((IF($O243=1,0,NPV('2027 Avoided Costs'!$D$6,_xlfn._xlws.FILTER('2027 Avoided Costs'!$Y$14:$Y$47,('2027 Avoided Costs'!$B$14:$B$47&gt;=$B243+1)*('2027 Avoided Costs'!$B$14:$B$47&lt;$B243+ROUND($O243,0)))))+_xlfn.XLOOKUP($B243,'2027 Avoided Costs'!$B$13:$B$47,'2027 Avoided Costs'!$Y$13:$Y$47))*IF($AM243&lt;0,$AM243*(-1),0),0)</f>
        <v>0</v>
      </c>
      <c r="BD243" s="291" cm="1">
        <f t="array" ref="BD243">IFERROR((IF($O243=1,0,NPV('2027 Avoided Costs'!$D$6,_xlfn._xlws.FILTER('2027 Avoided Costs'!$AE$14:$AE$47,('2027 Avoided Costs'!$B$14:$B$47&gt;=$B243+1)*('2027 Avoided Costs'!$B$14:$B$47&lt;$B243+ROUND($O243,0)))))+_xlfn.XLOOKUP($B243,'2027 Avoided Costs'!$B$13:$B$47,'2027 Avoided Costs'!$AE$13:$AE$47))*IF($AO243&lt;0,$AO243*(-1),0),0)</f>
        <v>0</v>
      </c>
      <c r="BE243" s="291" cm="1">
        <f t="array" ref="BE243">IFERROR((IF($O243=1,0,NPV('2027 Avoided Costs'!$D$4,_xlfn._xlws.FILTER('2027 Avoided Costs'!$I$14:$I$47,('2027 Avoided Costs'!$B$14:$B$47&gt;=$B243+1)*('2027 Avoided Costs'!$B$14:$B$47&lt;$B243+ROUND($O243,0)))))+_xlfn.XLOOKUP($B243,'2027 Avoided Costs'!$B$13:$B$47,'2027 Avoided Costs'!$I$13:$I$47))*IF($X243="Residential",'2027 Avoided Costs'!$J$5,IF($X243="Large Volume",'2027 Avoided Costs'!$J$7,'2027 Avoided Costs'!$J$6))*IF($AE243&lt;0,$AE243*(-1),0),0)</f>
        <v>0</v>
      </c>
      <c r="BF243" s="291">
        <f t="shared" si="84"/>
        <v>4472902.4565602317</v>
      </c>
      <c r="BG243" s="291">
        <f t="shared" si="85"/>
        <v>2456400</v>
      </c>
      <c r="BH243" s="291">
        <f t="shared" si="86"/>
        <v>2016502.4565602317</v>
      </c>
      <c r="BI243" s="292">
        <f t="shared" si="110"/>
        <v>1.8209177888618433</v>
      </c>
      <c r="BJ243" s="196" cm="1">
        <f t="array" ref="BJ243">IFERROR(IF($J243="Baseload",IF($O243=1,0,NPV('2027 Avoided Costs'!$D$6,_xlfn._xlws.FILTER('2027 Avoided Costs'!$C$14:$C$47,('2027 Avoided Costs'!$B$14:$B$47&gt;=$B243+1)*('2027 Avoided Costs'!$B$14:$B$47&lt;$B243+ROUND($O243,0)))))+_xlfn.XLOOKUP($B243,'2027 Avoided Costs'!$B$13:$B$47,'2027 Avoided Costs'!$C$13:$C$47),IF($O243=1,0,NPV('2027 Avoided Costs'!$D$6,_xlfn._xlws.FILTER('2027 Avoided Costs'!$E$14:$E$47,('2027 Avoided Costs'!$B$14:$B$47&gt;=$B243+1)*('2027 Avoided Costs'!$B$14:$B$47&lt;$B243+ROUND($O243,0)))))+_xlfn.XLOOKUP($B243,'2027 Avoided Costs'!$B$13:$B$47,'2027 Avoided Costs'!$E$13:$E$47))*IF($AE243&gt;0,$AE243*(1+0),0),0)</f>
        <v>3171738.9560607513</v>
      </c>
      <c r="BK243" s="293">
        <f t="shared" si="108"/>
        <v>1.321801031627249</v>
      </c>
    </row>
    <row r="244" spans="1:63" s="56" customFormat="1" x14ac:dyDescent="0.25">
      <c r="A244" s="270" t="s">
        <v>133</v>
      </c>
      <c r="B244" s="271">
        <v>2027</v>
      </c>
      <c r="C244" s="272" t="s">
        <v>11</v>
      </c>
      <c r="D244" s="272" t="s">
        <v>333</v>
      </c>
      <c r="E244" s="272" t="s">
        <v>3</v>
      </c>
      <c r="F244" s="273">
        <v>3900</v>
      </c>
      <c r="G244" s="274">
        <v>1250</v>
      </c>
      <c r="H244" s="275">
        <f t="shared" si="88"/>
        <v>1.7385257301808066</v>
      </c>
      <c r="I244" s="274">
        <v>50</v>
      </c>
      <c r="J244" s="276" t="s">
        <v>264</v>
      </c>
      <c r="K244" s="277">
        <f t="shared" si="87"/>
        <v>0.90999999999999992</v>
      </c>
      <c r="L244" s="278">
        <v>0.31</v>
      </c>
      <c r="M244" s="278">
        <v>0.22</v>
      </c>
      <c r="N244" s="278">
        <v>1</v>
      </c>
      <c r="O244" s="279">
        <v>16</v>
      </c>
      <c r="P244" s="280">
        <v>719</v>
      </c>
      <c r="Q244" s="281">
        <v>-2202</v>
      </c>
      <c r="R244" s="282">
        <v>0.30599999999999999</v>
      </c>
      <c r="S244" s="282">
        <v>-1.4910000000000001</v>
      </c>
      <c r="T244" s="281">
        <v>0</v>
      </c>
      <c r="U244" s="283">
        <v>0</v>
      </c>
      <c r="V244" s="284">
        <v>2272</v>
      </c>
      <c r="W244" s="285">
        <v>0.15</v>
      </c>
      <c r="X244" s="286" t="s">
        <v>11</v>
      </c>
      <c r="Y244" s="287">
        <f t="shared" si="89"/>
        <v>3900</v>
      </c>
      <c r="Z244" s="288">
        <f t="shared" si="90"/>
        <v>4875000</v>
      </c>
      <c r="AA244" s="288">
        <f t="shared" si="91"/>
        <v>195000</v>
      </c>
      <c r="AB244" s="288">
        <f t="shared" si="92"/>
        <v>4875000</v>
      </c>
      <c r="AC244" s="288">
        <f t="shared" si="109"/>
        <v>195000</v>
      </c>
      <c r="AD244" s="287">
        <f t="shared" si="93"/>
        <v>2804100</v>
      </c>
      <c r="AE244" s="287">
        <f t="shared" si="94"/>
        <v>2551731</v>
      </c>
      <c r="AF244" s="287">
        <f t="shared" si="95"/>
        <v>44865600</v>
      </c>
      <c r="AG244" s="287">
        <f t="shared" si="96"/>
        <v>40827696</v>
      </c>
      <c r="AH244" s="287">
        <f t="shared" si="97"/>
        <v>-9206121.5999999996</v>
      </c>
      <c r="AI244" s="287">
        <f t="shared" si="98"/>
        <v>-8377570.6560000004</v>
      </c>
      <c r="AJ244" s="287">
        <f t="shared" si="99"/>
        <v>0</v>
      </c>
      <c r="AK244" s="287">
        <f t="shared" si="100"/>
        <v>0</v>
      </c>
      <c r="AL244" s="287">
        <f t="shared" si="101"/>
        <v>1279.3248000000001</v>
      </c>
      <c r="AM244" s="287">
        <f t="shared" si="102"/>
        <v>1164.1855679999999</v>
      </c>
      <c r="AN244" s="287">
        <f t="shared" si="103"/>
        <v>-6233.5728000000008</v>
      </c>
      <c r="AO244" s="287">
        <f t="shared" si="104"/>
        <v>-5672.5512480000007</v>
      </c>
      <c r="AP244" s="287">
        <f t="shared" si="105"/>
        <v>8860800</v>
      </c>
      <c r="AQ244" s="287">
        <f t="shared" si="106"/>
        <v>8063327.9999999991</v>
      </c>
      <c r="AR244" s="287">
        <f t="shared" si="107"/>
        <v>0</v>
      </c>
      <c r="AS244" s="289" t="e">
        <f>IF(J244='2027 Avoided Costs'!#REF!,3,5)</f>
        <v>#REF!</v>
      </c>
      <c r="AT244" s="290" cm="1">
        <f t="array" ref="AT244">IFERROR(IF($J244="Baseload",IF($O244=1,0,NPV('2027 Avoided Costs'!$D$6,_xlfn._xlws.FILTER('2027 Avoided Costs'!$C$14:$C$47,('2027 Avoided Costs'!$B$14:$B$47&gt;=$B244+1)*('2027 Avoided Costs'!$B$14:$B$47&lt;$B244+ROUND($O244,0)))))+_xlfn.XLOOKUP($B244,'2027 Avoided Costs'!$B$13:$B$47,'2027 Avoided Costs'!$C$13:$C$47),IF($O244=1,0,NPV('2027 Avoided Costs'!$D$6,_xlfn._xlws.FILTER('2027 Avoided Costs'!$E$14:$E$47,('2027 Avoided Costs'!$B$14:$B$47&gt;=$B244+1)*('2027 Avoided Costs'!$B$14:$B$47&lt;$B244+ROUND($O244,0)))))+_xlfn.XLOOKUP($B244,'2027 Avoided Costs'!$B$13:$B$47,'2027 Avoided Costs'!$E$13:$E$47))*IF($AE244&gt;0,$AE244*(1+$W244),0),0)</f>
        <v>10588596.975023653</v>
      </c>
      <c r="AU244" s="290" cm="1">
        <f t="array" ref="AU244">IFERROR((IF($O244=1,0,NPV('2027 Avoided Costs'!$D$6,_xlfn._xlws.FILTER('2027 Avoided Costs'!$M$14:$M$47,('2027 Avoided Costs'!$B$14:$B$47&gt;=$B244+1)*('2027 Avoided Costs'!$B$14:$B$47&lt;$B244+ROUND($O244,0)))))+_xlfn.XLOOKUP($B244,'2027 Avoided Costs'!$B$13:$B$47,'2027 Avoided Costs'!$M$13:$M$47))*IF($AK244&gt;0,$AK244*(1+$W244),0),0)</f>
        <v>0</v>
      </c>
      <c r="AV244" s="291" cm="1">
        <f t="array" ref="AV244">IFERROR((IF($O244=1,0,NPV('2027 Avoided Costs'!$D$6,_xlfn._xlws.FILTER('2027 Avoided Costs'!$Q$14:$Q$47,('2027 Avoided Costs'!$B$14:$B$47&gt;=$B244+1)*('2027 Avoided Costs'!$B$14:$B$47&lt;$B244+ROUND($O244,0)))))+_xlfn.XLOOKUP($B244,'2027 Avoided Costs'!$B$13:$B$47,'2027 Avoided Costs'!$Q$13:$Q$47))*IF($AI244&gt;0,$AI244*(1+$W244),0),0)</f>
        <v>0</v>
      </c>
      <c r="AW244" s="291" cm="1">
        <f t="array" ref="AW244">IFERROR((IF($O244=1,0,NPV('2027 Avoided Costs'!$D$6,_xlfn._xlws.FILTER('2027 Avoided Costs'!$W$14:$W$47,('2027 Avoided Costs'!$B$14:$B$47&gt;=$B244+1)*('2027 Avoided Costs'!$B$14:$B$47&lt;$B244+ROUND($O244,0)))))+_xlfn.XLOOKUP($B244,'2027 Avoided Costs'!$B$13:$B$47,'2027 Avoided Costs'!$W$13:$W$47))*IF($AM244&gt;0,$AM244*(1+$W244),0),0)</f>
        <v>4777366.2120637167</v>
      </c>
      <c r="AX244" s="291" cm="1">
        <f t="array" ref="AX244">IFERROR((IF($O244=1,0,NPV('2027 Avoided Costs'!$D$6,_xlfn._xlws.FILTER('2027 Avoided Costs'!$AC$14:$AC$47,('2027 Avoided Costs'!$B$14:$B$47&gt;=$B244+1)*('2027 Avoided Costs'!$B$14:$B$47&lt;$B244+ROUND($O244,0)))))+_xlfn.XLOOKUP($B244,'2027 Avoided Costs'!$B$13:$B$47,'2027 Avoided Costs'!$AC$13:$AC$47))*IF($AO244&gt;0,$AO244*(1+$W244),0),0)</f>
        <v>0</v>
      </c>
      <c r="AY244" s="291" cm="1">
        <f t="array" ref="AY244">IFERROR((IF($O244=1,0,NPV('2027 Avoided Costs'!$D$4,_xlfn._xlws.FILTER('2027 Avoided Costs'!$I$14:$I$47,('2027 Avoided Costs'!$B$14:$B$47&gt;=$B244+1)*('2027 Avoided Costs'!$B$14:$B$47&lt;$B244+ROUND($O244,0)))))+_xlfn.XLOOKUP($B244,'2027 Avoided Costs'!$B$13:$B$47,'2027 Avoided Costs'!$I$13:$I$47))*IF($X244="Residential",'2027 Avoided Costs'!$J$5,IF($X244="Large Volume",'2027 Avoided Costs'!$J$7,'2027 Avoided Costs'!$J$6))*IF($AE244&gt;0,$AE244,0),0)</f>
        <v>0</v>
      </c>
      <c r="AZ244" s="291" cm="1">
        <f t="array" ref="AZ244">IFERROR(IF($J244="Baseload",IF($O244=1,0,NPV('2027 Avoided Costs'!$D$6,_xlfn._xlws.FILTER('2027 Avoided Costs'!$C$14:$C$47,('2027 Avoided Costs'!$B$14:$B$47&gt;=$B244+1)*('2027 Avoided Costs'!$B$14:$B$47&lt;$B244+ROUND($O244,0)))))+_xlfn.XLOOKUP($B244,'2027 Avoided Costs'!$B$13:$B$47,'2027 Avoided Costs'!$C$13:$C$47),IF($O244=1,0,NPV('2027 Avoided Costs'!$D$6,_xlfn._xlws.FILTER('2027 Avoided Costs'!$E$14:$E$47,('2027 Avoided Costs'!$B$14:$B$47&gt;=$B244+1)*('2027 Avoided Costs'!$B$14:$B$47&lt;$B244+ROUND($O244,0)))))+_xlfn.XLOOKUP($B244,'2027 Avoided Costs'!$B$13:$B$47,'2027 Avoided Costs'!$E$13:$E$47))*IF($AE244&lt;0,$AE244*(-1),0),0)</f>
        <v>0</v>
      </c>
      <c r="BA244" s="291" cm="1">
        <f t="array" ref="BA244">IFERROR((IF($O244=1,0,NPV('2027 Avoided Costs'!$D$6,_xlfn._xlws.FILTER('2027 Avoided Costs'!$M$14:$M$47,('2027 Avoided Costs'!$B$14:$B$47&gt;=$B244+1)*('2027 Avoided Costs'!$B$14:$B$47&lt;$B244+ROUND($O244,0)))))+_xlfn.XLOOKUP($B244,'2027 Avoided Costs'!$B$13:$B$47,'2027 Avoided Costs'!$M$13:$M$47))*IF($AK244&lt;0,$AK244*(-1),0),0)</f>
        <v>0</v>
      </c>
      <c r="BB244" s="291" cm="1">
        <f t="array" ref="BB244">IFERROR((IF($O244=1,0,NPV('2027 Avoided Costs'!$D$6,_xlfn._xlws.FILTER('2027 Avoided Costs'!$S$14:$S$47,('2027 Avoided Costs'!$B$14:$B$47&gt;=$B244+1)*('2027 Avoided Costs'!$B$14:$B$47&lt;$B244+ROUND($O244,0)))))+_xlfn.XLOOKUP($B244,'2027 Avoided Costs'!$B$13:$B$47,'2027 Avoided Costs'!$S$13:$S$47))*IF($AI244&lt;0,$AI244*(-1),0),0)</f>
        <v>5043148.2803427884</v>
      </c>
      <c r="BC244" s="291" cm="1">
        <f t="array" ref="BC244">IFERROR((IF($O244=1,0,NPV('2027 Avoided Costs'!$D$6,_xlfn._xlws.FILTER('2027 Avoided Costs'!$Y$14:$Y$47,('2027 Avoided Costs'!$B$14:$B$47&gt;=$B244+1)*('2027 Avoided Costs'!$B$14:$B$47&lt;$B244+ROUND($O244,0)))))+_xlfn.XLOOKUP($B244,'2027 Avoided Costs'!$B$13:$B$47,'2027 Avoided Costs'!$Y$13:$Y$47))*IF($AM244&lt;0,$AM244*(-1),0),0)</f>
        <v>0</v>
      </c>
      <c r="BD244" s="291" cm="1">
        <f t="array" ref="BD244">IFERROR((IF($O244=1,0,NPV('2027 Avoided Costs'!$D$6,_xlfn._xlws.FILTER('2027 Avoided Costs'!$AE$14:$AE$47,('2027 Avoided Costs'!$B$14:$B$47&gt;=$B244+1)*('2027 Avoided Costs'!$B$14:$B$47&lt;$B244+ROUND($O244,0)))))+_xlfn.XLOOKUP($B244,'2027 Avoided Costs'!$B$13:$B$47,'2027 Avoided Costs'!$AE$13:$AE$47))*IF($AO244&lt;0,$AO244*(-1),0),0)</f>
        <v>1204416.6668882701</v>
      </c>
      <c r="BE244" s="291" cm="1">
        <f t="array" ref="BE244">IFERROR((IF($O244=1,0,NPV('2027 Avoided Costs'!$D$4,_xlfn._xlws.FILTER('2027 Avoided Costs'!$I$14:$I$47,('2027 Avoided Costs'!$B$14:$B$47&gt;=$B244+1)*('2027 Avoided Costs'!$B$14:$B$47&lt;$B244+ROUND($O244,0)))))+_xlfn.XLOOKUP($B244,'2027 Avoided Costs'!$B$13:$B$47,'2027 Avoided Costs'!$I$13:$I$47))*IF($X244="Residential",'2027 Avoided Costs'!$J$5,IF($X244="Large Volume",'2027 Avoided Costs'!$J$7,'2027 Avoided Costs'!$J$6))*IF($AE244&lt;0,$AE244*(-1),0),0)</f>
        <v>0</v>
      </c>
      <c r="BF244" s="291">
        <f t="shared" si="84"/>
        <v>15365963.18708737</v>
      </c>
      <c r="BG244" s="291">
        <f t="shared" si="85"/>
        <v>14310892.947231058</v>
      </c>
      <c r="BH244" s="291">
        <f t="shared" si="86"/>
        <v>1055070.2398563121</v>
      </c>
      <c r="BI244" s="292">
        <f t="shared" si="110"/>
        <v>1.0737249760547229</v>
      </c>
      <c r="BJ244" s="196" cm="1">
        <f t="array" ref="BJ244">IFERROR(IF($J244="Baseload",IF($O244=1,0,NPV('2027 Avoided Costs'!$D$6,_xlfn._xlws.FILTER('2027 Avoided Costs'!$C$14:$C$47,('2027 Avoided Costs'!$B$14:$B$47&gt;=$B244+1)*('2027 Avoided Costs'!$B$14:$B$47&lt;$B244+ROUND($O244,0)))))+_xlfn.XLOOKUP($B244,'2027 Avoided Costs'!$B$13:$B$47,'2027 Avoided Costs'!$C$13:$C$47),IF($O244=1,0,NPV('2027 Avoided Costs'!$D$6,_xlfn._xlws.FILTER('2027 Avoided Costs'!$E$14:$E$47,('2027 Avoided Costs'!$B$14:$B$47&gt;=$B244+1)*('2027 Avoided Costs'!$B$14:$B$47&lt;$B244+ROUND($O244,0)))))+_xlfn.XLOOKUP($B244,'2027 Avoided Costs'!$B$13:$B$47,'2027 Avoided Costs'!$E$13:$E$47))*IF($AE244&gt;0,$AE244*(1+0),0),0)</f>
        <v>9207475.6304553505</v>
      </c>
      <c r="BK244" s="293">
        <f t="shared" si="108"/>
        <v>1.8160701440740337</v>
      </c>
    </row>
    <row r="245" spans="1:63" s="56" customFormat="1" x14ac:dyDescent="0.25">
      <c r="A245" s="270" t="s">
        <v>133</v>
      </c>
      <c r="B245" s="271">
        <v>2027</v>
      </c>
      <c r="C245" s="272" t="s">
        <v>11</v>
      </c>
      <c r="D245" s="272" t="s">
        <v>333</v>
      </c>
      <c r="E245" s="272" t="s">
        <v>4</v>
      </c>
      <c r="F245" s="273">
        <v>1200</v>
      </c>
      <c r="G245" s="274">
        <v>1250</v>
      </c>
      <c r="H245" s="275">
        <f t="shared" si="88"/>
        <v>1.4467592592592593</v>
      </c>
      <c r="I245" s="274">
        <v>50</v>
      </c>
      <c r="J245" s="276" t="s">
        <v>264</v>
      </c>
      <c r="K245" s="277">
        <f t="shared" si="87"/>
        <v>0.90999999999999992</v>
      </c>
      <c r="L245" s="278">
        <v>0.31</v>
      </c>
      <c r="M245" s="278">
        <v>0.22</v>
      </c>
      <c r="N245" s="278">
        <v>1</v>
      </c>
      <c r="O245" s="279">
        <v>16</v>
      </c>
      <c r="P245" s="280">
        <v>864</v>
      </c>
      <c r="Q245" s="281">
        <v>-2823</v>
      </c>
      <c r="R245" s="282">
        <v>0.251</v>
      </c>
      <c r="S245" s="282">
        <v>-1.7689999999999999</v>
      </c>
      <c r="T245" s="281">
        <v>0</v>
      </c>
      <c r="U245" s="283">
        <v>0</v>
      </c>
      <c r="V245" s="284">
        <v>2840</v>
      </c>
      <c r="W245" s="285">
        <v>0.15</v>
      </c>
      <c r="X245" s="286" t="s">
        <v>11</v>
      </c>
      <c r="Y245" s="287">
        <f t="shared" si="89"/>
        <v>1200</v>
      </c>
      <c r="Z245" s="288">
        <f t="shared" si="90"/>
        <v>1500000</v>
      </c>
      <c r="AA245" s="288">
        <f t="shared" si="91"/>
        <v>60000</v>
      </c>
      <c r="AB245" s="288">
        <f t="shared" si="92"/>
        <v>1500000</v>
      </c>
      <c r="AC245" s="288">
        <f t="shared" si="109"/>
        <v>60000</v>
      </c>
      <c r="AD245" s="287">
        <f t="shared" si="93"/>
        <v>1036800</v>
      </c>
      <c r="AE245" s="287">
        <f t="shared" si="94"/>
        <v>943487.99999999988</v>
      </c>
      <c r="AF245" s="287">
        <f t="shared" si="95"/>
        <v>16588800</v>
      </c>
      <c r="AG245" s="287">
        <f t="shared" si="96"/>
        <v>15095807.999999998</v>
      </c>
      <c r="AH245" s="287">
        <f t="shared" si="97"/>
        <v>-3631507.2</v>
      </c>
      <c r="AI245" s="287">
        <f t="shared" si="98"/>
        <v>-3304671.5520000001</v>
      </c>
      <c r="AJ245" s="287">
        <f t="shared" si="99"/>
        <v>0</v>
      </c>
      <c r="AK245" s="287">
        <f t="shared" si="100"/>
        <v>0</v>
      </c>
      <c r="AL245" s="287">
        <f t="shared" si="101"/>
        <v>322.88639999999998</v>
      </c>
      <c r="AM245" s="287">
        <f t="shared" si="102"/>
        <v>293.82662399999998</v>
      </c>
      <c r="AN245" s="287">
        <f t="shared" si="103"/>
        <v>-2275.6415999999999</v>
      </c>
      <c r="AO245" s="287">
        <f t="shared" si="104"/>
        <v>-2070.8338559999997</v>
      </c>
      <c r="AP245" s="287">
        <f t="shared" si="105"/>
        <v>3408000</v>
      </c>
      <c r="AQ245" s="287">
        <f t="shared" si="106"/>
        <v>3101279.9999999995</v>
      </c>
      <c r="AR245" s="287">
        <f t="shared" si="107"/>
        <v>0</v>
      </c>
      <c r="AS245" s="289" t="e">
        <f>IF(J245='2027 Avoided Costs'!#REF!,3,5)</f>
        <v>#REF!</v>
      </c>
      <c r="AT245" s="290" cm="1">
        <f t="array" ref="AT245">IFERROR(IF($J245="Baseload",IF($O245=1,0,NPV('2027 Avoided Costs'!$D$6,_xlfn._xlws.FILTER('2027 Avoided Costs'!$C$14:$C$47,('2027 Avoided Costs'!$B$14:$B$47&gt;=$B245+1)*('2027 Avoided Costs'!$B$14:$B$47&lt;$B245+ROUND($O245,0)))))+_xlfn.XLOOKUP($B245,'2027 Avoided Costs'!$B$13:$B$47,'2027 Avoided Costs'!$C$13:$C$47),IF($O245=1,0,NPV('2027 Avoided Costs'!$D$6,_xlfn._xlws.FILTER('2027 Avoided Costs'!$E$14:$E$47,('2027 Avoided Costs'!$B$14:$B$47&gt;=$B245+1)*('2027 Avoided Costs'!$B$14:$B$47&lt;$B245+ROUND($O245,0)))))+_xlfn.XLOOKUP($B245,'2027 Avoided Costs'!$B$13:$B$47,'2027 Avoided Costs'!$E$13:$E$47))*IF($AE245&gt;0,$AE245*(1+$W245),0),0)</f>
        <v>3915073.4081182987</v>
      </c>
      <c r="AU245" s="290" cm="1">
        <f t="array" ref="AU245">IFERROR((IF($O245=1,0,NPV('2027 Avoided Costs'!$D$6,_xlfn._xlws.FILTER('2027 Avoided Costs'!$M$14:$M$47,('2027 Avoided Costs'!$B$14:$B$47&gt;=$B245+1)*('2027 Avoided Costs'!$B$14:$B$47&lt;$B245+ROUND($O245,0)))))+_xlfn.XLOOKUP($B245,'2027 Avoided Costs'!$B$13:$B$47,'2027 Avoided Costs'!$M$13:$M$47))*IF($AK245&gt;0,$AK245*(1+$W245),0),0)</f>
        <v>0</v>
      </c>
      <c r="AV245" s="291" cm="1">
        <f t="array" ref="AV245">IFERROR((IF($O245=1,0,NPV('2027 Avoided Costs'!$D$6,_xlfn._xlws.FILTER('2027 Avoided Costs'!$Q$14:$Q$47,('2027 Avoided Costs'!$B$14:$B$47&gt;=$B245+1)*('2027 Avoided Costs'!$B$14:$B$47&lt;$B245+ROUND($O245,0)))))+_xlfn.XLOOKUP($B245,'2027 Avoided Costs'!$B$13:$B$47,'2027 Avoided Costs'!$Q$13:$Q$47))*IF($AI245&gt;0,$AI245*(1+$W245),0),0)</f>
        <v>0</v>
      </c>
      <c r="AW245" s="291" cm="1">
        <f t="array" ref="AW245">IFERROR((IF($O245=1,0,NPV('2027 Avoided Costs'!$D$6,_xlfn._xlws.FILTER('2027 Avoided Costs'!$W$14:$W$47,('2027 Avoided Costs'!$B$14:$B$47&gt;=$B245+1)*('2027 Avoided Costs'!$B$14:$B$47&lt;$B245+ROUND($O245,0)))))+_xlfn.XLOOKUP($B245,'2027 Avoided Costs'!$B$13:$B$47,'2027 Avoided Costs'!$W$13:$W$47))*IF($AM245&gt;0,$AM245*(1+$W245),0),0)</f>
        <v>1205750.5472378009</v>
      </c>
      <c r="AX245" s="291" cm="1">
        <f t="array" ref="AX245">IFERROR((IF($O245=1,0,NPV('2027 Avoided Costs'!$D$6,_xlfn._xlws.FILTER('2027 Avoided Costs'!$AC$14:$AC$47,('2027 Avoided Costs'!$B$14:$B$47&gt;=$B245+1)*('2027 Avoided Costs'!$B$14:$B$47&lt;$B245+ROUND($O245,0)))))+_xlfn.XLOOKUP($B245,'2027 Avoided Costs'!$B$13:$B$47,'2027 Avoided Costs'!$AC$13:$AC$47))*IF($AO245&gt;0,$AO245*(1+$W245),0),0)</f>
        <v>0</v>
      </c>
      <c r="AY245" s="291" cm="1">
        <f t="array" ref="AY245">IFERROR((IF($O245=1,0,NPV('2027 Avoided Costs'!$D$4,_xlfn._xlws.FILTER('2027 Avoided Costs'!$I$14:$I$47,('2027 Avoided Costs'!$B$14:$B$47&gt;=$B245+1)*('2027 Avoided Costs'!$B$14:$B$47&lt;$B245+ROUND($O245,0)))))+_xlfn.XLOOKUP($B245,'2027 Avoided Costs'!$B$13:$B$47,'2027 Avoided Costs'!$I$13:$I$47))*IF($X245="Residential",'2027 Avoided Costs'!$J$5,IF($X245="Large Volume",'2027 Avoided Costs'!$J$7,'2027 Avoided Costs'!$J$6))*IF($AE245&gt;0,$AE245,0),0)</f>
        <v>0</v>
      </c>
      <c r="AZ245" s="291" cm="1">
        <f t="array" ref="AZ245">IFERROR(IF($J245="Baseload",IF($O245=1,0,NPV('2027 Avoided Costs'!$D$6,_xlfn._xlws.FILTER('2027 Avoided Costs'!$C$14:$C$47,('2027 Avoided Costs'!$B$14:$B$47&gt;=$B245+1)*('2027 Avoided Costs'!$B$14:$B$47&lt;$B245+ROUND($O245,0)))))+_xlfn.XLOOKUP($B245,'2027 Avoided Costs'!$B$13:$B$47,'2027 Avoided Costs'!$C$13:$C$47),IF($O245=1,0,NPV('2027 Avoided Costs'!$D$6,_xlfn._xlws.FILTER('2027 Avoided Costs'!$E$14:$E$47,('2027 Avoided Costs'!$B$14:$B$47&gt;=$B245+1)*('2027 Avoided Costs'!$B$14:$B$47&lt;$B245+ROUND($O245,0)))))+_xlfn.XLOOKUP($B245,'2027 Avoided Costs'!$B$13:$B$47,'2027 Avoided Costs'!$E$13:$E$47))*IF($AE245&lt;0,$AE245*(-1),0),0)</f>
        <v>0</v>
      </c>
      <c r="BA245" s="291" cm="1">
        <f t="array" ref="BA245">IFERROR((IF($O245=1,0,NPV('2027 Avoided Costs'!$D$6,_xlfn._xlws.FILTER('2027 Avoided Costs'!$M$14:$M$47,('2027 Avoided Costs'!$B$14:$B$47&gt;=$B245+1)*('2027 Avoided Costs'!$B$14:$B$47&lt;$B245+ROUND($O245,0)))))+_xlfn.XLOOKUP($B245,'2027 Avoided Costs'!$B$13:$B$47,'2027 Avoided Costs'!$M$13:$M$47))*IF($AK245&lt;0,$AK245*(-1),0),0)</f>
        <v>0</v>
      </c>
      <c r="BB245" s="291" cm="1">
        <f t="array" ref="BB245">IFERROR((IF($O245=1,0,NPV('2027 Avoided Costs'!$D$6,_xlfn._xlws.FILTER('2027 Avoided Costs'!$S$14:$S$47,('2027 Avoided Costs'!$B$14:$B$47&gt;=$B245+1)*('2027 Avoided Costs'!$B$14:$B$47&lt;$B245+ROUND($O245,0)))))+_xlfn.XLOOKUP($B245,'2027 Avoided Costs'!$B$13:$B$47,'2027 Avoided Costs'!$S$13:$S$47))*IF($AI245&lt;0,$AI245*(-1),0),0)</f>
        <v>1989353.3983661975</v>
      </c>
      <c r="BC245" s="291" cm="1">
        <f t="array" ref="BC245">IFERROR((IF($O245=1,0,NPV('2027 Avoided Costs'!$D$6,_xlfn._xlws.FILTER('2027 Avoided Costs'!$Y$14:$Y$47,('2027 Avoided Costs'!$B$14:$B$47&gt;=$B245+1)*('2027 Avoided Costs'!$B$14:$B$47&lt;$B245+ROUND($O245,0)))))+_xlfn.XLOOKUP($B245,'2027 Avoided Costs'!$B$13:$B$47,'2027 Avoided Costs'!$Y$13:$Y$47))*IF($AM245&lt;0,$AM245*(-1),0),0)</f>
        <v>0</v>
      </c>
      <c r="BD245" s="291" cm="1">
        <f t="array" ref="BD245">IFERROR((IF($O245=1,0,NPV('2027 Avoided Costs'!$D$6,_xlfn._xlws.FILTER('2027 Avoided Costs'!$AE$14:$AE$47,('2027 Avoided Costs'!$B$14:$B$47&gt;=$B245+1)*('2027 Avoided Costs'!$B$14:$B$47&lt;$B245+ROUND($O245,0)))))+_xlfn.XLOOKUP($B245,'2027 Avoided Costs'!$B$13:$B$47,'2027 Avoided Costs'!$AE$13:$AE$47))*IF($AO245&lt;0,$AO245*(-1),0),0)</f>
        <v>439686.95944391459</v>
      </c>
      <c r="BE245" s="291" cm="1">
        <f t="array" ref="BE245">IFERROR((IF($O245=1,0,NPV('2027 Avoided Costs'!$D$4,_xlfn._xlws.FILTER('2027 Avoided Costs'!$I$14:$I$47,('2027 Avoided Costs'!$B$14:$B$47&gt;=$B245+1)*('2027 Avoided Costs'!$B$14:$B$47&lt;$B245+ROUND($O245,0)))))+_xlfn.XLOOKUP($B245,'2027 Avoided Costs'!$B$13:$B$47,'2027 Avoided Costs'!$I$13:$I$47))*IF($X245="Residential",'2027 Avoided Costs'!$J$5,IF($X245="Large Volume",'2027 Avoided Costs'!$J$7,'2027 Avoided Costs'!$J$6))*IF($AE245&lt;0,$AE245*(-1),0),0)</f>
        <v>0</v>
      </c>
      <c r="BF245" s="291">
        <f t="shared" si="84"/>
        <v>5120823.9553560996</v>
      </c>
      <c r="BG245" s="291">
        <f t="shared" si="85"/>
        <v>5530320.3578101117</v>
      </c>
      <c r="BH245" s="291">
        <f t="shared" si="86"/>
        <v>-409496.40245401207</v>
      </c>
      <c r="BI245" s="292">
        <f t="shared" si="110"/>
        <v>0.92595430717215021</v>
      </c>
      <c r="BJ245" s="196" cm="1">
        <f t="array" ref="BJ245">IFERROR(IF($J245="Baseload",IF($O245=1,0,NPV('2027 Avoided Costs'!$D$6,_xlfn._xlws.FILTER('2027 Avoided Costs'!$C$14:$C$47,('2027 Avoided Costs'!$B$14:$B$47&gt;=$B245+1)*('2027 Avoided Costs'!$B$14:$B$47&lt;$B245+ROUND($O245,0)))))+_xlfn.XLOOKUP($B245,'2027 Avoided Costs'!$B$13:$B$47,'2027 Avoided Costs'!$C$13:$C$47),IF($O245=1,0,NPV('2027 Avoided Costs'!$D$6,_xlfn._xlws.FILTER('2027 Avoided Costs'!$E$14:$E$47,('2027 Avoided Costs'!$B$14:$B$47&gt;=$B245+1)*('2027 Avoided Costs'!$B$14:$B$47&lt;$B245+ROUND($O245,0)))))+_xlfn.XLOOKUP($B245,'2027 Avoided Costs'!$B$13:$B$47,'2027 Avoided Costs'!$E$13:$E$47))*IF($AE245&gt;0,$AE245*(1+0),0),0)</f>
        <v>3404411.6592333037</v>
      </c>
      <c r="BK245" s="293">
        <f t="shared" si="108"/>
        <v>2.1823151661751945</v>
      </c>
    </row>
    <row r="246" spans="1:63" s="56" customFormat="1" x14ac:dyDescent="0.25">
      <c r="A246" s="270" t="s">
        <v>133</v>
      </c>
      <c r="B246" s="271">
        <v>2027</v>
      </c>
      <c r="C246" s="272" t="s">
        <v>11</v>
      </c>
      <c r="D246" s="272" t="s">
        <v>333</v>
      </c>
      <c r="E246" s="272" t="s">
        <v>5</v>
      </c>
      <c r="F246" s="273">
        <v>720</v>
      </c>
      <c r="G246" s="274">
        <v>1250</v>
      </c>
      <c r="H246" s="275">
        <f t="shared" si="88"/>
        <v>1.0245901639344261</v>
      </c>
      <c r="I246" s="274">
        <v>50</v>
      </c>
      <c r="J246" s="276" t="s">
        <v>264</v>
      </c>
      <c r="K246" s="277">
        <f t="shared" si="87"/>
        <v>0.90999999999999992</v>
      </c>
      <c r="L246" s="278">
        <v>0.31</v>
      </c>
      <c r="M246" s="278">
        <v>0.22</v>
      </c>
      <c r="N246" s="278">
        <v>1</v>
      </c>
      <c r="O246" s="279">
        <v>16</v>
      </c>
      <c r="P246" s="280">
        <v>1220</v>
      </c>
      <c r="Q246" s="281">
        <v>-4479.5</v>
      </c>
      <c r="R246" s="282">
        <v>-0.1905</v>
      </c>
      <c r="S246" s="282">
        <v>-2.0495000000000001</v>
      </c>
      <c r="T246" s="281">
        <v>0</v>
      </c>
      <c r="U246" s="283">
        <v>0</v>
      </c>
      <c r="V246" s="284">
        <v>5664</v>
      </c>
      <c r="W246" s="285">
        <v>0.15</v>
      </c>
      <c r="X246" s="286" t="s">
        <v>11</v>
      </c>
      <c r="Y246" s="287">
        <f t="shared" si="89"/>
        <v>720</v>
      </c>
      <c r="Z246" s="288">
        <f t="shared" si="90"/>
        <v>900000</v>
      </c>
      <c r="AA246" s="288">
        <f t="shared" si="91"/>
        <v>36000</v>
      </c>
      <c r="AB246" s="288">
        <f t="shared" si="92"/>
        <v>900000</v>
      </c>
      <c r="AC246" s="288">
        <f t="shared" si="109"/>
        <v>36000</v>
      </c>
      <c r="AD246" s="287">
        <f t="shared" si="93"/>
        <v>878400</v>
      </c>
      <c r="AE246" s="287">
        <f t="shared" si="94"/>
        <v>799343.99999999988</v>
      </c>
      <c r="AF246" s="287">
        <f t="shared" si="95"/>
        <v>14054400</v>
      </c>
      <c r="AG246" s="287">
        <f t="shared" si="96"/>
        <v>12789503.999999998</v>
      </c>
      <c r="AH246" s="287">
        <f t="shared" si="97"/>
        <v>-3457457.2800000003</v>
      </c>
      <c r="AI246" s="287">
        <f t="shared" si="98"/>
        <v>-3146286.1247999999</v>
      </c>
      <c r="AJ246" s="287">
        <f t="shared" si="99"/>
        <v>0</v>
      </c>
      <c r="AK246" s="287">
        <f t="shared" si="100"/>
        <v>0</v>
      </c>
      <c r="AL246" s="287">
        <f t="shared" si="101"/>
        <v>-147.03551999999999</v>
      </c>
      <c r="AM246" s="287">
        <f t="shared" si="102"/>
        <v>-133.80232319999999</v>
      </c>
      <c r="AN246" s="287">
        <f t="shared" si="103"/>
        <v>-1581.8860800000002</v>
      </c>
      <c r="AO246" s="287">
        <f t="shared" si="104"/>
        <v>-1439.5163327999999</v>
      </c>
      <c r="AP246" s="287">
        <f t="shared" si="105"/>
        <v>4078080</v>
      </c>
      <c r="AQ246" s="287">
        <f t="shared" si="106"/>
        <v>3711052.8</v>
      </c>
      <c r="AR246" s="287">
        <f t="shared" si="107"/>
        <v>0</v>
      </c>
      <c r="AS246" s="289" t="e">
        <f>IF(J246='2027 Avoided Costs'!#REF!,3,5)</f>
        <v>#REF!</v>
      </c>
      <c r="AT246" s="290" cm="1">
        <f t="array" ref="AT246">IFERROR(IF($J246="Baseload",IF($O246=1,0,NPV('2027 Avoided Costs'!$D$6,_xlfn._xlws.FILTER('2027 Avoided Costs'!$C$14:$C$47,('2027 Avoided Costs'!$B$14:$B$47&gt;=$B246+1)*('2027 Avoided Costs'!$B$14:$B$47&lt;$B246+ROUND($O246,0)))))+_xlfn.XLOOKUP($B246,'2027 Avoided Costs'!$B$13:$B$47,'2027 Avoided Costs'!$C$13:$C$47),IF($O246=1,0,NPV('2027 Avoided Costs'!$D$6,_xlfn._xlws.FILTER('2027 Avoided Costs'!$E$14:$E$47,('2027 Avoided Costs'!$B$14:$B$47&gt;=$B246+1)*('2027 Avoided Costs'!$B$14:$B$47&lt;$B246+ROUND($O246,0)))))+_xlfn.XLOOKUP($B246,'2027 Avoided Costs'!$B$13:$B$47,'2027 Avoided Costs'!$E$13:$E$47))*IF($AE246&gt;0,$AE246*(1+$W246),0),0)</f>
        <v>3316937.1929891142</v>
      </c>
      <c r="AU246" s="290" cm="1">
        <f t="array" ref="AU246">IFERROR((IF($O246=1,0,NPV('2027 Avoided Costs'!$D$6,_xlfn._xlws.FILTER('2027 Avoided Costs'!$M$14:$M$47,('2027 Avoided Costs'!$B$14:$B$47&gt;=$B246+1)*('2027 Avoided Costs'!$B$14:$B$47&lt;$B246+ROUND($O246,0)))))+_xlfn.XLOOKUP($B246,'2027 Avoided Costs'!$B$13:$B$47,'2027 Avoided Costs'!$M$13:$M$47))*IF($AK246&gt;0,$AK246*(1+$W246),0),0)</f>
        <v>0</v>
      </c>
      <c r="AV246" s="291" cm="1">
        <f t="array" ref="AV246">IFERROR((IF($O246=1,0,NPV('2027 Avoided Costs'!$D$6,_xlfn._xlws.FILTER('2027 Avoided Costs'!$Q$14:$Q$47,('2027 Avoided Costs'!$B$14:$B$47&gt;=$B246+1)*('2027 Avoided Costs'!$B$14:$B$47&lt;$B246+ROUND($O246,0)))))+_xlfn.XLOOKUP($B246,'2027 Avoided Costs'!$B$13:$B$47,'2027 Avoided Costs'!$Q$13:$Q$47))*IF($AI246&gt;0,$AI246*(1+$W246),0),0)</f>
        <v>0</v>
      </c>
      <c r="AW246" s="291" cm="1">
        <f t="array" ref="AW246">IFERROR((IF($O246=1,0,NPV('2027 Avoided Costs'!$D$6,_xlfn._xlws.FILTER('2027 Avoided Costs'!$W$14:$W$47,('2027 Avoided Costs'!$B$14:$B$47&gt;=$B246+1)*('2027 Avoided Costs'!$B$14:$B$47&lt;$B246+ROUND($O246,0)))))+_xlfn.XLOOKUP($B246,'2027 Avoided Costs'!$B$13:$B$47,'2027 Avoided Costs'!$W$13:$W$47))*IF($AM246&gt;0,$AM246*(1+$W246),0),0)</f>
        <v>0</v>
      </c>
      <c r="AX246" s="291" cm="1">
        <f t="array" ref="AX246">IFERROR((IF($O246=1,0,NPV('2027 Avoided Costs'!$D$6,_xlfn._xlws.FILTER('2027 Avoided Costs'!$AC$14:$AC$47,('2027 Avoided Costs'!$B$14:$B$47&gt;=$B246+1)*('2027 Avoided Costs'!$B$14:$B$47&lt;$B246+ROUND($O246,0)))))+_xlfn.XLOOKUP($B246,'2027 Avoided Costs'!$B$13:$B$47,'2027 Avoided Costs'!$AC$13:$AC$47))*IF($AO246&gt;0,$AO246*(1+$W246),0),0)</f>
        <v>0</v>
      </c>
      <c r="AY246" s="291" cm="1">
        <f t="array" ref="AY246">IFERROR((IF($O246=1,0,NPV('2027 Avoided Costs'!$D$4,_xlfn._xlws.FILTER('2027 Avoided Costs'!$I$14:$I$47,('2027 Avoided Costs'!$B$14:$B$47&gt;=$B246+1)*('2027 Avoided Costs'!$B$14:$B$47&lt;$B246+ROUND($O246,0)))))+_xlfn.XLOOKUP($B246,'2027 Avoided Costs'!$B$13:$B$47,'2027 Avoided Costs'!$I$13:$I$47))*IF($X246="Residential",'2027 Avoided Costs'!$J$5,IF($X246="Large Volume",'2027 Avoided Costs'!$J$7,'2027 Avoided Costs'!$J$6))*IF($AE246&gt;0,$AE246,0),0)</f>
        <v>0</v>
      </c>
      <c r="AZ246" s="291" cm="1">
        <f t="array" ref="AZ246">IFERROR(IF($J246="Baseload",IF($O246=1,0,NPV('2027 Avoided Costs'!$D$6,_xlfn._xlws.FILTER('2027 Avoided Costs'!$C$14:$C$47,('2027 Avoided Costs'!$B$14:$B$47&gt;=$B246+1)*('2027 Avoided Costs'!$B$14:$B$47&lt;$B246+ROUND($O246,0)))))+_xlfn.XLOOKUP($B246,'2027 Avoided Costs'!$B$13:$B$47,'2027 Avoided Costs'!$C$13:$C$47),IF($O246=1,0,NPV('2027 Avoided Costs'!$D$6,_xlfn._xlws.FILTER('2027 Avoided Costs'!$E$14:$E$47,('2027 Avoided Costs'!$B$14:$B$47&gt;=$B246+1)*('2027 Avoided Costs'!$B$14:$B$47&lt;$B246+ROUND($O246,0)))))+_xlfn.XLOOKUP($B246,'2027 Avoided Costs'!$B$13:$B$47,'2027 Avoided Costs'!$E$13:$E$47))*IF($AE246&lt;0,$AE246*(-1),0),0)</f>
        <v>0</v>
      </c>
      <c r="BA246" s="291" cm="1">
        <f t="array" ref="BA246">IFERROR((IF($O246=1,0,NPV('2027 Avoided Costs'!$D$6,_xlfn._xlws.FILTER('2027 Avoided Costs'!$M$14:$M$47,('2027 Avoided Costs'!$B$14:$B$47&gt;=$B246+1)*('2027 Avoided Costs'!$B$14:$B$47&lt;$B246+ROUND($O246,0)))))+_xlfn.XLOOKUP($B246,'2027 Avoided Costs'!$B$13:$B$47,'2027 Avoided Costs'!$M$13:$M$47))*IF($AK246&lt;0,$AK246*(-1),0),0)</f>
        <v>0</v>
      </c>
      <c r="BB246" s="291" cm="1">
        <f t="array" ref="BB246">IFERROR((IF($O246=1,0,NPV('2027 Avoided Costs'!$D$6,_xlfn._xlws.FILTER('2027 Avoided Costs'!$S$14:$S$47,('2027 Avoided Costs'!$B$14:$B$47&gt;=$B246+1)*('2027 Avoided Costs'!$B$14:$B$47&lt;$B246+ROUND($O246,0)))))+_xlfn.XLOOKUP($B246,'2027 Avoided Costs'!$B$13:$B$47,'2027 Avoided Costs'!$S$13:$S$47))*IF($AI246&lt;0,$AI246*(-1),0),0)</f>
        <v>1894008.1929822275</v>
      </c>
      <c r="BC246" s="291" cm="1">
        <f t="array" ref="BC246">IFERROR((IF($O246=1,0,NPV('2027 Avoided Costs'!$D$6,_xlfn._xlws.FILTER('2027 Avoided Costs'!$Y$14:$Y$47,('2027 Avoided Costs'!$B$14:$B$47&gt;=$B246+1)*('2027 Avoided Costs'!$B$14:$B$47&lt;$B246+ROUND($O246,0)))))+_xlfn.XLOOKUP($B246,'2027 Avoided Costs'!$B$13:$B$47,'2027 Avoided Costs'!$Y$13:$Y$47))*IF($AM246&lt;0,$AM246*(-1),0),0)</f>
        <v>477454.65979310806</v>
      </c>
      <c r="BD246" s="291" cm="1">
        <f t="array" ref="BD246">IFERROR((IF($O246=1,0,NPV('2027 Avoided Costs'!$D$6,_xlfn._xlws.FILTER('2027 Avoided Costs'!$AE$14:$AE$47,('2027 Avoided Costs'!$B$14:$B$47&gt;=$B246+1)*('2027 Avoided Costs'!$B$14:$B$47&lt;$B246+ROUND($O246,0)))))+_xlfn.XLOOKUP($B246,'2027 Avoided Costs'!$B$13:$B$47,'2027 Avoided Costs'!$AE$13:$AE$47))*IF($AO246&lt;0,$AO246*(-1),0),0)</f>
        <v>305643.33184182126</v>
      </c>
      <c r="BE246" s="291" cm="1">
        <f t="array" ref="BE246">IFERROR((IF($O246=1,0,NPV('2027 Avoided Costs'!$D$4,_xlfn._xlws.FILTER('2027 Avoided Costs'!$I$14:$I$47,('2027 Avoided Costs'!$B$14:$B$47&gt;=$B246+1)*('2027 Avoided Costs'!$B$14:$B$47&lt;$B246+ROUND($O246,0)))))+_xlfn.XLOOKUP($B246,'2027 Avoided Costs'!$B$13:$B$47,'2027 Avoided Costs'!$I$13:$I$47))*IF($X246="Residential",'2027 Avoided Costs'!$J$5,IF($X246="Large Volume",'2027 Avoided Costs'!$J$7,'2027 Avoided Costs'!$J$6))*IF($AE246&lt;0,$AE246*(-1),0),0)</f>
        <v>0</v>
      </c>
      <c r="BF246" s="291">
        <f t="shared" si="84"/>
        <v>3316937.1929891142</v>
      </c>
      <c r="BG246" s="291">
        <f t="shared" si="85"/>
        <v>6388158.9846171569</v>
      </c>
      <c r="BH246" s="291">
        <f t="shared" si="86"/>
        <v>-3071221.7916280427</v>
      </c>
      <c r="BI246" s="292">
        <f t="shared" si="110"/>
        <v>0.51923209816417848</v>
      </c>
      <c r="BJ246" s="196" cm="1">
        <f t="array" ref="BJ246">IFERROR(IF($J246="Baseload",IF($O246=1,0,NPV('2027 Avoided Costs'!$D$6,_xlfn._xlws.FILTER('2027 Avoided Costs'!$C$14:$C$47,('2027 Avoided Costs'!$B$14:$B$47&gt;=$B246+1)*('2027 Avoided Costs'!$B$14:$B$47&lt;$B246+ROUND($O246,0)))))+_xlfn.XLOOKUP($B246,'2027 Avoided Costs'!$B$13:$B$47,'2027 Avoided Costs'!$C$13:$C$47),IF($O246=1,0,NPV('2027 Avoided Costs'!$D$6,_xlfn._xlws.FILTER('2027 Avoided Costs'!$E$14:$E$47,('2027 Avoided Costs'!$B$14:$B$47&gt;=$B246+1)*('2027 Avoided Costs'!$B$14:$B$47&lt;$B246+ROUND($O246,0)))))+_xlfn.XLOOKUP($B246,'2027 Avoided Costs'!$B$13:$B$47,'2027 Avoided Costs'!$E$13:$E$47))*IF($AE246&gt;0,$AE246*(1+0),0),0)</f>
        <v>2884293.211294882</v>
      </c>
      <c r="BK246" s="293">
        <f t="shared" si="108"/>
        <v>3.0815098411270108</v>
      </c>
    </row>
    <row r="247" spans="1:63" s="56" customFormat="1" x14ac:dyDescent="0.25">
      <c r="A247" s="270" t="s">
        <v>133</v>
      </c>
      <c r="B247" s="271">
        <v>2027</v>
      </c>
      <c r="C247" s="272" t="s">
        <v>11</v>
      </c>
      <c r="D247" s="272" t="s">
        <v>333</v>
      </c>
      <c r="E247" s="272" t="s">
        <v>6</v>
      </c>
      <c r="F247" s="273">
        <v>180</v>
      </c>
      <c r="G247" s="274">
        <v>1250</v>
      </c>
      <c r="H247" s="275">
        <f t="shared" si="88"/>
        <v>0.72801397786837507</v>
      </c>
      <c r="I247" s="274">
        <v>50</v>
      </c>
      <c r="J247" s="276" t="s">
        <v>264</v>
      </c>
      <c r="K247" s="277">
        <f t="shared" si="87"/>
        <v>0.90999999999999992</v>
      </c>
      <c r="L247" s="278">
        <v>0.31</v>
      </c>
      <c r="M247" s="278">
        <v>0.22</v>
      </c>
      <c r="N247" s="278">
        <v>1</v>
      </c>
      <c r="O247" s="279">
        <v>16</v>
      </c>
      <c r="P247" s="280">
        <v>1717</v>
      </c>
      <c r="Q247" s="281">
        <v>-6979.75</v>
      </c>
      <c r="R247" s="282">
        <v>-0.11200000000000004</v>
      </c>
      <c r="S247" s="282">
        <v>-2.859</v>
      </c>
      <c r="T247" s="281">
        <v>0</v>
      </c>
      <c r="U247" s="283">
        <v>0</v>
      </c>
      <c r="V247" s="284">
        <v>13612</v>
      </c>
      <c r="W247" s="285">
        <v>0.15</v>
      </c>
      <c r="X247" s="286" t="s">
        <v>11</v>
      </c>
      <c r="Y247" s="287">
        <f t="shared" si="89"/>
        <v>180</v>
      </c>
      <c r="Z247" s="288">
        <f t="shared" si="90"/>
        <v>225000</v>
      </c>
      <c r="AA247" s="288">
        <f t="shared" si="91"/>
        <v>9000</v>
      </c>
      <c r="AB247" s="288">
        <f t="shared" si="92"/>
        <v>225000</v>
      </c>
      <c r="AC247" s="288">
        <f t="shared" si="109"/>
        <v>9000</v>
      </c>
      <c r="AD247" s="287">
        <f t="shared" si="93"/>
        <v>309060</v>
      </c>
      <c r="AE247" s="287">
        <f t="shared" si="94"/>
        <v>281244.59999999998</v>
      </c>
      <c r="AF247" s="287">
        <f t="shared" si="95"/>
        <v>4944960</v>
      </c>
      <c r="AG247" s="287">
        <f t="shared" si="96"/>
        <v>4499913.5999999996</v>
      </c>
      <c r="AH247" s="287">
        <f t="shared" si="97"/>
        <v>-1346812.56</v>
      </c>
      <c r="AI247" s="287">
        <f t="shared" si="98"/>
        <v>-1225599.4295999999</v>
      </c>
      <c r="AJ247" s="287">
        <f t="shared" si="99"/>
        <v>0</v>
      </c>
      <c r="AK247" s="287">
        <f t="shared" si="100"/>
        <v>0</v>
      </c>
      <c r="AL247" s="287">
        <f t="shared" si="101"/>
        <v>-21.611520000000009</v>
      </c>
      <c r="AM247" s="287">
        <f t="shared" si="102"/>
        <v>-19.666483200000005</v>
      </c>
      <c r="AN247" s="287">
        <f t="shared" si="103"/>
        <v>-551.67264</v>
      </c>
      <c r="AO247" s="287">
        <f t="shared" si="104"/>
        <v>-502.02210239999994</v>
      </c>
      <c r="AP247" s="287">
        <f t="shared" si="105"/>
        <v>2450160</v>
      </c>
      <c r="AQ247" s="287">
        <f t="shared" si="106"/>
        <v>2229645.5999999996</v>
      </c>
      <c r="AR247" s="287">
        <f t="shared" si="107"/>
        <v>0</v>
      </c>
      <c r="AS247" s="289" t="e">
        <f>IF(J247='2027 Avoided Costs'!#REF!,3,5)</f>
        <v>#REF!</v>
      </c>
      <c r="AT247" s="290" cm="1">
        <f t="array" ref="AT247">IFERROR(IF($J247="Baseload",IF($O247=1,0,NPV('2027 Avoided Costs'!$D$6,_xlfn._xlws.FILTER('2027 Avoided Costs'!$C$14:$C$47,('2027 Avoided Costs'!$B$14:$B$47&gt;=$B247+1)*('2027 Avoided Costs'!$B$14:$B$47&lt;$B247+ROUND($O247,0)))))+_xlfn.XLOOKUP($B247,'2027 Avoided Costs'!$B$13:$B$47,'2027 Avoided Costs'!$C$13:$C$47),IF($O247=1,0,NPV('2027 Avoided Costs'!$D$6,_xlfn._xlws.FILTER('2027 Avoided Costs'!$E$14:$E$47,('2027 Avoided Costs'!$B$14:$B$47&gt;=$B247+1)*('2027 Avoided Costs'!$B$14:$B$47&lt;$B247+ROUND($O247,0)))))+_xlfn.XLOOKUP($B247,'2027 Avoided Costs'!$B$13:$B$47,'2027 Avoided Costs'!$E$13:$E$47))*IF($AE247&gt;0,$AE247*(1+$W247),0),0)</f>
        <v>1167045.3197463749</v>
      </c>
      <c r="AU247" s="290" cm="1">
        <f t="array" ref="AU247">IFERROR((IF($O247=1,0,NPV('2027 Avoided Costs'!$D$6,_xlfn._xlws.FILTER('2027 Avoided Costs'!$M$14:$M$47,('2027 Avoided Costs'!$B$14:$B$47&gt;=$B247+1)*('2027 Avoided Costs'!$B$14:$B$47&lt;$B247+ROUND($O247,0)))))+_xlfn.XLOOKUP($B247,'2027 Avoided Costs'!$B$13:$B$47,'2027 Avoided Costs'!$M$13:$M$47))*IF($AK247&gt;0,$AK247*(1+$W247),0),0)</f>
        <v>0</v>
      </c>
      <c r="AV247" s="291" cm="1">
        <f t="array" ref="AV247">IFERROR((IF($O247=1,0,NPV('2027 Avoided Costs'!$D$6,_xlfn._xlws.FILTER('2027 Avoided Costs'!$Q$14:$Q$47,('2027 Avoided Costs'!$B$14:$B$47&gt;=$B247+1)*('2027 Avoided Costs'!$B$14:$B$47&lt;$B247+ROUND($O247,0)))))+_xlfn.XLOOKUP($B247,'2027 Avoided Costs'!$B$13:$B$47,'2027 Avoided Costs'!$Q$13:$Q$47))*IF($AI247&gt;0,$AI247*(1+$W247),0),0)</f>
        <v>0</v>
      </c>
      <c r="AW247" s="291" cm="1">
        <f t="array" ref="AW247">IFERROR((IF($O247=1,0,NPV('2027 Avoided Costs'!$D$6,_xlfn._xlws.FILTER('2027 Avoided Costs'!$W$14:$W$47,('2027 Avoided Costs'!$B$14:$B$47&gt;=$B247+1)*('2027 Avoided Costs'!$B$14:$B$47&lt;$B247+ROUND($O247,0)))))+_xlfn.XLOOKUP($B247,'2027 Avoided Costs'!$B$13:$B$47,'2027 Avoided Costs'!$W$13:$W$47))*IF($AM247&gt;0,$AM247*(1+$W247),0),0)</f>
        <v>0</v>
      </c>
      <c r="AX247" s="291" cm="1">
        <f t="array" ref="AX247">IFERROR((IF($O247=1,0,NPV('2027 Avoided Costs'!$D$6,_xlfn._xlws.FILTER('2027 Avoided Costs'!$AC$14:$AC$47,('2027 Avoided Costs'!$B$14:$B$47&gt;=$B247+1)*('2027 Avoided Costs'!$B$14:$B$47&lt;$B247+ROUND($O247,0)))))+_xlfn.XLOOKUP($B247,'2027 Avoided Costs'!$B$13:$B$47,'2027 Avoided Costs'!$AC$13:$AC$47))*IF($AO247&gt;0,$AO247*(1+$W247),0),0)</f>
        <v>0</v>
      </c>
      <c r="AY247" s="291" cm="1">
        <f t="array" ref="AY247">IFERROR((IF($O247=1,0,NPV('2027 Avoided Costs'!$D$4,_xlfn._xlws.FILTER('2027 Avoided Costs'!$I$14:$I$47,('2027 Avoided Costs'!$B$14:$B$47&gt;=$B247+1)*('2027 Avoided Costs'!$B$14:$B$47&lt;$B247+ROUND($O247,0)))))+_xlfn.XLOOKUP($B247,'2027 Avoided Costs'!$B$13:$B$47,'2027 Avoided Costs'!$I$13:$I$47))*IF($X247="Residential",'2027 Avoided Costs'!$J$5,IF($X247="Large Volume",'2027 Avoided Costs'!$J$7,'2027 Avoided Costs'!$J$6))*IF($AE247&gt;0,$AE247,0),0)</f>
        <v>0</v>
      </c>
      <c r="AZ247" s="291" cm="1">
        <f t="array" ref="AZ247">IFERROR(IF($J247="Baseload",IF($O247=1,0,NPV('2027 Avoided Costs'!$D$6,_xlfn._xlws.FILTER('2027 Avoided Costs'!$C$14:$C$47,('2027 Avoided Costs'!$B$14:$B$47&gt;=$B247+1)*('2027 Avoided Costs'!$B$14:$B$47&lt;$B247+ROUND($O247,0)))))+_xlfn.XLOOKUP($B247,'2027 Avoided Costs'!$B$13:$B$47,'2027 Avoided Costs'!$C$13:$C$47),IF($O247=1,0,NPV('2027 Avoided Costs'!$D$6,_xlfn._xlws.FILTER('2027 Avoided Costs'!$E$14:$E$47,('2027 Avoided Costs'!$B$14:$B$47&gt;=$B247+1)*('2027 Avoided Costs'!$B$14:$B$47&lt;$B247+ROUND($O247,0)))))+_xlfn.XLOOKUP($B247,'2027 Avoided Costs'!$B$13:$B$47,'2027 Avoided Costs'!$E$13:$E$47))*IF($AE247&lt;0,$AE247*(-1),0),0)</f>
        <v>0</v>
      </c>
      <c r="BA247" s="291" cm="1">
        <f t="array" ref="BA247">IFERROR((IF($O247=1,0,NPV('2027 Avoided Costs'!$D$6,_xlfn._xlws.FILTER('2027 Avoided Costs'!$M$14:$M$47,('2027 Avoided Costs'!$B$14:$B$47&gt;=$B247+1)*('2027 Avoided Costs'!$B$14:$B$47&lt;$B247+ROUND($O247,0)))))+_xlfn.XLOOKUP($B247,'2027 Avoided Costs'!$B$13:$B$47,'2027 Avoided Costs'!$M$13:$M$47))*IF($AK247&lt;0,$AK247*(-1),0),0)</f>
        <v>0</v>
      </c>
      <c r="BB247" s="291" cm="1">
        <f t="array" ref="BB247">IFERROR((IF($O247=1,0,NPV('2027 Avoided Costs'!$D$6,_xlfn._xlws.FILTER('2027 Avoided Costs'!$S$14:$S$47,('2027 Avoided Costs'!$B$14:$B$47&gt;=$B247+1)*('2027 Avoided Costs'!$B$14:$B$47&lt;$B247+ROUND($O247,0)))))+_xlfn.XLOOKUP($B247,'2027 Avoided Costs'!$B$13:$B$47,'2027 Avoided Costs'!$S$13:$S$47))*IF($AI247&lt;0,$AI247*(-1),0),0)</f>
        <v>737789.02137335099</v>
      </c>
      <c r="BC247" s="291" cm="1">
        <f t="array" ref="BC247">IFERROR((IF($O247=1,0,NPV('2027 Avoided Costs'!$D$6,_xlfn._xlws.FILTER('2027 Avoided Costs'!$Y$14:$Y$47,('2027 Avoided Costs'!$B$14:$B$47&gt;=$B247+1)*('2027 Avoided Costs'!$B$14:$B$47&lt;$B247+ROUND($O247,0)))))+_xlfn.XLOOKUP($B247,'2027 Avoided Costs'!$B$13:$B$47,'2027 Avoided Costs'!$Y$13:$Y$47))*IF($AM247&lt;0,$AM247*(-1),0),0)</f>
        <v>70177.062856729812</v>
      </c>
      <c r="BD247" s="291" cm="1">
        <f t="array" ref="BD247">IFERROR((IF($O247=1,0,NPV('2027 Avoided Costs'!$D$6,_xlfn._xlws.FILTER('2027 Avoided Costs'!$AE$14:$AE$47,('2027 Avoided Costs'!$B$14:$B$47&gt;=$B247+1)*('2027 Avoided Costs'!$B$14:$B$47&lt;$B247+ROUND($O247,0)))))+_xlfn.XLOOKUP($B247,'2027 Avoided Costs'!$B$13:$B$47,'2027 Avoided Costs'!$AE$13:$AE$47))*IF($AO247&lt;0,$AO247*(-1),0),0)</f>
        <v>106591.15463963979</v>
      </c>
      <c r="BE247" s="291" cm="1">
        <f t="array" ref="BE247">IFERROR((IF($O247=1,0,NPV('2027 Avoided Costs'!$D$4,_xlfn._xlws.FILTER('2027 Avoided Costs'!$I$14:$I$47,('2027 Avoided Costs'!$B$14:$B$47&gt;=$B247+1)*('2027 Avoided Costs'!$B$14:$B$47&lt;$B247+ROUND($O247,0)))))+_xlfn.XLOOKUP($B247,'2027 Avoided Costs'!$B$13:$B$47,'2027 Avoided Costs'!$I$13:$I$47))*IF($X247="Residential",'2027 Avoided Costs'!$J$5,IF($X247="Large Volume",'2027 Avoided Costs'!$J$7,'2027 Avoided Costs'!$J$6))*IF($AE247&lt;0,$AE247*(-1),0),0)</f>
        <v>0</v>
      </c>
      <c r="BF247" s="291">
        <f t="shared" si="84"/>
        <v>1167045.3197463749</v>
      </c>
      <c r="BG247" s="291">
        <f t="shared" si="85"/>
        <v>3144202.8388697202</v>
      </c>
      <c r="BH247" s="291">
        <f t="shared" si="86"/>
        <v>-1977157.5191233454</v>
      </c>
      <c r="BI247" s="292">
        <f t="shared" si="110"/>
        <v>0.37117367407692597</v>
      </c>
      <c r="BJ247" s="196" cm="1">
        <f t="array" ref="BJ247">IFERROR(IF($J247="Baseload",IF($O247=1,0,NPV('2027 Avoided Costs'!$D$6,_xlfn._xlws.FILTER('2027 Avoided Costs'!$C$14:$C$47,('2027 Avoided Costs'!$B$14:$B$47&gt;=$B247+1)*('2027 Avoided Costs'!$B$14:$B$47&lt;$B247+ROUND($O247,0)))))+_xlfn.XLOOKUP($B247,'2027 Avoided Costs'!$B$13:$B$47,'2027 Avoided Costs'!$C$13:$C$47),IF($O247=1,0,NPV('2027 Avoided Costs'!$D$6,_xlfn._xlws.FILTER('2027 Avoided Costs'!$E$14:$E$47,('2027 Avoided Costs'!$B$14:$B$47&gt;=$B247+1)*('2027 Avoided Costs'!$B$14:$B$47&lt;$B247+ROUND($O247,0)))))+_xlfn.XLOOKUP($B247,'2027 Avoided Costs'!$B$13:$B$47,'2027 Avoided Costs'!$E$13:$E$47))*IF($AE247&gt;0,$AE247*(1+0),0),0)</f>
        <v>1014822.0171707609</v>
      </c>
      <c r="BK247" s="293">
        <f t="shared" si="108"/>
        <v>4.3368462272254735</v>
      </c>
    </row>
    <row r="248" spans="1:63" s="56" customFormat="1" x14ac:dyDescent="0.25">
      <c r="A248" s="270" t="s">
        <v>133</v>
      </c>
      <c r="B248" s="271">
        <v>2028</v>
      </c>
      <c r="C248" s="272" t="s">
        <v>11</v>
      </c>
      <c r="D248" s="272" t="s">
        <v>333</v>
      </c>
      <c r="E248" s="272" t="s">
        <v>3</v>
      </c>
      <c r="F248" s="273">
        <v>3900</v>
      </c>
      <c r="G248" s="274">
        <v>1250</v>
      </c>
      <c r="H248" s="275">
        <f t="shared" si="88"/>
        <v>1.7385257301808066</v>
      </c>
      <c r="I248" s="274">
        <v>50</v>
      </c>
      <c r="J248" s="276" t="s">
        <v>264</v>
      </c>
      <c r="K248" s="277">
        <f t="shared" si="87"/>
        <v>0.90999999999999992</v>
      </c>
      <c r="L248" s="278">
        <v>0.31</v>
      </c>
      <c r="M248" s="278">
        <v>0.22</v>
      </c>
      <c r="N248" s="278">
        <v>1</v>
      </c>
      <c r="O248" s="279">
        <v>16</v>
      </c>
      <c r="P248" s="280">
        <v>719</v>
      </c>
      <c r="Q248" s="281">
        <v>-2202</v>
      </c>
      <c r="R248" s="282">
        <v>0.30599999999999999</v>
      </c>
      <c r="S248" s="282">
        <v>-1.4910000000000001</v>
      </c>
      <c r="T248" s="281">
        <v>0</v>
      </c>
      <c r="U248" s="283">
        <v>0</v>
      </c>
      <c r="V248" s="284">
        <v>2272</v>
      </c>
      <c r="W248" s="285">
        <v>0.15</v>
      </c>
      <c r="X248" s="286" t="s">
        <v>11</v>
      </c>
      <c r="Y248" s="287">
        <f t="shared" si="89"/>
        <v>3900</v>
      </c>
      <c r="Z248" s="288">
        <f t="shared" si="90"/>
        <v>4875000</v>
      </c>
      <c r="AA248" s="288">
        <f t="shared" si="91"/>
        <v>195000</v>
      </c>
      <c r="AB248" s="288">
        <f t="shared" si="92"/>
        <v>4972500</v>
      </c>
      <c r="AC248" s="288">
        <f t="shared" si="109"/>
        <v>198354.00000000003</v>
      </c>
      <c r="AD248" s="287">
        <f t="shared" si="93"/>
        <v>2804100</v>
      </c>
      <c r="AE248" s="287">
        <f t="shared" si="94"/>
        <v>2551731</v>
      </c>
      <c r="AF248" s="287">
        <f t="shared" si="95"/>
        <v>44865600</v>
      </c>
      <c r="AG248" s="287">
        <f t="shared" si="96"/>
        <v>40827696</v>
      </c>
      <c r="AH248" s="287">
        <f t="shared" si="97"/>
        <v>-9206121.5999999996</v>
      </c>
      <c r="AI248" s="287">
        <f t="shared" si="98"/>
        <v>-8377570.6560000004</v>
      </c>
      <c r="AJ248" s="287">
        <f t="shared" si="99"/>
        <v>0</v>
      </c>
      <c r="AK248" s="287">
        <f t="shared" si="100"/>
        <v>0</v>
      </c>
      <c r="AL248" s="287">
        <f t="shared" si="101"/>
        <v>1279.3248000000001</v>
      </c>
      <c r="AM248" s="287">
        <f t="shared" si="102"/>
        <v>1164.1855679999999</v>
      </c>
      <c r="AN248" s="287">
        <f t="shared" si="103"/>
        <v>-6233.5728000000008</v>
      </c>
      <c r="AO248" s="287">
        <f t="shared" si="104"/>
        <v>-5672.5512480000007</v>
      </c>
      <c r="AP248" s="287">
        <f t="shared" si="105"/>
        <v>8860800</v>
      </c>
      <c r="AQ248" s="287">
        <f t="shared" si="106"/>
        <v>8063327.9999999991</v>
      </c>
      <c r="AR248" s="287">
        <f t="shared" si="107"/>
        <v>0</v>
      </c>
      <c r="AS248" s="289" t="e">
        <f>IF(J248='2027 Avoided Costs'!#REF!,3,5)</f>
        <v>#REF!</v>
      </c>
      <c r="AT248" s="290" cm="1">
        <f t="array" ref="AT248">IFERROR(IF($J248="Baseload",IF($O248=1,0,NPV('2027 Avoided Costs'!$D$6,_xlfn._xlws.FILTER('2027 Avoided Costs'!$C$14:$C$47,('2027 Avoided Costs'!$B$14:$B$47&gt;=$B248+1)*('2027 Avoided Costs'!$B$14:$B$47&lt;$B248+ROUND($O248,0)))))+_xlfn.XLOOKUP($B248,'2027 Avoided Costs'!$B$13:$B$47,'2027 Avoided Costs'!$C$13:$C$47),IF($O248=1,0,NPV('2027 Avoided Costs'!$D$6,_xlfn._xlws.FILTER('2027 Avoided Costs'!$E$14:$E$47,('2027 Avoided Costs'!$B$14:$B$47&gt;=$B248+1)*('2027 Avoided Costs'!$B$14:$B$47&lt;$B248+ROUND($O248,0)))))+_xlfn.XLOOKUP($B248,'2027 Avoided Costs'!$B$13:$B$47,'2027 Avoided Costs'!$E$13:$E$47))*IF($AE248&gt;0,$AE248*(1+$W248),0),0)</f>
        <v>11017775.571469214</v>
      </c>
      <c r="AU248" s="290" cm="1">
        <f t="array" ref="AU248">IFERROR((IF($O248=1,0,NPV('2027 Avoided Costs'!$D$6,_xlfn._xlws.FILTER('2027 Avoided Costs'!$M$14:$M$47,('2027 Avoided Costs'!$B$14:$B$47&gt;=$B248+1)*('2027 Avoided Costs'!$B$14:$B$47&lt;$B248+ROUND($O248,0)))))+_xlfn.XLOOKUP($B248,'2027 Avoided Costs'!$B$13:$B$47,'2027 Avoided Costs'!$M$13:$M$47))*IF($AK248&gt;0,$AK248*(1+$W248),0),0)</f>
        <v>0</v>
      </c>
      <c r="AV248" s="291" cm="1">
        <f t="array" ref="AV248">IFERROR((IF($O248=1,0,NPV('2027 Avoided Costs'!$D$6,_xlfn._xlws.FILTER('2027 Avoided Costs'!$Q$14:$Q$47,('2027 Avoided Costs'!$B$14:$B$47&gt;=$B248+1)*('2027 Avoided Costs'!$B$14:$B$47&lt;$B248+ROUND($O248,0)))))+_xlfn.XLOOKUP($B248,'2027 Avoided Costs'!$B$13:$B$47,'2027 Avoided Costs'!$Q$13:$Q$47))*IF($AI248&gt;0,$AI248*(1+$W248),0),0)</f>
        <v>0</v>
      </c>
      <c r="AW248" s="291" cm="1">
        <f t="array" ref="AW248">IFERROR((IF($O248=1,0,NPV('2027 Avoided Costs'!$D$6,_xlfn._xlws.FILTER('2027 Avoided Costs'!$W$14:$W$47,('2027 Avoided Costs'!$B$14:$B$47&gt;=$B248+1)*('2027 Avoided Costs'!$B$14:$B$47&lt;$B248+ROUND($O248,0)))))+_xlfn.XLOOKUP($B248,'2027 Avoided Costs'!$B$13:$B$47,'2027 Avoided Costs'!$W$13:$W$47))*IF($AM248&gt;0,$AM248*(1+$W248),0),0)</f>
        <v>4768381.6191413691</v>
      </c>
      <c r="AX248" s="291" cm="1">
        <f t="array" ref="AX248">IFERROR((IF($O248=1,0,NPV('2027 Avoided Costs'!$D$6,_xlfn._xlws.FILTER('2027 Avoided Costs'!$AC$14:$AC$47,('2027 Avoided Costs'!$B$14:$B$47&gt;=$B248+1)*('2027 Avoided Costs'!$B$14:$B$47&lt;$B248+ROUND($O248,0)))))+_xlfn.XLOOKUP($B248,'2027 Avoided Costs'!$B$13:$B$47,'2027 Avoided Costs'!$AC$13:$AC$47))*IF($AO248&gt;0,$AO248*(1+$W248),0),0)</f>
        <v>0</v>
      </c>
      <c r="AY248" s="291" cm="1">
        <f t="array" ref="AY248">IFERROR((IF($O248=1,0,NPV('2027 Avoided Costs'!$D$4,_xlfn._xlws.FILTER('2027 Avoided Costs'!$I$14:$I$47,('2027 Avoided Costs'!$B$14:$B$47&gt;=$B248+1)*('2027 Avoided Costs'!$B$14:$B$47&lt;$B248+ROUND($O248,0)))))+_xlfn.XLOOKUP($B248,'2027 Avoided Costs'!$B$13:$B$47,'2027 Avoided Costs'!$I$13:$I$47))*IF($X248="Residential",'2027 Avoided Costs'!$J$5,IF($X248="Large Volume",'2027 Avoided Costs'!$J$7,'2027 Avoided Costs'!$J$6))*IF($AE248&gt;0,$AE248,0),0)</f>
        <v>0</v>
      </c>
      <c r="AZ248" s="291" cm="1">
        <f t="array" ref="AZ248">IFERROR(IF($J248="Baseload",IF($O248=1,0,NPV('2027 Avoided Costs'!$D$6,_xlfn._xlws.FILTER('2027 Avoided Costs'!$C$14:$C$47,('2027 Avoided Costs'!$B$14:$B$47&gt;=$B248+1)*('2027 Avoided Costs'!$B$14:$B$47&lt;$B248+ROUND($O248,0)))))+_xlfn.XLOOKUP($B248,'2027 Avoided Costs'!$B$13:$B$47,'2027 Avoided Costs'!$C$13:$C$47),IF($O248=1,0,NPV('2027 Avoided Costs'!$D$6,_xlfn._xlws.FILTER('2027 Avoided Costs'!$E$14:$E$47,('2027 Avoided Costs'!$B$14:$B$47&gt;=$B248+1)*('2027 Avoided Costs'!$B$14:$B$47&lt;$B248+ROUND($O248,0)))))+_xlfn.XLOOKUP($B248,'2027 Avoided Costs'!$B$13:$B$47,'2027 Avoided Costs'!$E$13:$E$47))*IF($AE248&lt;0,$AE248*(-1),0),0)</f>
        <v>0</v>
      </c>
      <c r="BA248" s="291" cm="1">
        <f t="array" ref="BA248">IFERROR((IF($O248=1,0,NPV('2027 Avoided Costs'!$D$6,_xlfn._xlws.FILTER('2027 Avoided Costs'!$M$14:$M$47,('2027 Avoided Costs'!$B$14:$B$47&gt;=$B248+1)*('2027 Avoided Costs'!$B$14:$B$47&lt;$B248+ROUND($O248,0)))))+_xlfn.XLOOKUP($B248,'2027 Avoided Costs'!$B$13:$B$47,'2027 Avoided Costs'!$M$13:$M$47))*IF($AK248&lt;0,$AK248*(-1),0),0)</f>
        <v>0</v>
      </c>
      <c r="BB248" s="291" cm="1">
        <f t="array" ref="BB248">IFERROR((IF($O248=1,0,NPV('2027 Avoided Costs'!$D$6,_xlfn._xlws.FILTER('2027 Avoided Costs'!$S$14:$S$47,('2027 Avoided Costs'!$B$14:$B$47&gt;=$B248+1)*('2027 Avoided Costs'!$B$14:$B$47&lt;$B248+ROUND($O248,0)))))+_xlfn.XLOOKUP($B248,'2027 Avoided Costs'!$B$13:$B$47,'2027 Avoided Costs'!$S$13:$S$47))*IF($AI248&lt;0,$AI248*(-1),0),0)</f>
        <v>5029185.1274477076</v>
      </c>
      <c r="BC248" s="291" cm="1">
        <f t="array" ref="BC248">IFERROR((IF($O248=1,0,NPV('2027 Avoided Costs'!$D$6,_xlfn._xlws.FILTER('2027 Avoided Costs'!$Y$14:$Y$47,('2027 Avoided Costs'!$B$14:$B$47&gt;=$B248+1)*('2027 Avoided Costs'!$B$14:$B$47&lt;$B248+ROUND($O248,0)))))+_xlfn.XLOOKUP($B248,'2027 Avoided Costs'!$B$13:$B$47,'2027 Avoided Costs'!$Y$13:$Y$47))*IF($AM248&lt;0,$AM248*(-1),0),0)</f>
        <v>0</v>
      </c>
      <c r="BD248" s="291" cm="1">
        <f t="array" ref="BD248">IFERROR((IF($O248=1,0,NPV('2027 Avoided Costs'!$D$6,_xlfn._xlws.FILTER('2027 Avoided Costs'!$AE$14:$AE$47,('2027 Avoided Costs'!$B$14:$B$47&gt;=$B248+1)*('2027 Avoided Costs'!$B$14:$B$47&lt;$B248+ROUND($O248,0)))))+_xlfn.XLOOKUP($B248,'2027 Avoided Costs'!$B$13:$B$47,'2027 Avoided Costs'!$AE$13:$AE$47))*IF($AO248&lt;0,$AO248*(-1),0),0)</f>
        <v>2480103.4348339331</v>
      </c>
      <c r="BE248" s="291" cm="1">
        <f t="array" ref="BE248">IFERROR((IF($O248=1,0,NPV('2027 Avoided Costs'!$D$4,_xlfn._xlws.FILTER('2027 Avoided Costs'!$I$14:$I$47,('2027 Avoided Costs'!$B$14:$B$47&gt;=$B248+1)*('2027 Avoided Costs'!$B$14:$B$47&lt;$B248+ROUND($O248,0)))))+_xlfn.XLOOKUP($B248,'2027 Avoided Costs'!$B$13:$B$47,'2027 Avoided Costs'!$I$13:$I$47))*IF($X248="Residential",'2027 Avoided Costs'!$J$5,IF($X248="Large Volume",'2027 Avoided Costs'!$J$7,'2027 Avoided Costs'!$J$6))*IF($AE248&lt;0,$AE248*(-1),0),0)</f>
        <v>0</v>
      </c>
      <c r="BF248" s="291">
        <f t="shared" si="84"/>
        <v>15786157.190610584</v>
      </c>
      <c r="BG248" s="291">
        <f t="shared" si="85"/>
        <v>15572616.562281638</v>
      </c>
      <c r="BH248" s="291">
        <f t="shared" si="86"/>
        <v>213540.62832894549</v>
      </c>
      <c r="BI248" s="292">
        <f t="shared" si="110"/>
        <v>1.0137125721599132</v>
      </c>
      <c r="BJ248" s="196" cm="1">
        <f t="array" ref="BJ248">IFERROR(IF($J248="Baseload",IF($O248=1,0,NPV('2027 Avoided Costs'!$D$6,_xlfn._xlws.FILTER('2027 Avoided Costs'!$C$14:$C$47,('2027 Avoided Costs'!$B$14:$B$47&gt;=$B248+1)*('2027 Avoided Costs'!$B$14:$B$47&lt;$B248+ROUND($O248,0)))))+_xlfn.XLOOKUP($B248,'2027 Avoided Costs'!$B$13:$B$47,'2027 Avoided Costs'!$C$13:$C$47),IF($O248=1,0,NPV('2027 Avoided Costs'!$D$6,_xlfn._xlws.FILTER('2027 Avoided Costs'!$E$14:$E$47,('2027 Avoided Costs'!$B$14:$B$47&gt;=$B248+1)*('2027 Avoided Costs'!$B$14:$B$47&lt;$B248+ROUND($O248,0)))))+_xlfn.XLOOKUP($B248,'2027 Avoided Costs'!$B$13:$B$47,'2027 Avoided Costs'!$E$13:$E$47))*IF($AE248&gt;0,$AE248*(1+0),0),0)</f>
        <v>9580674.4099732302</v>
      </c>
      <c r="BK248" s="293">
        <f t="shared" si="108"/>
        <v>1.8528224564014435</v>
      </c>
    </row>
    <row r="249" spans="1:63" s="56" customFormat="1" x14ac:dyDescent="0.25">
      <c r="A249" s="270" t="s">
        <v>133</v>
      </c>
      <c r="B249" s="271">
        <v>2028</v>
      </c>
      <c r="C249" s="272" t="s">
        <v>11</v>
      </c>
      <c r="D249" s="272" t="s">
        <v>333</v>
      </c>
      <c r="E249" s="272" t="s">
        <v>4</v>
      </c>
      <c r="F249" s="273">
        <v>1200</v>
      </c>
      <c r="G249" s="274">
        <v>1250</v>
      </c>
      <c r="H249" s="275">
        <f t="shared" si="88"/>
        <v>1.4467592592592593</v>
      </c>
      <c r="I249" s="274">
        <v>50</v>
      </c>
      <c r="J249" s="276" t="s">
        <v>264</v>
      </c>
      <c r="K249" s="277">
        <f t="shared" si="87"/>
        <v>0.90999999999999992</v>
      </c>
      <c r="L249" s="278">
        <v>0.31</v>
      </c>
      <c r="M249" s="278">
        <v>0.22</v>
      </c>
      <c r="N249" s="278">
        <v>1</v>
      </c>
      <c r="O249" s="279">
        <v>16</v>
      </c>
      <c r="P249" s="280">
        <v>864</v>
      </c>
      <c r="Q249" s="281">
        <v>-2823</v>
      </c>
      <c r="R249" s="282">
        <v>0.251</v>
      </c>
      <c r="S249" s="282">
        <v>-1.7689999999999999</v>
      </c>
      <c r="T249" s="281">
        <v>0</v>
      </c>
      <c r="U249" s="283">
        <v>0</v>
      </c>
      <c r="V249" s="284">
        <v>2840</v>
      </c>
      <c r="W249" s="285">
        <v>0.15</v>
      </c>
      <c r="X249" s="286" t="s">
        <v>11</v>
      </c>
      <c r="Y249" s="287">
        <f t="shared" si="89"/>
        <v>1200</v>
      </c>
      <c r="Z249" s="288">
        <f t="shared" si="90"/>
        <v>1500000</v>
      </c>
      <c r="AA249" s="288">
        <f t="shared" si="91"/>
        <v>60000</v>
      </c>
      <c r="AB249" s="288">
        <f t="shared" si="92"/>
        <v>1530000</v>
      </c>
      <c r="AC249" s="288">
        <f t="shared" si="109"/>
        <v>61032.000000000007</v>
      </c>
      <c r="AD249" s="287">
        <f t="shared" si="93"/>
        <v>1036800</v>
      </c>
      <c r="AE249" s="287">
        <f t="shared" si="94"/>
        <v>943487.99999999988</v>
      </c>
      <c r="AF249" s="287">
        <f t="shared" si="95"/>
        <v>16588800</v>
      </c>
      <c r="AG249" s="287">
        <f t="shared" si="96"/>
        <v>15095807.999999998</v>
      </c>
      <c r="AH249" s="287">
        <f t="shared" si="97"/>
        <v>-3631507.2</v>
      </c>
      <c r="AI249" s="287">
        <f t="shared" si="98"/>
        <v>-3304671.5520000001</v>
      </c>
      <c r="AJ249" s="287">
        <f t="shared" si="99"/>
        <v>0</v>
      </c>
      <c r="AK249" s="287">
        <f t="shared" si="100"/>
        <v>0</v>
      </c>
      <c r="AL249" s="287">
        <f t="shared" si="101"/>
        <v>322.88639999999998</v>
      </c>
      <c r="AM249" s="287">
        <f t="shared" si="102"/>
        <v>293.82662399999998</v>
      </c>
      <c r="AN249" s="287">
        <f t="shared" si="103"/>
        <v>-2275.6415999999999</v>
      </c>
      <c r="AO249" s="287">
        <f t="shared" si="104"/>
        <v>-2070.8338559999997</v>
      </c>
      <c r="AP249" s="287">
        <f t="shared" si="105"/>
        <v>3408000</v>
      </c>
      <c r="AQ249" s="287">
        <f t="shared" si="106"/>
        <v>3101279.9999999995</v>
      </c>
      <c r="AR249" s="287">
        <f t="shared" si="107"/>
        <v>0</v>
      </c>
      <c r="AS249" s="289" t="e">
        <f>IF(J249='2027 Avoided Costs'!#REF!,3,5)</f>
        <v>#REF!</v>
      </c>
      <c r="AT249" s="290" cm="1">
        <f t="array" ref="AT249">IFERROR(IF($J249="Baseload",IF($O249=1,0,NPV('2027 Avoided Costs'!$D$6,_xlfn._xlws.FILTER('2027 Avoided Costs'!$C$14:$C$47,('2027 Avoided Costs'!$B$14:$B$47&gt;=$B249+1)*('2027 Avoided Costs'!$B$14:$B$47&lt;$B249+ROUND($O249,0)))))+_xlfn.XLOOKUP($B249,'2027 Avoided Costs'!$B$13:$B$47,'2027 Avoided Costs'!$C$13:$C$47),IF($O249=1,0,NPV('2027 Avoided Costs'!$D$6,_xlfn._xlws.FILTER('2027 Avoided Costs'!$E$14:$E$47,('2027 Avoided Costs'!$B$14:$B$47&gt;=$B249+1)*('2027 Avoided Costs'!$B$14:$B$47&lt;$B249+ROUND($O249,0)))))+_xlfn.XLOOKUP($B249,'2027 Avoided Costs'!$B$13:$B$47,'2027 Avoided Costs'!$E$13:$E$47))*IF($AE249&gt;0,$AE249*(1+$W249),0),0)</f>
        <v>4073759.7491171067</v>
      </c>
      <c r="AU249" s="290" cm="1">
        <f t="array" ref="AU249">IFERROR((IF($O249=1,0,NPV('2027 Avoided Costs'!$D$6,_xlfn._xlws.FILTER('2027 Avoided Costs'!$M$14:$M$47,('2027 Avoided Costs'!$B$14:$B$47&gt;=$B249+1)*('2027 Avoided Costs'!$B$14:$B$47&lt;$B249+ROUND($O249,0)))))+_xlfn.XLOOKUP($B249,'2027 Avoided Costs'!$B$13:$B$47,'2027 Avoided Costs'!$M$13:$M$47))*IF($AK249&gt;0,$AK249*(1+$W249),0),0)</f>
        <v>0</v>
      </c>
      <c r="AV249" s="291" cm="1">
        <f t="array" ref="AV249">IFERROR((IF($O249=1,0,NPV('2027 Avoided Costs'!$D$6,_xlfn._xlws.FILTER('2027 Avoided Costs'!$Q$14:$Q$47,('2027 Avoided Costs'!$B$14:$B$47&gt;=$B249+1)*('2027 Avoided Costs'!$B$14:$B$47&lt;$B249+ROUND($O249,0)))))+_xlfn.XLOOKUP($B249,'2027 Avoided Costs'!$B$13:$B$47,'2027 Avoided Costs'!$Q$13:$Q$47))*IF($AI249&gt;0,$AI249*(1+$W249),0),0)</f>
        <v>0</v>
      </c>
      <c r="AW249" s="291" cm="1">
        <f t="array" ref="AW249">IFERROR((IF($O249=1,0,NPV('2027 Avoided Costs'!$D$6,_xlfn._xlws.FILTER('2027 Avoided Costs'!$W$14:$W$47,('2027 Avoided Costs'!$B$14:$B$47&gt;=$B249+1)*('2027 Avoided Costs'!$B$14:$B$47&lt;$B249+ROUND($O249,0)))))+_xlfn.XLOOKUP($B249,'2027 Avoided Costs'!$B$13:$B$47,'2027 Avoided Costs'!$W$13:$W$47))*IF($AM249&gt;0,$AM249*(1+$W249),0),0)</f>
        <v>1203482.9425887216</v>
      </c>
      <c r="AX249" s="291" cm="1">
        <f t="array" ref="AX249">IFERROR((IF($O249=1,0,NPV('2027 Avoided Costs'!$D$6,_xlfn._xlws.FILTER('2027 Avoided Costs'!$AC$14:$AC$47,('2027 Avoided Costs'!$B$14:$B$47&gt;=$B249+1)*('2027 Avoided Costs'!$B$14:$B$47&lt;$B249+ROUND($O249,0)))))+_xlfn.XLOOKUP($B249,'2027 Avoided Costs'!$B$13:$B$47,'2027 Avoided Costs'!$AC$13:$AC$47))*IF($AO249&gt;0,$AO249*(1+$W249),0),0)</f>
        <v>0</v>
      </c>
      <c r="AY249" s="291" cm="1">
        <f t="array" ref="AY249">IFERROR((IF($O249=1,0,NPV('2027 Avoided Costs'!$D$4,_xlfn._xlws.FILTER('2027 Avoided Costs'!$I$14:$I$47,('2027 Avoided Costs'!$B$14:$B$47&gt;=$B249+1)*('2027 Avoided Costs'!$B$14:$B$47&lt;$B249+ROUND($O249,0)))))+_xlfn.XLOOKUP($B249,'2027 Avoided Costs'!$B$13:$B$47,'2027 Avoided Costs'!$I$13:$I$47))*IF($X249="Residential",'2027 Avoided Costs'!$J$5,IF($X249="Large Volume",'2027 Avoided Costs'!$J$7,'2027 Avoided Costs'!$J$6))*IF($AE249&gt;0,$AE249,0),0)</f>
        <v>0</v>
      </c>
      <c r="AZ249" s="291" cm="1">
        <f t="array" ref="AZ249">IFERROR(IF($J249="Baseload",IF($O249=1,0,NPV('2027 Avoided Costs'!$D$6,_xlfn._xlws.FILTER('2027 Avoided Costs'!$C$14:$C$47,('2027 Avoided Costs'!$B$14:$B$47&gt;=$B249+1)*('2027 Avoided Costs'!$B$14:$B$47&lt;$B249+ROUND($O249,0)))))+_xlfn.XLOOKUP($B249,'2027 Avoided Costs'!$B$13:$B$47,'2027 Avoided Costs'!$C$13:$C$47),IF($O249=1,0,NPV('2027 Avoided Costs'!$D$6,_xlfn._xlws.FILTER('2027 Avoided Costs'!$E$14:$E$47,('2027 Avoided Costs'!$B$14:$B$47&gt;=$B249+1)*('2027 Avoided Costs'!$B$14:$B$47&lt;$B249+ROUND($O249,0)))))+_xlfn.XLOOKUP($B249,'2027 Avoided Costs'!$B$13:$B$47,'2027 Avoided Costs'!$E$13:$E$47))*IF($AE249&lt;0,$AE249*(-1),0),0)</f>
        <v>0</v>
      </c>
      <c r="BA249" s="291" cm="1">
        <f t="array" ref="BA249">IFERROR((IF($O249=1,0,NPV('2027 Avoided Costs'!$D$6,_xlfn._xlws.FILTER('2027 Avoided Costs'!$M$14:$M$47,('2027 Avoided Costs'!$B$14:$B$47&gt;=$B249+1)*('2027 Avoided Costs'!$B$14:$B$47&lt;$B249+ROUND($O249,0)))))+_xlfn.XLOOKUP($B249,'2027 Avoided Costs'!$B$13:$B$47,'2027 Avoided Costs'!$M$13:$M$47))*IF($AK249&lt;0,$AK249*(-1),0),0)</f>
        <v>0</v>
      </c>
      <c r="BB249" s="291" cm="1">
        <f t="array" ref="BB249">IFERROR((IF($O249=1,0,NPV('2027 Avoided Costs'!$D$6,_xlfn._xlws.FILTER('2027 Avoided Costs'!$S$14:$S$47,('2027 Avoided Costs'!$B$14:$B$47&gt;=$B249+1)*('2027 Avoided Costs'!$B$14:$B$47&lt;$B249+ROUND($O249,0)))))+_xlfn.XLOOKUP($B249,'2027 Avoided Costs'!$B$13:$B$47,'2027 Avoided Costs'!$S$13:$S$47))*IF($AI249&lt;0,$AI249*(-1),0),0)</f>
        <v>1983845.4013532982</v>
      </c>
      <c r="BC249" s="291" cm="1">
        <f t="array" ref="BC249">IFERROR((IF($O249=1,0,NPV('2027 Avoided Costs'!$D$6,_xlfn._xlws.FILTER('2027 Avoided Costs'!$Y$14:$Y$47,('2027 Avoided Costs'!$B$14:$B$47&gt;=$B249+1)*('2027 Avoided Costs'!$B$14:$B$47&lt;$B249+ROUND($O249,0)))))+_xlfn.XLOOKUP($B249,'2027 Avoided Costs'!$B$13:$B$47,'2027 Avoided Costs'!$Y$13:$Y$47))*IF($AM249&lt;0,$AM249*(-1),0),0)</f>
        <v>0</v>
      </c>
      <c r="BD249" s="291" cm="1">
        <f t="array" ref="BD249">IFERROR((IF($O249=1,0,NPV('2027 Avoided Costs'!$D$6,_xlfn._xlws.FILTER('2027 Avoided Costs'!$AE$14:$AE$47,('2027 Avoided Costs'!$B$14:$B$47&gt;=$B249+1)*('2027 Avoided Costs'!$B$14:$B$47&lt;$B249+ROUND($O249,0)))))+_xlfn.XLOOKUP($B249,'2027 Avoided Costs'!$B$13:$B$47,'2027 Avoided Costs'!$AE$13:$AE$47))*IF($AO249&lt;0,$AO249*(-1),0),0)</f>
        <v>905391.93648480147</v>
      </c>
      <c r="BE249" s="291" cm="1">
        <f t="array" ref="BE249">IFERROR((IF($O249=1,0,NPV('2027 Avoided Costs'!$D$4,_xlfn._xlws.FILTER('2027 Avoided Costs'!$I$14:$I$47,('2027 Avoided Costs'!$B$14:$B$47&gt;=$B249+1)*('2027 Avoided Costs'!$B$14:$B$47&lt;$B249+ROUND($O249,0)))))+_xlfn.XLOOKUP($B249,'2027 Avoided Costs'!$B$13:$B$47,'2027 Avoided Costs'!$I$13:$I$47))*IF($X249="Residential",'2027 Avoided Costs'!$J$5,IF($X249="Large Volume",'2027 Avoided Costs'!$J$7,'2027 Avoided Costs'!$J$6))*IF($AE249&lt;0,$AE249*(-1),0),0)</f>
        <v>0</v>
      </c>
      <c r="BF249" s="291">
        <f t="shared" si="84"/>
        <v>5277242.6917058285</v>
      </c>
      <c r="BG249" s="291">
        <f t="shared" si="85"/>
        <v>5990517.3378380993</v>
      </c>
      <c r="BH249" s="291">
        <f t="shared" si="86"/>
        <v>-713274.64613227081</v>
      </c>
      <c r="BI249" s="292">
        <f t="shared" si="110"/>
        <v>0.88093271316869559</v>
      </c>
      <c r="BJ249" s="196" cm="1">
        <f t="array" ref="BJ249">IFERROR(IF($J249="Baseload",IF($O249=1,0,NPV('2027 Avoided Costs'!$D$6,_xlfn._xlws.FILTER('2027 Avoided Costs'!$C$14:$C$47,('2027 Avoided Costs'!$B$14:$B$47&gt;=$B249+1)*('2027 Avoided Costs'!$B$14:$B$47&lt;$B249+ROUND($O249,0)))))+_xlfn.XLOOKUP($B249,'2027 Avoided Costs'!$B$13:$B$47,'2027 Avoided Costs'!$C$13:$C$47),IF($O249=1,0,NPV('2027 Avoided Costs'!$D$6,_xlfn._xlws.FILTER('2027 Avoided Costs'!$E$14:$E$47,('2027 Avoided Costs'!$B$14:$B$47&gt;=$B249+1)*('2027 Avoided Costs'!$B$14:$B$47&lt;$B249+ROUND($O249,0)))))+_xlfn.XLOOKUP($B249,'2027 Avoided Costs'!$B$13:$B$47,'2027 Avoided Costs'!$E$13:$E$47))*IF($AE249&gt;0,$AE249*(1+0),0),0)</f>
        <v>3542399.7818409628</v>
      </c>
      <c r="BK249" s="293">
        <f t="shared" si="108"/>
        <v>2.2264792800150861</v>
      </c>
    </row>
    <row r="250" spans="1:63" s="56" customFormat="1" x14ac:dyDescent="0.25">
      <c r="A250" s="270" t="s">
        <v>133</v>
      </c>
      <c r="B250" s="271">
        <v>2028</v>
      </c>
      <c r="C250" s="272" t="s">
        <v>11</v>
      </c>
      <c r="D250" s="272" t="s">
        <v>333</v>
      </c>
      <c r="E250" s="272" t="s">
        <v>5</v>
      </c>
      <c r="F250" s="273">
        <v>720</v>
      </c>
      <c r="G250" s="274">
        <v>1250</v>
      </c>
      <c r="H250" s="275">
        <f t="shared" si="88"/>
        <v>1.0245901639344261</v>
      </c>
      <c r="I250" s="274">
        <v>50</v>
      </c>
      <c r="J250" s="276" t="s">
        <v>264</v>
      </c>
      <c r="K250" s="277">
        <f t="shared" si="87"/>
        <v>0.90999999999999992</v>
      </c>
      <c r="L250" s="278">
        <v>0.31</v>
      </c>
      <c r="M250" s="278">
        <v>0.22</v>
      </c>
      <c r="N250" s="278">
        <v>1</v>
      </c>
      <c r="O250" s="279">
        <v>16</v>
      </c>
      <c r="P250" s="280">
        <v>1220</v>
      </c>
      <c r="Q250" s="281">
        <v>-4479.5</v>
      </c>
      <c r="R250" s="282">
        <v>-0.1905</v>
      </c>
      <c r="S250" s="282">
        <v>-2.0495000000000001</v>
      </c>
      <c r="T250" s="281">
        <v>0</v>
      </c>
      <c r="U250" s="283">
        <v>0</v>
      </c>
      <c r="V250" s="284">
        <v>5664</v>
      </c>
      <c r="W250" s="285">
        <v>0.15</v>
      </c>
      <c r="X250" s="286" t="s">
        <v>11</v>
      </c>
      <c r="Y250" s="287">
        <f t="shared" si="89"/>
        <v>720</v>
      </c>
      <c r="Z250" s="288">
        <f t="shared" si="90"/>
        <v>900000</v>
      </c>
      <c r="AA250" s="288">
        <f t="shared" si="91"/>
        <v>36000</v>
      </c>
      <c r="AB250" s="288">
        <f t="shared" si="92"/>
        <v>918000</v>
      </c>
      <c r="AC250" s="288">
        <f t="shared" si="109"/>
        <v>36619.200000000004</v>
      </c>
      <c r="AD250" s="287">
        <f t="shared" si="93"/>
        <v>878400</v>
      </c>
      <c r="AE250" s="287">
        <f t="shared" si="94"/>
        <v>799343.99999999988</v>
      </c>
      <c r="AF250" s="287">
        <f t="shared" si="95"/>
        <v>14054400</v>
      </c>
      <c r="AG250" s="287">
        <f t="shared" si="96"/>
        <v>12789503.999999998</v>
      </c>
      <c r="AH250" s="287">
        <f t="shared" si="97"/>
        <v>-3457457.2800000003</v>
      </c>
      <c r="AI250" s="287">
        <f t="shared" si="98"/>
        <v>-3146286.1247999999</v>
      </c>
      <c r="AJ250" s="287">
        <f t="shared" si="99"/>
        <v>0</v>
      </c>
      <c r="AK250" s="287">
        <f t="shared" si="100"/>
        <v>0</v>
      </c>
      <c r="AL250" s="287">
        <f t="shared" si="101"/>
        <v>-147.03551999999999</v>
      </c>
      <c r="AM250" s="287">
        <f t="shared" si="102"/>
        <v>-133.80232319999999</v>
      </c>
      <c r="AN250" s="287">
        <f t="shared" si="103"/>
        <v>-1581.8860800000002</v>
      </c>
      <c r="AO250" s="287">
        <f t="shared" si="104"/>
        <v>-1439.5163327999999</v>
      </c>
      <c r="AP250" s="287">
        <f t="shared" si="105"/>
        <v>4078080</v>
      </c>
      <c r="AQ250" s="287">
        <f t="shared" si="106"/>
        <v>3711052.8</v>
      </c>
      <c r="AR250" s="287">
        <f t="shared" si="107"/>
        <v>0</v>
      </c>
      <c r="AS250" s="289" t="e">
        <f>IF(J250='2027 Avoided Costs'!#REF!,3,5)</f>
        <v>#REF!</v>
      </c>
      <c r="AT250" s="290" cm="1">
        <f t="array" ref="AT250">IFERROR(IF($J250="Baseload",IF($O250=1,0,NPV('2027 Avoided Costs'!$D$6,_xlfn._xlws.FILTER('2027 Avoided Costs'!$C$14:$C$47,('2027 Avoided Costs'!$B$14:$B$47&gt;=$B250+1)*('2027 Avoided Costs'!$B$14:$B$47&lt;$B250+ROUND($O250,0)))))+_xlfn.XLOOKUP($B250,'2027 Avoided Costs'!$B$13:$B$47,'2027 Avoided Costs'!$C$13:$C$47),IF($O250=1,0,NPV('2027 Avoided Costs'!$D$6,_xlfn._xlws.FILTER('2027 Avoided Costs'!$E$14:$E$47,('2027 Avoided Costs'!$B$14:$B$47&gt;=$B250+1)*('2027 Avoided Costs'!$B$14:$B$47&lt;$B250+ROUND($O250,0)))))+_xlfn.XLOOKUP($B250,'2027 Avoided Costs'!$B$13:$B$47,'2027 Avoided Costs'!$E$13:$E$47))*IF($AE250&gt;0,$AE250*(1+$W250),0),0)</f>
        <v>3451379.7874464374</v>
      </c>
      <c r="AU250" s="290" cm="1">
        <f t="array" ref="AU250">IFERROR((IF($O250=1,0,NPV('2027 Avoided Costs'!$D$6,_xlfn._xlws.FILTER('2027 Avoided Costs'!$M$14:$M$47,('2027 Avoided Costs'!$B$14:$B$47&gt;=$B250+1)*('2027 Avoided Costs'!$B$14:$B$47&lt;$B250+ROUND($O250,0)))))+_xlfn.XLOOKUP($B250,'2027 Avoided Costs'!$B$13:$B$47,'2027 Avoided Costs'!$M$13:$M$47))*IF($AK250&gt;0,$AK250*(1+$W250),0),0)</f>
        <v>0</v>
      </c>
      <c r="AV250" s="291" cm="1">
        <f t="array" ref="AV250">IFERROR((IF($O250=1,0,NPV('2027 Avoided Costs'!$D$6,_xlfn._xlws.FILTER('2027 Avoided Costs'!$Q$14:$Q$47,('2027 Avoided Costs'!$B$14:$B$47&gt;=$B250+1)*('2027 Avoided Costs'!$B$14:$B$47&lt;$B250+ROUND($O250,0)))))+_xlfn.XLOOKUP($B250,'2027 Avoided Costs'!$B$13:$B$47,'2027 Avoided Costs'!$Q$13:$Q$47))*IF($AI250&gt;0,$AI250*(1+$W250),0),0)</f>
        <v>0</v>
      </c>
      <c r="AW250" s="291" cm="1">
        <f t="array" ref="AW250">IFERROR((IF($O250=1,0,NPV('2027 Avoided Costs'!$D$6,_xlfn._xlws.FILTER('2027 Avoided Costs'!$W$14:$W$47,('2027 Avoided Costs'!$B$14:$B$47&gt;=$B250+1)*('2027 Avoided Costs'!$B$14:$B$47&lt;$B250+ROUND($O250,0)))))+_xlfn.XLOOKUP($B250,'2027 Avoided Costs'!$B$13:$B$47,'2027 Avoided Costs'!$W$13:$W$47))*IF($AM250&gt;0,$AM250*(1+$W250),0),0)</f>
        <v>0</v>
      </c>
      <c r="AX250" s="291" cm="1">
        <f t="array" ref="AX250">IFERROR((IF($O250=1,0,NPV('2027 Avoided Costs'!$D$6,_xlfn._xlws.FILTER('2027 Avoided Costs'!$AC$14:$AC$47,('2027 Avoided Costs'!$B$14:$B$47&gt;=$B250+1)*('2027 Avoided Costs'!$B$14:$B$47&lt;$B250+ROUND($O250,0)))))+_xlfn.XLOOKUP($B250,'2027 Avoided Costs'!$B$13:$B$47,'2027 Avoided Costs'!$AC$13:$AC$47))*IF($AO250&gt;0,$AO250*(1+$W250),0),0)</f>
        <v>0</v>
      </c>
      <c r="AY250" s="291" cm="1">
        <f t="array" ref="AY250">IFERROR((IF($O250=1,0,NPV('2027 Avoided Costs'!$D$4,_xlfn._xlws.FILTER('2027 Avoided Costs'!$I$14:$I$47,('2027 Avoided Costs'!$B$14:$B$47&gt;=$B250+1)*('2027 Avoided Costs'!$B$14:$B$47&lt;$B250+ROUND($O250,0)))))+_xlfn.XLOOKUP($B250,'2027 Avoided Costs'!$B$13:$B$47,'2027 Avoided Costs'!$I$13:$I$47))*IF($X250="Residential",'2027 Avoided Costs'!$J$5,IF($X250="Large Volume",'2027 Avoided Costs'!$J$7,'2027 Avoided Costs'!$J$6))*IF($AE250&gt;0,$AE250,0),0)</f>
        <v>0</v>
      </c>
      <c r="AZ250" s="291" cm="1">
        <f t="array" ref="AZ250">IFERROR(IF($J250="Baseload",IF($O250=1,0,NPV('2027 Avoided Costs'!$D$6,_xlfn._xlws.FILTER('2027 Avoided Costs'!$C$14:$C$47,('2027 Avoided Costs'!$B$14:$B$47&gt;=$B250+1)*('2027 Avoided Costs'!$B$14:$B$47&lt;$B250+ROUND($O250,0)))))+_xlfn.XLOOKUP($B250,'2027 Avoided Costs'!$B$13:$B$47,'2027 Avoided Costs'!$C$13:$C$47),IF($O250=1,0,NPV('2027 Avoided Costs'!$D$6,_xlfn._xlws.FILTER('2027 Avoided Costs'!$E$14:$E$47,('2027 Avoided Costs'!$B$14:$B$47&gt;=$B250+1)*('2027 Avoided Costs'!$B$14:$B$47&lt;$B250+ROUND($O250,0)))))+_xlfn.XLOOKUP($B250,'2027 Avoided Costs'!$B$13:$B$47,'2027 Avoided Costs'!$E$13:$E$47))*IF($AE250&lt;0,$AE250*(-1),0),0)</f>
        <v>0</v>
      </c>
      <c r="BA250" s="291" cm="1">
        <f t="array" ref="BA250">IFERROR((IF($O250=1,0,NPV('2027 Avoided Costs'!$D$6,_xlfn._xlws.FILTER('2027 Avoided Costs'!$M$14:$M$47,('2027 Avoided Costs'!$B$14:$B$47&gt;=$B250+1)*('2027 Avoided Costs'!$B$14:$B$47&lt;$B250+ROUND($O250,0)))))+_xlfn.XLOOKUP($B250,'2027 Avoided Costs'!$B$13:$B$47,'2027 Avoided Costs'!$M$13:$M$47))*IF($AK250&lt;0,$AK250*(-1),0),0)</f>
        <v>0</v>
      </c>
      <c r="BB250" s="291" cm="1">
        <f t="array" ref="BB250">IFERROR((IF($O250=1,0,NPV('2027 Avoided Costs'!$D$6,_xlfn._xlws.FILTER('2027 Avoided Costs'!$S$14:$S$47,('2027 Avoided Costs'!$B$14:$B$47&gt;=$B250+1)*('2027 Avoided Costs'!$B$14:$B$47&lt;$B250+ROUND($O250,0)))))+_xlfn.XLOOKUP($B250,'2027 Avoided Costs'!$B$13:$B$47,'2027 Avoided Costs'!$S$13:$S$47))*IF($AI250&lt;0,$AI250*(-1),0),0)</f>
        <v>1888764.1817985331</v>
      </c>
      <c r="BC250" s="291" cm="1">
        <f t="array" ref="BC250">IFERROR((IF($O250=1,0,NPV('2027 Avoided Costs'!$D$6,_xlfn._xlws.FILTER('2027 Avoided Costs'!$Y$14:$Y$47,('2027 Avoided Costs'!$B$14:$B$47&gt;=$B250+1)*('2027 Avoided Costs'!$B$14:$B$47&lt;$B250+ROUND($O250,0)))))+_xlfn.XLOOKUP($B250,'2027 Avoided Costs'!$B$13:$B$47,'2027 Avoided Costs'!$Y$13:$Y$47))*IF($AM250&lt;0,$AM250*(-1),0),0)</f>
        <v>476556.73077391612</v>
      </c>
      <c r="BD250" s="291" cm="1">
        <f t="array" ref="BD250">IFERROR((IF($O250=1,0,NPV('2027 Avoided Costs'!$D$6,_xlfn._xlws.FILTER('2027 Avoided Costs'!$AE$14:$AE$47,('2027 Avoided Costs'!$B$14:$B$47&gt;=$B250+1)*('2027 Avoided Costs'!$B$14:$B$47&lt;$B250+ROUND($O250,0)))))+_xlfn.XLOOKUP($B250,'2027 Avoided Costs'!$B$13:$B$47,'2027 Avoided Costs'!$AE$13:$AE$47))*IF($AO250&lt;0,$AO250*(-1),0),0)</f>
        <v>629372.78931337502</v>
      </c>
      <c r="BE250" s="291" cm="1">
        <f t="array" ref="BE250">IFERROR((IF($O250=1,0,NPV('2027 Avoided Costs'!$D$4,_xlfn._xlws.FILTER('2027 Avoided Costs'!$I$14:$I$47,('2027 Avoided Costs'!$B$14:$B$47&gt;=$B250+1)*('2027 Avoided Costs'!$B$14:$B$47&lt;$B250+ROUND($O250,0)))))+_xlfn.XLOOKUP($B250,'2027 Avoided Costs'!$B$13:$B$47,'2027 Avoided Costs'!$I$13:$I$47))*IF($X250="Residential",'2027 Avoided Costs'!$J$5,IF($X250="Large Volume",'2027 Avoided Costs'!$J$7,'2027 Avoided Costs'!$J$6))*IF($AE250&lt;0,$AE250*(-1),0),0)</f>
        <v>0</v>
      </c>
      <c r="BF250" s="291">
        <f t="shared" si="84"/>
        <v>3451379.7874464374</v>
      </c>
      <c r="BG250" s="291">
        <f t="shared" si="85"/>
        <v>6705746.5018858239</v>
      </c>
      <c r="BH250" s="291">
        <f t="shared" si="86"/>
        <v>-3254366.7144393865</v>
      </c>
      <c r="BI250" s="292">
        <f t="shared" si="110"/>
        <v>0.51468986882755308</v>
      </c>
      <c r="BJ250" s="196" cm="1">
        <f t="array" ref="BJ250">IFERROR(IF($J250="Baseload",IF($O250=1,0,NPV('2027 Avoided Costs'!$D$6,_xlfn._xlws.FILTER('2027 Avoided Costs'!$C$14:$C$47,('2027 Avoided Costs'!$B$14:$B$47&gt;=$B250+1)*('2027 Avoided Costs'!$B$14:$B$47&lt;$B250+ROUND($O250,0)))))+_xlfn.XLOOKUP($B250,'2027 Avoided Costs'!$B$13:$B$47,'2027 Avoided Costs'!$C$13:$C$47),IF($O250=1,0,NPV('2027 Avoided Costs'!$D$6,_xlfn._xlws.FILTER('2027 Avoided Costs'!$E$14:$E$47,('2027 Avoided Costs'!$B$14:$B$47&gt;=$B250+1)*('2027 Avoided Costs'!$B$14:$B$47&lt;$B250+ROUND($O250,0)))))+_xlfn.XLOOKUP($B250,'2027 Avoided Costs'!$B$13:$B$47,'2027 Avoided Costs'!$E$13:$E$47))*IF($AE250&gt;0,$AE250*(1+0),0),0)</f>
        <v>3001199.8151708157</v>
      </c>
      <c r="BK250" s="293">
        <f t="shared" si="108"/>
        <v>3.1438712055768581</v>
      </c>
    </row>
    <row r="251" spans="1:63" s="56" customFormat="1" x14ac:dyDescent="0.25">
      <c r="A251" s="270" t="s">
        <v>133</v>
      </c>
      <c r="B251" s="271">
        <v>2028</v>
      </c>
      <c r="C251" s="272" t="s">
        <v>11</v>
      </c>
      <c r="D251" s="272" t="s">
        <v>333</v>
      </c>
      <c r="E251" s="272" t="s">
        <v>6</v>
      </c>
      <c r="F251" s="273">
        <v>180</v>
      </c>
      <c r="G251" s="274">
        <v>1250</v>
      </c>
      <c r="H251" s="275">
        <f t="shared" si="88"/>
        <v>0.72801397786837507</v>
      </c>
      <c r="I251" s="274">
        <v>50</v>
      </c>
      <c r="J251" s="276" t="s">
        <v>264</v>
      </c>
      <c r="K251" s="277">
        <f t="shared" si="87"/>
        <v>0.90999999999999992</v>
      </c>
      <c r="L251" s="278">
        <v>0.31</v>
      </c>
      <c r="M251" s="278">
        <v>0.22</v>
      </c>
      <c r="N251" s="278">
        <v>1</v>
      </c>
      <c r="O251" s="279">
        <v>16</v>
      </c>
      <c r="P251" s="280">
        <v>1717</v>
      </c>
      <c r="Q251" s="281">
        <v>-6979.75</v>
      </c>
      <c r="R251" s="282">
        <v>-0.11200000000000004</v>
      </c>
      <c r="S251" s="282">
        <v>-2.859</v>
      </c>
      <c r="T251" s="281">
        <v>0</v>
      </c>
      <c r="U251" s="283">
        <v>0</v>
      </c>
      <c r="V251" s="284">
        <v>13612</v>
      </c>
      <c r="W251" s="285">
        <v>0.15</v>
      </c>
      <c r="X251" s="286" t="s">
        <v>11</v>
      </c>
      <c r="Y251" s="287">
        <f t="shared" si="89"/>
        <v>180</v>
      </c>
      <c r="Z251" s="288">
        <f t="shared" si="90"/>
        <v>225000</v>
      </c>
      <c r="AA251" s="288">
        <f t="shared" si="91"/>
        <v>9000</v>
      </c>
      <c r="AB251" s="288">
        <f t="shared" si="92"/>
        <v>229500</v>
      </c>
      <c r="AC251" s="288">
        <f t="shared" si="109"/>
        <v>9154.8000000000011</v>
      </c>
      <c r="AD251" s="287">
        <f t="shared" si="93"/>
        <v>309060</v>
      </c>
      <c r="AE251" s="287">
        <f t="shared" si="94"/>
        <v>281244.59999999998</v>
      </c>
      <c r="AF251" s="287">
        <f t="shared" si="95"/>
        <v>4944960</v>
      </c>
      <c r="AG251" s="287">
        <f t="shared" si="96"/>
        <v>4499913.5999999996</v>
      </c>
      <c r="AH251" s="287">
        <f t="shared" si="97"/>
        <v>-1346812.56</v>
      </c>
      <c r="AI251" s="287">
        <f t="shared" si="98"/>
        <v>-1225599.4295999999</v>
      </c>
      <c r="AJ251" s="287">
        <f t="shared" si="99"/>
        <v>0</v>
      </c>
      <c r="AK251" s="287">
        <f t="shared" si="100"/>
        <v>0</v>
      </c>
      <c r="AL251" s="287">
        <f t="shared" si="101"/>
        <v>-21.611520000000009</v>
      </c>
      <c r="AM251" s="287">
        <f t="shared" si="102"/>
        <v>-19.666483200000005</v>
      </c>
      <c r="AN251" s="287">
        <f t="shared" si="103"/>
        <v>-551.67264</v>
      </c>
      <c r="AO251" s="287">
        <f t="shared" si="104"/>
        <v>-502.02210239999994</v>
      </c>
      <c r="AP251" s="287">
        <f t="shared" si="105"/>
        <v>2450160</v>
      </c>
      <c r="AQ251" s="287">
        <f t="shared" si="106"/>
        <v>2229645.5999999996</v>
      </c>
      <c r="AR251" s="287">
        <f t="shared" si="107"/>
        <v>0</v>
      </c>
      <c r="AS251" s="289" t="e">
        <f>IF(J251='2027 Avoided Costs'!#REF!,3,5)</f>
        <v>#REF!</v>
      </c>
      <c r="AT251" s="290" cm="1">
        <f t="array" ref="AT251">IFERROR(IF($J251="Baseload",IF($O251=1,0,NPV('2027 Avoided Costs'!$D$6,_xlfn._xlws.FILTER('2027 Avoided Costs'!$C$14:$C$47,('2027 Avoided Costs'!$B$14:$B$47&gt;=$B251+1)*('2027 Avoided Costs'!$B$14:$B$47&lt;$B251+ROUND($O251,0)))))+_xlfn.XLOOKUP($B251,'2027 Avoided Costs'!$B$13:$B$47,'2027 Avoided Costs'!$C$13:$C$47),IF($O251=1,0,NPV('2027 Avoided Costs'!$D$6,_xlfn._xlws.FILTER('2027 Avoided Costs'!$E$14:$E$47,('2027 Avoided Costs'!$B$14:$B$47&gt;=$B251+1)*('2027 Avoided Costs'!$B$14:$B$47&lt;$B251+ROUND($O251,0)))))+_xlfn.XLOOKUP($B251,'2027 Avoided Costs'!$B$13:$B$47,'2027 Avoided Costs'!$E$13:$E$47))*IF($AE251&gt;0,$AE251*(1+$W251),0),0)</f>
        <v>1214348.1752142487</v>
      </c>
      <c r="AU251" s="290" cm="1">
        <f t="array" ref="AU251">IFERROR((IF($O251=1,0,NPV('2027 Avoided Costs'!$D$6,_xlfn._xlws.FILTER('2027 Avoided Costs'!$M$14:$M$47,('2027 Avoided Costs'!$B$14:$B$47&gt;=$B251+1)*('2027 Avoided Costs'!$B$14:$B$47&lt;$B251+ROUND($O251,0)))))+_xlfn.XLOOKUP($B251,'2027 Avoided Costs'!$B$13:$B$47,'2027 Avoided Costs'!$M$13:$M$47))*IF($AK251&gt;0,$AK251*(1+$W251),0),0)</f>
        <v>0</v>
      </c>
      <c r="AV251" s="291" cm="1">
        <f t="array" ref="AV251">IFERROR((IF($O251=1,0,NPV('2027 Avoided Costs'!$D$6,_xlfn._xlws.FILTER('2027 Avoided Costs'!$Q$14:$Q$47,('2027 Avoided Costs'!$B$14:$B$47&gt;=$B251+1)*('2027 Avoided Costs'!$B$14:$B$47&lt;$B251+ROUND($O251,0)))))+_xlfn.XLOOKUP($B251,'2027 Avoided Costs'!$B$13:$B$47,'2027 Avoided Costs'!$Q$13:$Q$47))*IF($AI251&gt;0,$AI251*(1+$W251),0),0)</f>
        <v>0</v>
      </c>
      <c r="AW251" s="291" cm="1">
        <f t="array" ref="AW251">IFERROR((IF($O251=1,0,NPV('2027 Avoided Costs'!$D$6,_xlfn._xlws.FILTER('2027 Avoided Costs'!$W$14:$W$47,('2027 Avoided Costs'!$B$14:$B$47&gt;=$B251+1)*('2027 Avoided Costs'!$B$14:$B$47&lt;$B251+ROUND($O251,0)))))+_xlfn.XLOOKUP($B251,'2027 Avoided Costs'!$B$13:$B$47,'2027 Avoided Costs'!$W$13:$W$47))*IF($AM251&gt;0,$AM251*(1+$W251),0),0)</f>
        <v>0</v>
      </c>
      <c r="AX251" s="291" cm="1">
        <f t="array" ref="AX251">IFERROR((IF($O251=1,0,NPV('2027 Avoided Costs'!$D$6,_xlfn._xlws.FILTER('2027 Avoided Costs'!$AC$14:$AC$47,('2027 Avoided Costs'!$B$14:$B$47&gt;=$B251+1)*('2027 Avoided Costs'!$B$14:$B$47&lt;$B251+ROUND($O251,0)))))+_xlfn.XLOOKUP($B251,'2027 Avoided Costs'!$B$13:$B$47,'2027 Avoided Costs'!$AC$13:$AC$47))*IF($AO251&gt;0,$AO251*(1+$W251),0),0)</f>
        <v>0</v>
      </c>
      <c r="AY251" s="291" cm="1">
        <f t="array" ref="AY251">IFERROR((IF($O251=1,0,NPV('2027 Avoided Costs'!$D$4,_xlfn._xlws.FILTER('2027 Avoided Costs'!$I$14:$I$47,('2027 Avoided Costs'!$B$14:$B$47&gt;=$B251+1)*('2027 Avoided Costs'!$B$14:$B$47&lt;$B251+ROUND($O251,0)))))+_xlfn.XLOOKUP($B251,'2027 Avoided Costs'!$B$13:$B$47,'2027 Avoided Costs'!$I$13:$I$47))*IF($X251="Residential",'2027 Avoided Costs'!$J$5,IF($X251="Large Volume",'2027 Avoided Costs'!$J$7,'2027 Avoided Costs'!$J$6))*IF($AE251&gt;0,$AE251,0),0)</f>
        <v>0</v>
      </c>
      <c r="AZ251" s="291" cm="1">
        <f t="array" ref="AZ251">IFERROR(IF($J251="Baseload",IF($O251=1,0,NPV('2027 Avoided Costs'!$D$6,_xlfn._xlws.FILTER('2027 Avoided Costs'!$C$14:$C$47,('2027 Avoided Costs'!$B$14:$B$47&gt;=$B251+1)*('2027 Avoided Costs'!$B$14:$B$47&lt;$B251+ROUND($O251,0)))))+_xlfn.XLOOKUP($B251,'2027 Avoided Costs'!$B$13:$B$47,'2027 Avoided Costs'!$C$13:$C$47),IF($O251=1,0,NPV('2027 Avoided Costs'!$D$6,_xlfn._xlws.FILTER('2027 Avoided Costs'!$E$14:$E$47,('2027 Avoided Costs'!$B$14:$B$47&gt;=$B251+1)*('2027 Avoided Costs'!$B$14:$B$47&lt;$B251+ROUND($O251,0)))))+_xlfn.XLOOKUP($B251,'2027 Avoided Costs'!$B$13:$B$47,'2027 Avoided Costs'!$E$13:$E$47))*IF($AE251&lt;0,$AE251*(-1),0),0)</f>
        <v>0</v>
      </c>
      <c r="BA251" s="291" cm="1">
        <f t="array" ref="BA251">IFERROR((IF($O251=1,0,NPV('2027 Avoided Costs'!$D$6,_xlfn._xlws.FILTER('2027 Avoided Costs'!$M$14:$M$47,('2027 Avoided Costs'!$B$14:$B$47&gt;=$B251+1)*('2027 Avoided Costs'!$B$14:$B$47&lt;$B251+ROUND($O251,0)))))+_xlfn.XLOOKUP($B251,'2027 Avoided Costs'!$B$13:$B$47,'2027 Avoided Costs'!$M$13:$M$47))*IF($AK251&lt;0,$AK251*(-1),0),0)</f>
        <v>0</v>
      </c>
      <c r="BB251" s="291" cm="1">
        <f t="array" ref="BB251">IFERROR((IF($O251=1,0,NPV('2027 Avoided Costs'!$D$6,_xlfn._xlws.FILTER('2027 Avoided Costs'!$S$14:$S$47,('2027 Avoided Costs'!$B$14:$B$47&gt;=$B251+1)*('2027 Avoided Costs'!$B$14:$B$47&lt;$B251+ROUND($O251,0)))))+_xlfn.XLOOKUP($B251,'2027 Avoided Costs'!$B$13:$B$47,'2027 Avoided Costs'!$S$13:$S$47))*IF($AI251&lt;0,$AI251*(-1),0),0)</f>
        <v>735746.27736958989</v>
      </c>
      <c r="BC251" s="291" cm="1">
        <f t="array" ref="BC251">IFERROR((IF($O251=1,0,NPV('2027 Avoided Costs'!$D$6,_xlfn._xlws.FILTER('2027 Avoided Costs'!$Y$14:$Y$47,('2027 Avoided Costs'!$B$14:$B$47&gt;=$B251+1)*('2027 Avoided Costs'!$B$14:$B$47&lt;$B251+ROUND($O251,0)))))+_xlfn.XLOOKUP($B251,'2027 Avoided Costs'!$B$13:$B$47,'2027 Avoided Costs'!$Y$13:$Y$47))*IF($AM251&lt;0,$AM251*(-1),0),0)</f>
        <v>70045.083788292162</v>
      </c>
      <c r="BD251" s="291" cm="1">
        <f t="array" ref="BD251">IFERROR((IF($O251=1,0,NPV('2027 Avoided Costs'!$D$6,_xlfn._xlws.FILTER('2027 Avoided Costs'!$AE$14:$AE$47,('2027 Avoided Costs'!$B$14:$B$47&gt;=$B251+1)*('2027 Avoided Costs'!$B$14:$B$47&lt;$B251+ROUND($O251,0)))))+_xlfn.XLOOKUP($B251,'2027 Avoided Costs'!$B$13:$B$47,'2027 Avoided Costs'!$AE$13:$AE$47))*IF($AO251&lt;0,$AO251*(-1),0),0)</f>
        <v>219489.72976908259</v>
      </c>
      <c r="BE251" s="291" cm="1">
        <f t="array" ref="BE251">IFERROR((IF($O251=1,0,NPV('2027 Avoided Costs'!$D$4,_xlfn._xlws.FILTER('2027 Avoided Costs'!$I$14:$I$47,('2027 Avoided Costs'!$B$14:$B$47&gt;=$B251+1)*('2027 Avoided Costs'!$B$14:$B$47&lt;$B251+ROUND($O251,0)))))+_xlfn.XLOOKUP($B251,'2027 Avoided Costs'!$B$13:$B$47,'2027 Avoided Costs'!$I$13:$I$47))*IF($X251="Residential",'2027 Avoided Costs'!$J$5,IF($X251="Large Volume",'2027 Avoided Costs'!$J$7,'2027 Avoided Costs'!$J$6))*IF($AE251&lt;0,$AE251*(-1),0),0)</f>
        <v>0</v>
      </c>
      <c r="BF251" s="291">
        <f t="shared" si="84"/>
        <v>1214348.1752142487</v>
      </c>
      <c r="BG251" s="291">
        <f t="shared" si="85"/>
        <v>3254926.6909269644</v>
      </c>
      <c r="BH251" s="291">
        <f t="shared" si="86"/>
        <v>-2040578.5157127157</v>
      </c>
      <c r="BI251" s="292">
        <f t="shared" si="110"/>
        <v>0.37308003851491256</v>
      </c>
      <c r="BJ251" s="196" cm="1">
        <f t="array" ref="BJ251">IFERROR(IF($J251="Baseload",IF($O251=1,0,NPV('2027 Avoided Costs'!$D$6,_xlfn._xlws.FILTER('2027 Avoided Costs'!$C$14:$C$47,('2027 Avoided Costs'!$B$14:$B$47&gt;=$B251+1)*('2027 Avoided Costs'!$B$14:$B$47&lt;$B251+ROUND($O251,0)))))+_xlfn.XLOOKUP($B251,'2027 Avoided Costs'!$B$13:$B$47,'2027 Avoided Costs'!$C$13:$C$47),IF($O251=1,0,NPV('2027 Avoided Costs'!$D$6,_xlfn._xlws.FILTER('2027 Avoided Costs'!$E$14:$E$47,('2027 Avoided Costs'!$B$14:$B$47&gt;=$B251+1)*('2027 Avoided Costs'!$B$14:$B$47&lt;$B251+ROUND($O251,0)))))+_xlfn.XLOOKUP($B251,'2027 Avoided Costs'!$B$13:$B$47,'2027 Avoided Costs'!$E$13:$E$47))*IF($AE251&gt;0,$AE251*(1+0),0),0)</f>
        <v>1055954.934968912</v>
      </c>
      <c r="BK251" s="293">
        <f t="shared" si="108"/>
        <v>4.4246121803077587</v>
      </c>
    </row>
    <row r="252" spans="1:63" s="56" customFormat="1" x14ac:dyDescent="0.25">
      <c r="A252" s="270" t="s">
        <v>133</v>
      </c>
      <c r="B252" s="271">
        <v>2029</v>
      </c>
      <c r="C252" s="272" t="s">
        <v>11</v>
      </c>
      <c r="D252" s="272" t="s">
        <v>333</v>
      </c>
      <c r="E252" s="272" t="s">
        <v>3</v>
      </c>
      <c r="F252" s="273">
        <v>3900</v>
      </c>
      <c r="G252" s="274">
        <v>1250</v>
      </c>
      <c r="H252" s="275">
        <f t="shared" si="88"/>
        <v>1.7385257301808066</v>
      </c>
      <c r="I252" s="274">
        <v>50</v>
      </c>
      <c r="J252" s="276" t="s">
        <v>264</v>
      </c>
      <c r="K252" s="277">
        <f t="shared" si="87"/>
        <v>0.90999999999999992</v>
      </c>
      <c r="L252" s="278">
        <v>0.31</v>
      </c>
      <c r="M252" s="278">
        <v>0.22</v>
      </c>
      <c r="N252" s="278">
        <v>1</v>
      </c>
      <c r="O252" s="279">
        <v>16</v>
      </c>
      <c r="P252" s="280">
        <v>719</v>
      </c>
      <c r="Q252" s="281">
        <v>-2202</v>
      </c>
      <c r="R252" s="282">
        <v>0.30599999999999999</v>
      </c>
      <c r="S252" s="282">
        <v>-1.4910000000000001</v>
      </c>
      <c r="T252" s="281">
        <v>0</v>
      </c>
      <c r="U252" s="283">
        <v>0</v>
      </c>
      <c r="V252" s="284">
        <v>2272</v>
      </c>
      <c r="W252" s="285">
        <v>0.15</v>
      </c>
      <c r="X252" s="286" t="s">
        <v>11</v>
      </c>
      <c r="Y252" s="287">
        <f t="shared" si="89"/>
        <v>3900</v>
      </c>
      <c r="Z252" s="288">
        <f t="shared" si="90"/>
        <v>4875000</v>
      </c>
      <c r="AA252" s="288">
        <f t="shared" si="91"/>
        <v>195000</v>
      </c>
      <c r="AB252" s="288">
        <f t="shared" si="92"/>
        <v>5071950</v>
      </c>
      <c r="AC252" s="288">
        <f t="shared" si="109"/>
        <v>201765.68880000003</v>
      </c>
      <c r="AD252" s="287">
        <f t="shared" si="93"/>
        <v>2804100</v>
      </c>
      <c r="AE252" s="287">
        <f t="shared" si="94"/>
        <v>2551731</v>
      </c>
      <c r="AF252" s="287">
        <f t="shared" si="95"/>
        <v>44865600</v>
      </c>
      <c r="AG252" s="287">
        <f t="shared" si="96"/>
        <v>40827696</v>
      </c>
      <c r="AH252" s="287">
        <f t="shared" si="97"/>
        <v>-9206121.5999999996</v>
      </c>
      <c r="AI252" s="287">
        <f t="shared" si="98"/>
        <v>-8377570.6560000004</v>
      </c>
      <c r="AJ252" s="287">
        <f t="shared" si="99"/>
        <v>0</v>
      </c>
      <c r="AK252" s="287">
        <f t="shared" si="100"/>
        <v>0</v>
      </c>
      <c r="AL252" s="287">
        <f t="shared" si="101"/>
        <v>1279.3248000000001</v>
      </c>
      <c r="AM252" s="287">
        <f t="shared" si="102"/>
        <v>1164.1855679999999</v>
      </c>
      <c r="AN252" s="287">
        <f t="shared" si="103"/>
        <v>-6233.5728000000008</v>
      </c>
      <c r="AO252" s="287">
        <f t="shared" si="104"/>
        <v>-5672.5512480000007</v>
      </c>
      <c r="AP252" s="287">
        <f t="shared" si="105"/>
        <v>8860800</v>
      </c>
      <c r="AQ252" s="287">
        <f t="shared" si="106"/>
        <v>8063327.9999999991</v>
      </c>
      <c r="AR252" s="287">
        <f t="shared" si="107"/>
        <v>0</v>
      </c>
      <c r="AS252" s="289" t="e">
        <f>IF(J252='2027 Avoided Costs'!#REF!,3,5)</f>
        <v>#REF!</v>
      </c>
      <c r="AT252" s="290" cm="1">
        <f t="array" ref="AT252">IFERROR(IF($J252="Baseload",IF($O252=1,0,NPV('2027 Avoided Costs'!$D$6,_xlfn._xlws.FILTER('2027 Avoided Costs'!$C$14:$C$47,('2027 Avoided Costs'!$B$14:$B$47&gt;=$B252+1)*('2027 Avoided Costs'!$B$14:$B$47&lt;$B252+ROUND($O252,0)))))+_xlfn.XLOOKUP($B252,'2027 Avoided Costs'!$B$13:$B$47,'2027 Avoided Costs'!$C$13:$C$47),IF($O252=1,0,NPV('2027 Avoided Costs'!$D$6,_xlfn._xlws.FILTER('2027 Avoided Costs'!$E$14:$E$47,('2027 Avoided Costs'!$B$14:$B$47&gt;=$B252+1)*('2027 Avoided Costs'!$B$14:$B$47&lt;$B252+ROUND($O252,0)))))+_xlfn.XLOOKUP($B252,'2027 Avoided Costs'!$B$13:$B$47,'2027 Avoided Costs'!$E$13:$E$47))*IF($AE252&gt;0,$AE252*(1+$W252),0),0)</f>
        <v>11417519.200997388</v>
      </c>
      <c r="AU252" s="290" cm="1">
        <f t="array" ref="AU252">IFERROR((IF($O252=1,0,NPV('2027 Avoided Costs'!$D$6,_xlfn._xlws.FILTER('2027 Avoided Costs'!$M$14:$M$47,('2027 Avoided Costs'!$B$14:$B$47&gt;=$B252+1)*('2027 Avoided Costs'!$B$14:$B$47&lt;$B252+ROUND($O252,0)))))+_xlfn.XLOOKUP($B252,'2027 Avoided Costs'!$B$13:$B$47,'2027 Avoided Costs'!$M$13:$M$47))*IF($AK252&gt;0,$AK252*(1+$W252),0),0)</f>
        <v>0</v>
      </c>
      <c r="AV252" s="291" cm="1">
        <f t="array" ref="AV252">IFERROR((IF($O252=1,0,NPV('2027 Avoided Costs'!$D$6,_xlfn._xlws.FILTER('2027 Avoided Costs'!$Q$14:$Q$47,('2027 Avoided Costs'!$B$14:$B$47&gt;=$B252+1)*('2027 Avoided Costs'!$B$14:$B$47&lt;$B252+ROUND($O252,0)))))+_xlfn.XLOOKUP($B252,'2027 Avoided Costs'!$B$13:$B$47,'2027 Avoided Costs'!$Q$13:$Q$47))*IF($AI252&gt;0,$AI252*(1+$W252),0),0)</f>
        <v>0</v>
      </c>
      <c r="AW252" s="291" cm="1">
        <f t="array" ref="AW252">IFERROR((IF($O252=1,0,NPV('2027 Avoided Costs'!$D$6,_xlfn._xlws.FILTER('2027 Avoided Costs'!$W$14:$W$47,('2027 Avoided Costs'!$B$14:$B$47&gt;=$B252+1)*('2027 Avoided Costs'!$B$14:$B$47&lt;$B252+ROUND($O252,0)))))+_xlfn.XLOOKUP($B252,'2027 Avoided Costs'!$B$13:$B$47,'2027 Avoided Costs'!$W$13:$W$47))*IF($AM252&gt;0,$AM252*(1+$W252),0),0)</f>
        <v>4713470.2795366412</v>
      </c>
      <c r="AX252" s="291" cm="1">
        <f t="array" ref="AX252">IFERROR((IF($O252=1,0,NPV('2027 Avoided Costs'!$D$6,_xlfn._xlws.FILTER('2027 Avoided Costs'!$AC$14:$AC$47,('2027 Avoided Costs'!$B$14:$B$47&gt;=$B252+1)*('2027 Avoided Costs'!$B$14:$B$47&lt;$B252+ROUND($O252,0)))))+_xlfn.XLOOKUP($B252,'2027 Avoided Costs'!$B$13:$B$47,'2027 Avoided Costs'!$AC$13:$AC$47))*IF($AO252&gt;0,$AO252*(1+$W252),0),0)</f>
        <v>0</v>
      </c>
      <c r="AY252" s="291" cm="1">
        <f t="array" ref="AY252">IFERROR((IF($O252=1,0,NPV('2027 Avoided Costs'!$D$4,_xlfn._xlws.FILTER('2027 Avoided Costs'!$I$14:$I$47,('2027 Avoided Costs'!$B$14:$B$47&gt;=$B252+1)*('2027 Avoided Costs'!$B$14:$B$47&lt;$B252+ROUND($O252,0)))))+_xlfn.XLOOKUP($B252,'2027 Avoided Costs'!$B$13:$B$47,'2027 Avoided Costs'!$I$13:$I$47))*IF($X252="Residential",'2027 Avoided Costs'!$J$5,IF($X252="Large Volume",'2027 Avoided Costs'!$J$7,'2027 Avoided Costs'!$J$6))*IF($AE252&gt;0,$AE252,0),0)</f>
        <v>0</v>
      </c>
      <c r="AZ252" s="291" cm="1">
        <f t="array" ref="AZ252">IFERROR(IF($J252="Baseload",IF($O252=1,0,NPV('2027 Avoided Costs'!$D$6,_xlfn._xlws.FILTER('2027 Avoided Costs'!$C$14:$C$47,('2027 Avoided Costs'!$B$14:$B$47&gt;=$B252+1)*('2027 Avoided Costs'!$B$14:$B$47&lt;$B252+ROUND($O252,0)))))+_xlfn.XLOOKUP($B252,'2027 Avoided Costs'!$B$13:$B$47,'2027 Avoided Costs'!$C$13:$C$47),IF($O252=1,0,NPV('2027 Avoided Costs'!$D$6,_xlfn._xlws.FILTER('2027 Avoided Costs'!$E$14:$E$47,('2027 Avoided Costs'!$B$14:$B$47&gt;=$B252+1)*('2027 Avoided Costs'!$B$14:$B$47&lt;$B252+ROUND($O252,0)))))+_xlfn.XLOOKUP($B252,'2027 Avoided Costs'!$B$13:$B$47,'2027 Avoided Costs'!$E$13:$E$47))*IF($AE252&lt;0,$AE252*(-1),0),0)</f>
        <v>0</v>
      </c>
      <c r="BA252" s="291" cm="1">
        <f t="array" ref="BA252">IFERROR((IF($O252=1,0,NPV('2027 Avoided Costs'!$D$6,_xlfn._xlws.FILTER('2027 Avoided Costs'!$M$14:$M$47,('2027 Avoided Costs'!$B$14:$B$47&gt;=$B252+1)*('2027 Avoided Costs'!$B$14:$B$47&lt;$B252+ROUND($O252,0)))))+_xlfn.XLOOKUP($B252,'2027 Avoided Costs'!$B$13:$B$47,'2027 Avoided Costs'!$M$13:$M$47))*IF($AK252&lt;0,$AK252*(-1),0),0)</f>
        <v>0</v>
      </c>
      <c r="BB252" s="291" cm="1">
        <f t="array" ref="BB252">IFERROR((IF($O252=1,0,NPV('2027 Avoided Costs'!$D$6,_xlfn._xlws.FILTER('2027 Avoided Costs'!$S$14:$S$47,('2027 Avoided Costs'!$B$14:$B$47&gt;=$B252+1)*('2027 Avoided Costs'!$B$14:$B$47&lt;$B252+ROUND($O252,0)))))+_xlfn.XLOOKUP($B252,'2027 Avoided Costs'!$B$13:$B$47,'2027 Avoided Costs'!$S$13:$S$47))*IF($AI252&lt;0,$AI252*(-1),0),0)</f>
        <v>5006142.8749570595</v>
      </c>
      <c r="BC252" s="291" cm="1">
        <f t="array" ref="BC252">IFERROR((IF($O252=1,0,NPV('2027 Avoided Costs'!$D$6,_xlfn._xlws.FILTER('2027 Avoided Costs'!$Y$14:$Y$47,('2027 Avoided Costs'!$B$14:$B$47&gt;=$B252+1)*('2027 Avoided Costs'!$B$14:$B$47&lt;$B252+ROUND($O252,0)))))+_xlfn.XLOOKUP($B252,'2027 Avoided Costs'!$B$13:$B$47,'2027 Avoided Costs'!$Y$13:$Y$47))*IF($AM252&lt;0,$AM252*(-1),0),0)</f>
        <v>0</v>
      </c>
      <c r="BD252" s="291" cm="1">
        <f t="array" ref="BD252">IFERROR((IF($O252=1,0,NPV('2027 Avoided Costs'!$D$6,_xlfn._xlws.FILTER('2027 Avoided Costs'!$AE$14:$AE$47,('2027 Avoided Costs'!$B$14:$B$47&gt;=$B252+1)*('2027 Avoided Costs'!$B$14:$B$47&lt;$B252+ROUND($O252,0)))))+_xlfn.XLOOKUP($B252,'2027 Avoided Costs'!$B$13:$B$47,'2027 Avoided Costs'!$AE$13:$AE$47))*IF($AO252&lt;0,$AO252*(-1),0),0)</f>
        <v>3907710.0786057333</v>
      </c>
      <c r="BE252" s="291" cm="1">
        <f t="array" ref="BE252">IFERROR((IF($O252=1,0,NPV('2027 Avoided Costs'!$D$4,_xlfn._xlws.FILTER('2027 Avoided Costs'!$I$14:$I$47,('2027 Avoided Costs'!$B$14:$B$47&gt;=$B252+1)*('2027 Avoided Costs'!$B$14:$B$47&lt;$B252+ROUND($O252,0)))))+_xlfn.XLOOKUP($B252,'2027 Avoided Costs'!$B$13:$B$47,'2027 Avoided Costs'!$I$13:$I$47))*IF($X252="Residential",'2027 Avoided Costs'!$J$5,IF($X252="Large Volume",'2027 Avoided Costs'!$J$7,'2027 Avoided Costs'!$J$6))*IF($AE252&lt;0,$AE252*(-1),0),0)</f>
        <v>0</v>
      </c>
      <c r="BF252" s="291">
        <f t="shared" si="84"/>
        <v>16130989.480534028</v>
      </c>
      <c r="BG252" s="291">
        <f t="shared" si="85"/>
        <v>16977180.953562792</v>
      </c>
      <c r="BH252" s="291">
        <f t="shared" si="86"/>
        <v>-846191.47302876413</v>
      </c>
      <c r="BI252" s="292">
        <f t="shared" si="110"/>
        <v>0.95015712706701261</v>
      </c>
      <c r="BJ252" s="196" cm="1">
        <f t="array" ref="BJ252">IFERROR(IF($J252="Baseload",IF($O252=1,0,NPV('2027 Avoided Costs'!$D$6,_xlfn._xlws.FILTER('2027 Avoided Costs'!$C$14:$C$47,('2027 Avoided Costs'!$B$14:$B$47&gt;=$B252+1)*('2027 Avoided Costs'!$B$14:$B$47&lt;$B252+ROUND($O252,0)))))+_xlfn.XLOOKUP($B252,'2027 Avoided Costs'!$B$13:$B$47,'2027 Avoided Costs'!$C$13:$C$47),IF($O252=1,0,NPV('2027 Avoided Costs'!$D$6,_xlfn._xlws.FILTER('2027 Avoided Costs'!$E$14:$E$47,('2027 Avoided Costs'!$B$14:$B$47&gt;=$B252+1)*('2027 Avoided Costs'!$B$14:$B$47&lt;$B252+ROUND($O252,0)))))+_xlfn.XLOOKUP($B252,'2027 Avoided Costs'!$B$13:$B$47,'2027 Avoided Costs'!$E$13:$E$47))*IF($AE252&gt;0,$AE252*(1+0),0),0)</f>
        <v>9928277.5660846848</v>
      </c>
      <c r="BK252" s="293">
        <f t="shared" si="108"/>
        <v>1.8825962854178437</v>
      </c>
    </row>
    <row r="253" spans="1:63" s="56" customFormat="1" x14ac:dyDescent="0.25">
      <c r="A253" s="270" t="s">
        <v>133</v>
      </c>
      <c r="B253" s="271">
        <v>2029</v>
      </c>
      <c r="C253" s="272" t="s">
        <v>11</v>
      </c>
      <c r="D253" s="272" t="s">
        <v>333</v>
      </c>
      <c r="E253" s="272" t="s">
        <v>4</v>
      </c>
      <c r="F253" s="273">
        <v>1200</v>
      </c>
      <c r="G253" s="274">
        <v>1250</v>
      </c>
      <c r="H253" s="275">
        <f t="shared" si="88"/>
        <v>1.4467592592592593</v>
      </c>
      <c r="I253" s="274">
        <v>50</v>
      </c>
      <c r="J253" s="276" t="s">
        <v>264</v>
      </c>
      <c r="K253" s="277">
        <f t="shared" si="87"/>
        <v>0.90999999999999992</v>
      </c>
      <c r="L253" s="278">
        <v>0.31</v>
      </c>
      <c r="M253" s="278">
        <v>0.22</v>
      </c>
      <c r="N253" s="278">
        <v>1</v>
      </c>
      <c r="O253" s="279">
        <v>16</v>
      </c>
      <c r="P253" s="280">
        <v>864</v>
      </c>
      <c r="Q253" s="281">
        <v>-2823</v>
      </c>
      <c r="R253" s="282">
        <v>0.251</v>
      </c>
      <c r="S253" s="282">
        <v>-1.7689999999999999</v>
      </c>
      <c r="T253" s="281">
        <v>0</v>
      </c>
      <c r="U253" s="283">
        <v>0</v>
      </c>
      <c r="V253" s="284">
        <v>2840</v>
      </c>
      <c r="W253" s="285">
        <v>0.15</v>
      </c>
      <c r="X253" s="286" t="s">
        <v>11</v>
      </c>
      <c r="Y253" s="287">
        <f t="shared" si="89"/>
        <v>1200</v>
      </c>
      <c r="Z253" s="288">
        <f t="shared" si="90"/>
        <v>1500000</v>
      </c>
      <c r="AA253" s="288">
        <f t="shared" si="91"/>
        <v>60000</v>
      </c>
      <c r="AB253" s="288">
        <f t="shared" si="92"/>
        <v>1560600</v>
      </c>
      <c r="AC253" s="288">
        <f t="shared" si="109"/>
        <v>62081.750400000012</v>
      </c>
      <c r="AD253" s="287">
        <f t="shared" si="93"/>
        <v>1036800</v>
      </c>
      <c r="AE253" s="287">
        <f t="shared" si="94"/>
        <v>943487.99999999988</v>
      </c>
      <c r="AF253" s="287">
        <f t="shared" si="95"/>
        <v>16588800</v>
      </c>
      <c r="AG253" s="287">
        <f t="shared" si="96"/>
        <v>15095807.999999998</v>
      </c>
      <c r="AH253" s="287">
        <f t="shared" si="97"/>
        <v>-3631507.2</v>
      </c>
      <c r="AI253" s="287">
        <f t="shared" si="98"/>
        <v>-3304671.5520000001</v>
      </c>
      <c r="AJ253" s="287">
        <f t="shared" si="99"/>
        <v>0</v>
      </c>
      <c r="AK253" s="287">
        <f t="shared" si="100"/>
        <v>0</v>
      </c>
      <c r="AL253" s="287">
        <f t="shared" si="101"/>
        <v>322.88639999999998</v>
      </c>
      <c r="AM253" s="287">
        <f t="shared" si="102"/>
        <v>293.82662399999998</v>
      </c>
      <c r="AN253" s="287">
        <f t="shared" si="103"/>
        <v>-2275.6415999999999</v>
      </c>
      <c r="AO253" s="287">
        <f t="shared" si="104"/>
        <v>-2070.8338559999997</v>
      </c>
      <c r="AP253" s="287">
        <f t="shared" si="105"/>
        <v>3408000</v>
      </c>
      <c r="AQ253" s="287">
        <f t="shared" si="106"/>
        <v>3101279.9999999995</v>
      </c>
      <c r="AR253" s="287">
        <f t="shared" si="107"/>
        <v>0</v>
      </c>
      <c r="AS253" s="289" t="e">
        <f>IF(J253='2027 Avoided Costs'!#REF!,3,5)</f>
        <v>#REF!</v>
      </c>
      <c r="AT253" s="290" cm="1">
        <f t="array" ref="AT253">IFERROR(IF($J253="Baseload",IF($O253=1,0,NPV('2027 Avoided Costs'!$D$6,_xlfn._xlws.FILTER('2027 Avoided Costs'!$C$14:$C$47,('2027 Avoided Costs'!$B$14:$B$47&gt;=$B253+1)*('2027 Avoided Costs'!$B$14:$B$47&lt;$B253+ROUND($O253,0)))))+_xlfn.XLOOKUP($B253,'2027 Avoided Costs'!$B$13:$B$47,'2027 Avoided Costs'!$C$13:$C$47),IF($O253=1,0,NPV('2027 Avoided Costs'!$D$6,_xlfn._xlws.FILTER('2027 Avoided Costs'!$E$14:$E$47,('2027 Avoided Costs'!$B$14:$B$47&gt;=$B253+1)*('2027 Avoided Costs'!$B$14:$B$47&lt;$B253+ROUND($O253,0)))))+_xlfn.XLOOKUP($B253,'2027 Avoided Costs'!$B$13:$B$47,'2027 Avoided Costs'!$E$13:$E$47))*IF($AE253&gt;0,$AE253*(1+$W253),0),0)</f>
        <v>4221562.6787896613</v>
      </c>
      <c r="AU253" s="290" cm="1">
        <f t="array" ref="AU253">IFERROR((IF($O253=1,0,NPV('2027 Avoided Costs'!$D$6,_xlfn._xlws.FILTER('2027 Avoided Costs'!$M$14:$M$47,('2027 Avoided Costs'!$B$14:$B$47&gt;=$B253+1)*('2027 Avoided Costs'!$B$14:$B$47&lt;$B253+ROUND($O253,0)))))+_xlfn.XLOOKUP($B253,'2027 Avoided Costs'!$B$13:$B$47,'2027 Avoided Costs'!$M$13:$M$47))*IF($AK253&gt;0,$AK253*(1+$W253),0),0)</f>
        <v>0</v>
      </c>
      <c r="AV253" s="291" cm="1">
        <f t="array" ref="AV253">IFERROR((IF($O253=1,0,NPV('2027 Avoided Costs'!$D$6,_xlfn._xlws.FILTER('2027 Avoided Costs'!$Q$14:$Q$47,('2027 Avoided Costs'!$B$14:$B$47&gt;=$B253+1)*('2027 Avoided Costs'!$B$14:$B$47&lt;$B253+ROUND($O253,0)))))+_xlfn.XLOOKUP($B253,'2027 Avoided Costs'!$B$13:$B$47,'2027 Avoided Costs'!$Q$13:$Q$47))*IF($AI253&gt;0,$AI253*(1+$W253),0),0)</f>
        <v>0</v>
      </c>
      <c r="AW253" s="291" cm="1">
        <f t="array" ref="AW253">IFERROR((IF($O253=1,0,NPV('2027 Avoided Costs'!$D$6,_xlfn._xlws.FILTER('2027 Avoided Costs'!$W$14:$W$47,('2027 Avoided Costs'!$B$14:$B$47&gt;=$B253+1)*('2027 Avoided Costs'!$B$14:$B$47&lt;$B253+ROUND($O253,0)))))+_xlfn.XLOOKUP($B253,'2027 Avoided Costs'!$B$13:$B$47,'2027 Avoided Costs'!$W$13:$W$47))*IF($AM253&gt;0,$AM253*(1+$W253),0),0)</f>
        <v>1189623.9720097505</v>
      </c>
      <c r="AX253" s="291" cm="1">
        <f t="array" ref="AX253">IFERROR((IF($O253=1,0,NPV('2027 Avoided Costs'!$D$6,_xlfn._xlws.FILTER('2027 Avoided Costs'!$AC$14:$AC$47,('2027 Avoided Costs'!$B$14:$B$47&gt;=$B253+1)*('2027 Avoided Costs'!$B$14:$B$47&lt;$B253+ROUND($O253,0)))))+_xlfn.XLOOKUP($B253,'2027 Avoided Costs'!$B$13:$B$47,'2027 Avoided Costs'!$AC$13:$AC$47))*IF($AO253&gt;0,$AO253*(1+$W253),0),0)</f>
        <v>0</v>
      </c>
      <c r="AY253" s="291" cm="1">
        <f t="array" ref="AY253">IFERROR((IF($O253=1,0,NPV('2027 Avoided Costs'!$D$4,_xlfn._xlws.FILTER('2027 Avoided Costs'!$I$14:$I$47,('2027 Avoided Costs'!$B$14:$B$47&gt;=$B253+1)*('2027 Avoided Costs'!$B$14:$B$47&lt;$B253+ROUND($O253,0)))))+_xlfn.XLOOKUP($B253,'2027 Avoided Costs'!$B$13:$B$47,'2027 Avoided Costs'!$I$13:$I$47))*IF($X253="Residential",'2027 Avoided Costs'!$J$5,IF($X253="Large Volume",'2027 Avoided Costs'!$J$7,'2027 Avoided Costs'!$J$6))*IF($AE253&gt;0,$AE253,0),0)</f>
        <v>0</v>
      </c>
      <c r="AZ253" s="291" cm="1">
        <f t="array" ref="AZ253">IFERROR(IF($J253="Baseload",IF($O253=1,0,NPV('2027 Avoided Costs'!$D$6,_xlfn._xlws.FILTER('2027 Avoided Costs'!$C$14:$C$47,('2027 Avoided Costs'!$B$14:$B$47&gt;=$B253+1)*('2027 Avoided Costs'!$B$14:$B$47&lt;$B253+ROUND($O253,0)))))+_xlfn.XLOOKUP($B253,'2027 Avoided Costs'!$B$13:$B$47,'2027 Avoided Costs'!$C$13:$C$47),IF($O253=1,0,NPV('2027 Avoided Costs'!$D$6,_xlfn._xlws.FILTER('2027 Avoided Costs'!$E$14:$E$47,('2027 Avoided Costs'!$B$14:$B$47&gt;=$B253+1)*('2027 Avoided Costs'!$B$14:$B$47&lt;$B253+ROUND($O253,0)))))+_xlfn.XLOOKUP($B253,'2027 Avoided Costs'!$B$13:$B$47,'2027 Avoided Costs'!$E$13:$E$47))*IF($AE253&lt;0,$AE253*(-1),0),0)</f>
        <v>0</v>
      </c>
      <c r="BA253" s="291" cm="1">
        <f t="array" ref="BA253">IFERROR((IF($O253=1,0,NPV('2027 Avoided Costs'!$D$6,_xlfn._xlws.FILTER('2027 Avoided Costs'!$M$14:$M$47,('2027 Avoided Costs'!$B$14:$B$47&gt;=$B253+1)*('2027 Avoided Costs'!$B$14:$B$47&lt;$B253+ROUND($O253,0)))))+_xlfn.XLOOKUP($B253,'2027 Avoided Costs'!$B$13:$B$47,'2027 Avoided Costs'!$M$13:$M$47))*IF($AK253&lt;0,$AK253*(-1),0),0)</f>
        <v>0</v>
      </c>
      <c r="BB253" s="291" cm="1">
        <f t="array" ref="BB253">IFERROR((IF($O253=1,0,NPV('2027 Avoided Costs'!$D$6,_xlfn._xlws.FILTER('2027 Avoided Costs'!$S$14:$S$47,('2027 Avoided Costs'!$B$14:$B$47&gt;=$B253+1)*('2027 Avoided Costs'!$B$14:$B$47&lt;$B253+ROUND($O253,0)))))+_xlfn.XLOOKUP($B253,'2027 Avoided Costs'!$B$13:$B$47,'2027 Avoided Costs'!$S$13:$S$47))*IF($AI253&lt;0,$AI253*(-1),0),0)</f>
        <v>1974756.0030746562</v>
      </c>
      <c r="BC253" s="291" cm="1">
        <f t="array" ref="BC253">IFERROR((IF($O253=1,0,NPV('2027 Avoided Costs'!$D$6,_xlfn._xlws.FILTER('2027 Avoided Costs'!$Y$14:$Y$47,('2027 Avoided Costs'!$B$14:$B$47&gt;=$B253+1)*('2027 Avoided Costs'!$B$14:$B$47&lt;$B253+ROUND($O253,0)))))+_xlfn.XLOOKUP($B253,'2027 Avoided Costs'!$B$13:$B$47,'2027 Avoided Costs'!$Y$13:$Y$47))*IF($AM253&lt;0,$AM253*(-1),0),0)</f>
        <v>0</v>
      </c>
      <c r="BD253" s="291" cm="1">
        <f t="array" ref="BD253">IFERROR((IF($O253=1,0,NPV('2027 Avoided Costs'!$D$6,_xlfn._xlws.FILTER('2027 Avoided Costs'!$AE$14:$AE$47,('2027 Avoided Costs'!$B$14:$B$47&gt;=$B253+1)*('2027 Avoided Costs'!$B$14:$B$47&lt;$B253+ROUND($O253,0)))))+_xlfn.XLOOKUP($B253,'2027 Avoided Costs'!$B$13:$B$47,'2027 Avoided Costs'!$AE$13:$AE$47))*IF($AO253&lt;0,$AO253*(-1),0),0)</f>
        <v>1426557.1127386969</v>
      </c>
      <c r="BE253" s="291" cm="1">
        <f t="array" ref="BE253">IFERROR((IF($O253=1,0,NPV('2027 Avoided Costs'!$D$4,_xlfn._xlws.FILTER('2027 Avoided Costs'!$I$14:$I$47,('2027 Avoided Costs'!$B$14:$B$47&gt;=$B253+1)*('2027 Avoided Costs'!$B$14:$B$47&lt;$B253+ROUND($O253,0)))))+_xlfn.XLOOKUP($B253,'2027 Avoided Costs'!$B$13:$B$47,'2027 Avoided Costs'!$I$13:$I$47))*IF($X253="Residential",'2027 Avoided Costs'!$J$5,IF($X253="Large Volume",'2027 Avoided Costs'!$J$7,'2027 Avoided Costs'!$J$6))*IF($AE253&lt;0,$AE253*(-1),0),0)</f>
        <v>0</v>
      </c>
      <c r="BF253" s="291">
        <f t="shared" si="84"/>
        <v>5411186.6507994123</v>
      </c>
      <c r="BG253" s="291">
        <f t="shared" si="85"/>
        <v>6502593.1158133522</v>
      </c>
      <c r="BH253" s="291">
        <f t="shared" si="86"/>
        <v>-1091406.4650139399</v>
      </c>
      <c r="BI253" s="292">
        <f t="shared" si="110"/>
        <v>0.8321582720038565</v>
      </c>
      <c r="BJ253" s="196" cm="1">
        <f t="array" ref="BJ253">IFERROR(IF($J253="Baseload",IF($O253=1,0,NPV('2027 Avoided Costs'!$D$6,_xlfn._xlws.FILTER('2027 Avoided Costs'!$C$14:$C$47,('2027 Avoided Costs'!$B$14:$B$47&gt;=$B253+1)*('2027 Avoided Costs'!$B$14:$B$47&lt;$B253+ROUND($O253,0)))))+_xlfn.XLOOKUP($B253,'2027 Avoided Costs'!$B$13:$B$47,'2027 Avoided Costs'!$C$13:$C$47),IF($O253=1,0,NPV('2027 Avoided Costs'!$D$6,_xlfn._xlws.FILTER('2027 Avoided Costs'!$E$14:$E$47,('2027 Avoided Costs'!$B$14:$B$47&gt;=$B253+1)*('2027 Avoided Costs'!$B$14:$B$47&lt;$B253+ROUND($O253,0)))))+_xlfn.XLOOKUP($B253,'2027 Avoided Costs'!$B$13:$B$47,'2027 Avoided Costs'!$E$13:$E$47))*IF($AE253&gt;0,$AE253*(1+0),0),0)</f>
        <v>3670924.0685127489</v>
      </c>
      <c r="BK253" s="293">
        <f t="shared" si="108"/>
        <v>2.2622575668998839</v>
      </c>
    </row>
    <row r="254" spans="1:63" s="56" customFormat="1" x14ac:dyDescent="0.25">
      <c r="A254" s="270" t="s">
        <v>133</v>
      </c>
      <c r="B254" s="271">
        <v>2029</v>
      </c>
      <c r="C254" s="272" t="s">
        <v>11</v>
      </c>
      <c r="D254" s="272" t="s">
        <v>333</v>
      </c>
      <c r="E254" s="272" t="s">
        <v>5</v>
      </c>
      <c r="F254" s="273">
        <v>720</v>
      </c>
      <c r="G254" s="274">
        <v>1250</v>
      </c>
      <c r="H254" s="275">
        <f t="shared" si="88"/>
        <v>1.0245901639344261</v>
      </c>
      <c r="I254" s="274">
        <v>50</v>
      </c>
      <c r="J254" s="276" t="s">
        <v>264</v>
      </c>
      <c r="K254" s="277">
        <f t="shared" si="87"/>
        <v>0.90999999999999992</v>
      </c>
      <c r="L254" s="278">
        <v>0.31</v>
      </c>
      <c r="M254" s="278">
        <v>0.22</v>
      </c>
      <c r="N254" s="278">
        <v>1</v>
      </c>
      <c r="O254" s="279">
        <v>16</v>
      </c>
      <c r="P254" s="280">
        <v>1220</v>
      </c>
      <c r="Q254" s="281">
        <v>-4479.5</v>
      </c>
      <c r="R254" s="282">
        <v>-0.1905</v>
      </c>
      <c r="S254" s="282">
        <v>-2.0495000000000001</v>
      </c>
      <c r="T254" s="281">
        <v>0</v>
      </c>
      <c r="U254" s="283">
        <v>0</v>
      </c>
      <c r="V254" s="284">
        <v>5664</v>
      </c>
      <c r="W254" s="285">
        <v>0.15</v>
      </c>
      <c r="X254" s="286" t="s">
        <v>11</v>
      </c>
      <c r="Y254" s="287">
        <f t="shared" si="89"/>
        <v>720</v>
      </c>
      <c r="Z254" s="288">
        <f t="shared" si="90"/>
        <v>900000</v>
      </c>
      <c r="AA254" s="288">
        <f t="shared" si="91"/>
        <v>36000</v>
      </c>
      <c r="AB254" s="288">
        <f t="shared" si="92"/>
        <v>936360</v>
      </c>
      <c r="AC254" s="288">
        <f t="shared" si="109"/>
        <v>37249.050240000004</v>
      </c>
      <c r="AD254" s="287">
        <f t="shared" si="93"/>
        <v>878400</v>
      </c>
      <c r="AE254" s="287">
        <f t="shared" si="94"/>
        <v>799343.99999999988</v>
      </c>
      <c r="AF254" s="287">
        <f t="shared" si="95"/>
        <v>14054400</v>
      </c>
      <c r="AG254" s="287">
        <f t="shared" si="96"/>
        <v>12789503.999999998</v>
      </c>
      <c r="AH254" s="287">
        <f t="shared" si="97"/>
        <v>-3457457.2800000003</v>
      </c>
      <c r="AI254" s="287">
        <f t="shared" si="98"/>
        <v>-3146286.1247999999</v>
      </c>
      <c r="AJ254" s="287">
        <f t="shared" si="99"/>
        <v>0</v>
      </c>
      <c r="AK254" s="287">
        <f t="shared" si="100"/>
        <v>0</v>
      </c>
      <c r="AL254" s="287">
        <f t="shared" si="101"/>
        <v>-147.03551999999999</v>
      </c>
      <c r="AM254" s="287">
        <f t="shared" si="102"/>
        <v>-133.80232319999999</v>
      </c>
      <c r="AN254" s="287">
        <f t="shared" si="103"/>
        <v>-1581.8860800000002</v>
      </c>
      <c r="AO254" s="287">
        <f t="shared" si="104"/>
        <v>-1439.5163327999999</v>
      </c>
      <c r="AP254" s="287">
        <f t="shared" si="105"/>
        <v>4078080</v>
      </c>
      <c r="AQ254" s="287">
        <f t="shared" si="106"/>
        <v>3711052.8</v>
      </c>
      <c r="AR254" s="287">
        <f t="shared" si="107"/>
        <v>0</v>
      </c>
      <c r="AS254" s="289" t="e">
        <f>IF(J254='2027 Avoided Costs'!#REF!,3,5)</f>
        <v>#REF!</v>
      </c>
      <c r="AT254" s="290" cm="1">
        <f t="array" ref="AT254">IFERROR(IF($J254="Baseload",IF($O254=1,0,NPV('2027 Avoided Costs'!$D$6,_xlfn._xlws.FILTER('2027 Avoided Costs'!$C$14:$C$47,('2027 Avoided Costs'!$B$14:$B$47&gt;=$B254+1)*('2027 Avoided Costs'!$B$14:$B$47&lt;$B254+ROUND($O254,0)))))+_xlfn.XLOOKUP($B254,'2027 Avoided Costs'!$B$13:$B$47,'2027 Avoided Costs'!$C$13:$C$47),IF($O254=1,0,NPV('2027 Avoided Costs'!$D$6,_xlfn._xlws.FILTER('2027 Avoided Costs'!$E$14:$E$47,('2027 Avoided Costs'!$B$14:$B$47&gt;=$B254+1)*('2027 Avoided Costs'!$B$14:$B$47&lt;$B254+ROUND($O254,0)))))+_xlfn.XLOOKUP($B254,'2027 Avoided Costs'!$B$13:$B$47,'2027 Avoided Costs'!$E$13:$E$47))*IF($AE254&gt;0,$AE254*(1+$W254),0),0)</f>
        <v>3576601.7139745736</v>
      </c>
      <c r="AU254" s="290" cm="1">
        <f t="array" ref="AU254">IFERROR((IF($O254=1,0,NPV('2027 Avoided Costs'!$D$6,_xlfn._xlws.FILTER('2027 Avoided Costs'!$M$14:$M$47,('2027 Avoided Costs'!$B$14:$B$47&gt;=$B254+1)*('2027 Avoided Costs'!$B$14:$B$47&lt;$B254+ROUND($O254,0)))))+_xlfn.XLOOKUP($B254,'2027 Avoided Costs'!$B$13:$B$47,'2027 Avoided Costs'!$M$13:$M$47))*IF($AK254&gt;0,$AK254*(1+$W254),0),0)</f>
        <v>0</v>
      </c>
      <c r="AV254" s="291" cm="1">
        <f t="array" ref="AV254">IFERROR((IF($O254=1,0,NPV('2027 Avoided Costs'!$D$6,_xlfn._xlws.FILTER('2027 Avoided Costs'!$Q$14:$Q$47,('2027 Avoided Costs'!$B$14:$B$47&gt;=$B254+1)*('2027 Avoided Costs'!$B$14:$B$47&lt;$B254+ROUND($O254,0)))))+_xlfn.XLOOKUP($B254,'2027 Avoided Costs'!$B$13:$B$47,'2027 Avoided Costs'!$Q$13:$Q$47))*IF($AI254&gt;0,$AI254*(1+$W254),0),0)</f>
        <v>0</v>
      </c>
      <c r="AW254" s="291" cm="1">
        <f t="array" ref="AW254">IFERROR((IF($O254=1,0,NPV('2027 Avoided Costs'!$D$6,_xlfn._xlws.FILTER('2027 Avoided Costs'!$W$14:$W$47,('2027 Avoided Costs'!$B$14:$B$47&gt;=$B254+1)*('2027 Avoided Costs'!$B$14:$B$47&lt;$B254+ROUND($O254,0)))))+_xlfn.XLOOKUP($B254,'2027 Avoided Costs'!$B$13:$B$47,'2027 Avoided Costs'!$W$13:$W$47))*IF($AM254&gt;0,$AM254*(1+$W254),0),0)</f>
        <v>0</v>
      </c>
      <c r="AX254" s="291" cm="1">
        <f t="array" ref="AX254">IFERROR((IF($O254=1,0,NPV('2027 Avoided Costs'!$D$6,_xlfn._xlws.FILTER('2027 Avoided Costs'!$AC$14:$AC$47,('2027 Avoided Costs'!$B$14:$B$47&gt;=$B254+1)*('2027 Avoided Costs'!$B$14:$B$47&lt;$B254+ROUND($O254,0)))))+_xlfn.XLOOKUP($B254,'2027 Avoided Costs'!$B$13:$B$47,'2027 Avoided Costs'!$AC$13:$AC$47))*IF($AO254&gt;0,$AO254*(1+$W254),0),0)</f>
        <v>0</v>
      </c>
      <c r="AY254" s="291" cm="1">
        <f t="array" ref="AY254">IFERROR((IF($O254=1,0,NPV('2027 Avoided Costs'!$D$4,_xlfn._xlws.FILTER('2027 Avoided Costs'!$I$14:$I$47,('2027 Avoided Costs'!$B$14:$B$47&gt;=$B254+1)*('2027 Avoided Costs'!$B$14:$B$47&lt;$B254+ROUND($O254,0)))))+_xlfn.XLOOKUP($B254,'2027 Avoided Costs'!$B$13:$B$47,'2027 Avoided Costs'!$I$13:$I$47))*IF($X254="Residential",'2027 Avoided Costs'!$J$5,IF($X254="Large Volume",'2027 Avoided Costs'!$J$7,'2027 Avoided Costs'!$J$6))*IF($AE254&gt;0,$AE254,0),0)</f>
        <v>0</v>
      </c>
      <c r="AZ254" s="291" cm="1">
        <f t="array" ref="AZ254">IFERROR(IF($J254="Baseload",IF($O254=1,0,NPV('2027 Avoided Costs'!$D$6,_xlfn._xlws.FILTER('2027 Avoided Costs'!$C$14:$C$47,('2027 Avoided Costs'!$B$14:$B$47&gt;=$B254+1)*('2027 Avoided Costs'!$B$14:$B$47&lt;$B254+ROUND($O254,0)))))+_xlfn.XLOOKUP($B254,'2027 Avoided Costs'!$B$13:$B$47,'2027 Avoided Costs'!$C$13:$C$47),IF($O254=1,0,NPV('2027 Avoided Costs'!$D$6,_xlfn._xlws.FILTER('2027 Avoided Costs'!$E$14:$E$47,('2027 Avoided Costs'!$B$14:$B$47&gt;=$B254+1)*('2027 Avoided Costs'!$B$14:$B$47&lt;$B254+ROUND($O254,0)))))+_xlfn.XLOOKUP($B254,'2027 Avoided Costs'!$B$13:$B$47,'2027 Avoided Costs'!$E$13:$E$47))*IF($AE254&lt;0,$AE254*(-1),0),0)</f>
        <v>0</v>
      </c>
      <c r="BA254" s="291" cm="1">
        <f t="array" ref="BA254">IFERROR((IF($O254=1,0,NPV('2027 Avoided Costs'!$D$6,_xlfn._xlws.FILTER('2027 Avoided Costs'!$M$14:$M$47,('2027 Avoided Costs'!$B$14:$B$47&gt;=$B254+1)*('2027 Avoided Costs'!$B$14:$B$47&lt;$B254+ROUND($O254,0)))))+_xlfn.XLOOKUP($B254,'2027 Avoided Costs'!$B$13:$B$47,'2027 Avoided Costs'!$M$13:$M$47))*IF($AK254&lt;0,$AK254*(-1),0),0)</f>
        <v>0</v>
      </c>
      <c r="BB254" s="291" cm="1">
        <f t="array" ref="BB254">IFERROR((IF($O254=1,0,NPV('2027 Avoided Costs'!$D$6,_xlfn._xlws.FILTER('2027 Avoided Costs'!$S$14:$S$47,('2027 Avoided Costs'!$B$14:$B$47&gt;=$B254+1)*('2027 Avoided Costs'!$B$14:$B$47&lt;$B254+ROUND($O254,0)))))+_xlfn.XLOOKUP($B254,'2027 Avoided Costs'!$B$13:$B$47,'2027 Avoided Costs'!$S$13:$S$47))*IF($AI254&lt;0,$AI254*(-1),0),0)</f>
        <v>1880110.4178050845</v>
      </c>
      <c r="BC254" s="291" cm="1">
        <f t="array" ref="BC254">IFERROR((IF($O254=1,0,NPV('2027 Avoided Costs'!$D$6,_xlfn._xlws.FILTER('2027 Avoided Costs'!$Y$14:$Y$47,('2027 Avoided Costs'!$B$14:$B$47&gt;=$B254+1)*('2027 Avoided Costs'!$B$14:$B$47&lt;$B254+ROUND($O254,0)))))+_xlfn.XLOOKUP($B254,'2027 Avoided Costs'!$B$13:$B$47,'2027 Avoided Costs'!$Y$13:$Y$47))*IF($AM254&lt;0,$AM254*(-1),0),0)</f>
        <v>471068.83769518271</v>
      </c>
      <c r="BD254" s="291" cm="1">
        <f t="array" ref="BD254">IFERROR((IF($O254=1,0,NPV('2027 Avoided Costs'!$D$6,_xlfn._xlws.FILTER('2027 Avoided Costs'!$AE$14:$AE$47,('2027 Avoided Costs'!$B$14:$B$47&gt;=$B254+1)*('2027 Avoided Costs'!$B$14:$B$47&lt;$B254+ROUND($O254,0)))))+_xlfn.XLOOKUP($B254,'2027 Avoided Costs'!$B$13:$B$47,'2027 Avoided Costs'!$AE$13:$AE$47))*IF($AO254&lt;0,$AO254*(-1),0),0)</f>
        <v>991654.76627177815</v>
      </c>
      <c r="BE254" s="291" cm="1">
        <f t="array" ref="BE254">IFERROR((IF($O254=1,0,NPV('2027 Avoided Costs'!$D$4,_xlfn._xlws.FILTER('2027 Avoided Costs'!$I$14:$I$47,('2027 Avoided Costs'!$B$14:$B$47&gt;=$B254+1)*('2027 Avoided Costs'!$B$14:$B$47&lt;$B254+ROUND($O254,0)))))+_xlfn.XLOOKUP($B254,'2027 Avoided Costs'!$B$13:$B$47,'2027 Avoided Costs'!$I$13:$I$47))*IF($X254="Residential",'2027 Avoided Costs'!$J$5,IF($X254="Large Volume",'2027 Avoided Costs'!$J$7,'2027 Avoided Costs'!$J$6))*IF($AE254&lt;0,$AE254*(-1),0),0)</f>
        <v>0</v>
      </c>
      <c r="BF254" s="291">
        <f t="shared" si="84"/>
        <v>3576601.7139745736</v>
      </c>
      <c r="BG254" s="291">
        <f t="shared" si="85"/>
        <v>7053886.8217720455</v>
      </c>
      <c r="BH254" s="291">
        <f t="shared" si="86"/>
        <v>-3477285.1077974718</v>
      </c>
      <c r="BI254" s="292">
        <f t="shared" si="110"/>
        <v>0.50703984970885541</v>
      </c>
      <c r="BJ254" s="196" cm="1">
        <f t="array" ref="BJ254">IFERROR(IF($J254="Baseload",IF($O254=1,0,NPV('2027 Avoided Costs'!$D$6,_xlfn._xlws.FILTER('2027 Avoided Costs'!$C$14:$C$47,('2027 Avoided Costs'!$B$14:$B$47&gt;=$B254+1)*('2027 Avoided Costs'!$B$14:$B$47&lt;$B254+ROUND($O254,0)))))+_xlfn.XLOOKUP($B254,'2027 Avoided Costs'!$B$13:$B$47,'2027 Avoided Costs'!$C$13:$C$47),IF($O254=1,0,NPV('2027 Avoided Costs'!$D$6,_xlfn._xlws.FILTER('2027 Avoided Costs'!$E$14:$E$47,('2027 Avoided Costs'!$B$14:$B$47&gt;=$B254+1)*('2027 Avoided Costs'!$B$14:$B$47&lt;$B254+ROUND($O254,0)))))+_xlfn.XLOOKUP($B254,'2027 Avoided Costs'!$B$13:$B$47,'2027 Avoided Costs'!$E$13:$E$47))*IF($AE254&gt;0,$AE254*(1+0),0),0)</f>
        <v>3110088.4469344122</v>
      </c>
      <c r="BK254" s="293">
        <f t="shared" si="108"/>
        <v>3.1943914717799289</v>
      </c>
    </row>
    <row r="255" spans="1:63" s="56" customFormat="1" x14ac:dyDescent="0.25">
      <c r="A255" s="270" t="s">
        <v>133</v>
      </c>
      <c r="B255" s="271">
        <v>2029</v>
      </c>
      <c r="C255" s="272" t="s">
        <v>11</v>
      </c>
      <c r="D255" s="272" t="s">
        <v>333</v>
      </c>
      <c r="E255" s="272" t="s">
        <v>6</v>
      </c>
      <c r="F255" s="273">
        <v>180</v>
      </c>
      <c r="G255" s="274">
        <v>1250</v>
      </c>
      <c r="H255" s="275">
        <f t="shared" si="88"/>
        <v>0.72801397786837507</v>
      </c>
      <c r="I255" s="274">
        <v>50</v>
      </c>
      <c r="J255" s="276" t="s">
        <v>264</v>
      </c>
      <c r="K255" s="277">
        <f t="shared" si="87"/>
        <v>0.90999999999999992</v>
      </c>
      <c r="L255" s="278">
        <v>0.31</v>
      </c>
      <c r="M255" s="278">
        <v>0.22</v>
      </c>
      <c r="N255" s="278">
        <v>1</v>
      </c>
      <c r="O255" s="279">
        <v>16</v>
      </c>
      <c r="P255" s="280">
        <v>1717</v>
      </c>
      <c r="Q255" s="281">
        <v>-6979.75</v>
      </c>
      <c r="R255" s="282">
        <v>-0.11200000000000004</v>
      </c>
      <c r="S255" s="282">
        <v>-2.859</v>
      </c>
      <c r="T255" s="281">
        <v>0</v>
      </c>
      <c r="U255" s="283">
        <v>0</v>
      </c>
      <c r="V255" s="284">
        <v>13612</v>
      </c>
      <c r="W255" s="285">
        <v>0.15</v>
      </c>
      <c r="X255" s="286" t="s">
        <v>11</v>
      </c>
      <c r="Y255" s="287">
        <f t="shared" si="89"/>
        <v>180</v>
      </c>
      <c r="Z255" s="288">
        <f t="shared" si="90"/>
        <v>225000</v>
      </c>
      <c r="AA255" s="288">
        <f t="shared" si="91"/>
        <v>9000</v>
      </c>
      <c r="AB255" s="288">
        <f t="shared" si="92"/>
        <v>234090</v>
      </c>
      <c r="AC255" s="288">
        <f t="shared" si="109"/>
        <v>9312.262560000001</v>
      </c>
      <c r="AD255" s="287">
        <f t="shared" si="93"/>
        <v>309060</v>
      </c>
      <c r="AE255" s="287">
        <f t="shared" si="94"/>
        <v>281244.59999999998</v>
      </c>
      <c r="AF255" s="287">
        <f t="shared" si="95"/>
        <v>4944960</v>
      </c>
      <c r="AG255" s="287">
        <f t="shared" si="96"/>
        <v>4499913.5999999996</v>
      </c>
      <c r="AH255" s="287">
        <f t="shared" si="97"/>
        <v>-1346812.56</v>
      </c>
      <c r="AI255" s="287">
        <f t="shared" si="98"/>
        <v>-1225599.4295999999</v>
      </c>
      <c r="AJ255" s="287">
        <f t="shared" si="99"/>
        <v>0</v>
      </c>
      <c r="AK255" s="287">
        <f t="shared" si="100"/>
        <v>0</v>
      </c>
      <c r="AL255" s="287">
        <f t="shared" si="101"/>
        <v>-21.611520000000009</v>
      </c>
      <c r="AM255" s="287">
        <f t="shared" si="102"/>
        <v>-19.666483200000005</v>
      </c>
      <c r="AN255" s="287">
        <f t="shared" si="103"/>
        <v>-551.67264</v>
      </c>
      <c r="AO255" s="287">
        <f t="shared" si="104"/>
        <v>-502.02210239999994</v>
      </c>
      <c r="AP255" s="287">
        <f t="shared" si="105"/>
        <v>2450160</v>
      </c>
      <c r="AQ255" s="287">
        <f t="shared" si="106"/>
        <v>2229645.5999999996</v>
      </c>
      <c r="AR255" s="287">
        <f t="shared" si="107"/>
        <v>0</v>
      </c>
      <c r="AS255" s="289" t="e">
        <f>IF(J255='2027 Avoided Costs'!#REF!,3,5)</f>
        <v>#REF!</v>
      </c>
      <c r="AT255" s="290" cm="1">
        <f t="array" ref="AT255">IFERROR(IF($J255="Baseload",IF($O255=1,0,NPV('2027 Avoided Costs'!$D$6,_xlfn._xlws.FILTER('2027 Avoided Costs'!$C$14:$C$47,('2027 Avoided Costs'!$B$14:$B$47&gt;=$B255+1)*('2027 Avoided Costs'!$B$14:$B$47&lt;$B255+ROUND($O255,0)))))+_xlfn.XLOOKUP($B255,'2027 Avoided Costs'!$B$13:$B$47,'2027 Avoided Costs'!$C$13:$C$47),IF($O255=1,0,NPV('2027 Avoided Costs'!$D$6,_xlfn._xlws.FILTER('2027 Avoided Costs'!$E$14:$E$47,('2027 Avoided Costs'!$B$14:$B$47&gt;=$B255+1)*('2027 Avoided Costs'!$B$14:$B$47&lt;$B255+ROUND($O255,0)))))+_xlfn.XLOOKUP($B255,'2027 Avoided Costs'!$B$13:$B$47,'2027 Avoided Costs'!$E$13:$E$47))*IF($AE255&gt;0,$AE255*(1+$W255),0),0)</f>
        <v>1258406.7915767096</v>
      </c>
      <c r="AU255" s="290" cm="1">
        <f t="array" ref="AU255">IFERROR((IF($O255=1,0,NPV('2027 Avoided Costs'!$D$6,_xlfn._xlws.FILTER('2027 Avoided Costs'!$M$14:$M$47,('2027 Avoided Costs'!$B$14:$B$47&gt;=$B255+1)*('2027 Avoided Costs'!$B$14:$B$47&lt;$B255+ROUND($O255,0)))))+_xlfn.XLOOKUP($B255,'2027 Avoided Costs'!$B$13:$B$47,'2027 Avoided Costs'!$M$13:$M$47))*IF($AK255&gt;0,$AK255*(1+$W255),0),0)</f>
        <v>0</v>
      </c>
      <c r="AV255" s="291" cm="1">
        <f t="array" ref="AV255">IFERROR((IF($O255=1,0,NPV('2027 Avoided Costs'!$D$6,_xlfn._xlws.FILTER('2027 Avoided Costs'!$Q$14:$Q$47,('2027 Avoided Costs'!$B$14:$B$47&gt;=$B255+1)*('2027 Avoided Costs'!$B$14:$B$47&lt;$B255+ROUND($O255,0)))))+_xlfn.XLOOKUP($B255,'2027 Avoided Costs'!$B$13:$B$47,'2027 Avoided Costs'!$Q$13:$Q$47))*IF($AI255&gt;0,$AI255*(1+$W255),0),0)</f>
        <v>0</v>
      </c>
      <c r="AW255" s="291" cm="1">
        <f t="array" ref="AW255">IFERROR((IF($O255=1,0,NPV('2027 Avoided Costs'!$D$6,_xlfn._xlws.FILTER('2027 Avoided Costs'!$W$14:$W$47,('2027 Avoided Costs'!$B$14:$B$47&gt;=$B255+1)*('2027 Avoided Costs'!$B$14:$B$47&lt;$B255+ROUND($O255,0)))))+_xlfn.XLOOKUP($B255,'2027 Avoided Costs'!$B$13:$B$47,'2027 Avoided Costs'!$W$13:$W$47))*IF($AM255&gt;0,$AM255*(1+$W255),0),0)</f>
        <v>0</v>
      </c>
      <c r="AX255" s="291" cm="1">
        <f t="array" ref="AX255">IFERROR((IF($O255=1,0,NPV('2027 Avoided Costs'!$D$6,_xlfn._xlws.FILTER('2027 Avoided Costs'!$AC$14:$AC$47,('2027 Avoided Costs'!$B$14:$B$47&gt;=$B255+1)*('2027 Avoided Costs'!$B$14:$B$47&lt;$B255+ROUND($O255,0)))))+_xlfn.XLOOKUP($B255,'2027 Avoided Costs'!$B$13:$B$47,'2027 Avoided Costs'!$AC$13:$AC$47))*IF($AO255&gt;0,$AO255*(1+$W255),0),0)</f>
        <v>0</v>
      </c>
      <c r="AY255" s="291" cm="1">
        <f t="array" ref="AY255">IFERROR((IF($O255=1,0,NPV('2027 Avoided Costs'!$D$4,_xlfn._xlws.FILTER('2027 Avoided Costs'!$I$14:$I$47,('2027 Avoided Costs'!$B$14:$B$47&gt;=$B255+1)*('2027 Avoided Costs'!$B$14:$B$47&lt;$B255+ROUND($O255,0)))))+_xlfn.XLOOKUP($B255,'2027 Avoided Costs'!$B$13:$B$47,'2027 Avoided Costs'!$I$13:$I$47))*IF($X255="Residential",'2027 Avoided Costs'!$J$5,IF($X255="Large Volume",'2027 Avoided Costs'!$J$7,'2027 Avoided Costs'!$J$6))*IF($AE255&gt;0,$AE255,0),0)</f>
        <v>0</v>
      </c>
      <c r="AZ255" s="291" cm="1">
        <f t="array" ref="AZ255">IFERROR(IF($J255="Baseload",IF($O255=1,0,NPV('2027 Avoided Costs'!$D$6,_xlfn._xlws.FILTER('2027 Avoided Costs'!$C$14:$C$47,('2027 Avoided Costs'!$B$14:$B$47&gt;=$B255+1)*('2027 Avoided Costs'!$B$14:$B$47&lt;$B255+ROUND($O255,0)))))+_xlfn.XLOOKUP($B255,'2027 Avoided Costs'!$B$13:$B$47,'2027 Avoided Costs'!$C$13:$C$47),IF($O255=1,0,NPV('2027 Avoided Costs'!$D$6,_xlfn._xlws.FILTER('2027 Avoided Costs'!$E$14:$E$47,('2027 Avoided Costs'!$B$14:$B$47&gt;=$B255+1)*('2027 Avoided Costs'!$B$14:$B$47&lt;$B255+ROUND($O255,0)))))+_xlfn.XLOOKUP($B255,'2027 Avoided Costs'!$B$13:$B$47,'2027 Avoided Costs'!$E$13:$E$47))*IF($AE255&lt;0,$AE255*(-1),0),0)</f>
        <v>0</v>
      </c>
      <c r="BA255" s="291" cm="1">
        <f t="array" ref="BA255">IFERROR((IF($O255=1,0,NPV('2027 Avoided Costs'!$D$6,_xlfn._xlws.FILTER('2027 Avoided Costs'!$M$14:$M$47,('2027 Avoided Costs'!$B$14:$B$47&gt;=$B255+1)*('2027 Avoided Costs'!$B$14:$B$47&lt;$B255+ROUND($O255,0)))))+_xlfn.XLOOKUP($B255,'2027 Avoided Costs'!$B$13:$B$47,'2027 Avoided Costs'!$M$13:$M$47))*IF($AK255&lt;0,$AK255*(-1),0),0)</f>
        <v>0</v>
      </c>
      <c r="BB255" s="291" cm="1">
        <f t="array" ref="BB255">IFERROR((IF($O255=1,0,NPV('2027 Avoided Costs'!$D$6,_xlfn._xlws.FILTER('2027 Avoided Costs'!$S$14:$S$47,('2027 Avoided Costs'!$B$14:$B$47&gt;=$B255+1)*('2027 Avoided Costs'!$B$14:$B$47&lt;$B255+ROUND($O255,0)))))+_xlfn.XLOOKUP($B255,'2027 Avoided Costs'!$B$13:$B$47,'2027 Avoided Costs'!$S$13:$S$47))*IF($AI255&lt;0,$AI255*(-1),0),0)</f>
        <v>732375.30353136722</v>
      </c>
      <c r="BC255" s="291" cm="1">
        <f t="array" ref="BC255">IFERROR((IF($O255=1,0,NPV('2027 Avoided Costs'!$D$6,_xlfn._xlws.FILTER('2027 Avoided Costs'!$Y$14:$Y$47,('2027 Avoided Costs'!$B$14:$B$47&gt;=$B255+1)*('2027 Avoided Costs'!$B$14:$B$47&lt;$B255+ROUND($O255,0)))))+_xlfn.XLOOKUP($B255,'2027 Avoided Costs'!$B$13:$B$47,'2027 Avoided Costs'!$Y$13:$Y$47))*IF($AM255&lt;0,$AM255*(-1),0),0)</f>
        <v>69238.464333150245</v>
      </c>
      <c r="BD255" s="291" cm="1">
        <f t="array" ref="BD255">IFERROR((IF($O255=1,0,NPV('2027 Avoided Costs'!$D$6,_xlfn._xlws.FILTER('2027 Avoided Costs'!$AE$14:$AE$47,('2027 Avoided Costs'!$B$14:$B$47&gt;=$B255+1)*('2027 Avoided Costs'!$B$14:$B$47&lt;$B255+ROUND($O255,0)))))+_xlfn.XLOOKUP($B255,'2027 Avoided Costs'!$B$13:$B$47,'2027 Avoided Costs'!$AE$13:$AE$47))*IF($AO255&lt;0,$AO255*(-1),0),0)</f>
        <v>345833.24917919171</v>
      </c>
      <c r="BE255" s="291" cm="1">
        <f t="array" ref="BE255">IFERROR((IF($O255=1,0,NPV('2027 Avoided Costs'!$D$4,_xlfn._xlws.FILTER('2027 Avoided Costs'!$I$14:$I$47,('2027 Avoided Costs'!$B$14:$B$47&gt;=$B255+1)*('2027 Avoided Costs'!$B$14:$B$47&lt;$B255+ROUND($O255,0)))))+_xlfn.XLOOKUP($B255,'2027 Avoided Costs'!$B$13:$B$47,'2027 Avoided Costs'!$I$13:$I$47))*IF($X255="Residential",'2027 Avoided Costs'!$J$5,IF($X255="Large Volume",'2027 Avoided Costs'!$J$7,'2027 Avoided Costs'!$J$6))*IF($AE255&lt;0,$AE255*(-1),0),0)</f>
        <v>0</v>
      </c>
      <c r="BF255" s="291">
        <f t="shared" si="84"/>
        <v>1258406.7915767096</v>
      </c>
      <c r="BG255" s="291">
        <f t="shared" si="85"/>
        <v>3377092.6170437085</v>
      </c>
      <c r="BH255" s="291">
        <f t="shared" si="86"/>
        <v>-2118685.8254669989</v>
      </c>
      <c r="BI255" s="292">
        <f t="shared" si="110"/>
        <v>0.37263022791430372</v>
      </c>
      <c r="BJ255" s="196" cm="1">
        <f t="array" ref="BJ255">IFERROR(IF($J255="Baseload",IF($O255=1,0,NPV('2027 Avoided Costs'!$D$6,_xlfn._xlws.FILTER('2027 Avoided Costs'!$C$14:$C$47,('2027 Avoided Costs'!$B$14:$B$47&gt;=$B255+1)*('2027 Avoided Costs'!$B$14:$B$47&lt;$B255+ROUND($O255,0)))))+_xlfn.XLOOKUP($B255,'2027 Avoided Costs'!$B$13:$B$47,'2027 Avoided Costs'!$C$13:$C$47),IF($O255=1,0,NPV('2027 Avoided Costs'!$D$6,_xlfn._xlws.FILTER('2027 Avoided Costs'!$E$14:$E$47,('2027 Avoided Costs'!$B$14:$B$47&gt;=$B255+1)*('2027 Avoided Costs'!$B$14:$B$47&lt;$B255+ROUND($O255,0)))))+_xlfn.XLOOKUP($B255,'2027 Avoided Costs'!$B$13:$B$47,'2027 Avoided Costs'!$E$13:$E$47))*IF($AE255&gt;0,$AE255*(1+0),0),0)</f>
        <v>1094266.7752840957</v>
      </c>
      <c r="BK255" s="293">
        <f t="shared" si="108"/>
        <v>4.4957132434804414</v>
      </c>
    </row>
    <row r="256" spans="1:63" s="56" customFormat="1" x14ac:dyDescent="0.25">
      <c r="A256" s="270" t="s">
        <v>133</v>
      </c>
      <c r="B256" s="271">
        <v>2030</v>
      </c>
      <c r="C256" s="272" t="s">
        <v>11</v>
      </c>
      <c r="D256" s="272" t="s">
        <v>333</v>
      </c>
      <c r="E256" s="272" t="s">
        <v>3</v>
      </c>
      <c r="F256" s="273">
        <v>3900</v>
      </c>
      <c r="G256" s="274">
        <v>1250</v>
      </c>
      <c r="H256" s="275">
        <f t="shared" si="88"/>
        <v>1.7385257301808066</v>
      </c>
      <c r="I256" s="274">
        <v>50</v>
      </c>
      <c r="J256" s="276" t="s">
        <v>264</v>
      </c>
      <c r="K256" s="277">
        <f t="shared" si="87"/>
        <v>0.90999999999999992</v>
      </c>
      <c r="L256" s="278">
        <v>0.31</v>
      </c>
      <c r="M256" s="278">
        <v>0.22</v>
      </c>
      <c r="N256" s="278">
        <v>1</v>
      </c>
      <c r="O256" s="279">
        <v>16</v>
      </c>
      <c r="P256" s="280">
        <v>719</v>
      </c>
      <c r="Q256" s="281">
        <v>-2202</v>
      </c>
      <c r="R256" s="282">
        <v>0.30599999999999999</v>
      </c>
      <c r="S256" s="282">
        <v>-1.4910000000000001</v>
      </c>
      <c r="T256" s="281">
        <v>0</v>
      </c>
      <c r="U256" s="283">
        <v>0</v>
      </c>
      <c r="V256" s="284">
        <v>2272</v>
      </c>
      <c r="W256" s="285">
        <v>0.15</v>
      </c>
      <c r="X256" s="286" t="s">
        <v>11</v>
      </c>
      <c r="Y256" s="287">
        <f t="shared" si="89"/>
        <v>3900</v>
      </c>
      <c r="Z256" s="288">
        <f t="shared" si="90"/>
        <v>4875000</v>
      </c>
      <c r="AA256" s="288">
        <f t="shared" si="91"/>
        <v>195000</v>
      </c>
      <c r="AB256" s="288">
        <f t="shared" si="92"/>
        <v>5173389</v>
      </c>
      <c r="AC256" s="288">
        <f t="shared" si="109"/>
        <v>205236.05864736004</v>
      </c>
      <c r="AD256" s="287">
        <f t="shared" si="93"/>
        <v>2804100</v>
      </c>
      <c r="AE256" s="287">
        <f t="shared" si="94"/>
        <v>2551731</v>
      </c>
      <c r="AF256" s="287">
        <f t="shared" si="95"/>
        <v>44865600</v>
      </c>
      <c r="AG256" s="287">
        <f t="shared" si="96"/>
        <v>40827696</v>
      </c>
      <c r="AH256" s="287">
        <f t="shared" si="97"/>
        <v>-9206121.5999999996</v>
      </c>
      <c r="AI256" s="287">
        <f t="shared" si="98"/>
        <v>-8377570.6560000004</v>
      </c>
      <c r="AJ256" s="287">
        <f t="shared" si="99"/>
        <v>0</v>
      </c>
      <c r="AK256" s="287">
        <f t="shared" si="100"/>
        <v>0</v>
      </c>
      <c r="AL256" s="287">
        <f t="shared" si="101"/>
        <v>1279.3248000000001</v>
      </c>
      <c r="AM256" s="287">
        <f t="shared" si="102"/>
        <v>1164.1855679999999</v>
      </c>
      <c r="AN256" s="287">
        <f t="shared" si="103"/>
        <v>-6233.5728000000008</v>
      </c>
      <c r="AO256" s="287">
        <f t="shared" si="104"/>
        <v>-5672.5512480000007</v>
      </c>
      <c r="AP256" s="287">
        <f t="shared" si="105"/>
        <v>8860800</v>
      </c>
      <c r="AQ256" s="287">
        <f t="shared" si="106"/>
        <v>8063327.9999999991</v>
      </c>
      <c r="AR256" s="287">
        <f t="shared" si="107"/>
        <v>0</v>
      </c>
      <c r="AS256" s="289" t="e">
        <f>IF(J256='2027 Avoided Costs'!#REF!,3,5)</f>
        <v>#REF!</v>
      </c>
      <c r="AT256" s="290" cm="1">
        <f t="array" ref="AT256">IFERROR(IF($J256="Baseload",IF($O256=1,0,NPV('2027 Avoided Costs'!$D$6,_xlfn._xlws.FILTER('2027 Avoided Costs'!$C$14:$C$47,('2027 Avoided Costs'!$B$14:$B$47&gt;=$B256+1)*('2027 Avoided Costs'!$B$14:$B$47&lt;$B256+ROUND($O256,0)))))+_xlfn.XLOOKUP($B256,'2027 Avoided Costs'!$B$13:$B$47,'2027 Avoided Costs'!$C$13:$C$47),IF($O256=1,0,NPV('2027 Avoided Costs'!$D$6,_xlfn._xlws.FILTER('2027 Avoided Costs'!$E$14:$E$47,('2027 Avoided Costs'!$B$14:$B$47&gt;=$B256+1)*('2027 Avoided Costs'!$B$14:$B$47&lt;$B256+ROUND($O256,0)))))+_xlfn.XLOOKUP($B256,'2027 Avoided Costs'!$B$13:$B$47,'2027 Avoided Costs'!$E$13:$E$47))*IF($AE256&gt;0,$AE256*(1+$W256),0),0)</f>
        <v>11790831.163250109</v>
      </c>
      <c r="AU256" s="290" cm="1">
        <f t="array" ref="AU256">IFERROR((IF($O256=1,0,NPV('2027 Avoided Costs'!$D$6,_xlfn._xlws.FILTER('2027 Avoided Costs'!$M$14:$M$47,('2027 Avoided Costs'!$B$14:$B$47&gt;=$B256+1)*('2027 Avoided Costs'!$B$14:$B$47&lt;$B256+ROUND($O256,0)))))+_xlfn.XLOOKUP($B256,'2027 Avoided Costs'!$B$13:$B$47,'2027 Avoided Costs'!$M$13:$M$47))*IF($AK256&gt;0,$AK256*(1+$W256),0),0)</f>
        <v>0</v>
      </c>
      <c r="AV256" s="291" cm="1">
        <f t="array" ref="AV256">IFERROR((IF($O256=1,0,NPV('2027 Avoided Costs'!$D$6,_xlfn._xlws.FILTER('2027 Avoided Costs'!$Q$14:$Q$47,('2027 Avoided Costs'!$B$14:$B$47&gt;=$B256+1)*('2027 Avoided Costs'!$B$14:$B$47&lt;$B256+ROUND($O256,0)))))+_xlfn.XLOOKUP($B256,'2027 Avoided Costs'!$B$13:$B$47,'2027 Avoided Costs'!$Q$13:$Q$47))*IF($AI256&gt;0,$AI256*(1+$W256),0),0)</f>
        <v>0</v>
      </c>
      <c r="AW256" s="291" cm="1">
        <f t="array" ref="AW256">IFERROR((IF($O256=1,0,NPV('2027 Avoided Costs'!$D$6,_xlfn._xlws.FILTER('2027 Avoided Costs'!$W$14:$W$47,('2027 Avoided Costs'!$B$14:$B$47&gt;=$B256+1)*('2027 Avoided Costs'!$B$14:$B$47&lt;$B256+ROUND($O256,0)))))+_xlfn.XLOOKUP($B256,'2027 Avoided Costs'!$B$13:$B$47,'2027 Avoided Costs'!$W$13:$W$47))*IF($AM256&gt;0,$AM256*(1+$W256),0),0)</f>
        <v>4945499.8956227303</v>
      </c>
      <c r="AX256" s="291" cm="1">
        <f t="array" ref="AX256">IFERROR((IF($O256=1,0,NPV('2027 Avoided Costs'!$D$6,_xlfn._xlws.FILTER('2027 Avoided Costs'!$AC$14:$AC$47,('2027 Avoided Costs'!$B$14:$B$47&gt;=$B256+1)*('2027 Avoided Costs'!$B$14:$B$47&lt;$B256+ROUND($O256,0)))))+_xlfn.XLOOKUP($B256,'2027 Avoided Costs'!$B$13:$B$47,'2027 Avoided Costs'!$AC$13:$AC$47))*IF($AO256&gt;0,$AO256*(1+$W256),0),0)</f>
        <v>0</v>
      </c>
      <c r="AY256" s="291" cm="1">
        <f t="array" ref="AY256">IFERROR((IF($O256=1,0,NPV('2027 Avoided Costs'!$D$4,_xlfn._xlws.FILTER('2027 Avoided Costs'!$I$14:$I$47,('2027 Avoided Costs'!$B$14:$B$47&gt;=$B256+1)*('2027 Avoided Costs'!$B$14:$B$47&lt;$B256+ROUND($O256,0)))))+_xlfn.XLOOKUP($B256,'2027 Avoided Costs'!$B$13:$B$47,'2027 Avoided Costs'!$I$13:$I$47))*IF($X256="Residential",'2027 Avoided Costs'!$J$5,IF($X256="Large Volume",'2027 Avoided Costs'!$J$7,'2027 Avoided Costs'!$J$6))*IF($AE256&gt;0,$AE256,0),0)</f>
        <v>0</v>
      </c>
      <c r="AZ256" s="291" cm="1">
        <f t="array" ref="AZ256">IFERROR(IF($J256="Baseload",IF($O256=1,0,NPV('2027 Avoided Costs'!$D$6,_xlfn._xlws.FILTER('2027 Avoided Costs'!$C$14:$C$47,('2027 Avoided Costs'!$B$14:$B$47&gt;=$B256+1)*('2027 Avoided Costs'!$B$14:$B$47&lt;$B256+ROUND($O256,0)))))+_xlfn.XLOOKUP($B256,'2027 Avoided Costs'!$B$13:$B$47,'2027 Avoided Costs'!$C$13:$C$47),IF($O256=1,0,NPV('2027 Avoided Costs'!$D$6,_xlfn._xlws.FILTER('2027 Avoided Costs'!$E$14:$E$47,('2027 Avoided Costs'!$B$14:$B$47&gt;=$B256+1)*('2027 Avoided Costs'!$B$14:$B$47&lt;$B256+ROUND($O256,0)))))+_xlfn.XLOOKUP($B256,'2027 Avoided Costs'!$B$13:$B$47,'2027 Avoided Costs'!$E$13:$E$47))*IF($AE256&lt;0,$AE256*(-1),0),0)</f>
        <v>0</v>
      </c>
      <c r="BA256" s="291" cm="1">
        <f t="array" ref="BA256">IFERROR((IF($O256=1,0,NPV('2027 Avoided Costs'!$D$6,_xlfn._xlws.FILTER('2027 Avoided Costs'!$M$14:$M$47,('2027 Avoided Costs'!$B$14:$B$47&gt;=$B256+1)*('2027 Avoided Costs'!$B$14:$B$47&lt;$B256+ROUND($O256,0)))))+_xlfn.XLOOKUP($B256,'2027 Avoided Costs'!$B$13:$B$47,'2027 Avoided Costs'!$M$13:$M$47))*IF($AK256&lt;0,$AK256*(-1),0),0)</f>
        <v>0</v>
      </c>
      <c r="BB256" s="291" cm="1">
        <f t="array" ref="BB256">IFERROR((IF($O256=1,0,NPV('2027 Avoided Costs'!$D$6,_xlfn._xlws.FILTER('2027 Avoided Costs'!$S$14:$S$47,('2027 Avoided Costs'!$B$14:$B$47&gt;=$B256+1)*('2027 Avoided Costs'!$B$14:$B$47&lt;$B256+ROUND($O256,0)))))+_xlfn.XLOOKUP($B256,'2027 Avoided Costs'!$B$13:$B$47,'2027 Avoided Costs'!$S$13:$S$47))*IF($AI256&lt;0,$AI256*(-1),0),0)</f>
        <v>4896352.8668098524</v>
      </c>
      <c r="BC256" s="291" cm="1">
        <f t="array" ref="BC256">IFERROR((IF($O256=1,0,NPV('2027 Avoided Costs'!$D$6,_xlfn._xlws.FILTER('2027 Avoided Costs'!$Y$14:$Y$47,('2027 Avoided Costs'!$B$14:$B$47&gt;=$B256+1)*('2027 Avoided Costs'!$B$14:$B$47&lt;$B256+ROUND($O256,0)))))+_xlfn.XLOOKUP($B256,'2027 Avoided Costs'!$B$13:$B$47,'2027 Avoided Costs'!$Y$13:$Y$47))*IF($AM256&lt;0,$AM256*(-1),0),0)</f>
        <v>0</v>
      </c>
      <c r="BD256" s="291" cm="1">
        <f t="array" ref="BD256">IFERROR((IF($O256=1,0,NPV('2027 Avoided Costs'!$D$6,_xlfn._xlws.FILTER('2027 Avoided Costs'!$AE$14:$AE$47,('2027 Avoided Costs'!$B$14:$B$47&gt;=$B256+1)*('2027 Avoided Costs'!$B$14:$B$47&lt;$B256+ROUND($O256,0)))))+_xlfn.XLOOKUP($B256,'2027 Avoided Costs'!$B$13:$B$47,'2027 Avoided Costs'!$AE$13:$AE$47))*IF($AO256&lt;0,$AO256*(-1),0),0)</f>
        <v>4145298.851384962</v>
      </c>
      <c r="BE256" s="291" cm="1">
        <f t="array" ref="BE256">IFERROR((IF($O256=1,0,NPV('2027 Avoided Costs'!$D$4,_xlfn._xlws.FILTER('2027 Avoided Costs'!$I$14:$I$47,('2027 Avoided Costs'!$B$14:$B$47&gt;=$B256+1)*('2027 Avoided Costs'!$B$14:$B$47&lt;$B256+ROUND($O256,0)))))+_xlfn.XLOOKUP($B256,'2027 Avoided Costs'!$B$13:$B$47,'2027 Avoided Costs'!$I$13:$I$47))*IF($X256="Residential",'2027 Avoided Costs'!$J$5,IF($X256="Large Volume",'2027 Avoided Costs'!$J$7,'2027 Avoided Costs'!$J$6))*IF($AE256&lt;0,$AE256*(-1),0),0)</f>
        <v>0</v>
      </c>
      <c r="BF256" s="291">
        <f t="shared" ref="BF256:BF311" si="111">SUM(AT256:AY256)+IF(AQ256&lt;0,AQ256*(-1),0)</f>
        <v>16736331.058872839</v>
      </c>
      <c r="BG256" s="291">
        <f t="shared" ref="BG256:BG311" si="112">SUM(AZ256:BE256)+IF(AQ256&gt;=0,AQ256,0)</f>
        <v>17104979.718194813</v>
      </c>
      <c r="BH256" s="291">
        <f t="shared" ref="BH256:BH311" si="113">BF256-BG256</f>
        <v>-368648.6593219731</v>
      </c>
      <c r="BI256" s="292">
        <f t="shared" si="110"/>
        <v>0.97844787509862774</v>
      </c>
      <c r="BJ256" s="196" cm="1">
        <f t="array" ref="BJ256">IFERROR(IF($J256="Baseload",IF($O256=1,0,NPV('2027 Avoided Costs'!$D$6,_xlfn._xlws.FILTER('2027 Avoided Costs'!$C$14:$C$47,('2027 Avoided Costs'!$B$14:$B$47&gt;=$B256+1)*('2027 Avoided Costs'!$B$14:$B$47&lt;$B256+ROUND($O256,0)))))+_xlfn.XLOOKUP($B256,'2027 Avoided Costs'!$B$13:$B$47,'2027 Avoided Costs'!$C$13:$C$47),IF($O256=1,0,NPV('2027 Avoided Costs'!$D$6,_xlfn._xlws.FILTER('2027 Avoided Costs'!$E$14:$E$47,('2027 Avoided Costs'!$B$14:$B$47&gt;=$B256+1)*('2027 Avoided Costs'!$B$14:$B$47&lt;$B256+ROUND($O256,0)))))+_xlfn.XLOOKUP($B256,'2027 Avoided Costs'!$B$13:$B$47,'2027 Avoided Costs'!$E$13:$E$47))*IF($AE256&gt;0,$AE256*(1+0),0),0)</f>
        <v>10252896.663695747</v>
      </c>
      <c r="BK256" s="293">
        <f t="shared" si="108"/>
        <v>1.9062300405587651</v>
      </c>
    </row>
    <row r="257" spans="1:63" s="56" customFormat="1" x14ac:dyDescent="0.25">
      <c r="A257" s="270" t="s">
        <v>133</v>
      </c>
      <c r="B257" s="271">
        <v>2030</v>
      </c>
      <c r="C257" s="272" t="s">
        <v>11</v>
      </c>
      <c r="D257" s="272" t="s">
        <v>333</v>
      </c>
      <c r="E257" s="272" t="s">
        <v>4</v>
      </c>
      <c r="F257" s="273">
        <v>1200</v>
      </c>
      <c r="G257" s="274">
        <v>1250</v>
      </c>
      <c r="H257" s="275">
        <f t="shared" si="88"/>
        <v>1.4467592592592593</v>
      </c>
      <c r="I257" s="274">
        <v>50</v>
      </c>
      <c r="J257" s="276" t="s">
        <v>264</v>
      </c>
      <c r="K257" s="277">
        <f t="shared" ref="K257:K311" si="114">1-L257+M257</f>
        <v>0.90999999999999992</v>
      </c>
      <c r="L257" s="278">
        <v>0.31</v>
      </c>
      <c r="M257" s="278">
        <v>0.22</v>
      </c>
      <c r="N257" s="278">
        <v>1</v>
      </c>
      <c r="O257" s="279">
        <v>16</v>
      </c>
      <c r="P257" s="280">
        <v>864</v>
      </c>
      <c r="Q257" s="281">
        <v>-2823</v>
      </c>
      <c r="R257" s="282">
        <v>0.251</v>
      </c>
      <c r="S257" s="282">
        <v>-1.7689999999999999</v>
      </c>
      <c r="T257" s="281">
        <v>0</v>
      </c>
      <c r="U257" s="283">
        <v>0</v>
      </c>
      <c r="V257" s="284">
        <v>2840</v>
      </c>
      <c r="W257" s="285">
        <v>0.15</v>
      </c>
      <c r="X257" s="286" t="s">
        <v>11</v>
      </c>
      <c r="Y257" s="287">
        <f t="shared" si="89"/>
        <v>1200</v>
      </c>
      <c r="Z257" s="288">
        <f t="shared" si="90"/>
        <v>1500000</v>
      </c>
      <c r="AA257" s="288">
        <f t="shared" si="91"/>
        <v>60000</v>
      </c>
      <c r="AB257" s="288">
        <f t="shared" si="92"/>
        <v>1591812</v>
      </c>
      <c r="AC257" s="288">
        <f t="shared" si="109"/>
        <v>63149.556506880013</v>
      </c>
      <c r="AD257" s="287">
        <f t="shared" si="93"/>
        <v>1036800</v>
      </c>
      <c r="AE257" s="287">
        <f t="shared" si="94"/>
        <v>943487.99999999988</v>
      </c>
      <c r="AF257" s="287">
        <f t="shared" si="95"/>
        <v>16588800</v>
      </c>
      <c r="AG257" s="287">
        <f t="shared" si="96"/>
        <v>15095807.999999998</v>
      </c>
      <c r="AH257" s="287">
        <f t="shared" si="97"/>
        <v>-3631507.2</v>
      </c>
      <c r="AI257" s="287">
        <f t="shared" si="98"/>
        <v>-3304671.5520000001</v>
      </c>
      <c r="AJ257" s="287">
        <f t="shared" si="99"/>
        <v>0</v>
      </c>
      <c r="AK257" s="287">
        <f t="shared" si="100"/>
        <v>0</v>
      </c>
      <c r="AL257" s="287">
        <f t="shared" si="101"/>
        <v>322.88639999999998</v>
      </c>
      <c r="AM257" s="287">
        <f t="shared" si="102"/>
        <v>293.82662399999998</v>
      </c>
      <c r="AN257" s="287">
        <f t="shared" si="103"/>
        <v>-2275.6415999999999</v>
      </c>
      <c r="AO257" s="287">
        <f t="shared" si="104"/>
        <v>-2070.8338559999997</v>
      </c>
      <c r="AP257" s="287">
        <f t="shared" si="105"/>
        <v>3408000</v>
      </c>
      <c r="AQ257" s="287">
        <f t="shared" si="106"/>
        <v>3101279.9999999995</v>
      </c>
      <c r="AR257" s="287">
        <f t="shared" si="107"/>
        <v>0</v>
      </c>
      <c r="AS257" s="289" t="e">
        <f>IF(J257='2027 Avoided Costs'!#REF!,3,5)</f>
        <v>#REF!</v>
      </c>
      <c r="AT257" s="290" cm="1">
        <f t="array" ref="AT257">IFERROR(IF($J257="Baseload",IF($O257=1,0,NPV('2027 Avoided Costs'!$D$6,_xlfn._xlws.FILTER('2027 Avoided Costs'!$C$14:$C$47,('2027 Avoided Costs'!$B$14:$B$47&gt;=$B257+1)*('2027 Avoided Costs'!$B$14:$B$47&lt;$B257+ROUND($O257,0)))))+_xlfn.XLOOKUP($B257,'2027 Avoided Costs'!$B$13:$B$47,'2027 Avoided Costs'!$C$13:$C$47),IF($O257=1,0,NPV('2027 Avoided Costs'!$D$6,_xlfn._xlws.FILTER('2027 Avoided Costs'!$E$14:$E$47,('2027 Avoided Costs'!$B$14:$B$47&gt;=$B257+1)*('2027 Avoided Costs'!$B$14:$B$47&lt;$B257+ROUND($O257,0)))))+_xlfn.XLOOKUP($B257,'2027 Avoided Costs'!$B$13:$B$47,'2027 Avoided Costs'!$E$13:$E$47))*IF($AE257&gt;0,$AE257*(1+$W257),0),0)</f>
        <v>4359592.6500687245</v>
      </c>
      <c r="AU257" s="290" cm="1">
        <f t="array" ref="AU257">IFERROR((IF($O257=1,0,NPV('2027 Avoided Costs'!$D$6,_xlfn._xlws.FILTER('2027 Avoided Costs'!$M$14:$M$47,('2027 Avoided Costs'!$B$14:$B$47&gt;=$B257+1)*('2027 Avoided Costs'!$B$14:$B$47&lt;$B257+ROUND($O257,0)))))+_xlfn.XLOOKUP($B257,'2027 Avoided Costs'!$B$13:$B$47,'2027 Avoided Costs'!$M$13:$M$47))*IF($AK257&gt;0,$AK257*(1+$W257),0),0)</f>
        <v>0</v>
      </c>
      <c r="AV257" s="291" cm="1">
        <f t="array" ref="AV257">IFERROR((IF($O257=1,0,NPV('2027 Avoided Costs'!$D$6,_xlfn._xlws.FILTER('2027 Avoided Costs'!$Q$14:$Q$47,('2027 Avoided Costs'!$B$14:$B$47&gt;=$B257+1)*('2027 Avoided Costs'!$B$14:$B$47&lt;$B257+ROUND($O257,0)))))+_xlfn.XLOOKUP($B257,'2027 Avoided Costs'!$B$13:$B$47,'2027 Avoided Costs'!$Q$13:$Q$47))*IF($AI257&gt;0,$AI257*(1+$W257),0),0)</f>
        <v>0</v>
      </c>
      <c r="AW257" s="291" cm="1">
        <f t="array" ref="AW257">IFERROR((IF($O257=1,0,NPV('2027 Avoided Costs'!$D$6,_xlfn._xlws.FILTER('2027 Avoided Costs'!$W$14:$W$47,('2027 Avoided Costs'!$B$14:$B$47&gt;=$B257+1)*('2027 Avoided Costs'!$B$14:$B$47&lt;$B257+ROUND($O257,0)))))+_xlfn.XLOOKUP($B257,'2027 Avoided Costs'!$B$13:$B$47,'2027 Avoided Costs'!$W$13:$W$47))*IF($AM257&gt;0,$AM257*(1+$W257),0),0)</f>
        <v>1248185.4940184066</v>
      </c>
      <c r="AX257" s="291" cm="1">
        <f t="array" ref="AX257">IFERROR((IF($O257=1,0,NPV('2027 Avoided Costs'!$D$6,_xlfn._xlws.FILTER('2027 Avoided Costs'!$AC$14:$AC$47,('2027 Avoided Costs'!$B$14:$B$47&gt;=$B257+1)*('2027 Avoided Costs'!$B$14:$B$47&lt;$B257+ROUND($O257,0)))))+_xlfn.XLOOKUP($B257,'2027 Avoided Costs'!$B$13:$B$47,'2027 Avoided Costs'!$AC$13:$AC$47))*IF($AO257&gt;0,$AO257*(1+$W257),0),0)</f>
        <v>0</v>
      </c>
      <c r="AY257" s="291" cm="1">
        <f t="array" ref="AY257">IFERROR((IF($O257=1,0,NPV('2027 Avoided Costs'!$D$4,_xlfn._xlws.FILTER('2027 Avoided Costs'!$I$14:$I$47,('2027 Avoided Costs'!$B$14:$B$47&gt;=$B257+1)*('2027 Avoided Costs'!$B$14:$B$47&lt;$B257+ROUND($O257,0)))))+_xlfn.XLOOKUP($B257,'2027 Avoided Costs'!$B$13:$B$47,'2027 Avoided Costs'!$I$13:$I$47))*IF($X257="Residential",'2027 Avoided Costs'!$J$5,IF($X257="Large Volume",'2027 Avoided Costs'!$J$7,'2027 Avoided Costs'!$J$6))*IF($AE257&gt;0,$AE257,0),0)</f>
        <v>0</v>
      </c>
      <c r="AZ257" s="291" cm="1">
        <f t="array" ref="AZ257">IFERROR(IF($J257="Baseload",IF($O257=1,0,NPV('2027 Avoided Costs'!$D$6,_xlfn._xlws.FILTER('2027 Avoided Costs'!$C$14:$C$47,('2027 Avoided Costs'!$B$14:$B$47&gt;=$B257+1)*('2027 Avoided Costs'!$B$14:$B$47&lt;$B257+ROUND($O257,0)))))+_xlfn.XLOOKUP($B257,'2027 Avoided Costs'!$B$13:$B$47,'2027 Avoided Costs'!$C$13:$C$47),IF($O257=1,0,NPV('2027 Avoided Costs'!$D$6,_xlfn._xlws.FILTER('2027 Avoided Costs'!$E$14:$E$47,('2027 Avoided Costs'!$B$14:$B$47&gt;=$B257+1)*('2027 Avoided Costs'!$B$14:$B$47&lt;$B257+ROUND($O257,0)))))+_xlfn.XLOOKUP($B257,'2027 Avoided Costs'!$B$13:$B$47,'2027 Avoided Costs'!$E$13:$E$47))*IF($AE257&lt;0,$AE257*(-1),0),0)</f>
        <v>0</v>
      </c>
      <c r="BA257" s="291" cm="1">
        <f t="array" ref="BA257">IFERROR((IF($O257=1,0,NPV('2027 Avoided Costs'!$D$6,_xlfn._xlws.FILTER('2027 Avoided Costs'!$M$14:$M$47,('2027 Avoided Costs'!$B$14:$B$47&gt;=$B257+1)*('2027 Avoided Costs'!$B$14:$B$47&lt;$B257+ROUND($O257,0)))))+_xlfn.XLOOKUP($B257,'2027 Avoided Costs'!$B$13:$B$47,'2027 Avoided Costs'!$M$13:$M$47))*IF($AK257&lt;0,$AK257*(-1),0),0)</f>
        <v>0</v>
      </c>
      <c r="BB257" s="291" cm="1">
        <f t="array" ref="BB257">IFERROR((IF($O257=1,0,NPV('2027 Avoided Costs'!$D$6,_xlfn._xlws.FILTER('2027 Avoided Costs'!$S$14:$S$47,('2027 Avoided Costs'!$B$14:$B$47&gt;=$B257+1)*('2027 Avoided Costs'!$B$14:$B$47&lt;$B257+ROUND($O257,0)))))+_xlfn.XLOOKUP($B257,'2027 Avoided Costs'!$B$13:$B$47,'2027 Avoided Costs'!$S$13:$S$47))*IF($AI257&lt;0,$AI257*(-1),0),0)</f>
        <v>1931447.515266431</v>
      </c>
      <c r="BC257" s="291" cm="1">
        <f t="array" ref="BC257">IFERROR((IF($O257=1,0,NPV('2027 Avoided Costs'!$D$6,_xlfn._xlws.FILTER('2027 Avoided Costs'!$Y$14:$Y$47,('2027 Avoided Costs'!$B$14:$B$47&gt;=$B257+1)*('2027 Avoided Costs'!$B$14:$B$47&lt;$B257+ROUND($O257,0)))))+_xlfn.XLOOKUP($B257,'2027 Avoided Costs'!$B$13:$B$47,'2027 Avoided Costs'!$Y$13:$Y$47))*IF($AM257&lt;0,$AM257*(-1),0),0)</f>
        <v>0</v>
      </c>
      <c r="BD257" s="291" cm="1">
        <f t="array" ref="BD257">IFERROR((IF($O257=1,0,NPV('2027 Avoided Costs'!$D$6,_xlfn._xlws.FILTER('2027 Avoided Costs'!$AE$14:$AE$47,('2027 Avoided Costs'!$B$14:$B$47&gt;=$B257+1)*('2027 Avoided Costs'!$B$14:$B$47&lt;$B257+ROUND($O257,0)))))+_xlfn.XLOOKUP($B257,'2027 Avoided Costs'!$B$13:$B$47,'2027 Avoided Costs'!$AE$13:$AE$47))*IF($AO257&lt;0,$AO257*(-1),0),0)</f>
        <v>1513291.7851932098</v>
      </c>
      <c r="BE257" s="291" cm="1">
        <f t="array" ref="BE257">IFERROR((IF($O257=1,0,NPV('2027 Avoided Costs'!$D$4,_xlfn._xlws.FILTER('2027 Avoided Costs'!$I$14:$I$47,('2027 Avoided Costs'!$B$14:$B$47&gt;=$B257+1)*('2027 Avoided Costs'!$B$14:$B$47&lt;$B257+ROUND($O257,0)))))+_xlfn.XLOOKUP($B257,'2027 Avoided Costs'!$B$13:$B$47,'2027 Avoided Costs'!$I$13:$I$47))*IF($X257="Residential",'2027 Avoided Costs'!$J$5,IF($X257="Large Volume",'2027 Avoided Costs'!$J$7,'2027 Avoided Costs'!$J$6))*IF($AE257&lt;0,$AE257*(-1),0),0)</f>
        <v>0</v>
      </c>
      <c r="BF257" s="291">
        <f t="shared" si="111"/>
        <v>5607778.1440871311</v>
      </c>
      <c r="BG257" s="291">
        <f t="shared" si="112"/>
        <v>6546019.3004596401</v>
      </c>
      <c r="BH257" s="291">
        <f t="shared" si="113"/>
        <v>-938241.15637250897</v>
      </c>
      <c r="BI257" s="292">
        <f t="shared" si="110"/>
        <v>0.85666996791368633</v>
      </c>
      <c r="BJ257" s="196" cm="1">
        <f t="array" ref="BJ257">IFERROR(IF($J257="Baseload",IF($O257=1,0,NPV('2027 Avoided Costs'!$D$6,_xlfn._xlws.FILTER('2027 Avoided Costs'!$C$14:$C$47,('2027 Avoided Costs'!$B$14:$B$47&gt;=$B257+1)*('2027 Avoided Costs'!$B$14:$B$47&lt;$B257+ROUND($O257,0)))))+_xlfn.XLOOKUP($B257,'2027 Avoided Costs'!$B$13:$B$47,'2027 Avoided Costs'!$C$13:$C$47),IF($O257=1,0,NPV('2027 Avoided Costs'!$D$6,_xlfn._xlws.FILTER('2027 Avoided Costs'!$E$14:$E$47,('2027 Avoided Costs'!$B$14:$B$47&gt;=$B257+1)*('2027 Avoided Costs'!$B$14:$B$47&lt;$B257+ROUND($O257,0)))))+_xlfn.XLOOKUP($B257,'2027 Avoided Costs'!$B$13:$B$47,'2027 Avoided Costs'!$E$13:$E$47))*IF($AE257&gt;0,$AE257*(1+0),0),0)</f>
        <v>3790950.1304945434</v>
      </c>
      <c r="BK257" s="293">
        <f t="shared" si="108"/>
        <v>2.2906575174447465</v>
      </c>
    </row>
    <row r="258" spans="1:63" s="56" customFormat="1" x14ac:dyDescent="0.25">
      <c r="A258" s="270" t="s">
        <v>133</v>
      </c>
      <c r="B258" s="271">
        <v>2030</v>
      </c>
      <c r="C258" s="272" t="s">
        <v>11</v>
      </c>
      <c r="D258" s="272" t="s">
        <v>333</v>
      </c>
      <c r="E258" s="272" t="s">
        <v>5</v>
      </c>
      <c r="F258" s="273">
        <v>720</v>
      </c>
      <c r="G258" s="274">
        <v>1250</v>
      </c>
      <c r="H258" s="275">
        <f t="shared" si="88"/>
        <v>1.0245901639344261</v>
      </c>
      <c r="I258" s="274">
        <v>50</v>
      </c>
      <c r="J258" s="276" t="s">
        <v>264</v>
      </c>
      <c r="K258" s="277">
        <f t="shared" si="114"/>
        <v>0.90999999999999992</v>
      </c>
      <c r="L258" s="278">
        <v>0.31</v>
      </c>
      <c r="M258" s="278">
        <v>0.22</v>
      </c>
      <c r="N258" s="278">
        <v>1</v>
      </c>
      <c r="O258" s="279">
        <v>16</v>
      </c>
      <c r="P258" s="280">
        <v>1220</v>
      </c>
      <c r="Q258" s="281">
        <v>-4479.5</v>
      </c>
      <c r="R258" s="282">
        <v>-0.1905</v>
      </c>
      <c r="S258" s="282">
        <v>-2.0495000000000001</v>
      </c>
      <c r="T258" s="281">
        <v>0</v>
      </c>
      <c r="U258" s="283">
        <v>0</v>
      </c>
      <c r="V258" s="284">
        <v>5664</v>
      </c>
      <c r="W258" s="285">
        <v>0.15</v>
      </c>
      <c r="X258" s="286" t="s">
        <v>11</v>
      </c>
      <c r="Y258" s="287">
        <f t="shared" si="89"/>
        <v>720</v>
      </c>
      <c r="Z258" s="288">
        <f t="shared" si="90"/>
        <v>900000</v>
      </c>
      <c r="AA258" s="288">
        <f t="shared" si="91"/>
        <v>36000</v>
      </c>
      <c r="AB258" s="288">
        <f t="shared" si="92"/>
        <v>955087.2</v>
      </c>
      <c r="AC258" s="288">
        <f t="shared" si="109"/>
        <v>37889.733904128007</v>
      </c>
      <c r="AD258" s="287">
        <f t="shared" si="93"/>
        <v>878400</v>
      </c>
      <c r="AE258" s="287">
        <f t="shared" si="94"/>
        <v>799343.99999999988</v>
      </c>
      <c r="AF258" s="287">
        <f t="shared" si="95"/>
        <v>14054400</v>
      </c>
      <c r="AG258" s="287">
        <f t="shared" si="96"/>
        <v>12789503.999999998</v>
      </c>
      <c r="AH258" s="287">
        <f t="shared" si="97"/>
        <v>-3457457.2800000003</v>
      </c>
      <c r="AI258" s="287">
        <f t="shared" si="98"/>
        <v>-3146286.1247999999</v>
      </c>
      <c r="AJ258" s="287">
        <f t="shared" si="99"/>
        <v>0</v>
      </c>
      <c r="AK258" s="287">
        <f t="shared" si="100"/>
        <v>0</v>
      </c>
      <c r="AL258" s="287">
        <f t="shared" si="101"/>
        <v>-147.03551999999999</v>
      </c>
      <c r="AM258" s="287">
        <f t="shared" si="102"/>
        <v>-133.80232319999999</v>
      </c>
      <c r="AN258" s="287">
        <f t="shared" si="103"/>
        <v>-1581.8860800000002</v>
      </c>
      <c r="AO258" s="287">
        <f t="shared" si="104"/>
        <v>-1439.5163327999999</v>
      </c>
      <c r="AP258" s="287">
        <f t="shared" si="105"/>
        <v>4078080</v>
      </c>
      <c r="AQ258" s="287">
        <f t="shared" si="106"/>
        <v>3711052.8</v>
      </c>
      <c r="AR258" s="287">
        <f t="shared" si="107"/>
        <v>0</v>
      </c>
      <c r="AS258" s="289" t="e">
        <f>IF(J258='2027 Avoided Costs'!#REF!,3,5)</f>
        <v>#REF!</v>
      </c>
      <c r="AT258" s="290" cm="1">
        <f t="array" ref="AT258">IFERROR(IF($J258="Baseload",IF($O258=1,0,NPV('2027 Avoided Costs'!$D$6,_xlfn._xlws.FILTER('2027 Avoided Costs'!$C$14:$C$47,('2027 Avoided Costs'!$B$14:$B$47&gt;=$B258+1)*('2027 Avoided Costs'!$B$14:$B$47&lt;$B258+ROUND($O258,0)))))+_xlfn.XLOOKUP($B258,'2027 Avoided Costs'!$B$13:$B$47,'2027 Avoided Costs'!$C$13:$C$47),IF($O258=1,0,NPV('2027 Avoided Costs'!$D$6,_xlfn._xlws.FILTER('2027 Avoided Costs'!$E$14:$E$47,('2027 Avoided Costs'!$B$14:$B$47&gt;=$B258+1)*('2027 Avoided Costs'!$B$14:$B$47&lt;$B258+ROUND($O258,0)))))+_xlfn.XLOOKUP($B258,'2027 Avoided Costs'!$B$13:$B$47,'2027 Avoided Costs'!$E$13:$E$47))*IF($AE258&gt;0,$AE258*(1+$W258),0),0)</f>
        <v>3693543.7729748916</v>
      </c>
      <c r="AU258" s="290" cm="1">
        <f t="array" ref="AU258">IFERROR((IF($O258=1,0,NPV('2027 Avoided Costs'!$D$6,_xlfn._xlws.FILTER('2027 Avoided Costs'!$M$14:$M$47,('2027 Avoided Costs'!$B$14:$B$47&gt;=$B258+1)*('2027 Avoided Costs'!$B$14:$B$47&lt;$B258+ROUND($O258,0)))))+_xlfn.XLOOKUP($B258,'2027 Avoided Costs'!$B$13:$B$47,'2027 Avoided Costs'!$M$13:$M$47))*IF($AK258&gt;0,$AK258*(1+$W258),0),0)</f>
        <v>0</v>
      </c>
      <c r="AV258" s="291" cm="1">
        <f t="array" ref="AV258">IFERROR((IF($O258=1,0,NPV('2027 Avoided Costs'!$D$6,_xlfn._xlws.FILTER('2027 Avoided Costs'!$Q$14:$Q$47,('2027 Avoided Costs'!$B$14:$B$47&gt;=$B258+1)*('2027 Avoided Costs'!$B$14:$B$47&lt;$B258+ROUND($O258,0)))))+_xlfn.XLOOKUP($B258,'2027 Avoided Costs'!$B$13:$B$47,'2027 Avoided Costs'!$Q$13:$Q$47))*IF($AI258&gt;0,$AI258*(1+$W258),0),0)</f>
        <v>0</v>
      </c>
      <c r="AW258" s="291" cm="1">
        <f t="array" ref="AW258">IFERROR((IF($O258=1,0,NPV('2027 Avoided Costs'!$D$6,_xlfn._xlws.FILTER('2027 Avoided Costs'!$W$14:$W$47,('2027 Avoided Costs'!$B$14:$B$47&gt;=$B258+1)*('2027 Avoided Costs'!$B$14:$B$47&lt;$B258+ROUND($O258,0)))))+_xlfn.XLOOKUP($B258,'2027 Avoided Costs'!$B$13:$B$47,'2027 Avoided Costs'!$W$13:$W$47))*IF($AM258&gt;0,$AM258*(1+$W258),0),0)</f>
        <v>0</v>
      </c>
      <c r="AX258" s="291" cm="1">
        <f t="array" ref="AX258">IFERROR((IF($O258=1,0,NPV('2027 Avoided Costs'!$D$6,_xlfn._xlws.FILTER('2027 Avoided Costs'!$AC$14:$AC$47,('2027 Avoided Costs'!$B$14:$B$47&gt;=$B258+1)*('2027 Avoided Costs'!$B$14:$B$47&lt;$B258+ROUND($O258,0)))))+_xlfn.XLOOKUP($B258,'2027 Avoided Costs'!$B$13:$B$47,'2027 Avoided Costs'!$AC$13:$AC$47))*IF($AO258&gt;0,$AO258*(1+$W258),0),0)</f>
        <v>0</v>
      </c>
      <c r="AY258" s="291" cm="1">
        <f t="array" ref="AY258">IFERROR((IF($O258=1,0,NPV('2027 Avoided Costs'!$D$4,_xlfn._xlws.FILTER('2027 Avoided Costs'!$I$14:$I$47,('2027 Avoided Costs'!$B$14:$B$47&gt;=$B258+1)*('2027 Avoided Costs'!$B$14:$B$47&lt;$B258+ROUND($O258,0)))))+_xlfn.XLOOKUP($B258,'2027 Avoided Costs'!$B$13:$B$47,'2027 Avoided Costs'!$I$13:$I$47))*IF($X258="Residential",'2027 Avoided Costs'!$J$5,IF($X258="Large Volume",'2027 Avoided Costs'!$J$7,'2027 Avoided Costs'!$J$6))*IF($AE258&gt;0,$AE258,0),0)</f>
        <v>0</v>
      </c>
      <c r="AZ258" s="291" cm="1">
        <f t="array" ref="AZ258">IFERROR(IF($J258="Baseload",IF($O258=1,0,NPV('2027 Avoided Costs'!$D$6,_xlfn._xlws.FILTER('2027 Avoided Costs'!$C$14:$C$47,('2027 Avoided Costs'!$B$14:$B$47&gt;=$B258+1)*('2027 Avoided Costs'!$B$14:$B$47&lt;$B258+ROUND($O258,0)))))+_xlfn.XLOOKUP($B258,'2027 Avoided Costs'!$B$13:$B$47,'2027 Avoided Costs'!$C$13:$C$47),IF($O258=1,0,NPV('2027 Avoided Costs'!$D$6,_xlfn._xlws.FILTER('2027 Avoided Costs'!$E$14:$E$47,('2027 Avoided Costs'!$B$14:$B$47&gt;=$B258+1)*('2027 Avoided Costs'!$B$14:$B$47&lt;$B258+ROUND($O258,0)))))+_xlfn.XLOOKUP($B258,'2027 Avoided Costs'!$B$13:$B$47,'2027 Avoided Costs'!$E$13:$E$47))*IF($AE258&lt;0,$AE258*(-1),0),0)</f>
        <v>0</v>
      </c>
      <c r="BA258" s="291" cm="1">
        <f t="array" ref="BA258">IFERROR((IF($O258=1,0,NPV('2027 Avoided Costs'!$D$6,_xlfn._xlws.FILTER('2027 Avoided Costs'!$M$14:$M$47,('2027 Avoided Costs'!$B$14:$B$47&gt;=$B258+1)*('2027 Avoided Costs'!$B$14:$B$47&lt;$B258+ROUND($O258,0)))))+_xlfn.XLOOKUP($B258,'2027 Avoided Costs'!$B$13:$B$47,'2027 Avoided Costs'!$M$13:$M$47))*IF($AK258&lt;0,$AK258*(-1),0),0)</f>
        <v>0</v>
      </c>
      <c r="BB258" s="291" cm="1">
        <f t="array" ref="BB258">IFERROR((IF($O258=1,0,NPV('2027 Avoided Costs'!$D$6,_xlfn._xlws.FILTER('2027 Avoided Costs'!$S$14:$S$47,('2027 Avoided Costs'!$B$14:$B$47&gt;=$B258+1)*('2027 Avoided Costs'!$B$14:$B$47&lt;$B258+ROUND($O258,0)))))+_xlfn.XLOOKUP($B258,'2027 Avoided Costs'!$B$13:$B$47,'2027 Avoided Costs'!$S$13:$S$47))*IF($AI258&lt;0,$AI258*(-1),0),0)</f>
        <v>1838877.6077866051</v>
      </c>
      <c r="BC258" s="291" cm="1">
        <f t="array" ref="BC258">IFERROR((IF($O258=1,0,NPV('2027 Avoided Costs'!$D$6,_xlfn._xlws.FILTER('2027 Avoided Costs'!$Y$14:$Y$47,('2027 Avoided Costs'!$B$14:$B$47&gt;=$B258+1)*('2027 Avoided Costs'!$B$14:$B$47&lt;$B258+ROUND($O258,0)))))+_xlfn.XLOOKUP($B258,'2027 Avoided Costs'!$B$13:$B$47,'2027 Avoided Costs'!$Y$13:$Y$47))*IF($AM258&lt;0,$AM258*(-1),0),0)</f>
        <v>494258.1048546817</v>
      </c>
      <c r="BD258" s="291" cm="1">
        <f t="array" ref="BD258">IFERROR((IF($O258=1,0,NPV('2027 Avoided Costs'!$D$6,_xlfn._xlws.FILTER('2027 Avoided Costs'!$AE$14:$AE$47,('2027 Avoided Costs'!$B$14:$B$47&gt;=$B258+1)*('2027 Avoided Costs'!$B$14:$B$47&lt;$B258+ROUND($O258,0)))))+_xlfn.XLOOKUP($B258,'2027 Avoided Costs'!$B$13:$B$47,'2027 Avoided Costs'!$AE$13:$AE$47))*IF($AO258&lt;0,$AO258*(-1),0),0)</f>
        <v>1051947.3760611024</v>
      </c>
      <c r="BE258" s="291" cm="1">
        <f t="array" ref="BE258">IFERROR((IF($O258=1,0,NPV('2027 Avoided Costs'!$D$4,_xlfn._xlws.FILTER('2027 Avoided Costs'!$I$14:$I$47,('2027 Avoided Costs'!$B$14:$B$47&gt;=$B258+1)*('2027 Avoided Costs'!$B$14:$B$47&lt;$B258+ROUND($O258,0)))))+_xlfn.XLOOKUP($B258,'2027 Avoided Costs'!$B$13:$B$47,'2027 Avoided Costs'!$I$13:$I$47))*IF($X258="Residential",'2027 Avoided Costs'!$J$5,IF($X258="Large Volume",'2027 Avoided Costs'!$J$7,'2027 Avoided Costs'!$J$6))*IF($AE258&lt;0,$AE258*(-1),0),0)</f>
        <v>0</v>
      </c>
      <c r="BF258" s="291">
        <f t="shared" si="111"/>
        <v>3693543.7729748916</v>
      </c>
      <c r="BG258" s="291">
        <f t="shared" si="112"/>
        <v>7096135.8887023889</v>
      </c>
      <c r="BH258" s="291">
        <f t="shared" si="113"/>
        <v>-3402592.1157274973</v>
      </c>
      <c r="BI258" s="292">
        <f t="shared" si="110"/>
        <v>0.52050071065511949</v>
      </c>
      <c r="BJ258" s="196" cm="1">
        <f t="array" ref="BJ258">IFERROR(IF($J258="Baseload",IF($O258=1,0,NPV('2027 Avoided Costs'!$D$6,_xlfn._xlws.FILTER('2027 Avoided Costs'!$C$14:$C$47,('2027 Avoided Costs'!$B$14:$B$47&gt;=$B258+1)*('2027 Avoided Costs'!$B$14:$B$47&lt;$B258+ROUND($O258,0)))))+_xlfn.XLOOKUP($B258,'2027 Avoided Costs'!$B$13:$B$47,'2027 Avoided Costs'!$C$13:$C$47),IF($O258=1,0,NPV('2027 Avoided Costs'!$D$6,_xlfn._xlws.FILTER('2027 Avoided Costs'!$E$14:$E$47,('2027 Avoided Costs'!$B$14:$B$47&gt;=$B258+1)*('2027 Avoided Costs'!$B$14:$B$47&lt;$B258+ROUND($O258,0)))))+_xlfn.XLOOKUP($B258,'2027 Avoided Costs'!$B$13:$B$47,'2027 Avoided Costs'!$E$13:$E$47))*IF($AE258&gt;0,$AE258*(1+0),0),0)</f>
        <v>3211777.1938912105</v>
      </c>
      <c r="BK258" s="293">
        <f t="shared" si="108"/>
        <v>3.2344932537992954</v>
      </c>
    </row>
    <row r="259" spans="1:63" s="56" customFormat="1" x14ac:dyDescent="0.25">
      <c r="A259" s="270" t="s">
        <v>133</v>
      </c>
      <c r="B259" s="271">
        <v>2030</v>
      </c>
      <c r="C259" s="272" t="s">
        <v>11</v>
      </c>
      <c r="D259" s="272" t="s">
        <v>333</v>
      </c>
      <c r="E259" s="272" t="s">
        <v>6</v>
      </c>
      <c r="F259" s="273">
        <v>180</v>
      </c>
      <c r="G259" s="274">
        <v>1250</v>
      </c>
      <c r="H259" s="275">
        <f t="shared" si="88"/>
        <v>0.72801397786837507</v>
      </c>
      <c r="I259" s="274">
        <v>50</v>
      </c>
      <c r="J259" s="276" t="s">
        <v>264</v>
      </c>
      <c r="K259" s="277">
        <f t="shared" si="114"/>
        <v>0.90999999999999992</v>
      </c>
      <c r="L259" s="278">
        <v>0.31</v>
      </c>
      <c r="M259" s="278">
        <v>0.22</v>
      </c>
      <c r="N259" s="278">
        <v>1</v>
      </c>
      <c r="O259" s="279">
        <v>16</v>
      </c>
      <c r="P259" s="280">
        <v>1717</v>
      </c>
      <c r="Q259" s="281">
        <v>-6979.75</v>
      </c>
      <c r="R259" s="282">
        <v>-0.11200000000000004</v>
      </c>
      <c r="S259" s="282">
        <v>-2.859</v>
      </c>
      <c r="T259" s="281">
        <v>0</v>
      </c>
      <c r="U259" s="283">
        <v>0</v>
      </c>
      <c r="V259" s="284">
        <v>13612</v>
      </c>
      <c r="W259" s="285">
        <v>0.15</v>
      </c>
      <c r="X259" s="286" t="s">
        <v>11</v>
      </c>
      <c r="Y259" s="287">
        <f t="shared" si="89"/>
        <v>180</v>
      </c>
      <c r="Z259" s="288">
        <f t="shared" si="90"/>
        <v>225000</v>
      </c>
      <c r="AA259" s="288">
        <f t="shared" si="91"/>
        <v>9000</v>
      </c>
      <c r="AB259" s="288">
        <f t="shared" si="92"/>
        <v>238771.8</v>
      </c>
      <c r="AC259" s="288">
        <f t="shared" si="109"/>
        <v>9472.4334760320016</v>
      </c>
      <c r="AD259" s="287">
        <f t="shared" si="93"/>
        <v>309060</v>
      </c>
      <c r="AE259" s="287">
        <f t="shared" si="94"/>
        <v>281244.59999999998</v>
      </c>
      <c r="AF259" s="287">
        <f t="shared" si="95"/>
        <v>4944960</v>
      </c>
      <c r="AG259" s="287">
        <f t="shared" si="96"/>
        <v>4499913.5999999996</v>
      </c>
      <c r="AH259" s="287">
        <f t="shared" si="97"/>
        <v>-1346812.56</v>
      </c>
      <c r="AI259" s="287">
        <f t="shared" si="98"/>
        <v>-1225599.4295999999</v>
      </c>
      <c r="AJ259" s="287">
        <f t="shared" si="99"/>
        <v>0</v>
      </c>
      <c r="AK259" s="287">
        <f t="shared" si="100"/>
        <v>0</v>
      </c>
      <c r="AL259" s="287">
        <f t="shared" si="101"/>
        <v>-21.611520000000009</v>
      </c>
      <c r="AM259" s="287">
        <f t="shared" si="102"/>
        <v>-19.666483200000005</v>
      </c>
      <c r="AN259" s="287">
        <f t="shared" si="103"/>
        <v>-551.67264</v>
      </c>
      <c r="AO259" s="287">
        <f t="shared" si="104"/>
        <v>-502.02210239999994</v>
      </c>
      <c r="AP259" s="287">
        <f t="shared" si="105"/>
        <v>2450160</v>
      </c>
      <c r="AQ259" s="287">
        <f t="shared" si="106"/>
        <v>2229645.5999999996</v>
      </c>
      <c r="AR259" s="287">
        <f t="shared" si="107"/>
        <v>0</v>
      </c>
      <c r="AS259" s="289" t="e">
        <f>IF(J259='2027 Avoided Costs'!#REF!,3,5)</f>
        <v>#REF!</v>
      </c>
      <c r="AT259" s="290" cm="1">
        <f t="array" ref="AT259">IFERROR(IF($J259="Baseload",IF($O259=1,0,NPV('2027 Avoided Costs'!$D$6,_xlfn._xlws.FILTER('2027 Avoided Costs'!$C$14:$C$47,('2027 Avoided Costs'!$B$14:$B$47&gt;=$B259+1)*('2027 Avoided Costs'!$B$14:$B$47&lt;$B259+ROUND($O259,0)))))+_xlfn.XLOOKUP($B259,'2027 Avoided Costs'!$B$13:$B$47,'2027 Avoided Costs'!$C$13:$C$47),IF($O259=1,0,NPV('2027 Avoided Costs'!$D$6,_xlfn._xlws.FILTER('2027 Avoided Costs'!$E$14:$E$47,('2027 Avoided Costs'!$B$14:$B$47&gt;=$B259+1)*('2027 Avoided Costs'!$B$14:$B$47&lt;$B259+ROUND($O259,0)))))+_xlfn.XLOOKUP($B259,'2027 Avoided Costs'!$B$13:$B$47,'2027 Avoided Costs'!$E$13:$E$47))*IF($AE259&gt;0,$AE259*(1+$W259),0),0)</f>
        <v>1299552.1840569444</v>
      </c>
      <c r="AU259" s="290" cm="1">
        <f t="array" ref="AU259">IFERROR((IF($O259=1,0,NPV('2027 Avoided Costs'!$D$6,_xlfn._xlws.FILTER('2027 Avoided Costs'!$M$14:$M$47,('2027 Avoided Costs'!$B$14:$B$47&gt;=$B259+1)*('2027 Avoided Costs'!$B$14:$B$47&lt;$B259+ROUND($O259,0)))))+_xlfn.XLOOKUP($B259,'2027 Avoided Costs'!$B$13:$B$47,'2027 Avoided Costs'!$M$13:$M$47))*IF($AK259&gt;0,$AK259*(1+$W259),0),0)</f>
        <v>0</v>
      </c>
      <c r="AV259" s="291" cm="1">
        <f t="array" ref="AV259">IFERROR((IF($O259=1,0,NPV('2027 Avoided Costs'!$D$6,_xlfn._xlws.FILTER('2027 Avoided Costs'!$Q$14:$Q$47,('2027 Avoided Costs'!$B$14:$B$47&gt;=$B259+1)*('2027 Avoided Costs'!$B$14:$B$47&lt;$B259+ROUND($O259,0)))))+_xlfn.XLOOKUP($B259,'2027 Avoided Costs'!$B$13:$B$47,'2027 Avoided Costs'!$Q$13:$Q$47))*IF($AI259&gt;0,$AI259*(1+$W259),0),0)</f>
        <v>0</v>
      </c>
      <c r="AW259" s="291" cm="1">
        <f t="array" ref="AW259">IFERROR((IF($O259=1,0,NPV('2027 Avoided Costs'!$D$6,_xlfn._xlws.FILTER('2027 Avoided Costs'!$W$14:$W$47,('2027 Avoided Costs'!$B$14:$B$47&gt;=$B259+1)*('2027 Avoided Costs'!$B$14:$B$47&lt;$B259+ROUND($O259,0)))))+_xlfn.XLOOKUP($B259,'2027 Avoided Costs'!$B$13:$B$47,'2027 Avoided Costs'!$W$13:$W$47))*IF($AM259&gt;0,$AM259*(1+$W259),0),0)</f>
        <v>0</v>
      </c>
      <c r="AX259" s="291" cm="1">
        <f t="array" ref="AX259">IFERROR((IF($O259=1,0,NPV('2027 Avoided Costs'!$D$6,_xlfn._xlws.FILTER('2027 Avoided Costs'!$AC$14:$AC$47,('2027 Avoided Costs'!$B$14:$B$47&gt;=$B259+1)*('2027 Avoided Costs'!$B$14:$B$47&lt;$B259+ROUND($O259,0)))))+_xlfn.XLOOKUP($B259,'2027 Avoided Costs'!$B$13:$B$47,'2027 Avoided Costs'!$AC$13:$AC$47))*IF($AO259&gt;0,$AO259*(1+$W259),0),0)</f>
        <v>0</v>
      </c>
      <c r="AY259" s="291" cm="1">
        <f t="array" ref="AY259">IFERROR((IF($O259=1,0,NPV('2027 Avoided Costs'!$D$4,_xlfn._xlws.FILTER('2027 Avoided Costs'!$I$14:$I$47,('2027 Avoided Costs'!$B$14:$B$47&gt;=$B259+1)*('2027 Avoided Costs'!$B$14:$B$47&lt;$B259+ROUND($O259,0)))))+_xlfn.XLOOKUP($B259,'2027 Avoided Costs'!$B$13:$B$47,'2027 Avoided Costs'!$I$13:$I$47))*IF($X259="Residential",'2027 Avoided Costs'!$J$5,IF($X259="Large Volume",'2027 Avoided Costs'!$J$7,'2027 Avoided Costs'!$J$6))*IF($AE259&gt;0,$AE259,0),0)</f>
        <v>0</v>
      </c>
      <c r="AZ259" s="291" cm="1">
        <f t="array" ref="AZ259">IFERROR(IF($J259="Baseload",IF($O259=1,0,NPV('2027 Avoided Costs'!$D$6,_xlfn._xlws.FILTER('2027 Avoided Costs'!$C$14:$C$47,('2027 Avoided Costs'!$B$14:$B$47&gt;=$B259+1)*('2027 Avoided Costs'!$B$14:$B$47&lt;$B259+ROUND($O259,0)))))+_xlfn.XLOOKUP($B259,'2027 Avoided Costs'!$B$13:$B$47,'2027 Avoided Costs'!$C$13:$C$47),IF($O259=1,0,NPV('2027 Avoided Costs'!$D$6,_xlfn._xlws.FILTER('2027 Avoided Costs'!$E$14:$E$47,('2027 Avoided Costs'!$B$14:$B$47&gt;=$B259+1)*('2027 Avoided Costs'!$B$14:$B$47&lt;$B259+ROUND($O259,0)))))+_xlfn.XLOOKUP($B259,'2027 Avoided Costs'!$B$13:$B$47,'2027 Avoided Costs'!$E$13:$E$47))*IF($AE259&lt;0,$AE259*(-1),0),0)</f>
        <v>0</v>
      </c>
      <c r="BA259" s="291" cm="1">
        <f t="array" ref="BA259">IFERROR((IF($O259=1,0,NPV('2027 Avoided Costs'!$D$6,_xlfn._xlws.FILTER('2027 Avoided Costs'!$M$14:$M$47,('2027 Avoided Costs'!$B$14:$B$47&gt;=$B259+1)*('2027 Avoided Costs'!$B$14:$B$47&lt;$B259+ROUND($O259,0)))))+_xlfn.XLOOKUP($B259,'2027 Avoided Costs'!$B$13:$B$47,'2027 Avoided Costs'!$M$13:$M$47))*IF($AK259&lt;0,$AK259*(-1),0),0)</f>
        <v>0</v>
      </c>
      <c r="BB259" s="291" cm="1">
        <f t="array" ref="BB259">IFERROR((IF($O259=1,0,NPV('2027 Avoided Costs'!$D$6,_xlfn._xlws.FILTER('2027 Avoided Costs'!$S$14:$S$47,('2027 Avoided Costs'!$B$14:$B$47&gt;=$B259+1)*('2027 Avoided Costs'!$B$14:$B$47&lt;$B259+ROUND($O259,0)))))+_xlfn.XLOOKUP($B259,'2027 Avoided Costs'!$B$13:$B$47,'2027 Avoided Costs'!$S$13:$S$47))*IF($AI259&lt;0,$AI259*(-1),0),0)</f>
        <v>716313.53850589111</v>
      </c>
      <c r="BC259" s="291" cm="1">
        <f t="array" ref="BC259">IFERROR((IF($O259=1,0,NPV('2027 Avoided Costs'!$D$6,_xlfn._xlws.FILTER('2027 Avoided Costs'!$Y$14:$Y$47,('2027 Avoided Costs'!$B$14:$B$47&gt;=$B259+1)*('2027 Avoided Costs'!$B$14:$B$47&lt;$B259+ROUND($O259,0)))))+_xlfn.XLOOKUP($B259,'2027 Avoided Costs'!$B$13:$B$47,'2027 Avoided Costs'!$Y$13:$Y$47))*IF($AM259&lt;0,$AM259*(-1),0),0)</f>
        <v>72646.860556068728</v>
      </c>
      <c r="BD259" s="291" cm="1">
        <f t="array" ref="BD259">IFERROR((IF($O259=1,0,NPV('2027 Avoided Costs'!$D$6,_xlfn._xlws.FILTER('2027 Avoided Costs'!$AE$14:$AE$47,('2027 Avoided Costs'!$B$14:$B$47&gt;=$B259+1)*('2027 Avoided Costs'!$B$14:$B$47&lt;$B259+ROUND($O259,0)))))+_xlfn.XLOOKUP($B259,'2027 Avoided Costs'!$B$13:$B$47,'2027 Avoided Costs'!$AE$13:$AE$47))*IF($AO259&lt;0,$AO259*(-1),0),0)</f>
        <v>366859.91072928661</v>
      </c>
      <c r="BE259" s="291" cm="1">
        <f t="array" ref="BE259">IFERROR((IF($O259=1,0,NPV('2027 Avoided Costs'!$D$4,_xlfn._xlws.FILTER('2027 Avoided Costs'!$I$14:$I$47,('2027 Avoided Costs'!$B$14:$B$47&gt;=$B259+1)*('2027 Avoided Costs'!$B$14:$B$47&lt;$B259+ROUND($O259,0)))))+_xlfn.XLOOKUP($B259,'2027 Avoided Costs'!$B$13:$B$47,'2027 Avoided Costs'!$I$13:$I$47))*IF($X259="Residential",'2027 Avoided Costs'!$J$5,IF($X259="Large Volume",'2027 Avoided Costs'!$J$7,'2027 Avoided Costs'!$J$6))*IF($AE259&lt;0,$AE259*(-1),0),0)</f>
        <v>0</v>
      </c>
      <c r="BF259" s="291">
        <f t="shared" si="111"/>
        <v>1299552.1840569444</v>
      </c>
      <c r="BG259" s="291">
        <f t="shared" si="112"/>
        <v>3385465.9097912461</v>
      </c>
      <c r="BH259" s="291">
        <f t="shared" si="113"/>
        <v>-2085913.7257343016</v>
      </c>
      <c r="BI259" s="292">
        <f t="shared" si="110"/>
        <v>0.3838621385312006</v>
      </c>
      <c r="BJ259" s="196" cm="1">
        <f t="array" ref="BJ259">IFERROR(IF($J259="Baseload",IF($O259=1,0,NPV('2027 Avoided Costs'!$D$6,_xlfn._xlws.FILTER('2027 Avoided Costs'!$C$14:$C$47,('2027 Avoided Costs'!$B$14:$B$47&gt;=$B259+1)*('2027 Avoided Costs'!$B$14:$B$47&lt;$B259+ROUND($O259,0)))))+_xlfn.XLOOKUP($B259,'2027 Avoided Costs'!$B$13:$B$47,'2027 Avoided Costs'!$C$13:$C$47),IF($O259=1,0,NPV('2027 Avoided Costs'!$D$6,_xlfn._xlws.FILTER('2027 Avoided Costs'!$E$14:$E$47,('2027 Avoided Costs'!$B$14:$B$47&gt;=$B259+1)*('2027 Avoided Costs'!$B$14:$B$47&lt;$B259+ROUND($O259,0)))))+_xlfn.XLOOKUP($B259,'2027 Avoided Costs'!$B$13:$B$47,'2027 Avoided Costs'!$E$13:$E$47))*IF($AE259&gt;0,$AE259*(1+0),0),0)</f>
        <v>1130045.3774408214</v>
      </c>
      <c r="BK259" s="293">
        <f t="shared" si="108"/>
        <v>4.5521515711257292</v>
      </c>
    </row>
    <row r="260" spans="1:63" s="56" customFormat="1" x14ac:dyDescent="0.25">
      <c r="A260" s="270" t="s">
        <v>133</v>
      </c>
      <c r="B260" s="271">
        <v>2027</v>
      </c>
      <c r="C260" s="272" t="s">
        <v>11</v>
      </c>
      <c r="D260" s="272" t="s">
        <v>160</v>
      </c>
      <c r="E260" s="272" t="s">
        <v>339</v>
      </c>
      <c r="F260" s="273">
        <v>14782</v>
      </c>
      <c r="G260" s="274">
        <v>100</v>
      </c>
      <c r="H260" s="275">
        <f t="shared" si="88"/>
        <v>0.76923076923076927</v>
      </c>
      <c r="I260" s="274">
        <v>0</v>
      </c>
      <c r="J260" s="276" t="s">
        <v>264</v>
      </c>
      <c r="K260" s="277">
        <f t="shared" si="114"/>
        <v>0.8600000000000001</v>
      </c>
      <c r="L260" s="278">
        <v>0.21</v>
      </c>
      <c r="M260" s="278">
        <v>7.0000000000000007E-2</v>
      </c>
      <c r="N260" s="278">
        <v>1</v>
      </c>
      <c r="O260" s="279">
        <v>10</v>
      </c>
      <c r="P260" s="280">
        <v>130</v>
      </c>
      <c r="Q260" s="281">
        <v>182</v>
      </c>
      <c r="R260" s="282">
        <v>8.3283200000000002E-2</v>
      </c>
      <c r="S260" s="282">
        <v>2.3583461142391106E-2</v>
      </c>
      <c r="T260" s="281">
        <v>0</v>
      </c>
      <c r="U260" s="283">
        <v>0</v>
      </c>
      <c r="V260" s="284">
        <v>270</v>
      </c>
      <c r="W260" s="285">
        <v>0.15</v>
      </c>
      <c r="X260" s="286" t="s">
        <v>11</v>
      </c>
      <c r="Y260" s="287">
        <f t="shared" si="89"/>
        <v>14782</v>
      </c>
      <c r="Z260" s="288">
        <f t="shared" si="90"/>
        <v>1478200</v>
      </c>
      <c r="AA260" s="288">
        <f t="shared" si="91"/>
        <v>0</v>
      </c>
      <c r="AB260" s="288">
        <f t="shared" si="92"/>
        <v>1478200</v>
      </c>
      <c r="AC260" s="288">
        <f t="shared" si="109"/>
        <v>0</v>
      </c>
      <c r="AD260" s="287">
        <f t="shared" si="93"/>
        <v>1921660</v>
      </c>
      <c r="AE260" s="287">
        <f t="shared" si="94"/>
        <v>1652627.6</v>
      </c>
      <c r="AF260" s="287">
        <f t="shared" si="95"/>
        <v>19216600</v>
      </c>
      <c r="AG260" s="287">
        <f t="shared" si="96"/>
        <v>16526276</v>
      </c>
      <c r="AH260" s="287">
        <f t="shared" si="97"/>
        <v>2884027.3280000002</v>
      </c>
      <c r="AI260" s="287">
        <f t="shared" si="98"/>
        <v>2480263.5020800005</v>
      </c>
      <c r="AJ260" s="287">
        <f t="shared" si="99"/>
        <v>0</v>
      </c>
      <c r="AK260" s="287">
        <f t="shared" si="100"/>
        <v>0</v>
      </c>
      <c r="AL260" s="287">
        <f t="shared" si="101"/>
        <v>1319.7309052928001</v>
      </c>
      <c r="AM260" s="287">
        <f t="shared" si="102"/>
        <v>1134.9685785518084</v>
      </c>
      <c r="AN260" s="287">
        <f t="shared" si="103"/>
        <v>373.71069463451676</v>
      </c>
      <c r="AO260" s="287">
        <f t="shared" si="104"/>
        <v>321.39119738568439</v>
      </c>
      <c r="AP260" s="287">
        <f t="shared" si="105"/>
        <v>3991140</v>
      </c>
      <c r="AQ260" s="287">
        <f t="shared" si="106"/>
        <v>3432380.4000000004</v>
      </c>
      <c r="AR260" s="287">
        <f t="shared" si="107"/>
        <v>0</v>
      </c>
      <c r="AS260" s="289" t="e">
        <f>IF(J260='2027 Avoided Costs'!#REF!,3,5)</f>
        <v>#REF!</v>
      </c>
      <c r="AT260" s="290" cm="1">
        <f t="array" ref="AT260">IFERROR(IF($J260="Baseload",IF($O260=1,0,NPV('2027 Avoided Costs'!$D$6,_xlfn._xlws.FILTER('2027 Avoided Costs'!$C$14:$C$47,('2027 Avoided Costs'!$B$14:$B$47&gt;=$B260+1)*('2027 Avoided Costs'!$B$14:$B$47&lt;$B260+ROUND($O260,0)))))+_xlfn.XLOOKUP($B260,'2027 Avoided Costs'!$B$13:$B$47,'2027 Avoided Costs'!$C$13:$C$47),IF($O260=1,0,NPV('2027 Avoided Costs'!$D$6,_xlfn._xlws.FILTER('2027 Avoided Costs'!$E$14:$E$47,('2027 Avoided Costs'!$B$14:$B$47&gt;=$B260+1)*('2027 Avoided Costs'!$B$14:$B$47&lt;$B260+ROUND($O260,0)))))+_xlfn.XLOOKUP($B260,'2027 Avoided Costs'!$B$13:$B$47,'2027 Avoided Costs'!$E$13:$E$47))*IF($AE260&gt;0,$AE260*(1+$W260),0),0)</f>
        <v>4663665.9280461576</v>
      </c>
      <c r="AU260" s="290" cm="1">
        <f t="array" ref="AU260">IFERROR((IF($O260=1,0,NPV('2027 Avoided Costs'!$D$6,_xlfn._xlws.FILTER('2027 Avoided Costs'!$M$14:$M$47,('2027 Avoided Costs'!$B$14:$B$47&gt;=$B260+1)*('2027 Avoided Costs'!$B$14:$B$47&lt;$B260+ROUND($O260,0)))))+_xlfn.XLOOKUP($B260,'2027 Avoided Costs'!$B$13:$B$47,'2027 Avoided Costs'!$M$13:$M$47))*IF($AK260&gt;0,$AK260*(1+$W260),0),0)</f>
        <v>0</v>
      </c>
      <c r="AV260" s="291" cm="1">
        <f t="array" ref="AV260">IFERROR((IF($O260=1,0,NPV('2027 Avoided Costs'!$D$6,_xlfn._xlws.FILTER('2027 Avoided Costs'!$Q$14:$Q$47,('2027 Avoided Costs'!$B$14:$B$47&gt;=$B260+1)*('2027 Avoided Costs'!$B$14:$B$47&lt;$B260+ROUND($O260,0)))))+_xlfn.XLOOKUP($B260,'2027 Avoided Costs'!$B$13:$B$47,'2027 Avoided Costs'!$Q$13:$Q$47))*IF($AI260&gt;0,$AI260*(1+$W260),0),0)</f>
        <v>1267124.7032531463</v>
      </c>
      <c r="AW260" s="291" cm="1">
        <f t="array" ref="AW260">IFERROR((IF($O260=1,0,NPV('2027 Avoided Costs'!$D$6,_xlfn._xlws.FILTER('2027 Avoided Costs'!$W$14:$W$47,('2027 Avoided Costs'!$B$14:$B$47&gt;=$B260+1)*('2027 Avoided Costs'!$B$14:$B$47&lt;$B260+ROUND($O260,0)))))+_xlfn.XLOOKUP($B260,'2027 Avoided Costs'!$B$13:$B$47,'2027 Avoided Costs'!$W$13:$W$47))*IF($AM260&gt;0,$AM260*(1+$W260),0),0)</f>
        <v>3280292.3278794945</v>
      </c>
      <c r="AX260" s="291" cm="1">
        <f t="array" ref="AX260">IFERROR((IF($O260=1,0,NPV('2027 Avoided Costs'!$D$6,_xlfn._xlws.FILTER('2027 Avoided Costs'!$AC$14:$AC$47,('2027 Avoided Costs'!$B$14:$B$47&gt;=$B260+1)*('2027 Avoided Costs'!$B$14:$B$47&lt;$B260+ROUND($O260,0)))))+_xlfn.XLOOKUP($B260,'2027 Avoided Costs'!$B$13:$B$47,'2027 Avoided Costs'!$AC$13:$AC$47))*IF($AO260&gt;0,$AO260*(1+$W260),0),0)</f>
        <v>0</v>
      </c>
      <c r="AY260" s="291" cm="1">
        <f t="array" ref="AY260">IFERROR((IF($O260=1,0,NPV('2027 Avoided Costs'!$D$4,_xlfn._xlws.FILTER('2027 Avoided Costs'!$I$14:$I$47,('2027 Avoided Costs'!$B$14:$B$47&gt;=$B260+1)*('2027 Avoided Costs'!$B$14:$B$47&lt;$B260+ROUND($O260,0)))))+_xlfn.XLOOKUP($B260,'2027 Avoided Costs'!$B$13:$B$47,'2027 Avoided Costs'!$I$13:$I$47))*IF($X260="Residential",'2027 Avoided Costs'!$J$5,IF($X260="Large Volume",'2027 Avoided Costs'!$J$7,'2027 Avoided Costs'!$J$6))*IF($AE260&gt;0,$AE260,0),0)</f>
        <v>0</v>
      </c>
      <c r="AZ260" s="291" cm="1">
        <f t="array" ref="AZ260">IFERROR(IF($J260="Baseload",IF($O260=1,0,NPV('2027 Avoided Costs'!$D$6,_xlfn._xlws.FILTER('2027 Avoided Costs'!$C$14:$C$47,('2027 Avoided Costs'!$B$14:$B$47&gt;=$B260+1)*('2027 Avoided Costs'!$B$14:$B$47&lt;$B260+ROUND($O260,0)))))+_xlfn.XLOOKUP($B260,'2027 Avoided Costs'!$B$13:$B$47,'2027 Avoided Costs'!$C$13:$C$47),IF($O260=1,0,NPV('2027 Avoided Costs'!$D$6,_xlfn._xlws.FILTER('2027 Avoided Costs'!$E$14:$E$47,('2027 Avoided Costs'!$B$14:$B$47&gt;=$B260+1)*('2027 Avoided Costs'!$B$14:$B$47&lt;$B260+ROUND($O260,0)))))+_xlfn.XLOOKUP($B260,'2027 Avoided Costs'!$B$13:$B$47,'2027 Avoided Costs'!$E$13:$E$47))*IF($AE260&lt;0,$AE260*(-1),0),0)</f>
        <v>0</v>
      </c>
      <c r="BA260" s="291" cm="1">
        <f t="array" ref="BA260">IFERROR((IF($O260=1,0,NPV('2027 Avoided Costs'!$D$6,_xlfn._xlws.FILTER('2027 Avoided Costs'!$M$14:$M$47,('2027 Avoided Costs'!$B$14:$B$47&gt;=$B260+1)*('2027 Avoided Costs'!$B$14:$B$47&lt;$B260+ROUND($O260,0)))))+_xlfn.XLOOKUP($B260,'2027 Avoided Costs'!$B$13:$B$47,'2027 Avoided Costs'!$M$13:$M$47))*IF($AK260&lt;0,$AK260*(-1),0),0)</f>
        <v>0</v>
      </c>
      <c r="BB260" s="291" cm="1">
        <f t="array" ref="BB260">IFERROR((IF($O260=1,0,NPV('2027 Avoided Costs'!$D$6,_xlfn._xlws.FILTER('2027 Avoided Costs'!$S$14:$S$47,('2027 Avoided Costs'!$B$14:$B$47&gt;=$B260+1)*('2027 Avoided Costs'!$B$14:$B$47&lt;$B260+ROUND($O260,0)))))+_xlfn.XLOOKUP($B260,'2027 Avoided Costs'!$B$13:$B$47,'2027 Avoided Costs'!$S$13:$S$47))*IF($AI260&lt;0,$AI260*(-1),0),0)</f>
        <v>0</v>
      </c>
      <c r="BC260" s="291" cm="1">
        <f t="array" ref="BC260">IFERROR((IF($O260=1,0,NPV('2027 Avoided Costs'!$D$6,_xlfn._xlws.FILTER('2027 Avoided Costs'!$Y$14:$Y$47,('2027 Avoided Costs'!$B$14:$B$47&gt;=$B260+1)*('2027 Avoided Costs'!$B$14:$B$47&lt;$B260+ROUND($O260,0)))))+_xlfn.XLOOKUP($B260,'2027 Avoided Costs'!$B$13:$B$47,'2027 Avoided Costs'!$Y$13:$Y$47))*IF($AM260&lt;0,$AM260*(-1),0),0)</f>
        <v>0</v>
      </c>
      <c r="BD260" s="291" cm="1">
        <f t="array" ref="BD260">IFERROR((IF($O260=1,0,NPV('2027 Avoided Costs'!$D$6,_xlfn._xlws.FILTER('2027 Avoided Costs'!$AE$14:$AE$47,('2027 Avoided Costs'!$B$14:$B$47&gt;=$B260+1)*('2027 Avoided Costs'!$B$14:$B$47&lt;$B260+ROUND($O260,0)))))+_xlfn.XLOOKUP($B260,'2027 Avoided Costs'!$B$13:$B$47,'2027 Avoided Costs'!$AE$13:$AE$47))*IF($AO260&lt;0,$AO260*(-1),0),0)</f>
        <v>0</v>
      </c>
      <c r="BE260" s="291" cm="1">
        <f t="array" ref="BE260">IFERROR((IF($O260=1,0,NPV('2027 Avoided Costs'!$D$4,_xlfn._xlws.FILTER('2027 Avoided Costs'!$I$14:$I$47,('2027 Avoided Costs'!$B$14:$B$47&gt;=$B260+1)*('2027 Avoided Costs'!$B$14:$B$47&lt;$B260+ROUND($O260,0)))))+_xlfn.XLOOKUP($B260,'2027 Avoided Costs'!$B$13:$B$47,'2027 Avoided Costs'!$I$13:$I$47))*IF($X260="Residential",'2027 Avoided Costs'!$J$5,IF($X260="Large Volume",'2027 Avoided Costs'!$J$7,'2027 Avoided Costs'!$J$6))*IF($AE260&lt;0,$AE260*(-1),0),0)</f>
        <v>0</v>
      </c>
      <c r="BF260" s="291">
        <f t="shared" si="111"/>
        <v>9211082.9591787979</v>
      </c>
      <c r="BG260" s="291">
        <f t="shared" si="112"/>
        <v>3432380.4000000004</v>
      </c>
      <c r="BH260" s="291">
        <f t="shared" si="113"/>
        <v>5778702.5591787975</v>
      </c>
      <c r="BI260" s="292">
        <f t="shared" si="110"/>
        <v>2.6835845348548188</v>
      </c>
      <c r="BJ260" s="196" cm="1">
        <f t="array" ref="BJ260">IFERROR(IF($J260="Baseload",IF($O260=1,0,NPV('2027 Avoided Costs'!$D$6,_xlfn._xlws.FILTER('2027 Avoided Costs'!$C$14:$C$47,('2027 Avoided Costs'!$B$14:$B$47&gt;=$B260+1)*('2027 Avoided Costs'!$B$14:$B$47&lt;$B260+ROUND($O260,0)))))+_xlfn.XLOOKUP($B260,'2027 Avoided Costs'!$B$13:$B$47,'2027 Avoided Costs'!$C$13:$C$47),IF($O260=1,0,NPV('2027 Avoided Costs'!$D$6,_xlfn._xlws.FILTER('2027 Avoided Costs'!$E$14:$E$47,('2027 Avoided Costs'!$B$14:$B$47&gt;=$B260+1)*('2027 Avoided Costs'!$B$14:$B$47&lt;$B260+ROUND($O260,0)))))+_xlfn.XLOOKUP($B260,'2027 Avoided Costs'!$B$13:$B$47,'2027 Avoided Costs'!$E$13:$E$47))*IF($AE260&gt;0,$AE260*(1+0),0),0)</f>
        <v>4055361.6765618762</v>
      </c>
      <c r="BK260" s="293">
        <f t="shared" si="108"/>
        <v>2.7434458642686215</v>
      </c>
    </row>
    <row r="261" spans="1:63" s="56" customFormat="1" x14ac:dyDescent="0.25">
      <c r="A261" s="270" t="s">
        <v>133</v>
      </c>
      <c r="B261" s="271">
        <v>2027</v>
      </c>
      <c r="C261" s="272" t="s">
        <v>11</v>
      </c>
      <c r="D261" s="272" t="s">
        <v>160</v>
      </c>
      <c r="E261" s="272" t="s">
        <v>125</v>
      </c>
      <c r="F261" s="273">
        <v>2274</v>
      </c>
      <c r="G261" s="274">
        <v>100</v>
      </c>
      <c r="H261" s="275">
        <f t="shared" si="88"/>
        <v>0.76923076923076927</v>
      </c>
      <c r="I261" s="274">
        <v>7.5</v>
      </c>
      <c r="J261" s="276" t="s">
        <v>264</v>
      </c>
      <c r="K261" s="277">
        <f t="shared" si="114"/>
        <v>0.8600000000000001</v>
      </c>
      <c r="L261" s="278">
        <v>0.21</v>
      </c>
      <c r="M261" s="278">
        <v>7.0000000000000007E-2</v>
      </c>
      <c r="N261" s="278">
        <v>1</v>
      </c>
      <c r="O261" s="279">
        <v>10</v>
      </c>
      <c r="P261" s="280">
        <v>130</v>
      </c>
      <c r="Q261" s="281">
        <v>182</v>
      </c>
      <c r="R261" s="282">
        <v>8.3283200000000002E-2</v>
      </c>
      <c r="S261" s="282">
        <v>2.3583461142391106E-2</v>
      </c>
      <c r="T261" s="281">
        <v>0</v>
      </c>
      <c r="U261" s="283">
        <v>0</v>
      </c>
      <c r="V261" s="284">
        <v>270</v>
      </c>
      <c r="W261" s="285">
        <v>0.15</v>
      </c>
      <c r="X261" s="286" t="s">
        <v>11</v>
      </c>
      <c r="Y261" s="287">
        <f t="shared" si="89"/>
        <v>2274</v>
      </c>
      <c r="Z261" s="288">
        <f t="shared" si="90"/>
        <v>227400</v>
      </c>
      <c r="AA261" s="288">
        <f t="shared" si="91"/>
        <v>17055</v>
      </c>
      <c r="AB261" s="288">
        <f t="shared" si="92"/>
        <v>227400</v>
      </c>
      <c r="AC261" s="288">
        <f t="shared" si="109"/>
        <v>17055</v>
      </c>
      <c r="AD261" s="287">
        <f t="shared" si="93"/>
        <v>295620</v>
      </c>
      <c r="AE261" s="287">
        <f t="shared" si="94"/>
        <v>254233.20000000004</v>
      </c>
      <c r="AF261" s="287">
        <f t="shared" si="95"/>
        <v>2956200</v>
      </c>
      <c r="AG261" s="287">
        <f t="shared" si="96"/>
        <v>2542332.0000000005</v>
      </c>
      <c r="AH261" s="287">
        <f t="shared" si="97"/>
        <v>443666.49600000004</v>
      </c>
      <c r="AI261" s="287">
        <f t="shared" si="98"/>
        <v>381553.18656000006</v>
      </c>
      <c r="AJ261" s="287">
        <f t="shared" si="99"/>
        <v>0</v>
      </c>
      <c r="AK261" s="287">
        <f t="shared" si="100"/>
        <v>0</v>
      </c>
      <c r="AL261" s="287">
        <f t="shared" si="101"/>
        <v>203.02178856960003</v>
      </c>
      <c r="AM261" s="287">
        <f t="shared" si="102"/>
        <v>174.59873816985603</v>
      </c>
      <c r="AN261" s="287">
        <f t="shared" si="103"/>
        <v>57.490063563718785</v>
      </c>
      <c r="AO261" s="287">
        <f t="shared" si="104"/>
        <v>49.441454664798158</v>
      </c>
      <c r="AP261" s="287">
        <f t="shared" si="105"/>
        <v>613980</v>
      </c>
      <c r="AQ261" s="287">
        <f t="shared" si="106"/>
        <v>528022.80000000005</v>
      </c>
      <c r="AR261" s="287">
        <f t="shared" si="107"/>
        <v>0</v>
      </c>
      <c r="AS261" s="289" t="e">
        <f>IF(J261='2027 Avoided Costs'!#REF!,3,5)</f>
        <v>#REF!</v>
      </c>
      <c r="AT261" s="290" cm="1">
        <f t="array" ref="AT261">IFERROR(IF($J261="Baseload",IF($O261=1,0,NPV('2027 Avoided Costs'!$D$6,_xlfn._xlws.FILTER('2027 Avoided Costs'!$C$14:$C$47,('2027 Avoided Costs'!$B$14:$B$47&gt;=$B261+1)*('2027 Avoided Costs'!$B$14:$B$47&lt;$B261+ROUND($O261,0)))))+_xlfn.XLOOKUP($B261,'2027 Avoided Costs'!$B$13:$B$47,'2027 Avoided Costs'!$C$13:$C$47),IF($O261=1,0,NPV('2027 Avoided Costs'!$D$6,_xlfn._xlws.FILTER('2027 Avoided Costs'!$E$14:$E$47,('2027 Avoided Costs'!$B$14:$B$47&gt;=$B261+1)*('2027 Avoided Costs'!$B$14:$B$47&lt;$B261+ROUND($O261,0)))))+_xlfn.XLOOKUP($B261,'2027 Avoided Costs'!$B$13:$B$47,'2027 Avoided Costs'!$E$13:$E$47))*IF($AE261&gt;0,$AE261*(1+$W261),0),0)</f>
        <v>717438.52796488733</v>
      </c>
      <c r="AU261" s="290" cm="1">
        <f t="array" ref="AU261">IFERROR((IF($O261=1,0,NPV('2027 Avoided Costs'!$D$6,_xlfn._xlws.FILTER('2027 Avoided Costs'!$M$14:$M$47,('2027 Avoided Costs'!$B$14:$B$47&gt;=$B261+1)*('2027 Avoided Costs'!$B$14:$B$47&lt;$B261+ROUND($O261,0)))))+_xlfn.XLOOKUP($B261,'2027 Avoided Costs'!$B$13:$B$47,'2027 Avoided Costs'!$M$13:$M$47))*IF($AK261&gt;0,$AK261*(1+$W261),0),0)</f>
        <v>0</v>
      </c>
      <c r="AV261" s="291" cm="1">
        <f t="array" ref="AV261">IFERROR((IF($O261=1,0,NPV('2027 Avoided Costs'!$D$6,_xlfn._xlws.FILTER('2027 Avoided Costs'!$Q$14:$Q$47,('2027 Avoided Costs'!$B$14:$B$47&gt;=$B261+1)*('2027 Avoided Costs'!$B$14:$B$47&lt;$B261+ROUND($O261,0)))))+_xlfn.XLOOKUP($B261,'2027 Avoided Costs'!$B$13:$B$47,'2027 Avoided Costs'!$Q$13:$Q$47))*IF($AI261&gt;0,$AI261*(1+$W261),0),0)</f>
        <v>194929.0742252506</v>
      </c>
      <c r="AW261" s="291" cm="1">
        <f t="array" ref="AW261">IFERROR((IF($O261=1,0,NPV('2027 Avoided Costs'!$D$6,_xlfn._xlws.FILTER('2027 Avoided Costs'!$W$14:$W$47,('2027 Avoided Costs'!$B$14:$B$47&gt;=$B261+1)*('2027 Avoided Costs'!$B$14:$B$47&lt;$B261+ROUND($O261,0)))))+_xlfn.XLOOKUP($B261,'2027 Avoided Costs'!$B$13:$B$47,'2027 Avoided Costs'!$W$13:$W$47))*IF($AM261&gt;0,$AM261*(1+$W261),0),0)</f>
        <v>504626.21794060135</v>
      </c>
      <c r="AX261" s="291" cm="1">
        <f t="array" ref="AX261">IFERROR((IF($O261=1,0,NPV('2027 Avoided Costs'!$D$6,_xlfn._xlws.FILTER('2027 Avoided Costs'!$AC$14:$AC$47,('2027 Avoided Costs'!$B$14:$B$47&gt;=$B261+1)*('2027 Avoided Costs'!$B$14:$B$47&lt;$B261+ROUND($O261,0)))))+_xlfn.XLOOKUP($B261,'2027 Avoided Costs'!$B$13:$B$47,'2027 Avoided Costs'!$AC$13:$AC$47))*IF($AO261&gt;0,$AO261*(1+$W261),0),0)</f>
        <v>0</v>
      </c>
      <c r="AY261" s="291" cm="1">
        <f t="array" ref="AY261">IFERROR((IF($O261=1,0,NPV('2027 Avoided Costs'!$D$4,_xlfn._xlws.FILTER('2027 Avoided Costs'!$I$14:$I$47,('2027 Avoided Costs'!$B$14:$B$47&gt;=$B261+1)*('2027 Avoided Costs'!$B$14:$B$47&lt;$B261+ROUND($O261,0)))))+_xlfn.XLOOKUP($B261,'2027 Avoided Costs'!$B$13:$B$47,'2027 Avoided Costs'!$I$13:$I$47))*IF($X261="Residential",'2027 Avoided Costs'!$J$5,IF($X261="Large Volume",'2027 Avoided Costs'!$J$7,'2027 Avoided Costs'!$J$6))*IF($AE261&gt;0,$AE261,0),0)</f>
        <v>0</v>
      </c>
      <c r="AZ261" s="291" cm="1">
        <f t="array" ref="AZ261">IFERROR(IF($J261="Baseload",IF($O261=1,0,NPV('2027 Avoided Costs'!$D$6,_xlfn._xlws.FILTER('2027 Avoided Costs'!$C$14:$C$47,('2027 Avoided Costs'!$B$14:$B$47&gt;=$B261+1)*('2027 Avoided Costs'!$B$14:$B$47&lt;$B261+ROUND($O261,0)))))+_xlfn.XLOOKUP($B261,'2027 Avoided Costs'!$B$13:$B$47,'2027 Avoided Costs'!$C$13:$C$47),IF($O261=1,0,NPV('2027 Avoided Costs'!$D$6,_xlfn._xlws.FILTER('2027 Avoided Costs'!$E$14:$E$47,('2027 Avoided Costs'!$B$14:$B$47&gt;=$B261+1)*('2027 Avoided Costs'!$B$14:$B$47&lt;$B261+ROUND($O261,0)))))+_xlfn.XLOOKUP($B261,'2027 Avoided Costs'!$B$13:$B$47,'2027 Avoided Costs'!$E$13:$E$47))*IF($AE261&lt;0,$AE261*(-1),0),0)</f>
        <v>0</v>
      </c>
      <c r="BA261" s="291" cm="1">
        <f t="array" ref="BA261">IFERROR((IF($O261=1,0,NPV('2027 Avoided Costs'!$D$6,_xlfn._xlws.FILTER('2027 Avoided Costs'!$M$14:$M$47,('2027 Avoided Costs'!$B$14:$B$47&gt;=$B261+1)*('2027 Avoided Costs'!$B$14:$B$47&lt;$B261+ROUND($O261,0)))))+_xlfn.XLOOKUP($B261,'2027 Avoided Costs'!$B$13:$B$47,'2027 Avoided Costs'!$M$13:$M$47))*IF($AK261&lt;0,$AK261*(-1),0),0)</f>
        <v>0</v>
      </c>
      <c r="BB261" s="291" cm="1">
        <f t="array" ref="BB261">IFERROR((IF($O261=1,0,NPV('2027 Avoided Costs'!$D$6,_xlfn._xlws.FILTER('2027 Avoided Costs'!$S$14:$S$47,('2027 Avoided Costs'!$B$14:$B$47&gt;=$B261+1)*('2027 Avoided Costs'!$B$14:$B$47&lt;$B261+ROUND($O261,0)))))+_xlfn.XLOOKUP($B261,'2027 Avoided Costs'!$B$13:$B$47,'2027 Avoided Costs'!$S$13:$S$47))*IF($AI261&lt;0,$AI261*(-1),0),0)</f>
        <v>0</v>
      </c>
      <c r="BC261" s="291" cm="1">
        <f t="array" ref="BC261">IFERROR((IF($O261=1,0,NPV('2027 Avoided Costs'!$D$6,_xlfn._xlws.FILTER('2027 Avoided Costs'!$Y$14:$Y$47,('2027 Avoided Costs'!$B$14:$B$47&gt;=$B261+1)*('2027 Avoided Costs'!$B$14:$B$47&lt;$B261+ROUND($O261,0)))))+_xlfn.XLOOKUP($B261,'2027 Avoided Costs'!$B$13:$B$47,'2027 Avoided Costs'!$Y$13:$Y$47))*IF($AM261&lt;0,$AM261*(-1),0),0)</f>
        <v>0</v>
      </c>
      <c r="BD261" s="291" cm="1">
        <f t="array" ref="BD261">IFERROR((IF($O261=1,0,NPV('2027 Avoided Costs'!$D$6,_xlfn._xlws.FILTER('2027 Avoided Costs'!$AE$14:$AE$47,('2027 Avoided Costs'!$B$14:$B$47&gt;=$B261+1)*('2027 Avoided Costs'!$B$14:$B$47&lt;$B261+ROUND($O261,0)))))+_xlfn.XLOOKUP($B261,'2027 Avoided Costs'!$B$13:$B$47,'2027 Avoided Costs'!$AE$13:$AE$47))*IF($AO261&lt;0,$AO261*(-1),0),0)</f>
        <v>0</v>
      </c>
      <c r="BE261" s="291" cm="1">
        <f t="array" ref="BE261">IFERROR((IF($O261=1,0,NPV('2027 Avoided Costs'!$D$4,_xlfn._xlws.FILTER('2027 Avoided Costs'!$I$14:$I$47,('2027 Avoided Costs'!$B$14:$B$47&gt;=$B261+1)*('2027 Avoided Costs'!$B$14:$B$47&lt;$B261+ROUND($O261,0)))))+_xlfn.XLOOKUP($B261,'2027 Avoided Costs'!$B$13:$B$47,'2027 Avoided Costs'!$I$13:$I$47))*IF($X261="Residential",'2027 Avoided Costs'!$J$5,IF($X261="Large Volume",'2027 Avoided Costs'!$J$7,'2027 Avoided Costs'!$J$6))*IF($AE261&lt;0,$AE261*(-1),0),0)</f>
        <v>0</v>
      </c>
      <c r="BF261" s="291">
        <f t="shared" si="111"/>
        <v>1416993.8201307394</v>
      </c>
      <c r="BG261" s="291">
        <f t="shared" si="112"/>
        <v>528022.80000000005</v>
      </c>
      <c r="BH261" s="291">
        <f t="shared" si="113"/>
        <v>888971.02013073931</v>
      </c>
      <c r="BI261" s="292">
        <f t="shared" si="110"/>
        <v>2.6835845348548193</v>
      </c>
      <c r="BJ261" s="196" cm="1">
        <f t="array" ref="BJ261">IFERROR(IF($J261="Baseload",IF($O261=1,0,NPV('2027 Avoided Costs'!$D$6,_xlfn._xlws.FILTER('2027 Avoided Costs'!$C$14:$C$47,('2027 Avoided Costs'!$B$14:$B$47&gt;=$B261+1)*('2027 Avoided Costs'!$B$14:$B$47&lt;$B261+ROUND($O261,0)))))+_xlfn.XLOOKUP($B261,'2027 Avoided Costs'!$B$13:$B$47,'2027 Avoided Costs'!$C$13:$C$47),IF($O261=1,0,NPV('2027 Avoided Costs'!$D$6,_xlfn._xlws.FILTER('2027 Avoided Costs'!$E$14:$E$47,('2027 Avoided Costs'!$B$14:$B$47&gt;=$B261+1)*('2027 Avoided Costs'!$B$14:$B$47&lt;$B261+ROUND($O261,0)))))+_xlfn.XLOOKUP($B261,'2027 Avoided Costs'!$B$13:$B$47,'2027 Avoided Costs'!$E$13:$E$47))*IF($AE261&gt;0,$AE261*(1+0),0),0)</f>
        <v>623859.58953468455</v>
      </c>
      <c r="BK261" s="293">
        <f t="shared" si="108"/>
        <v>2.5520426644359269</v>
      </c>
    </row>
    <row r="262" spans="1:63" s="56" customFormat="1" x14ac:dyDescent="0.25">
      <c r="A262" s="270" t="s">
        <v>133</v>
      </c>
      <c r="B262" s="271">
        <v>2027</v>
      </c>
      <c r="C262" s="272" t="s">
        <v>11</v>
      </c>
      <c r="D262" s="272" t="s">
        <v>160</v>
      </c>
      <c r="E262" s="272" t="s">
        <v>340</v>
      </c>
      <c r="F262" s="273">
        <v>9949</v>
      </c>
      <c r="G262" s="274">
        <v>125</v>
      </c>
      <c r="H262" s="275">
        <f t="shared" si="88"/>
        <v>0.96153846153846156</v>
      </c>
      <c r="I262" s="274">
        <v>0</v>
      </c>
      <c r="J262" s="276" t="s">
        <v>264</v>
      </c>
      <c r="K262" s="277">
        <f t="shared" si="114"/>
        <v>0.8600000000000001</v>
      </c>
      <c r="L262" s="278">
        <v>0.21</v>
      </c>
      <c r="M262" s="278">
        <v>7.0000000000000007E-2</v>
      </c>
      <c r="N262" s="278">
        <v>1</v>
      </c>
      <c r="O262" s="279">
        <v>10</v>
      </c>
      <c r="P262" s="280">
        <v>130</v>
      </c>
      <c r="Q262" s="281">
        <v>182</v>
      </c>
      <c r="R262" s="282">
        <v>8.3283200000000002E-2</v>
      </c>
      <c r="S262" s="282">
        <v>2.3583461142391106E-2</v>
      </c>
      <c r="T262" s="281">
        <v>0</v>
      </c>
      <c r="U262" s="283">
        <v>0</v>
      </c>
      <c r="V262" s="284">
        <v>270</v>
      </c>
      <c r="W262" s="285">
        <v>0.15</v>
      </c>
      <c r="X262" s="286" t="s">
        <v>11</v>
      </c>
      <c r="Y262" s="287">
        <f t="shared" si="89"/>
        <v>9949</v>
      </c>
      <c r="Z262" s="288">
        <f t="shared" si="90"/>
        <v>1243625</v>
      </c>
      <c r="AA262" s="288">
        <f t="shared" si="91"/>
        <v>0</v>
      </c>
      <c r="AB262" s="288">
        <f t="shared" si="92"/>
        <v>1243625</v>
      </c>
      <c r="AC262" s="288">
        <f t="shared" si="109"/>
        <v>0</v>
      </c>
      <c r="AD262" s="287">
        <f t="shared" si="93"/>
        <v>1293370</v>
      </c>
      <c r="AE262" s="287">
        <f t="shared" si="94"/>
        <v>1112298.2000000002</v>
      </c>
      <c r="AF262" s="287">
        <f t="shared" si="95"/>
        <v>12933700</v>
      </c>
      <c r="AG262" s="287">
        <f t="shared" si="96"/>
        <v>11122982.000000002</v>
      </c>
      <c r="AH262" s="287">
        <f t="shared" si="97"/>
        <v>1941089.6960000002</v>
      </c>
      <c r="AI262" s="287">
        <f t="shared" si="98"/>
        <v>1669337.1385600003</v>
      </c>
      <c r="AJ262" s="287">
        <f t="shared" si="99"/>
        <v>0</v>
      </c>
      <c r="AK262" s="287">
        <f t="shared" si="100"/>
        <v>0</v>
      </c>
      <c r="AL262" s="287">
        <f t="shared" si="101"/>
        <v>888.2426448896</v>
      </c>
      <c r="AM262" s="287">
        <f t="shared" si="102"/>
        <v>763.88867460505605</v>
      </c>
      <c r="AN262" s="287">
        <f t="shared" si="103"/>
        <v>251.52534845885586</v>
      </c>
      <c r="AO262" s="287">
        <f t="shared" si="104"/>
        <v>216.31179967461603</v>
      </c>
      <c r="AP262" s="287">
        <f t="shared" si="105"/>
        <v>2686230</v>
      </c>
      <c r="AQ262" s="287">
        <f t="shared" si="106"/>
        <v>2310157.8000000003</v>
      </c>
      <c r="AR262" s="287">
        <f t="shared" si="107"/>
        <v>0</v>
      </c>
      <c r="AS262" s="289" t="e">
        <f>IF(J262='2027 Avoided Costs'!#REF!,3,5)</f>
        <v>#REF!</v>
      </c>
      <c r="AT262" s="290" cm="1">
        <f t="array" ref="AT262">IFERROR(IF($J262="Baseload",IF($O262=1,0,NPV('2027 Avoided Costs'!$D$6,_xlfn._xlws.FILTER('2027 Avoided Costs'!$C$14:$C$47,('2027 Avoided Costs'!$B$14:$B$47&gt;=$B262+1)*('2027 Avoided Costs'!$B$14:$B$47&lt;$B262+ROUND($O262,0)))))+_xlfn.XLOOKUP($B262,'2027 Avoided Costs'!$B$13:$B$47,'2027 Avoided Costs'!$C$13:$C$47),IF($O262=1,0,NPV('2027 Avoided Costs'!$D$6,_xlfn._xlws.FILTER('2027 Avoided Costs'!$E$14:$E$47,('2027 Avoided Costs'!$B$14:$B$47&gt;=$B262+1)*('2027 Avoided Costs'!$B$14:$B$47&lt;$B262+ROUND($O262,0)))))+_xlfn.XLOOKUP($B262,'2027 Avoided Costs'!$B$13:$B$47,'2027 Avoided Costs'!$E$13:$E$47))*IF($AE262&gt;0,$AE262*(1+$W262),0),0)</f>
        <v>3138872.4339149795</v>
      </c>
      <c r="AU262" s="290" cm="1">
        <f t="array" ref="AU262">IFERROR((IF($O262=1,0,NPV('2027 Avoided Costs'!$D$6,_xlfn._xlws.FILTER('2027 Avoided Costs'!$M$14:$M$47,('2027 Avoided Costs'!$B$14:$B$47&gt;=$B262+1)*('2027 Avoided Costs'!$B$14:$B$47&lt;$B262+ROUND($O262,0)))))+_xlfn.XLOOKUP($B262,'2027 Avoided Costs'!$B$13:$B$47,'2027 Avoided Costs'!$M$13:$M$47))*IF($AK262&gt;0,$AK262*(1+$W262),0),0)</f>
        <v>0</v>
      </c>
      <c r="AV262" s="291" cm="1">
        <f t="array" ref="AV262">IFERROR((IF($O262=1,0,NPV('2027 Avoided Costs'!$D$6,_xlfn._xlws.FILTER('2027 Avoided Costs'!$Q$14:$Q$47,('2027 Avoided Costs'!$B$14:$B$47&gt;=$B262+1)*('2027 Avoided Costs'!$B$14:$B$47&lt;$B262+ROUND($O262,0)))))+_xlfn.XLOOKUP($B262,'2027 Avoided Costs'!$B$13:$B$47,'2027 Avoided Costs'!$Q$13:$Q$47))*IF($AI262&gt;0,$AI262*(1+$W262),0),0)</f>
        <v>852836.1299327258</v>
      </c>
      <c r="AW262" s="291" cm="1">
        <f t="array" ref="AW262">IFERROR((IF($O262=1,0,NPV('2027 Avoided Costs'!$D$6,_xlfn._xlws.FILTER('2027 Avoided Costs'!$W$14:$W$47,('2027 Avoided Costs'!$B$14:$B$47&gt;=$B262+1)*('2027 Avoided Costs'!$B$14:$B$47&lt;$B262+ROUND($O262,0)))))+_xlfn.XLOOKUP($B262,'2027 Avoided Costs'!$B$13:$B$47,'2027 Avoided Costs'!$W$13:$W$47))*IF($AM262&gt;0,$AM262*(1+$W262),0),0)</f>
        <v>2207795.181306527</v>
      </c>
      <c r="AX262" s="291" cm="1">
        <f t="array" ref="AX262">IFERROR((IF($O262=1,0,NPV('2027 Avoided Costs'!$D$6,_xlfn._xlws.FILTER('2027 Avoided Costs'!$AC$14:$AC$47,('2027 Avoided Costs'!$B$14:$B$47&gt;=$B262+1)*('2027 Avoided Costs'!$B$14:$B$47&lt;$B262+ROUND($O262,0)))))+_xlfn.XLOOKUP($B262,'2027 Avoided Costs'!$B$13:$B$47,'2027 Avoided Costs'!$AC$13:$AC$47))*IF($AO262&gt;0,$AO262*(1+$W262),0),0)</f>
        <v>0</v>
      </c>
      <c r="AY262" s="291" cm="1">
        <f t="array" ref="AY262">IFERROR((IF($O262=1,0,NPV('2027 Avoided Costs'!$D$4,_xlfn._xlws.FILTER('2027 Avoided Costs'!$I$14:$I$47,('2027 Avoided Costs'!$B$14:$B$47&gt;=$B262+1)*('2027 Avoided Costs'!$B$14:$B$47&lt;$B262+ROUND($O262,0)))))+_xlfn.XLOOKUP($B262,'2027 Avoided Costs'!$B$13:$B$47,'2027 Avoided Costs'!$I$13:$I$47))*IF($X262="Residential",'2027 Avoided Costs'!$J$5,IF($X262="Large Volume",'2027 Avoided Costs'!$J$7,'2027 Avoided Costs'!$J$6))*IF($AE262&gt;0,$AE262,0),0)</f>
        <v>0</v>
      </c>
      <c r="AZ262" s="291" cm="1">
        <f t="array" ref="AZ262">IFERROR(IF($J262="Baseload",IF($O262=1,0,NPV('2027 Avoided Costs'!$D$6,_xlfn._xlws.FILTER('2027 Avoided Costs'!$C$14:$C$47,('2027 Avoided Costs'!$B$14:$B$47&gt;=$B262+1)*('2027 Avoided Costs'!$B$14:$B$47&lt;$B262+ROUND($O262,0)))))+_xlfn.XLOOKUP($B262,'2027 Avoided Costs'!$B$13:$B$47,'2027 Avoided Costs'!$C$13:$C$47),IF($O262=1,0,NPV('2027 Avoided Costs'!$D$6,_xlfn._xlws.FILTER('2027 Avoided Costs'!$E$14:$E$47,('2027 Avoided Costs'!$B$14:$B$47&gt;=$B262+1)*('2027 Avoided Costs'!$B$14:$B$47&lt;$B262+ROUND($O262,0)))))+_xlfn.XLOOKUP($B262,'2027 Avoided Costs'!$B$13:$B$47,'2027 Avoided Costs'!$E$13:$E$47))*IF($AE262&lt;0,$AE262*(-1),0),0)</f>
        <v>0</v>
      </c>
      <c r="BA262" s="291" cm="1">
        <f t="array" ref="BA262">IFERROR((IF($O262=1,0,NPV('2027 Avoided Costs'!$D$6,_xlfn._xlws.FILTER('2027 Avoided Costs'!$M$14:$M$47,('2027 Avoided Costs'!$B$14:$B$47&gt;=$B262+1)*('2027 Avoided Costs'!$B$14:$B$47&lt;$B262+ROUND($O262,0)))))+_xlfn.XLOOKUP($B262,'2027 Avoided Costs'!$B$13:$B$47,'2027 Avoided Costs'!$M$13:$M$47))*IF($AK262&lt;0,$AK262*(-1),0),0)</f>
        <v>0</v>
      </c>
      <c r="BB262" s="291" cm="1">
        <f t="array" ref="BB262">IFERROR((IF($O262=1,0,NPV('2027 Avoided Costs'!$D$6,_xlfn._xlws.FILTER('2027 Avoided Costs'!$S$14:$S$47,('2027 Avoided Costs'!$B$14:$B$47&gt;=$B262+1)*('2027 Avoided Costs'!$B$14:$B$47&lt;$B262+ROUND($O262,0)))))+_xlfn.XLOOKUP($B262,'2027 Avoided Costs'!$B$13:$B$47,'2027 Avoided Costs'!$S$13:$S$47))*IF($AI262&lt;0,$AI262*(-1),0),0)</f>
        <v>0</v>
      </c>
      <c r="BC262" s="291" cm="1">
        <f t="array" ref="BC262">IFERROR((IF($O262=1,0,NPV('2027 Avoided Costs'!$D$6,_xlfn._xlws.FILTER('2027 Avoided Costs'!$Y$14:$Y$47,('2027 Avoided Costs'!$B$14:$B$47&gt;=$B262+1)*('2027 Avoided Costs'!$B$14:$B$47&lt;$B262+ROUND($O262,0)))))+_xlfn.XLOOKUP($B262,'2027 Avoided Costs'!$B$13:$B$47,'2027 Avoided Costs'!$Y$13:$Y$47))*IF($AM262&lt;0,$AM262*(-1),0),0)</f>
        <v>0</v>
      </c>
      <c r="BD262" s="291" cm="1">
        <f t="array" ref="BD262">IFERROR((IF($O262=1,0,NPV('2027 Avoided Costs'!$D$6,_xlfn._xlws.FILTER('2027 Avoided Costs'!$AE$14:$AE$47,('2027 Avoided Costs'!$B$14:$B$47&gt;=$B262+1)*('2027 Avoided Costs'!$B$14:$B$47&lt;$B262+ROUND($O262,0)))))+_xlfn.XLOOKUP($B262,'2027 Avoided Costs'!$B$13:$B$47,'2027 Avoided Costs'!$AE$13:$AE$47))*IF($AO262&lt;0,$AO262*(-1),0),0)</f>
        <v>0</v>
      </c>
      <c r="BE262" s="291" cm="1">
        <f t="array" ref="BE262">IFERROR((IF($O262=1,0,NPV('2027 Avoided Costs'!$D$4,_xlfn._xlws.FILTER('2027 Avoided Costs'!$I$14:$I$47,('2027 Avoided Costs'!$B$14:$B$47&gt;=$B262+1)*('2027 Avoided Costs'!$B$14:$B$47&lt;$B262+ROUND($O262,0)))))+_xlfn.XLOOKUP($B262,'2027 Avoided Costs'!$B$13:$B$47,'2027 Avoided Costs'!$I$13:$I$47))*IF($X262="Residential",'2027 Avoided Costs'!$J$5,IF($X262="Large Volume",'2027 Avoided Costs'!$J$7,'2027 Avoided Costs'!$J$6))*IF($AE262&lt;0,$AE262*(-1),0),0)</f>
        <v>0</v>
      </c>
      <c r="BF262" s="291">
        <f t="shared" si="111"/>
        <v>6199503.7451542318</v>
      </c>
      <c r="BG262" s="291">
        <f t="shared" si="112"/>
        <v>2310157.8000000003</v>
      </c>
      <c r="BH262" s="291">
        <f t="shared" si="113"/>
        <v>3889345.9451542315</v>
      </c>
      <c r="BI262" s="292">
        <f t="shared" si="110"/>
        <v>2.6835845348548184</v>
      </c>
      <c r="BJ262" s="196" cm="1">
        <f t="array" ref="BJ262">IFERROR(IF($J262="Baseload",IF($O262=1,0,NPV('2027 Avoided Costs'!$D$6,_xlfn._xlws.FILTER('2027 Avoided Costs'!$C$14:$C$47,('2027 Avoided Costs'!$B$14:$B$47&gt;=$B262+1)*('2027 Avoided Costs'!$B$14:$B$47&lt;$B262+ROUND($O262,0)))))+_xlfn.XLOOKUP($B262,'2027 Avoided Costs'!$B$13:$B$47,'2027 Avoided Costs'!$C$13:$C$47),IF($O262=1,0,NPV('2027 Avoided Costs'!$D$6,_xlfn._xlws.FILTER('2027 Avoided Costs'!$E$14:$E$47,('2027 Avoided Costs'!$B$14:$B$47&gt;=$B262+1)*('2027 Avoided Costs'!$B$14:$B$47&lt;$B262+ROUND($O262,0)))))+_xlfn.XLOOKUP($B262,'2027 Avoided Costs'!$B$13:$B$47,'2027 Avoided Costs'!$E$13:$E$47))*IF($AE262&gt;0,$AE262*(1+0),0),0)</f>
        <v>2729454.2903608517</v>
      </c>
      <c r="BK262" s="293">
        <f t="shared" si="108"/>
        <v>2.1947566914148973</v>
      </c>
    </row>
    <row r="263" spans="1:63" s="56" customFormat="1" x14ac:dyDescent="0.25">
      <c r="A263" s="270" t="s">
        <v>133</v>
      </c>
      <c r="B263" s="271">
        <v>2027</v>
      </c>
      <c r="C263" s="272" t="s">
        <v>11</v>
      </c>
      <c r="D263" s="272" t="s">
        <v>160</v>
      </c>
      <c r="E263" s="272" t="s">
        <v>338</v>
      </c>
      <c r="F263" s="273">
        <v>995</v>
      </c>
      <c r="G263" s="274">
        <v>125</v>
      </c>
      <c r="H263" s="275">
        <f t="shared" si="88"/>
        <v>0.96153846153846156</v>
      </c>
      <c r="I263" s="274">
        <v>7.5</v>
      </c>
      <c r="J263" s="276" t="s">
        <v>264</v>
      </c>
      <c r="K263" s="277">
        <f t="shared" si="114"/>
        <v>0.8600000000000001</v>
      </c>
      <c r="L263" s="278">
        <v>0.21</v>
      </c>
      <c r="M263" s="278">
        <v>7.0000000000000007E-2</v>
      </c>
      <c r="N263" s="278">
        <v>1</v>
      </c>
      <c r="O263" s="279">
        <v>10</v>
      </c>
      <c r="P263" s="280">
        <v>130</v>
      </c>
      <c r="Q263" s="281">
        <v>182</v>
      </c>
      <c r="R263" s="282">
        <v>8.3283200000000002E-2</v>
      </c>
      <c r="S263" s="282">
        <v>2.3583461142391106E-2</v>
      </c>
      <c r="T263" s="281">
        <v>0</v>
      </c>
      <c r="U263" s="283">
        <v>0</v>
      </c>
      <c r="V263" s="284">
        <v>270</v>
      </c>
      <c r="W263" s="285">
        <v>0.15</v>
      </c>
      <c r="X263" s="286" t="s">
        <v>11</v>
      </c>
      <c r="Y263" s="287">
        <f t="shared" si="89"/>
        <v>995</v>
      </c>
      <c r="Z263" s="288">
        <f t="shared" si="90"/>
        <v>124375</v>
      </c>
      <c r="AA263" s="288">
        <f t="shared" si="91"/>
        <v>7462.5</v>
      </c>
      <c r="AB263" s="288">
        <f t="shared" si="92"/>
        <v>124375</v>
      </c>
      <c r="AC263" s="288">
        <f t="shared" si="109"/>
        <v>7462.5</v>
      </c>
      <c r="AD263" s="287">
        <f t="shared" si="93"/>
        <v>129350</v>
      </c>
      <c r="AE263" s="287">
        <f t="shared" si="94"/>
        <v>111241.00000000001</v>
      </c>
      <c r="AF263" s="287">
        <f t="shared" si="95"/>
        <v>1293500</v>
      </c>
      <c r="AG263" s="287">
        <f t="shared" si="96"/>
        <v>1112410.0000000002</v>
      </c>
      <c r="AH263" s="287">
        <f t="shared" si="97"/>
        <v>194128.48</v>
      </c>
      <c r="AI263" s="287">
        <f t="shared" si="98"/>
        <v>166950.49280000004</v>
      </c>
      <c r="AJ263" s="287">
        <f t="shared" si="99"/>
        <v>0</v>
      </c>
      <c r="AK263" s="287">
        <f t="shared" si="100"/>
        <v>0</v>
      </c>
      <c r="AL263" s="287">
        <f t="shared" si="101"/>
        <v>88.833192448000005</v>
      </c>
      <c r="AM263" s="287">
        <f t="shared" si="102"/>
        <v>76.396545505280017</v>
      </c>
      <c r="AN263" s="287">
        <f t="shared" si="103"/>
        <v>25.155062992920051</v>
      </c>
      <c r="AO263" s="287">
        <f t="shared" si="104"/>
        <v>21.633354173911247</v>
      </c>
      <c r="AP263" s="287">
        <f t="shared" si="105"/>
        <v>268650</v>
      </c>
      <c r="AQ263" s="287">
        <f t="shared" si="106"/>
        <v>231039.00000000003</v>
      </c>
      <c r="AR263" s="287">
        <f t="shared" si="107"/>
        <v>0</v>
      </c>
      <c r="AS263" s="289" t="e">
        <f>IF(J263='2027 Avoided Costs'!#REF!,3,5)</f>
        <v>#REF!</v>
      </c>
      <c r="AT263" s="290" cm="1">
        <f t="array" ref="AT263">IFERROR(IF($J263="Baseload",IF($O263=1,0,NPV('2027 Avoided Costs'!$D$6,_xlfn._xlws.FILTER('2027 Avoided Costs'!$C$14:$C$47,('2027 Avoided Costs'!$B$14:$B$47&gt;=$B263+1)*('2027 Avoided Costs'!$B$14:$B$47&lt;$B263+ROUND($O263,0)))))+_xlfn.XLOOKUP($B263,'2027 Avoided Costs'!$B$13:$B$47,'2027 Avoided Costs'!$C$13:$C$47),IF($O263=1,0,NPV('2027 Avoided Costs'!$D$6,_xlfn._xlws.FILTER('2027 Avoided Costs'!$E$14:$E$47,('2027 Avoided Costs'!$B$14:$B$47&gt;=$B263+1)*('2027 Avoided Costs'!$B$14:$B$47&lt;$B263+ROUND($O263,0)))))+_xlfn.XLOOKUP($B263,'2027 Avoided Costs'!$B$13:$B$47,'2027 Avoided Costs'!$E$13:$E$47))*IF($AE263&gt;0,$AE263*(1+$W263),0),0)</f>
        <v>313918.79301893699</v>
      </c>
      <c r="AU263" s="290" cm="1">
        <f t="array" ref="AU263">IFERROR((IF($O263=1,0,NPV('2027 Avoided Costs'!$D$6,_xlfn._xlws.FILTER('2027 Avoided Costs'!$M$14:$M$47,('2027 Avoided Costs'!$B$14:$B$47&gt;=$B263+1)*('2027 Avoided Costs'!$B$14:$B$47&lt;$B263+ROUND($O263,0)))))+_xlfn.XLOOKUP($B263,'2027 Avoided Costs'!$B$13:$B$47,'2027 Avoided Costs'!$M$13:$M$47))*IF($AK263&gt;0,$AK263*(1+$W263),0),0)</f>
        <v>0</v>
      </c>
      <c r="AV263" s="291" cm="1">
        <f t="array" ref="AV263">IFERROR((IF($O263=1,0,NPV('2027 Avoided Costs'!$D$6,_xlfn._xlws.FILTER('2027 Avoided Costs'!$Q$14:$Q$47,('2027 Avoided Costs'!$B$14:$B$47&gt;=$B263+1)*('2027 Avoided Costs'!$B$14:$B$47&lt;$B263+ROUND($O263,0)))))+_xlfn.XLOOKUP($B263,'2027 Avoided Costs'!$B$13:$B$47,'2027 Avoided Costs'!$Q$13:$Q$47))*IF($AI263&gt;0,$AI263*(1+$W263),0),0)</f>
        <v>85292.185072174296</v>
      </c>
      <c r="AW263" s="291" cm="1">
        <f t="array" ref="AW263">IFERROR((IF($O263=1,0,NPV('2027 Avoided Costs'!$D$6,_xlfn._xlws.FILTER('2027 Avoided Costs'!$W$14:$W$47,('2027 Avoided Costs'!$B$14:$B$47&gt;=$B263+1)*('2027 Avoided Costs'!$B$14:$B$47&lt;$B263+ROUND($O263,0)))))+_xlfn.XLOOKUP($B263,'2027 Avoided Costs'!$B$13:$B$47,'2027 Avoided Costs'!$W$13:$W$47))*IF($AM263&gt;0,$AM263*(1+$W263),0),0)</f>
        <v>220801.70925721125</v>
      </c>
      <c r="AX263" s="291" cm="1">
        <f t="array" ref="AX263">IFERROR((IF($O263=1,0,NPV('2027 Avoided Costs'!$D$6,_xlfn._xlws.FILTER('2027 Avoided Costs'!$AC$14:$AC$47,('2027 Avoided Costs'!$B$14:$B$47&gt;=$B263+1)*('2027 Avoided Costs'!$B$14:$B$47&lt;$B263+ROUND($O263,0)))))+_xlfn.XLOOKUP($B263,'2027 Avoided Costs'!$B$13:$B$47,'2027 Avoided Costs'!$AC$13:$AC$47))*IF($AO263&gt;0,$AO263*(1+$W263),0),0)</f>
        <v>0</v>
      </c>
      <c r="AY263" s="291" cm="1">
        <f t="array" ref="AY263">IFERROR((IF($O263=1,0,NPV('2027 Avoided Costs'!$D$4,_xlfn._xlws.FILTER('2027 Avoided Costs'!$I$14:$I$47,('2027 Avoided Costs'!$B$14:$B$47&gt;=$B263+1)*('2027 Avoided Costs'!$B$14:$B$47&lt;$B263+ROUND($O263,0)))))+_xlfn.XLOOKUP($B263,'2027 Avoided Costs'!$B$13:$B$47,'2027 Avoided Costs'!$I$13:$I$47))*IF($X263="Residential",'2027 Avoided Costs'!$J$5,IF($X263="Large Volume",'2027 Avoided Costs'!$J$7,'2027 Avoided Costs'!$J$6))*IF($AE263&gt;0,$AE263,0),0)</f>
        <v>0</v>
      </c>
      <c r="AZ263" s="291" cm="1">
        <f t="array" ref="AZ263">IFERROR(IF($J263="Baseload",IF($O263=1,0,NPV('2027 Avoided Costs'!$D$6,_xlfn._xlws.FILTER('2027 Avoided Costs'!$C$14:$C$47,('2027 Avoided Costs'!$B$14:$B$47&gt;=$B263+1)*('2027 Avoided Costs'!$B$14:$B$47&lt;$B263+ROUND($O263,0)))))+_xlfn.XLOOKUP($B263,'2027 Avoided Costs'!$B$13:$B$47,'2027 Avoided Costs'!$C$13:$C$47),IF($O263=1,0,NPV('2027 Avoided Costs'!$D$6,_xlfn._xlws.FILTER('2027 Avoided Costs'!$E$14:$E$47,('2027 Avoided Costs'!$B$14:$B$47&gt;=$B263+1)*('2027 Avoided Costs'!$B$14:$B$47&lt;$B263+ROUND($O263,0)))))+_xlfn.XLOOKUP($B263,'2027 Avoided Costs'!$B$13:$B$47,'2027 Avoided Costs'!$E$13:$E$47))*IF($AE263&lt;0,$AE263*(-1),0),0)</f>
        <v>0</v>
      </c>
      <c r="BA263" s="291" cm="1">
        <f t="array" ref="BA263">IFERROR((IF($O263=1,0,NPV('2027 Avoided Costs'!$D$6,_xlfn._xlws.FILTER('2027 Avoided Costs'!$M$14:$M$47,('2027 Avoided Costs'!$B$14:$B$47&gt;=$B263+1)*('2027 Avoided Costs'!$B$14:$B$47&lt;$B263+ROUND($O263,0)))))+_xlfn.XLOOKUP($B263,'2027 Avoided Costs'!$B$13:$B$47,'2027 Avoided Costs'!$M$13:$M$47))*IF($AK263&lt;0,$AK263*(-1),0),0)</f>
        <v>0</v>
      </c>
      <c r="BB263" s="291" cm="1">
        <f t="array" ref="BB263">IFERROR((IF($O263=1,0,NPV('2027 Avoided Costs'!$D$6,_xlfn._xlws.FILTER('2027 Avoided Costs'!$S$14:$S$47,('2027 Avoided Costs'!$B$14:$B$47&gt;=$B263+1)*('2027 Avoided Costs'!$B$14:$B$47&lt;$B263+ROUND($O263,0)))))+_xlfn.XLOOKUP($B263,'2027 Avoided Costs'!$B$13:$B$47,'2027 Avoided Costs'!$S$13:$S$47))*IF($AI263&lt;0,$AI263*(-1),0),0)</f>
        <v>0</v>
      </c>
      <c r="BC263" s="291" cm="1">
        <f t="array" ref="BC263">IFERROR((IF($O263=1,0,NPV('2027 Avoided Costs'!$D$6,_xlfn._xlws.FILTER('2027 Avoided Costs'!$Y$14:$Y$47,('2027 Avoided Costs'!$B$14:$B$47&gt;=$B263+1)*('2027 Avoided Costs'!$B$14:$B$47&lt;$B263+ROUND($O263,0)))))+_xlfn.XLOOKUP($B263,'2027 Avoided Costs'!$B$13:$B$47,'2027 Avoided Costs'!$Y$13:$Y$47))*IF($AM263&lt;0,$AM263*(-1),0),0)</f>
        <v>0</v>
      </c>
      <c r="BD263" s="291" cm="1">
        <f t="array" ref="BD263">IFERROR((IF($O263=1,0,NPV('2027 Avoided Costs'!$D$6,_xlfn._xlws.FILTER('2027 Avoided Costs'!$AE$14:$AE$47,('2027 Avoided Costs'!$B$14:$B$47&gt;=$B263+1)*('2027 Avoided Costs'!$B$14:$B$47&lt;$B263+ROUND($O263,0)))))+_xlfn.XLOOKUP($B263,'2027 Avoided Costs'!$B$13:$B$47,'2027 Avoided Costs'!$AE$13:$AE$47))*IF($AO263&lt;0,$AO263*(-1),0),0)</f>
        <v>0</v>
      </c>
      <c r="BE263" s="291" cm="1">
        <f t="array" ref="BE263">IFERROR((IF($O263=1,0,NPV('2027 Avoided Costs'!$D$4,_xlfn._xlws.FILTER('2027 Avoided Costs'!$I$14:$I$47,('2027 Avoided Costs'!$B$14:$B$47&gt;=$B263+1)*('2027 Avoided Costs'!$B$14:$B$47&lt;$B263+ROUND($O263,0)))))+_xlfn.XLOOKUP($B263,'2027 Avoided Costs'!$B$13:$B$47,'2027 Avoided Costs'!$I$13:$I$47))*IF($X263="Residential",'2027 Avoided Costs'!$J$5,IF($X263="Large Volume",'2027 Avoided Costs'!$J$7,'2027 Avoided Costs'!$J$6))*IF($AE263&lt;0,$AE263*(-1),0),0)</f>
        <v>0</v>
      </c>
      <c r="BF263" s="291">
        <f t="shared" si="111"/>
        <v>620012.68734832248</v>
      </c>
      <c r="BG263" s="291">
        <f t="shared" si="112"/>
        <v>231039.00000000003</v>
      </c>
      <c r="BH263" s="291">
        <f t="shared" si="113"/>
        <v>388973.68734832248</v>
      </c>
      <c r="BI263" s="292">
        <f t="shared" si="110"/>
        <v>2.6835845348548184</v>
      </c>
      <c r="BJ263" s="196" cm="1">
        <f t="array" ref="BJ263">IFERROR(IF($J263="Baseload",IF($O263=1,0,NPV('2027 Avoided Costs'!$D$6,_xlfn._xlws.FILTER('2027 Avoided Costs'!$C$14:$C$47,('2027 Avoided Costs'!$B$14:$B$47&gt;=$B263+1)*('2027 Avoided Costs'!$B$14:$B$47&lt;$B263+ROUND($O263,0)))))+_xlfn.XLOOKUP($B263,'2027 Avoided Costs'!$B$13:$B$47,'2027 Avoided Costs'!$C$13:$C$47),IF($O263=1,0,NPV('2027 Avoided Costs'!$D$6,_xlfn._xlws.FILTER('2027 Avoided Costs'!$E$14:$E$47,('2027 Avoided Costs'!$B$14:$B$47&gt;=$B263+1)*('2027 Avoided Costs'!$B$14:$B$47&lt;$B263+ROUND($O263,0)))))+_xlfn.XLOOKUP($B263,'2027 Avoided Costs'!$B$13:$B$47,'2027 Avoided Costs'!$E$13:$E$47))*IF($AE263&gt;0,$AE263*(1+0),0),0)</f>
        <v>272972.86349472788</v>
      </c>
      <c r="BK263" s="293">
        <f t="shared" si="108"/>
        <v>2.0705251805800922</v>
      </c>
    </row>
    <row r="264" spans="1:63" s="56" customFormat="1" x14ac:dyDescent="0.25">
      <c r="A264" s="270" t="s">
        <v>133</v>
      </c>
      <c r="B264" s="271">
        <v>2027</v>
      </c>
      <c r="C264" s="272" t="s">
        <v>11</v>
      </c>
      <c r="D264" s="272" t="s">
        <v>160</v>
      </c>
      <c r="E264" s="272" t="s">
        <v>123</v>
      </c>
      <c r="F264" s="273">
        <v>150</v>
      </c>
      <c r="G264" s="274">
        <v>100</v>
      </c>
      <c r="H264" s="275">
        <f t="shared" si="88"/>
        <v>0.68965517241379315</v>
      </c>
      <c r="I264" s="274">
        <v>0</v>
      </c>
      <c r="J264" s="276" t="s">
        <v>264</v>
      </c>
      <c r="K264" s="277">
        <f t="shared" si="114"/>
        <v>0.8600000000000001</v>
      </c>
      <c r="L264" s="278">
        <v>0.21</v>
      </c>
      <c r="M264" s="278">
        <v>7.0000000000000007E-2</v>
      </c>
      <c r="N264" s="278">
        <v>1</v>
      </c>
      <c r="O264" s="279">
        <v>10</v>
      </c>
      <c r="P264" s="280">
        <v>145</v>
      </c>
      <c r="Q264" s="281">
        <v>217</v>
      </c>
      <c r="R264" s="282">
        <v>9.9299200000000004E-2</v>
      </c>
      <c r="S264" s="282">
        <v>2.8118742131312473E-2</v>
      </c>
      <c r="T264" s="281">
        <v>0</v>
      </c>
      <c r="U264" s="283">
        <v>0</v>
      </c>
      <c r="V264" s="284">
        <v>305</v>
      </c>
      <c r="W264" s="285">
        <v>0.15</v>
      </c>
      <c r="X264" s="286" t="s">
        <v>11</v>
      </c>
      <c r="Y264" s="287">
        <f t="shared" si="89"/>
        <v>150</v>
      </c>
      <c r="Z264" s="288">
        <f t="shared" si="90"/>
        <v>15000</v>
      </c>
      <c r="AA264" s="288">
        <f t="shared" si="91"/>
        <v>0</v>
      </c>
      <c r="AB264" s="288">
        <f t="shared" si="92"/>
        <v>15000</v>
      </c>
      <c r="AC264" s="288">
        <f t="shared" si="109"/>
        <v>0</v>
      </c>
      <c r="AD264" s="287">
        <f t="shared" si="93"/>
        <v>21750</v>
      </c>
      <c r="AE264" s="287">
        <f t="shared" si="94"/>
        <v>18705.000000000004</v>
      </c>
      <c r="AF264" s="287">
        <f t="shared" si="95"/>
        <v>217500</v>
      </c>
      <c r="AG264" s="287">
        <f t="shared" si="96"/>
        <v>187050.00000000003</v>
      </c>
      <c r="AH264" s="287">
        <f t="shared" si="97"/>
        <v>34893.599999999999</v>
      </c>
      <c r="AI264" s="287">
        <f t="shared" si="98"/>
        <v>30008.496000000006</v>
      </c>
      <c r="AJ264" s="287">
        <f t="shared" si="99"/>
        <v>0</v>
      </c>
      <c r="AK264" s="287">
        <f t="shared" si="100"/>
        <v>0</v>
      </c>
      <c r="AL264" s="287">
        <f t="shared" si="101"/>
        <v>15.967311360000002</v>
      </c>
      <c r="AM264" s="287">
        <f t="shared" si="102"/>
        <v>13.731887769600004</v>
      </c>
      <c r="AN264" s="287">
        <f t="shared" si="103"/>
        <v>4.5214937347150457</v>
      </c>
      <c r="AO264" s="287">
        <f t="shared" si="104"/>
        <v>3.8884846118549401</v>
      </c>
      <c r="AP264" s="287">
        <f t="shared" si="105"/>
        <v>45750</v>
      </c>
      <c r="AQ264" s="287">
        <f t="shared" si="106"/>
        <v>39345.000000000007</v>
      </c>
      <c r="AR264" s="287">
        <f t="shared" si="107"/>
        <v>0</v>
      </c>
      <c r="AS264" s="289" t="e">
        <f>IF(J264='2027 Avoided Costs'!#REF!,3,5)</f>
        <v>#REF!</v>
      </c>
      <c r="AT264" s="290" cm="1">
        <f t="array" ref="AT264">IFERROR(IF($J264="Baseload",IF($O264=1,0,NPV('2027 Avoided Costs'!$D$6,_xlfn._xlws.FILTER('2027 Avoided Costs'!$C$14:$C$47,('2027 Avoided Costs'!$B$14:$B$47&gt;=$B264+1)*('2027 Avoided Costs'!$B$14:$B$47&lt;$B264+ROUND($O264,0)))))+_xlfn.XLOOKUP($B264,'2027 Avoided Costs'!$B$13:$B$47,'2027 Avoided Costs'!$C$13:$C$47),IF($O264=1,0,NPV('2027 Avoided Costs'!$D$6,_xlfn._xlws.FILTER('2027 Avoided Costs'!$E$14:$E$47,('2027 Avoided Costs'!$B$14:$B$47&gt;=$B264+1)*('2027 Avoided Costs'!$B$14:$B$47&lt;$B264+ROUND($O264,0)))))+_xlfn.XLOOKUP($B264,'2027 Avoided Costs'!$B$13:$B$47,'2027 Avoided Costs'!$E$13:$E$47))*IF($AE264&gt;0,$AE264*(1+$W264),0),0)</f>
        <v>52784.953600014538</v>
      </c>
      <c r="AU264" s="290" cm="1">
        <f t="array" ref="AU264">IFERROR((IF($O264=1,0,NPV('2027 Avoided Costs'!$D$6,_xlfn._xlws.FILTER('2027 Avoided Costs'!$M$14:$M$47,('2027 Avoided Costs'!$B$14:$B$47&gt;=$B264+1)*('2027 Avoided Costs'!$B$14:$B$47&lt;$B264+ROUND($O264,0)))))+_xlfn.XLOOKUP($B264,'2027 Avoided Costs'!$B$13:$B$47,'2027 Avoided Costs'!$M$13:$M$47))*IF($AK264&gt;0,$AK264*(1+$W264),0),0)</f>
        <v>0</v>
      </c>
      <c r="AV264" s="291" cm="1">
        <f t="array" ref="AV264">IFERROR((IF($O264=1,0,NPV('2027 Avoided Costs'!$D$6,_xlfn._xlws.FILTER('2027 Avoided Costs'!$Q$14:$Q$47,('2027 Avoided Costs'!$B$14:$B$47&gt;=$B264+1)*('2027 Avoided Costs'!$B$14:$B$47&lt;$B264+ROUND($O264,0)))))+_xlfn.XLOOKUP($B264,'2027 Avoided Costs'!$B$13:$B$47,'2027 Avoided Costs'!$Q$13:$Q$47))*IF($AI264&gt;0,$AI264*(1+$W264),0),0)</f>
        <v>15330.833420394683</v>
      </c>
      <c r="AW264" s="291" cm="1">
        <f t="array" ref="AW264">IFERROR((IF($O264=1,0,NPV('2027 Avoided Costs'!$D$6,_xlfn._xlws.FILTER('2027 Avoided Costs'!$W$14:$W$47,('2027 Avoided Costs'!$B$14:$B$47&gt;=$B264+1)*('2027 Avoided Costs'!$B$14:$B$47&lt;$B264+ROUND($O264,0)))))+_xlfn.XLOOKUP($B264,'2027 Avoided Costs'!$B$13:$B$47,'2027 Avoided Costs'!$W$13:$W$47))*IF($AM264&gt;0,$AM264*(1+$W264),0),0)</f>
        <v>39687.976345034105</v>
      </c>
      <c r="AX264" s="291" cm="1">
        <f t="array" ref="AX264">IFERROR((IF($O264=1,0,NPV('2027 Avoided Costs'!$D$6,_xlfn._xlws.FILTER('2027 Avoided Costs'!$AC$14:$AC$47,('2027 Avoided Costs'!$B$14:$B$47&gt;=$B264+1)*('2027 Avoided Costs'!$B$14:$B$47&lt;$B264+ROUND($O264,0)))))+_xlfn.XLOOKUP($B264,'2027 Avoided Costs'!$B$13:$B$47,'2027 Avoided Costs'!$AC$13:$AC$47))*IF($AO264&gt;0,$AO264*(1+$W264),0),0)</f>
        <v>0</v>
      </c>
      <c r="AY264" s="291" cm="1">
        <f t="array" ref="AY264">IFERROR((IF($O264=1,0,NPV('2027 Avoided Costs'!$D$4,_xlfn._xlws.FILTER('2027 Avoided Costs'!$I$14:$I$47,('2027 Avoided Costs'!$B$14:$B$47&gt;=$B264+1)*('2027 Avoided Costs'!$B$14:$B$47&lt;$B264+ROUND($O264,0)))))+_xlfn.XLOOKUP($B264,'2027 Avoided Costs'!$B$13:$B$47,'2027 Avoided Costs'!$I$13:$I$47))*IF($X264="Residential",'2027 Avoided Costs'!$J$5,IF($X264="Large Volume",'2027 Avoided Costs'!$J$7,'2027 Avoided Costs'!$J$6))*IF($AE264&gt;0,$AE264,0),0)</f>
        <v>0</v>
      </c>
      <c r="AZ264" s="291" cm="1">
        <f t="array" ref="AZ264">IFERROR(IF($J264="Baseload",IF($O264=1,0,NPV('2027 Avoided Costs'!$D$6,_xlfn._xlws.FILTER('2027 Avoided Costs'!$C$14:$C$47,('2027 Avoided Costs'!$B$14:$B$47&gt;=$B264+1)*('2027 Avoided Costs'!$B$14:$B$47&lt;$B264+ROUND($O264,0)))))+_xlfn.XLOOKUP($B264,'2027 Avoided Costs'!$B$13:$B$47,'2027 Avoided Costs'!$C$13:$C$47),IF($O264=1,0,NPV('2027 Avoided Costs'!$D$6,_xlfn._xlws.FILTER('2027 Avoided Costs'!$E$14:$E$47,('2027 Avoided Costs'!$B$14:$B$47&gt;=$B264+1)*('2027 Avoided Costs'!$B$14:$B$47&lt;$B264+ROUND($O264,0)))))+_xlfn.XLOOKUP($B264,'2027 Avoided Costs'!$B$13:$B$47,'2027 Avoided Costs'!$E$13:$E$47))*IF($AE264&lt;0,$AE264*(-1),0),0)</f>
        <v>0</v>
      </c>
      <c r="BA264" s="291" cm="1">
        <f t="array" ref="BA264">IFERROR((IF($O264=1,0,NPV('2027 Avoided Costs'!$D$6,_xlfn._xlws.FILTER('2027 Avoided Costs'!$M$14:$M$47,('2027 Avoided Costs'!$B$14:$B$47&gt;=$B264+1)*('2027 Avoided Costs'!$B$14:$B$47&lt;$B264+ROUND($O264,0)))))+_xlfn.XLOOKUP($B264,'2027 Avoided Costs'!$B$13:$B$47,'2027 Avoided Costs'!$M$13:$M$47))*IF($AK264&lt;0,$AK264*(-1),0),0)</f>
        <v>0</v>
      </c>
      <c r="BB264" s="291" cm="1">
        <f t="array" ref="BB264">IFERROR((IF($O264=1,0,NPV('2027 Avoided Costs'!$D$6,_xlfn._xlws.FILTER('2027 Avoided Costs'!$S$14:$S$47,('2027 Avoided Costs'!$B$14:$B$47&gt;=$B264+1)*('2027 Avoided Costs'!$B$14:$B$47&lt;$B264+ROUND($O264,0)))))+_xlfn.XLOOKUP($B264,'2027 Avoided Costs'!$B$13:$B$47,'2027 Avoided Costs'!$S$13:$S$47))*IF($AI264&lt;0,$AI264*(-1),0),0)</f>
        <v>0</v>
      </c>
      <c r="BC264" s="291" cm="1">
        <f t="array" ref="BC264">IFERROR((IF($O264=1,0,NPV('2027 Avoided Costs'!$D$6,_xlfn._xlws.FILTER('2027 Avoided Costs'!$Y$14:$Y$47,('2027 Avoided Costs'!$B$14:$B$47&gt;=$B264+1)*('2027 Avoided Costs'!$B$14:$B$47&lt;$B264+ROUND($O264,0)))))+_xlfn.XLOOKUP($B264,'2027 Avoided Costs'!$B$13:$B$47,'2027 Avoided Costs'!$Y$13:$Y$47))*IF($AM264&lt;0,$AM264*(-1),0),0)</f>
        <v>0</v>
      </c>
      <c r="BD264" s="291" cm="1">
        <f t="array" ref="BD264">IFERROR((IF($O264=1,0,NPV('2027 Avoided Costs'!$D$6,_xlfn._xlws.FILTER('2027 Avoided Costs'!$AE$14:$AE$47,('2027 Avoided Costs'!$B$14:$B$47&gt;=$B264+1)*('2027 Avoided Costs'!$B$14:$B$47&lt;$B264+ROUND($O264,0)))))+_xlfn.XLOOKUP($B264,'2027 Avoided Costs'!$B$13:$B$47,'2027 Avoided Costs'!$AE$13:$AE$47))*IF($AO264&lt;0,$AO264*(-1),0),0)</f>
        <v>0</v>
      </c>
      <c r="BE264" s="291" cm="1">
        <f t="array" ref="BE264">IFERROR((IF($O264=1,0,NPV('2027 Avoided Costs'!$D$4,_xlfn._xlws.FILTER('2027 Avoided Costs'!$I$14:$I$47,('2027 Avoided Costs'!$B$14:$B$47&gt;=$B264+1)*('2027 Avoided Costs'!$B$14:$B$47&lt;$B264+ROUND($O264,0)))))+_xlfn.XLOOKUP($B264,'2027 Avoided Costs'!$B$13:$B$47,'2027 Avoided Costs'!$I$13:$I$47))*IF($X264="Residential",'2027 Avoided Costs'!$J$5,IF($X264="Large Volume",'2027 Avoided Costs'!$J$7,'2027 Avoided Costs'!$J$6))*IF($AE264&lt;0,$AE264*(-1),0),0)</f>
        <v>0</v>
      </c>
      <c r="BF264" s="291">
        <f t="shared" si="111"/>
        <v>107803.76336544333</v>
      </c>
      <c r="BG264" s="291">
        <f t="shared" si="112"/>
        <v>39345.000000000007</v>
      </c>
      <c r="BH264" s="291">
        <f t="shared" si="113"/>
        <v>68458.76336544333</v>
      </c>
      <c r="BI264" s="292">
        <f t="shared" si="110"/>
        <v>2.7399609446039728</v>
      </c>
      <c r="BJ264" s="196" cm="1">
        <f t="array" ref="BJ264">IFERROR(IF($J264="Baseload",IF($O264=1,0,NPV('2027 Avoided Costs'!$D$6,_xlfn._xlws.FILTER('2027 Avoided Costs'!$C$14:$C$47,('2027 Avoided Costs'!$B$14:$B$47&gt;=$B264+1)*('2027 Avoided Costs'!$B$14:$B$47&lt;$B264+ROUND($O264,0)))))+_xlfn.XLOOKUP($B264,'2027 Avoided Costs'!$B$13:$B$47,'2027 Avoided Costs'!$C$13:$C$47),IF($O264=1,0,NPV('2027 Avoided Costs'!$D$6,_xlfn._xlws.FILTER('2027 Avoided Costs'!$E$14:$E$47,('2027 Avoided Costs'!$B$14:$B$47&gt;=$B264+1)*('2027 Avoided Costs'!$B$14:$B$47&lt;$B264+ROUND($O264,0)))))+_xlfn.XLOOKUP($B264,'2027 Avoided Costs'!$B$13:$B$47,'2027 Avoided Costs'!$E$13:$E$47))*IF($AE264&gt;0,$AE264*(1+0),0),0)</f>
        <v>45899.959652186561</v>
      </c>
      <c r="BK264" s="293">
        <f t="shared" si="108"/>
        <v>3.0599973101457709</v>
      </c>
    </row>
    <row r="265" spans="1:63" s="56" customFormat="1" x14ac:dyDescent="0.25">
      <c r="A265" s="270" t="s">
        <v>133</v>
      </c>
      <c r="B265" s="271">
        <v>2027</v>
      </c>
      <c r="C265" s="272" t="s">
        <v>11</v>
      </c>
      <c r="D265" s="272" t="s">
        <v>160</v>
      </c>
      <c r="E265" s="272" t="s">
        <v>124</v>
      </c>
      <c r="F265" s="273">
        <v>10</v>
      </c>
      <c r="G265" s="274">
        <v>100</v>
      </c>
      <c r="H265" s="275">
        <f t="shared" ref="H265:H328" si="115">IFERROR(G265/P265,0)</f>
        <v>0.68965517241379315</v>
      </c>
      <c r="I265" s="274">
        <v>7.5</v>
      </c>
      <c r="J265" s="276" t="s">
        <v>264</v>
      </c>
      <c r="K265" s="277">
        <f t="shared" si="114"/>
        <v>0.8600000000000001</v>
      </c>
      <c r="L265" s="278">
        <v>0.21</v>
      </c>
      <c r="M265" s="278">
        <v>7.0000000000000007E-2</v>
      </c>
      <c r="N265" s="278">
        <v>1</v>
      </c>
      <c r="O265" s="279">
        <v>10</v>
      </c>
      <c r="P265" s="280">
        <v>145</v>
      </c>
      <c r="Q265" s="281">
        <v>217</v>
      </c>
      <c r="R265" s="282">
        <v>9.9299200000000004E-2</v>
      </c>
      <c r="S265" s="282">
        <v>2.8118742131312473E-2</v>
      </c>
      <c r="T265" s="281">
        <v>0</v>
      </c>
      <c r="U265" s="283">
        <v>0</v>
      </c>
      <c r="V265" s="284">
        <v>305</v>
      </c>
      <c r="W265" s="285">
        <v>0.15</v>
      </c>
      <c r="X265" s="286" t="s">
        <v>11</v>
      </c>
      <c r="Y265" s="287">
        <f t="shared" ref="Y265:Y328" si="116">F265</f>
        <v>10</v>
      </c>
      <c r="Z265" s="288">
        <f t="shared" ref="Z265:Z328" si="117">F265*G265</f>
        <v>1000</v>
      </c>
      <c r="AA265" s="288">
        <f t="shared" ref="AA265:AA328" si="118">F265*I265</f>
        <v>75</v>
      </c>
      <c r="AB265" s="288">
        <f t="shared" ref="AB265:AB328" si="119">Z265*(1+$AB$1)^($B265-2027)</f>
        <v>1000</v>
      </c>
      <c r="AC265" s="288">
        <f t="shared" si="109"/>
        <v>75</v>
      </c>
      <c r="AD265" s="287">
        <f t="shared" ref="AD265:AD328" si="120">IF($AD$2="Yes",P265*F265,P265*F265*N265)</f>
        <v>1450</v>
      </c>
      <c r="AE265" s="287">
        <f t="shared" ref="AE265:AE328" si="121">AD265*(1-L265+M265)</f>
        <v>1247.0000000000002</v>
      </c>
      <c r="AF265" s="287">
        <f t="shared" ref="AF265:AF328" si="122">AD265*O265</f>
        <v>14500</v>
      </c>
      <c r="AG265" s="287">
        <f t="shared" ref="AG265:AG328" si="123">AE265*O265</f>
        <v>12470.000000000002</v>
      </c>
      <c r="AH265" s="287">
        <f t="shared" ref="AH265:AH328" si="124">$Q265*N265*$F265*1.072</f>
        <v>2326.2400000000002</v>
      </c>
      <c r="AI265" s="287">
        <f t="shared" ref="AI265:AI328" si="125">$Q265*(1-L265+$M265)*N265*$F265*1.072</f>
        <v>2000.5664000000004</v>
      </c>
      <c r="AJ265" s="287">
        <f t="shared" ref="AJ265:AJ328" si="126">$T265*N265*$F265</f>
        <v>0</v>
      </c>
      <c r="AK265" s="287">
        <f t="shared" ref="AK265:AK328" si="127">$T265*(1-L265+$M265)*N265*$F265</f>
        <v>0</v>
      </c>
      <c r="AL265" s="287">
        <f t="shared" ref="AL265:AL328" si="128">R265*N265*$F265*1.072</f>
        <v>1.0644874240000002</v>
      </c>
      <c r="AM265" s="287">
        <f t="shared" ref="AM265:AM328" si="129">R265*(1-L265+$M265)*N265*$F265*1.072</f>
        <v>0.9154591846400002</v>
      </c>
      <c r="AN265" s="287">
        <f t="shared" ref="AN265:AN328" si="130">S265*N265*$F265*1.072</f>
        <v>0.30143291564766972</v>
      </c>
      <c r="AO265" s="287">
        <f t="shared" ref="AO265:AO328" si="131">S265*(1-L265+$M265)*N265*$F265*1.072</f>
        <v>0.25923230745699599</v>
      </c>
      <c r="AP265" s="287">
        <f t="shared" ref="AP265:AP328" si="132">V265*F265</f>
        <v>3050</v>
      </c>
      <c r="AQ265" s="287">
        <f t="shared" ref="AQ265:AQ328" si="133">V265*F265*(1-L265+M265)</f>
        <v>2623.0000000000005</v>
      </c>
      <c r="AR265" s="287">
        <f t="shared" ref="AR265:AR328" si="134">AE265*U265</f>
        <v>0</v>
      </c>
      <c r="AS265" s="289" t="e">
        <f>IF(J265='2027 Avoided Costs'!#REF!,3,5)</f>
        <v>#REF!</v>
      </c>
      <c r="AT265" s="290" cm="1">
        <f t="array" ref="AT265">IFERROR(IF($J265="Baseload",IF($O265=1,0,NPV('2027 Avoided Costs'!$D$6,_xlfn._xlws.FILTER('2027 Avoided Costs'!$C$14:$C$47,('2027 Avoided Costs'!$B$14:$B$47&gt;=$B265+1)*('2027 Avoided Costs'!$B$14:$B$47&lt;$B265+ROUND($O265,0)))))+_xlfn.XLOOKUP($B265,'2027 Avoided Costs'!$B$13:$B$47,'2027 Avoided Costs'!$C$13:$C$47),IF($O265=1,0,NPV('2027 Avoided Costs'!$D$6,_xlfn._xlws.FILTER('2027 Avoided Costs'!$E$14:$E$47,('2027 Avoided Costs'!$B$14:$B$47&gt;=$B265+1)*('2027 Avoided Costs'!$B$14:$B$47&lt;$B265+ROUND($O265,0)))))+_xlfn.XLOOKUP($B265,'2027 Avoided Costs'!$B$13:$B$47,'2027 Avoided Costs'!$E$13:$E$47))*IF($AE265&gt;0,$AE265*(1+$W265),0),0)</f>
        <v>3518.9969066676358</v>
      </c>
      <c r="AU265" s="290" cm="1">
        <f t="array" ref="AU265">IFERROR((IF($O265=1,0,NPV('2027 Avoided Costs'!$D$6,_xlfn._xlws.FILTER('2027 Avoided Costs'!$M$14:$M$47,('2027 Avoided Costs'!$B$14:$B$47&gt;=$B265+1)*('2027 Avoided Costs'!$B$14:$B$47&lt;$B265+ROUND($O265,0)))))+_xlfn.XLOOKUP($B265,'2027 Avoided Costs'!$B$13:$B$47,'2027 Avoided Costs'!$M$13:$M$47))*IF($AK265&gt;0,$AK265*(1+$W265),0),0)</f>
        <v>0</v>
      </c>
      <c r="AV265" s="291" cm="1">
        <f t="array" ref="AV265">IFERROR((IF($O265=1,0,NPV('2027 Avoided Costs'!$D$6,_xlfn._xlws.FILTER('2027 Avoided Costs'!$Q$14:$Q$47,('2027 Avoided Costs'!$B$14:$B$47&gt;=$B265+1)*('2027 Avoided Costs'!$B$14:$B$47&lt;$B265+ROUND($O265,0)))))+_xlfn.XLOOKUP($B265,'2027 Avoided Costs'!$B$13:$B$47,'2027 Avoided Costs'!$Q$13:$Q$47))*IF($AI265&gt;0,$AI265*(1+$W265),0),0)</f>
        <v>1022.0555613596456</v>
      </c>
      <c r="AW265" s="291" cm="1">
        <f t="array" ref="AW265">IFERROR((IF($O265=1,0,NPV('2027 Avoided Costs'!$D$6,_xlfn._xlws.FILTER('2027 Avoided Costs'!$W$14:$W$47,('2027 Avoided Costs'!$B$14:$B$47&gt;=$B265+1)*('2027 Avoided Costs'!$B$14:$B$47&lt;$B265+ROUND($O265,0)))))+_xlfn.XLOOKUP($B265,'2027 Avoided Costs'!$B$13:$B$47,'2027 Avoided Costs'!$W$13:$W$47))*IF($AM265&gt;0,$AM265*(1+$W265),0),0)</f>
        <v>2645.8650896689401</v>
      </c>
      <c r="AX265" s="291" cm="1">
        <f t="array" ref="AX265">IFERROR((IF($O265=1,0,NPV('2027 Avoided Costs'!$D$6,_xlfn._xlws.FILTER('2027 Avoided Costs'!$AC$14:$AC$47,('2027 Avoided Costs'!$B$14:$B$47&gt;=$B265+1)*('2027 Avoided Costs'!$B$14:$B$47&lt;$B265+ROUND($O265,0)))))+_xlfn.XLOOKUP($B265,'2027 Avoided Costs'!$B$13:$B$47,'2027 Avoided Costs'!$AC$13:$AC$47))*IF($AO265&gt;0,$AO265*(1+$W265),0),0)</f>
        <v>0</v>
      </c>
      <c r="AY265" s="291" cm="1">
        <f t="array" ref="AY265">IFERROR((IF($O265=1,0,NPV('2027 Avoided Costs'!$D$4,_xlfn._xlws.FILTER('2027 Avoided Costs'!$I$14:$I$47,('2027 Avoided Costs'!$B$14:$B$47&gt;=$B265+1)*('2027 Avoided Costs'!$B$14:$B$47&lt;$B265+ROUND($O265,0)))))+_xlfn.XLOOKUP($B265,'2027 Avoided Costs'!$B$13:$B$47,'2027 Avoided Costs'!$I$13:$I$47))*IF($X265="Residential",'2027 Avoided Costs'!$J$5,IF($X265="Large Volume",'2027 Avoided Costs'!$J$7,'2027 Avoided Costs'!$J$6))*IF($AE265&gt;0,$AE265,0),0)</f>
        <v>0</v>
      </c>
      <c r="AZ265" s="291" cm="1">
        <f t="array" ref="AZ265">IFERROR(IF($J265="Baseload",IF($O265=1,0,NPV('2027 Avoided Costs'!$D$6,_xlfn._xlws.FILTER('2027 Avoided Costs'!$C$14:$C$47,('2027 Avoided Costs'!$B$14:$B$47&gt;=$B265+1)*('2027 Avoided Costs'!$B$14:$B$47&lt;$B265+ROUND($O265,0)))))+_xlfn.XLOOKUP($B265,'2027 Avoided Costs'!$B$13:$B$47,'2027 Avoided Costs'!$C$13:$C$47),IF($O265=1,0,NPV('2027 Avoided Costs'!$D$6,_xlfn._xlws.FILTER('2027 Avoided Costs'!$E$14:$E$47,('2027 Avoided Costs'!$B$14:$B$47&gt;=$B265+1)*('2027 Avoided Costs'!$B$14:$B$47&lt;$B265+ROUND($O265,0)))))+_xlfn.XLOOKUP($B265,'2027 Avoided Costs'!$B$13:$B$47,'2027 Avoided Costs'!$E$13:$E$47))*IF($AE265&lt;0,$AE265*(-1),0),0)</f>
        <v>0</v>
      </c>
      <c r="BA265" s="291" cm="1">
        <f t="array" ref="BA265">IFERROR((IF($O265=1,0,NPV('2027 Avoided Costs'!$D$6,_xlfn._xlws.FILTER('2027 Avoided Costs'!$M$14:$M$47,('2027 Avoided Costs'!$B$14:$B$47&gt;=$B265+1)*('2027 Avoided Costs'!$B$14:$B$47&lt;$B265+ROUND($O265,0)))))+_xlfn.XLOOKUP($B265,'2027 Avoided Costs'!$B$13:$B$47,'2027 Avoided Costs'!$M$13:$M$47))*IF($AK265&lt;0,$AK265*(-1),0),0)</f>
        <v>0</v>
      </c>
      <c r="BB265" s="291" cm="1">
        <f t="array" ref="BB265">IFERROR((IF($O265=1,0,NPV('2027 Avoided Costs'!$D$6,_xlfn._xlws.FILTER('2027 Avoided Costs'!$S$14:$S$47,('2027 Avoided Costs'!$B$14:$B$47&gt;=$B265+1)*('2027 Avoided Costs'!$B$14:$B$47&lt;$B265+ROUND($O265,0)))))+_xlfn.XLOOKUP($B265,'2027 Avoided Costs'!$B$13:$B$47,'2027 Avoided Costs'!$S$13:$S$47))*IF($AI265&lt;0,$AI265*(-1),0),0)</f>
        <v>0</v>
      </c>
      <c r="BC265" s="291" cm="1">
        <f t="array" ref="BC265">IFERROR((IF($O265=1,0,NPV('2027 Avoided Costs'!$D$6,_xlfn._xlws.FILTER('2027 Avoided Costs'!$Y$14:$Y$47,('2027 Avoided Costs'!$B$14:$B$47&gt;=$B265+1)*('2027 Avoided Costs'!$B$14:$B$47&lt;$B265+ROUND($O265,0)))))+_xlfn.XLOOKUP($B265,'2027 Avoided Costs'!$B$13:$B$47,'2027 Avoided Costs'!$Y$13:$Y$47))*IF($AM265&lt;0,$AM265*(-1),0),0)</f>
        <v>0</v>
      </c>
      <c r="BD265" s="291" cm="1">
        <f t="array" ref="BD265">IFERROR((IF($O265=1,0,NPV('2027 Avoided Costs'!$D$6,_xlfn._xlws.FILTER('2027 Avoided Costs'!$AE$14:$AE$47,('2027 Avoided Costs'!$B$14:$B$47&gt;=$B265+1)*('2027 Avoided Costs'!$B$14:$B$47&lt;$B265+ROUND($O265,0)))))+_xlfn.XLOOKUP($B265,'2027 Avoided Costs'!$B$13:$B$47,'2027 Avoided Costs'!$AE$13:$AE$47))*IF($AO265&lt;0,$AO265*(-1),0),0)</f>
        <v>0</v>
      </c>
      <c r="BE265" s="291" cm="1">
        <f t="array" ref="BE265">IFERROR((IF($O265=1,0,NPV('2027 Avoided Costs'!$D$4,_xlfn._xlws.FILTER('2027 Avoided Costs'!$I$14:$I$47,('2027 Avoided Costs'!$B$14:$B$47&gt;=$B265+1)*('2027 Avoided Costs'!$B$14:$B$47&lt;$B265+ROUND($O265,0)))))+_xlfn.XLOOKUP($B265,'2027 Avoided Costs'!$B$13:$B$47,'2027 Avoided Costs'!$I$13:$I$47))*IF($X265="Residential",'2027 Avoided Costs'!$J$5,IF($X265="Large Volume",'2027 Avoided Costs'!$J$7,'2027 Avoided Costs'!$J$6))*IF($AE265&lt;0,$AE265*(-1),0),0)</f>
        <v>0</v>
      </c>
      <c r="BF265" s="291">
        <f t="shared" si="111"/>
        <v>7186.9175576962207</v>
      </c>
      <c r="BG265" s="291">
        <f t="shared" si="112"/>
        <v>2623.0000000000005</v>
      </c>
      <c r="BH265" s="291">
        <f t="shared" si="113"/>
        <v>4563.9175576962207</v>
      </c>
      <c r="BI265" s="292">
        <f t="shared" si="110"/>
        <v>2.7399609446039723</v>
      </c>
      <c r="BJ265" s="196" cm="1">
        <f t="array" ref="BJ265">IFERROR(IF($J265="Baseload",IF($O265=1,0,NPV('2027 Avoided Costs'!$D$6,_xlfn._xlws.FILTER('2027 Avoided Costs'!$C$14:$C$47,('2027 Avoided Costs'!$B$14:$B$47&gt;=$B265+1)*('2027 Avoided Costs'!$B$14:$B$47&lt;$B265+ROUND($O265,0)))))+_xlfn.XLOOKUP($B265,'2027 Avoided Costs'!$B$13:$B$47,'2027 Avoided Costs'!$C$13:$C$47),IF($O265=1,0,NPV('2027 Avoided Costs'!$D$6,_xlfn._xlws.FILTER('2027 Avoided Costs'!$E$14:$E$47,('2027 Avoided Costs'!$B$14:$B$47&gt;=$B265+1)*('2027 Avoided Costs'!$B$14:$B$47&lt;$B265+ROUND($O265,0)))))+_xlfn.XLOOKUP($B265,'2027 Avoided Costs'!$B$13:$B$47,'2027 Avoided Costs'!$E$13:$E$47))*IF($AE265&gt;0,$AE265*(1+0),0),0)</f>
        <v>3059.9973101457704</v>
      </c>
      <c r="BK265" s="293">
        <f t="shared" ref="BK265:BK328" si="135">IFERROR(BJ265/(AB265+AC265),0)</f>
        <v>2.8465091257169957</v>
      </c>
    </row>
    <row r="266" spans="1:63" s="56" customFormat="1" x14ac:dyDescent="0.25">
      <c r="A266" s="270" t="s">
        <v>133</v>
      </c>
      <c r="B266" s="271">
        <v>2027</v>
      </c>
      <c r="C266" s="272" t="s">
        <v>11</v>
      </c>
      <c r="D266" s="272" t="s">
        <v>161</v>
      </c>
      <c r="E266" s="272" t="s">
        <v>121</v>
      </c>
      <c r="F266" s="273">
        <v>3500</v>
      </c>
      <c r="G266" s="274">
        <v>2500</v>
      </c>
      <c r="H266" s="275">
        <f t="shared" si="115"/>
        <v>6.666666666666667</v>
      </c>
      <c r="I266" s="274">
        <v>50</v>
      </c>
      <c r="J266" s="276" t="s">
        <v>264</v>
      </c>
      <c r="K266" s="277">
        <f t="shared" si="114"/>
        <v>0.89</v>
      </c>
      <c r="L266" s="278">
        <v>0.11</v>
      </c>
      <c r="M266" s="278">
        <v>0</v>
      </c>
      <c r="N266" s="278">
        <v>1</v>
      </c>
      <c r="O266" s="279">
        <v>30</v>
      </c>
      <c r="P266" s="280">
        <v>375</v>
      </c>
      <c r="Q266" s="281">
        <v>101.2</v>
      </c>
      <c r="R266" s="282">
        <v>6.4526240089541359E-2</v>
      </c>
      <c r="S266" s="282">
        <v>6.0766210045660081E-3</v>
      </c>
      <c r="T266" s="281">
        <v>0</v>
      </c>
      <c r="U266" s="283">
        <v>0</v>
      </c>
      <c r="V266" s="284">
        <v>1840</v>
      </c>
      <c r="W266" s="285">
        <v>0.15</v>
      </c>
      <c r="X266" s="286" t="s">
        <v>11</v>
      </c>
      <c r="Y266" s="287">
        <f t="shared" si="116"/>
        <v>3500</v>
      </c>
      <c r="Z266" s="288">
        <f t="shared" si="117"/>
        <v>8750000</v>
      </c>
      <c r="AA266" s="288">
        <f t="shared" si="118"/>
        <v>175000</v>
      </c>
      <c r="AB266" s="288">
        <f t="shared" si="119"/>
        <v>8750000</v>
      </c>
      <c r="AC266" s="288">
        <f t="shared" ref="AC266:AC329" si="136">AA266*(1+$AC$1)^($B266-2027)</f>
        <v>175000</v>
      </c>
      <c r="AD266" s="287">
        <f t="shared" si="120"/>
        <v>1312500</v>
      </c>
      <c r="AE266" s="287">
        <f t="shared" si="121"/>
        <v>1168125</v>
      </c>
      <c r="AF266" s="287">
        <f t="shared" si="122"/>
        <v>39375000</v>
      </c>
      <c r="AG266" s="287">
        <f t="shared" si="123"/>
        <v>35043750</v>
      </c>
      <c r="AH266" s="287">
        <f t="shared" si="124"/>
        <v>379702.4</v>
      </c>
      <c r="AI266" s="287">
        <f t="shared" si="125"/>
        <v>337935.136</v>
      </c>
      <c r="AJ266" s="287">
        <f t="shared" si="126"/>
        <v>0</v>
      </c>
      <c r="AK266" s="287">
        <f t="shared" si="127"/>
        <v>0</v>
      </c>
      <c r="AL266" s="287">
        <f t="shared" si="128"/>
        <v>242.1024528159592</v>
      </c>
      <c r="AM266" s="287">
        <f t="shared" si="129"/>
        <v>215.47118300620369</v>
      </c>
      <c r="AN266" s="287">
        <f t="shared" si="130"/>
        <v>22.799482009131665</v>
      </c>
      <c r="AO266" s="287">
        <f t="shared" si="131"/>
        <v>20.291538988127179</v>
      </c>
      <c r="AP266" s="287">
        <f t="shared" si="132"/>
        <v>6440000</v>
      </c>
      <c r="AQ266" s="287">
        <f t="shared" si="133"/>
        <v>5731600</v>
      </c>
      <c r="AR266" s="287">
        <f t="shared" si="134"/>
        <v>0</v>
      </c>
      <c r="AS266" s="289" t="e">
        <f>IF(J266='2027 Avoided Costs'!#REF!,3,5)</f>
        <v>#REF!</v>
      </c>
      <c r="AT266" s="290" cm="1">
        <f t="array" ref="AT266">IFERROR(IF($J266="Baseload",IF($O266=1,0,NPV('2027 Avoided Costs'!$D$6,_xlfn._xlws.FILTER('2027 Avoided Costs'!$C$14:$C$47,('2027 Avoided Costs'!$B$14:$B$47&gt;=$B266+1)*('2027 Avoided Costs'!$B$14:$B$47&lt;$B266+ROUND($O266,0)))))+_xlfn.XLOOKUP($B266,'2027 Avoided Costs'!$B$13:$B$47,'2027 Avoided Costs'!$C$13:$C$47),IF($O266=1,0,NPV('2027 Avoided Costs'!$D$6,_xlfn._xlws.FILTER('2027 Avoided Costs'!$E$14:$E$47,('2027 Avoided Costs'!$B$14:$B$47&gt;=$B266+1)*('2027 Avoided Costs'!$B$14:$B$47&lt;$B266+ROUND($O266,0)))))+_xlfn.XLOOKUP($B266,'2027 Avoided Costs'!$B$13:$B$47,'2027 Avoided Costs'!$E$13:$E$47))*IF($AE266&gt;0,$AE266*(1+$W266),0),0)</f>
        <v>7694496.6894036233</v>
      </c>
      <c r="AU266" s="290" cm="1">
        <f t="array" ref="AU266">IFERROR((IF($O266=1,0,NPV('2027 Avoided Costs'!$D$6,_xlfn._xlws.FILTER('2027 Avoided Costs'!$M$14:$M$47,('2027 Avoided Costs'!$B$14:$B$47&gt;=$B266+1)*('2027 Avoided Costs'!$B$14:$B$47&lt;$B266+ROUND($O266,0)))))+_xlfn.XLOOKUP($B266,'2027 Avoided Costs'!$B$13:$B$47,'2027 Avoided Costs'!$M$13:$M$47))*IF($AK266&gt;0,$AK266*(1+$W266),0),0)</f>
        <v>0</v>
      </c>
      <c r="AV266" s="291" cm="1">
        <f t="array" ref="AV266">IFERROR((IF($O266=1,0,NPV('2027 Avoided Costs'!$D$6,_xlfn._xlws.FILTER('2027 Avoided Costs'!$Q$14:$Q$47,('2027 Avoided Costs'!$B$14:$B$47&gt;=$B266+1)*('2027 Avoided Costs'!$B$14:$B$47&lt;$B266+ROUND($O266,0)))))+_xlfn.XLOOKUP($B266,'2027 Avoided Costs'!$B$13:$B$47,'2027 Avoided Costs'!$Q$13:$Q$47))*IF($AI266&gt;0,$AI266*(1+$W266),0),0)</f>
        <v>308419.69384281372</v>
      </c>
      <c r="AW266" s="291" cm="1">
        <f t="array" ref="AW266">IFERROR((IF($O266=1,0,NPV('2027 Avoided Costs'!$D$6,_xlfn._xlws.FILTER('2027 Avoided Costs'!$W$14:$W$47,('2027 Avoided Costs'!$B$14:$B$47&gt;=$B266+1)*('2027 Avoided Costs'!$B$14:$B$47&lt;$B266+ROUND($O266,0)))))+_xlfn.XLOOKUP($B266,'2027 Avoided Costs'!$B$13:$B$47,'2027 Avoided Costs'!$W$13:$W$47))*IF($AM266&gt;0,$AM266*(1+$W266),0),0)</f>
        <v>1421554.9975008033</v>
      </c>
      <c r="AX266" s="291" cm="1">
        <f t="array" ref="AX266">IFERROR((IF($O266=1,0,NPV('2027 Avoided Costs'!$D$6,_xlfn._xlws.FILTER('2027 Avoided Costs'!$AC$14:$AC$47,('2027 Avoided Costs'!$B$14:$B$47&gt;=$B266+1)*('2027 Avoided Costs'!$B$14:$B$47&lt;$B266+ROUND($O266,0)))))+_xlfn.XLOOKUP($B266,'2027 Avoided Costs'!$B$13:$B$47,'2027 Avoided Costs'!$AC$13:$AC$47))*IF($AO266&gt;0,$AO266*(1+$W266),0),0)</f>
        <v>14285.311402592171</v>
      </c>
      <c r="AY266" s="291" cm="1">
        <f t="array" ref="AY266">IFERROR((IF($O266=1,0,NPV('2027 Avoided Costs'!$D$4,_xlfn._xlws.FILTER('2027 Avoided Costs'!$I$14:$I$47,('2027 Avoided Costs'!$B$14:$B$47&gt;=$B266+1)*('2027 Avoided Costs'!$B$14:$B$47&lt;$B266+ROUND($O266,0)))))+_xlfn.XLOOKUP($B266,'2027 Avoided Costs'!$B$13:$B$47,'2027 Avoided Costs'!$I$13:$I$47))*IF($X266="Residential",'2027 Avoided Costs'!$J$5,IF($X266="Large Volume",'2027 Avoided Costs'!$J$7,'2027 Avoided Costs'!$J$6))*IF($AE266&gt;0,$AE266,0),0)</f>
        <v>0</v>
      </c>
      <c r="AZ266" s="291" cm="1">
        <f t="array" ref="AZ266">IFERROR(IF($J266="Baseload",IF($O266=1,0,NPV('2027 Avoided Costs'!$D$6,_xlfn._xlws.FILTER('2027 Avoided Costs'!$C$14:$C$47,('2027 Avoided Costs'!$B$14:$B$47&gt;=$B266+1)*('2027 Avoided Costs'!$B$14:$B$47&lt;$B266+ROUND($O266,0)))))+_xlfn.XLOOKUP($B266,'2027 Avoided Costs'!$B$13:$B$47,'2027 Avoided Costs'!$C$13:$C$47),IF($O266=1,0,NPV('2027 Avoided Costs'!$D$6,_xlfn._xlws.FILTER('2027 Avoided Costs'!$E$14:$E$47,('2027 Avoided Costs'!$B$14:$B$47&gt;=$B266+1)*('2027 Avoided Costs'!$B$14:$B$47&lt;$B266+ROUND($O266,0)))))+_xlfn.XLOOKUP($B266,'2027 Avoided Costs'!$B$13:$B$47,'2027 Avoided Costs'!$E$13:$E$47))*IF($AE266&lt;0,$AE266*(-1),0),0)</f>
        <v>0</v>
      </c>
      <c r="BA266" s="291" cm="1">
        <f t="array" ref="BA266">IFERROR((IF($O266=1,0,NPV('2027 Avoided Costs'!$D$6,_xlfn._xlws.FILTER('2027 Avoided Costs'!$M$14:$M$47,('2027 Avoided Costs'!$B$14:$B$47&gt;=$B266+1)*('2027 Avoided Costs'!$B$14:$B$47&lt;$B266+ROUND($O266,0)))))+_xlfn.XLOOKUP($B266,'2027 Avoided Costs'!$B$13:$B$47,'2027 Avoided Costs'!$M$13:$M$47))*IF($AK266&lt;0,$AK266*(-1),0),0)</f>
        <v>0</v>
      </c>
      <c r="BB266" s="291" cm="1">
        <f t="array" ref="BB266">IFERROR((IF($O266=1,0,NPV('2027 Avoided Costs'!$D$6,_xlfn._xlws.FILTER('2027 Avoided Costs'!$S$14:$S$47,('2027 Avoided Costs'!$B$14:$B$47&gt;=$B266+1)*('2027 Avoided Costs'!$B$14:$B$47&lt;$B266+ROUND($O266,0)))))+_xlfn.XLOOKUP($B266,'2027 Avoided Costs'!$B$13:$B$47,'2027 Avoided Costs'!$S$13:$S$47))*IF($AI266&lt;0,$AI266*(-1),0),0)</f>
        <v>0</v>
      </c>
      <c r="BC266" s="291" cm="1">
        <f t="array" ref="BC266">IFERROR((IF($O266=1,0,NPV('2027 Avoided Costs'!$D$6,_xlfn._xlws.FILTER('2027 Avoided Costs'!$Y$14:$Y$47,('2027 Avoided Costs'!$B$14:$B$47&gt;=$B266+1)*('2027 Avoided Costs'!$B$14:$B$47&lt;$B266+ROUND($O266,0)))))+_xlfn.XLOOKUP($B266,'2027 Avoided Costs'!$B$13:$B$47,'2027 Avoided Costs'!$Y$13:$Y$47))*IF($AM266&lt;0,$AM266*(-1),0),0)</f>
        <v>0</v>
      </c>
      <c r="BD266" s="291" cm="1">
        <f t="array" ref="BD266">IFERROR((IF($O266=1,0,NPV('2027 Avoided Costs'!$D$6,_xlfn._xlws.FILTER('2027 Avoided Costs'!$AE$14:$AE$47,('2027 Avoided Costs'!$B$14:$B$47&gt;=$B266+1)*('2027 Avoided Costs'!$B$14:$B$47&lt;$B266+ROUND($O266,0)))))+_xlfn.XLOOKUP($B266,'2027 Avoided Costs'!$B$13:$B$47,'2027 Avoided Costs'!$AE$13:$AE$47))*IF($AO266&lt;0,$AO266*(-1),0),0)</f>
        <v>0</v>
      </c>
      <c r="BE266" s="291" cm="1">
        <f t="array" ref="BE266">IFERROR((IF($O266=1,0,NPV('2027 Avoided Costs'!$D$4,_xlfn._xlws.FILTER('2027 Avoided Costs'!$I$14:$I$47,('2027 Avoided Costs'!$B$14:$B$47&gt;=$B266+1)*('2027 Avoided Costs'!$B$14:$B$47&lt;$B266+ROUND($O266,0)))))+_xlfn.XLOOKUP($B266,'2027 Avoided Costs'!$B$13:$B$47,'2027 Avoided Costs'!$I$13:$I$47))*IF($X266="Residential",'2027 Avoided Costs'!$J$5,IF($X266="Large Volume",'2027 Avoided Costs'!$J$7,'2027 Avoided Costs'!$J$6))*IF($AE266&lt;0,$AE266*(-1),0),0)</f>
        <v>0</v>
      </c>
      <c r="BF266" s="291">
        <f t="shared" si="111"/>
        <v>9438756.6921498328</v>
      </c>
      <c r="BG266" s="291">
        <f t="shared" si="112"/>
        <v>5731600</v>
      </c>
      <c r="BH266" s="291">
        <f t="shared" si="113"/>
        <v>3707156.6921498328</v>
      </c>
      <c r="BI266" s="292">
        <f t="shared" ref="BI266:BI329" si="137">IFERROR(BF266/BG266,0)</f>
        <v>1.6467926394287515</v>
      </c>
      <c r="BJ266" s="196" cm="1">
        <f t="array" ref="BJ266">IFERROR(IF($J266="Baseload",IF($O266=1,0,NPV('2027 Avoided Costs'!$D$6,_xlfn._xlws.FILTER('2027 Avoided Costs'!$C$14:$C$47,('2027 Avoided Costs'!$B$14:$B$47&gt;=$B266+1)*('2027 Avoided Costs'!$B$14:$B$47&lt;$B266+ROUND($O266,0)))))+_xlfn.XLOOKUP($B266,'2027 Avoided Costs'!$B$13:$B$47,'2027 Avoided Costs'!$C$13:$C$47),IF($O266=1,0,NPV('2027 Avoided Costs'!$D$6,_xlfn._xlws.FILTER('2027 Avoided Costs'!$E$14:$E$47,('2027 Avoided Costs'!$B$14:$B$47&gt;=$B266+1)*('2027 Avoided Costs'!$B$14:$B$47&lt;$B266+ROUND($O266,0)))))+_xlfn.XLOOKUP($B266,'2027 Avoided Costs'!$B$13:$B$47,'2027 Avoided Costs'!$E$13:$E$47))*IF($AE266&gt;0,$AE266*(1+0),0),0)</f>
        <v>6690866.6864379337</v>
      </c>
      <c r="BK266" s="293">
        <f t="shared" si="135"/>
        <v>0.74967693965691129</v>
      </c>
    </row>
    <row r="267" spans="1:63" s="56" customFormat="1" x14ac:dyDescent="0.25">
      <c r="A267" s="270" t="s">
        <v>133</v>
      </c>
      <c r="B267" s="271">
        <v>2027</v>
      </c>
      <c r="C267" s="272" t="s">
        <v>11</v>
      </c>
      <c r="D267" s="272" t="s">
        <v>161</v>
      </c>
      <c r="E267" s="272" t="s">
        <v>122</v>
      </c>
      <c r="F267" s="273">
        <v>5000</v>
      </c>
      <c r="G267" s="274">
        <v>280</v>
      </c>
      <c r="H267" s="275">
        <f t="shared" si="115"/>
        <v>1.7177914110429449</v>
      </c>
      <c r="I267" s="274">
        <v>50</v>
      </c>
      <c r="J267" s="276" t="s">
        <v>264</v>
      </c>
      <c r="K267" s="277">
        <f t="shared" si="114"/>
        <v>0.8600000000000001</v>
      </c>
      <c r="L267" s="278">
        <v>0.21</v>
      </c>
      <c r="M267" s="278">
        <v>7.0000000000000007E-2</v>
      </c>
      <c r="N267" s="278">
        <v>1</v>
      </c>
      <c r="O267" s="279">
        <v>10</v>
      </c>
      <c r="P267" s="280">
        <v>163</v>
      </c>
      <c r="Q267" s="281">
        <v>217</v>
      </c>
      <c r="R267" s="282">
        <v>9.9299200000000004E-2</v>
      </c>
      <c r="S267" s="282">
        <v>2.8118742131312473E-2</v>
      </c>
      <c r="T267" s="281">
        <v>0</v>
      </c>
      <c r="U267" s="283">
        <v>0</v>
      </c>
      <c r="V267" s="284">
        <v>305</v>
      </c>
      <c r="W267" s="285">
        <v>0.15</v>
      </c>
      <c r="X267" s="286" t="s">
        <v>11</v>
      </c>
      <c r="Y267" s="287">
        <f t="shared" si="116"/>
        <v>5000</v>
      </c>
      <c r="Z267" s="288">
        <f t="shared" si="117"/>
        <v>1400000</v>
      </c>
      <c r="AA267" s="288">
        <f t="shared" si="118"/>
        <v>250000</v>
      </c>
      <c r="AB267" s="288">
        <f t="shared" si="119"/>
        <v>1400000</v>
      </c>
      <c r="AC267" s="288">
        <f t="shared" si="136"/>
        <v>250000</v>
      </c>
      <c r="AD267" s="287">
        <f t="shared" si="120"/>
        <v>815000</v>
      </c>
      <c r="AE267" s="287">
        <f t="shared" si="121"/>
        <v>700900.00000000012</v>
      </c>
      <c r="AF267" s="287">
        <f t="shared" si="122"/>
        <v>8150000</v>
      </c>
      <c r="AG267" s="287">
        <f t="shared" si="123"/>
        <v>7009000.0000000009</v>
      </c>
      <c r="AH267" s="287">
        <f t="shared" si="124"/>
        <v>1163120</v>
      </c>
      <c r="AI267" s="287">
        <f t="shared" si="125"/>
        <v>1000283.2000000002</v>
      </c>
      <c r="AJ267" s="287">
        <f t="shared" si="126"/>
        <v>0</v>
      </c>
      <c r="AK267" s="287">
        <f t="shared" si="127"/>
        <v>0</v>
      </c>
      <c r="AL267" s="287">
        <f t="shared" si="128"/>
        <v>532.24371200000007</v>
      </c>
      <c r="AM267" s="287">
        <f t="shared" si="129"/>
        <v>457.72959232000017</v>
      </c>
      <c r="AN267" s="287">
        <f t="shared" si="130"/>
        <v>150.71645782383487</v>
      </c>
      <c r="AO267" s="287">
        <f t="shared" si="131"/>
        <v>129.61615372849801</v>
      </c>
      <c r="AP267" s="287">
        <f t="shared" si="132"/>
        <v>1525000</v>
      </c>
      <c r="AQ267" s="287">
        <f t="shared" si="133"/>
        <v>1311500.0000000002</v>
      </c>
      <c r="AR267" s="287">
        <f t="shared" si="134"/>
        <v>0</v>
      </c>
      <c r="AS267" s="289" t="e">
        <f>IF(J267='2027 Avoided Costs'!#REF!,3,5)</f>
        <v>#REF!</v>
      </c>
      <c r="AT267" s="290" cm="1">
        <f t="array" ref="AT267">IFERROR(IF($J267="Baseload",IF($O267=1,0,NPV('2027 Avoided Costs'!$D$6,_xlfn._xlws.FILTER('2027 Avoided Costs'!$C$14:$C$47,('2027 Avoided Costs'!$B$14:$B$47&gt;=$B267+1)*('2027 Avoided Costs'!$B$14:$B$47&lt;$B267+ROUND($O267,0)))))+_xlfn.XLOOKUP($B267,'2027 Avoided Costs'!$B$13:$B$47,'2027 Avoided Costs'!$C$13:$C$47),IF($O267=1,0,NPV('2027 Avoided Costs'!$D$6,_xlfn._xlws.FILTER('2027 Avoided Costs'!$E$14:$E$47,('2027 Avoided Costs'!$B$14:$B$47&gt;=$B267+1)*('2027 Avoided Costs'!$B$14:$B$47&lt;$B267+ROUND($O267,0)))))+_xlfn.XLOOKUP($B267,'2027 Avoided Costs'!$B$13:$B$47,'2027 Avoided Costs'!$E$13:$E$47))*IF($AE267&gt;0,$AE267*(1+$W267),0),0)</f>
        <v>1977918.9509890506</v>
      </c>
      <c r="AU267" s="290" cm="1">
        <f t="array" ref="AU267">IFERROR((IF($O267=1,0,NPV('2027 Avoided Costs'!$D$6,_xlfn._xlws.FILTER('2027 Avoided Costs'!$M$14:$M$47,('2027 Avoided Costs'!$B$14:$B$47&gt;=$B267+1)*('2027 Avoided Costs'!$B$14:$B$47&lt;$B267+ROUND($O267,0)))))+_xlfn.XLOOKUP($B267,'2027 Avoided Costs'!$B$13:$B$47,'2027 Avoided Costs'!$M$13:$M$47))*IF($AK267&gt;0,$AK267*(1+$W267),0),0)</f>
        <v>0</v>
      </c>
      <c r="AV267" s="291" cm="1">
        <f t="array" ref="AV267">IFERROR((IF($O267=1,0,NPV('2027 Avoided Costs'!$D$6,_xlfn._xlws.FILTER('2027 Avoided Costs'!$Q$14:$Q$47,('2027 Avoided Costs'!$B$14:$B$47&gt;=$B267+1)*('2027 Avoided Costs'!$B$14:$B$47&lt;$B267+ROUND($O267,0)))))+_xlfn.XLOOKUP($B267,'2027 Avoided Costs'!$B$13:$B$47,'2027 Avoided Costs'!$Q$13:$Q$47))*IF($AI267&gt;0,$AI267*(1+$W267),0),0)</f>
        <v>511027.78067982284</v>
      </c>
      <c r="AW267" s="291" cm="1">
        <f t="array" ref="AW267">IFERROR((IF($O267=1,0,NPV('2027 Avoided Costs'!$D$6,_xlfn._xlws.FILTER('2027 Avoided Costs'!$W$14:$W$47,('2027 Avoided Costs'!$B$14:$B$47&gt;=$B267+1)*('2027 Avoided Costs'!$B$14:$B$47&lt;$B267+ROUND($O267,0)))))+_xlfn.XLOOKUP($B267,'2027 Avoided Costs'!$B$13:$B$47,'2027 Avoided Costs'!$W$13:$W$47))*IF($AM267&gt;0,$AM267*(1+$W267),0),0)</f>
        <v>1322932.5448344704</v>
      </c>
      <c r="AX267" s="291" cm="1">
        <f t="array" ref="AX267">IFERROR((IF($O267=1,0,NPV('2027 Avoided Costs'!$D$6,_xlfn._xlws.FILTER('2027 Avoided Costs'!$AC$14:$AC$47,('2027 Avoided Costs'!$B$14:$B$47&gt;=$B267+1)*('2027 Avoided Costs'!$B$14:$B$47&lt;$B267+ROUND($O267,0)))))+_xlfn.XLOOKUP($B267,'2027 Avoided Costs'!$B$13:$B$47,'2027 Avoided Costs'!$AC$13:$AC$47))*IF($AO267&gt;0,$AO267*(1+$W267),0),0)</f>
        <v>0</v>
      </c>
      <c r="AY267" s="291" cm="1">
        <f t="array" ref="AY267">IFERROR((IF($O267=1,0,NPV('2027 Avoided Costs'!$D$4,_xlfn._xlws.FILTER('2027 Avoided Costs'!$I$14:$I$47,('2027 Avoided Costs'!$B$14:$B$47&gt;=$B267+1)*('2027 Avoided Costs'!$B$14:$B$47&lt;$B267+ROUND($O267,0)))))+_xlfn.XLOOKUP($B267,'2027 Avoided Costs'!$B$13:$B$47,'2027 Avoided Costs'!$I$13:$I$47))*IF($X267="Residential",'2027 Avoided Costs'!$J$5,IF($X267="Large Volume",'2027 Avoided Costs'!$J$7,'2027 Avoided Costs'!$J$6))*IF($AE267&gt;0,$AE267,0),0)</f>
        <v>0</v>
      </c>
      <c r="AZ267" s="291" cm="1">
        <f t="array" ref="AZ267">IFERROR(IF($J267="Baseload",IF($O267=1,0,NPV('2027 Avoided Costs'!$D$6,_xlfn._xlws.FILTER('2027 Avoided Costs'!$C$14:$C$47,('2027 Avoided Costs'!$B$14:$B$47&gt;=$B267+1)*('2027 Avoided Costs'!$B$14:$B$47&lt;$B267+ROUND($O267,0)))))+_xlfn.XLOOKUP($B267,'2027 Avoided Costs'!$B$13:$B$47,'2027 Avoided Costs'!$C$13:$C$47),IF($O267=1,0,NPV('2027 Avoided Costs'!$D$6,_xlfn._xlws.FILTER('2027 Avoided Costs'!$E$14:$E$47,('2027 Avoided Costs'!$B$14:$B$47&gt;=$B267+1)*('2027 Avoided Costs'!$B$14:$B$47&lt;$B267+ROUND($O267,0)))))+_xlfn.XLOOKUP($B267,'2027 Avoided Costs'!$B$13:$B$47,'2027 Avoided Costs'!$E$13:$E$47))*IF($AE267&lt;0,$AE267*(-1),0),0)</f>
        <v>0</v>
      </c>
      <c r="BA267" s="291" cm="1">
        <f t="array" ref="BA267">IFERROR((IF($O267=1,0,NPV('2027 Avoided Costs'!$D$6,_xlfn._xlws.FILTER('2027 Avoided Costs'!$M$14:$M$47,('2027 Avoided Costs'!$B$14:$B$47&gt;=$B267+1)*('2027 Avoided Costs'!$B$14:$B$47&lt;$B267+ROUND($O267,0)))))+_xlfn.XLOOKUP($B267,'2027 Avoided Costs'!$B$13:$B$47,'2027 Avoided Costs'!$M$13:$M$47))*IF($AK267&lt;0,$AK267*(-1),0),0)</f>
        <v>0</v>
      </c>
      <c r="BB267" s="291" cm="1">
        <f t="array" ref="BB267">IFERROR((IF($O267=1,0,NPV('2027 Avoided Costs'!$D$6,_xlfn._xlws.FILTER('2027 Avoided Costs'!$S$14:$S$47,('2027 Avoided Costs'!$B$14:$B$47&gt;=$B267+1)*('2027 Avoided Costs'!$B$14:$B$47&lt;$B267+ROUND($O267,0)))))+_xlfn.XLOOKUP($B267,'2027 Avoided Costs'!$B$13:$B$47,'2027 Avoided Costs'!$S$13:$S$47))*IF($AI267&lt;0,$AI267*(-1),0),0)</f>
        <v>0</v>
      </c>
      <c r="BC267" s="291" cm="1">
        <f t="array" ref="BC267">IFERROR((IF($O267=1,0,NPV('2027 Avoided Costs'!$D$6,_xlfn._xlws.FILTER('2027 Avoided Costs'!$Y$14:$Y$47,('2027 Avoided Costs'!$B$14:$B$47&gt;=$B267+1)*('2027 Avoided Costs'!$B$14:$B$47&lt;$B267+ROUND($O267,0)))))+_xlfn.XLOOKUP($B267,'2027 Avoided Costs'!$B$13:$B$47,'2027 Avoided Costs'!$Y$13:$Y$47))*IF($AM267&lt;0,$AM267*(-1),0),0)</f>
        <v>0</v>
      </c>
      <c r="BD267" s="291" cm="1">
        <f t="array" ref="BD267">IFERROR((IF($O267=1,0,NPV('2027 Avoided Costs'!$D$6,_xlfn._xlws.FILTER('2027 Avoided Costs'!$AE$14:$AE$47,('2027 Avoided Costs'!$B$14:$B$47&gt;=$B267+1)*('2027 Avoided Costs'!$B$14:$B$47&lt;$B267+ROUND($O267,0)))))+_xlfn.XLOOKUP($B267,'2027 Avoided Costs'!$B$13:$B$47,'2027 Avoided Costs'!$AE$13:$AE$47))*IF($AO267&lt;0,$AO267*(-1),0),0)</f>
        <v>0</v>
      </c>
      <c r="BE267" s="291" cm="1">
        <f t="array" ref="BE267">IFERROR((IF($O267=1,0,NPV('2027 Avoided Costs'!$D$4,_xlfn._xlws.FILTER('2027 Avoided Costs'!$I$14:$I$47,('2027 Avoided Costs'!$B$14:$B$47&gt;=$B267+1)*('2027 Avoided Costs'!$B$14:$B$47&lt;$B267+ROUND($O267,0)))))+_xlfn.XLOOKUP($B267,'2027 Avoided Costs'!$B$13:$B$47,'2027 Avoided Costs'!$I$13:$I$47))*IF($X267="Residential",'2027 Avoided Costs'!$J$5,IF($X267="Large Volume",'2027 Avoided Costs'!$J$7,'2027 Avoided Costs'!$J$6))*IF($AE267&lt;0,$AE267*(-1),0),0)</f>
        <v>0</v>
      </c>
      <c r="BF267" s="291">
        <f t="shared" si="111"/>
        <v>3811879.2765033436</v>
      </c>
      <c r="BG267" s="291">
        <f t="shared" si="112"/>
        <v>1311500.0000000002</v>
      </c>
      <c r="BH267" s="291">
        <f t="shared" si="113"/>
        <v>2500379.2765033431</v>
      </c>
      <c r="BI267" s="292">
        <f t="shared" si="137"/>
        <v>2.9065034513940855</v>
      </c>
      <c r="BJ267" s="196" cm="1">
        <f t="array" ref="BJ267">IFERROR(IF($J267="Baseload",IF($O267=1,0,NPV('2027 Avoided Costs'!$D$6,_xlfn._xlws.FILTER('2027 Avoided Costs'!$C$14:$C$47,('2027 Avoided Costs'!$B$14:$B$47&gt;=$B267+1)*('2027 Avoided Costs'!$B$14:$B$47&lt;$B267+ROUND($O267,0)))))+_xlfn.XLOOKUP($B267,'2027 Avoided Costs'!$B$13:$B$47,'2027 Avoided Costs'!$C$13:$C$47),IF($O267=1,0,NPV('2027 Avoided Costs'!$D$6,_xlfn._xlws.FILTER('2027 Avoided Costs'!$E$14:$E$47,('2027 Avoided Costs'!$B$14:$B$47&gt;=$B267+1)*('2027 Avoided Costs'!$B$14:$B$47&lt;$B267+ROUND($O267,0)))))+_xlfn.XLOOKUP($B267,'2027 Avoided Costs'!$B$13:$B$47,'2027 Avoided Costs'!$E$13:$E$47))*IF($AE267&gt;0,$AE267*(1+0),0),0)</f>
        <v>1719929.5225991744</v>
      </c>
      <c r="BK267" s="293">
        <f t="shared" si="135"/>
        <v>1.0423815288479845</v>
      </c>
    </row>
    <row r="268" spans="1:63" s="56" customFormat="1" x14ac:dyDescent="0.25">
      <c r="A268" s="270" t="s">
        <v>133</v>
      </c>
      <c r="B268" s="271">
        <v>2028</v>
      </c>
      <c r="C268" s="272" t="s">
        <v>11</v>
      </c>
      <c r="D268" s="272" t="s">
        <v>161</v>
      </c>
      <c r="E268" s="272" t="s">
        <v>121</v>
      </c>
      <c r="F268" s="273">
        <v>4000</v>
      </c>
      <c r="G268" s="274">
        <v>2500</v>
      </c>
      <c r="H268" s="275">
        <f t="shared" si="115"/>
        <v>6.666666666666667</v>
      </c>
      <c r="I268" s="274">
        <v>50</v>
      </c>
      <c r="J268" s="276" t="s">
        <v>264</v>
      </c>
      <c r="K268" s="277">
        <f t="shared" si="114"/>
        <v>0.89</v>
      </c>
      <c r="L268" s="278">
        <v>0.11</v>
      </c>
      <c r="M268" s="278">
        <v>0</v>
      </c>
      <c r="N268" s="278">
        <v>1</v>
      </c>
      <c r="O268" s="279">
        <v>30</v>
      </c>
      <c r="P268" s="280">
        <v>375</v>
      </c>
      <c r="Q268" s="281">
        <v>101.2</v>
      </c>
      <c r="R268" s="282">
        <v>6.4526240089541359E-2</v>
      </c>
      <c r="S268" s="282">
        <v>6.0766210045660081E-3</v>
      </c>
      <c r="T268" s="281">
        <v>0</v>
      </c>
      <c r="U268" s="283">
        <v>0</v>
      </c>
      <c r="V268" s="284">
        <v>1840</v>
      </c>
      <c r="W268" s="285">
        <v>0.15</v>
      </c>
      <c r="X268" s="286" t="s">
        <v>11</v>
      </c>
      <c r="Y268" s="287">
        <f t="shared" si="116"/>
        <v>4000</v>
      </c>
      <c r="Z268" s="288">
        <f t="shared" si="117"/>
        <v>10000000</v>
      </c>
      <c r="AA268" s="288">
        <f t="shared" si="118"/>
        <v>200000</v>
      </c>
      <c r="AB268" s="288">
        <f t="shared" si="119"/>
        <v>10200000</v>
      </c>
      <c r="AC268" s="288">
        <f t="shared" si="136"/>
        <v>203440.00000000003</v>
      </c>
      <c r="AD268" s="287">
        <f t="shared" si="120"/>
        <v>1500000</v>
      </c>
      <c r="AE268" s="287">
        <f t="shared" si="121"/>
        <v>1335000</v>
      </c>
      <c r="AF268" s="287">
        <f t="shared" si="122"/>
        <v>45000000</v>
      </c>
      <c r="AG268" s="287">
        <f t="shared" si="123"/>
        <v>40050000</v>
      </c>
      <c r="AH268" s="287">
        <f t="shared" si="124"/>
        <v>433945.60000000003</v>
      </c>
      <c r="AI268" s="287">
        <f t="shared" si="125"/>
        <v>386211.58400000003</v>
      </c>
      <c r="AJ268" s="287">
        <f t="shared" si="126"/>
        <v>0</v>
      </c>
      <c r="AK268" s="287">
        <f t="shared" si="127"/>
        <v>0</v>
      </c>
      <c r="AL268" s="287">
        <f t="shared" si="128"/>
        <v>276.68851750395339</v>
      </c>
      <c r="AM268" s="287">
        <f t="shared" si="129"/>
        <v>246.2527805785185</v>
      </c>
      <c r="AN268" s="287">
        <f t="shared" si="130"/>
        <v>26.056550867579045</v>
      </c>
      <c r="AO268" s="287">
        <f t="shared" si="131"/>
        <v>23.190330272145349</v>
      </c>
      <c r="AP268" s="287">
        <f t="shared" si="132"/>
        <v>7360000</v>
      </c>
      <c r="AQ268" s="287">
        <f t="shared" si="133"/>
        <v>6550400</v>
      </c>
      <c r="AR268" s="287">
        <f t="shared" si="134"/>
        <v>0</v>
      </c>
      <c r="AS268" s="289" t="e">
        <f>IF(J268='2027 Avoided Costs'!#REF!,3,5)</f>
        <v>#REF!</v>
      </c>
      <c r="AT268" s="290" cm="1">
        <f t="array" ref="AT268">IFERROR(IF($J268="Baseload",IF($O268=1,0,NPV('2027 Avoided Costs'!$D$6,_xlfn._xlws.FILTER('2027 Avoided Costs'!$C$14:$C$47,('2027 Avoided Costs'!$B$14:$B$47&gt;=$B268+1)*('2027 Avoided Costs'!$B$14:$B$47&lt;$B268+ROUND($O268,0)))))+_xlfn.XLOOKUP($B268,'2027 Avoided Costs'!$B$13:$B$47,'2027 Avoided Costs'!$C$13:$C$47),IF($O268=1,0,NPV('2027 Avoided Costs'!$D$6,_xlfn._xlws.FILTER('2027 Avoided Costs'!$E$14:$E$47,('2027 Avoided Costs'!$B$14:$B$47&gt;=$B268+1)*('2027 Avoided Costs'!$B$14:$B$47&lt;$B268+ROUND($O268,0)))))+_xlfn.XLOOKUP($B268,'2027 Avoided Costs'!$B$13:$B$47,'2027 Avoided Costs'!$E$13:$E$47))*IF($AE268&gt;0,$AE268*(1+$W268),0),0)</f>
        <v>9121258.2732928898</v>
      </c>
      <c r="AU268" s="290" cm="1">
        <f t="array" ref="AU268">IFERROR((IF($O268=1,0,NPV('2027 Avoided Costs'!$D$6,_xlfn._xlws.FILTER('2027 Avoided Costs'!$M$14:$M$47,('2027 Avoided Costs'!$B$14:$B$47&gt;=$B268+1)*('2027 Avoided Costs'!$B$14:$B$47&lt;$B268+ROUND($O268,0)))))+_xlfn.XLOOKUP($B268,'2027 Avoided Costs'!$B$13:$B$47,'2027 Avoided Costs'!$M$13:$M$47))*IF($AK268&gt;0,$AK268*(1+$W268),0),0)</f>
        <v>0</v>
      </c>
      <c r="AV268" s="291" cm="1">
        <f t="array" ref="AV268">IFERROR((IF($O268=1,0,NPV('2027 Avoided Costs'!$D$6,_xlfn._xlws.FILTER('2027 Avoided Costs'!$Q$14:$Q$47,('2027 Avoided Costs'!$B$14:$B$47&gt;=$B268+1)*('2027 Avoided Costs'!$B$14:$B$47&lt;$B268+ROUND($O268,0)))))+_xlfn.XLOOKUP($B268,'2027 Avoided Costs'!$B$13:$B$47,'2027 Avoided Costs'!$Q$13:$Q$47))*IF($AI268&gt;0,$AI268*(1+$W268),0),0)</f>
        <v>345890.7910535112</v>
      </c>
      <c r="AW268" s="291" cm="1">
        <f t="array" ref="AW268">IFERROR((IF($O268=1,0,NPV('2027 Avoided Costs'!$D$6,_xlfn._xlws.FILTER('2027 Avoided Costs'!$W$14:$W$47,('2027 Avoided Costs'!$B$14:$B$47&gt;=$B268+1)*('2027 Avoided Costs'!$B$14:$B$47&lt;$B268+ROUND($O268,0)))))+_xlfn.XLOOKUP($B268,'2027 Avoided Costs'!$B$13:$B$47,'2027 Avoided Costs'!$W$13:$W$47))*IF($AM268&gt;0,$AM268*(1+$W268),0),0)</f>
        <v>1703296.3612801693</v>
      </c>
      <c r="AX268" s="291" cm="1">
        <f t="array" ref="AX268">IFERROR((IF($O268=1,0,NPV('2027 Avoided Costs'!$D$6,_xlfn._xlws.FILTER('2027 Avoided Costs'!$AC$14:$AC$47,('2027 Avoided Costs'!$B$14:$B$47&gt;=$B268+1)*('2027 Avoided Costs'!$B$14:$B$47&lt;$B268+ROUND($O268,0)))))+_xlfn.XLOOKUP($B268,'2027 Avoided Costs'!$B$13:$B$47,'2027 Avoided Costs'!$AC$13:$AC$47))*IF($AO268&gt;0,$AO268*(1+$W268),0),0)</f>
        <v>17318.695240994028</v>
      </c>
      <c r="AY268" s="291" cm="1">
        <f t="array" ref="AY268">IFERROR((IF($O268=1,0,NPV('2027 Avoided Costs'!$D$4,_xlfn._xlws.FILTER('2027 Avoided Costs'!$I$14:$I$47,('2027 Avoided Costs'!$B$14:$B$47&gt;=$B268+1)*('2027 Avoided Costs'!$B$14:$B$47&lt;$B268+ROUND($O268,0)))))+_xlfn.XLOOKUP($B268,'2027 Avoided Costs'!$B$13:$B$47,'2027 Avoided Costs'!$I$13:$I$47))*IF($X268="Residential",'2027 Avoided Costs'!$J$5,IF($X268="Large Volume",'2027 Avoided Costs'!$J$7,'2027 Avoided Costs'!$J$6))*IF($AE268&gt;0,$AE268,0),0)</f>
        <v>0</v>
      </c>
      <c r="AZ268" s="291" cm="1">
        <f t="array" ref="AZ268">IFERROR(IF($J268="Baseload",IF($O268=1,0,NPV('2027 Avoided Costs'!$D$6,_xlfn._xlws.FILTER('2027 Avoided Costs'!$C$14:$C$47,('2027 Avoided Costs'!$B$14:$B$47&gt;=$B268+1)*('2027 Avoided Costs'!$B$14:$B$47&lt;$B268+ROUND($O268,0)))))+_xlfn.XLOOKUP($B268,'2027 Avoided Costs'!$B$13:$B$47,'2027 Avoided Costs'!$C$13:$C$47),IF($O268=1,0,NPV('2027 Avoided Costs'!$D$6,_xlfn._xlws.FILTER('2027 Avoided Costs'!$E$14:$E$47,('2027 Avoided Costs'!$B$14:$B$47&gt;=$B268+1)*('2027 Avoided Costs'!$B$14:$B$47&lt;$B268+ROUND($O268,0)))))+_xlfn.XLOOKUP($B268,'2027 Avoided Costs'!$B$13:$B$47,'2027 Avoided Costs'!$E$13:$E$47))*IF($AE268&lt;0,$AE268*(-1),0),0)</f>
        <v>0</v>
      </c>
      <c r="BA268" s="291" cm="1">
        <f t="array" ref="BA268">IFERROR((IF($O268=1,0,NPV('2027 Avoided Costs'!$D$6,_xlfn._xlws.FILTER('2027 Avoided Costs'!$M$14:$M$47,('2027 Avoided Costs'!$B$14:$B$47&gt;=$B268+1)*('2027 Avoided Costs'!$B$14:$B$47&lt;$B268+ROUND($O268,0)))))+_xlfn.XLOOKUP($B268,'2027 Avoided Costs'!$B$13:$B$47,'2027 Avoided Costs'!$M$13:$M$47))*IF($AK268&lt;0,$AK268*(-1),0),0)</f>
        <v>0</v>
      </c>
      <c r="BB268" s="291" cm="1">
        <f t="array" ref="BB268">IFERROR((IF($O268=1,0,NPV('2027 Avoided Costs'!$D$6,_xlfn._xlws.FILTER('2027 Avoided Costs'!$S$14:$S$47,('2027 Avoided Costs'!$B$14:$B$47&gt;=$B268+1)*('2027 Avoided Costs'!$B$14:$B$47&lt;$B268+ROUND($O268,0)))))+_xlfn.XLOOKUP($B268,'2027 Avoided Costs'!$B$13:$B$47,'2027 Avoided Costs'!$S$13:$S$47))*IF($AI268&lt;0,$AI268*(-1),0),0)</f>
        <v>0</v>
      </c>
      <c r="BC268" s="291" cm="1">
        <f t="array" ref="BC268">IFERROR((IF($O268=1,0,NPV('2027 Avoided Costs'!$D$6,_xlfn._xlws.FILTER('2027 Avoided Costs'!$Y$14:$Y$47,('2027 Avoided Costs'!$B$14:$B$47&gt;=$B268+1)*('2027 Avoided Costs'!$B$14:$B$47&lt;$B268+ROUND($O268,0)))))+_xlfn.XLOOKUP($B268,'2027 Avoided Costs'!$B$13:$B$47,'2027 Avoided Costs'!$Y$13:$Y$47))*IF($AM268&lt;0,$AM268*(-1),0),0)</f>
        <v>0</v>
      </c>
      <c r="BD268" s="291" cm="1">
        <f t="array" ref="BD268">IFERROR((IF($O268=1,0,NPV('2027 Avoided Costs'!$D$6,_xlfn._xlws.FILTER('2027 Avoided Costs'!$AE$14:$AE$47,('2027 Avoided Costs'!$B$14:$B$47&gt;=$B268+1)*('2027 Avoided Costs'!$B$14:$B$47&lt;$B268+ROUND($O268,0)))))+_xlfn.XLOOKUP($B268,'2027 Avoided Costs'!$B$13:$B$47,'2027 Avoided Costs'!$AE$13:$AE$47))*IF($AO268&lt;0,$AO268*(-1),0),0)</f>
        <v>0</v>
      </c>
      <c r="BE268" s="291" cm="1">
        <f t="array" ref="BE268">IFERROR((IF($O268=1,0,NPV('2027 Avoided Costs'!$D$4,_xlfn._xlws.FILTER('2027 Avoided Costs'!$I$14:$I$47,('2027 Avoided Costs'!$B$14:$B$47&gt;=$B268+1)*('2027 Avoided Costs'!$B$14:$B$47&lt;$B268+ROUND($O268,0)))))+_xlfn.XLOOKUP($B268,'2027 Avoided Costs'!$B$13:$B$47,'2027 Avoided Costs'!$I$13:$I$47))*IF($X268="Residential",'2027 Avoided Costs'!$J$5,IF($X268="Large Volume",'2027 Avoided Costs'!$J$7,'2027 Avoided Costs'!$J$6))*IF($AE268&lt;0,$AE268*(-1),0),0)</f>
        <v>0</v>
      </c>
      <c r="BF268" s="291">
        <f t="shared" si="111"/>
        <v>11187764.120867565</v>
      </c>
      <c r="BG268" s="291">
        <f t="shared" si="112"/>
        <v>6550400</v>
      </c>
      <c r="BH268" s="291">
        <f t="shared" si="113"/>
        <v>4637364.1208675653</v>
      </c>
      <c r="BI268" s="292">
        <f t="shared" si="137"/>
        <v>1.7079512886033776</v>
      </c>
      <c r="BJ268" s="196" cm="1">
        <f t="array" ref="BJ268">IFERROR(IF($J268="Baseload",IF($O268=1,0,NPV('2027 Avoided Costs'!$D$6,_xlfn._xlws.FILTER('2027 Avoided Costs'!$C$14:$C$47,('2027 Avoided Costs'!$B$14:$B$47&gt;=$B268+1)*('2027 Avoided Costs'!$B$14:$B$47&lt;$B268+ROUND($O268,0)))))+_xlfn.XLOOKUP($B268,'2027 Avoided Costs'!$B$13:$B$47,'2027 Avoided Costs'!$C$13:$C$47),IF($O268=1,0,NPV('2027 Avoided Costs'!$D$6,_xlfn._xlws.FILTER('2027 Avoided Costs'!$E$14:$E$47,('2027 Avoided Costs'!$B$14:$B$47&gt;=$B268+1)*('2027 Avoided Costs'!$B$14:$B$47&lt;$B268+ROUND($O268,0)))))+_xlfn.XLOOKUP($B268,'2027 Avoided Costs'!$B$13:$B$47,'2027 Avoided Costs'!$E$13:$E$47))*IF($AE268&gt;0,$AE268*(1+0),0),0)</f>
        <v>7931528.9332981659</v>
      </c>
      <c r="BK268" s="293">
        <f t="shared" si="135"/>
        <v>0.76239483606366409</v>
      </c>
    </row>
    <row r="269" spans="1:63" s="56" customFormat="1" x14ac:dyDescent="0.25">
      <c r="A269" s="270" t="s">
        <v>133</v>
      </c>
      <c r="B269" s="271">
        <v>2028</v>
      </c>
      <c r="C269" s="272" t="s">
        <v>11</v>
      </c>
      <c r="D269" s="272" t="s">
        <v>161</v>
      </c>
      <c r="E269" s="272" t="s">
        <v>122</v>
      </c>
      <c r="F269" s="273">
        <v>5500</v>
      </c>
      <c r="G269" s="274">
        <v>280</v>
      </c>
      <c r="H269" s="275">
        <f t="shared" si="115"/>
        <v>1.7177914110429449</v>
      </c>
      <c r="I269" s="274">
        <v>50</v>
      </c>
      <c r="J269" s="276" t="s">
        <v>264</v>
      </c>
      <c r="K269" s="277">
        <f t="shared" si="114"/>
        <v>0.8600000000000001</v>
      </c>
      <c r="L269" s="278">
        <v>0.21</v>
      </c>
      <c r="M269" s="278">
        <v>7.0000000000000007E-2</v>
      </c>
      <c r="N269" s="278">
        <v>1</v>
      </c>
      <c r="O269" s="279">
        <v>10</v>
      </c>
      <c r="P269" s="280">
        <v>163</v>
      </c>
      <c r="Q269" s="281">
        <v>217</v>
      </c>
      <c r="R269" s="282">
        <v>9.9299200000000004E-2</v>
      </c>
      <c r="S269" s="282">
        <v>2.8118742131312473E-2</v>
      </c>
      <c r="T269" s="281">
        <v>0</v>
      </c>
      <c r="U269" s="283">
        <v>0</v>
      </c>
      <c r="V269" s="284">
        <v>305</v>
      </c>
      <c r="W269" s="285">
        <v>0.15</v>
      </c>
      <c r="X269" s="286" t="s">
        <v>11</v>
      </c>
      <c r="Y269" s="287">
        <f t="shared" si="116"/>
        <v>5500</v>
      </c>
      <c r="Z269" s="288">
        <f t="shared" si="117"/>
        <v>1540000</v>
      </c>
      <c r="AA269" s="288">
        <f t="shared" si="118"/>
        <v>275000</v>
      </c>
      <c r="AB269" s="288">
        <f t="shared" si="119"/>
        <v>1570800</v>
      </c>
      <c r="AC269" s="288">
        <f t="shared" si="136"/>
        <v>279730</v>
      </c>
      <c r="AD269" s="287">
        <f t="shared" si="120"/>
        <v>896500</v>
      </c>
      <c r="AE269" s="287">
        <f t="shared" si="121"/>
        <v>770990.00000000012</v>
      </c>
      <c r="AF269" s="287">
        <f t="shared" si="122"/>
        <v>8965000</v>
      </c>
      <c r="AG269" s="287">
        <f t="shared" si="123"/>
        <v>7709900.0000000009</v>
      </c>
      <c r="AH269" s="287">
        <f t="shared" si="124"/>
        <v>1279432</v>
      </c>
      <c r="AI269" s="287">
        <f t="shared" si="125"/>
        <v>1100311.5200000003</v>
      </c>
      <c r="AJ269" s="287">
        <f t="shared" si="126"/>
        <v>0</v>
      </c>
      <c r="AK269" s="287">
        <f t="shared" si="127"/>
        <v>0</v>
      </c>
      <c r="AL269" s="287">
        <f t="shared" si="128"/>
        <v>585.46808320000014</v>
      </c>
      <c r="AM269" s="287">
        <f t="shared" si="129"/>
        <v>503.50255155200011</v>
      </c>
      <c r="AN269" s="287">
        <f t="shared" si="130"/>
        <v>165.78810360621836</v>
      </c>
      <c r="AO269" s="287">
        <f t="shared" si="131"/>
        <v>142.57776910134783</v>
      </c>
      <c r="AP269" s="287">
        <f t="shared" si="132"/>
        <v>1677500</v>
      </c>
      <c r="AQ269" s="287">
        <f t="shared" si="133"/>
        <v>1442650.0000000002</v>
      </c>
      <c r="AR269" s="287">
        <f t="shared" si="134"/>
        <v>0</v>
      </c>
      <c r="AS269" s="289" t="e">
        <f>IF(J269='2027 Avoided Costs'!#REF!,3,5)</f>
        <v>#REF!</v>
      </c>
      <c r="AT269" s="290" cm="1">
        <f t="array" ref="AT269">IFERROR(IF($J269="Baseload",IF($O269=1,0,NPV('2027 Avoided Costs'!$D$6,_xlfn._xlws.FILTER('2027 Avoided Costs'!$C$14:$C$47,('2027 Avoided Costs'!$B$14:$B$47&gt;=$B269+1)*('2027 Avoided Costs'!$B$14:$B$47&lt;$B269+ROUND($O269,0)))))+_xlfn.XLOOKUP($B269,'2027 Avoided Costs'!$B$13:$B$47,'2027 Avoided Costs'!$C$13:$C$47),IF($O269=1,0,NPV('2027 Avoided Costs'!$D$6,_xlfn._xlws.FILTER('2027 Avoided Costs'!$E$14:$E$47,('2027 Avoided Costs'!$B$14:$B$47&gt;=$B269+1)*('2027 Avoided Costs'!$B$14:$B$47&lt;$B269+ROUND($O269,0)))))+_xlfn.XLOOKUP($B269,'2027 Avoided Costs'!$B$13:$B$47,'2027 Avoided Costs'!$E$13:$E$47))*IF($AE269&gt;0,$AE269*(1+$W269),0),0)</f>
        <v>2268861.1671786802</v>
      </c>
      <c r="AU269" s="290" cm="1">
        <f t="array" ref="AU269">IFERROR((IF($O269=1,0,NPV('2027 Avoided Costs'!$D$6,_xlfn._xlws.FILTER('2027 Avoided Costs'!$M$14:$M$47,('2027 Avoided Costs'!$B$14:$B$47&gt;=$B269+1)*('2027 Avoided Costs'!$B$14:$B$47&lt;$B269+ROUND($O269,0)))))+_xlfn.XLOOKUP($B269,'2027 Avoided Costs'!$B$13:$B$47,'2027 Avoided Costs'!$M$13:$M$47))*IF($AK269&gt;0,$AK269*(1+$W269),0),0)</f>
        <v>0</v>
      </c>
      <c r="AV269" s="291" cm="1">
        <f t="array" ref="AV269">IFERROR((IF($O269=1,0,NPV('2027 Avoided Costs'!$D$6,_xlfn._xlws.FILTER('2027 Avoided Costs'!$Q$14:$Q$47,('2027 Avoided Costs'!$B$14:$B$47&gt;=$B269+1)*('2027 Avoided Costs'!$B$14:$B$47&lt;$B269+ROUND($O269,0)))))+_xlfn.XLOOKUP($B269,'2027 Avoided Costs'!$B$13:$B$47,'2027 Avoided Costs'!$Q$13:$Q$47))*IF($AI269&gt;0,$AI269*(1+$W269),0),0)</f>
        <v>538612.9157814302</v>
      </c>
      <c r="AW269" s="291" cm="1">
        <f t="array" ref="AW269">IFERROR((IF($O269=1,0,NPV('2027 Avoided Costs'!$D$6,_xlfn._xlws.FILTER('2027 Avoided Costs'!$W$14:$W$47,('2027 Avoided Costs'!$B$14:$B$47&gt;=$B269+1)*('2027 Avoided Costs'!$B$14:$B$47&lt;$B269+ROUND($O269,0)))))+_xlfn.XLOOKUP($B269,'2027 Avoided Costs'!$B$13:$B$47,'2027 Avoided Costs'!$W$13:$W$47))*IF($AM269&gt;0,$AM269*(1+$W269),0),0)</f>
        <v>1552678.2444937534</v>
      </c>
      <c r="AX269" s="291" cm="1">
        <f t="array" ref="AX269">IFERROR((IF($O269=1,0,NPV('2027 Avoided Costs'!$D$6,_xlfn._xlws.FILTER('2027 Avoided Costs'!$AC$14:$AC$47,('2027 Avoided Costs'!$B$14:$B$47&gt;=$B269+1)*('2027 Avoided Costs'!$B$14:$B$47&lt;$B269+ROUND($O269,0)))))+_xlfn.XLOOKUP($B269,'2027 Avoided Costs'!$B$13:$B$47,'2027 Avoided Costs'!$AC$13:$AC$47))*IF($AO269&gt;0,$AO269*(1+$W269),0),0)</f>
        <v>0</v>
      </c>
      <c r="AY269" s="291" cm="1">
        <f t="array" ref="AY269">IFERROR((IF($O269=1,0,NPV('2027 Avoided Costs'!$D$4,_xlfn._xlws.FILTER('2027 Avoided Costs'!$I$14:$I$47,('2027 Avoided Costs'!$B$14:$B$47&gt;=$B269+1)*('2027 Avoided Costs'!$B$14:$B$47&lt;$B269+ROUND($O269,0)))))+_xlfn.XLOOKUP($B269,'2027 Avoided Costs'!$B$13:$B$47,'2027 Avoided Costs'!$I$13:$I$47))*IF($X269="Residential",'2027 Avoided Costs'!$J$5,IF($X269="Large Volume",'2027 Avoided Costs'!$J$7,'2027 Avoided Costs'!$J$6))*IF($AE269&gt;0,$AE269,0),0)</f>
        <v>0</v>
      </c>
      <c r="AZ269" s="291" cm="1">
        <f t="array" ref="AZ269">IFERROR(IF($J269="Baseload",IF($O269=1,0,NPV('2027 Avoided Costs'!$D$6,_xlfn._xlws.FILTER('2027 Avoided Costs'!$C$14:$C$47,('2027 Avoided Costs'!$B$14:$B$47&gt;=$B269+1)*('2027 Avoided Costs'!$B$14:$B$47&lt;$B269+ROUND($O269,0)))))+_xlfn.XLOOKUP($B269,'2027 Avoided Costs'!$B$13:$B$47,'2027 Avoided Costs'!$C$13:$C$47),IF($O269=1,0,NPV('2027 Avoided Costs'!$D$6,_xlfn._xlws.FILTER('2027 Avoided Costs'!$E$14:$E$47,('2027 Avoided Costs'!$B$14:$B$47&gt;=$B269+1)*('2027 Avoided Costs'!$B$14:$B$47&lt;$B269+ROUND($O269,0)))))+_xlfn.XLOOKUP($B269,'2027 Avoided Costs'!$B$13:$B$47,'2027 Avoided Costs'!$E$13:$E$47))*IF($AE269&lt;0,$AE269*(-1),0),0)</f>
        <v>0</v>
      </c>
      <c r="BA269" s="291" cm="1">
        <f t="array" ref="BA269">IFERROR((IF($O269=1,0,NPV('2027 Avoided Costs'!$D$6,_xlfn._xlws.FILTER('2027 Avoided Costs'!$M$14:$M$47,('2027 Avoided Costs'!$B$14:$B$47&gt;=$B269+1)*('2027 Avoided Costs'!$B$14:$B$47&lt;$B269+ROUND($O269,0)))))+_xlfn.XLOOKUP($B269,'2027 Avoided Costs'!$B$13:$B$47,'2027 Avoided Costs'!$M$13:$M$47))*IF($AK269&lt;0,$AK269*(-1),0),0)</f>
        <v>0</v>
      </c>
      <c r="BB269" s="291" cm="1">
        <f t="array" ref="BB269">IFERROR((IF($O269=1,0,NPV('2027 Avoided Costs'!$D$6,_xlfn._xlws.FILTER('2027 Avoided Costs'!$S$14:$S$47,('2027 Avoided Costs'!$B$14:$B$47&gt;=$B269+1)*('2027 Avoided Costs'!$B$14:$B$47&lt;$B269+ROUND($O269,0)))))+_xlfn.XLOOKUP($B269,'2027 Avoided Costs'!$B$13:$B$47,'2027 Avoided Costs'!$S$13:$S$47))*IF($AI269&lt;0,$AI269*(-1),0),0)</f>
        <v>0</v>
      </c>
      <c r="BC269" s="291" cm="1">
        <f t="array" ref="BC269">IFERROR((IF($O269=1,0,NPV('2027 Avoided Costs'!$D$6,_xlfn._xlws.FILTER('2027 Avoided Costs'!$Y$14:$Y$47,('2027 Avoided Costs'!$B$14:$B$47&gt;=$B269+1)*('2027 Avoided Costs'!$B$14:$B$47&lt;$B269+ROUND($O269,0)))))+_xlfn.XLOOKUP($B269,'2027 Avoided Costs'!$B$13:$B$47,'2027 Avoided Costs'!$Y$13:$Y$47))*IF($AM269&lt;0,$AM269*(-1),0),0)</f>
        <v>0</v>
      </c>
      <c r="BD269" s="291" cm="1">
        <f t="array" ref="BD269">IFERROR((IF($O269=1,0,NPV('2027 Avoided Costs'!$D$6,_xlfn._xlws.FILTER('2027 Avoided Costs'!$AE$14:$AE$47,('2027 Avoided Costs'!$B$14:$B$47&gt;=$B269+1)*('2027 Avoided Costs'!$B$14:$B$47&lt;$B269+ROUND($O269,0)))))+_xlfn.XLOOKUP($B269,'2027 Avoided Costs'!$B$13:$B$47,'2027 Avoided Costs'!$AE$13:$AE$47))*IF($AO269&lt;0,$AO269*(-1),0),0)</f>
        <v>0</v>
      </c>
      <c r="BE269" s="291" cm="1">
        <f t="array" ref="BE269">IFERROR((IF($O269=1,0,NPV('2027 Avoided Costs'!$D$4,_xlfn._xlws.FILTER('2027 Avoided Costs'!$I$14:$I$47,('2027 Avoided Costs'!$B$14:$B$47&gt;=$B269+1)*('2027 Avoided Costs'!$B$14:$B$47&lt;$B269+ROUND($O269,0)))))+_xlfn.XLOOKUP($B269,'2027 Avoided Costs'!$B$13:$B$47,'2027 Avoided Costs'!$I$13:$I$47))*IF($X269="Residential",'2027 Avoided Costs'!$J$5,IF($X269="Large Volume",'2027 Avoided Costs'!$J$7,'2027 Avoided Costs'!$J$6))*IF($AE269&lt;0,$AE269*(-1),0),0)</f>
        <v>0</v>
      </c>
      <c r="BF269" s="291">
        <f t="shared" si="111"/>
        <v>4360152.3274538638</v>
      </c>
      <c r="BG269" s="291">
        <f t="shared" si="112"/>
        <v>1442650.0000000002</v>
      </c>
      <c r="BH269" s="291">
        <f t="shared" si="113"/>
        <v>2917502.3274538638</v>
      </c>
      <c r="BI269" s="292">
        <f t="shared" si="137"/>
        <v>3.0223216493632297</v>
      </c>
      <c r="BJ269" s="196" cm="1">
        <f t="array" ref="BJ269">IFERROR(IF($J269="Baseload",IF($O269=1,0,NPV('2027 Avoided Costs'!$D$6,_xlfn._xlws.FILTER('2027 Avoided Costs'!$C$14:$C$47,('2027 Avoided Costs'!$B$14:$B$47&gt;=$B269+1)*('2027 Avoided Costs'!$B$14:$B$47&lt;$B269+ROUND($O269,0)))))+_xlfn.XLOOKUP($B269,'2027 Avoided Costs'!$B$13:$B$47,'2027 Avoided Costs'!$C$13:$C$47),IF($O269=1,0,NPV('2027 Avoided Costs'!$D$6,_xlfn._xlws.FILTER('2027 Avoided Costs'!$E$14:$E$47,('2027 Avoided Costs'!$B$14:$B$47&gt;=$B269+1)*('2027 Avoided Costs'!$B$14:$B$47&lt;$B269+ROUND($O269,0)))))+_xlfn.XLOOKUP($B269,'2027 Avoided Costs'!$B$13:$B$47,'2027 Avoided Costs'!$E$13:$E$47))*IF($AE269&gt;0,$AE269*(1+0),0),0)</f>
        <v>1972922.7540684175</v>
      </c>
      <c r="BK269" s="293">
        <f t="shared" si="135"/>
        <v>1.0661392974274491</v>
      </c>
    </row>
    <row r="270" spans="1:63" s="56" customFormat="1" x14ac:dyDescent="0.25">
      <c r="A270" s="270" t="s">
        <v>133</v>
      </c>
      <c r="B270" s="271">
        <v>2029</v>
      </c>
      <c r="C270" s="272" t="s">
        <v>11</v>
      </c>
      <c r="D270" s="272" t="s">
        <v>161</v>
      </c>
      <c r="E270" s="272" t="s">
        <v>121</v>
      </c>
      <c r="F270" s="273">
        <v>4500</v>
      </c>
      <c r="G270" s="274">
        <v>2500</v>
      </c>
      <c r="H270" s="275">
        <f t="shared" si="115"/>
        <v>6.666666666666667</v>
      </c>
      <c r="I270" s="274">
        <v>50</v>
      </c>
      <c r="J270" s="276" t="s">
        <v>264</v>
      </c>
      <c r="K270" s="277">
        <f t="shared" si="114"/>
        <v>0.89</v>
      </c>
      <c r="L270" s="278">
        <v>0.11</v>
      </c>
      <c r="M270" s="278">
        <v>0</v>
      </c>
      <c r="N270" s="278">
        <v>1</v>
      </c>
      <c r="O270" s="279">
        <v>30</v>
      </c>
      <c r="P270" s="280">
        <v>375</v>
      </c>
      <c r="Q270" s="281">
        <v>101.2</v>
      </c>
      <c r="R270" s="282">
        <v>6.4526240089541359E-2</v>
      </c>
      <c r="S270" s="282">
        <v>6.0766210045660081E-3</v>
      </c>
      <c r="T270" s="281">
        <v>0</v>
      </c>
      <c r="U270" s="283">
        <v>0</v>
      </c>
      <c r="V270" s="284">
        <v>1840</v>
      </c>
      <c r="W270" s="285">
        <v>0.15</v>
      </c>
      <c r="X270" s="286" t="s">
        <v>11</v>
      </c>
      <c r="Y270" s="287">
        <f t="shared" si="116"/>
        <v>4500</v>
      </c>
      <c r="Z270" s="288">
        <f t="shared" si="117"/>
        <v>11250000</v>
      </c>
      <c r="AA270" s="288">
        <f t="shared" si="118"/>
        <v>225000</v>
      </c>
      <c r="AB270" s="288">
        <f t="shared" si="119"/>
        <v>11704500</v>
      </c>
      <c r="AC270" s="288">
        <f t="shared" si="136"/>
        <v>232806.56400000004</v>
      </c>
      <c r="AD270" s="287">
        <f t="shared" si="120"/>
        <v>1687500</v>
      </c>
      <c r="AE270" s="287">
        <f t="shared" si="121"/>
        <v>1501875</v>
      </c>
      <c r="AF270" s="287">
        <f t="shared" si="122"/>
        <v>50625000</v>
      </c>
      <c r="AG270" s="287">
        <f t="shared" si="123"/>
        <v>45056250</v>
      </c>
      <c r="AH270" s="287">
        <f t="shared" si="124"/>
        <v>488188.80000000005</v>
      </c>
      <c r="AI270" s="287">
        <f t="shared" si="125"/>
        <v>434488.03200000001</v>
      </c>
      <c r="AJ270" s="287">
        <f t="shared" si="126"/>
        <v>0</v>
      </c>
      <c r="AK270" s="287">
        <f t="shared" si="127"/>
        <v>0</v>
      </c>
      <c r="AL270" s="287">
        <f t="shared" si="128"/>
        <v>311.27458219194756</v>
      </c>
      <c r="AM270" s="287">
        <f t="shared" si="129"/>
        <v>277.03437815083328</v>
      </c>
      <c r="AN270" s="287">
        <f t="shared" si="130"/>
        <v>29.313619726026424</v>
      </c>
      <c r="AO270" s="287">
        <f t="shared" si="131"/>
        <v>26.089121556163519</v>
      </c>
      <c r="AP270" s="287">
        <f t="shared" si="132"/>
        <v>8280000</v>
      </c>
      <c r="AQ270" s="287">
        <f t="shared" si="133"/>
        <v>7369200</v>
      </c>
      <c r="AR270" s="287">
        <f t="shared" si="134"/>
        <v>0</v>
      </c>
      <c r="AS270" s="289" t="e">
        <f>IF(J270='2027 Avoided Costs'!#REF!,3,5)</f>
        <v>#REF!</v>
      </c>
      <c r="AT270" s="290" cm="1">
        <f t="array" ref="AT270">IFERROR(IF($J270="Baseload",IF($O270=1,0,NPV('2027 Avoided Costs'!$D$6,_xlfn._xlws.FILTER('2027 Avoided Costs'!$C$14:$C$47,('2027 Avoided Costs'!$B$14:$B$47&gt;=$B270+1)*('2027 Avoided Costs'!$B$14:$B$47&lt;$B270+ROUND($O270,0)))))+_xlfn.XLOOKUP($B270,'2027 Avoided Costs'!$B$13:$B$47,'2027 Avoided Costs'!$C$13:$C$47),IF($O270=1,0,NPV('2027 Avoided Costs'!$D$6,_xlfn._xlws.FILTER('2027 Avoided Costs'!$E$14:$E$47,('2027 Avoided Costs'!$B$14:$B$47&gt;=$B270+1)*('2027 Avoided Costs'!$B$14:$B$47&lt;$B270+ROUND($O270,0)))))+_xlfn.XLOOKUP($B270,'2027 Avoided Costs'!$B$13:$B$47,'2027 Avoided Costs'!$E$13:$E$47))*IF($AE270&gt;0,$AE270*(1+$W270),0),0)</f>
        <v>10613234.138088142</v>
      </c>
      <c r="AU270" s="290" cm="1">
        <f t="array" ref="AU270">IFERROR((IF($O270=1,0,NPV('2027 Avoided Costs'!$D$6,_xlfn._xlws.FILTER('2027 Avoided Costs'!$M$14:$M$47,('2027 Avoided Costs'!$B$14:$B$47&gt;=$B270+1)*('2027 Avoided Costs'!$B$14:$B$47&lt;$B270+ROUND($O270,0)))))+_xlfn.XLOOKUP($B270,'2027 Avoided Costs'!$B$13:$B$47,'2027 Avoided Costs'!$M$13:$M$47))*IF($AK270&gt;0,$AK270*(1+$W270),0),0)</f>
        <v>0</v>
      </c>
      <c r="AV270" s="291" cm="1">
        <f t="array" ref="AV270">IFERROR((IF($O270=1,0,NPV('2027 Avoided Costs'!$D$6,_xlfn._xlws.FILTER('2027 Avoided Costs'!$Q$14:$Q$47,('2027 Avoided Costs'!$B$14:$B$47&gt;=$B270+1)*('2027 Avoided Costs'!$B$14:$B$47&lt;$B270+ROUND($O270,0)))))+_xlfn.XLOOKUP($B270,'2027 Avoided Costs'!$B$13:$B$47,'2027 Avoided Costs'!$Q$13:$Q$47))*IF($AI270&gt;0,$AI270*(1+$W270),0),0)</f>
        <v>382071.01408741361</v>
      </c>
      <c r="AW270" s="291" cm="1">
        <f t="array" ref="AW270">IFERROR((IF($O270=1,0,NPV('2027 Avoided Costs'!$D$6,_xlfn._xlws.FILTER('2027 Avoided Costs'!$W$14:$W$47,('2027 Avoided Costs'!$B$14:$B$47&gt;=$B270+1)*('2027 Avoided Costs'!$B$14:$B$47&lt;$B270+ROUND($O270,0)))))+_xlfn.XLOOKUP($B270,'2027 Avoided Costs'!$B$13:$B$47,'2027 Avoided Costs'!$W$13:$W$47))*IF($AM270&gt;0,$AM270*(1+$W270),0),0)</f>
        <v>2000257.3614114809</v>
      </c>
      <c r="AX270" s="291" cm="1">
        <f t="array" ref="AX270">IFERROR((IF($O270=1,0,NPV('2027 Avoided Costs'!$D$6,_xlfn._xlws.FILTER('2027 Avoided Costs'!$AC$14:$AC$47,('2027 Avoided Costs'!$B$14:$B$47&gt;=$B270+1)*('2027 Avoided Costs'!$B$14:$B$47&lt;$B270+ROUND($O270,0)))))+_xlfn.XLOOKUP($B270,'2027 Avoided Costs'!$B$13:$B$47,'2027 Avoided Costs'!$AC$13:$AC$47))*IF($AO270&gt;0,$AO270*(1+$W270),0),0)</f>
        <v>20668.130900602275</v>
      </c>
      <c r="AY270" s="291" cm="1">
        <f t="array" ref="AY270">IFERROR((IF($O270=1,0,NPV('2027 Avoided Costs'!$D$4,_xlfn._xlws.FILTER('2027 Avoided Costs'!$I$14:$I$47,('2027 Avoided Costs'!$B$14:$B$47&gt;=$B270+1)*('2027 Avoided Costs'!$B$14:$B$47&lt;$B270+ROUND($O270,0)))))+_xlfn.XLOOKUP($B270,'2027 Avoided Costs'!$B$13:$B$47,'2027 Avoided Costs'!$I$13:$I$47))*IF($X270="Residential",'2027 Avoided Costs'!$J$5,IF($X270="Large Volume",'2027 Avoided Costs'!$J$7,'2027 Avoided Costs'!$J$6))*IF($AE270&gt;0,$AE270,0),0)</f>
        <v>0</v>
      </c>
      <c r="AZ270" s="291" cm="1">
        <f t="array" ref="AZ270">IFERROR(IF($J270="Baseload",IF($O270=1,0,NPV('2027 Avoided Costs'!$D$6,_xlfn._xlws.FILTER('2027 Avoided Costs'!$C$14:$C$47,('2027 Avoided Costs'!$B$14:$B$47&gt;=$B270+1)*('2027 Avoided Costs'!$B$14:$B$47&lt;$B270+ROUND($O270,0)))))+_xlfn.XLOOKUP($B270,'2027 Avoided Costs'!$B$13:$B$47,'2027 Avoided Costs'!$C$13:$C$47),IF($O270=1,0,NPV('2027 Avoided Costs'!$D$6,_xlfn._xlws.FILTER('2027 Avoided Costs'!$E$14:$E$47,('2027 Avoided Costs'!$B$14:$B$47&gt;=$B270+1)*('2027 Avoided Costs'!$B$14:$B$47&lt;$B270+ROUND($O270,0)))))+_xlfn.XLOOKUP($B270,'2027 Avoided Costs'!$B$13:$B$47,'2027 Avoided Costs'!$E$13:$E$47))*IF($AE270&lt;0,$AE270*(-1),0),0)</f>
        <v>0</v>
      </c>
      <c r="BA270" s="291" cm="1">
        <f t="array" ref="BA270">IFERROR((IF($O270=1,0,NPV('2027 Avoided Costs'!$D$6,_xlfn._xlws.FILTER('2027 Avoided Costs'!$M$14:$M$47,('2027 Avoided Costs'!$B$14:$B$47&gt;=$B270+1)*('2027 Avoided Costs'!$B$14:$B$47&lt;$B270+ROUND($O270,0)))))+_xlfn.XLOOKUP($B270,'2027 Avoided Costs'!$B$13:$B$47,'2027 Avoided Costs'!$M$13:$M$47))*IF($AK270&lt;0,$AK270*(-1),0),0)</f>
        <v>0</v>
      </c>
      <c r="BB270" s="291" cm="1">
        <f t="array" ref="BB270">IFERROR((IF($O270=1,0,NPV('2027 Avoided Costs'!$D$6,_xlfn._xlws.FILTER('2027 Avoided Costs'!$S$14:$S$47,('2027 Avoided Costs'!$B$14:$B$47&gt;=$B270+1)*('2027 Avoided Costs'!$B$14:$B$47&lt;$B270+ROUND($O270,0)))))+_xlfn.XLOOKUP($B270,'2027 Avoided Costs'!$B$13:$B$47,'2027 Avoided Costs'!$S$13:$S$47))*IF($AI270&lt;0,$AI270*(-1),0),0)</f>
        <v>0</v>
      </c>
      <c r="BC270" s="291" cm="1">
        <f t="array" ref="BC270">IFERROR((IF($O270=1,0,NPV('2027 Avoided Costs'!$D$6,_xlfn._xlws.FILTER('2027 Avoided Costs'!$Y$14:$Y$47,('2027 Avoided Costs'!$B$14:$B$47&gt;=$B270+1)*('2027 Avoided Costs'!$B$14:$B$47&lt;$B270+ROUND($O270,0)))))+_xlfn.XLOOKUP($B270,'2027 Avoided Costs'!$B$13:$B$47,'2027 Avoided Costs'!$Y$13:$Y$47))*IF($AM270&lt;0,$AM270*(-1),0),0)</f>
        <v>0</v>
      </c>
      <c r="BD270" s="291" cm="1">
        <f t="array" ref="BD270">IFERROR((IF($O270=1,0,NPV('2027 Avoided Costs'!$D$6,_xlfn._xlws.FILTER('2027 Avoided Costs'!$AE$14:$AE$47,('2027 Avoided Costs'!$B$14:$B$47&gt;=$B270+1)*('2027 Avoided Costs'!$B$14:$B$47&lt;$B270+ROUND($O270,0)))))+_xlfn.XLOOKUP($B270,'2027 Avoided Costs'!$B$13:$B$47,'2027 Avoided Costs'!$AE$13:$AE$47))*IF($AO270&lt;0,$AO270*(-1),0),0)</f>
        <v>0</v>
      </c>
      <c r="BE270" s="291" cm="1">
        <f t="array" ref="BE270">IFERROR((IF($O270=1,0,NPV('2027 Avoided Costs'!$D$4,_xlfn._xlws.FILTER('2027 Avoided Costs'!$I$14:$I$47,('2027 Avoided Costs'!$B$14:$B$47&gt;=$B270+1)*('2027 Avoided Costs'!$B$14:$B$47&lt;$B270+ROUND($O270,0)))))+_xlfn.XLOOKUP($B270,'2027 Avoided Costs'!$B$13:$B$47,'2027 Avoided Costs'!$I$13:$I$47))*IF($X270="Residential",'2027 Avoided Costs'!$J$5,IF($X270="Large Volume",'2027 Avoided Costs'!$J$7,'2027 Avoided Costs'!$J$6))*IF($AE270&lt;0,$AE270*(-1),0),0)</f>
        <v>0</v>
      </c>
      <c r="BF270" s="291">
        <f t="shared" si="111"/>
        <v>13016230.64448764</v>
      </c>
      <c r="BG270" s="291">
        <f t="shared" si="112"/>
        <v>7369200</v>
      </c>
      <c r="BH270" s="291">
        <f t="shared" si="113"/>
        <v>5647030.6444876399</v>
      </c>
      <c r="BI270" s="292">
        <f t="shared" si="137"/>
        <v>1.7663017212842154</v>
      </c>
      <c r="BJ270" s="196" cm="1">
        <f t="array" ref="BJ270">IFERROR(IF($J270="Baseload",IF($O270=1,0,NPV('2027 Avoided Costs'!$D$6,_xlfn._xlws.FILTER('2027 Avoided Costs'!$C$14:$C$47,('2027 Avoided Costs'!$B$14:$B$47&gt;=$B270+1)*('2027 Avoided Costs'!$B$14:$B$47&lt;$B270+ROUND($O270,0)))))+_xlfn.XLOOKUP($B270,'2027 Avoided Costs'!$B$13:$B$47,'2027 Avoided Costs'!$C$13:$C$47),IF($O270=1,0,NPV('2027 Avoided Costs'!$D$6,_xlfn._xlws.FILTER('2027 Avoided Costs'!$E$14:$E$47,('2027 Avoided Costs'!$B$14:$B$47&gt;=$B270+1)*('2027 Avoided Costs'!$B$14:$B$47&lt;$B270+ROUND($O270,0)))))+_xlfn.XLOOKUP($B270,'2027 Avoided Costs'!$B$13:$B$47,'2027 Avoided Costs'!$E$13:$E$47))*IF($AE270&gt;0,$AE270*(1+0),0),0)</f>
        <v>9228899.2505114302</v>
      </c>
      <c r="BK270" s="293">
        <f t="shared" si="135"/>
        <v>0.77311403548464908</v>
      </c>
    </row>
    <row r="271" spans="1:63" s="56" customFormat="1" x14ac:dyDescent="0.25">
      <c r="A271" s="270" t="s">
        <v>133</v>
      </c>
      <c r="B271" s="271">
        <v>2029</v>
      </c>
      <c r="C271" s="272" t="s">
        <v>11</v>
      </c>
      <c r="D271" s="272" t="s">
        <v>161</v>
      </c>
      <c r="E271" s="272" t="s">
        <v>122</v>
      </c>
      <c r="F271" s="273">
        <v>6000</v>
      </c>
      <c r="G271" s="274">
        <v>280</v>
      </c>
      <c r="H271" s="275">
        <f t="shared" si="115"/>
        <v>1.7177914110429449</v>
      </c>
      <c r="I271" s="274">
        <v>50</v>
      </c>
      <c r="J271" s="276" t="s">
        <v>264</v>
      </c>
      <c r="K271" s="277">
        <f t="shared" si="114"/>
        <v>0.8600000000000001</v>
      </c>
      <c r="L271" s="278">
        <v>0.21</v>
      </c>
      <c r="M271" s="278">
        <v>7.0000000000000007E-2</v>
      </c>
      <c r="N271" s="278">
        <v>1</v>
      </c>
      <c r="O271" s="279">
        <v>10</v>
      </c>
      <c r="P271" s="280">
        <v>163</v>
      </c>
      <c r="Q271" s="281">
        <v>217</v>
      </c>
      <c r="R271" s="282">
        <v>9.9299200000000004E-2</v>
      </c>
      <c r="S271" s="282">
        <v>2.8118742131312473E-2</v>
      </c>
      <c r="T271" s="281">
        <v>0</v>
      </c>
      <c r="U271" s="283">
        <v>0</v>
      </c>
      <c r="V271" s="284">
        <v>305</v>
      </c>
      <c r="W271" s="285">
        <v>0.15</v>
      </c>
      <c r="X271" s="286" t="s">
        <v>11</v>
      </c>
      <c r="Y271" s="287">
        <f t="shared" si="116"/>
        <v>6000</v>
      </c>
      <c r="Z271" s="288">
        <f t="shared" si="117"/>
        <v>1680000</v>
      </c>
      <c r="AA271" s="288">
        <f t="shared" si="118"/>
        <v>300000</v>
      </c>
      <c r="AB271" s="288">
        <f t="shared" si="119"/>
        <v>1747872</v>
      </c>
      <c r="AC271" s="288">
        <f t="shared" si="136"/>
        <v>310408.75200000004</v>
      </c>
      <c r="AD271" s="287">
        <f t="shared" si="120"/>
        <v>978000</v>
      </c>
      <c r="AE271" s="287">
        <f t="shared" si="121"/>
        <v>841080.00000000012</v>
      </c>
      <c r="AF271" s="287">
        <f t="shared" si="122"/>
        <v>9780000</v>
      </c>
      <c r="AG271" s="287">
        <f t="shared" si="123"/>
        <v>8410800.0000000019</v>
      </c>
      <c r="AH271" s="287">
        <f t="shared" si="124"/>
        <v>1395744</v>
      </c>
      <c r="AI271" s="287">
        <f t="shared" si="125"/>
        <v>1200339.8400000003</v>
      </c>
      <c r="AJ271" s="287">
        <f t="shared" si="126"/>
        <v>0</v>
      </c>
      <c r="AK271" s="287">
        <f t="shared" si="127"/>
        <v>0</v>
      </c>
      <c r="AL271" s="287">
        <f t="shared" si="128"/>
        <v>638.69245440000009</v>
      </c>
      <c r="AM271" s="287">
        <f t="shared" si="129"/>
        <v>549.27551078400018</v>
      </c>
      <c r="AN271" s="287">
        <f t="shared" si="130"/>
        <v>180.85974938860184</v>
      </c>
      <c r="AO271" s="287">
        <f t="shared" si="131"/>
        <v>155.53938447419759</v>
      </c>
      <c r="AP271" s="287">
        <f t="shared" si="132"/>
        <v>1830000</v>
      </c>
      <c r="AQ271" s="287">
        <f t="shared" si="133"/>
        <v>1573800.0000000002</v>
      </c>
      <c r="AR271" s="287">
        <f t="shared" si="134"/>
        <v>0</v>
      </c>
      <c r="AS271" s="289" t="e">
        <f>IF(J271='2027 Avoided Costs'!#REF!,3,5)</f>
        <v>#REF!</v>
      </c>
      <c r="AT271" s="290" cm="1">
        <f t="array" ref="AT271">IFERROR(IF($J271="Baseload",IF($O271=1,0,NPV('2027 Avoided Costs'!$D$6,_xlfn._xlws.FILTER('2027 Avoided Costs'!$C$14:$C$47,('2027 Avoided Costs'!$B$14:$B$47&gt;=$B271+1)*('2027 Avoided Costs'!$B$14:$B$47&lt;$B271+ROUND($O271,0)))))+_xlfn.XLOOKUP($B271,'2027 Avoided Costs'!$B$13:$B$47,'2027 Avoided Costs'!$C$13:$C$47),IF($O271=1,0,NPV('2027 Avoided Costs'!$D$6,_xlfn._xlws.FILTER('2027 Avoided Costs'!$E$14:$E$47,('2027 Avoided Costs'!$B$14:$B$47&gt;=$B271+1)*('2027 Avoided Costs'!$B$14:$B$47&lt;$B271+ROUND($O271,0)))))+_xlfn.XLOOKUP($B271,'2027 Avoided Costs'!$B$13:$B$47,'2027 Avoided Costs'!$E$13:$E$47))*IF($AE271&gt;0,$AE271*(1+$W271),0),0)</f>
        <v>2565739.6629600092</v>
      </c>
      <c r="AU271" s="290" cm="1">
        <f t="array" ref="AU271">IFERROR((IF($O271=1,0,NPV('2027 Avoided Costs'!$D$6,_xlfn._xlws.FILTER('2027 Avoided Costs'!$M$14:$M$47,('2027 Avoided Costs'!$B$14:$B$47&gt;=$B271+1)*('2027 Avoided Costs'!$B$14:$B$47&lt;$B271+ROUND($O271,0)))))+_xlfn.XLOOKUP($B271,'2027 Avoided Costs'!$B$13:$B$47,'2027 Avoided Costs'!$M$13:$M$47))*IF($AK271&gt;0,$AK271*(1+$W271),0),0)</f>
        <v>0</v>
      </c>
      <c r="AV271" s="291" cm="1">
        <f t="array" ref="AV271">IFERROR((IF($O271=1,0,NPV('2027 Avoided Costs'!$D$6,_xlfn._xlws.FILTER('2027 Avoided Costs'!$Q$14:$Q$47,('2027 Avoided Costs'!$B$14:$B$47&gt;=$B271+1)*('2027 Avoided Costs'!$B$14:$B$47&lt;$B271+ROUND($O271,0)))))+_xlfn.XLOOKUP($B271,'2027 Avoided Costs'!$B$13:$B$47,'2027 Avoided Costs'!$Q$13:$Q$47))*IF($AI271&gt;0,$AI271*(1+$W271),0),0)</f>
        <v>566859.72532381036</v>
      </c>
      <c r="AW271" s="291" cm="1">
        <f t="array" ref="AW271">IFERROR((IF($O271=1,0,NPV('2027 Avoided Costs'!$D$6,_xlfn._xlws.FILTER('2027 Avoided Costs'!$W$14:$W$47,('2027 Avoided Costs'!$B$14:$B$47&gt;=$B271+1)*('2027 Avoided Costs'!$B$14:$B$47&lt;$B271+ROUND($O271,0)))))+_xlfn.XLOOKUP($B271,'2027 Avoided Costs'!$B$13:$B$47,'2027 Avoided Costs'!$W$13:$W$47))*IF($AM271&gt;0,$AM271*(1+$W271),0),0)</f>
        <v>1791080.8478207889</v>
      </c>
      <c r="AX271" s="291" cm="1">
        <f t="array" ref="AX271">IFERROR((IF($O271=1,0,NPV('2027 Avoided Costs'!$D$6,_xlfn._xlws.FILTER('2027 Avoided Costs'!$AC$14:$AC$47,('2027 Avoided Costs'!$B$14:$B$47&gt;=$B271+1)*('2027 Avoided Costs'!$B$14:$B$47&lt;$B271+ROUND($O271,0)))))+_xlfn.XLOOKUP($B271,'2027 Avoided Costs'!$B$13:$B$47,'2027 Avoided Costs'!$AC$13:$AC$47))*IF($AO271&gt;0,$AO271*(1+$W271),0),0)</f>
        <v>0</v>
      </c>
      <c r="AY271" s="291" cm="1">
        <f t="array" ref="AY271">IFERROR((IF($O271=1,0,NPV('2027 Avoided Costs'!$D$4,_xlfn._xlws.FILTER('2027 Avoided Costs'!$I$14:$I$47,('2027 Avoided Costs'!$B$14:$B$47&gt;=$B271+1)*('2027 Avoided Costs'!$B$14:$B$47&lt;$B271+ROUND($O271,0)))))+_xlfn.XLOOKUP($B271,'2027 Avoided Costs'!$B$13:$B$47,'2027 Avoided Costs'!$I$13:$I$47))*IF($X271="Residential",'2027 Avoided Costs'!$J$5,IF($X271="Large Volume",'2027 Avoided Costs'!$J$7,'2027 Avoided Costs'!$J$6))*IF($AE271&gt;0,$AE271,0),0)</f>
        <v>0</v>
      </c>
      <c r="AZ271" s="291" cm="1">
        <f t="array" ref="AZ271">IFERROR(IF($J271="Baseload",IF($O271=1,0,NPV('2027 Avoided Costs'!$D$6,_xlfn._xlws.FILTER('2027 Avoided Costs'!$C$14:$C$47,('2027 Avoided Costs'!$B$14:$B$47&gt;=$B271+1)*('2027 Avoided Costs'!$B$14:$B$47&lt;$B271+ROUND($O271,0)))))+_xlfn.XLOOKUP($B271,'2027 Avoided Costs'!$B$13:$B$47,'2027 Avoided Costs'!$C$13:$C$47),IF($O271=1,0,NPV('2027 Avoided Costs'!$D$6,_xlfn._xlws.FILTER('2027 Avoided Costs'!$E$14:$E$47,('2027 Avoided Costs'!$B$14:$B$47&gt;=$B271+1)*('2027 Avoided Costs'!$B$14:$B$47&lt;$B271+ROUND($O271,0)))))+_xlfn.XLOOKUP($B271,'2027 Avoided Costs'!$B$13:$B$47,'2027 Avoided Costs'!$E$13:$E$47))*IF($AE271&lt;0,$AE271*(-1),0),0)</f>
        <v>0</v>
      </c>
      <c r="BA271" s="291" cm="1">
        <f t="array" ref="BA271">IFERROR((IF($O271=1,0,NPV('2027 Avoided Costs'!$D$6,_xlfn._xlws.FILTER('2027 Avoided Costs'!$M$14:$M$47,('2027 Avoided Costs'!$B$14:$B$47&gt;=$B271+1)*('2027 Avoided Costs'!$B$14:$B$47&lt;$B271+ROUND($O271,0)))))+_xlfn.XLOOKUP($B271,'2027 Avoided Costs'!$B$13:$B$47,'2027 Avoided Costs'!$M$13:$M$47))*IF($AK271&lt;0,$AK271*(-1),0),0)</f>
        <v>0</v>
      </c>
      <c r="BB271" s="291" cm="1">
        <f t="array" ref="BB271">IFERROR((IF($O271=1,0,NPV('2027 Avoided Costs'!$D$6,_xlfn._xlws.FILTER('2027 Avoided Costs'!$S$14:$S$47,('2027 Avoided Costs'!$B$14:$B$47&gt;=$B271+1)*('2027 Avoided Costs'!$B$14:$B$47&lt;$B271+ROUND($O271,0)))))+_xlfn.XLOOKUP($B271,'2027 Avoided Costs'!$B$13:$B$47,'2027 Avoided Costs'!$S$13:$S$47))*IF($AI271&lt;0,$AI271*(-1),0),0)</f>
        <v>0</v>
      </c>
      <c r="BC271" s="291" cm="1">
        <f t="array" ref="BC271">IFERROR((IF($O271=1,0,NPV('2027 Avoided Costs'!$D$6,_xlfn._xlws.FILTER('2027 Avoided Costs'!$Y$14:$Y$47,('2027 Avoided Costs'!$B$14:$B$47&gt;=$B271+1)*('2027 Avoided Costs'!$B$14:$B$47&lt;$B271+ROUND($O271,0)))))+_xlfn.XLOOKUP($B271,'2027 Avoided Costs'!$B$13:$B$47,'2027 Avoided Costs'!$Y$13:$Y$47))*IF($AM271&lt;0,$AM271*(-1),0),0)</f>
        <v>0</v>
      </c>
      <c r="BD271" s="291" cm="1">
        <f t="array" ref="BD271">IFERROR((IF($O271=1,0,NPV('2027 Avoided Costs'!$D$6,_xlfn._xlws.FILTER('2027 Avoided Costs'!$AE$14:$AE$47,('2027 Avoided Costs'!$B$14:$B$47&gt;=$B271+1)*('2027 Avoided Costs'!$B$14:$B$47&lt;$B271+ROUND($O271,0)))))+_xlfn.XLOOKUP($B271,'2027 Avoided Costs'!$B$13:$B$47,'2027 Avoided Costs'!$AE$13:$AE$47))*IF($AO271&lt;0,$AO271*(-1),0),0)</f>
        <v>0</v>
      </c>
      <c r="BE271" s="291" cm="1">
        <f t="array" ref="BE271">IFERROR((IF($O271=1,0,NPV('2027 Avoided Costs'!$D$4,_xlfn._xlws.FILTER('2027 Avoided Costs'!$I$14:$I$47,('2027 Avoided Costs'!$B$14:$B$47&gt;=$B271+1)*('2027 Avoided Costs'!$B$14:$B$47&lt;$B271+ROUND($O271,0)))))+_xlfn.XLOOKUP($B271,'2027 Avoided Costs'!$B$13:$B$47,'2027 Avoided Costs'!$I$13:$I$47))*IF($X271="Residential",'2027 Avoided Costs'!$J$5,IF($X271="Large Volume",'2027 Avoided Costs'!$J$7,'2027 Avoided Costs'!$J$6))*IF($AE271&lt;0,$AE271*(-1),0),0)</f>
        <v>0</v>
      </c>
      <c r="BF271" s="291">
        <f t="shared" si="111"/>
        <v>4923680.2361046085</v>
      </c>
      <c r="BG271" s="291">
        <f t="shared" si="112"/>
        <v>1573800.0000000002</v>
      </c>
      <c r="BH271" s="291">
        <f t="shared" si="113"/>
        <v>3349880.2361046085</v>
      </c>
      <c r="BI271" s="292">
        <f t="shared" si="137"/>
        <v>3.1285298234239471</v>
      </c>
      <c r="BJ271" s="196" cm="1">
        <f t="array" ref="BJ271">IFERROR(IF($J271="Baseload",IF($O271=1,0,NPV('2027 Avoided Costs'!$D$6,_xlfn._xlws.FILTER('2027 Avoided Costs'!$C$14:$C$47,('2027 Avoided Costs'!$B$14:$B$47&gt;=$B271+1)*('2027 Avoided Costs'!$B$14:$B$47&lt;$B271+ROUND($O271,0)))))+_xlfn.XLOOKUP($B271,'2027 Avoided Costs'!$B$13:$B$47,'2027 Avoided Costs'!$C$13:$C$47),IF($O271=1,0,NPV('2027 Avoided Costs'!$D$6,_xlfn._xlws.FILTER('2027 Avoided Costs'!$E$14:$E$47,('2027 Avoided Costs'!$B$14:$B$47&gt;=$B271+1)*('2027 Avoided Costs'!$B$14:$B$47&lt;$B271+ROUND($O271,0)))))+_xlfn.XLOOKUP($B271,'2027 Avoided Costs'!$B$13:$B$47,'2027 Avoided Costs'!$E$13:$E$47))*IF($AE271&gt;0,$AE271*(1+0),0),0)</f>
        <v>2231077.9677913124</v>
      </c>
      <c r="BK271" s="293">
        <f t="shared" si="135"/>
        <v>1.083952208960516</v>
      </c>
    </row>
    <row r="272" spans="1:63" s="56" customFormat="1" x14ac:dyDescent="0.25">
      <c r="A272" s="270" t="s">
        <v>133</v>
      </c>
      <c r="B272" s="271">
        <v>2030</v>
      </c>
      <c r="C272" s="272" t="s">
        <v>11</v>
      </c>
      <c r="D272" s="272" t="s">
        <v>161</v>
      </c>
      <c r="E272" s="272" t="s">
        <v>121</v>
      </c>
      <c r="F272" s="273">
        <v>5000</v>
      </c>
      <c r="G272" s="274">
        <v>2500</v>
      </c>
      <c r="H272" s="275">
        <f t="shared" si="115"/>
        <v>6.666666666666667</v>
      </c>
      <c r="I272" s="274">
        <v>50</v>
      </c>
      <c r="J272" s="276" t="s">
        <v>264</v>
      </c>
      <c r="K272" s="277">
        <f t="shared" si="114"/>
        <v>0.89</v>
      </c>
      <c r="L272" s="278">
        <v>0.11</v>
      </c>
      <c r="M272" s="278">
        <v>0</v>
      </c>
      <c r="N272" s="278">
        <v>1</v>
      </c>
      <c r="O272" s="279">
        <v>30</v>
      </c>
      <c r="P272" s="280">
        <v>375</v>
      </c>
      <c r="Q272" s="281">
        <v>101.2</v>
      </c>
      <c r="R272" s="282">
        <v>6.4526240089541359E-2</v>
      </c>
      <c r="S272" s="282">
        <v>6.0766210045660081E-3</v>
      </c>
      <c r="T272" s="281">
        <v>0</v>
      </c>
      <c r="U272" s="283">
        <v>0</v>
      </c>
      <c r="V272" s="284">
        <v>1840</v>
      </c>
      <c r="W272" s="285">
        <v>0.15</v>
      </c>
      <c r="X272" s="286" t="s">
        <v>11</v>
      </c>
      <c r="Y272" s="287">
        <f t="shared" si="116"/>
        <v>5000</v>
      </c>
      <c r="Z272" s="288">
        <f t="shared" si="117"/>
        <v>12500000</v>
      </c>
      <c r="AA272" s="288">
        <f t="shared" si="118"/>
        <v>250000</v>
      </c>
      <c r="AB272" s="288">
        <f t="shared" si="119"/>
        <v>13265100</v>
      </c>
      <c r="AC272" s="288">
        <f t="shared" si="136"/>
        <v>263123.15211200004</v>
      </c>
      <c r="AD272" s="287">
        <f t="shared" si="120"/>
        <v>1875000</v>
      </c>
      <c r="AE272" s="287">
        <f t="shared" si="121"/>
        <v>1668750</v>
      </c>
      <c r="AF272" s="287">
        <f t="shared" si="122"/>
        <v>56250000</v>
      </c>
      <c r="AG272" s="287">
        <f t="shared" si="123"/>
        <v>50062500</v>
      </c>
      <c r="AH272" s="287">
        <f t="shared" si="124"/>
        <v>542432</v>
      </c>
      <c r="AI272" s="287">
        <f t="shared" si="125"/>
        <v>482764.48000000004</v>
      </c>
      <c r="AJ272" s="287">
        <f t="shared" si="126"/>
        <v>0</v>
      </c>
      <c r="AK272" s="287">
        <f t="shared" si="127"/>
        <v>0</v>
      </c>
      <c r="AL272" s="287">
        <f t="shared" si="128"/>
        <v>345.86064687994173</v>
      </c>
      <c r="AM272" s="287">
        <f t="shared" si="129"/>
        <v>307.81597572314814</v>
      </c>
      <c r="AN272" s="287">
        <f t="shared" si="130"/>
        <v>32.570688584473807</v>
      </c>
      <c r="AO272" s="287">
        <f t="shared" si="131"/>
        <v>28.987912840181686</v>
      </c>
      <c r="AP272" s="287">
        <f t="shared" si="132"/>
        <v>9200000</v>
      </c>
      <c r="AQ272" s="287">
        <f t="shared" si="133"/>
        <v>8188000</v>
      </c>
      <c r="AR272" s="287">
        <f t="shared" si="134"/>
        <v>0</v>
      </c>
      <c r="AS272" s="289" t="e">
        <f>IF(J272='2027 Avoided Costs'!#REF!,3,5)</f>
        <v>#REF!</v>
      </c>
      <c r="AT272" s="290" cm="1">
        <f t="array" ref="AT272">IFERROR(IF($J272="Baseload",IF($O272=1,0,NPV('2027 Avoided Costs'!$D$6,_xlfn._xlws.FILTER('2027 Avoided Costs'!$C$14:$C$47,('2027 Avoided Costs'!$B$14:$B$47&gt;=$B272+1)*('2027 Avoided Costs'!$B$14:$B$47&lt;$B272+ROUND($O272,0)))))+_xlfn.XLOOKUP($B272,'2027 Avoided Costs'!$B$13:$B$47,'2027 Avoided Costs'!$C$13:$C$47),IF($O272=1,0,NPV('2027 Avoided Costs'!$D$6,_xlfn._xlws.FILTER('2027 Avoided Costs'!$E$14:$E$47,('2027 Avoided Costs'!$B$14:$B$47&gt;=$B272+1)*('2027 Avoided Costs'!$B$14:$B$47&lt;$B272+ROUND($O272,0)))))+_xlfn.XLOOKUP($B272,'2027 Avoided Costs'!$B$13:$B$47,'2027 Avoided Costs'!$E$13:$E$47))*IF($AE272&gt;0,$AE272*(1+$W272),0),0)</f>
        <v>12158332.664899547</v>
      </c>
      <c r="AU272" s="290" cm="1">
        <f t="array" ref="AU272">IFERROR((IF($O272=1,0,NPV('2027 Avoided Costs'!$D$6,_xlfn._xlws.FILTER('2027 Avoided Costs'!$M$14:$M$47,('2027 Avoided Costs'!$B$14:$B$47&gt;=$B272+1)*('2027 Avoided Costs'!$B$14:$B$47&lt;$B272+ROUND($O272,0)))))+_xlfn.XLOOKUP($B272,'2027 Avoided Costs'!$B$13:$B$47,'2027 Avoided Costs'!$M$13:$M$47))*IF($AK272&gt;0,$AK272*(1+$W272),0),0)</f>
        <v>0</v>
      </c>
      <c r="AV272" s="291" cm="1">
        <f t="array" ref="AV272">IFERROR((IF($O272=1,0,NPV('2027 Avoided Costs'!$D$6,_xlfn._xlws.FILTER('2027 Avoided Costs'!$Q$14:$Q$47,('2027 Avoided Costs'!$B$14:$B$47&gt;=$B272+1)*('2027 Avoided Costs'!$B$14:$B$47&lt;$B272+ROUND($O272,0)))))+_xlfn.XLOOKUP($B272,'2027 Avoided Costs'!$B$13:$B$47,'2027 Avoided Costs'!$Q$13:$Q$47))*IF($AI272&gt;0,$AI272*(1+$W272),0),0)</f>
        <v>412066.0001880143</v>
      </c>
      <c r="AW272" s="291" cm="1">
        <f t="array" ref="AW272">IFERROR((IF($O272=1,0,NPV('2027 Avoided Costs'!$D$6,_xlfn._xlws.FILTER('2027 Avoided Costs'!$W$14:$W$47,('2027 Avoided Costs'!$B$14:$B$47&gt;=$B272+1)*('2027 Avoided Costs'!$B$14:$B$47&lt;$B272+ROUND($O272,0)))))+_xlfn.XLOOKUP($B272,'2027 Avoided Costs'!$B$13:$B$47,'2027 Avoided Costs'!$W$13:$W$47))*IF($AM272&gt;0,$AM272*(1+$W272),0),0)</f>
        <v>2314915.3531583659</v>
      </c>
      <c r="AX272" s="291" cm="1">
        <f t="array" ref="AX272">IFERROR((IF($O272=1,0,NPV('2027 Avoided Costs'!$D$6,_xlfn._xlws.FILTER('2027 Avoided Costs'!$AC$14:$AC$47,('2027 Avoided Costs'!$B$14:$B$47&gt;=$B272+1)*('2027 Avoided Costs'!$B$14:$B$47&lt;$B272+ROUND($O272,0)))))+_xlfn.XLOOKUP($B272,'2027 Avoided Costs'!$B$13:$B$47,'2027 Avoided Costs'!$AC$13:$AC$47))*IF($AO272&gt;0,$AO272*(1+$W272),0),0)</f>
        <v>24360.836954843213</v>
      </c>
      <c r="AY272" s="291" cm="1">
        <f t="array" ref="AY272">IFERROR((IF($O272=1,0,NPV('2027 Avoided Costs'!$D$4,_xlfn._xlws.FILTER('2027 Avoided Costs'!$I$14:$I$47,('2027 Avoided Costs'!$B$14:$B$47&gt;=$B272+1)*('2027 Avoided Costs'!$B$14:$B$47&lt;$B272+ROUND($O272,0)))))+_xlfn.XLOOKUP($B272,'2027 Avoided Costs'!$B$13:$B$47,'2027 Avoided Costs'!$I$13:$I$47))*IF($X272="Residential",'2027 Avoided Costs'!$J$5,IF($X272="Large Volume",'2027 Avoided Costs'!$J$7,'2027 Avoided Costs'!$J$6))*IF($AE272&gt;0,$AE272,0),0)</f>
        <v>0</v>
      </c>
      <c r="AZ272" s="291" cm="1">
        <f t="array" ref="AZ272">IFERROR(IF($J272="Baseload",IF($O272=1,0,NPV('2027 Avoided Costs'!$D$6,_xlfn._xlws.FILTER('2027 Avoided Costs'!$C$14:$C$47,('2027 Avoided Costs'!$B$14:$B$47&gt;=$B272+1)*('2027 Avoided Costs'!$B$14:$B$47&lt;$B272+ROUND($O272,0)))))+_xlfn.XLOOKUP($B272,'2027 Avoided Costs'!$B$13:$B$47,'2027 Avoided Costs'!$C$13:$C$47),IF($O272=1,0,NPV('2027 Avoided Costs'!$D$6,_xlfn._xlws.FILTER('2027 Avoided Costs'!$E$14:$E$47,('2027 Avoided Costs'!$B$14:$B$47&gt;=$B272+1)*('2027 Avoided Costs'!$B$14:$B$47&lt;$B272+ROUND($O272,0)))))+_xlfn.XLOOKUP($B272,'2027 Avoided Costs'!$B$13:$B$47,'2027 Avoided Costs'!$E$13:$E$47))*IF($AE272&lt;0,$AE272*(-1),0),0)</f>
        <v>0</v>
      </c>
      <c r="BA272" s="291" cm="1">
        <f t="array" ref="BA272">IFERROR((IF($O272=1,0,NPV('2027 Avoided Costs'!$D$6,_xlfn._xlws.FILTER('2027 Avoided Costs'!$M$14:$M$47,('2027 Avoided Costs'!$B$14:$B$47&gt;=$B272+1)*('2027 Avoided Costs'!$B$14:$B$47&lt;$B272+ROUND($O272,0)))))+_xlfn.XLOOKUP($B272,'2027 Avoided Costs'!$B$13:$B$47,'2027 Avoided Costs'!$M$13:$M$47))*IF($AK272&lt;0,$AK272*(-1),0),0)</f>
        <v>0</v>
      </c>
      <c r="BB272" s="291" cm="1">
        <f t="array" ref="BB272">IFERROR((IF($O272=1,0,NPV('2027 Avoided Costs'!$D$6,_xlfn._xlws.FILTER('2027 Avoided Costs'!$S$14:$S$47,('2027 Avoided Costs'!$B$14:$B$47&gt;=$B272+1)*('2027 Avoided Costs'!$B$14:$B$47&lt;$B272+ROUND($O272,0)))))+_xlfn.XLOOKUP($B272,'2027 Avoided Costs'!$B$13:$B$47,'2027 Avoided Costs'!$S$13:$S$47))*IF($AI272&lt;0,$AI272*(-1),0),0)</f>
        <v>0</v>
      </c>
      <c r="BC272" s="291" cm="1">
        <f t="array" ref="BC272">IFERROR((IF($O272=1,0,NPV('2027 Avoided Costs'!$D$6,_xlfn._xlws.FILTER('2027 Avoided Costs'!$Y$14:$Y$47,('2027 Avoided Costs'!$B$14:$B$47&gt;=$B272+1)*('2027 Avoided Costs'!$B$14:$B$47&lt;$B272+ROUND($O272,0)))))+_xlfn.XLOOKUP($B272,'2027 Avoided Costs'!$B$13:$B$47,'2027 Avoided Costs'!$Y$13:$Y$47))*IF($AM272&lt;0,$AM272*(-1),0),0)</f>
        <v>0</v>
      </c>
      <c r="BD272" s="291" cm="1">
        <f t="array" ref="BD272">IFERROR((IF($O272=1,0,NPV('2027 Avoided Costs'!$D$6,_xlfn._xlws.FILTER('2027 Avoided Costs'!$AE$14:$AE$47,('2027 Avoided Costs'!$B$14:$B$47&gt;=$B272+1)*('2027 Avoided Costs'!$B$14:$B$47&lt;$B272+ROUND($O272,0)))))+_xlfn.XLOOKUP($B272,'2027 Avoided Costs'!$B$13:$B$47,'2027 Avoided Costs'!$AE$13:$AE$47))*IF($AO272&lt;0,$AO272*(-1),0),0)</f>
        <v>0</v>
      </c>
      <c r="BE272" s="291" cm="1">
        <f t="array" ref="BE272">IFERROR((IF($O272=1,0,NPV('2027 Avoided Costs'!$D$4,_xlfn._xlws.FILTER('2027 Avoided Costs'!$I$14:$I$47,('2027 Avoided Costs'!$B$14:$B$47&gt;=$B272+1)*('2027 Avoided Costs'!$B$14:$B$47&lt;$B272+ROUND($O272,0)))))+_xlfn.XLOOKUP($B272,'2027 Avoided Costs'!$B$13:$B$47,'2027 Avoided Costs'!$I$13:$I$47))*IF($X272="Residential",'2027 Avoided Costs'!$J$5,IF($X272="Large Volume",'2027 Avoided Costs'!$J$7,'2027 Avoided Costs'!$J$6))*IF($AE272&lt;0,$AE272*(-1),0),0)</f>
        <v>0</v>
      </c>
      <c r="BF272" s="291">
        <f t="shared" si="111"/>
        <v>14909674.855200769</v>
      </c>
      <c r="BG272" s="291">
        <f t="shared" si="112"/>
        <v>8188000</v>
      </c>
      <c r="BH272" s="291">
        <f t="shared" si="113"/>
        <v>6721674.8552007694</v>
      </c>
      <c r="BI272" s="292">
        <f t="shared" si="137"/>
        <v>1.8209177888618429</v>
      </c>
      <c r="BJ272" s="196" cm="1">
        <f t="array" ref="BJ272">IFERROR(IF($J272="Baseload",IF($O272=1,0,NPV('2027 Avoided Costs'!$D$6,_xlfn._xlws.FILTER('2027 Avoided Costs'!$C$14:$C$47,('2027 Avoided Costs'!$B$14:$B$47&gt;=$B272+1)*('2027 Avoided Costs'!$B$14:$B$47&lt;$B272+ROUND($O272,0)))))+_xlfn.XLOOKUP($B272,'2027 Avoided Costs'!$B$13:$B$47,'2027 Avoided Costs'!$C$13:$C$47),IF($O272=1,0,NPV('2027 Avoided Costs'!$D$6,_xlfn._xlws.FILTER('2027 Avoided Costs'!$E$14:$E$47,('2027 Avoided Costs'!$B$14:$B$47&gt;=$B272+1)*('2027 Avoided Costs'!$B$14:$B$47&lt;$B272+ROUND($O272,0)))))+_xlfn.XLOOKUP($B272,'2027 Avoided Costs'!$B$13:$B$47,'2027 Avoided Costs'!$E$13:$E$47))*IF($AE272&gt;0,$AE272*(1+0),0),0)</f>
        <v>10572463.186869172</v>
      </c>
      <c r="BK272" s="293">
        <f t="shared" si="135"/>
        <v>0.78151159010254945</v>
      </c>
    </row>
    <row r="273" spans="1:63" s="56" customFormat="1" x14ac:dyDescent="0.25">
      <c r="A273" s="270" t="s">
        <v>133</v>
      </c>
      <c r="B273" s="271">
        <v>2030</v>
      </c>
      <c r="C273" s="272" t="s">
        <v>11</v>
      </c>
      <c r="D273" s="272" t="s">
        <v>161</v>
      </c>
      <c r="E273" s="272" t="s">
        <v>122</v>
      </c>
      <c r="F273" s="273">
        <v>6500</v>
      </c>
      <c r="G273" s="274">
        <v>280</v>
      </c>
      <c r="H273" s="275">
        <f t="shared" si="115"/>
        <v>1.7177914110429449</v>
      </c>
      <c r="I273" s="274">
        <v>50</v>
      </c>
      <c r="J273" s="276" t="s">
        <v>264</v>
      </c>
      <c r="K273" s="277">
        <f t="shared" si="114"/>
        <v>0.8600000000000001</v>
      </c>
      <c r="L273" s="278">
        <v>0.21</v>
      </c>
      <c r="M273" s="278">
        <v>7.0000000000000007E-2</v>
      </c>
      <c r="N273" s="278">
        <v>1</v>
      </c>
      <c r="O273" s="279">
        <v>10</v>
      </c>
      <c r="P273" s="280">
        <v>163</v>
      </c>
      <c r="Q273" s="281">
        <v>217</v>
      </c>
      <c r="R273" s="282">
        <v>9.9299200000000004E-2</v>
      </c>
      <c r="S273" s="282">
        <v>2.8118742131312473E-2</v>
      </c>
      <c r="T273" s="281">
        <v>0</v>
      </c>
      <c r="U273" s="283">
        <v>0</v>
      </c>
      <c r="V273" s="284">
        <v>305</v>
      </c>
      <c r="W273" s="285">
        <v>0.15</v>
      </c>
      <c r="X273" s="286" t="s">
        <v>11</v>
      </c>
      <c r="Y273" s="287">
        <f t="shared" si="116"/>
        <v>6500</v>
      </c>
      <c r="Z273" s="288">
        <f t="shared" si="117"/>
        <v>1820000</v>
      </c>
      <c r="AA273" s="288">
        <f t="shared" si="118"/>
        <v>325000</v>
      </c>
      <c r="AB273" s="288">
        <f t="shared" si="119"/>
        <v>1931398.5599999998</v>
      </c>
      <c r="AC273" s="288">
        <f t="shared" si="136"/>
        <v>342060.09774560004</v>
      </c>
      <c r="AD273" s="287">
        <f t="shared" si="120"/>
        <v>1059500</v>
      </c>
      <c r="AE273" s="287">
        <f t="shared" si="121"/>
        <v>911170.00000000012</v>
      </c>
      <c r="AF273" s="287">
        <f t="shared" si="122"/>
        <v>10595000</v>
      </c>
      <c r="AG273" s="287">
        <f t="shared" si="123"/>
        <v>9111700.0000000019</v>
      </c>
      <c r="AH273" s="287">
        <f t="shared" si="124"/>
        <v>1512056</v>
      </c>
      <c r="AI273" s="287">
        <f t="shared" si="125"/>
        <v>1300368.1600000004</v>
      </c>
      <c r="AJ273" s="287">
        <f t="shared" si="126"/>
        <v>0</v>
      </c>
      <c r="AK273" s="287">
        <f t="shared" si="127"/>
        <v>0</v>
      </c>
      <c r="AL273" s="287">
        <f t="shared" si="128"/>
        <v>691.91682560000004</v>
      </c>
      <c r="AM273" s="287">
        <f t="shared" si="129"/>
        <v>595.04847001600024</v>
      </c>
      <c r="AN273" s="287">
        <f t="shared" si="130"/>
        <v>195.93139517098533</v>
      </c>
      <c r="AO273" s="287">
        <f t="shared" si="131"/>
        <v>168.50099984704741</v>
      </c>
      <c r="AP273" s="287">
        <f t="shared" si="132"/>
        <v>1982500</v>
      </c>
      <c r="AQ273" s="287">
        <f t="shared" si="133"/>
        <v>1704950.0000000002</v>
      </c>
      <c r="AR273" s="287">
        <f t="shared" si="134"/>
        <v>0</v>
      </c>
      <c r="AS273" s="289" t="e">
        <f>IF(J273='2027 Avoided Costs'!#REF!,3,5)</f>
        <v>#REF!</v>
      </c>
      <c r="AT273" s="290" cm="1">
        <f t="array" ref="AT273">IFERROR(IF($J273="Baseload",IF($O273=1,0,NPV('2027 Avoided Costs'!$D$6,_xlfn._xlws.FILTER('2027 Avoided Costs'!$C$14:$C$47,('2027 Avoided Costs'!$B$14:$B$47&gt;=$B273+1)*('2027 Avoided Costs'!$B$14:$B$47&lt;$B273+ROUND($O273,0)))))+_xlfn.XLOOKUP($B273,'2027 Avoided Costs'!$B$13:$B$47,'2027 Avoided Costs'!$C$13:$C$47),IF($O273=1,0,NPV('2027 Avoided Costs'!$D$6,_xlfn._xlws.FILTER('2027 Avoided Costs'!$E$14:$E$47,('2027 Avoided Costs'!$B$14:$B$47&gt;=$B273+1)*('2027 Avoided Costs'!$B$14:$B$47&lt;$B273+ROUND($O273,0)))))+_xlfn.XLOOKUP($B273,'2027 Avoided Costs'!$B$13:$B$47,'2027 Avoided Costs'!$E$13:$E$47))*IF($AE273&gt;0,$AE273*(1+$W273),0),0)</f>
        <v>2863971.983641583</v>
      </c>
      <c r="AU273" s="290" cm="1">
        <f t="array" ref="AU273">IFERROR((IF($O273=1,0,NPV('2027 Avoided Costs'!$D$6,_xlfn._xlws.FILTER('2027 Avoided Costs'!$M$14:$M$47,('2027 Avoided Costs'!$B$14:$B$47&gt;=$B273+1)*('2027 Avoided Costs'!$B$14:$B$47&lt;$B273+ROUND($O273,0)))))+_xlfn.XLOOKUP($B273,'2027 Avoided Costs'!$B$13:$B$47,'2027 Avoided Costs'!$M$13:$M$47))*IF($AK273&gt;0,$AK273*(1+$W273),0),0)</f>
        <v>0</v>
      </c>
      <c r="AV273" s="291" cm="1">
        <f t="array" ref="AV273">IFERROR((IF($O273=1,0,NPV('2027 Avoided Costs'!$D$6,_xlfn._xlws.FILTER('2027 Avoided Costs'!$Q$14:$Q$47,('2027 Avoided Costs'!$B$14:$B$47&gt;=$B273+1)*('2027 Avoided Costs'!$B$14:$B$47&lt;$B273+ROUND($O273,0)))))+_xlfn.XLOOKUP($B273,'2027 Avoided Costs'!$B$13:$B$47,'2027 Avoided Costs'!$Q$13:$Q$47))*IF($AI273&gt;0,$AI273*(1+$W273),0),0)</f>
        <v>588655.83283675858</v>
      </c>
      <c r="AW273" s="291" cm="1">
        <f t="array" ref="AW273">IFERROR((IF($O273=1,0,NPV('2027 Avoided Costs'!$D$6,_xlfn._xlws.FILTER('2027 Avoided Costs'!$W$14:$W$47,('2027 Avoided Costs'!$B$14:$B$47&gt;=$B273+1)*('2027 Avoided Costs'!$B$14:$B$47&lt;$B273+ROUND($O273,0)))))+_xlfn.XLOOKUP($B273,'2027 Avoided Costs'!$B$13:$B$47,'2027 Avoided Costs'!$W$13:$W$47))*IF($AM273&gt;0,$AM273*(1+$W273),0),0)</f>
        <v>1867055.6365381267</v>
      </c>
      <c r="AX273" s="291" cm="1">
        <f t="array" ref="AX273">IFERROR((IF($O273=1,0,NPV('2027 Avoided Costs'!$D$6,_xlfn._xlws.FILTER('2027 Avoided Costs'!$AC$14:$AC$47,('2027 Avoided Costs'!$B$14:$B$47&gt;=$B273+1)*('2027 Avoided Costs'!$B$14:$B$47&lt;$B273+ROUND($O273,0)))))+_xlfn.XLOOKUP($B273,'2027 Avoided Costs'!$B$13:$B$47,'2027 Avoided Costs'!$AC$13:$AC$47))*IF($AO273&gt;0,$AO273*(1+$W273),0),0)</f>
        <v>49113.307720210745</v>
      </c>
      <c r="AY273" s="291" cm="1">
        <f t="array" ref="AY273">IFERROR((IF($O273=1,0,NPV('2027 Avoided Costs'!$D$4,_xlfn._xlws.FILTER('2027 Avoided Costs'!$I$14:$I$47,('2027 Avoided Costs'!$B$14:$B$47&gt;=$B273+1)*('2027 Avoided Costs'!$B$14:$B$47&lt;$B273+ROUND($O273,0)))))+_xlfn.XLOOKUP($B273,'2027 Avoided Costs'!$B$13:$B$47,'2027 Avoided Costs'!$I$13:$I$47))*IF($X273="Residential",'2027 Avoided Costs'!$J$5,IF($X273="Large Volume",'2027 Avoided Costs'!$J$7,'2027 Avoided Costs'!$J$6))*IF($AE273&gt;0,$AE273,0),0)</f>
        <v>0</v>
      </c>
      <c r="AZ273" s="291" cm="1">
        <f t="array" ref="AZ273">IFERROR(IF($J273="Baseload",IF($O273=1,0,NPV('2027 Avoided Costs'!$D$6,_xlfn._xlws.FILTER('2027 Avoided Costs'!$C$14:$C$47,('2027 Avoided Costs'!$B$14:$B$47&gt;=$B273+1)*('2027 Avoided Costs'!$B$14:$B$47&lt;$B273+ROUND($O273,0)))))+_xlfn.XLOOKUP($B273,'2027 Avoided Costs'!$B$13:$B$47,'2027 Avoided Costs'!$C$13:$C$47),IF($O273=1,0,NPV('2027 Avoided Costs'!$D$6,_xlfn._xlws.FILTER('2027 Avoided Costs'!$E$14:$E$47,('2027 Avoided Costs'!$B$14:$B$47&gt;=$B273+1)*('2027 Avoided Costs'!$B$14:$B$47&lt;$B273+ROUND($O273,0)))))+_xlfn.XLOOKUP($B273,'2027 Avoided Costs'!$B$13:$B$47,'2027 Avoided Costs'!$E$13:$E$47))*IF($AE273&lt;0,$AE273*(-1),0),0)</f>
        <v>0</v>
      </c>
      <c r="BA273" s="291" cm="1">
        <f t="array" ref="BA273">IFERROR((IF($O273=1,0,NPV('2027 Avoided Costs'!$D$6,_xlfn._xlws.FILTER('2027 Avoided Costs'!$M$14:$M$47,('2027 Avoided Costs'!$B$14:$B$47&gt;=$B273+1)*('2027 Avoided Costs'!$B$14:$B$47&lt;$B273+ROUND($O273,0)))))+_xlfn.XLOOKUP($B273,'2027 Avoided Costs'!$B$13:$B$47,'2027 Avoided Costs'!$M$13:$M$47))*IF($AK273&lt;0,$AK273*(-1),0),0)</f>
        <v>0</v>
      </c>
      <c r="BB273" s="291" cm="1">
        <f t="array" ref="BB273">IFERROR((IF($O273=1,0,NPV('2027 Avoided Costs'!$D$6,_xlfn._xlws.FILTER('2027 Avoided Costs'!$S$14:$S$47,('2027 Avoided Costs'!$B$14:$B$47&gt;=$B273+1)*('2027 Avoided Costs'!$B$14:$B$47&lt;$B273+ROUND($O273,0)))))+_xlfn.XLOOKUP($B273,'2027 Avoided Costs'!$B$13:$B$47,'2027 Avoided Costs'!$S$13:$S$47))*IF($AI273&lt;0,$AI273*(-1),0),0)</f>
        <v>0</v>
      </c>
      <c r="BC273" s="291" cm="1">
        <f t="array" ref="BC273">IFERROR((IF($O273=1,0,NPV('2027 Avoided Costs'!$D$6,_xlfn._xlws.FILTER('2027 Avoided Costs'!$Y$14:$Y$47,('2027 Avoided Costs'!$B$14:$B$47&gt;=$B273+1)*('2027 Avoided Costs'!$B$14:$B$47&lt;$B273+ROUND($O273,0)))))+_xlfn.XLOOKUP($B273,'2027 Avoided Costs'!$B$13:$B$47,'2027 Avoided Costs'!$Y$13:$Y$47))*IF($AM273&lt;0,$AM273*(-1),0),0)</f>
        <v>0</v>
      </c>
      <c r="BD273" s="291" cm="1">
        <f t="array" ref="BD273">IFERROR((IF($O273=1,0,NPV('2027 Avoided Costs'!$D$6,_xlfn._xlws.FILTER('2027 Avoided Costs'!$AE$14:$AE$47,('2027 Avoided Costs'!$B$14:$B$47&gt;=$B273+1)*('2027 Avoided Costs'!$B$14:$B$47&lt;$B273+ROUND($O273,0)))))+_xlfn.XLOOKUP($B273,'2027 Avoided Costs'!$B$13:$B$47,'2027 Avoided Costs'!$AE$13:$AE$47))*IF($AO273&lt;0,$AO273*(-1),0),0)</f>
        <v>0</v>
      </c>
      <c r="BE273" s="291" cm="1">
        <f t="array" ref="BE273">IFERROR((IF($O273=1,0,NPV('2027 Avoided Costs'!$D$4,_xlfn._xlws.FILTER('2027 Avoided Costs'!$I$14:$I$47,('2027 Avoided Costs'!$B$14:$B$47&gt;=$B273+1)*('2027 Avoided Costs'!$B$14:$B$47&lt;$B273+ROUND($O273,0)))))+_xlfn.XLOOKUP($B273,'2027 Avoided Costs'!$B$13:$B$47,'2027 Avoided Costs'!$I$13:$I$47))*IF($X273="Residential",'2027 Avoided Costs'!$J$5,IF($X273="Large Volume",'2027 Avoided Costs'!$J$7,'2027 Avoided Costs'!$J$6))*IF($AE273&lt;0,$AE273*(-1),0),0)</f>
        <v>0</v>
      </c>
      <c r="BF273" s="291">
        <f t="shared" si="111"/>
        <v>5368796.7607366787</v>
      </c>
      <c r="BG273" s="291">
        <f t="shared" si="112"/>
        <v>1704950.0000000002</v>
      </c>
      <c r="BH273" s="291">
        <f t="shared" si="113"/>
        <v>3663846.7607366787</v>
      </c>
      <c r="BI273" s="292">
        <f t="shared" si="137"/>
        <v>3.1489467496036117</v>
      </c>
      <c r="BJ273" s="196" cm="1">
        <f t="array" ref="BJ273">IFERROR(IF($J273="Baseload",IF($O273=1,0,NPV('2027 Avoided Costs'!$D$6,_xlfn._xlws.FILTER('2027 Avoided Costs'!$C$14:$C$47,('2027 Avoided Costs'!$B$14:$B$47&gt;=$B273+1)*('2027 Avoided Costs'!$B$14:$B$47&lt;$B273+ROUND($O273,0)))))+_xlfn.XLOOKUP($B273,'2027 Avoided Costs'!$B$13:$B$47,'2027 Avoided Costs'!$C$13:$C$47),IF($O273=1,0,NPV('2027 Avoided Costs'!$D$6,_xlfn._xlws.FILTER('2027 Avoided Costs'!$E$14:$E$47,('2027 Avoided Costs'!$B$14:$B$47&gt;=$B273+1)*('2027 Avoided Costs'!$B$14:$B$47&lt;$B273+ROUND($O273,0)))))+_xlfn.XLOOKUP($B273,'2027 Avoided Costs'!$B$13:$B$47,'2027 Avoided Costs'!$E$13:$E$47))*IF($AE273&gt;0,$AE273*(1+0),0),0)</f>
        <v>2490410.4205578985</v>
      </c>
      <c r="BK273" s="293">
        <f t="shared" si="135"/>
        <v>1.0954280659879831</v>
      </c>
    </row>
    <row r="274" spans="1:63" s="56" customFormat="1" x14ac:dyDescent="0.25">
      <c r="A274" s="270" t="s">
        <v>133</v>
      </c>
      <c r="B274" s="271">
        <v>2028</v>
      </c>
      <c r="C274" s="272" t="s">
        <v>11</v>
      </c>
      <c r="D274" s="272" t="s">
        <v>160</v>
      </c>
      <c r="E274" s="272" t="s">
        <v>339</v>
      </c>
      <c r="F274" s="273">
        <v>14497</v>
      </c>
      <c r="G274" s="274">
        <v>100</v>
      </c>
      <c r="H274" s="275">
        <f t="shared" si="115"/>
        <v>0.76923076923076927</v>
      </c>
      <c r="I274" s="274">
        <v>0</v>
      </c>
      <c r="J274" s="276" t="s">
        <v>264</v>
      </c>
      <c r="K274" s="277">
        <f t="shared" si="114"/>
        <v>0.8600000000000001</v>
      </c>
      <c r="L274" s="278">
        <v>0.21</v>
      </c>
      <c r="M274" s="278">
        <v>7.0000000000000007E-2</v>
      </c>
      <c r="N274" s="278">
        <v>1</v>
      </c>
      <c r="O274" s="279">
        <v>10</v>
      </c>
      <c r="P274" s="280">
        <v>130</v>
      </c>
      <c r="Q274" s="281">
        <v>182</v>
      </c>
      <c r="R274" s="282">
        <v>8.3283200000000002E-2</v>
      </c>
      <c r="S274" s="282">
        <v>2.3583461142391106E-2</v>
      </c>
      <c r="T274" s="281">
        <v>0</v>
      </c>
      <c r="U274" s="283">
        <v>0</v>
      </c>
      <c r="V274" s="284">
        <v>270</v>
      </c>
      <c r="W274" s="285">
        <v>0.15</v>
      </c>
      <c r="X274" s="286" t="s">
        <v>11</v>
      </c>
      <c r="Y274" s="287">
        <f t="shared" si="116"/>
        <v>14497</v>
      </c>
      <c r="Z274" s="288">
        <f t="shared" si="117"/>
        <v>1449700</v>
      </c>
      <c r="AA274" s="288">
        <f t="shared" si="118"/>
        <v>0</v>
      </c>
      <c r="AB274" s="288">
        <f t="shared" si="119"/>
        <v>1478694</v>
      </c>
      <c r="AC274" s="288">
        <f t="shared" si="136"/>
        <v>0</v>
      </c>
      <c r="AD274" s="287">
        <f t="shared" si="120"/>
        <v>1884610</v>
      </c>
      <c r="AE274" s="287">
        <f t="shared" si="121"/>
        <v>1620764.6</v>
      </c>
      <c r="AF274" s="287">
        <f t="shared" si="122"/>
        <v>18846100</v>
      </c>
      <c r="AG274" s="287">
        <f t="shared" si="123"/>
        <v>16207646</v>
      </c>
      <c r="AH274" s="287">
        <f t="shared" si="124"/>
        <v>2828422.6880000001</v>
      </c>
      <c r="AI274" s="287">
        <f t="shared" si="125"/>
        <v>2432443.51168</v>
      </c>
      <c r="AJ274" s="287">
        <f t="shared" si="126"/>
        <v>0</v>
      </c>
      <c r="AK274" s="287">
        <f t="shared" si="127"/>
        <v>0</v>
      </c>
      <c r="AL274" s="287">
        <f t="shared" si="128"/>
        <v>1294.2862220288002</v>
      </c>
      <c r="AM274" s="287">
        <f t="shared" si="129"/>
        <v>1113.0861509447682</v>
      </c>
      <c r="AN274" s="287">
        <f t="shared" si="130"/>
        <v>366.50547558629347</v>
      </c>
      <c r="AO274" s="287">
        <f t="shared" si="131"/>
        <v>315.19470900421243</v>
      </c>
      <c r="AP274" s="287">
        <f t="shared" si="132"/>
        <v>3914190</v>
      </c>
      <c r="AQ274" s="287">
        <f t="shared" si="133"/>
        <v>3366203.4000000004</v>
      </c>
      <c r="AR274" s="287">
        <f t="shared" si="134"/>
        <v>0</v>
      </c>
      <c r="AS274" s="289" t="e">
        <f>IF(J274='2027 Avoided Costs'!#REF!,3,5)</f>
        <v>#REF!</v>
      </c>
      <c r="AT274" s="290" cm="1">
        <f t="array" ref="AT274">IFERROR(IF($J274="Baseload",IF($O274=1,0,NPV('2027 Avoided Costs'!$D$6,_xlfn._xlws.FILTER('2027 Avoided Costs'!$C$14:$C$47,('2027 Avoided Costs'!$B$14:$B$47&gt;=$B274+1)*('2027 Avoided Costs'!$B$14:$B$47&lt;$B274+ROUND($O274,0)))))+_xlfn.XLOOKUP($B274,'2027 Avoided Costs'!$B$13:$B$47,'2027 Avoided Costs'!$C$13:$C$47),IF($O274=1,0,NPV('2027 Avoided Costs'!$D$6,_xlfn._xlws.FILTER('2027 Avoided Costs'!$E$14:$E$47,('2027 Avoided Costs'!$B$14:$B$47&gt;=$B274+1)*('2027 Avoided Costs'!$B$14:$B$47&lt;$B274+ROUND($O274,0)))))+_xlfn.XLOOKUP($B274,'2027 Avoided Costs'!$B$13:$B$47,'2027 Avoided Costs'!$E$13:$E$47))*IF($AE274&gt;0,$AE274*(1+$W274),0),0)</f>
        <v>4769568.8168171914</v>
      </c>
      <c r="AU274" s="290" cm="1">
        <f t="array" ref="AU274">IFERROR((IF($O274=1,0,NPV('2027 Avoided Costs'!$D$6,_xlfn._xlws.FILTER('2027 Avoided Costs'!$M$14:$M$47,('2027 Avoided Costs'!$B$14:$B$47&gt;=$B274+1)*('2027 Avoided Costs'!$B$14:$B$47&lt;$B274+ROUND($O274,0)))))+_xlfn.XLOOKUP($B274,'2027 Avoided Costs'!$B$13:$B$47,'2027 Avoided Costs'!$M$13:$M$47))*IF($AK274&gt;0,$AK274*(1+$W274),0),0)</f>
        <v>0</v>
      </c>
      <c r="AV274" s="291" cm="1">
        <f t="array" ref="AV274">IFERROR((IF($O274=1,0,NPV('2027 Avoided Costs'!$D$6,_xlfn._xlws.FILTER('2027 Avoided Costs'!$Q$14:$Q$47,('2027 Avoided Costs'!$B$14:$B$47&gt;=$B274+1)*('2027 Avoided Costs'!$B$14:$B$47&lt;$B274+ROUND($O274,0)))))+_xlfn.XLOOKUP($B274,'2027 Avoided Costs'!$B$13:$B$47,'2027 Avoided Costs'!$Q$13:$Q$47))*IF($AI274&gt;0,$AI274*(1+$W274),0),0)</f>
        <v>1190704.1492209279</v>
      </c>
      <c r="AW274" s="291" cm="1">
        <f t="array" ref="AW274">IFERROR((IF($O274=1,0,NPV('2027 Avoided Costs'!$D$6,_xlfn._xlws.FILTER('2027 Avoided Costs'!$W$14:$W$47,('2027 Avoided Costs'!$B$14:$B$47&gt;=$B274+1)*('2027 Avoided Costs'!$B$14:$B$47&lt;$B274+ROUND($O274,0)))))+_xlfn.XLOOKUP($B274,'2027 Avoided Costs'!$B$13:$B$47,'2027 Avoided Costs'!$W$13:$W$47))*IF($AM274&gt;0,$AM274*(1+$W274),0),0)</f>
        <v>3432484.3945517568</v>
      </c>
      <c r="AX274" s="291" cm="1">
        <f t="array" ref="AX274">IFERROR((IF($O274=1,0,NPV('2027 Avoided Costs'!$D$6,_xlfn._xlws.FILTER('2027 Avoided Costs'!$AC$14:$AC$47,('2027 Avoided Costs'!$B$14:$B$47&gt;=$B274+1)*('2027 Avoided Costs'!$B$14:$B$47&lt;$B274+ROUND($O274,0)))))+_xlfn.XLOOKUP($B274,'2027 Avoided Costs'!$B$13:$B$47,'2027 Avoided Costs'!$AC$13:$AC$47))*IF($AO274&gt;0,$AO274*(1+$W274),0),0)</f>
        <v>0</v>
      </c>
      <c r="AY274" s="291" cm="1">
        <f t="array" ref="AY274">IFERROR((IF($O274=1,0,NPV('2027 Avoided Costs'!$D$4,_xlfn._xlws.FILTER('2027 Avoided Costs'!$I$14:$I$47,('2027 Avoided Costs'!$B$14:$B$47&gt;=$B274+1)*('2027 Avoided Costs'!$B$14:$B$47&lt;$B274+ROUND($O274,0)))))+_xlfn.XLOOKUP($B274,'2027 Avoided Costs'!$B$13:$B$47,'2027 Avoided Costs'!$I$13:$I$47))*IF($X274="Residential",'2027 Avoided Costs'!$J$5,IF($X274="Large Volume",'2027 Avoided Costs'!$J$7,'2027 Avoided Costs'!$J$6))*IF($AE274&gt;0,$AE274,0),0)</f>
        <v>0</v>
      </c>
      <c r="AZ274" s="291" cm="1">
        <f t="array" ref="AZ274">IFERROR(IF($J274="Baseload",IF($O274=1,0,NPV('2027 Avoided Costs'!$D$6,_xlfn._xlws.FILTER('2027 Avoided Costs'!$C$14:$C$47,('2027 Avoided Costs'!$B$14:$B$47&gt;=$B274+1)*('2027 Avoided Costs'!$B$14:$B$47&lt;$B274+ROUND($O274,0)))))+_xlfn.XLOOKUP($B274,'2027 Avoided Costs'!$B$13:$B$47,'2027 Avoided Costs'!$C$13:$C$47),IF($O274=1,0,NPV('2027 Avoided Costs'!$D$6,_xlfn._xlws.FILTER('2027 Avoided Costs'!$E$14:$E$47,('2027 Avoided Costs'!$B$14:$B$47&gt;=$B274+1)*('2027 Avoided Costs'!$B$14:$B$47&lt;$B274+ROUND($O274,0)))))+_xlfn.XLOOKUP($B274,'2027 Avoided Costs'!$B$13:$B$47,'2027 Avoided Costs'!$E$13:$E$47))*IF($AE274&lt;0,$AE274*(-1),0),0)</f>
        <v>0</v>
      </c>
      <c r="BA274" s="291" cm="1">
        <f t="array" ref="BA274">IFERROR((IF($O274=1,0,NPV('2027 Avoided Costs'!$D$6,_xlfn._xlws.FILTER('2027 Avoided Costs'!$M$14:$M$47,('2027 Avoided Costs'!$B$14:$B$47&gt;=$B274+1)*('2027 Avoided Costs'!$B$14:$B$47&lt;$B274+ROUND($O274,0)))))+_xlfn.XLOOKUP($B274,'2027 Avoided Costs'!$B$13:$B$47,'2027 Avoided Costs'!$M$13:$M$47))*IF($AK274&lt;0,$AK274*(-1),0),0)</f>
        <v>0</v>
      </c>
      <c r="BB274" s="291" cm="1">
        <f t="array" ref="BB274">IFERROR((IF($O274=1,0,NPV('2027 Avoided Costs'!$D$6,_xlfn._xlws.FILTER('2027 Avoided Costs'!$S$14:$S$47,('2027 Avoided Costs'!$B$14:$B$47&gt;=$B274+1)*('2027 Avoided Costs'!$B$14:$B$47&lt;$B274+ROUND($O274,0)))))+_xlfn.XLOOKUP($B274,'2027 Avoided Costs'!$B$13:$B$47,'2027 Avoided Costs'!$S$13:$S$47))*IF($AI274&lt;0,$AI274*(-1),0),0)</f>
        <v>0</v>
      </c>
      <c r="BC274" s="291" cm="1">
        <f t="array" ref="BC274">IFERROR((IF($O274=1,0,NPV('2027 Avoided Costs'!$D$6,_xlfn._xlws.FILTER('2027 Avoided Costs'!$Y$14:$Y$47,('2027 Avoided Costs'!$B$14:$B$47&gt;=$B274+1)*('2027 Avoided Costs'!$B$14:$B$47&lt;$B274+ROUND($O274,0)))))+_xlfn.XLOOKUP($B274,'2027 Avoided Costs'!$B$13:$B$47,'2027 Avoided Costs'!$Y$13:$Y$47))*IF($AM274&lt;0,$AM274*(-1),0),0)</f>
        <v>0</v>
      </c>
      <c r="BD274" s="291" cm="1">
        <f t="array" ref="BD274">IFERROR((IF($O274=1,0,NPV('2027 Avoided Costs'!$D$6,_xlfn._xlws.FILTER('2027 Avoided Costs'!$AE$14:$AE$47,('2027 Avoided Costs'!$B$14:$B$47&gt;=$B274+1)*('2027 Avoided Costs'!$B$14:$B$47&lt;$B274+ROUND($O274,0)))))+_xlfn.XLOOKUP($B274,'2027 Avoided Costs'!$B$13:$B$47,'2027 Avoided Costs'!$AE$13:$AE$47))*IF($AO274&lt;0,$AO274*(-1),0),0)</f>
        <v>0</v>
      </c>
      <c r="BE274" s="291" cm="1">
        <f t="array" ref="BE274">IFERROR((IF($O274=1,0,NPV('2027 Avoided Costs'!$D$4,_xlfn._xlws.FILTER('2027 Avoided Costs'!$I$14:$I$47,('2027 Avoided Costs'!$B$14:$B$47&gt;=$B274+1)*('2027 Avoided Costs'!$B$14:$B$47&lt;$B274+ROUND($O274,0)))))+_xlfn.XLOOKUP($B274,'2027 Avoided Costs'!$B$13:$B$47,'2027 Avoided Costs'!$I$13:$I$47))*IF($X274="Residential",'2027 Avoided Costs'!$J$5,IF($X274="Large Volume",'2027 Avoided Costs'!$J$7,'2027 Avoided Costs'!$J$6))*IF($AE274&lt;0,$AE274*(-1),0),0)</f>
        <v>0</v>
      </c>
      <c r="BF274" s="291">
        <f t="shared" si="111"/>
        <v>9392757.3605898768</v>
      </c>
      <c r="BG274" s="291">
        <f t="shared" si="112"/>
        <v>3366203.4000000004</v>
      </c>
      <c r="BH274" s="291">
        <f t="shared" si="113"/>
        <v>6026553.9605898764</v>
      </c>
      <c r="BI274" s="292">
        <f t="shared" si="137"/>
        <v>2.7903118868544534</v>
      </c>
      <c r="BJ274" s="196" cm="1">
        <f t="array" ref="BJ274">IFERROR(IF($J274="Baseload",IF($O274=1,0,NPV('2027 Avoided Costs'!$D$6,_xlfn._xlws.FILTER('2027 Avoided Costs'!$C$14:$C$47,('2027 Avoided Costs'!$B$14:$B$47&gt;=$B274+1)*('2027 Avoided Costs'!$B$14:$B$47&lt;$B274+ROUND($O274,0)))))+_xlfn.XLOOKUP($B274,'2027 Avoided Costs'!$B$13:$B$47,'2027 Avoided Costs'!$C$13:$C$47),IF($O274=1,0,NPV('2027 Avoided Costs'!$D$6,_xlfn._xlws.FILTER('2027 Avoided Costs'!$E$14:$E$47,('2027 Avoided Costs'!$B$14:$B$47&gt;=$B274+1)*('2027 Avoided Costs'!$B$14:$B$47&lt;$B274+ROUND($O274,0)))))+_xlfn.XLOOKUP($B274,'2027 Avoided Costs'!$B$13:$B$47,'2027 Avoided Costs'!$E$13:$E$47))*IF($AE274&gt;0,$AE274*(1+0),0),0)</f>
        <v>4147451.1450584275</v>
      </c>
      <c r="BK274" s="293">
        <f t="shared" si="135"/>
        <v>2.8048069073509647</v>
      </c>
    </row>
    <row r="275" spans="1:63" s="56" customFormat="1" x14ac:dyDescent="0.25">
      <c r="A275" s="270" t="s">
        <v>133</v>
      </c>
      <c r="B275" s="271">
        <v>2028</v>
      </c>
      <c r="C275" s="272" t="s">
        <v>11</v>
      </c>
      <c r="D275" s="272" t="s">
        <v>160</v>
      </c>
      <c r="E275" s="272" t="s">
        <v>125</v>
      </c>
      <c r="F275" s="273">
        <v>1990</v>
      </c>
      <c r="G275" s="274">
        <v>100</v>
      </c>
      <c r="H275" s="275">
        <f t="shared" si="115"/>
        <v>0.76923076923076927</v>
      </c>
      <c r="I275" s="274">
        <v>7.5</v>
      </c>
      <c r="J275" s="276" t="s">
        <v>264</v>
      </c>
      <c r="K275" s="277">
        <f t="shared" si="114"/>
        <v>0.8600000000000001</v>
      </c>
      <c r="L275" s="278">
        <v>0.21</v>
      </c>
      <c r="M275" s="278">
        <v>7.0000000000000007E-2</v>
      </c>
      <c r="N275" s="278">
        <v>1</v>
      </c>
      <c r="O275" s="279">
        <v>10</v>
      </c>
      <c r="P275" s="280">
        <v>130</v>
      </c>
      <c r="Q275" s="281">
        <v>182</v>
      </c>
      <c r="R275" s="282">
        <v>8.3283200000000002E-2</v>
      </c>
      <c r="S275" s="282">
        <v>2.3583461142391106E-2</v>
      </c>
      <c r="T275" s="281">
        <v>0</v>
      </c>
      <c r="U275" s="283">
        <v>0</v>
      </c>
      <c r="V275" s="284">
        <v>270</v>
      </c>
      <c r="W275" s="285">
        <v>0.15</v>
      </c>
      <c r="X275" s="286" t="s">
        <v>11</v>
      </c>
      <c r="Y275" s="287">
        <f t="shared" si="116"/>
        <v>1990</v>
      </c>
      <c r="Z275" s="288">
        <f t="shared" si="117"/>
        <v>199000</v>
      </c>
      <c r="AA275" s="288">
        <f t="shared" si="118"/>
        <v>14925</v>
      </c>
      <c r="AB275" s="288">
        <f t="shared" si="119"/>
        <v>202980</v>
      </c>
      <c r="AC275" s="288">
        <f t="shared" si="136"/>
        <v>15181.710000000001</v>
      </c>
      <c r="AD275" s="287">
        <f t="shared" si="120"/>
        <v>258700</v>
      </c>
      <c r="AE275" s="287">
        <f t="shared" si="121"/>
        <v>222482.00000000003</v>
      </c>
      <c r="AF275" s="287">
        <f t="shared" si="122"/>
        <v>2587000</v>
      </c>
      <c r="AG275" s="287">
        <f t="shared" si="123"/>
        <v>2224820.0000000005</v>
      </c>
      <c r="AH275" s="287">
        <f t="shared" si="124"/>
        <v>388256.96</v>
      </c>
      <c r="AI275" s="287">
        <f t="shared" si="125"/>
        <v>333900.98560000007</v>
      </c>
      <c r="AJ275" s="287">
        <f t="shared" si="126"/>
        <v>0</v>
      </c>
      <c r="AK275" s="287">
        <f t="shared" si="127"/>
        <v>0</v>
      </c>
      <c r="AL275" s="287">
        <f t="shared" si="128"/>
        <v>177.66638489600001</v>
      </c>
      <c r="AM275" s="287">
        <f t="shared" si="129"/>
        <v>152.79309101056003</v>
      </c>
      <c r="AN275" s="287">
        <f t="shared" si="130"/>
        <v>50.310125985840102</v>
      </c>
      <c r="AO275" s="287">
        <f t="shared" si="131"/>
        <v>43.266708347822494</v>
      </c>
      <c r="AP275" s="287">
        <f t="shared" si="132"/>
        <v>537300</v>
      </c>
      <c r="AQ275" s="287">
        <f t="shared" si="133"/>
        <v>462078.00000000006</v>
      </c>
      <c r="AR275" s="287">
        <f t="shared" si="134"/>
        <v>0</v>
      </c>
      <c r="AS275" s="289" t="e">
        <f>IF(J275='2027 Avoided Costs'!#REF!,3,5)</f>
        <v>#REF!</v>
      </c>
      <c r="AT275" s="290" cm="1">
        <f t="array" ref="AT275">IFERROR(IF($J275="Baseload",IF($O275=1,0,NPV('2027 Avoided Costs'!$D$6,_xlfn._xlws.FILTER('2027 Avoided Costs'!$C$14:$C$47,('2027 Avoided Costs'!$B$14:$B$47&gt;=$B275+1)*('2027 Avoided Costs'!$B$14:$B$47&lt;$B275+ROUND($O275,0)))))+_xlfn.XLOOKUP($B275,'2027 Avoided Costs'!$B$13:$B$47,'2027 Avoided Costs'!$C$13:$C$47),IF($O275=1,0,NPV('2027 Avoided Costs'!$D$6,_xlfn._xlws.FILTER('2027 Avoided Costs'!$E$14:$E$47,('2027 Avoided Costs'!$B$14:$B$47&gt;=$B275+1)*('2027 Avoided Costs'!$B$14:$B$47&lt;$B275+ROUND($O275,0)))))+_xlfn.XLOOKUP($B275,'2027 Avoided Costs'!$B$13:$B$47,'2027 Avoided Costs'!$E$13:$E$47))*IF($AE275&gt;0,$AE275*(1+$W275),0),0)</f>
        <v>654717.66196221358</v>
      </c>
      <c r="AU275" s="290" cm="1">
        <f t="array" ref="AU275">IFERROR((IF($O275=1,0,NPV('2027 Avoided Costs'!$D$6,_xlfn._xlws.FILTER('2027 Avoided Costs'!$M$14:$M$47,('2027 Avoided Costs'!$B$14:$B$47&gt;=$B275+1)*('2027 Avoided Costs'!$B$14:$B$47&lt;$B275+ROUND($O275,0)))))+_xlfn.XLOOKUP($B275,'2027 Avoided Costs'!$B$13:$B$47,'2027 Avoided Costs'!$M$13:$M$47))*IF($AK275&gt;0,$AK275*(1+$W275),0),0)</f>
        <v>0</v>
      </c>
      <c r="AV275" s="291" cm="1">
        <f t="array" ref="AV275">IFERROR((IF($O275=1,0,NPV('2027 Avoided Costs'!$D$6,_xlfn._xlws.FILTER('2027 Avoided Costs'!$Q$14:$Q$47,('2027 Avoided Costs'!$B$14:$B$47&gt;=$B275+1)*('2027 Avoided Costs'!$B$14:$B$47&lt;$B275+ROUND($O275,0)))))+_xlfn.XLOOKUP($B275,'2027 Avoided Costs'!$B$13:$B$47,'2027 Avoided Costs'!$Q$13:$Q$47))*IF($AI275&gt;0,$AI275*(1+$W275),0),0)</f>
        <v>163447.69655443521</v>
      </c>
      <c r="AW275" s="291" cm="1">
        <f t="array" ref="AW275">IFERROR((IF($O275=1,0,NPV('2027 Avoided Costs'!$D$6,_xlfn._xlws.FILTER('2027 Avoided Costs'!$W$14:$W$47,('2027 Avoided Costs'!$B$14:$B$47&gt;=$B275+1)*('2027 Avoided Costs'!$B$14:$B$47&lt;$B275+ROUND($O275,0)))))+_xlfn.XLOOKUP($B275,'2027 Avoided Costs'!$B$13:$B$47,'2027 Avoided Costs'!$W$13:$W$47))*IF($AM275&gt;0,$AM275*(1+$W275),0),0)</f>
        <v>471176.37753728335</v>
      </c>
      <c r="AX275" s="291" cm="1">
        <f t="array" ref="AX275">IFERROR((IF($O275=1,0,NPV('2027 Avoided Costs'!$D$6,_xlfn._xlws.FILTER('2027 Avoided Costs'!$AC$14:$AC$47,('2027 Avoided Costs'!$B$14:$B$47&gt;=$B275+1)*('2027 Avoided Costs'!$B$14:$B$47&lt;$B275+ROUND($O275,0)))))+_xlfn.XLOOKUP($B275,'2027 Avoided Costs'!$B$13:$B$47,'2027 Avoided Costs'!$AC$13:$AC$47))*IF($AO275&gt;0,$AO275*(1+$W275),0),0)</f>
        <v>0</v>
      </c>
      <c r="AY275" s="291" cm="1">
        <f t="array" ref="AY275">IFERROR((IF($O275=1,0,NPV('2027 Avoided Costs'!$D$4,_xlfn._xlws.FILTER('2027 Avoided Costs'!$I$14:$I$47,('2027 Avoided Costs'!$B$14:$B$47&gt;=$B275+1)*('2027 Avoided Costs'!$B$14:$B$47&lt;$B275+ROUND($O275,0)))))+_xlfn.XLOOKUP($B275,'2027 Avoided Costs'!$B$13:$B$47,'2027 Avoided Costs'!$I$13:$I$47))*IF($X275="Residential",'2027 Avoided Costs'!$J$5,IF($X275="Large Volume",'2027 Avoided Costs'!$J$7,'2027 Avoided Costs'!$J$6))*IF($AE275&gt;0,$AE275,0),0)</f>
        <v>0</v>
      </c>
      <c r="AZ275" s="291" cm="1">
        <f t="array" ref="AZ275">IFERROR(IF($J275="Baseload",IF($O275=1,0,NPV('2027 Avoided Costs'!$D$6,_xlfn._xlws.FILTER('2027 Avoided Costs'!$C$14:$C$47,('2027 Avoided Costs'!$B$14:$B$47&gt;=$B275+1)*('2027 Avoided Costs'!$B$14:$B$47&lt;$B275+ROUND($O275,0)))))+_xlfn.XLOOKUP($B275,'2027 Avoided Costs'!$B$13:$B$47,'2027 Avoided Costs'!$C$13:$C$47),IF($O275=1,0,NPV('2027 Avoided Costs'!$D$6,_xlfn._xlws.FILTER('2027 Avoided Costs'!$E$14:$E$47,('2027 Avoided Costs'!$B$14:$B$47&gt;=$B275+1)*('2027 Avoided Costs'!$B$14:$B$47&lt;$B275+ROUND($O275,0)))))+_xlfn.XLOOKUP($B275,'2027 Avoided Costs'!$B$13:$B$47,'2027 Avoided Costs'!$E$13:$E$47))*IF($AE275&lt;0,$AE275*(-1),0),0)</f>
        <v>0</v>
      </c>
      <c r="BA275" s="291" cm="1">
        <f t="array" ref="BA275">IFERROR((IF($O275=1,0,NPV('2027 Avoided Costs'!$D$6,_xlfn._xlws.FILTER('2027 Avoided Costs'!$M$14:$M$47,('2027 Avoided Costs'!$B$14:$B$47&gt;=$B275+1)*('2027 Avoided Costs'!$B$14:$B$47&lt;$B275+ROUND($O275,0)))))+_xlfn.XLOOKUP($B275,'2027 Avoided Costs'!$B$13:$B$47,'2027 Avoided Costs'!$M$13:$M$47))*IF($AK275&lt;0,$AK275*(-1),0),0)</f>
        <v>0</v>
      </c>
      <c r="BB275" s="291" cm="1">
        <f t="array" ref="BB275">IFERROR((IF($O275=1,0,NPV('2027 Avoided Costs'!$D$6,_xlfn._xlws.FILTER('2027 Avoided Costs'!$S$14:$S$47,('2027 Avoided Costs'!$B$14:$B$47&gt;=$B275+1)*('2027 Avoided Costs'!$B$14:$B$47&lt;$B275+ROUND($O275,0)))))+_xlfn.XLOOKUP($B275,'2027 Avoided Costs'!$B$13:$B$47,'2027 Avoided Costs'!$S$13:$S$47))*IF($AI275&lt;0,$AI275*(-1),0),0)</f>
        <v>0</v>
      </c>
      <c r="BC275" s="291" cm="1">
        <f t="array" ref="BC275">IFERROR((IF($O275=1,0,NPV('2027 Avoided Costs'!$D$6,_xlfn._xlws.FILTER('2027 Avoided Costs'!$Y$14:$Y$47,('2027 Avoided Costs'!$B$14:$B$47&gt;=$B275+1)*('2027 Avoided Costs'!$B$14:$B$47&lt;$B275+ROUND($O275,0)))))+_xlfn.XLOOKUP($B275,'2027 Avoided Costs'!$B$13:$B$47,'2027 Avoided Costs'!$Y$13:$Y$47))*IF($AM275&lt;0,$AM275*(-1),0),0)</f>
        <v>0</v>
      </c>
      <c r="BD275" s="291" cm="1">
        <f t="array" ref="BD275">IFERROR((IF($O275=1,0,NPV('2027 Avoided Costs'!$D$6,_xlfn._xlws.FILTER('2027 Avoided Costs'!$AE$14:$AE$47,('2027 Avoided Costs'!$B$14:$B$47&gt;=$B275+1)*('2027 Avoided Costs'!$B$14:$B$47&lt;$B275+ROUND($O275,0)))))+_xlfn.XLOOKUP($B275,'2027 Avoided Costs'!$B$13:$B$47,'2027 Avoided Costs'!$AE$13:$AE$47))*IF($AO275&lt;0,$AO275*(-1),0),0)</f>
        <v>0</v>
      </c>
      <c r="BE275" s="291" cm="1">
        <f t="array" ref="BE275">IFERROR((IF($O275=1,0,NPV('2027 Avoided Costs'!$D$4,_xlfn._xlws.FILTER('2027 Avoided Costs'!$I$14:$I$47,('2027 Avoided Costs'!$B$14:$B$47&gt;=$B275+1)*('2027 Avoided Costs'!$B$14:$B$47&lt;$B275+ROUND($O275,0)))))+_xlfn.XLOOKUP($B275,'2027 Avoided Costs'!$B$13:$B$47,'2027 Avoided Costs'!$I$13:$I$47))*IF($X275="Residential",'2027 Avoided Costs'!$J$5,IF($X275="Large Volume",'2027 Avoided Costs'!$J$7,'2027 Avoided Costs'!$J$6))*IF($AE275&lt;0,$AE275*(-1),0),0)</f>
        <v>0</v>
      </c>
      <c r="BF275" s="291">
        <f t="shared" si="111"/>
        <v>1289341.736053932</v>
      </c>
      <c r="BG275" s="291">
        <f t="shared" si="112"/>
        <v>462078.00000000006</v>
      </c>
      <c r="BH275" s="291">
        <f t="shared" si="113"/>
        <v>827263.73605393199</v>
      </c>
      <c r="BI275" s="292">
        <f t="shared" si="137"/>
        <v>2.790311886854453</v>
      </c>
      <c r="BJ275" s="196" cm="1">
        <f t="array" ref="BJ275">IFERROR(IF($J275="Baseload",IF($O275=1,0,NPV('2027 Avoided Costs'!$D$6,_xlfn._xlws.FILTER('2027 Avoided Costs'!$C$14:$C$47,('2027 Avoided Costs'!$B$14:$B$47&gt;=$B275+1)*('2027 Avoided Costs'!$B$14:$B$47&lt;$B275+ROUND($O275,0)))))+_xlfn.XLOOKUP($B275,'2027 Avoided Costs'!$B$13:$B$47,'2027 Avoided Costs'!$C$13:$C$47),IF($O275=1,0,NPV('2027 Avoided Costs'!$D$6,_xlfn._xlws.FILTER('2027 Avoided Costs'!$E$14:$E$47,('2027 Avoided Costs'!$B$14:$B$47&gt;=$B275+1)*('2027 Avoided Costs'!$B$14:$B$47&lt;$B275+ROUND($O275,0)))))+_xlfn.XLOOKUP($B275,'2027 Avoided Costs'!$B$13:$B$47,'2027 Avoided Costs'!$E$13:$E$47))*IF($AE275&gt;0,$AE275*(1+0),0),0)</f>
        <v>569319.70605409879</v>
      </c>
      <c r="BK275" s="293">
        <f t="shared" si="135"/>
        <v>2.60962249541452</v>
      </c>
    </row>
    <row r="276" spans="1:63" s="56" customFormat="1" x14ac:dyDescent="0.25">
      <c r="A276" s="270" t="s">
        <v>133</v>
      </c>
      <c r="B276" s="271">
        <v>2028</v>
      </c>
      <c r="C276" s="272" t="s">
        <v>11</v>
      </c>
      <c r="D276" s="272" t="s">
        <v>160</v>
      </c>
      <c r="E276" s="272" t="s">
        <v>340</v>
      </c>
      <c r="F276" s="273">
        <v>10234</v>
      </c>
      <c r="G276" s="274">
        <v>125</v>
      </c>
      <c r="H276" s="275">
        <f t="shared" si="115"/>
        <v>0.96153846153846156</v>
      </c>
      <c r="I276" s="274">
        <v>0</v>
      </c>
      <c r="J276" s="276" t="s">
        <v>264</v>
      </c>
      <c r="K276" s="277">
        <f t="shared" si="114"/>
        <v>0.8600000000000001</v>
      </c>
      <c r="L276" s="278">
        <v>0.21</v>
      </c>
      <c r="M276" s="278">
        <v>7.0000000000000007E-2</v>
      </c>
      <c r="N276" s="278">
        <v>1</v>
      </c>
      <c r="O276" s="279">
        <v>10</v>
      </c>
      <c r="P276" s="280">
        <v>130</v>
      </c>
      <c r="Q276" s="281">
        <v>182</v>
      </c>
      <c r="R276" s="282">
        <v>8.3283200000000002E-2</v>
      </c>
      <c r="S276" s="282">
        <v>2.3583461142391106E-2</v>
      </c>
      <c r="T276" s="281">
        <v>0</v>
      </c>
      <c r="U276" s="283">
        <v>0</v>
      </c>
      <c r="V276" s="284">
        <v>270</v>
      </c>
      <c r="W276" s="285">
        <v>0.15</v>
      </c>
      <c r="X276" s="286" t="s">
        <v>11</v>
      </c>
      <c r="Y276" s="287">
        <f t="shared" si="116"/>
        <v>10234</v>
      </c>
      <c r="Z276" s="288">
        <f t="shared" si="117"/>
        <v>1279250</v>
      </c>
      <c r="AA276" s="288">
        <f t="shared" si="118"/>
        <v>0</v>
      </c>
      <c r="AB276" s="288">
        <f t="shared" si="119"/>
        <v>1304835</v>
      </c>
      <c r="AC276" s="288">
        <f t="shared" si="136"/>
        <v>0</v>
      </c>
      <c r="AD276" s="287">
        <f t="shared" si="120"/>
        <v>1330420</v>
      </c>
      <c r="AE276" s="287">
        <f t="shared" si="121"/>
        <v>1144161.2000000002</v>
      </c>
      <c r="AF276" s="287">
        <f t="shared" si="122"/>
        <v>13304200</v>
      </c>
      <c r="AG276" s="287">
        <f t="shared" si="123"/>
        <v>11441612.000000002</v>
      </c>
      <c r="AH276" s="287">
        <f t="shared" si="124"/>
        <v>1996694.3360000001</v>
      </c>
      <c r="AI276" s="287">
        <f t="shared" si="125"/>
        <v>1717157.1289600004</v>
      </c>
      <c r="AJ276" s="287">
        <f t="shared" si="126"/>
        <v>0</v>
      </c>
      <c r="AK276" s="287">
        <f t="shared" si="127"/>
        <v>0</v>
      </c>
      <c r="AL276" s="287">
        <f t="shared" si="128"/>
        <v>913.68732815360011</v>
      </c>
      <c r="AM276" s="287">
        <f t="shared" si="129"/>
        <v>785.77110221209614</v>
      </c>
      <c r="AN276" s="287">
        <f t="shared" si="130"/>
        <v>258.73056750707917</v>
      </c>
      <c r="AO276" s="287">
        <f t="shared" si="131"/>
        <v>222.50828805608811</v>
      </c>
      <c r="AP276" s="287">
        <f t="shared" si="132"/>
        <v>2763180</v>
      </c>
      <c r="AQ276" s="287">
        <f t="shared" si="133"/>
        <v>2376334.8000000003</v>
      </c>
      <c r="AR276" s="287">
        <f t="shared" si="134"/>
        <v>0</v>
      </c>
      <c r="AS276" s="289" t="e">
        <f>IF(J276='2027 Avoided Costs'!#REF!,3,5)</f>
        <v>#REF!</v>
      </c>
      <c r="AT276" s="290" cm="1">
        <f t="array" ref="AT276">IFERROR(IF($J276="Baseload",IF($O276=1,0,NPV('2027 Avoided Costs'!$D$6,_xlfn._xlws.FILTER('2027 Avoided Costs'!$C$14:$C$47,('2027 Avoided Costs'!$B$14:$B$47&gt;=$B276+1)*('2027 Avoided Costs'!$B$14:$B$47&lt;$B276+ROUND($O276,0)))))+_xlfn.XLOOKUP($B276,'2027 Avoided Costs'!$B$13:$B$47,'2027 Avoided Costs'!$C$13:$C$47),IF($O276=1,0,NPV('2027 Avoided Costs'!$D$6,_xlfn._xlws.FILTER('2027 Avoided Costs'!$E$14:$E$47,('2027 Avoided Costs'!$B$14:$B$47&gt;=$B276+1)*('2027 Avoided Costs'!$B$14:$B$47&lt;$B276+ROUND($O276,0)))))+_xlfn.XLOOKUP($B276,'2027 Avoided Costs'!$B$13:$B$47,'2027 Avoided Costs'!$E$13:$E$47))*IF($AE276&gt;0,$AE276*(1+$W276),0),0)</f>
        <v>3367025.4032770325</v>
      </c>
      <c r="AU276" s="290" cm="1">
        <f t="array" ref="AU276">IFERROR((IF($O276=1,0,NPV('2027 Avoided Costs'!$D$6,_xlfn._xlws.FILTER('2027 Avoided Costs'!$M$14:$M$47,('2027 Avoided Costs'!$B$14:$B$47&gt;=$B276+1)*('2027 Avoided Costs'!$B$14:$B$47&lt;$B276+ROUND($O276,0)))))+_xlfn.XLOOKUP($B276,'2027 Avoided Costs'!$B$13:$B$47,'2027 Avoided Costs'!$M$13:$M$47))*IF($AK276&gt;0,$AK276*(1+$W276),0),0)</f>
        <v>0</v>
      </c>
      <c r="AV276" s="291" cm="1">
        <f t="array" ref="AV276">IFERROR((IF($O276=1,0,NPV('2027 Avoided Costs'!$D$6,_xlfn._xlws.FILTER('2027 Avoided Costs'!$Q$14:$Q$47,('2027 Avoided Costs'!$B$14:$B$47&gt;=$B276+1)*('2027 Avoided Costs'!$B$14:$B$47&lt;$B276+ROUND($O276,0)))))+_xlfn.XLOOKUP($B276,'2027 Avoided Costs'!$B$13:$B$47,'2027 Avoided Costs'!$Q$13:$Q$47))*IF($AI276&gt;0,$AI276*(1+$W276),0),0)</f>
        <v>840564.68670255772</v>
      </c>
      <c r="AW276" s="291" cm="1">
        <f t="array" ref="AW276">IFERROR((IF($O276=1,0,NPV('2027 Avoided Costs'!$D$6,_xlfn._xlws.FILTER('2027 Avoided Costs'!$W$14:$W$47,('2027 Avoided Costs'!$B$14:$B$47&gt;=$B276+1)*('2027 Avoided Costs'!$B$14:$B$47&lt;$B276+ROUND($O276,0)))))+_xlfn.XLOOKUP($B276,'2027 Avoided Costs'!$B$13:$B$47,'2027 Avoided Costs'!$W$13:$W$47))*IF($AM276&gt;0,$AM276*(1+$W276),0),0)</f>
        <v>2423125.1496063103</v>
      </c>
      <c r="AX276" s="291" cm="1">
        <f t="array" ref="AX276">IFERROR((IF($O276=1,0,NPV('2027 Avoided Costs'!$D$6,_xlfn._xlws.FILTER('2027 Avoided Costs'!$AC$14:$AC$47,('2027 Avoided Costs'!$B$14:$B$47&gt;=$B276+1)*('2027 Avoided Costs'!$B$14:$B$47&lt;$B276+ROUND($O276,0)))))+_xlfn.XLOOKUP($B276,'2027 Avoided Costs'!$B$13:$B$47,'2027 Avoided Costs'!$AC$13:$AC$47))*IF($AO276&gt;0,$AO276*(1+$W276),0),0)</f>
        <v>0</v>
      </c>
      <c r="AY276" s="291" cm="1">
        <f t="array" ref="AY276">IFERROR((IF($O276=1,0,NPV('2027 Avoided Costs'!$D$4,_xlfn._xlws.FILTER('2027 Avoided Costs'!$I$14:$I$47,('2027 Avoided Costs'!$B$14:$B$47&gt;=$B276+1)*('2027 Avoided Costs'!$B$14:$B$47&lt;$B276+ROUND($O276,0)))))+_xlfn.XLOOKUP($B276,'2027 Avoided Costs'!$B$13:$B$47,'2027 Avoided Costs'!$I$13:$I$47))*IF($X276="Residential",'2027 Avoided Costs'!$J$5,IF($X276="Large Volume",'2027 Avoided Costs'!$J$7,'2027 Avoided Costs'!$J$6))*IF($AE276&gt;0,$AE276,0),0)</f>
        <v>0</v>
      </c>
      <c r="AZ276" s="291" cm="1">
        <f t="array" ref="AZ276">IFERROR(IF($J276="Baseload",IF($O276=1,0,NPV('2027 Avoided Costs'!$D$6,_xlfn._xlws.FILTER('2027 Avoided Costs'!$C$14:$C$47,('2027 Avoided Costs'!$B$14:$B$47&gt;=$B276+1)*('2027 Avoided Costs'!$B$14:$B$47&lt;$B276+ROUND($O276,0)))))+_xlfn.XLOOKUP($B276,'2027 Avoided Costs'!$B$13:$B$47,'2027 Avoided Costs'!$C$13:$C$47),IF($O276=1,0,NPV('2027 Avoided Costs'!$D$6,_xlfn._xlws.FILTER('2027 Avoided Costs'!$E$14:$E$47,('2027 Avoided Costs'!$B$14:$B$47&gt;=$B276+1)*('2027 Avoided Costs'!$B$14:$B$47&lt;$B276+ROUND($O276,0)))))+_xlfn.XLOOKUP($B276,'2027 Avoided Costs'!$B$13:$B$47,'2027 Avoided Costs'!$E$13:$E$47))*IF($AE276&lt;0,$AE276*(-1),0),0)</f>
        <v>0</v>
      </c>
      <c r="BA276" s="291" cm="1">
        <f t="array" ref="BA276">IFERROR((IF($O276=1,0,NPV('2027 Avoided Costs'!$D$6,_xlfn._xlws.FILTER('2027 Avoided Costs'!$M$14:$M$47,('2027 Avoided Costs'!$B$14:$B$47&gt;=$B276+1)*('2027 Avoided Costs'!$B$14:$B$47&lt;$B276+ROUND($O276,0)))))+_xlfn.XLOOKUP($B276,'2027 Avoided Costs'!$B$13:$B$47,'2027 Avoided Costs'!$M$13:$M$47))*IF($AK276&lt;0,$AK276*(-1),0),0)</f>
        <v>0</v>
      </c>
      <c r="BB276" s="291" cm="1">
        <f t="array" ref="BB276">IFERROR((IF($O276=1,0,NPV('2027 Avoided Costs'!$D$6,_xlfn._xlws.FILTER('2027 Avoided Costs'!$S$14:$S$47,('2027 Avoided Costs'!$B$14:$B$47&gt;=$B276+1)*('2027 Avoided Costs'!$B$14:$B$47&lt;$B276+ROUND($O276,0)))))+_xlfn.XLOOKUP($B276,'2027 Avoided Costs'!$B$13:$B$47,'2027 Avoided Costs'!$S$13:$S$47))*IF($AI276&lt;0,$AI276*(-1),0),0)</f>
        <v>0</v>
      </c>
      <c r="BC276" s="291" cm="1">
        <f t="array" ref="BC276">IFERROR((IF($O276=1,0,NPV('2027 Avoided Costs'!$D$6,_xlfn._xlws.FILTER('2027 Avoided Costs'!$Y$14:$Y$47,('2027 Avoided Costs'!$B$14:$B$47&gt;=$B276+1)*('2027 Avoided Costs'!$B$14:$B$47&lt;$B276+ROUND($O276,0)))))+_xlfn.XLOOKUP($B276,'2027 Avoided Costs'!$B$13:$B$47,'2027 Avoided Costs'!$Y$13:$Y$47))*IF($AM276&lt;0,$AM276*(-1),0),0)</f>
        <v>0</v>
      </c>
      <c r="BD276" s="291" cm="1">
        <f t="array" ref="BD276">IFERROR((IF($O276=1,0,NPV('2027 Avoided Costs'!$D$6,_xlfn._xlws.FILTER('2027 Avoided Costs'!$AE$14:$AE$47,('2027 Avoided Costs'!$B$14:$B$47&gt;=$B276+1)*('2027 Avoided Costs'!$B$14:$B$47&lt;$B276+ROUND($O276,0)))))+_xlfn.XLOOKUP($B276,'2027 Avoided Costs'!$B$13:$B$47,'2027 Avoided Costs'!$AE$13:$AE$47))*IF($AO276&lt;0,$AO276*(-1),0),0)</f>
        <v>0</v>
      </c>
      <c r="BE276" s="291" cm="1">
        <f t="array" ref="BE276">IFERROR((IF($O276=1,0,NPV('2027 Avoided Costs'!$D$4,_xlfn._xlws.FILTER('2027 Avoided Costs'!$I$14:$I$47,('2027 Avoided Costs'!$B$14:$B$47&gt;=$B276+1)*('2027 Avoided Costs'!$B$14:$B$47&lt;$B276+ROUND($O276,0)))))+_xlfn.XLOOKUP($B276,'2027 Avoided Costs'!$B$13:$B$47,'2027 Avoided Costs'!$I$13:$I$47))*IF($X276="Residential",'2027 Avoided Costs'!$J$5,IF($X276="Large Volume",'2027 Avoided Costs'!$J$7,'2027 Avoided Costs'!$J$6))*IF($AE276&lt;0,$AE276*(-1),0),0)</f>
        <v>0</v>
      </c>
      <c r="BF276" s="291">
        <f t="shared" si="111"/>
        <v>6630715.2395859007</v>
      </c>
      <c r="BG276" s="291">
        <f t="shared" si="112"/>
        <v>2376334.8000000003</v>
      </c>
      <c r="BH276" s="291">
        <f t="shared" si="113"/>
        <v>4254380.4395858999</v>
      </c>
      <c r="BI276" s="292">
        <f t="shared" si="137"/>
        <v>2.7903118868544534</v>
      </c>
      <c r="BJ276" s="196" cm="1">
        <f t="array" ref="BJ276">IFERROR(IF($J276="Baseload",IF($O276=1,0,NPV('2027 Avoided Costs'!$D$6,_xlfn._xlws.FILTER('2027 Avoided Costs'!$C$14:$C$47,('2027 Avoided Costs'!$B$14:$B$47&gt;=$B276+1)*('2027 Avoided Costs'!$B$14:$B$47&lt;$B276+ROUND($O276,0)))))+_xlfn.XLOOKUP($B276,'2027 Avoided Costs'!$B$13:$B$47,'2027 Avoided Costs'!$C$13:$C$47),IF($O276=1,0,NPV('2027 Avoided Costs'!$D$6,_xlfn._xlws.FILTER('2027 Avoided Costs'!$E$14:$E$47,('2027 Avoided Costs'!$B$14:$B$47&gt;=$B276+1)*('2027 Avoided Costs'!$B$14:$B$47&lt;$B276+ROUND($O276,0)))))+_xlfn.XLOOKUP($B276,'2027 Avoided Costs'!$B$13:$B$47,'2027 Avoided Costs'!$E$13:$E$47))*IF($AE276&gt;0,$AE276*(1+0),0),0)</f>
        <v>2927848.1767626372</v>
      </c>
      <c r="BK276" s="293">
        <f t="shared" si="135"/>
        <v>2.2438455258807721</v>
      </c>
    </row>
    <row r="277" spans="1:63" s="56" customFormat="1" x14ac:dyDescent="0.25">
      <c r="A277" s="270" t="s">
        <v>133</v>
      </c>
      <c r="B277" s="271">
        <v>2028</v>
      </c>
      <c r="C277" s="272" t="s">
        <v>11</v>
      </c>
      <c r="D277" s="272" t="s">
        <v>160</v>
      </c>
      <c r="E277" s="272" t="s">
        <v>338</v>
      </c>
      <c r="F277" s="273">
        <v>1279</v>
      </c>
      <c r="G277" s="274">
        <v>125</v>
      </c>
      <c r="H277" s="275">
        <f t="shared" si="115"/>
        <v>0.96153846153846156</v>
      </c>
      <c r="I277" s="274">
        <v>7.5</v>
      </c>
      <c r="J277" s="276" t="s">
        <v>264</v>
      </c>
      <c r="K277" s="277">
        <f t="shared" si="114"/>
        <v>0.8600000000000001</v>
      </c>
      <c r="L277" s="278">
        <v>0.21</v>
      </c>
      <c r="M277" s="278">
        <v>7.0000000000000007E-2</v>
      </c>
      <c r="N277" s="278">
        <v>1</v>
      </c>
      <c r="O277" s="279">
        <v>10</v>
      </c>
      <c r="P277" s="280">
        <v>130</v>
      </c>
      <c r="Q277" s="281">
        <v>182</v>
      </c>
      <c r="R277" s="282">
        <v>8.3283200000000002E-2</v>
      </c>
      <c r="S277" s="282">
        <v>2.3583461142391106E-2</v>
      </c>
      <c r="T277" s="281">
        <v>0</v>
      </c>
      <c r="U277" s="283">
        <v>0</v>
      </c>
      <c r="V277" s="284">
        <v>270</v>
      </c>
      <c r="W277" s="285">
        <v>0.15</v>
      </c>
      <c r="X277" s="286" t="s">
        <v>11</v>
      </c>
      <c r="Y277" s="287">
        <f t="shared" si="116"/>
        <v>1279</v>
      </c>
      <c r="Z277" s="288">
        <f t="shared" si="117"/>
        <v>159875</v>
      </c>
      <c r="AA277" s="288">
        <f t="shared" si="118"/>
        <v>9592.5</v>
      </c>
      <c r="AB277" s="288">
        <f t="shared" si="119"/>
        <v>163072.5</v>
      </c>
      <c r="AC277" s="288">
        <f t="shared" si="136"/>
        <v>9757.4910000000018</v>
      </c>
      <c r="AD277" s="287">
        <f t="shared" si="120"/>
        <v>166270</v>
      </c>
      <c r="AE277" s="287">
        <f t="shared" si="121"/>
        <v>142992.20000000001</v>
      </c>
      <c r="AF277" s="287">
        <f t="shared" si="122"/>
        <v>1662700</v>
      </c>
      <c r="AG277" s="287">
        <f t="shared" si="123"/>
        <v>1429922</v>
      </c>
      <c r="AH277" s="287">
        <f t="shared" si="124"/>
        <v>249538.016</v>
      </c>
      <c r="AI277" s="287">
        <f t="shared" si="125"/>
        <v>214602.69376000002</v>
      </c>
      <c r="AJ277" s="287">
        <f t="shared" si="126"/>
        <v>0</v>
      </c>
      <c r="AK277" s="287">
        <f t="shared" si="127"/>
        <v>0</v>
      </c>
      <c r="AL277" s="287">
        <f t="shared" si="128"/>
        <v>114.18859612160001</v>
      </c>
      <c r="AM277" s="287">
        <f t="shared" si="129"/>
        <v>98.202192664576017</v>
      </c>
      <c r="AN277" s="287">
        <f t="shared" si="130"/>
        <v>32.335000570798741</v>
      </c>
      <c r="AO277" s="287">
        <f t="shared" si="131"/>
        <v>27.808100490886918</v>
      </c>
      <c r="AP277" s="287">
        <f t="shared" si="132"/>
        <v>345330</v>
      </c>
      <c r="AQ277" s="287">
        <f t="shared" si="133"/>
        <v>296983.80000000005</v>
      </c>
      <c r="AR277" s="287">
        <f t="shared" si="134"/>
        <v>0</v>
      </c>
      <c r="AS277" s="289" t="e">
        <f>IF(J277='2027 Avoided Costs'!#REF!,3,5)</f>
        <v>#REF!</v>
      </c>
      <c r="AT277" s="290" cm="1">
        <f t="array" ref="AT277">IFERROR(IF($J277="Baseload",IF($O277=1,0,NPV('2027 Avoided Costs'!$D$6,_xlfn._xlws.FILTER('2027 Avoided Costs'!$C$14:$C$47,('2027 Avoided Costs'!$B$14:$B$47&gt;=$B277+1)*('2027 Avoided Costs'!$B$14:$B$47&lt;$B277+ROUND($O277,0)))))+_xlfn.XLOOKUP($B277,'2027 Avoided Costs'!$B$13:$B$47,'2027 Avoided Costs'!$C$13:$C$47),IF($O277=1,0,NPV('2027 Avoided Costs'!$D$6,_xlfn._xlws.FILTER('2027 Avoided Costs'!$E$14:$E$47,('2027 Avoided Costs'!$B$14:$B$47&gt;=$B277+1)*('2027 Avoided Costs'!$B$14:$B$47&lt;$B277+ROUND($O277,0)))))+_xlfn.XLOOKUP($B277,'2027 Avoided Costs'!$B$13:$B$47,'2027 Avoided Costs'!$E$13:$E$47))*IF($AE277&gt;0,$AE277*(1+$W277),0),0)</f>
        <v>420795.92444707092</v>
      </c>
      <c r="AU277" s="290" cm="1">
        <f t="array" ref="AU277">IFERROR((IF($O277=1,0,NPV('2027 Avoided Costs'!$D$6,_xlfn._xlws.FILTER('2027 Avoided Costs'!$M$14:$M$47,('2027 Avoided Costs'!$B$14:$B$47&gt;=$B277+1)*('2027 Avoided Costs'!$B$14:$B$47&lt;$B277+ROUND($O277,0)))))+_xlfn.XLOOKUP($B277,'2027 Avoided Costs'!$B$13:$B$47,'2027 Avoided Costs'!$M$13:$M$47))*IF($AK277&gt;0,$AK277*(1+$W277),0),0)</f>
        <v>0</v>
      </c>
      <c r="AV277" s="291" cm="1">
        <f t="array" ref="AV277">IFERROR((IF($O277=1,0,NPV('2027 Avoided Costs'!$D$6,_xlfn._xlws.FILTER('2027 Avoided Costs'!$Q$14:$Q$47,('2027 Avoided Costs'!$B$14:$B$47&gt;=$B277+1)*('2027 Avoided Costs'!$B$14:$B$47&lt;$B277+ROUND($O277,0)))))+_xlfn.XLOOKUP($B277,'2027 Avoided Costs'!$B$13:$B$47,'2027 Avoided Costs'!$Q$13:$Q$47))*IF($AI277&gt;0,$AI277*(1+$W277),0),0)</f>
        <v>105050.05220759929</v>
      </c>
      <c r="AW277" s="291" cm="1">
        <f t="array" ref="AW277">IFERROR((IF($O277=1,0,NPV('2027 Avoided Costs'!$D$6,_xlfn._xlws.FILTER('2027 Avoided Costs'!$W$14:$W$47,('2027 Avoided Costs'!$B$14:$B$47&gt;=$B277+1)*('2027 Avoided Costs'!$B$14:$B$47&lt;$B277+ROUND($O277,0)))))+_xlfn.XLOOKUP($B277,'2027 Avoided Costs'!$B$13:$B$47,'2027 Avoided Costs'!$W$13:$W$47))*IF($AM277&gt;0,$AM277*(1+$W277),0),0)</f>
        <v>302831.45068853535</v>
      </c>
      <c r="AX277" s="291" cm="1">
        <f t="array" ref="AX277">IFERROR((IF($O277=1,0,NPV('2027 Avoided Costs'!$D$6,_xlfn._xlws.FILTER('2027 Avoided Costs'!$AC$14:$AC$47,('2027 Avoided Costs'!$B$14:$B$47&gt;=$B277+1)*('2027 Avoided Costs'!$B$14:$B$47&lt;$B277+ROUND($O277,0)))))+_xlfn.XLOOKUP($B277,'2027 Avoided Costs'!$B$13:$B$47,'2027 Avoided Costs'!$AC$13:$AC$47))*IF($AO277&gt;0,$AO277*(1+$W277),0),0)</f>
        <v>0</v>
      </c>
      <c r="AY277" s="291" cm="1">
        <f t="array" ref="AY277">IFERROR((IF($O277=1,0,NPV('2027 Avoided Costs'!$D$4,_xlfn._xlws.FILTER('2027 Avoided Costs'!$I$14:$I$47,('2027 Avoided Costs'!$B$14:$B$47&gt;=$B277+1)*('2027 Avoided Costs'!$B$14:$B$47&lt;$B277+ROUND($O277,0)))))+_xlfn.XLOOKUP($B277,'2027 Avoided Costs'!$B$13:$B$47,'2027 Avoided Costs'!$I$13:$I$47))*IF($X277="Residential",'2027 Avoided Costs'!$J$5,IF($X277="Large Volume",'2027 Avoided Costs'!$J$7,'2027 Avoided Costs'!$J$6))*IF($AE277&gt;0,$AE277,0),0)</f>
        <v>0</v>
      </c>
      <c r="AZ277" s="291" cm="1">
        <f t="array" ref="AZ277">IFERROR(IF($J277="Baseload",IF($O277=1,0,NPV('2027 Avoided Costs'!$D$6,_xlfn._xlws.FILTER('2027 Avoided Costs'!$C$14:$C$47,('2027 Avoided Costs'!$B$14:$B$47&gt;=$B277+1)*('2027 Avoided Costs'!$B$14:$B$47&lt;$B277+ROUND($O277,0)))))+_xlfn.XLOOKUP($B277,'2027 Avoided Costs'!$B$13:$B$47,'2027 Avoided Costs'!$C$13:$C$47),IF($O277=1,0,NPV('2027 Avoided Costs'!$D$6,_xlfn._xlws.FILTER('2027 Avoided Costs'!$E$14:$E$47,('2027 Avoided Costs'!$B$14:$B$47&gt;=$B277+1)*('2027 Avoided Costs'!$B$14:$B$47&lt;$B277+ROUND($O277,0)))))+_xlfn.XLOOKUP($B277,'2027 Avoided Costs'!$B$13:$B$47,'2027 Avoided Costs'!$E$13:$E$47))*IF($AE277&lt;0,$AE277*(-1),0),0)</f>
        <v>0</v>
      </c>
      <c r="BA277" s="291" cm="1">
        <f t="array" ref="BA277">IFERROR((IF($O277=1,0,NPV('2027 Avoided Costs'!$D$6,_xlfn._xlws.FILTER('2027 Avoided Costs'!$M$14:$M$47,('2027 Avoided Costs'!$B$14:$B$47&gt;=$B277+1)*('2027 Avoided Costs'!$B$14:$B$47&lt;$B277+ROUND($O277,0)))))+_xlfn.XLOOKUP($B277,'2027 Avoided Costs'!$B$13:$B$47,'2027 Avoided Costs'!$M$13:$M$47))*IF($AK277&lt;0,$AK277*(-1),0),0)</f>
        <v>0</v>
      </c>
      <c r="BB277" s="291" cm="1">
        <f t="array" ref="BB277">IFERROR((IF($O277=1,0,NPV('2027 Avoided Costs'!$D$6,_xlfn._xlws.FILTER('2027 Avoided Costs'!$S$14:$S$47,('2027 Avoided Costs'!$B$14:$B$47&gt;=$B277+1)*('2027 Avoided Costs'!$B$14:$B$47&lt;$B277+ROUND($O277,0)))))+_xlfn.XLOOKUP($B277,'2027 Avoided Costs'!$B$13:$B$47,'2027 Avoided Costs'!$S$13:$S$47))*IF($AI277&lt;0,$AI277*(-1),0),0)</f>
        <v>0</v>
      </c>
      <c r="BC277" s="291" cm="1">
        <f t="array" ref="BC277">IFERROR((IF($O277=1,0,NPV('2027 Avoided Costs'!$D$6,_xlfn._xlws.FILTER('2027 Avoided Costs'!$Y$14:$Y$47,('2027 Avoided Costs'!$B$14:$B$47&gt;=$B277+1)*('2027 Avoided Costs'!$B$14:$B$47&lt;$B277+ROUND($O277,0)))))+_xlfn.XLOOKUP($B277,'2027 Avoided Costs'!$B$13:$B$47,'2027 Avoided Costs'!$Y$13:$Y$47))*IF($AM277&lt;0,$AM277*(-1),0),0)</f>
        <v>0</v>
      </c>
      <c r="BD277" s="291" cm="1">
        <f t="array" ref="BD277">IFERROR((IF($O277=1,0,NPV('2027 Avoided Costs'!$D$6,_xlfn._xlws.FILTER('2027 Avoided Costs'!$AE$14:$AE$47,('2027 Avoided Costs'!$B$14:$B$47&gt;=$B277+1)*('2027 Avoided Costs'!$B$14:$B$47&lt;$B277+ROUND($O277,0)))))+_xlfn.XLOOKUP($B277,'2027 Avoided Costs'!$B$13:$B$47,'2027 Avoided Costs'!$AE$13:$AE$47))*IF($AO277&lt;0,$AO277*(-1),0),0)</f>
        <v>0</v>
      </c>
      <c r="BE277" s="291" cm="1">
        <f t="array" ref="BE277">IFERROR((IF($O277=1,0,NPV('2027 Avoided Costs'!$D$4,_xlfn._xlws.FILTER('2027 Avoided Costs'!$I$14:$I$47,('2027 Avoided Costs'!$B$14:$B$47&gt;=$B277+1)*('2027 Avoided Costs'!$B$14:$B$47&lt;$B277+ROUND($O277,0)))))+_xlfn.XLOOKUP($B277,'2027 Avoided Costs'!$B$13:$B$47,'2027 Avoided Costs'!$I$13:$I$47))*IF($X277="Residential",'2027 Avoided Costs'!$J$5,IF($X277="Large Volume",'2027 Avoided Costs'!$J$7,'2027 Avoided Costs'!$J$6))*IF($AE277&lt;0,$AE277*(-1),0),0)</f>
        <v>0</v>
      </c>
      <c r="BF277" s="291">
        <f t="shared" si="111"/>
        <v>828677.42734320555</v>
      </c>
      <c r="BG277" s="291">
        <f t="shared" si="112"/>
        <v>296983.80000000005</v>
      </c>
      <c r="BH277" s="291">
        <f t="shared" si="113"/>
        <v>531693.6273432055</v>
      </c>
      <c r="BI277" s="292">
        <f t="shared" si="137"/>
        <v>2.7903118868544525</v>
      </c>
      <c r="BJ277" s="196" cm="1">
        <f t="array" ref="BJ277">IFERROR(IF($J277="Baseload",IF($O277=1,0,NPV('2027 Avoided Costs'!$D$6,_xlfn._xlws.FILTER('2027 Avoided Costs'!$C$14:$C$47,('2027 Avoided Costs'!$B$14:$B$47&gt;=$B277+1)*('2027 Avoided Costs'!$B$14:$B$47&lt;$B277+ROUND($O277,0)))))+_xlfn.XLOOKUP($B277,'2027 Avoided Costs'!$B$13:$B$47,'2027 Avoided Costs'!$C$13:$C$47),IF($O277=1,0,NPV('2027 Avoided Costs'!$D$6,_xlfn._xlws.FILTER('2027 Avoided Costs'!$E$14:$E$47,('2027 Avoided Costs'!$B$14:$B$47&gt;=$B277+1)*('2027 Avoided Costs'!$B$14:$B$47&lt;$B277+ROUND($O277,0)))))+_xlfn.XLOOKUP($B277,'2027 Avoided Costs'!$B$13:$B$47,'2027 Avoided Costs'!$E$13:$E$47))*IF($AE277&gt;0,$AE277*(1+0),0),0)</f>
        <v>365909.49951919215</v>
      </c>
      <c r="BK277" s="293">
        <f t="shared" si="135"/>
        <v>2.1171643729310392</v>
      </c>
    </row>
    <row r="278" spans="1:63" s="56" customFormat="1" x14ac:dyDescent="0.25">
      <c r="A278" s="270" t="s">
        <v>133</v>
      </c>
      <c r="B278" s="271">
        <v>2028</v>
      </c>
      <c r="C278" s="272" t="s">
        <v>11</v>
      </c>
      <c r="D278" s="272" t="s">
        <v>160</v>
      </c>
      <c r="E278" s="272" t="s">
        <v>123</v>
      </c>
      <c r="F278" s="273">
        <v>150</v>
      </c>
      <c r="G278" s="274">
        <v>100</v>
      </c>
      <c r="H278" s="275">
        <f t="shared" si="115"/>
        <v>0.68965517241379315</v>
      </c>
      <c r="I278" s="274">
        <v>0</v>
      </c>
      <c r="J278" s="276" t="s">
        <v>264</v>
      </c>
      <c r="K278" s="277">
        <f t="shared" si="114"/>
        <v>0.8600000000000001</v>
      </c>
      <c r="L278" s="278">
        <v>0.21</v>
      </c>
      <c r="M278" s="278">
        <v>7.0000000000000007E-2</v>
      </c>
      <c r="N278" s="278">
        <v>1</v>
      </c>
      <c r="O278" s="279">
        <v>10</v>
      </c>
      <c r="P278" s="280">
        <v>145</v>
      </c>
      <c r="Q278" s="281">
        <v>217</v>
      </c>
      <c r="R278" s="282">
        <v>9.9299200000000004E-2</v>
      </c>
      <c r="S278" s="282">
        <v>2.8118742131312473E-2</v>
      </c>
      <c r="T278" s="281">
        <v>0</v>
      </c>
      <c r="U278" s="283">
        <v>0</v>
      </c>
      <c r="V278" s="284">
        <v>305</v>
      </c>
      <c r="W278" s="285">
        <v>0.15</v>
      </c>
      <c r="X278" s="286" t="s">
        <v>11</v>
      </c>
      <c r="Y278" s="287">
        <f t="shared" si="116"/>
        <v>150</v>
      </c>
      <c r="Z278" s="288">
        <f t="shared" si="117"/>
        <v>15000</v>
      </c>
      <c r="AA278" s="288">
        <f t="shared" si="118"/>
        <v>0</v>
      </c>
      <c r="AB278" s="288">
        <f t="shared" si="119"/>
        <v>15300</v>
      </c>
      <c r="AC278" s="288">
        <f t="shared" si="136"/>
        <v>0</v>
      </c>
      <c r="AD278" s="287">
        <f t="shared" si="120"/>
        <v>21750</v>
      </c>
      <c r="AE278" s="287">
        <f t="shared" si="121"/>
        <v>18705.000000000004</v>
      </c>
      <c r="AF278" s="287">
        <f t="shared" si="122"/>
        <v>217500</v>
      </c>
      <c r="AG278" s="287">
        <f t="shared" si="123"/>
        <v>187050.00000000003</v>
      </c>
      <c r="AH278" s="287">
        <f t="shared" si="124"/>
        <v>34893.599999999999</v>
      </c>
      <c r="AI278" s="287">
        <f t="shared" si="125"/>
        <v>30008.496000000006</v>
      </c>
      <c r="AJ278" s="287">
        <f t="shared" si="126"/>
        <v>0</v>
      </c>
      <c r="AK278" s="287">
        <f t="shared" si="127"/>
        <v>0</v>
      </c>
      <c r="AL278" s="287">
        <f t="shared" si="128"/>
        <v>15.967311360000002</v>
      </c>
      <c r="AM278" s="287">
        <f t="shared" si="129"/>
        <v>13.731887769600004</v>
      </c>
      <c r="AN278" s="287">
        <f t="shared" si="130"/>
        <v>4.5214937347150457</v>
      </c>
      <c r="AO278" s="287">
        <f t="shared" si="131"/>
        <v>3.8884846118549401</v>
      </c>
      <c r="AP278" s="287">
        <f t="shared" si="132"/>
        <v>45750</v>
      </c>
      <c r="AQ278" s="287">
        <f t="shared" si="133"/>
        <v>39345.000000000007</v>
      </c>
      <c r="AR278" s="287">
        <f t="shared" si="134"/>
        <v>0</v>
      </c>
      <c r="AS278" s="289" t="e">
        <f>IF(J278='2027 Avoided Costs'!#REF!,3,5)</f>
        <v>#REF!</v>
      </c>
      <c r="AT278" s="290" cm="1">
        <f t="array" ref="AT278">IFERROR(IF($J278="Baseload",IF($O278=1,0,NPV('2027 Avoided Costs'!$D$6,_xlfn._xlws.FILTER('2027 Avoided Costs'!$C$14:$C$47,('2027 Avoided Costs'!$B$14:$B$47&gt;=$B278+1)*('2027 Avoided Costs'!$B$14:$B$47&lt;$B278+ROUND($O278,0)))))+_xlfn.XLOOKUP($B278,'2027 Avoided Costs'!$B$13:$B$47,'2027 Avoided Costs'!$C$13:$C$47),IF($O278=1,0,NPV('2027 Avoided Costs'!$D$6,_xlfn._xlws.FILTER('2027 Avoided Costs'!$E$14:$E$47,('2027 Avoided Costs'!$B$14:$B$47&gt;=$B278+1)*('2027 Avoided Costs'!$B$14:$B$47&lt;$B278+ROUND($O278,0)))))+_xlfn.XLOOKUP($B278,'2027 Avoided Costs'!$B$13:$B$47,'2027 Avoided Costs'!$E$13:$E$47))*IF($AE278&gt;0,$AE278*(1+$W278),0),0)</f>
        <v>55044.87494270641</v>
      </c>
      <c r="AU278" s="290" cm="1">
        <f t="array" ref="AU278">IFERROR((IF($O278=1,0,NPV('2027 Avoided Costs'!$D$6,_xlfn._xlws.FILTER('2027 Avoided Costs'!$M$14:$M$47,('2027 Avoided Costs'!$B$14:$B$47&gt;=$B278+1)*('2027 Avoided Costs'!$B$14:$B$47&lt;$B278+ROUND($O278,0)))))+_xlfn.XLOOKUP($B278,'2027 Avoided Costs'!$B$13:$B$47,'2027 Avoided Costs'!$M$13:$M$47))*IF($AK278&gt;0,$AK278*(1+$W278),0),0)</f>
        <v>0</v>
      </c>
      <c r="AV278" s="291" cm="1">
        <f t="array" ref="AV278">IFERROR((IF($O278=1,0,NPV('2027 Avoided Costs'!$D$6,_xlfn._xlws.FILTER('2027 Avoided Costs'!$Q$14:$Q$47,('2027 Avoided Costs'!$B$14:$B$47&gt;=$B278+1)*('2027 Avoided Costs'!$B$14:$B$47&lt;$B278+ROUND($O278,0)))))+_xlfn.XLOOKUP($B278,'2027 Avoided Costs'!$B$13:$B$47,'2027 Avoided Costs'!$Q$13:$Q$47))*IF($AI278&gt;0,$AI278*(1+$W278),0),0)</f>
        <v>14689.44315767537</v>
      </c>
      <c r="AW278" s="291" cm="1">
        <f t="array" ref="AW278">IFERROR((IF($O278=1,0,NPV('2027 Avoided Costs'!$D$6,_xlfn._xlws.FILTER('2027 Avoided Costs'!$W$14:$W$47,('2027 Avoided Costs'!$B$14:$B$47&gt;=$B278+1)*('2027 Avoided Costs'!$B$14:$B$47&lt;$B278+ROUND($O278,0)))))+_xlfn.XLOOKUP($B278,'2027 Avoided Costs'!$B$13:$B$47,'2027 Avoided Costs'!$W$13:$W$47))*IF($AM278&gt;0,$AM278*(1+$W278),0),0)</f>
        <v>42345.770304375095</v>
      </c>
      <c r="AX278" s="291" cm="1">
        <f t="array" ref="AX278">IFERROR((IF($O278=1,0,NPV('2027 Avoided Costs'!$D$6,_xlfn._xlws.FILTER('2027 Avoided Costs'!$AC$14:$AC$47,('2027 Avoided Costs'!$B$14:$B$47&gt;=$B278+1)*('2027 Avoided Costs'!$B$14:$B$47&lt;$B278+ROUND($O278,0)))))+_xlfn.XLOOKUP($B278,'2027 Avoided Costs'!$B$13:$B$47,'2027 Avoided Costs'!$AC$13:$AC$47))*IF($AO278&gt;0,$AO278*(1+$W278),0),0)</f>
        <v>0</v>
      </c>
      <c r="AY278" s="291" cm="1">
        <f t="array" ref="AY278">IFERROR((IF($O278=1,0,NPV('2027 Avoided Costs'!$D$4,_xlfn._xlws.FILTER('2027 Avoided Costs'!$I$14:$I$47,('2027 Avoided Costs'!$B$14:$B$47&gt;=$B278+1)*('2027 Avoided Costs'!$B$14:$B$47&lt;$B278+ROUND($O278,0)))))+_xlfn.XLOOKUP($B278,'2027 Avoided Costs'!$B$13:$B$47,'2027 Avoided Costs'!$I$13:$I$47))*IF($X278="Residential",'2027 Avoided Costs'!$J$5,IF($X278="Large Volume",'2027 Avoided Costs'!$J$7,'2027 Avoided Costs'!$J$6))*IF($AE278&gt;0,$AE278,0),0)</f>
        <v>0</v>
      </c>
      <c r="AZ278" s="291" cm="1">
        <f t="array" ref="AZ278">IFERROR(IF($J278="Baseload",IF($O278=1,0,NPV('2027 Avoided Costs'!$D$6,_xlfn._xlws.FILTER('2027 Avoided Costs'!$C$14:$C$47,('2027 Avoided Costs'!$B$14:$B$47&gt;=$B278+1)*('2027 Avoided Costs'!$B$14:$B$47&lt;$B278+ROUND($O278,0)))))+_xlfn.XLOOKUP($B278,'2027 Avoided Costs'!$B$13:$B$47,'2027 Avoided Costs'!$C$13:$C$47),IF($O278=1,0,NPV('2027 Avoided Costs'!$D$6,_xlfn._xlws.FILTER('2027 Avoided Costs'!$E$14:$E$47,('2027 Avoided Costs'!$B$14:$B$47&gt;=$B278+1)*('2027 Avoided Costs'!$B$14:$B$47&lt;$B278+ROUND($O278,0)))))+_xlfn.XLOOKUP($B278,'2027 Avoided Costs'!$B$13:$B$47,'2027 Avoided Costs'!$E$13:$E$47))*IF($AE278&lt;0,$AE278*(-1),0),0)</f>
        <v>0</v>
      </c>
      <c r="BA278" s="291" cm="1">
        <f t="array" ref="BA278">IFERROR((IF($O278=1,0,NPV('2027 Avoided Costs'!$D$6,_xlfn._xlws.FILTER('2027 Avoided Costs'!$M$14:$M$47,('2027 Avoided Costs'!$B$14:$B$47&gt;=$B278+1)*('2027 Avoided Costs'!$B$14:$B$47&lt;$B278+ROUND($O278,0)))))+_xlfn.XLOOKUP($B278,'2027 Avoided Costs'!$B$13:$B$47,'2027 Avoided Costs'!$M$13:$M$47))*IF($AK278&lt;0,$AK278*(-1),0),0)</f>
        <v>0</v>
      </c>
      <c r="BB278" s="291" cm="1">
        <f t="array" ref="BB278">IFERROR((IF($O278=1,0,NPV('2027 Avoided Costs'!$D$6,_xlfn._xlws.FILTER('2027 Avoided Costs'!$S$14:$S$47,('2027 Avoided Costs'!$B$14:$B$47&gt;=$B278+1)*('2027 Avoided Costs'!$B$14:$B$47&lt;$B278+ROUND($O278,0)))))+_xlfn.XLOOKUP($B278,'2027 Avoided Costs'!$B$13:$B$47,'2027 Avoided Costs'!$S$13:$S$47))*IF($AI278&lt;0,$AI278*(-1),0),0)</f>
        <v>0</v>
      </c>
      <c r="BC278" s="291" cm="1">
        <f t="array" ref="BC278">IFERROR((IF($O278=1,0,NPV('2027 Avoided Costs'!$D$6,_xlfn._xlws.FILTER('2027 Avoided Costs'!$Y$14:$Y$47,('2027 Avoided Costs'!$B$14:$B$47&gt;=$B278+1)*('2027 Avoided Costs'!$B$14:$B$47&lt;$B278+ROUND($O278,0)))))+_xlfn.XLOOKUP($B278,'2027 Avoided Costs'!$B$13:$B$47,'2027 Avoided Costs'!$Y$13:$Y$47))*IF($AM278&lt;0,$AM278*(-1),0),0)</f>
        <v>0</v>
      </c>
      <c r="BD278" s="291" cm="1">
        <f t="array" ref="BD278">IFERROR((IF($O278=1,0,NPV('2027 Avoided Costs'!$D$6,_xlfn._xlws.FILTER('2027 Avoided Costs'!$AE$14:$AE$47,('2027 Avoided Costs'!$B$14:$B$47&gt;=$B278+1)*('2027 Avoided Costs'!$B$14:$B$47&lt;$B278+ROUND($O278,0)))))+_xlfn.XLOOKUP($B278,'2027 Avoided Costs'!$B$13:$B$47,'2027 Avoided Costs'!$AE$13:$AE$47))*IF($AO278&lt;0,$AO278*(-1),0),0)</f>
        <v>0</v>
      </c>
      <c r="BE278" s="291" cm="1">
        <f t="array" ref="BE278">IFERROR((IF($O278=1,0,NPV('2027 Avoided Costs'!$D$4,_xlfn._xlws.FILTER('2027 Avoided Costs'!$I$14:$I$47,('2027 Avoided Costs'!$B$14:$B$47&gt;=$B278+1)*('2027 Avoided Costs'!$B$14:$B$47&lt;$B278+ROUND($O278,0)))))+_xlfn.XLOOKUP($B278,'2027 Avoided Costs'!$B$13:$B$47,'2027 Avoided Costs'!$I$13:$I$47))*IF($X278="Residential",'2027 Avoided Costs'!$J$5,IF($X278="Large Volume",'2027 Avoided Costs'!$J$7,'2027 Avoided Costs'!$J$6))*IF($AE278&lt;0,$AE278*(-1),0),0)</f>
        <v>0</v>
      </c>
      <c r="BF278" s="291">
        <f t="shared" si="111"/>
        <v>112080.08840475688</v>
      </c>
      <c r="BG278" s="291">
        <f t="shared" si="112"/>
        <v>39345.000000000007</v>
      </c>
      <c r="BH278" s="291">
        <f t="shared" si="113"/>
        <v>72735.088404756883</v>
      </c>
      <c r="BI278" s="292">
        <f t="shared" si="137"/>
        <v>2.8486488347885848</v>
      </c>
      <c r="BJ278" s="196" cm="1">
        <f t="array" ref="BJ278">IFERROR(IF($J278="Baseload",IF($O278=1,0,NPV('2027 Avoided Costs'!$D$6,_xlfn._xlws.FILTER('2027 Avoided Costs'!$C$14:$C$47,('2027 Avoided Costs'!$B$14:$B$47&gt;=$B278+1)*('2027 Avoided Costs'!$B$14:$B$47&lt;$B278+ROUND($O278,0)))))+_xlfn.XLOOKUP($B278,'2027 Avoided Costs'!$B$13:$B$47,'2027 Avoided Costs'!$C$13:$C$47),IF($O278=1,0,NPV('2027 Avoided Costs'!$D$6,_xlfn._xlws.FILTER('2027 Avoided Costs'!$E$14:$E$47,('2027 Avoided Costs'!$B$14:$B$47&gt;=$B278+1)*('2027 Avoided Costs'!$B$14:$B$47&lt;$B278+ROUND($O278,0)))))+_xlfn.XLOOKUP($B278,'2027 Avoided Costs'!$B$13:$B$47,'2027 Avoided Costs'!$E$13:$E$47))*IF($AE278&gt;0,$AE278*(1+0),0),0)</f>
        <v>47865.108645831664</v>
      </c>
      <c r="BK278" s="293">
        <f t="shared" si="135"/>
        <v>3.1284384735837687</v>
      </c>
    </row>
    <row r="279" spans="1:63" s="56" customFormat="1" x14ac:dyDescent="0.25">
      <c r="A279" s="270" t="s">
        <v>133</v>
      </c>
      <c r="B279" s="271">
        <v>2028</v>
      </c>
      <c r="C279" s="272" t="s">
        <v>11</v>
      </c>
      <c r="D279" s="272" t="s">
        <v>160</v>
      </c>
      <c r="E279" s="272" t="s">
        <v>124</v>
      </c>
      <c r="F279" s="273">
        <v>10</v>
      </c>
      <c r="G279" s="274">
        <v>100</v>
      </c>
      <c r="H279" s="275">
        <f t="shared" si="115"/>
        <v>0.68965517241379315</v>
      </c>
      <c r="I279" s="274">
        <v>7.5</v>
      </c>
      <c r="J279" s="276" t="s">
        <v>264</v>
      </c>
      <c r="K279" s="277">
        <f t="shared" si="114"/>
        <v>0.8600000000000001</v>
      </c>
      <c r="L279" s="278">
        <v>0.21</v>
      </c>
      <c r="M279" s="278">
        <v>7.0000000000000007E-2</v>
      </c>
      <c r="N279" s="278">
        <v>1</v>
      </c>
      <c r="O279" s="279">
        <v>10</v>
      </c>
      <c r="P279" s="280">
        <v>145</v>
      </c>
      <c r="Q279" s="281">
        <v>217</v>
      </c>
      <c r="R279" s="282">
        <v>9.9299200000000004E-2</v>
      </c>
      <c r="S279" s="282">
        <v>2.8118742131312473E-2</v>
      </c>
      <c r="T279" s="281">
        <v>0</v>
      </c>
      <c r="U279" s="283">
        <v>0</v>
      </c>
      <c r="V279" s="284">
        <v>305</v>
      </c>
      <c r="W279" s="285">
        <v>0.15</v>
      </c>
      <c r="X279" s="286" t="s">
        <v>11</v>
      </c>
      <c r="Y279" s="287">
        <f t="shared" si="116"/>
        <v>10</v>
      </c>
      <c r="Z279" s="288">
        <f t="shared" si="117"/>
        <v>1000</v>
      </c>
      <c r="AA279" s="288">
        <f t="shared" si="118"/>
        <v>75</v>
      </c>
      <c r="AB279" s="288">
        <f t="shared" si="119"/>
        <v>1020</v>
      </c>
      <c r="AC279" s="288">
        <f t="shared" si="136"/>
        <v>76.290000000000006</v>
      </c>
      <c r="AD279" s="287">
        <f t="shared" si="120"/>
        <v>1450</v>
      </c>
      <c r="AE279" s="287">
        <f t="shared" si="121"/>
        <v>1247.0000000000002</v>
      </c>
      <c r="AF279" s="287">
        <f t="shared" si="122"/>
        <v>14500</v>
      </c>
      <c r="AG279" s="287">
        <f t="shared" si="123"/>
        <v>12470.000000000002</v>
      </c>
      <c r="AH279" s="287">
        <f t="shared" si="124"/>
        <v>2326.2400000000002</v>
      </c>
      <c r="AI279" s="287">
        <f t="shared" si="125"/>
        <v>2000.5664000000004</v>
      </c>
      <c r="AJ279" s="287">
        <f t="shared" si="126"/>
        <v>0</v>
      </c>
      <c r="AK279" s="287">
        <f t="shared" si="127"/>
        <v>0</v>
      </c>
      <c r="AL279" s="287">
        <f t="shared" si="128"/>
        <v>1.0644874240000002</v>
      </c>
      <c r="AM279" s="287">
        <f t="shared" si="129"/>
        <v>0.9154591846400002</v>
      </c>
      <c r="AN279" s="287">
        <f t="shared" si="130"/>
        <v>0.30143291564766972</v>
      </c>
      <c r="AO279" s="287">
        <f t="shared" si="131"/>
        <v>0.25923230745699599</v>
      </c>
      <c r="AP279" s="287">
        <f t="shared" si="132"/>
        <v>3050</v>
      </c>
      <c r="AQ279" s="287">
        <f t="shared" si="133"/>
        <v>2623.0000000000005</v>
      </c>
      <c r="AR279" s="287">
        <f t="shared" si="134"/>
        <v>0</v>
      </c>
      <c r="AS279" s="289" t="e">
        <f>IF(J279='2027 Avoided Costs'!#REF!,3,5)</f>
        <v>#REF!</v>
      </c>
      <c r="AT279" s="290" cm="1">
        <f t="array" ref="AT279">IFERROR(IF($J279="Baseload",IF($O279=1,0,NPV('2027 Avoided Costs'!$D$6,_xlfn._xlws.FILTER('2027 Avoided Costs'!$C$14:$C$47,('2027 Avoided Costs'!$B$14:$B$47&gt;=$B279+1)*('2027 Avoided Costs'!$B$14:$B$47&lt;$B279+ROUND($O279,0)))))+_xlfn.XLOOKUP($B279,'2027 Avoided Costs'!$B$13:$B$47,'2027 Avoided Costs'!$C$13:$C$47),IF($O279=1,0,NPV('2027 Avoided Costs'!$D$6,_xlfn._xlws.FILTER('2027 Avoided Costs'!$E$14:$E$47,('2027 Avoided Costs'!$B$14:$B$47&gt;=$B279+1)*('2027 Avoided Costs'!$B$14:$B$47&lt;$B279+ROUND($O279,0)))))+_xlfn.XLOOKUP($B279,'2027 Avoided Costs'!$B$13:$B$47,'2027 Avoided Costs'!$E$13:$E$47))*IF($AE279&gt;0,$AE279*(1+$W279),0),0)</f>
        <v>3669.6583295137602</v>
      </c>
      <c r="AU279" s="290" cm="1">
        <f t="array" ref="AU279">IFERROR((IF($O279=1,0,NPV('2027 Avoided Costs'!$D$6,_xlfn._xlws.FILTER('2027 Avoided Costs'!$M$14:$M$47,('2027 Avoided Costs'!$B$14:$B$47&gt;=$B279+1)*('2027 Avoided Costs'!$B$14:$B$47&lt;$B279+ROUND($O279,0)))))+_xlfn.XLOOKUP($B279,'2027 Avoided Costs'!$B$13:$B$47,'2027 Avoided Costs'!$M$13:$M$47))*IF($AK279&gt;0,$AK279*(1+$W279),0),0)</f>
        <v>0</v>
      </c>
      <c r="AV279" s="291" cm="1">
        <f t="array" ref="AV279">IFERROR((IF($O279=1,0,NPV('2027 Avoided Costs'!$D$6,_xlfn._xlws.FILTER('2027 Avoided Costs'!$Q$14:$Q$47,('2027 Avoided Costs'!$B$14:$B$47&gt;=$B279+1)*('2027 Avoided Costs'!$B$14:$B$47&lt;$B279+ROUND($O279,0)))))+_xlfn.XLOOKUP($B279,'2027 Avoided Costs'!$B$13:$B$47,'2027 Avoided Costs'!$Q$13:$Q$47))*IF($AI279&gt;0,$AI279*(1+$W279),0),0)</f>
        <v>979.29621051169136</v>
      </c>
      <c r="AW279" s="291" cm="1">
        <f t="array" ref="AW279">IFERROR((IF($O279=1,0,NPV('2027 Avoided Costs'!$D$6,_xlfn._xlws.FILTER('2027 Avoided Costs'!$W$14:$W$47,('2027 Avoided Costs'!$B$14:$B$47&gt;=$B279+1)*('2027 Avoided Costs'!$B$14:$B$47&lt;$B279+ROUND($O279,0)))))+_xlfn.XLOOKUP($B279,'2027 Avoided Costs'!$B$13:$B$47,'2027 Avoided Costs'!$W$13:$W$47))*IF($AM279&gt;0,$AM279*(1+$W279),0),0)</f>
        <v>2823.0513536250064</v>
      </c>
      <c r="AX279" s="291" cm="1">
        <f t="array" ref="AX279">IFERROR((IF($O279=1,0,NPV('2027 Avoided Costs'!$D$6,_xlfn._xlws.FILTER('2027 Avoided Costs'!$AC$14:$AC$47,('2027 Avoided Costs'!$B$14:$B$47&gt;=$B279+1)*('2027 Avoided Costs'!$B$14:$B$47&lt;$B279+ROUND($O279,0)))))+_xlfn.XLOOKUP($B279,'2027 Avoided Costs'!$B$13:$B$47,'2027 Avoided Costs'!$AC$13:$AC$47))*IF($AO279&gt;0,$AO279*(1+$W279),0),0)</f>
        <v>0</v>
      </c>
      <c r="AY279" s="291" cm="1">
        <f t="array" ref="AY279">IFERROR((IF($O279=1,0,NPV('2027 Avoided Costs'!$D$4,_xlfn._xlws.FILTER('2027 Avoided Costs'!$I$14:$I$47,('2027 Avoided Costs'!$B$14:$B$47&gt;=$B279+1)*('2027 Avoided Costs'!$B$14:$B$47&lt;$B279+ROUND($O279,0)))))+_xlfn.XLOOKUP($B279,'2027 Avoided Costs'!$B$13:$B$47,'2027 Avoided Costs'!$I$13:$I$47))*IF($X279="Residential",'2027 Avoided Costs'!$J$5,IF($X279="Large Volume",'2027 Avoided Costs'!$J$7,'2027 Avoided Costs'!$J$6))*IF($AE279&gt;0,$AE279,0),0)</f>
        <v>0</v>
      </c>
      <c r="AZ279" s="291" cm="1">
        <f t="array" ref="AZ279">IFERROR(IF($J279="Baseload",IF($O279=1,0,NPV('2027 Avoided Costs'!$D$6,_xlfn._xlws.FILTER('2027 Avoided Costs'!$C$14:$C$47,('2027 Avoided Costs'!$B$14:$B$47&gt;=$B279+1)*('2027 Avoided Costs'!$B$14:$B$47&lt;$B279+ROUND($O279,0)))))+_xlfn.XLOOKUP($B279,'2027 Avoided Costs'!$B$13:$B$47,'2027 Avoided Costs'!$C$13:$C$47),IF($O279=1,0,NPV('2027 Avoided Costs'!$D$6,_xlfn._xlws.FILTER('2027 Avoided Costs'!$E$14:$E$47,('2027 Avoided Costs'!$B$14:$B$47&gt;=$B279+1)*('2027 Avoided Costs'!$B$14:$B$47&lt;$B279+ROUND($O279,0)))))+_xlfn.XLOOKUP($B279,'2027 Avoided Costs'!$B$13:$B$47,'2027 Avoided Costs'!$E$13:$E$47))*IF($AE279&lt;0,$AE279*(-1),0),0)</f>
        <v>0</v>
      </c>
      <c r="BA279" s="291" cm="1">
        <f t="array" ref="BA279">IFERROR((IF($O279=1,0,NPV('2027 Avoided Costs'!$D$6,_xlfn._xlws.FILTER('2027 Avoided Costs'!$M$14:$M$47,('2027 Avoided Costs'!$B$14:$B$47&gt;=$B279+1)*('2027 Avoided Costs'!$B$14:$B$47&lt;$B279+ROUND($O279,0)))))+_xlfn.XLOOKUP($B279,'2027 Avoided Costs'!$B$13:$B$47,'2027 Avoided Costs'!$M$13:$M$47))*IF($AK279&lt;0,$AK279*(-1),0),0)</f>
        <v>0</v>
      </c>
      <c r="BB279" s="291" cm="1">
        <f t="array" ref="BB279">IFERROR((IF($O279=1,0,NPV('2027 Avoided Costs'!$D$6,_xlfn._xlws.FILTER('2027 Avoided Costs'!$S$14:$S$47,('2027 Avoided Costs'!$B$14:$B$47&gt;=$B279+1)*('2027 Avoided Costs'!$B$14:$B$47&lt;$B279+ROUND($O279,0)))))+_xlfn.XLOOKUP($B279,'2027 Avoided Costs'!$B$13:$B$47,'2027 Avoided Costs'!$S$13:$S$47))*IF($AI279&lt;0,$AI279*(-1),0),0)</f>
        <v>0</v>
      </c>
      <c r="BC279" s="291" cm="1">
        <f t="array" ref="BC279">IFERROR((IF($O279=1,0,NPV('2027 Avoided Costs'!$D$6,_xlfn._xlws.FILTER('2027 Avoided Costs'!$Y$14:$Y$47,('2027 Avoided Costs'!$B$14:$B$47&gt;=$B279+1)*('2027 Avoided Costs'!$B$14:$B$47&lt;$B279+ROUND($O279,0)))))+_xlfn.XLOOKUP($B279,'2027 Avoided Costs'!$B$13:$B$47,'2027 Avoided Costs'!$Y$13:$Y$47))*IF($AM279&lt;0,$AM279*(-1),0),0)</f>
        <v>0</v>
      </c>
      <c r="BD279" s="291" cm="1">
        <f t="array" ref="BD279">IFERROR((IF($O279=1,0,NPV('2027 Avoided Costs'!$D$6,_xlfn._xlws.FILTER('2027 Avoided Costs'!$AE$14:$AE$47,('2027 Avoided Costs'!$B$14:$B$47&gt;=$B279+1)*('2027 Avoided Costs'!$B$14:$B$47&lt;$B279+ROUND($O279,0)))))+_xlfn.XLOOKUP($B279,'2027 Avoided Costs'!$B$13:$B$47,'2027 Avoided Costs'!$AE$13:$AE$47))*IF($AO279&lt;0,$AO279*(-1),0),0)</f>
        <v>0</v>
      </c>
      <c r="BE279" s="291" cm="1">
        <f t="array" ref="BE279">IFERROR((IF($O279=1,0,NPV('2027 Avoided Costs'!$D$4,_xlfn._xlws.FILTER('2027 Avoided Costs'!$I$14:$I$47,('2027 Avoided Costs'!$B$14:$B$47&gt;=$B279+1)*('2027 Avoided Costs'!$B$14:$B$47&lt;$B279+ROUND($O279,0)))))+_xlfn.XLOOKUP($B279,'2027 Avoided Costs'!$B$13:$B$47,'2027 Avoided Costs'!$I$13:$I$47))*IF($X279="Residential",'2027 Avoided Costs'!$J$5,IF($X279="Large Volume",'2027 Avoided Costs'!$J$7,'2027 Avoided Costs'!$J$6))*IF($AE279&lt;0,$AE279*(-1),0),0)</f>
        <v>0</v>
      </c>
      <c r="BF279" s="291">
        <f t="shared" si="111"/>
        <v>7472.0058936504583</v>
      </c>
      <c r="BG279" s="291">
        <f t="shared" si="112"/>
        <v>2623.0000000000005</v>
      </c>
      <c r="BH279" s="291">
        <f t="shared" si="113"/>
        <v>4849.0058936504574</v>
      </c>
      <c r="BI279" s="292">
        <f t="shared" si="137"/>
        <v>2.8486488347885843</v>
      </c>
      <c r="BJ279" s="196" cm="1">
        <f t="array" ref="BJ279">IFERROR(IF($J279="Baseload",IF($O279=1,0,NPV('2027 Avoided Costs'!$D$6,_xlfn._xlws.FILTER('2027 Avoided Costs'!$C$14:$C$47,('2027 Avoided Costs'!$B$14:$B$47&gt;=$B279+1)*('2027 Avoided Costs'!$B$14:$B$47&lt;$B279+ROUND($O279,0)))))+_xlfn.XLOOKUP($B279,'2027 Avoided Costs'!$B$13:$B$47,'2027 Avoided Costs'!$C$13:$C$47),IF($O279=1,0,NPV('2027 Avoided Costs'!$D$6,_xlfn._xlws.FILTER('2027 Avoided Costs'!$E$14:$E$47,('2027 Avoided Costs'!$B$14:$B$47&gt;=$B279+1)*('2027 Avoided Costs'!$B$14:$B$47&lt;$B279+ROUND($O279,0)))))+_xlfn.XLOOKUP($B279,'2027 Avoided Costs'!$B$13:$B$47,'2027 Avoided Costs'!$E$13:$E$47))*IF($AE279&gt;0,$AE279*(1+0),0),0)</f>
        <v>3191.0072430554442</v>
      </c>
      <c r="BK279" s="293">
        <f t="shared" si="135"/>
        <v>2.9107327833469649</v>
      </c>
    </row>
    <row r="280" spans="1:63" s="56" customFormat="1" x14ac:dyDescent="0.25">
      <c r="A280" s="270" t="s">
        <v>133</v>
      </c>
      <c r="B280" s="271">
        <v>2029</v>
      </c>
      <c r="C280" s="272" t="s">
        <v>11</v>
      </c>
      <c r="D280" s="272" t="s">
        <v>160</v>
      </c>
      <c r="E280" s="272" t="s">
        <v>339</v>
      </c>
      <c r="F280" s="273">
        <v>13360</v>
      </c>
      <c r="G280" s="274">
        <v>100</v>
      </c>
      <c r="H280" s="275">
        <f t="shared" si="115"/>
        <v>0.76923076923076927</v>
      </c>
      <c r="I280" s="274">
        <v>0</v>
      </c>
      <c r="J280" s="276" t="s">
        <v>264</v>
      </c>
      <c r="K280" s="277">
        <f t="shared" si="114"/>
        <v>0.8600000000000001</v>
      </c>
      <c r="L280" s="278">
        <v>0.21</v>
      </c>
      <c r="M280" s="278">
        <v>7.0000000000000007E-2</v>
      </c>
      <c r="N280" s="278">
        <v>1</v>
      </c>
      <c r="O280" s="279">
        <v>10</v>
      </c>
      <c r="P280" s="280">
        <v>130</v>
      </c>
      <c r="Q280" s="281">
        <v>182</v>
      </c>
      <c r="R280" s="282">
        <v>8.3283200000000002E-2</v>
      </c>
      <c r="S280" s="282">
        <v>2.3583461142391106E-2</v>
      </c>
      <c r="T280" s="281">
        <v>0</v>
      </c>
      <c r="U280" s="283">
        <v>0</v>
      </c>
      <c r="V280" s="284">
        <v>270</v>
      </c>
      <c r="W280" s="285">
        <v>0.15</v>
      </c>
      <c r="X280" s="286" t="s">
        <v>11</v>
      </c>
      <c r="Y280" s="287">
        <f t="shared" si="116"/>
        <v>13360</v>
      </c>
      <c r="Z280" s="288">
        <f t="shared" si="117"/>
        <v>1336000</v>
      </c>
      <c r="AA280" s="288">
        <f t="shared" si="118"/>
        <v>0</v>
      </c>
      <c r="AB280" s="288">
        <f t="shared" si="119"/>
        <v>1389974.4</v>
      </c>
      <c r="AC280" s="288">
        <f t="shared" si="136"/>
        <v>0</v>
      </c>
      <c r="AD280" s="287">
        <f t="shared" si="120"/>
        <v>1736800</v>
      </c>
      <c r="AE280" s="287">
        <f t="shared" si="121"/>
        <v>1493648.0000000002</v>
      </c>
      <c r="AF280" s="287">
        <f t="shared" si="122"/>
        <v>17368000</v>
      </c>
      <c r="AG280" s="287">
        <f t="shared" si="123"/>
        <v>14936480.000000002</v>
      </c>
      <c r="AH280" s="287">
        <f t="shared" si="124"/>
        <v>2606589.44</v>
      </c>
      <c r="AI280" s="287">
        <f t="shared" si="125"/>
        <v>2241666.9184000003</v>
      </c>
      <c r="AJ280" s="287">
        <f t="shared" si="126"/>
        <v>0</v>
      </c>
      <c r="AK280" s="287">
        <f t="shared" si="127"/>
        <v>0</v>
      </c>
      <c r="AL280" s="287">
        <f t="shared" si="128"/>
        <v>1192.7753277440002</v>
      </c>
      <c r="AM280" s="287">
        <f t="shared" si="129"/>
        <v>1025.7867818598402</v>
      </c>
      <c r="AN280" s="287">
        <f t="shared" si="130"/>
        <v>337.76044380443409</v>
      </c>
      <c r="AO280" s="287">
        <f t="shared" si="131"/>
        <v>290.47398167181331</v>
      </c>
      <c r="AP280" s="287">
        <f t="shared" si="132"/>
        <v>3607200</v>
      </c>
      <c r="AQ280" s="287">
        <f t="shared" si="133"/>
        <v>3102192.0000000005</v>
      </c>
      <c r="AR280" s="287">
        <f t="shared" si="134"/>
        <v>0</v>
      </c>
      <c r="AS280" s="289" t="e">
        <f>IF(J280='2027 Avoided Costs'!#REF!,3,5)</f>
        <v>#REF!</v>
      </c>
      <c r="AT280" s="290" cm="1">
        <f t="array" ref="AT280">IFERROR(IF($J280="Baseload",IF($O280=1,0,NPV('2027 Avoided Costs'!$D$6,_xlfn._xlws.FILTER('2027 Avoided Costs'!$C$14:$C$47,('2027 Avoided Costs'!$B$14:$B$47&gt;=$B280+1)*('2027 Avoided Costs'!$B$14:$B$47&lt;$B280+ROUND($O280,0)))))+_xlfn.XLOOKUP($B280,'2027 Avoided Costs'!$B$13:$B$47,'2027 Avoided Costs'!$C$13:$C$47),IF($O280=1,0,NPV('2027 Avoided Costs'!$D$6,_xlfn._xlws.FILTER('2027 Avoided Costs'!$E$14:$E$47,('2027 Avoided Costs'!$B$14:$B$47&gt;=$B280+1)*('2027 Avoided Costs'!$B$14:$B$47&lt;$B280+ROUND($O280,0)))))+_xlfn.XLOOKUP($B280,'2027 Avoided Costs'!$B$13:$B$47,'2027 Avoided Costs'!$E$13:$E$47))*IF($AE280&gt;0,$AE280*(1+$W280),0),0)</f>
        <v>4556417.8390889</v>
      </c>
      <c r="AU280" s="290" cm="1">
        <f t="array" ref="AU280">IFERROR((IF($O280=1,0,NPV('2027 Avoided Costs'!$D$6,_xlfn._xlws.FILTER('2027 Avoided Costs'!$M$14:$M$47,('2027 Avoided Costs'!$B$14:$B$47&gt;=$B280+1)*('2027 Avoided Costs'!$B$14:$B$47&lt;$B280+ROUND($O280,0)))))+_xlfn.XLOOKUP($B280,'2027 Avoided Costs'!$B$13:$B$47,'2027 Avoided Costs'!$M$13:$M$47))*IF($AK280&gt;0,$AK280*(1+$W280),0),0)</f>
        <v>0</v>
      </c>
      <c r="AV280" s="291" cm="1">
        <f t="array" ref="AV280">IFERROR((IF($O280=1,0,NPV('2027 Avoided Costs'!$D$6,_xlfn._xlws.FILTER('2027 Avoided Costs'!$Q$14:$Q$47,('2027 Avoided Costs'!$B$14:$B$47&gt;=$B280+1)*('2027 Avoided Costs'!$B$14:$B$47&lt;$B280+ROUND($O280,0)))))+_xlfn.XLOOKUP($B280,'2027 Avoided Costs'!$B$13:$B$47,'2027 Avoided Costs'!$Q$13:$Q$47))*IF($AI280&gt;0,$AI280*(1+$W280),0),0)</f>
        <v>1058625.7752068748</v>
      </c>
      <c r="AW280" s="291" cm="1">
        <f t="array" ref="AW280">IFERROR((IF($O280=1,0,NPV('2027 Avoided Costs'!$D$6,_xlfn._xlws.FILTER('2027 Avoided Costs'!$W$14:$W$47,('2027 Avoided Costs'!$B$14:$B$47&gt;=$B280+1)*('2027 Avoided Costs'!$B$14:$B$47&lt;$B280+ROUND($O280,0)))))+_xlfn.XLOOKUP($B280,'2027 Avoided Costs'!$B$13:$B$47,'2027 Avoided Costs'!$W$13:$W$47))*IF($AM280&gt;0,$AM280*(1+$W280),0),0)</f>
        <v>3344891.6306399414</v>
      </c>
      <c r="AX280" s="291" cm="1">
        <f t="array" ref="AX280">IFERROR((IF($O280=1,0,NPV('2027 Avoided Costs'!$D$6,_xlfn._xlws.FILTER('2027 Avoided Costs'!$AC$14:$AC$47,('2027 Avoided Costs'!$B$14:$B$47&gt;=$B280+1)*('2027 Avoided Costs'!$B$14:$B$47&lt;$B280+ROUND($O280,0)))))+_xlfn.XLOOKUP($B280,'2027 Avoided Costs'!$B$13:$B$47,'2027 Avoided Costs'!$AC$13:$AC$47))*IF($AO280&gt;0,$AO280*(1+$W280),0),0)</f>
        <v>0</v>
      </c>
      <c r="AY280" s="291" cm="1">
        <f t="array" ref="AY280">IFERROR((IF($O280=1,0,NPV('2027 Avoided Costs'!$D$4,_xlfn._xlws.FILTER('2027 Avoided Costs'!$I$14:$I$47,('2027 Avoided Costs'!$B$14:$B$47&gt;=$B280+1)*('2027 Avoided Costs'!$B$14:$B$47&lt;$B280+ROUND($O280,0)))))+_xlfn.XLOOKUP($B280,'2027 Avoided Costs'!$B$13:$B$47,'2027 Avoided Costs'!$I$13:$I$47))*IF($X280="Residential",'2027 Avoided Costs'!$J$5,IF($X280="Large Volume",'2027 Avoided Costs'!$J$7,'2027 Avoided Costs'!$J$6))*IF($AE280&gt;0,$AE280,0),0)</f>
        <v>0</v>
      </c>
      <c r="AZ280" s="291" cm="1">
        <f t="array" ref="AZ280">IFERROR(IF($J280="Baseload",IF($O280=1,0,NPV('2027 Avoided Costs'!$D$6,_xlfn._xlws.FILTER('2027 Avoided Costs'!$C$14:$C$47,('2027 Avoided Costs'!$B$14:$B$47&gt;=$B280+1)*('2027 Avoided Costs'!$B$14:$B$47&lt;$B280+ROUND($O280,0)))))+_xlfn.XLOOKUP($B280,'2027 Avoided Costs'!$B$13:$B$47,'2027 Avoided Costs'!$C$13:$C$47),IF($O280=1,0,NPV('2027 Avoided Costs'!$D$6,_xlfn._xlws.FILTER('2027 Avoided Costs'!$E$14:$E$47,('2027 Avoided Costs'!$B$14:$B$47&gt;=$B280+1)*('2027 Avoided Costs'!$B$14:$B$47&lt;$B280+ROUND($O280,0)))))+_xlfn.XLOOKUP($B280,'2027 Avoided Costs'!$B$13:$B$47,'2027 Avoided Costs'!$E$13:$E$47))*IF($AE280&lt;0,$AE280*(-1),0),0)</f>
        <v>0</v>
      </c>
      <c r="BA280" s="291" cm="1">
        <f t="array" ref="BA280">IFERROR((IF($O280=1,0,NPV('2027 Avoided Costs'!$D$6,_xlfn._xlws.FILTER('2027 Avoided Costs'!$M$14:$M$47,('2027 Avoided Costs'!$B$14:$B$47&gt;=$B280+1)*('2027 Avoided Costs'!$B$14:$B$47&lt;$B280+ROUND($O280,0)))))+_xlfn.XLOOKUP($B280,'2027 Avoided Costs'!$B$13:$B$47,'2027 Avoided Costs'!$M$13:$M$47))*IF($AK280&lt;0,$AK280*(-1),0),0)</f>
        <v>0</v>
      </c>
      <c r="BB280" s="291" cm="1">
        <f t="array" ref="BB280">IFERROR((IF($O280=1,0,NPV('2027 Avoided Costs'!$D$6,_xlfn._xlws.FILTER('2027 Avoided Costs'!$S$14:$S$47,('2027 Avoided Costs'!$B$14:$B$47&gt;=$B280+1)*('2027 Avoided Costs'!$B$14:$B$47&lt;$B280+ROUND($O280,0)))))+_xlfn.XLOOKUP($B280,'2027 Avoided Costs'!$B$13:$B$47,'2027 Avoided Costs'!$S$13:$S$47))*IF($AI280&lt;0,$AI280*(-1),0),0)</f>
        <v>0</v>
      </c>
      <c r="BC280" s="291" cm="1">
        <f t="array" ref="BC280">IFERROR((IF($O280=1,0,NPV('2027 Avoided Costs'!$D$6,_xlfn._xlws.FILTER('2027 Avoided Costs'!$Y$14:$Y$47,('2027 Avoided Costs'!$B$14:$B$47&gt;=$B280+1)*('2027 Avoided Costs'!$B$14:$B$47&lt;$B280+ROUND($O280,0)))))+_xlfn.XLOOKUP($B280,'2027 Avoided Costs'!$B$13:$B$47,'2027 Avoided Costs'!$Y$13:$Y$47))*IF($AM280&lt;0,$AM280*(-1),0),0)</f>
        <v>0</v>
      </c>
      <c r="BD280" s="291" cm="1">
        <f t="array" ref="BD280">IFERROR((IF($O280=1,0,NPV('2027 Avoided Costs'!$D$6,_xlfn._xlws.FILTER('2027 Avoided Costs'!$AE$14:$AE$47,('2027 Avoided Costs'!$B$14:$B$47&gt;=$B280+1)*('2027 Avoided Costs'!$B$14:$B$47&lt;$B280+ROUND($O280,0)))))+_xlfn.XLOOKUP($B280,'2027 Avoided Costs'!$B$13:$B$47,'2027 Avoided Costs'!$AE$13:$AE$47))*IF($AO280&lt;0,$AO280*(-1),0),0)</f>
        <v>0</v>
      </c>
      <c r="BE280" s="291" cm="1">
        <f t="array" ref="BE280">IFERROR((IF($O280=1,0,NPV('2027 Avoided Costs'!$D$4,_xlfn._xlws.FILTER('2027 Avoided Costs'!$I$14:$I$47,('2027 Avoided Costs'!$B$14:$B$47&gt;=$B280+1)*('2027 Avoided Costs'!$B$14:$B$47&lt;$B280+ROUND($O280,0)))))+_xlfn.XLOOKUP($B280,'2027 Avoided Costs'!$B$13:$B$47,'2027 Avoided Costs'!$I$13:$I$47))*IF($X280="Residential",'2027 Avoided Costs'!$J$5,IF($X280="Large Volume",'2027 Avoided Costs'!$J$7,'2027 Avoided Costs'!$J$6))*IF($AE280&lt;0,$AE280*(-1),0),0)</f>
        <v>0</v>
      </c>
      <c r="BF280" s="291">
        <f t="shared" si="111"/>
        <v>8959935.2449357174</v>
      </c>
      <c r="BG280" s="291">
        <f t="shared" si="112"/>
        <v>3102192.0000000005</v>
      </c>
      <c r="BH280" s="291">
        <f t="shared" si="113"/>
        <v>5857743.2449357174</v>
      </c>
      <c r="BI280" s="292">
        <f t="shared" si="137"/>
        <v>2.8882594130007799</v>
      </c>
      <c r="BJ280" s="196" cm="1">
        <f t="array" ref="BJ280">IFERROR(IF($J280="Baseload",IF($O280=1,0,NPV('2027 Avoided Costs'!$D$6,_xlfn._xlws.FILTER('2027 Avoided Costs'!$C$14:$C$47,('2027 Avoided Costs'!$B$14:$B$47&gt;=$B280+1)*('2027 Avoided Costs'!$B$14:$B$47&lt;$B280+ROUND($O280,0)))))+_xlfn.XLOOKUP($B280,'2027 Avoided Costs'!$B$13:$B$47,'2027 Avoided Costs'!$C$13:$C$47),IF($O280=1,0,NPV('2027 Avoided Costs'!$D$6,_xlfn._xlws.FILTER('2027 Avoided Costs'!$E$14:$E$47,('2027 Avoided Costs'!$B$14:$B$47&gt;=$B280+1)*('2027 Avoided Costs'!$B$14:$B$47&lt;$B280+ROUND($O280,0)))))+_xlfn.XLOOKUP($B280,'2027 Avoided Costs'!$B$13:$B$47,'2027 Avoided Costs'!$E$13:$E$47))*IF($AE280&gt;0,$AE280*(1+0),0),0)</f>
        <v>3962102.4687729566</v>
      </c>
      <c r="BK280" s="293">
        <f t="shared" si="135"/>
        <v>2.8504859289300271</v>
      </c>
    </row>
    <row r="281" spans="1:63" s="56" customFormat="1" x14ac:dyDescent="0.25">
      <c r="A281" s="270" t="s">
        <v>133</v>
      </c>
      <c r="B281" s="271">
        <v>2029</v>
      </c>
      <c r="C281" s="272" t="s">
        <v>11</v>
      </c>
      <c r="D281" s="272" t="s">
        <v>160</v>
      </c>
      <c r="E281" s="272" t="s">
        <v>125</v>
      </c>
      <c r="F281" s="273">
        <v>1706</v>
      </c>
      <c r="G281" s="274">
        <v>100</v>
      </c>
      <c r="H281" s="275">
        <f t="shared" si="115"/>
        <v>0.76923076923076927</v>
      </c>
      <c r="I281" s="274">
        <v>7.5</v>
      </c>
      <c r="J281" s="276" t="s">
        <v>264</v>
      </c>
      <c r="K281" s="277">
        <f t="shared" si="114"/>
        <v>0.8600000000000001</v>
      </c>
      <c r="L281" s="278">
        <v>0.21</v>
      </c>
      <c r="M281" s="278">
        <v>7.0000000000000007E-2</v>
      </c>
      <c r="N281" s="278">
        <v>1</v>
      </c>
      <c r="O281" s="279">
        <v>10</v>
      </c>
      <c r="P281" s="280">
        <v>130</v>
      </c>
      <c r="Q281" s="281">
        <v>182</v>
      </c>
      <c r="R281" s="282">
        <v>8.3283200000000002E-2</v>
      </c>
      <c r="S281" s="282">
        <v>2.3583461142391106E-2</v>
      </c>
      <c r="T281" s="281">
        <v>0</v>
      </c>
      <c r="U281" s="283">
        <v>0</v>
      </c>
      <c r="V281" s="284">
        <v>270</v>
      </c>
      <c r="W281" s="285">
        <v>0.15</v>
      </c>
      <c r="X281" s="286" t="s">
        <v>11</v>
      </c>
      <c r="Y281" s="287">
        <f t="shared" si="116"/>
        <v>1706</v>
      </c>
      <c r="Z281" s="288">
        <f t="shared" si="117"/>
        <v>170600</v>
      </c>
      <c r="AA281" s="288">
        <f t="shared" si="118"/>
        <v>12795</v>
      </c>
      <c r="AB281" s="288">
        <f t="shared" si="119"/>
        <v>177492.24</v>
      </c>
      <c r="AC281" s="288">
        <f t="shared" si="136"/>
        <v>13238.933272800003</v>
      </c>
      <c r="AD281" s="287">
        <f t="shared" si="120"/>
        <v>221780</v>
      </c>
      <c r="AE281" s="287">
        <f t="shared" si="121"/>
        <v>190730.80000000002</v>
      </c>
      <c r="AF281" s="287">
        <f t="shared" si="122"/>
        <v>2217800</v>
      </c>
      <c r="AG281" s="287">
        <f t="shared" si="123"/>
        <v>1907308.0000000002</v>
      </c>
      <c r="AH281" s="287">
        <f t="shared" si="124"/>
        <v>332847.424</v>
      </c>
      <c r="AI281" s="287">
        <f t="shared" si="125"/>
        <v>286248.78464000003</v>
      </c>
      <c r="AJ281" s="287">
        <f t="shared" si="126"/>
        <v>0</v>
      </c>
      <c r="AK281" s="287">
        <f t="shared" si="127"/>
        <v>0</v>
      </c>
      <c r="AL281" s="287">
        <f t="shared" si="128"/>
        <v>152.31098122240002</v>
      </c>
      <c r="AM281" s="287">
        <f t="shared" si="129"/>
        <v>130.98744385126403</v>
      </c>
      <c r="AN281" s="287">
        <f t="shared" si="130"/>
        <v>43.130188407961413</v>
      </c>
      <c r="AO281" s="287">
        <f t="shared" si="131"/>
        <v>37.091962030846815</v>
      </c>
      <c r="AP281" s="287">
        <f t="shared" si="132"/>
        <v>460620</v>
      </c>
      <c r="AQ281" s="287">
        <f t="shared" si="133"/>
        <v>396133.20000000007</v>
      </c>
      <c r="AR281" s="287">
        <f t="shared" si="134"/>
        <v>0</v>
      </c>
      <c r="AS281" s="289" t="e">
        <f>IF(J281='2027 Avoided Costs'!#REF!,3,5)</f>
        <v>#REF!</v>
      </c>
      <c r="AT281" s="290" cm="1">
        <f t="array" ref="AT281">IFERROR(IF($J281="Baseload",IF($O281=1,0,NPV('2027 Avoided Costs'!$D$6,_xlfn._xlws.FILTER('2027 Avoided Costs'!$C$14:$C$47,('2027 Avoided Costs'!$B$14:$B$47&gt;=$B281+1)*('2027 Avoided Costs'!$B$14:$B$47&lt;$B281+ROUND($O281,0)))))+_xlfn.XLOOKUP($B281,'2027 Avoided Costs'!$B$13:$B$47,'2027 Avoided Costs'!$C$13:$C$47),IF($O281=1,0,NPV('2027 Avoided Costs'!$D$6,_xlfn._xlws.FILTER('2027 Avoided Costs'!$E$14:$E$47,('2027 Avoided Costs'!$B$14:$B$47&gt;=$B281+1)*('2027 Avoided Costs'!$B$14:$B$47&lt;$B281+ROUND($O281,0)))))+_xlfn.XLOOKUP($B281,'2027 Avoided Costs'!$B$13:$B$47,'2027 Avoided Costs'!$E$13:$E$47))*IF($AE281&gt;0,$AE281*(1+$W281),0),0)</f>
        <v>581830.00250641187</v>
      </c>
      <c r="AU281" s="290" cm="1">
        <f t="array" ref="AU281">IFERROR((IF($O281=1,0,NPV('2027 Avoided Costs'!$D$6,_xlfn._xlws.FILTER('2027 Avoided Costs'!$M$14:$M$47,('2027 Avoided Costs'!$B$14:$B$47&gt;=$B281+1)*('2027 Avoided Costs'!$B$14:$B$47&lt;$B281+ROUND($O281,0)))))+_xlfn.XLOOKUP($B281,'2027 Avoided Costs'!$B$13:$B$47,'2027 Avoided Costs'!$M$13:$M$47))*IF($AK281&gt;0,$AK281*(1+$W281),0),0)</f>
        <v>0</v>
      </c>
      <c r="AV281" s="291" cm="1">
        <f t="array" ref="AV281">IFERROR((IF($O281=1,0,NPV('2027 Avoided Costs'!$D$6,_xlfn._xlws.FILTER('2027 Avoided Costs'!$Q$14:$Q$47,('2027 Avoided Costs'!$B$14:$B$47&gt;=$B281+1)*('2027 Avoided Costs'!$B$14:$B$47&lt;$B281+ROUND($O281,0)))))+_xlfn.XLOOKUP($B281,'2027 Avoided Costs'!$B$13:$B$47,'2027 Avoided Costs'!$Q$13:$Q$47))*IF($AI281&gt;0,$AI281*(1+$W281),0),0)</f>
        <v>135180.80632506948</v>
      </c>
      <c r="AW281" s="291" cm="1">
        <f t="array" ref="AW281">IFERROR((IF($O281=1,0,NPV('2027 Avoided Costs'!$D$6,_xlfn._xlws.FILTER('2027 Avoided Costs'!$W$14:$W$47,('2027 Avoided Costs'!$B$14:$B$47&gt;=$B281+1)*('2027 Avoided Costs'!$B$14:$B$47&lt;$B281+ROUND($O281,0)))))+_xlfn.XLOOKUP($B281,'2027 Avoided Costs'!$B$13:$B$47,'2027 Avoided Costs'!$W$13:$W$47))*IF($AM281&gt;0,$AM281*(1+$W281),0),0)</f>
        <v>427124.6348706393</v>
      </c>
      <c r="AX281" s="291" cm="1">
        <f t="array" ref="AX281">IFERROR((IF($O281=1,0,NPV('2027 Avoided Costs'!$D$6,_xlfn._xlws.FILTER('2027 Avoided Costs'!$AC$14:$AC$47,('2027 Avoided Costs'!$B$14:$B$47&gt;=$B281+1)*('2027 Avoided Costs'!$B$14:$B$47&lt;$B281+ROUND($O281,0)))))+_xlfn.XLOOKUP($B281,'2027 Avoided Costs'!$B$13:$B$47,'2027 Avoided Costs'!$AC$13:$AC$47))*IF($AO281&gt;0,$AO281*(1+$W281),0),0)</f>
        <v>0</v>
      </c>
      <c r="AY281" s="291" cm="1">
        <f t="array" ref="AY281">IFERROR((IF($O281=1,0,NPV('2027 Avoided Costs'!$D$4,_xlfn._xlws.FILTER('2027 Avoided Costs'!$I$14:$I$47,('2027 Avoided Costs'!$B$14:$B$47&gt;=$B281+1)*('2027 Avoided Costs'!$B$14:$B$47&lt;$B281+ROUND($O281,0)))))+_xlfn.XLOOKUP($B281,'2027 Avoided Costs'!$B$13:$B$47,'2027 Avoided Costs'!$I$13:$I$47))*IF($X281="Residential",'2027 Avoided Costs'!$J$5,IF($X281="Large Volume",'2027 Avoided Costs'!$J$7,'2027 Avoided Costs'!$J$6))*IF($AE281&gt;0,$AE281,0),0)</f>
        <v>0</v>
      </c>
      <c r="AZ281" s="291" cm="1">
        <f t="array" ref="AZ281">IFERROR(IF($J281="Baseload",IF($O281=1,0,NPV('2027 Avoided Costs'!$D$6,_xlfn._xlws.FILTER('2027 Avoided Costs'!$C$14:$C$47,('2027 Avoided Costs'!$B$14:$B$47&gt;=$B281+1)*('2027 Avoided Costs'!$B$14:$B$47&lt;$B281+ROUND($O281,0)))))+_xlfn.XLOOKUP($B281,'2027 Avoided Costs'!$B$13:$B$47,'2027 Avoided Costs'!$C$13:$C$47),IF($O281=1,0,NPV('2027 Avoided Costs'!$D$6,_xlfn._xlws.FILTER('2027 Avoided Costs'!$E$14:$E$47,('2027 Avoided Costs'!$B$14:$B$47&gt;=$B281+1)*('2027 Avoided Costs'!$B$14:$B$47&lt;$B281+ROUND($O281,0)))))+_xlfn.XLOOKUP($B281,'2027 Avoided Costs'!$B$13:$B$47,'2027 Avoided Costs'!$E$13:$E$47))*IF($AE281&lt;0,$AE281*(-1),0),0)</f>
        <v>0</v>
      </c>
      <c r="BA281" s="291" cm="1">
        <f t="array" ref="BA281">IFERROR((IF($O281=1,0,NPV('2027 Avoided Costs'!$D$6,_xlfn._xlws.FILTER('2027 Avoided Costs'!$M$14:$M$47,('2027 Avoided Costs'!$B$14:$B$47&gt;=$B281+1)*('2027 Avoided Costs'!$B$14:$B$47&lt;$B281+ROUND($O281,0)))))+_xlfn.XLOOKUP($B281,'2027 Avoided Costs'!$B$13:$B$47,'2027 Avoided Costs'!$M$13:$M$47))*IF($AK281&lt;0,$AK281*(-1),0),0)</f>
        <v>0</v>
      </c>
      <c r="BB281" s="291" cm="1">
        <f t="array" ref="BB281">IFERROR((IF($O281=1,0,NPV('2027 Avoided Costs'!$D$6,_xlfn._xlws.FILTER('2027 Avoided Costs'!$S$14:$S$47,('2027 Avoided Costs'!$B$14:$B$47&gt;=$B281+1)*('2027 Avoided Costs'!$B$14:$B$47&lt;$B281+ROUND($O281,0)))))+_xlfn.XLOOKUP($B281,'2027 Avoided Costs'!$B$13:$B$47,'2027 Avoided Costs'!$S$13:$S$47))*IF($AI281&lt;0,$AI281*(-1),0),0)</f>
        <v>0</v>
      </c>
      <c r="BC281" s="291" cm="1">
        <f t="array" ref="BC281">IFERROR((IF($O281=1,0,NPV('2027 Avoided Costs'!$D$6,_xlfn._xlws.FILTER('2027 Avoided Costs'!$Y$14:$Y$47,('2027 Avoided Costs'!$B$14:$B$47&gt;=$B281+1)*('2027 Avoided Costs'!$B$14:$B$47&lt;$B281+ROUND($O281,0)))))+_xlfn.XLOOKUP($B281,'2027 Avoided Costs'!$B$13:$B$47,'2027 Avoided Costs'!$Y$13:$Y$47))*IF($AM281&lt;0,$AM281*(-1),0),0)</f>
        <v>0</v>
      </c>
      <c r="BD281" s="291" cm="1">
        <f t="array" ref="BD281">IFERROR((IF($O281=1,0,NPV('2027 Avoided Costs'!$D$6,_xlfn._xlws.FILTER('2027 Avoided Costs'!$AE$14:$AE$47,('2027 Avoided Costs'!$B$14:$B$47&gt;=$B281+1)*('2027 Avoided Costs'!$B$14:$B$47&lt;$B281+ROUND($O281,0)))))+_xlfn.XLOOKUP($B281,'2027 Avoided Costs'!$B$13:$B$47,'2027 Avoided Costs'!$AE$13:$AE$47))*IF($AO281&lt;0,$AO281*(-1),0),0)</f>
        <v>0</v>
      </c>
      <c r="BE281" s="291" cm="1">
        <f t="array" ref="BE281">IFERROR((IF($O281=1,0,NPV('2027 Avoided Costs'!$D$4,_xlfn._xlws.FILTER('2027 Avoided Costs'!$I$14:$I$47,('2027 Avoided Costs'!$B$14:$B$47&gt;=$B281+1)*('2027 Avoided Costs'!$B$14:$B$47&lt;$B281+ROUND($O281,0)))))+_xlfn.XLOOKUP($B281,'2027 Avoided Costs'!$B$13:$B$47,'2027 Avoided Costs'!$I$13:$I$47))*IF($X281="Residential",'2027 Avoided Costs'!$J$5,IF($X281="Large Volume",'2027 Avoided Costs'!$J$7,'2027 Avoided Costs'!$J$6))*IF($AE281&lt;0,$AE281*(-1),0),0)</f>
        <v>0</v>
      </c>
      <c r="BF281" s="291">
        <f t="shared" si="111"/>
        <v>1144135.4437021208</v>
      </c>
      <c r="BG281" s="291">
        <f t="shared" si="112"/>
        <v>396133.20000000007</v>
      </c>
      <c r="BH281" s="291">
        <f t="shared" si="113"/>
        <v>748002.24370212073</v>
      </c>
      <c r="BI281" s="292">
        <f t="shared" si="137"/>
        <v>2.8882594130007799</v>
      </c>
      <c r="BJ281" s="196" cm="1">
        <f t="array" ref="BJ281">IFERROR(IF($J281="Baseload",IF($O281=1,0,NPV('2027 Avoided Costs'!$D$6,_xlfn._xlws.FILTER('2027 Avoided Costs'!$C$14:$C$47,('2027 Avoided Costs'!$B$14:$B$47&gt;=$B281+1)*('2027 Avoided Costs'!$B$14:$B$47&lt;$B281+ROUND($O281,0)))))+_xlfn.XLOOKUP($B281,'2027 Avoided Costs'!$B$13:$B$47,'2027 Avoided Costs'!$C$13:$C$47),IF($O281=1,0,NPV('2027 Avoided Costs'!$D$6,_xlfn._xlws.FILTER('2027 Avoided Costs'!$E$14:$E$47,('2027 Avoided Costs'!$B$14:$B$47&gt;=$B281+1)*('2027 Avoided Costs'!$B$14:$B$47&lt;$B281+ROUND($O281,0)))))+_xlfn.XLOOKUP($B281,'2027 Avoided Costs'!$B$13:$B$47,'2027 Avoided Costs'!$E$13:$E$47))*IF($AE281&gt;0,$AE281*(1+0),0),0)</f>
        <v>505939.13261427125</v>
      </c>
      <c r="BK281" s="293">
        <f t="shared" si="135"/>
        <v>2.6526294780907889</v>
      </c>
    </row>
    <row r="282" spans="1:63" s="56" customFormat="1" x14ac:dyDescent="0.25">
      <c r="A282" s="270" t="s">
        <v>133</v>
      </c>
      <c r="B282" s="271">
        <v>2029</v>
      </c>
      <c r="C282" s="272" t="s">
        <v>11</v>
      </c>
      <c r="D282" s="272" t="s">
        <v>160</v>
      </c>
      <c r="E282" s="272" t="s">
        <v>340</v>
      </c>
      <c r="F282" s="273">
        <v>11370</v>
      </c>
      <c r="G282" s="274">
        <v>125</v>
      </c>
      <c r="H282" s="275">
        <f t="shared" si="115"/>
        <v>0.96153846153846156</v>
      </c>
      <c r="I282" s="274">
        <v>0</v>
      </c>
      <c r="J282" s="276" t="s">
        <v>264</v>
      </c>
      <c r="K282" s="277">
        <f t="shared" si="114"/>
        <v>0.8600000000000001</v>
      </c>
      <c r="L282" s="278">
        <v>0.21</v>
      </c>
      <c r="M282" s="278">
        <v>7.0000000000000007E-2</v>
      </c>
      <c r="N282" s="278">
        <v>1</v>
      </c>
      <c r="O282" s="279">
        <v>10</v>
      </c>
      <c r="P282" s="280">
        <v>130</v>
      </c>
      <c r="Q282" s="281">
        <v>182</v>
      </c>
      <c r="R282" s="282">
        <v>8.3283200000000002E-2</v>
      </c>
      <c r="S282" s="282">
        <v>2.3583461142391106E-2</v>
      </c>
      <c r="T282" s="281">
        <v>0</v>
      </c>
      <c r="U282" s="283">
        <v>0</v>
      </c>
      <c r="V282" s="284">
        <v>270</v>
      </c>
      <c r="W282" s="285">
        <v>0.15</v>
      </c>
      <c r="X282" s="286" t="s">
        <v>11</v>
      </c>
      <c r="Y282" s="287">
        <f t="shared" si="116"/>
        <v>11370</v>
      </c>
      <c r="Z282" s="288">
        <f t="shared" si="117"/>
        <v>1421250</v>
      </c>
      <c r="AA282" s="288">
        <f t="shared" si="118"/>
        <v>0</v>
      </c>
      <c r="AB282" s="288">
        <f t="shared" si="119"/>
        <v>1478668.5</v>
      </c>
      <c r="AC282" s="288">
        <f t="shared" si="136"/>
        <v>0</v>
      </c>
      <c r="AD282" s="287">
        <f t="shared" si="120"/>
        <v>1478100</v>
      </c>
      <c r="AE282" s="287">
        <f t="shared" si="121"/>
        <v>1271166.0000000002</v>
      </c>
      <c r="AF282" s="287">
        <f t="shared" si="122"/>
        <v>14781000</v>
      </c>
      <c r="AG282" s="287">
        <f t="shared" si="123"/>
        <v>12711660.000000002</v>
      </c>
      <c r="AH282" s="287">
        <f t="shared" si="124"/>
        <v>2218332.48</v>
      </c>
      <c r="AI282" s="287">
        <f t="shared" si="125"/>
        <v>1907765.9328000003</v>
      </c>
      <c r="AJ282" s="287">
        <f t="shared" si="126"/>
        <v>0</v>
      </c>
      <c r="AK282" s="287">
        <f t="shared" si="127"/>
        <v>0</v>
      </c>
      <c r="AL282" s="287">
        <f t="shared" si="128"/>
        <v>1015.1089428480001</v>
      </c>
      <c r="AM282" s="287">
        <f t="shared" si="129"/>
        <v>872.99369084928014</v>
      </c>
      <c r="AN282" s="287">
        <f t="shared" si="130"/>
        <v>287.45031781859393</v>
      </c>
      <c r="AO282" s="287">
        <f t="shared" si="131"/>
        <v>247.20727332399079</v>
      </c>
      <c r="AP282" s="287">
        <f t="shared" si="132"/>
        <v>3069900</v>
      </c>
      <c r="AQ282" s="287">
        <f t="shared" si="133"/>
        <v>2640114.0000000005</v>
      </c>
      <c r="AR282" s="287">
        <f t="shared" si="134"/>
        <v>0</v>
      </c>
      <c r="AS282" s="289" t="e">
        <f>IF(J282='2027 Avoided Costs'!#REF!,3,5)</f>
        <v>#REF!</v>
      </c>
      <c r="AT282" s="290" cm="1">
        <f t="array" ref="AT282">IFERROR(IF($J282="Baseload",IF($O282=1,0,NPV('2027 Avoided Costs'!$D$6,_xlfn._xlws.FILTER('2027 Avoided Costs'!$C$14:$C$47,('2027 Avoided Costs'!$B$14:$B$47&gt;=$B282+1)*('2027 Avoided Costs'!$B$14:$B$47&lt;$B282+ROUND($O282,0)))))+_xlfn.XLOOKUP($B282,'2027 Avoided Costs'!$B$13:$B$47,'2027 Avoided Costs'!$C$13:$C$47),IF($O282=1,0,NPV('2027 Avoided Costs'!$D$6,_xlfn._xlws.FILTER('2027 Avoided Costs'!$E$14:$E$47,('2027 Avoided Costs'!$B$14:$B$47&gt;=$B282+1)*('2027 Avoided Costs'!$B$14:$B$47&lt;$B282+ROUND($O282,0)))))+_xlfn.XLOOKUP($B282,'2027 Avoided Costs'!$B$13:$B$47,'2027 Avoided Costs'!$E$13:$E$47))*IF($AE282&gt;0,$AE282*(1+$W282),0),0)</f>
        <v>3877729.8525779038</v>
      </c>
      <c r="AU282" s="290" cm="1">
        <f t="array" ref="AU282">IFERROR((IF($O282=1,0,NPV('2027 Avoided Costs'!$D$6,_xlfn._xlws.FILTER('2027 Avoided Costs'!$M$14:$M$47,('2027 Avoided Costs'!$B$14:$B$47&gt;=$B282+1)*('2027 Avoided Costs'!$B$14:$B$47&lt;$B282+ROUND($O282,0)))))+_xlfn.XLOOKUP($B282,'2027 Avoided Costs'!$B$13:$B$47,'2027 Avoided Costs'!$M$13:$M$47))*IF($AK282&gt;0,$AK282*(1+$W282),0),0)</f>
        <v>0</v>
      </c>
      <c r="AV282" s="291" cm="1">
        <f t="array" ref="AV282">IFERROR((IF($O282=1,0,NPV('2027 Avoided Costs'!$D$6,_xlfn._xlws.FILTER('2027 Avoided Costs'!$Q$14:$Q$47,('2027 Avoided Costs'!$B$14:$B$47&gt;=$B282+1)*('2027 Avoided Costs'!$B$14:$B$47&lt;$B282+ROUND($O282,0)))))+_xlfn.XLOOKUP($B282,'2027 Avoided Costs'!$B$13:$B$47,'2027 Avoided Costs'!$Q$13:$Q$47))*IF($AI282&gt;0,$AI282*(1+$W282),0),0)</f>
        <v>900941.24731303635</v>
      </c>
      <c r="AW282" s="291" cm="1">
        <f t="array" ref="AW282">IFERROR((IF($O282=1,0,NPV('2027 Avoided Costs'!$D$6,_xlfn._xlws.FILTER('2027 Avoided Costs'!$W$14:$W$47,('2027 Avoided Costs'!$B$14:$B$47&gt;=$B282+1)*('2027 Avoided Costs'!$B$14:$B$47&lt;$B282+ROUND($O282,0)))))+_xlfn.XLOOKUP($B282,'2027 Avoided Costs'!$B$13:$B$47,'2027 Avoided Costs'!$W$13:$W$47))*IF($AM282&gt;0,$AM282*(1+$W282),0),0)</f>
        <v>2846663.0120042018</v>
      </c>
      <c r="AX282" s="291" cm="1">
        <f t="array" ref="AX282">IFERROR((IF($O282=1,0,NPV('2027 Avoided Costs'!$D$6,_xlfn._xlws.FILTER('2027 Avoided Costs'!$AC$14:$AC$47,('2027 Avoided Costs'!$B$14:$B$47&gt;=$B282+1)*('2027 Avoided Costs'!$B$14:$B$47&lt;$B282+ROUND($O282,0)))))+_xlfn.XLOOKUP($B282,'2027 Avoided Costs'!$B$13:$B$47,'2027 Avoided Costs'!$AC$13:$AC$47))*IF($AO282&gt;0,$AO282*(1+$W282),0),0)</f>
        <v>0</v>
      </c>
      <c r="AY282" s="291" cm="1">
        <f t="array" ref="AY282">IFERROR((IF($O282=1,0,NPV('2027 Avoided Costs'!$D$4,_xlfn._xlws.FILTER('2027 Avoided Costs'!$I$14:$I$47,('2027 Avoided Costs'!$B$14:$B$47&gt;=$B282+1)*('2027 Avoided Costs'!$B$14:$B$47&lt;$B282+ROUND($O282,0)))))+_xlfn.XLOOKUP($B282,'2027 Avoided Costs'!$B$13:$B$47,'2027 Avoided Costs'!$I$13:$I$47))*IF($X282="Residential",'2027 Avoided Costs'!$J$5,IF($X282="Large Volume",'2027 Avoided Costs'!$J$7,'2027 Avoided Costs'!$J$6))*IF($AE282&gt;0,$AE282,0),0)</f>
        <v>0</v>
      </c>
      <c r="AZ282" s="291" cm="1">
        <f t="array" ref="AZ282">IFERROR(IF($J282="Baseload",IF($O282=1,0,NPV('2027 Avoided Costs'!$D$6,_xlfn._xlws.FILTER('2027 Avoided Costs'!$C$14:$C$47,('2027 Avoided Costs'!$B$14:$B$47&gt;=$B282+1)*('2027 Avoided Costs'!$B$14:$B$47&lt;$B282+ROUND($O282,0)))))+_xlfn.XLOOKUP($B282,'2027 Avoided Costs'!$B$13:$B$47,'2027 Avoided Costs'!$C$13:$C$47),IF($O282=1,0,NPV('2027 Avoided Costs'!$D$6,_xlfn._xlws.FILTER('2027 Avoided Costs'!$E$14:$E$47,('2027 Avoided Costs'!$B$14:$B$47&gt;=$B282+1)*('2027 Avoided Costs'!$B$14:$B$47&lt;$B282+ROUND($O282,0)))))+_xlfn.XLOOKUP($B282,'2027 Avoided Costs'!$B$13:$B$47,'2027 Avoided Costs'!$E$13:$E$47))*IF($AE282&lt;0,$AE282*(-1),0),0)</f>
        <v>0</v>
      </c>
      <c r="BA282" s="291" cm="1">
        <f t="array" ref="BA282">IFERROR((IF($O282=1,0,NPV('2027 Avoided Costs'!$D$6,_xlfn._xlws.FILTER('2027 Avoided Costs'!$M$14:$M$47,('2027 Avoided Costs'!$B$14:$B$47&gt;=$B282+1)*('2027 Avoided Costs'!$B$14:$B$47&lt;$B282+ROUND($O282,0)))))+_xlfn.XLOOKUP($B282,'2027 Avoided Costs'!$B$13:$B$47,'2027 Avoided Costs'!$M$13:$M$47))*IF($AK282&lt;0,$AK282*(-1),0),0)</f>
        <v>0</v>
      </c>
      <c r="BB282" s="291" cm="1">
        <f t="array" ref="BB282">IFERROR((IF($O282=1,0,NPV('2027 Avoided Costs'!$D$6,_xlfn._xlws.FILTER('2027 Avoided Costs'!$S$14:$S$47,('2027 Avoided Costs'!$B$14:$B$47&gt;=$B282+1)*('2027 Avoided Costs'!$B$14:$B$47&lt;$B282+ROUND($O282,0)))))+_xlfn.XLOOKUP($B282,'2027 Avoided Costs'!$B$13:$B$47,'2027 Avoided Costs'!$S$13:$S$47))*IF($AI282&lt;0,$AI282*(-1),0),0)</f>
        <v>0</v>
      </c>
      <c r="BC282" s="291" cm="1">
        <f t="array" ref="BC282">IFERROR((IF($O282=1,0,NPV('2027 Avoided Costs'!$D$6,_xlfn._xlws.FILTER('2027 Avoided Costs'!$Y$14:$Y$47,('2027 Avoided Costs'!$B$14:$B$47&gt;=$B282+1)*('2027 Avoided Costs'!$B$14:$B$47&lt;$B282+ROUND($O282,0)))))+_xlfn.XLOOKUP($B282,'2027 Avoided Costs'!$B$13:$B$47,'2027 Avoided Costs'!$Y$13:$Y$47))*IF($AM282&lt;0,$AM282*(-1),0),0)</f>
        <v>0</v>
      </c>
      <c r="BD282" s="291" cm="1">
        <f t="array" ref="BD282">IFERROR((IF($O282=1,0,NPV('2027 Avoided Costs'!$D$6,_xlfn._xlws.FILTER('2027 Avoided Costs'!$AE$14:$AE$47,('2027 Avoided Costs'!$B$14:$B$47&gt;=$B282+1)*('2027 Avoided Costs'!$B$14:$B$47&lt;$B282+ROUND($O282,0)))))+_xlfn.XLOOKUP($B282,'2027 Avoided Costs'!$B$13:$B$47,'2027 Avoided Costs'!$AE$13:$AE$47))*IF($AO282&lt;0,$AO282*(-1),0),0)</f>
        <v>0</v>
      </c>
      <c r="BE282" s="291" cm="1">
        <f t="array" ref="BE282">IFERROR((IF($O282=1,0,NPV('2027 Avoided Costs'!$D$4,_xlfn._xlws.FILTER('2027 Avoided Costs'!$I$14:$I$47,('2027 Avoided Costs'!$B$14:$B$47&gt;=$B282+1)*('2027 Avoided Costs'!$B$14:$B$47&lt;$B282+ROUND($O282,0)))))+_xlfn.XLOOKUP($B282,'2027 Avoided Costs'!$B$13:$B$47,'2027 Avoided Costs'!$I$13:$I$47))*IF($X282="Residential",'2027 Avoided Costs'!$J$5,IF($X282="Large Volume",'2027 Avoided Costs'!$J$7,'2027 Avoided Costs'!$J$6))*IF($AE282&lt;0,$AE282*(-1),0),0)</f>
        <v>0</v>
      </c>
      <c r="BF282" s="291">
        <f t="shared" si="111"/>
        <v>7625334.1118951421</v>
      </c>
      <c r="BG282" s="291">
        <f t="shared" si="112"/>
        <v>2640114.0000000005</v>
      </c>
      <c r="BH282" s="291">
        <f t="shared" si="113"/>
        <v>4985220.1118951421</v>
      </c>
      <c r="BI282" s="292">
        <f t="shared" si="137"/>
        <v>2.8882594130007799</v>
      </c>
      <c r="BJ282" s="196" cm="1">
        <f t="array" ref="BJ282">IFERROR(IF($J282="Baseload",IF($O282=1,0,NPV('2027 Avoided Costs'!$D$6,_xlfn._xlws.FILTER('2027 Avoided Costs'!$C$14:$C$47,('2027 Avoided Costs'!$B$14:$B$47&gt;=$B282+1)*('2027 Avoided Costs'!$B$14:$B$47&lt;$B282+ROUND($O282,0)))))+_xlfn.XLOOKUP($B282,'2027 Avoided Costs'!$B$13:$B$47,'2027 Avoided Costs'!$C$13:$C$47),IF($O282=1,0,NPV('2027 Avoided Costs'!$D$6,_xlfn._xlws.FILTER('2027 Avoided Costs'!$E$14:$E$47,('2027 Avoided Costs'!$B$14:$B$47&gt;=$B282+1)*('2027 Avoided Costs'!$B$14:$B$47&lt;$B282+ROUND($O282,0)))))+_xlfn.XLOOKUP($B282,'2027 Avoided Costs'!$B$13:$B$47,'2027 Avoided Costs'!$E$13:$E$47))*IF($AE282&gt;0,$AE282*(1+0),0),0)</f>
        <v>3371939.0022416557</v>
      </c>
      <c r="BK282" s="293">
        <f t="shared" si="135"/>
        <v>2.2803887431440217</v>
      </c>
    </row>
    <row r="283" spans="1:63" s="56" customFormat="1" x14ac:dyDescent="0.25">
      <c r="A283" s="270" t="s">
        <v>133</v>
      </c>
      <c r="B283" s="271">
        <v>2029</v>
      </c>
      <c r="C283" s="272" t="s">
        <v>11</v>
      </c>
      <c r="D283" s="272" t="s">
        <v>160</v>
      </c>
      <c r="E283" s="272" t="s">
        <v>338</v>
      </c>
      <c r="F283" s="273">
        <v>1564</v>
      </c>
      <c r="G283" s="274">
        <v>125</v>
      </c>
      <c r="H283" s="275">
        <f t="shared" si="115"/>
        <v>0.96153846153846156</v>
      </c>
      <c r="I283" s="274">
        <v>7.5</v>
      </c>
      <c r="J283" s="276" t="s">
        <v>264</v>
      </c>
      <c r="K283" s="277">
        <f t="shared" si="114"/>
        <v>0.8600000000000001</v>
      </c>
      <c r="L283" s="278">
        <v>0.21</v>
      </c>
      <c r="M283" s="278">
        <v>7.0000000000000007E-2</v>
      </c>
      <c r="N283" s="278">
        <v>1</v>
      </c>
      <c r="O283" s="279">
        <v>10</v>
      </c>
      <c r="P283" s="280">
        <v>130</v>
      </c>
      <c r="Q283" s="281">
        <v>182</v>
      </c>
      <c r="R283" s="282">
        <v>8.3283200000000002E-2</v>
      </c>
      <c r="S283" s="282">
        <v>2.3583461142391106E-2</v>
      </c>
      <c r="T283" s="281">
        <v>0</v>
      </c>
      <c r="U283" s="283">
        <v>0</v>
      </c>
      <c r="V283" s="284">
        <v>270</v>
      </c>
      <c r="W283" s="285">
        <v>0.15</v>
      </c>
      <c r="X283" s="286" t="s">
        <v>11</v>
      </c>
      <c r="Y283" s="287">
        <f t="shared" si="116"/>
        <v>1564</v>
      </c>
      <c r="Z283" s="288">
        <f t="shared" si="117"/>
        <v>195500</v>
      </c>
      <c r="AA283" s="288">
        <f t="shared" si="118"/>
        <v>11730</v>
      </c>
      <c r="AB283" s="288">
        <f t="shared" si="119"/>
        <v>203398.2</v>
      </c>
      <c r="AC283" s="288">
        <f t="shared" si="136"/>
        <v>12136.982203200001</v>
      </c>
      <c r="AD283" s="287">
        <f t="shared" si="120"/>
        <v>203320</v>
      </c>
      <c r="AE283" s="287">
        <f t="shared" si="121"/>
        <v>174855.2</v>
      </c>
      <c r="AF283" s="287">
        <f t="shared" si="122"/>
        <v>2033200</v>
      </c>
      <c r="AG283" s="287">
        <f t="shared" si="123"/>
        <v>1748552</v>
      </c>
      <c r="AH283" s="287">
        <f t="shared" si="124"/>
        <v>305142.65600000002</v>
      </c>
      <c r="AI283" s="287">
        <f t="shared" si="125"/>
        <v>262422.68416000006</v>
      </c>
      <c r="AJ283" s="287">
        <f t="shared" si="126"/>
        <v>0</v>
      </c>
      <c r="AK283" s="287">
        <f t="shared" si="127"/>
        <v>0</v>
      </c>
      <c r="AL283" s="287">
        <f t="shared" si="128"/>
        <v>139.63327938560002</v>
      </c>
      <c r="AM283" s="287">
        <f t="shared" si="129"/>
        <v>120.08462027161602</v>
      </c>
      <c r="AN283" s="287">
        <f t="shared" si="130"/>
        <v>39.540219619022068</v>
      </c>
      <c r="AO283" s="287">
        <f t="shared" si="131"/>
        <v>34.00458887235898</v>
      </c>
      <c r="AP283" s="287">
        <f t="shared" si="132"/>
        <v>422280</v>
      </c>
      <c r="AQ283" s="287">
        <f t="shared" si="133"/>
        <v>363160.80000000005</v>
      </c>
      <c r="AR283" s="287">
        <f t="shared" si="134"/>
        <v>0</v>
      </c>
      <c r="AS283" s="289" t="e">
        <f>IF(J283='2027 Avoided Costs'!#REF!,3,5)</f>
        <v>#REF!</v>
      </c>
      <c r="AT283" s="290" cm="1">
        <f t="array" ref="AT283">IFERROR(IF($J283="Baseload",IF($O283=1,0,NPV('2027 Avoided Costs'!$D$6,_xlfn._xlws.FILTER('2027 Avoided Costs'!$C$14:$C$47,('2027 Avoided Costs'!$B$14:$B$47&gt;=$B283+1)*('2027 Avoided Costs'!$B$14:$B$47&lt;$B283+ROUND($O283,0)))))+_xlfn.XLOOKUP($B283,'2027 Avoided Costs'!$B$13:$B$47,'2027 Avoided Costs'!$C$13:$C$47),IF($O283=1,0,NPV('2027 Avoided Costs'!$D$6,_xlfn._xlws.FILTER('2027 Avoided Costs'!$E$14:$E$47,('2027 Avoided Costs'!$B$14:$B$47&gt;=$B283+1)*('2027 Avoided Costs'!$B$14:$B$47&lt;$B283+ROUND($O283,0)))))+_xlfn.XLOOKUP($B283,'2027 Avoided Costs'!$B$13:$B$47,'2027 Avoided Costs'!$E$13:$E$47))*IF($AE283&gt;0,$AE283*(1+$W283),0),0)</f>
        <v>533401.01050411968</v>
      </c>
      <c r="AU283" s="290" cm="1">
        <f t="array" ref="AU283">IFERROR((IF($O283=1,0,NPV('2027 Avoided Costs'!$D$6,_xlfn._xlws.FILTER('2027 Avoided Costs'!$M$14:$M$47,('2027 Avoided Costs'!$B$14:$B$47&gt;=$B283+1)*('2027 Avoided Costs'!$B$14:$B$47&lt;$B283+ROUND($O283,0)))))+_xlfn.XLOOKUP($B283,'2027 Avoided Costs'!$B$13:$B$47,'2027 Avoided Costs'!$M$13:$M$47))*IF($AK283&gt;0,$AK283*(1+$W283),0),0)</f>
        <v>0</v>
      </c>
      <c r="AV283" s="291" cm="1">
        <f t="array" ref="AV283">IFERROR((IF($O283=1,0,NPV('2027 Avoided Costs'!$D$6,_xlfn._xlws.FILTER('2027 Avoided Costs'!$Q$14:$Q$47,('2027 Avoided Costs'!$B$14:$B$47&gt;=$B283+1)*('2027 Avoided Costs'!$B$14:$B$47&lt;$B283+ROUND($O283,0)))))+_xlfn.XLOOKUP($B283,'2027 Avoided Costs'!$B$13:$B$47,'2027 Avoided Costs'!$Q$13:$Q$47))*IF($AI283&gt;0,$AI283*(1+$W283),0),0)</f>
        <v>123928.94554068506</v>
      </c>
      <c r="AW283" s="291" cm="1">
        <f t="array" ref="AW283">IFERROR((IF($O283=1,0,NPV('2027 Avoided Costs'!$D$6,_xlfn._xlws.FILTER('2027 Avoided Costs'!$W$14:$W$47,('2027 Avoided Costs'!$B$14:$B$47&gt;=$B283+1)*('2027 Avoided Costs'!$B$14:$B$47&lt;$B283+ROUND($O283,0)))))+_xlfn.XLOOKUP($B283,'2027 Avoided Costs'!$B$13:$B$47,'2027 Avoided Costs'!$W$13:$W$47))*IF($AM283&gt;0,$AM283*(1+$W283),0),0)</f>
        <v>391572.64298808895</v>
      </c>
      <c r="AX283" s="291" cm="1">
        <f t="array" ref="AX283">IFERROR((IF($O283=1,0,NPV('2027 Avoided Costs'!$D$6,_xlfn._xlws.FILTER('2027 Avoided Costs'!$AC$14:$AC$47,('2027 Avoided Costs'!$B$14:$B$47&gt;=$B283+1)*('2027 Avoided Costs'!$B$14:$B$47&lt;$B283+ROUND($O283,0)))))+_xlfn.XLOOKUP($B283,'2027 Avoided Costs'!$B$13:$B$47,'2027 Avoided Costs'!$AC$13:$AC$47))*IF($AO283&gt;0,$AO283*(1+$W283),0),0)</f>
        <v>0</v>
      </c>
      <c r="AY283" s="291" cm="1">
        <f t="array" ref="AY283">IFERROR((IF($O283=1,0,NPV('2027 Avoided Costs'!$D$4,_xlfn._xlws.FILTER('2027 Avoided Costs'!$I$14:$I$47,('2027 Avoided Costs'!$B$14:$B$47&gt;=$B283+1)*('2027 Avoided Costs'!$B$14:$B$47&lt;$B283+ROUND($O283,0)))))+_xlfn.XLOOKUP($B283,'2027 Avoided Costs'!$B$13:$B$47,'2027 Avoided Costs'!$I$13:$I$47))*IF($X283="Residential",'2027 Avoided Costs'!$J$5,IF($X283="Large Volume",'2027 Avoided Costs'!$J$7,'2027 Avoided Costs'!$J$6))*IF($AE283&gt;0,$AE283,0),0)</f>
        <v>0</v>
      </c>
      <c r="AZ283" s="291" cm="1">
        <f t="array" ref="AZ283">IFERROR(IF($J283="Baseload",IF($O283=1,0,NPV('2027 Avoided Costs'!$D$6,_xlfn._xlws.FILTER('2027 Avoided Costs'!$C$14:$C$47,('2027 Avoided Costs'!$B$14:$B$47&gt;=$B283+1)*('2027 Avoided Costs'!$B$14:$B$47&lt;$B283+ROUND($O283,0)))))+_xlfn.XLOOKUP($B283,'2027 Avoided Costs'!$B$13:$B$47,'2027 Avoided Costs'!$C$13:$C$47),IF($O283=1,0,NPV('2027 Avoided Costs'!$D$6,_xlfn._xlws.FILTER('2027 Avoided Costs'!$E$14:$E$47,('2027 Avoided Costs'!$B$14:$B$47&gt;=$B283+1)*('2027 Avoided Costs'!$B$14:$B$47&lt;$B283+ROUND($O283,0)))))+_xlfn.XLOOKUP($B283,'2027 Avoided Costs'!$B$13:$B$47,'2027 Avoided Costs'!$E$13:$E$47))*IF($AE283&lt;0,$AE283*(-1),0),0)</f>
        <v>0</v>
      </c>
      <c r="BA283" s="291" cm="1">
        <f t="array" ref="BA283">IFERROR((IF($O283=1,0,NPV('2027 Avoided Costs'!$D$6,_xlfn._xlws.FILTER('2027 Avoided Costs'!$M$14:$M$47,('2027 Avoided Costs'!$B$14:$B$47&gt;=$B283+1)*('2027 Avoided Costs'!$B$14:$B$47&lt;$B283+ROUND($O283,0)))))+_xlfn.XLOOKUP($B283,'2027 Avoided Costs'!$B$13:$B$47,'2027 Avoided Costs'!$M$13:$M$47))*IF($AK283&lt;0,$AK283*(-1),0),0)</f>
        <v>0</v>
      </c>
      <c r="BB283" s="291" cm="1">
        <f t="array" ref="BB283">IFERROR((IF($O283=1,0,NPV('2027 Avoided Costs'!$D$6,_xlfn._xlws.FILTER('2027 Avoided Costs'!$S$14:$S$47,('2027 Avoided Costs'!$B$14:$B$47&gt;=$B283+1)*('2027 Avoided Costs'!$B$14:$B$47&lt;$B283+ROUND($O283,0)))))+_xlfn.XLOOKUP($B283,'2027 Avoided Costs'!$B$13:$B$47,'2027 Avoided Costs'!$S$13:$S$47))*IF($AI283&lt;0,$AI283*(-1),0),0)</f>
        <v>0</v>
      </c>
      <c r="BC283" s="291" cm="1">
        <f t="array" ref="BC283">IFERROR((IF($O283=1,0,NPV('2027 Avoided Costs'!$D$6,_xlfn._xlws.FILTER('2027 Avoided Costs'!$Y$14:$Y$47,('2027 Avoided Costs'!$B$14:$B$47&gt;=$B283+1)*('2027 Avoided Costs'!$B$14:$B$47&lt;$B283+ROUND($O283,0)))))+_xlfn.XLOOKUP($B283,'2027 Avoided Costs'!$B$13:$B$47,'2027 Avoided Costs'!$Y$13:$Y$47))*IF($AM283&lt;0,$AM283*(-1),0),0)</f>
        <v>0</v>
      </c>
      <c r="BD283" s="291" cm="1">
        <f t="array" ref="BD283">IFERROR((IF($O283=1,0,NPV('2027 Avoided Costs'!$D$6,_xlfn._xlws.FILTER('2027 Avoided Costs'!$AE$14:$AE$47,('2027 Avoided Costs'!$B$14:$B$47&gt;=$B283+1)*('2027 Avoided Costs'!$B$14:$B$47&lt;$B283+ROUND($O283,0)))))+_xlfn.XLOOKUP($B283,'2027 Avoided Costs'!$B$13:$B$47,'2027 Avoided Costs'!$AE$13:$AE$47))*IF($AO283&lt;0,$AO283*(-1),0),0)</f>
        <v>0</v>
      </c>
      <c r="BE283" s="291" cm="1">
        <f t="array" ref="BE283">IFERROR((IF($O283=1,0,NPV('2027 Avoided Costs'!$D$4,_xlfn._xlws.FILTER('2027 Avoided Costs'!$I$14:$I$47,('2027 Avoided Costs'!$B$14:$B$47&gt;=$B283+1)*('2027 Avoided Costs'!$B$14:$B$47&lt;$B283+ROUND($O283,0)))))+_xlfn.XLOOKUP($B283,'2027 Avoided Costs'!$B$13:$B$47,'2027 Avoided Costs'!$I$13:$I$47))*IF($X283="Residential",'2027 Avoided Costs'!$J$5,IF($X283="Large Volume",'2027 Avoided Costs'!$J$7,'2027 Avoided Costs'!$J$6))*IF($AE283&lt;0,$AE283*(-1),0),0)</f>
        <v>0</v>
      </c>
      <c r="BF283" s="291">
        <f t="shared" si="111"/>
        <v>1048902.5990328938</v>
      </c>
      <c r="BG283" s="291">
        <f t="shared" si="112"/>
        <v>363160.80000000005</v>
      </c>
      <c r="BH283" s="291">
        <f t="shared" si="113"/>
        <v>685741.79903289373</v>
      </c>
      <c r="BI283" s="292">
        <f t="shared" si="137"/>
        <v>2.8882594130007799</v>
      </c>
      <c r="BJ283" s="196" cm="1">
        <f t="array" ref="BJ283">IFERROR(IF($J283="Baseload",IF($O283=1,0,NPV('2027 Avoided Costs'!$D$6,_xlfn._xlws.FILTER('2027 Avoided Costs'!$C$14:$C$47,('2027 Avoided Costs'!$B$14:$B$47&gt;=$B283+1)*('2027 Avoided Costs'!$B$14:$B$47&lt;$B283+ROUND($O283,0)))))+_xlfn.XLOOKUP($B283,'2027 Avoided Costs'!$B$13:$B$47,'2027 Avoided Costs'!$C$13:$C$47),IF($O283=1,0,NPV('2027 Avoided Costs'!$D$6,_xlfn._xlws.FILTER('2027 Avoided Costs'!$E$14:$E$47,('2027 Avoided Costs'!$B$14:$B$47&gt;=$B283+1)*('2027 Avoided Costs'!$B$14:$B$47&lt;$B283+ROUND($O283,0)))))+_xlfn.XLOOKUP($B283,'2027 Avoided Costs'!$B$13:$B$47,'2027 Avoided Costs'!$E$13:$E$47))*IF($AE283&gt;0,$AE283*(1+0),0),0)</f>
        <v>463826.9656557563</v>
      </c>
      <c r="BK283" s="293">
        <f t="shared" si="135"/>
        <v>2.1519779783259438</v>
      </c>
    </row>
    <row r="284" spans="1:63" s="56" customFormat="1" x14ac:dyDescent="0.25">
      <c r="A284" s="270" t="s">
        <v>133</v>
      </c>
      <c r="B284" s="271">
        <v>2029</v>
      </c>
      <c r="C284" s="272" t="s">
        <v>11</v>
      </c>
      <c r="D284" s="272" t="s">
        <v>160</v>
      </c>
      <c r="E284" s="272" t="s">
        <v>123</v>
      </c>
      <c r="F284" s="273">
        <v>150</v>
      </c>
      <c r="G284" s="274">
        <v>100</v>
      </c>
      <c r="H284" s="275">
        <f t="shared" si="115"/>
        <v>0.68965517241379315</v>
      </c>
      <c r="I284" s="274">
        <v>0</v>
      </c>
      <c r="J284" s="276" t="s">
        <v>264</v>
      </c>
      <c r="K284" s="277">
        <f t="shared" si="114"/>
        <v>0.8600000000000001</v>
      </c>
      <c r="L284" s="278">
        <v>0.21</v>
      </c>
      <c r="M284" s="278">
        <v>7.0000000000000007E-2</v>
      </c>
      <c r="N284" s="278">
        <v>1</v>
      </c>
      <c r="O284" s="279">
        <v>10</v>
      </c>
      <c r="P284" s="280">
        <v>145</v>
      </c>
      <c r="Q284" s="281">
        <v>217</v>
      </c>
      <c r="R284" s="282">
        <v>9.9299200000000004E-2</v>
      </c>
      <c r="S284" s="282">
        <v>2.8118742131312473E-2</v>
      </c>
      <c r="T284" s="281">
        <v>0</v>
      </c>
      <c r="U284" s="283">
        <v>0</v>
      </c>
      <c r="V284" s="284">
        <v>305</v>
      </c>
      <c r="W284" s="285">
        <v>0.15</v>
      </c>
      <c r="X284" s="286" t="s">
        <v>11</v>
      </c>
      <c r="Y284" s="287">
        <f t="shared" si="116"/>
        <v>150</v>
      </c>
      <c r="Z284" s="288">
        <f t="shared" si="117"/>
        <v>15000</v>
      </c>
      <c r="AA284" s="288">
        <f t="shared" si="118"/>
        <v>0</v>
      </c>
      <c r="AB284" s="288">
        <f t="shared" si="119"/>
        <v>15606</v>
      </c>
      <c r="AC284" s="288">
        <f t="shared" si="136"/>
        <v>0</v>
      </c>
      <c r="AD284" s="287">
        <f t="shared" si="120"/>
        <v>21750</v>
      </c>
      <c r="AE284" s="287">
        <f t="shared" si="121"/>
        <v>18705.000000000004</v>
      </c>
      <c r="AF284" s="287">
        <f t="shared" si="122"/>
        <v>217500</v>
      </c>
      <c r="AG284" s="287">
        <f t="shared" si="123"/>
        <v>187050.00000000003</v>
      </c>
      <c r="AH284" s="287">
        <f t="shared" si="124"/>
        <v>34893.599999999999</v>
      </c>
      <c r="AI284" s="287">
        <f t="shared" si="125"/>
        <v>30008.496000000006</v>
      </c>
      <c r="AJ284" s="287">
        <f t="shared" si="126"/>
        <v>0</v>
      </c>
      <c r="AK284" s="287">
        <f t="shared" si="127"/>
        <v>0</v>
      </c>
      <c r="AL284" s="287">
        <f t="shared" si="128"/>
        <v>15.967311360000002</v>
      </c>
      <c r="AM284" s="287">
        <f t="shared" si="129"/>
        <v>13.731887769600004</v>
      </c>
      <c r="AN284" s="287">
        <f t="shared" si="130"/>
        <v>4.5214937347150457</v>
      </c>
      <c r="AO284" s="287">
        <f t="shared" si="131"/>
        <v>3.8884846118549401</v>
      </c>
      <c r="AP284" s="287">
        <f t="shared" si="132"/>
        <v>45750</v>
      </c>
      <c r="AQ284" s="287">
        <f t="shared" si="133"/>
        <v>39345.000000000007</v>
      </c>
      <c r="AR284" s="287">
        <f t="shared" si="134"/>
        <v>0</v>
      </c>
      <c r="AS284" s="289" t="e">
        <f>IF(J284='2027 Avoided Costs'!#REF!,3,5)</f>
        <v>#REF!</v>
      </c>
      <c r="AT284" s="290" cm="1">
        <f t="array" ref="AT284">IFERROR(IF($J284="Baseload",IF($O284=1,0,NPV('2027 Avoided Costs'!$D$6,_xlfn._xlws.FILTER('2027 Avoided Costs'!$C$14:$C$47,('2027 Avoided Costs'!$B$14:$B$47&gt;=$B284+1)*('2027 Avoided Costs'!$B$14:$B$47&lt;$B284+ROUND($O284,0)))))+_xlfn.XLOOKUP($B284,'2027 Avoided Costs'!$B$13:$B$47,'2027 Avoided Costs'!$C$13:$C$47),IF($O284=1,0,NPV('2027 Avoided Costs'!$D$6,_xlfn._xlws.FILTER('2027 Avoided Costs'!$E$14:$E$47,('2027 Avoided Costs'!$B$14:$B$47&gt;=$B284+1)*('2027 Avoided Costs'!$B$14:$B$47&lt;$B284+ROUND($O284,0)))))+_xlfn.XLOOKUP($B284,'2027 Avoided Costs'!$B$13:$B$47,'2027 Avoided Costs'!$E$13:$E$47))*IF($AE284&gt;0,$AE284*(1+$W284),0),0)</f>
        <v>57060.16121613518</v>
      </c>
      <c r="AU284" s="290" cm="1">
        <f t="array" ref="AU284">IFERROR((IF($O284=1,0,NPV('2027 Avoided Costs'!$D$6,_xlfn._xlws.FILTER('2027 Avoided Costs'!$M$14:$M$47,('2027 Avoided Costs'!$B$14:$B$47&gt;=$B284+1)*('2027 Avoided Costs'!$B$14:$B$47&lt;$B284+ROUND($O284,0)))))+_xlfn.XLOOKUP($B284,'2027 Avoided Costs'!$B$13:$B$47,'2027 Avoided Costs'!$M$13:$M$47))*IF($AK284&gt;0,$AK284*(1+$W284),0),0)</f>
        <v>0</v>
      </c>
      <c r="AV284" s="291" cm="1">
        <f t="array" ref="AV284">IFERROR((IF($O284=1,0,NPV('2027 Avoided Costs'!$D$6,_xlfn._xlws.FILTER('2027 Avoided Costs'!$Q$14:$Q$47,('2027 Avoided Costs'!$B$14:$B$47&gt;=$B284+1)*('2027 Avoided Costs'!$B$14:$B$47&lt;$B284+ROUND($O284,0)))))+_xlfn.XLOOKUP($B284,'2027 Avoided Costs'!$B$13:$B$47,'2027 Avoided Costs'!$Q$13:$Q$47))*IF($AI284&gt;0,$AI284*(1+$W284),0),0)</f>
        <v>14171.493133095255</v>
      </c>
      <c r="AW284" s="291" cm="1">
        <f t="array" ref="AW284">IFERROR((IF($O284=1,0,NPV('2027 Avoided Costs'!$D$6,_xlfn._xlws.FILTER('2027 Avoided Costs'!$W$14:$W$47,('2027 Avoided Costs'!$B$14:$B$47&gt;=$B284+1)*('2027 Avoided Costs'!$B$14:$B$47&lt;$B284+ROUND($O284,0)))))+_xlfn.XLOOKUP($B284,'2027 Avoided Costs'!$B$13:$B$47,'2027 Avoided Costs'!$W$13:$W$47))*IF($AM284&gt;0,$AM284*(1+$W284),0),0)</f>
        <v>44777.021195519716</v>
      </c>
      <c r="AX284" s="291" cm="1">
        <f t="array" ref="AX284">IFERROR((IF($O284=1,0,NPV('2027 Avoided Costs'!$D$6,_xlfn._xlws.FILTER('2027 Avoided Costs'!$AC$14:$AC$47,('2027 Avoided Costs'!$B$14:$B$47&gt;=$B284+1)*('2027 Avoided Costs'!$B$14:$B$47&lt;$B284+ROUND($O284,0)))))+_xlfn.XLOOKUP($B284,'2027 Avoided Costs'!$B$13:$B$47,'2027 Avoided Costs'!$AC$13:$AC$47))*IF($AO284&gt;0,$AO284*(1+$W284),0),0)</f>
        <v>0</v>
      </c>
      <c r="AY284" s="291" cm="1">
        <f t="array" ref="AY284">IFERROR((IF($O284=1,0,NPV('2027 Avoided Costs'!$D$4,_xlfn._xlws.FILTER('2027 Avoided Costs'!$I$14:$I$47,('2027 Avoided Costs'!$B$14:$B$47&gt;=$B284+1)*('2027 Avoided Costs'!$B$14:$B$47&lt;$B284+ROUND($O284,0)))))+_xlfn.XLOOKUP($B284,'2027 Avoided Costs'!$B$13:$B$47,'2027 Avoided Costs'!$I$13:$I$47))*IF($X284="Residential",'2027 Avoided Costs'!$J$5,IF($X284="Large Volume",'2027 Avoided Costs'!$J$7,'2027 Avoided Costs'!$J$6))*IF($AE284&gt;0,$AE284,0),0)</f>
        <v>0</v>
      </c>
      <c r="AZ284" s="291" cm="1">
        <f t="array" ref="AZ284">IFERROR(IF($J284="Baseload",IF($O284=1,0,NPV('2027 Avoided Costs'!$D$6,_xlfn._xlws.FILTER('2027 Avoided Costs'!$C$14:$C$47,('2027 Avoided Costs'!$B$14:$B$47&gt;=$B284+1)*('2027 Avoided Costs'!$B$14:$B$47&lt;$B284+ROUND($O284,0)))))+_xlfn.XLOOKUP($B284,'2027 Avoided Costs'!$B$13:$B$47,'2027 Avoided Costs'!$C$13:$C$47),IF($O284=1,0,NPV('2027 Avoided Costs'!$D$6,_xlfn._xlws.FILTER('2027 Avoided Costs'!$E$14:$E$47,('2027 Avoided Costs'!$B$14:$B$47&gt;=$B284+1)*('2027 Avoided Costs'!$B$14:$B$47&lt;$B284+ROUND($O284,0)))))+_xlfn.XLOOKUP($B284,'2027 Avoided Costs'!$B$13:$B$47,'2027 Avoided Costs'!$E$13:$E$47))*IF($AE284&lt;0,$AE284*(-1),0),0)</f>
        <v>0</v>
      </c>
      <c r="BA284" s="291" cm="1">
        <f t="array" ref="BA284">IFERROR((IF($O284=1,0,NPV('2027 Avoided Costs'!$D$6,_xlfn._xlws.FILTER('2027 Avoided Costs'!$M$14:$M$47,('2027 Avoided Costs'!$B$14:$B$47&gt;=$B284+1)*('2027 Avoided Costs'!$B$14:$B$47&lt;$B284+ROUND($O284,0)))))+_xlfn.XLOOKUP($B284,'2027 Avoided Costs'!$B$13:$B$47,'2027 Avoided Costs'!$M$13:$M$47))*IF($AK284&lt;0,$AK284*(-1),0),0)</f>
        <v>0</v>
      </c>
      <c r="BB284" s="291" cm="1">
        <f t="array" ref="BB284">IFERROR((IF($O284=1,0,NPV('2027 Avoided Costs'!$D$6,_xlfn._xlws.FILTER('2027 Avoided Costs'!$S$14:$S$47,('2027 Avoided Costs'!$B$14:$B$47&gt;=$B284+1)*('2027 Avoided Costs'!$B$14:$B$47&lt;$B284+ROUND($O284,0)))))+_xlfn.XLOOKUP($B284,'2027 Avoided Costs'!$B$13:$B$47,'2027 Avoided Costs'!$S$13:$S$47))*IF($AI284&lt;0,$AI284*(-1),0),0)</f>
        <v>0</v>
      </c>
      <c r="BC284" s="291" cm="1">
        <f t="array" ref="BC284">IFERROR((IF($O284=1,0,NPV('2027 Avoided Costs'!$D$6,_xlfn._xlws.FILTER('2027 Avoided Costs'!$Y$14:$Y$47,('2027 Avoided Costs'!$B$14:$B$47&gt;=$B284+1)*('2027 Avoided Costs'!$B$14:$B$47&lt;$B284+ROUND($O284,0)))))+_xlfn.XLOOKUP($B284,'2027 Avoided Costs'!$B$13:$B$47,'2027 Avoided Costs'!$Y$13:$Y$47))*IF($AM284&lt;0,$AM284*(-1),0),0)</f>
        <v>0</v>
      </c>
      <c r="BD284" s="291" cm="1">
        <f t="array" ref="BD284">IFERROR((IF($O284=1,0,NPV('2027 Avoided Costs'!$D$6,_xlfn._xlws.FILTER('2027 Avoided Costs'!$AE$14:$AE$47,('2027 Avoided Costs'!$B$14:$B$47&gt;=$B284+1)*('2027 Avoided Costs'!$B$14:$B$47&lt;$B284+ROUND($O284,0)))))+_xlfn.XLOOKUP($B284,'2027 Avoided Costs'!$B$13:$B$47,'2027 Avoided Costs'!$AE$13:$AE$47))*IF($AO284&lt;0,$AO284*(-1),0),0)</f>
        <v>0</v>
      </c>
      <c r="BE284" s="291" cm="1">
        <f t="array" ref="BE284">IFERROR((IF($O284=1,0,NPV('2027 Avoided Costs'!$D$4,_xlfn._xlws.FILTER('2027 Avoided Costs'!$I$14:$I$47,('2027 Avoided Costs'!$B$14:$B$47&gt;=$B284+1)*('2027 Avoided Costs'!$B$14:$B$47&lt;$B284+ROUND($O284,0)))))+_xlfn.XLOOKUP($B284,'2027 Avoided Costs'!$B$13:$B$47,'2027 Avoided Costs'!$I$13:$I$47))*IF($X284="Residential",'2027 Avoided Costs'!$J$5,IF($X284="Large Volume",'2027 Avoided Costs'!$J$7,'2027 Avoided Costs'!$J$6))*IF($AE284&lt;0,$AE284*(-1),0),0)</f>
        <v>0</v>
      </c>
      <c r="BF284" s="291">
        <f t="shared" si="111"/>
        <v>116008.67554475015</v>
      </c>
      <c r="BG284" s="291">
        <f t="shared" si="112"/>
        <v>39345.000000000007</v>
      </c>
      <c r="BH284" s="291">
        <f t="shared" si="113"/>
        <v>76663.675544750149</v>
      </c>
      <c r="BI284" s="292">
        <f t="shared" si="137"/>
        <v>2.9484985524145415</v>
      </c>
      <c r="BJ284" s="196" cm="1">
        <f t="array" ref="BJ284">IFERROR(IF($J284="Baseload",IF($O284=1,0,NPV('2027 Avoided Costs'!$D$6,_xlfn._xlws.FILTER('2027 Avoided Costs'!$C$14:$C$47,('2027 Avoided Costs'!$B$14:$B$47&gt;=$B284+1)*('2027 Avoided Costs'!$B$14:$B$47&lt;$B284+ROUND($O284,0)))))+_xlfn.XLOOKUP($B284,'2027 Avoided Costs'!$B$13:$B$47,'2027 Avoided Costs'!$C$13:$C$47),IF($O284=1,0,NPV('2027 Avoided Costs'!$D$6,_xlfn._xlws.FILTER('2027 Avoided Costs'!$E$14:$E$47,('2027 Avoided Costs'!$B$14:$B$47&gt;=$B284+1)*('2027 Avoided Costs'!$B$14:$B$47&lt;$B284+ROUND($O284,0)))))+_xlfn.XLOOKUP($B284,'2027 Avoided Costs'!$B$13:$B$47,'2027 Avoided Costs'!$E$13:$E$47))*IF($AE284&gt;0,$AE284*(1+0),0),0)</f>
        <v>49617.531492291462</v>
      </c>
      <c r="BK284" s="293">
        <f t="shared" si="135"/>
        <v>3.1793881514988764</v>
      </c>
    </row>
    <row r="285" spans="1:63" s="56" customFormat="1" x14ac:dyDescent="0.25">
      <c r="A285" s="270" t="s">
        <v>133</v>
      </c>
      <c r="B285" s="271">
        <v>2029</v>
      </c>
      <c r="C285" s="272" t="s">
        <v>11</v>
      </c>
      <c r="D285" s="272" t="s">
        <v>160</v>
      </c>
      <c r="E285" s="272" t="s">
        <v>124</v>
      </c>
      <c r="F285" s="273">
        <v>10</v>
      </c>
      <c r="G285" s="274">
        <v>100</v>
      </c>
      <c r="H285" s="275">
        <f t="shared" si="115"/>
        <v>0.68965517241379315</v>
      </c>
      <c r="I285" s="274">
        <v>7.5</v>
      </c>
      <c r="J285" s="276" t="s">
        <v>264</v>
      </c>
      <c r="K285" s="277">
        <f t="shared" si="114"/>
        <v>0.8600000000000001</v>
      </c>
      <c r="L285" s="278">
        <v>0.21</v>
      </c>
      <c r="M285" s="278">
        <v>7.0000000000000007E-2</v>
      </c>
      <c r="N285" s="278">
        <v>1</v>
      </c>
      <c r="O285" s="279">
        <v>10</v>
      </c>
      <c r="P285" s="280">
        <v>145</v>
      </c>
      <c r="Q285" s="281">
        <v>217</v>
      </c>
      <c r="R285" s="282">
        <v>9.9299200000000004E-2</v>
      </c>
      <c r="S285" s="282">
        <v>2.8118742131312473E-2</v>
      </c>
      <c r="T285" s="281">
        <v>0</v>
      </c>
      <c r="U285" s="283">
        <v>0</v>
      </c>
      <c r="V285" s="284">
        <v>305</v>
      </c>
      <c r="W285" s="285">
        <v>0.15</v>
      </c>
      <c r="X285" s="286" t="s">
        <v>11</v>
      </c>
      <c r="Y285" s="287">
        <f t="shared" si="116"/>
        <v>10</v>
      </c>
      <c r="Z285" s="288">
        <f t="shared" si="117"/>
        <v>1000</v>
      </c>
      <c r="AA285" s="288">
        <f t="shared" si="118"/>
        <v>75</v>
      </c>
      <c r="AB285" s="288">
        <f t="shared" si="119"/>
        <v>1040.4000000000001</v>
      </c>
      <c r="AC285" s="288">
        <f t="shared" si="136"/>
        <v>77.602188000000012</v>
      </c>
      <c r="AD285" s="287">
        <f t="shared" si="120"/>
        <v>1450</v>
      </c>
      <c r="AE285" s="287">
        <f t="shared" si="121"/>
        <v>1247.0000000000002</v>
      </c>
      <c r="AF285" s="287">
        <f t="shared" si="122"/>
        <v>14500</v>
      </c>
      <c r="AG285" s="287">
        <f t="shared" si="123"/>
        <v>12470.000000000002</v>
      </c>
      <c r="AH285" s="287">
        <f t="shared" si="124"/>
        <v>2326.2400000000002</v>
      </c>
      <c r="AI285" s="287">
        <f t="shared" si="125"/>
        <v>2000.5664000000004</v>
      </c>
      <c r="AJ285" s="287">
        <f t="shared" si="126"/>
        <v>0</v>
      </c>
      <c r="AK285" s="287">
        <f t="shared" si="127"/>
        <v>0</v>
      </c>
      <c r="AL285" s="287">
        <f t="shared" si="128"/>
        <v>1.0644874240000002</v>
      </c>
      <c r="AM285" s="287">
        <f t="shared" si="129"/>
        <v>0.9154591846400002</v>
      </c>
      <c r="AN285" s="287">
        <f t="shared" si="130"/>
        <v>0.30143291564766972</v>
      </c>
      <c r="AO285" s="287">
        <f t="shared" si="131"/>
        <v>0.25923230745699599</v>
      </c>
      <c r="AP285" s="287">
        <f t="shared" si="132"/>
        <v>3050</v>
      </c>
      <c r="AQ285" s="287">
        <f t="shared" si="133"/>
        <v>2623.0000000000005</v>
      </c>
      <c r="AR285" s="287">
        <f t="shared" si="134"/>
        <v>0</v>
      </c>
      <c r="AS285" s="289" t="e">
        <f>IF(J285='2027 Avoided Costs'!#REF!,3,5)</f>
        <v>#REF!</v>
      </c>
      <c r="AT285" s="290" cm="1">
        <f t="array" ref="AT285">IFERROR(IF($J285="Baseload",IF($O285=1,0,NPV('2027 Avoided Costs'!$D$6,_xlfn._xlws.FILTER('2027 Avoided Costs'!$C$14:$C$47,('2027 Avoided Costs'!$B$14:$B$47&gt;=$B285+1)*('2027 Avoided Costs'!$B$14:$B$47&lt;$B285+ROUND($O285,0)))))+_xlfn.XLOOKUP($B285,'2027 Avoided Costs'!$B$13:$B$47,'2027 Avoided Costs'!$C$13:$C$47),IF($O285=1,0,NPV('2027 Avoided Costs'!$D$6,_xlfn._xlws.FILTER('2027 Avoided Costs'!$E$14:$E$47,('2027 Avoided Costs'!$B$14:$B$47&gt;=$B285+1)*('2027 Avoided Costs'!$B$14:$B$47&lt;$B285+ROUND($O285,0)))))+_xlfn.XLOOKUP($B285,'2027 Avoided Costs'!$B$13:$B$47,'2027 Avoided Costs'!$E$13:$E$47))*IF($AE285&gt;0,$AE285*(1+$W285),0),0)</f>
        <v>3804.0107477423453</v>
      </c>
      <c r="AU285" s="290" cm="1">
        <f t="array" ref="AU285">IFERROR((IF($O285=1,0,NPV('2027 Avoided Costs'!$D$6,_xlfn._xlws.FILTER('2027 Avoided Costs'!$M$14:$M$47,('2027 Avoided Costs'!$B$14:$B$47&gt;=$B285+1)*('2027 Avoided Costs'!$B$14:$B$47&lt;$B285+ROUND($O285,0)))))+_xlfn.XLOOKUP($B285,'2027 Avoided Costs'!$B$13:$B$47,'2027 Avoided Costs'!$M$13:$M$47))*IF($AK285&gt;0,$AK285*(1+$W285),0),0)</f>
        <v>0</v>
      </c>
      <c r="AV285" s="291" cm="1">
        <f t="array" ref="AV285">IFERROR((IF($O285=1,0,NPV('2027 Avoided Costs'!$D$6,_xlfn._xlws.FILTER('2027 Avoided Costs'!$Q$14:$Q$47,('2027 Avoided Costs'!$B$14:$B$47&gt;=$B285+1)*('2027 Avoided Costs'!$B$14:$B$47&lt;$B285+ROUND($O285,0)))))+_xlfn.XLOOKUP($B285,'2027 Avoided Costs'!$B$13:$B$47,'2027 Avoided Costs'!$Q$13:$Q$47))*IF($AI285&gt;0,$AI285*(1+$W285),0),0)</f>
        <v>944.76620887301704</v>
      </c>
      <c r="AW285" s="291" cm="1">
        <f t="array" ref="AW285">IFERROR((IF($O285=1,0,NPV('2027 Avoided Costs'!$D$6,_xlfn._xlws.FILTER('2027 Avoided Costs'!$W$14:$W$47,('2027 Avoided Costs'!$B$14:$B$47&gt;=$B285+1)*('2027 Avoided Costs'!$B$14:$B$47&lt;$B285+ROUND($O285,0)))))+_xlfn.XLOOKUP($B285,'2027 Avoided Costs'!$B$13:$B$47,'2027 Avoided Costs'!$W$13:$W$47))*IF($AM285&gt;0,$AM285*(1+$W285),0),0)</f>
        <v>2985.1347463679813</v>
      </c>
      <c r="AX285" s="291" cm="1">
        <f t="array" ref="AX285">IFERROR((IF($O285=1,0,NPV('2027 Avoided Costs'!$D$6,_xlfn._xlws.FILTER('2027 Avoided Costs'!$AC$14:$AC$47,('2027 Avoided Costs'!$B$14:$B$47&gt;=$B285+1)*('2027 Avoided Costs'!$B$14:$B$47&lt;$B285+ROUND($O285,0)))))+_xlfn.XLOOKUP($B285,'2027 Avoided Costs'!$B$13:$B$47,'2027 Avoided Costs'!$AC$13:$AC$47))*IF($AO285&gt;0,$AO285*(1+$W285),0),0)</f>
        <v>0</v>
      </c>
      <c r="AY285" s="291" cm="1">
        <f t="array" ref="AY285">IFERROR((IF($O285=1,0,NPV('2027 Avoided Costs'!$D$4,_xlfn._xlws.FILTER('2027 Avoided Costs'!$I$14:$I$47,('2027 Avoided Costs'!$B$14:$B$47&gt;=$B285+1)*('2027 Avoided Costs'!$B$14:$B$47&lt;$B285+ROUND($O285,0)))))+_xlfn.XLOOKUP($B285,'2027 Avoided Costs'!$B$13:$B$47,'2027 Avoided Costs'!$I$13:$I$47))*IF($X285="Residential",'2027 Avoided Costs'!$J$5,IF($X285="Large Volume",'2027 Avoided Costs'!$J$7,'2027 Avoided Costs'!$J$6))*IF($AE285&gt;0,$AE285,0),0)</f>
        <v>0</v>
      </c>
      <c r="AZ285" s="291" cm="1">
        <f t="array" ref="AZ285">IFERROR(IF($J285="Baseload",IF($O285=1,0,NPV('2027 Avoided Costs'!$D$6,_xlfn._xlws.FILTER('2027 Avoided Costs'!$C$14:$C$47,('2027 Avoided Costs'!$B$14:$B$47&gt;=$B285+1)*('2027 Avoided Costs'!$B$14:$B$47&lt;$B285+ROUND($O285,0)))))+_xlfn.XLOOKUP($B285,'2027 Avoided Costs'!$B$13:$B$47,'2027 Avoided Costs'!$C$13:$C$47),IF($O285=1,0,NPV('2027 Avoided Costs'!$D$6,_xlfn._xlws.FILTER('2027 Avoided Costs'!$E$14:$E$47,('2027 Avoided Costs'!$B$14:$B$47&gt;=$B285+1)*('2027 Avoided Costs'!$B$14:$B$47&lt;$B285+ROUND($O285,0)))))+_xlfn.XLOOKUP($B285,'2027 Avoided Costs'!$B$13:$B$47,'2027 Avoided Costs'!$E$13:$E$47))*IF($AE285&lt;0,$AE285*(-1),0),0)</f>
        <v>0</v>
      </c>
      <c r="BA285" s="291" cm="1">
        <f t="array" ref="BA285">IFERROR((IF($O285=1,0,NPV('2027 Avoided Costs'!$D$6,_xlfn._xlws.FILTER('2027 Avoided Costs'!$M$14:$M$47,('2027 Avoided Costs'!$B$14:$B$47&gt;=$B285+1)*('2027 Avoided Costs'!$B$14:$B$47&lt;$B285+ROUND($O285,0)))))+_xlfn.XLOOKUP($B285,'2027 Avoided Costs'!$B$13:$B$47,'2027 Avoided Costs'!$M$13:$M$47))*IF($AK285&lt;0,$AK285*(-1),0),0)</f>
        <v>0</v>
      </c>
      <c r="BB285" s="291" cm="1">
        <f t="array" ref="BB285">IFERROR((IF($O285=1,0,NPV('2027 Avoided Costs'!$D$6,_xlfn._xlws.FILTER('2027 Avoided Costs'!$S$14:$S$47,('2027 Avoided Costs'!$B$14:$B$47&gt;=$B285+1)*('2027 Avoided Costs'!$B$14:$B$47&lt;$B285+ROUND($O285,0)))))+_xlfn.XLOOKUP($B285,'2027 Avoided Costs'!$B$13:$B$47,'2027 Avoided Costs'!$S$13:$S$47))*IF($AI285&lt;0,$AI285*(-1),0),0)</f>
        <v>0</v>
      </c>
      <c r="BC285" s="291" cm="1">
        <f t="array" ref="BC285">IFERROR((IF($O285=1,0,NPV('2027 Avoided Costs'!$D$6,_xlfn._xlws.FILTER('2027 Avoided Costs'!$Y$14:$Y$47,('2027 Avoided Costs'!$B$14:$B$47&gt;=$B285+1)*('2027 Avoided Costs'!$B$14:$B$47&lt;$B285+ROUND($O285,0)))))+_xlfn.XLOOKUP($B285,'2027 Avoided Costs'!$B$13:$B$47,'2027 Avoided Costs'!$Y$13:$Y$47))*IF($AM285&lt;0,$AM285*(-1),0),0)</f>
        <v>0</v>
      </c>
      <c r="BD285" s="291" cm="1">
        <f t="array" ref="BD285">IFERROR((IF($O285=1,0,NPV('2027 Avoided Costs'!$D$6,_xlfn._xlws.FILTER('2027 Avoided Costs'!$AE$14:$AE$47,('2027 Avoided Costs'!$B$14:$B$47&gt;=$B285+1)*('2027 Avoided Costs'!$B$14:$B$47&lt;$B285+ROUND($O285,0)))))+_xlfn.XLOOKUP($B285,'2027 Avoided Costs'!$B$13:$B$47,'2027 Avoided Costs'!$AE$13:$AE$47))*IF($AO285&lt;0,$AO285*(-1),0),0)</f>
        <v>0</v>
      </c>
      <c r="BE285" s="291" cm="1">
        <f t="array" ref="BE285">IFERROR((IF($O285=1,0,NPV('2027 Avoided Costs'!$D$4,_xlfn._xlws.FILTER('2027 Avoided Costs'!$I$14:$I$47,('2027 Avoided Costs'!$B$14:$B$47&gt;=$B285+1)*('2027 Avoided Costs'!$B$14:$B$47&lt;$B285+ROUND($O285,0)))))+_xlfn.XLOOKUP($B285,'2027 Avoided Costs'!$B$13:$B$47,'2027 Avoided Costs'!$I$13:$I$47))*IF($X285="Residential",'2027 Avoided Costs'!$J$5,IF($X285="Large Volume",'2027 Avoided Costs'!$J$7,'2027 Avoided Costs'!$J$6))*IF($AE285&lt;0,$AE285*(-1),0),0)</f>
        <v>0</v>
      </c>
      <c r="BF285" s="291">
        <f t="shared" si="111"/>
        <v>7733.9117029833433</v>
      </c>
      <c r="BG285" s="291">
        <f t="shared" si="112"/>
        <v>2623.0000000000005</v>
      </c>
      <c r="BH285" s="291">
        <f t="shared" si="113"/>
        <v>5110.9117029833433</v>
      </c>
      <c r="BI285" s="292">
        <f t="shared" si="137"/>
        <v>2.9484985524145415</v>
      </c>
      <c r="BJ285" s="196" cm="1">
        <f t="array" ref="BJ285">IFERROR(IF($J285="Baseload",IF($O285=1,0,NPV('2027 Avoided Costs'!$D$6,_xlfn._xlws.FILTER('2027 Avoided Costs'!$C$14:$C$47,('2027 Avoided Costs'!$B$14:$B$47&gt;=$B285+1)*('2027 Avoided Costs'!$B$14:$B$47&lt;$B285+ROUND($O285,0)))))+_xlfn.XLOOKUP($B285,'2027 Avoided Costs'!$B$13:$B$47,'2027 Avoided Costs'!$C$13:$C$47),IF($O285=1,0,NPV('2027 Avoided Costs'!$D$6,_xlfn._xlws.FILTER('2027 Avoided Costs'!$E$14:$E$47,('2027 Avoided Costs'!$B$14:$B$47&gt;=$B285+1)*('2027 Avoided Costs'!$B$14:$B$47&lt;$B285+ROUND($O285,0)))))+_xlfn.XLOOKUP($B285,'2027 Avoided Costs'!$B$13:$B$47,'2027 Avoided Costs'!$E$13:$E$47))*IF($AE285&gt;0,$AE285*(1+0),0),0)</f>
        <v>3307.8354328194309</v>
      </c>
      <c r="BK285" s="293">
        <f t="shared" si="135"/>
        <v>2.9587021101781872</v>
      </c>
    </row>
    <row r="286" spans="1:63" s="56" customFormat="1" x14ac:dyDescent="0.25">
      <c r="A286" s="270" t="s">
        <v>133</v>
      </c>
      <c r="B286" s="271">
        <v>2030</v>
      </c>
      <c r="C286" s="272" t="s">
        <v>11</v>
      </c>
      <c r="D286" s="272" t="s">
        <v>160</v>
      </c>
      <c r="E286" s="272" t="s">
        <v>339</v>
      </c>
      <c r="F286" s="273">
        <v>12223</v>
      </c>
      <c r="G286" s="274">
        <v>100</v>
      </c>
      <c r="H286" s="275">
        <f t="shared" si="115"/>
        <v>0.76923076923076927</v>
      </c>
      <c r="I286" s="274">
        <v>0</v>
      </c>
      <c r="J286" s="276" t="s">
        <v>264</v>
      </c>
      <c r="K286" s="277">
        <f t="shared" si="114"/>
        <v>0.8600000000000001</v>
      </c>
      <c r="L286" s="278">
        <v>0.21</v>
      </c>
      <c r="M286" s="278">
        <v>7.0000000000000007E-2</v>
      </c>
      <c r="N286" s="278">
        <v>1</v>
      </c>
      <c r="O286" s="279">
        <v>10</v>
      </c>
      <c r="P286" s="280">
        <v>130</v>
      </c>
      <c r="Q286" s="281">
        <v>182</v>
      </c>
      <c r="R286" s="282">
        <v>8.3283200000000002E-2</v>
      </c>
      <c r="S286" s="282">
        <v>2.3583461142391106E-2</v>
      </c>
      <c r="T286" s="281">
        <v>0</v>
      </c>
      <c r="U286" s="283">
        <v>0</v>
      </c>
      <c r="V286" s="284">
        <v>270</v>
      </c>
      <c r="W286" s="285">
        <v>0.15</v>
      </c>
      <c r="X286" s="286" t="s">
        <v>11</v>
      </c>
      <c r="Y286" s="287">
        <f t="shared" si="116"/>
        <v>12223</v>
      </c>
      <c r="Z286" s="288">
        <f t="shared" si="117"/>
        <v>1222300</v>
      </c>
      <c r="AA286" s="288">
        <f t="shared" si="118"/>
        <v>0</v>
      </c>
      <c r="AB286" s="288">
        <f t="shared" si="119"/>
        <v>1297114.5384</v>
      </c>
      <c r="AC286" s="288">
        <f t="shared" si="136"/>
        <v>0</v>
      </c>
      <c r="AD286" s="287">
        <f t="shared" si="120"/>
        <v>1588990</v>
      </c>
      <c r="AE286" s="287">
        <f t="shared" si="121"/>
        <v>1366531.4000000001</v>
      </c>
      <c r="AF286" s="287">
        <f t="shared" si="122"/>
        <v>15889900</v>
      </c>
      <c r="AG286" s="287">
        <f t="shared" si="123"/>
        <v>13665314.000000002</v>
      </c>
      <c r="AH286" s="287">
        <f t="shared" si="124"/>
        <v>2384756.1920000003</v>
      </c>
      <c r="AI286" s="287">
        <f t="shared" si="125"/>
        <v>2050890.3251200004</v>
      </c>
      <c r="AJ286" s="287">
        <f t="shared" si="126"/>
        <v>0</v>
      </c>
      <c r="AK286" s="287">
        <f t="shared" si="127"/>
        <v>0</v>
      </c>
      <c r="AL286" s="287">
        <f t="shared" si="128"/>
        <v>1091.2644334592001</v>
      </c>
      <c r="AM286" s="287">
        <f t="shared" si="129"/>
        <v>938.48741277491217</v>
      </c>
      <c r="AN286" s="287">
        <f t="shared" si="130"/>
        <v>309.01541202257471</v>
      </c>
      <c r="AO286" s="287">
        <f t="shared" si="131"/>
        <v>265.75325433941424</v>
      </c>
      <c r="AP286" s="287">
        <f t="shared" si="132"/>
        <v>3300210</v>
      </c>
      <c r="AQ286" s="287">
        <f t="shared" si="133"/>
        <v>2838180.6</v>
      </c>
      <c r="AR286" s="287">
        <f t="shared" si="134"/>
        <v>0</v>
      </c>
      <c r="AS286" s="289" t="e">
        <f>IF(J286='2027 Avoided Costs'!#REF!,3,5)</f>
        <v>#REF!</v>
      </c>
      <c r="AT286" s="290" cm="1">
        <f t="array" ref="AT286">IFERROR(IF($J286="Baseload",IF($O286=1,0,NPV('2027 Avoided Costs'!$D$6,_xlfn._xlws.FILTER('2027 Avoided Costs'!$C$14:$C$47,('2027 Avoided Costs'!$B$14:$B$47&gt;=$B286+1)*('2027 Avoided Costs'!$B$14:$B$47&lt;$B286+ROUND($O286,0)))))+_xlfn.XLOOKUP($B286,'2027 Avoided Costs'!$B$13:$B$47,'2027 Avoided Costs'!$C$13:$C$47),IF($O286=1,0,NPV('2027 Avoided Costs'!$D$6,_xlfn._xlws.FILTER('2027 Avoided Costs'!$E$14:$E$47,('2027 Avoided Costs'!$B$14:$B$47&gt;=$B286+1)*('2027 Avoided Costs'!$B$14:$B$47&lt;$B286+ROUND($O286,0)))))+_xlfn.XLOOKUP($B286,'2027 Avoided Costs'!$B$13:$B$47,'2027 Avoided Costs'!$E$13:$E$47))*IF($AE286&gt;0,$AE286*(1+$W286),0),0)</f>
        <v>4295255.1602516649</v>
      </c>
      <c r="AU286" s="290" cm="1">
        <f t="array" ref="AU286">IFERROR((IF($O286=1,0,NPV('2027 Avoided Costs'!$D$6,_xlfn._xlws.FILTER('2027 Avoided Costs'!$M$14:$M$47,('2027 Avoided Costs'!$B$14:$B$47&gt;=$B286+1)*('2027 Avoided Costs'!$B$14:$B$47&lt;$B286+ROUND($O286,0)))))+_xlfn.XLOOKUP($B286,'2027 Avoided Costs'!$B$13:$B$47,'2027 Avoided Costs'!$M$13:$M$47))*IF($AK286&gt;0,$AK286*(1+$W286),0),0)</f>
        <v>0</v>
      </c>
      <c r="AV286" s="291" cm="1">
        <f t="array" ref="AV286">IFERROR((IF($O286=1,0,NPV('2027 Avoided Costs'!$D$6,_xlfn._xlws.FILTER('2027 Avoided Costs'!$Q$14:$Q$47,('2027 Avoided Costs'!$B$14:$B$47&gt;=$B286+1)*('2027 Avoided Costs'!$B$14:$B$47&lt;$B286+ROUND($O286,0)))))+_xlfn.XLOOKUP($B286,'2027 Avoided Costs'!$B$13:$B$47,'2027 Avoided Costs'!$Q$13:$Q$47))*IF($AI286&gt;0,$AI286*(1+$W286),0),0)</f>
        <v>928405.19287273544</v>
      </c>
      <c r="AW286" s="291" cm="1">
        <f t="array" ref="AW286">IFERROR((IF($O286=1,0,NPV('2027 Avoided Costs'!$D$6,_xlfn._xlws.FILTER('2027 Avoided Costs'!$W$14:$W$47,('2027 Avoided Costs'!$B$14:$B$47&gt;=$B286+1)*('2027 Avoided Costs'!$B$14:$B$47&lt;$B286+ROUND($O286,0)))))+_xlfn.XLOOKUP($B286,'2027 Avoided Costs'!$B$13:$B$47,'2027 Avoided Costs'!$W$13:$W$47))*IF($AM286&gt;0,$AM286*(1+$W286),0),0)</f>
        <v>2944647.8768265187</v>
      </c>
      <c r="AX286" s="291" cm="1">
        <f t="array" ref="AX286">IFERROR((IF($O286=1,0,NPV('2027 Avoided Costs'!$D$6,_xlfn._xlws.FILTER('2027 Avoided Costs'!$AC$14:$AC$47,('2027 Avoided Costs'!$B$14:$B$47&gt;=$B286+1)*('2027 Avoided Costs'!$B$14:$B$47&lt;$B286+ROUND($O286,0)))))+_xlfn.XLOOKUP($B286,'2027 Avoided Costs'!$B$13:$B$47,'2027 Avoided Costs'!$AC$13:$AC$47))*IF($AO286&gt;0,$AO286*(1+$W286),0),0)</f>
        <v>77459.607776017525</v>
      </c>
      <c r="AY286" s="291" cm="1">
        <f t="array" ref="AY286">IFERROR((IF($O286=1,0,NPV('2027 Avoided Costs'!$D$4,_xlfn._xlws.FILTER('2027 Avoided Costs'!$I$14:$I$47,('2027 Avoided Costs'!$B$14:$B$47&gt;=$B286+1)*('2027 Avoided Costs'!$B$14:$B$47&lt;$B286+ROUND($O286,0)))))+_xlfn.XLOOKUP($B286,'2027 Avoided Costs'!$B$13:$B$47,'2027 Avoided Costs'!$I$13:$I$47))*IF($X286="Residential",'2027 Avoided Costs'!$J$5,IF($X286="Large Volume",'2027 Avoided Costs'!$J$7,'2027 Avoided Costs'!$J$6))*IF($AE286&gt;0,$AE286,0),0)</f>
        <v>0</v>
      </c>
      <c r="AZ286" s="291" cm="1">
        <f t="array" ref="AZ286">IFERROR(IF($J286="Baseload",IF($O286=1,0,NPV('2027 Avoided Costs'!$D$6,_xlfn._xlws.FILTER('2027 Avoided Costs'!$C$14:$C$47,('2027 Avoided Costs'!$B$14:$B$47&gt;=$B286+1)*('2027 Avoided Costs'!$B$14:$B$47&lt;$B286+ROUND($O286,0)))))+_xlfn.XLOOKUP($B286,'2027 Avoided Costs'!$B$13:$B$47,'2027 Avoided Costs'!$C$13:$C$47),IF($O286=1,0,NPV('2027 Avoided Costs'!$D$6,_xlfn._xlws.FILTER('2027 Avoided Costs'!$E$14:$E$47,('2027 Avoided Costs'!$B$14:$B$47&gt;=$B286+1)*('2027 Avoided Costs'!$B$14:$B$47&lt;$B286+ROUND($O286,0)))))+_xlfn.XLOOKUP($B286,'2027 Avoided Costs'!$B$13:$B$47,'2027 Avoided Costs'!$E$13:$E$47))*IF($AE286&lt;0,$AE286*(-1),0),0)</f>
        <v>0</v>
      </c>
      <c r="BA286" s="291" cm="1">
        <f t="array" ref="BA286">IFERROR((IF($O286=1,0,NPV('2027 Avoided Costs'!$D$6,_xlfn._xlws.FILTER('2027 Avoided Costs'!$M$14:$M$47,('2027 Avoided Costs'!$B$14:$B$47&gt;=$B286+1)*('2027 Avoided Costs'!$B$14:$B$47&lt;$B286+ROUND($O286,0)))))+_xlfn.XLOOKUP($B286,'2027 Avoided Costs'!$B$13:$B$47,'2027 Avoided Costs'!$M$13:$M$47))*IF($AK286&lt;0,$AK286*(-1),0),0)</f>
        <v>0</v>
      </c>
      <c r="BB286" s="291" cm="1">
        <f t="array" ref="BB286">IFERROR((IF($O286=1,0,NPV('2027 Avoided Costs'!$D$6,_xlfn._xlws.FILTER('2027 Avoided Costs'!$S$14:$S$47,('2027 Avoided Costs'!$B$14:$B$47&gt;=$B286+1)*('2027 Avoided Costs'!$B$14:$B$47&lt;$B286+ROUND($O286,0)))))+_xlfn.XLOOKUP($B286,'2027 Avoided Costs'!$B$13:$B$47,'2027 Avoided Costs'!$S$13:$S$47))*IF($AI286&lt;0,$AI286*(-1),0),0)</f>
        <v>0</v>
      </c>
      <c r="BC286" s="291" cm="1">
        <f t="array" ref="BC286">IFERROR((IF($O286=1,0,NPV('2027 Avoided Costs'!$D$6,_xlfn._xlws.FILTER('2027 Avoided Costs'!$Y$14:$Y$47,('2027 Avoided Costs'!$B$14:$B$47&gt;=$B286+1)*('2027 Avoided Costs'!$B$14:$B$47&lt;$B286+ROUND($O286,0)))))+_xlfn.XLOOKUP($B286,'2027 Avoided Costs'!$B$13:$B$47,'2027 Avoided Costs'!$Y$13:$Y$47))*IF($AM286&lt;0,$AM286*(-1),0),0)</f>
        <v>0</v>
      </c>
      <c r="BD286" s="291" cm="1">
        <f t="array" ref="BD286">IFERROR((IF($O286=1,0,NPV('2027 Avoided Costs'!$D$6,_xlfn._xlws.FILTER('2027 Avoided Costs'!$AE$14:$AE$47,('2027 Avoided Costs'!$B$14:$B$47&gt;=$B286+1)*('2027 Avoided Costs'!$B$14:$B$47&lt;$B286+ROUND($O286,0)))))+_xlfn.XLOOKUP($B286,'2027 Avoided Costs'!$B$13:$B$47,'2027 Avoided Costs'!$AE$13:$AE$47))*IF($AO286&lt;0,$AO286*(-1),0),0)</f>
        <v>0</v>
      </c>
      <c r="BE286" s="291" cm="1">
        <f t="array" ref="BE286">IFERROR((IF($O286=1,0,NPV('2027 Avoided Costs'!$D$4,_xlfn._xlws.FILTER('2027 Avoided Costs'!$I$14:$I$47,('2027 Avoided Costs'!$B$14:$B$47&gt;=$B286+1)*('2027 Avoided Costs'!$B$14:$B$47&lt;$B286+ROUND($O286,0)))))+_xlfn.XLOOKUP($B286,'2027 Avoided Costs'!$B$13:$B$47,'2027 Avoided Costs'!$I$13:$I$47))*IF($X286="Residential",'2027 Avoided Costs'!$J$5,IF($X286="Large Volume",'2027 Avoided Costs'!$J$7,'2027 Avoided Costs'!$J$6))*IF($AE286&lt;0,$AE286*(-1),0),0)</f>
        <v>0</v>
      </c>
      <c r="BF286" s="291">
        <f t="shared" si="111"/>
        <v>8245767.8377269376</v>
      </c>
      <c r="BG286" s="291">
        <f t="shared" si="112"/>
        <v>2838180.6</v>
      </c>
      <c r="BH286" s="291">
        <f t="shared" si="113"/>
        <v>5407587.237726938</v>
      </c>
      <c r="BI286" s="292">
        <f t="shared" si="137"/>
        <v>2.9053006132615158</v>
      </c>
      <c r="BJ286" s="196" cm="1">
        <f t="array" ref="BJ286">IFERROR(IF($J286="Baseload",IF($O286=1,0,NPV('2027 Avoided Costs'!$D$6,_xlfn._xlws.FILTER('2027 Avoided Costs'!$C$14:$C$47,('2027 Avoided Costs'!$B$14:$B$47&gt;=$B286+1)*('2027 Avoided Costs'!$B$14:$B$47&lt;$B286+ROUND($O286,0)))))+_xlfn.XLOOKUP($B286,'2027 Avoided Costs'!$B$13:$B$47,'2027 Avoided Costs'!$C$13:$C$47),IF($O286=1,0,NPV('2027 Avoided Costs'!$D$6,_xlfn._xlws.FILTER('2027 Avoided Costs'!$E$14:$E$47,('2027 Avoided Costs'!$B$14:$B$47&gt;=$B286+1)*('2027 Avoided Costs'!$B$14:$B$47&lt;$B286+ROUND($O286,0)))))+_xlfn.XLOOKUP($B286,'2027 Avoided Costs'!$B$13:$B$47,'2027 Avoided Costs'!$E$13:$E$47))*IF($AE286&gt;0,$AE286*(1+0),0),0)</f>
        <v>3735004.4871753608</v>
      </c>
      <c r="BK286" s="293">
        <f t="shared" si="135"/>
        <v>2.8794716091784118</v>
      </c>
    </row>
    <row r="287" spans="1:63" s="56" customFormat="1" x14ac:dyDescent="0.25">
      <c r="A287" s="270" t="s">
        <v>133</v>
      </c>
      <c r="B287" s="271">
        <v>2030</v>
      </c>
      <c r="C287" s="272" t="s">
        <v>11</v>
      </c>
      <c r="D287" s="272" t="s">
        <v>160</v>
      </c>
      <c r="E287" s="272" t="s">
        <v>125</v>
      </c>
      <c r="F287" s="273">
        <v>1421</v>
      </c>
      <c r="G287" s="274">
        <v>100</v>
      </c>
      <c r="H287" s="275">
        <f t="shared" si="115"/>
        <v>0.76923076923076927</v>
      </c>
      <c r="I287" s="274">
        <v>7.5</v>
      </c>
      <c r="J287" s="276" t="s">
        <v>264</v>
      </c>
      <c r="K287" s="277">
        <f t="shared" si="114"/>
        <v>0.8600000000000001</v>
      </c>
      <c r="L287" s="278">
        <v>0.21</v>
      </c>
      <c r="M287" s="278">
        <v>7.0000000000000007E-2</v>
      </c>
      <c r="N287" s="278">
        <v>1</v>
      </c>
      <c r="O287" s="279">
        <v>10</v>
      </c>
      <c r="P287" s="280">
        <v>130</v>
      </c>
      <c r="Q287" s="281">
        <v>182</v>
      </c>
      <c r="R287" s="282">
        <v>8.3283200000000002E-2</v>
      </c>
      <c r="S287" s="282">
        <v>2.3583461142391106E-2</v>
      </c>
      <c r="T287" s="281">
        <v>0</v>
      </c>
      <c r="U287" s="283">
        <v>0</v>
      </c>
      <c r="V287" s="284">
        <v>270</v>
      </c>
      <c r="W287" s="285">
        <v>0.15</v>
      </c>
      <c r="X287" s="286" t="s">
        <v>11</v>
      </c>
      <c r="Y287" s="287">
        <f t="shared" si="116"/>
        <v>1421</v>
      </c>
      <c r="Z287" s="288">
        <f t="shared" si="117"/>
        <v>142100</v>
      </c>
      <c r="AA287" s="288">
        <f t="shared" si="118"/>
        <v>10657.5</v>
      </c>
      <c r="AB287" s="288">
        <f t="shared" si="119"/>
        <v>150797.6568</v>
      </c>
      <c r="AC287" s="288">
        <f t="shared" si="136"/>
        <v>11216.939974534562</v>
      </c>
      <c r="AD287" s="287">
        <f t="shared" si="120"/>
        <v>184730</v>
      </c>
      <c r="AE287" s="287">
        <f t="shared" si="121"/>
        <v>158867.80000000002</v>
      </c>
      <c r="AF287" s="287">
        <f t="shared" si="122"/>
        <v>1847300</v>
      </c>
      <c r="AG287" s="287">
        <f t="shared" si="123"/>
        <v>1588678.0000000002</v>
      </c>
      <c r="AH287" s="287">
        <f t="shared" si="124"/>
        <v>277242.78400000004</v>
      </c>
      <c r="AI287" s="287">
        <f t="shared" si="125"/>
        <v>238428.79424000002</v>
      </c>
      <c r="AJ287" s="287">
        <f t="shared" si="126"/>
        <v>0</v>
      </c>
      <c r="AK287" s="287">
        <f t="shared" si="127"/>
        <v>0</v>
      </c>
      <c r="AL287" s="287">
        <f t="shared" si="128"/>
        <v>126.86629795840001</v>
      </c>
      <c r="AM287" s="287">
        <f t="shared" si="129"/>
        <v>109.10501624422402</v>
      </c>
      <c r="AN287" s="287">
        <f t="shared" si="130"/>
        <v>35.924969359738085</v>
      </c>
      <c r="AO287" s="287">
        <f t="shared" si="131"/>
        <v>30.89547364937475</v>
      </c>
      <c r="AP287" s="287">
        <f t="shared" si="132"/>
        <v>383670</v>
      </c>
      <c r="AQ287" s="287">
        <f t="shared" si="133"/>
        <v>329956.2</v>
      </c>
      <c r="AR287" s="287">
        <f t="shared" si="134"/>
        <v>0</v>
      </c>
      <c r="AS287" s="289" t="e">
        <f>IF(J287='2027 Avoided Costs'!#REF!,3,5)</f>
        <v>#REF!</v>
      </c>
      <c r="AT287" s="290" cm="1">
        <f t="array" ref="AT287">IFERROR(IF($J287="Baseload",IF($O287=1,0,NPV('2027 Avoided Costs'!$D$6,_xlfn._xlws.FILTER('2027 Avoided Costs'!$C$14:$C$47,('2027 Avoided Costs'!$B$14:$B$47&gt;=$B287+1)*('2027 Avoided Costs'!$B$14:$B$47&lt;$B287+ROUND($O287,0)))))+_xlfn.XLOOKUP($B287,'2027 Avoided Costs'!$B$13:$B$47,'2027 Avoided Costs'!$C$13:$C$47),IF($O287=1,0,NPV('2027 Avoided Costs'!$D$6,_xlfn._xlws.FILTER('2027 Avoided Costs'!$E$14:$E$47,('2027 Avoided Costs'!$B$14:$B$47&gt;=$B287+1)*('2027 Avoided Costs'!$B$14:$B$47&lt;$B287+ROUND($O287,0)))))+_xlfn.XLOOKUP($B287,'2027 Avoided Costs'!$B$13:$B$47,'2027 Avoided Costs'!$E$13:$E$47))*IF($AE287&gt;0,$AE287*(1+$W287),0),0)</f>
        <v>499350.20720916433</v>
      </c>
      <c r="AU287" s="290" cm="1">
        <f t="array" ref="AU287">IFERROR((IF($O287=1,0,NPV('2027 Avoided Costs'!$D$6,_xlfn._xlws.FILTER('2027 Avoided Costs'!$M$14:$M$47,('2027 Avoided Costs'!$B$14:$B$47&gt;=$B287+1)*('2027 Avoided Costs'!$B$14:$B$47&lt;$B287+ROUND($O287,0)))))+_xlfn.XLOOKUP($B287,'2027 Avoided Costs'!$B$13:$B$47,'2027 Avoided Costs'!$M$13:$M$47))*IF($AK287&gt;0,$AK287*(1+$W287),0),0)</f>
        <v>0</v>
      </c>
      <c r="AV287" s="291" cm="1">
        <f t="array" ref="AV287">IFERROR((IF($O287=1,0,NPV('2027 Avoided Costs'!$D$6,_xlfn._xlws.FILTER('2027 Avoided Costs'!$Q$14:$Q$47,('2027 Avoided Costs'!$B$14:$B$47&gt;=$B287+1)*('2027 Avoided Costs'!$B$14:$B$47&lt;$B287+ROUND($O287,0)))))+_xlfn.XLOOKUP($B287,'2027 Avoided Costs'!$B$13:$B$47,'2027 Avoided Costs'!$Q$13:$Q$47))*IF($AI287&gt;0,$AI287*(1+$W287),0),0)</f>
        <v>107932.8952852947</v>
      </c>
      <c r="AW287" s="291" cm="1">
        <f t="array" ref="AW287">IFERROR((IF($O287=1,0,NPV('2027 Avoided Costs'!$D$6,_xlfn._xlws.FILTER('2027 Avoided Costs'!$W$14:$W$47,('2027 Avoided Costs'!$B$14:$B$47&gt;=$B287+1)*('2027 Avoided Costs'!$B$14:$B$47&lt;$B287+ROUND($O287,0)))))+_xlfn.XLOOKUP($B287,'2027 Avoided Costs'!$B$13:$B$47,'2027 Avoided Costs'!$W$13:$W$47))*IF($AM287&gt;0,$AM287*(1+$W287),0),0)</f>
        <v>342333.68509944231</v>
      </c>
      <c r="AX287" s="291" cm="1">
        <f t="array" ref="AX287">IFERROR((IF($O287=1,0,NPV('2027 Avoided Costs'!$D$6,_xlfn._xlws.FILTER('2027 Avoided Costs'!$AC$14:$AC$47,('2027 Avoided Costs'!$B$14:$B$47&gt;=$B287+1)*('2027 Avoided Costs'!$B$14:$B$47&lt;$B287+ROUND($O287,0)))))+_xlfn.XLOOKUP($B287,'2027 Avoided Costs'!$B$13:$B$47,'2027 Avoided Costs'!$AC$13:$AC$47))*IF($AO287&gt;0,$AO287*(1+$W287),0),0)</f>
        <v>9005.1626155379945</v>
      </c>
      <c r="AY287" s="291" cm="1">
        <f t="array" ref="AY287">IFERROR((IF($O287=1,0,NPV('2027 Avoided Costs'!$D$4,_xlfn._xlws.FILTER('2027 Avoided Costs'!$I$14:$I$47,('2027 Avoided Costs'!$B$14:$B$47&gt;=$B287+1)*('2027 Avoided Costs'!$B$14:$B$47&lt;$B287+ROUND($O287,0)))))+_xlfn.XLOOKUP($B287,'2027 Avoided Costs'!$B$13:$B$47,'2027 Avoided Costs'!$I$13:$I$47))*IF($X287="Residential",'2027 Avoided Costs'!$J$5,IF($X287="Large Volume",'2027 Avoided Costs'!$J$7,'2027 Avoided Costs'!$J$6))*IF($AE287&gt;0,$AE287,0),0)</f>
        <v>0</v>
      </c>
      <c r="AZ287" s="291" cm="1">
        <f t="array" ref="AZ287">IFERROR(IF($J287="Baseload",IF($O287=1,0,NPV('2027 Avoided Costs'!$D$6,_xlfn._xlws.FILTER('2027 Avoided Costs'!$C$14:$C$47,('2027 Avoided Costs'!$B$14:$B$47&gt;=$B287+1)*('2027 Avoided Costs'!$B$14:$B$47&lt;$B287+ROUND($O287,0)))))+_xlfn.XLOOKUP($B287,'2027 Avoided Costs'!$B$13:$B$47,'2027 Avoided Costs'!$C$13:$C$47),IF($O287=1,0,NPV('2027 Avoided Costs'!$D$6,_xlfn._xlws.FILTER('2027 Avoided Costs'!$E$14:$E$47,('2027 Avoided Costs'!$B$14:$B$47&gt;=$B287+1)*('2027 Avoided Costs'!$B$14:$B$47&lt;$B287+ROUND($O287,0)))))+_xlfn.XLOOKUP($B287,'2027 Avoided Costs'!$B$13:$B$47,'2027 Avoided Costs'!$E$13:$E$47))*IF($AE287&lt;0,$AE287*(-1),0),0)</f>
        <v>0</v>
      </c>
      <c r="BA287" s="291" cm="1">
        <f t="array" ref="BA287">IFERROR((IF($O287=1,0,NPV('2027 Avoided Costs'!$D$6,_xlfn._xlws.FILTER('2027 Avoided Costs'!$M$14:$M$47,('2027 Avoided Costs'!$B$14:$B$47&gt;=$B287+1)*('2027 Avoided Costs'!$B$14:$B$47&lt;$B287+ROUND($O287,0)))))+_xlfn.XLOOKUP($B287,'2027 Avoided Costs'!$B$13:$B$47,'2027 Avoided Costs'!$M$13:$M$47))*IF($AK287&lt;0,$AK287*(-1),0),0)</f>
        <v>0</v>
      </c>
      <c r="BB287" s="291" cm="1">
        <f t="array" ref="BB287">IFERROR((IF($O287=1,0,NPV('2027 Avoided Costs'!$D$6,_xlfn._xlws.FILTER('2027 Avoided Costs'!$S$14:$S$47,('2027 Avoided Costs'!$B$14:$B$47&gt;=$B287+1)*('2027 Avoided Costs'!$B$14:$B$47&lt;$B287+ROUND($O287,0)))))+_xlfn.XLOOKUP($B287,'2027 Avoided Costs'!$B$13:$B$47,'2027 Avoided Costs'!$S$13:$S$47))*IF($AI287&lt;0,$AI287*(-1),0),0)</f>
        <v>0</v>
      </c>
      <c r="BC287" s="291" cm="1">
        <f t="array" ref="BC287">IFERROR((IF($O287=1,0,NPV('2027 Avoided Costs'!$D$6,_xlfn._xlws.FILTER('2027 Avoided Costs'!$Y$14:$Y$47,('2027 Avoided Costs'!$B$14:$B$47&gt;=$B287+1)*('2027 Avoided Costs'!$B$14:$B$47&lt;$B287+ROUND($O287,0)))))+_xlfn.XLOOKUP($B287,'2027 Avoided Costs'!$B$13:$B$47,'2027 Avoided Costs'!$Y$13:$Y$47))*IF($AM287&lt;0,$AM287*(-1),0),0)</f>
        <v>0</v>
      </c>
      <c r="BD287" s="291" cm="1">
        <f t="array" ref="BD287">IFERROR((IF($O287=1,0,NPV('2027 Avoided Costs'!$D$6,_xlfn._xlws.FILTER('2027 Avoided Costs'!$AE$14:$AE$47,('2027 Avoided Costs'!$B$14:$B$47&gt;=$B287+1)*('2027 Avoided Costs'!$B$14:$B$47&lt;$B287+ROUND($O287,0)))))+_xlfn.XLOOKUP($B287,'2027 Avoided Costs'!$B$13:$B$47,'2027 Avoided Costs'!$AE$13:$AE$47))*IF($AO287&lt;0,$AO287*(-1),0),0)</f>
        <v>0</v>
      </c>
      <c r="BE287" s="291" cm="1">
        <f t="array" ref="BE287">IFERROR((IF($O287=1,0,NPV('2027 Avoided Costs'!$D$4,_xlfn._xlws.FILTER('2027 Avoided Costs'!$I$14:$I$47,('2027 Avoided Costs'!$B$14:$B$47&gt;=$B287+1)*('2027 Avoided Costs'!$B$14:$B$47&lt;$B287+ROUND($O287,0)))))+_xlfn.XLOOKUP($B287,'2027 Avoided Costs'!$B$13:$B$47,'2027 Avoided Costs'!$I$13:$I$47))*IF($X287="Residential",'2027 Avoided Costs'!$J$5,IF($X287="Large Volume",'2027 Avoided Costs'!$J$7,'2027 Avoided Costs'!$J$6))*IF($AE287&lt;0,$AE287*(-1),0),0)</f>
        <v>0</v>
      </c>
      <c r="BF287" s="291">
        <f t="shared" si="111"/>
        <v>958621.95020943938</v>
      </c>
      <c r="BG287" s="291">
        <f t="shared" si="112"/>
        <v>329956.2</v>
      </c>
      <c r="BH287" s="291">
        <f t="shared" si="113"/>
        <v>628665.75020943931</v>
      </c>
      <c r="BI287" s="292">
        <f t="shared" si="137"/>
        <v>2.9053006132615158</v>
      </c>
      <c r="BJ287" s="196" cm="1">
        <f t="array" ref="BJ287">IFERROR(IF($J287="Baseload",IF($O287=1,0,NPV('2027 Avoided Costs'!$D$6,_xlfn._xlws.FILTER('2027 Avoided Costs'!$C$14:$C$47,('2027 Avoided Costs'!$B$14:$B$47&gt;=$B287+1)*('2027 Avoided Costs'!$B$14:$B$47&lt;$B287+ROUND($O287,0)))))+_xlfn.XLOOKUP($B287,'2027 Avoided Costs'!$B$13:$B$47,'2027 Avoided Costs'!$C$13:$C$47),IF($O287=1,0,NPV('2027 Avoided Costs'!$D$6,_xlfn._xlws.FILTER('2027 Avoided Costs'!$E$14:$E$47,('2027 Avoided Costs'!$B$14:$B$47&gt;=$B287+1)*('2027 Avoided Costs'!$B$14:$B$47&lt;$B287+ROUND($O287,0)))))+_xlfn.XLOOKUP($B287,'2027 Avoided Costs'!$B$13:$B$47,'2027 Avoided Costs'!$E$13:$E$47))*IF($AE287&gt;0,$AE287*(1+0),0),0)</f>
        <v>434217.57148622989</v>
      </c>
      <c r="BK287" s="293">
        <f t="shared" si="135"/>
        <v>2.6801138917779301</v>
      </c>
    </row>
    <row r="288" spans="1:63" s="56" customFormat="1" x14ac:dyDescent="0.25">
      <c r="A288" s="270" t="s">
        <v>133</v>
      </c>
      <c r="B288" s="271">
        <v>2030</v>
      </c>
      <c r="C288" s="272" t="s">
        <v>11</v>
      </c>
      <c r="D288" s="272" t="s">
        <v>160</v>
      </c>
      <c r="E288" s="272" t="s">
        <v>340</v>
      </c>
      <c r="F288" s="273">
        <v>12508</v>
      </c>
      <c r="G288" s="274">
        <v>125</v>
      </c>
      <c r="H288" s="275">
        <f t="shared" si="115"/>
        <v>0.96153846153846156</v>
      </c>
      <c r="I288" s="274">
        <v>0</v>
      </c>
      <c r="J288" s="276" t="s">
        <v>264</v>
      </c>
      <c r="K288" s="277">
        <f t="shared" si="114"/>
        <v>0.8600000000000001</v>
      </c>
      <c r="L288" s="278">
        <v>0.21</v>
      </c>
      <c r="M288" s="278">
        <v>7.0000000000000007E-2</v>
      </c>
      <c r="N288" s="278">
        <v>1</v>
      </c>
      <c r="O288" s="279">
        <v>10</v>
      </c>
      <c r="P288" s="280">
        <v>130</v>
      </c>
      <c r="Q288" s="281">
        <v>182</v>
      </c>
      <c r="R288" s="282">
        <v>8.3283200000000002E-2</v>
      </c>
      <c r="S288" s="282">
        <v>2.3583461142391106E-2</v>
      </c>
      <c r="T288" s="281">
        <v>0</v>
      </c>
      <c r="U288" s="283">
        <v>0</v>
      </c>
      <c r="V288" s="284">
        <v>270</v>
      </c>
      <c r="W288" s="285">
        <v>0.15</v>
      </c>
      <c r="X288" s="286" t="s">
        <v>11</v>
      </c>
      <c r="Y288" s="287">
        <f t="shared" si="116"/>
        <v>12508</v>
      </c>
      <c r="Z288" s="288">
        <f t="shared" si="117"/>
        <v>1563500</v>
      </c>
      <c r="AA288" s="288">
        <f t="shared" si="118"/>
        <v>0</v>
      </c>
      <c r="AB288" s="288">
        <f t="shared" si="119"/>
        <v>1659198.7079999999</v>
      </c>
      <c r="AC288" s="288">
        <f t="shared" si="136"/>
        <v>0</v>
      </c>
      <c r="AD288" s="287">
        <f t="shared" si="120"/>
        <v>1626040</v>
      </c>
      <c r="AE288" s="287">
        <f t="shared" si="121"/>
        <v>1398394.4000000001</v>
      </c>
      <c r="AF288" s="287">
        <f t="shared" si="122"/>
        <v>16260400</v>
      </c>
      <c r="AG288" s="287">
        <f t="shared" si="123"/>
        <v>13983944.000000002</v>
      </c>
      <c r="AH288" s="287">
        <f t="shared" si="124"/>
        <v>2440360.8319999999</v>
      </c>
      <c r="AI288" s="287">
        <f t="shared" si="125"/>
        <v>2098710.3155200002</v>
      </c>
      <c r="AJ288" s="287">
        <f t="shared" si="126"/>
        <v>0</v>
      </c>
      <c r="AK288" s="287">
        <f t="shared" si="127"/>
        <v>0</v>
      </c>
      <c r="AL288" s="287">
        <f t="shared" si="128"/>
        <v>1116.7091167232002</v>
      </c>
      <c r="AM288" s="287">
        <f t="shared" si="129"/>
        <v>960.36984038195214</v>
      </c>
      <c r="AN288" s="287">
        <f t="shared" si="130"/>
        <v>316.22063107079794</v>
      </c>
      <c r="AO288" s="287">
        <f t="shared" si="131"/>
        <v>271.94974272088626</v>
      </c>
      <c r="AP288" s="287">
        <f t="shared" si="132"/>
        <v>3377160</v>
      </c>
      <c r="AQ288" s="287">
        <f t="shared" si="133"/>
        <v>2904357.6000000006</v>
      </c>
      <c r="AR288" s="287">
        <f t="shared" si="134"/>
        <v>0</v>
      </c>
      <c r="AS288" s="289" t="e">
        <f>IF(J288='2027 Avoided Costs'!#REF!,3,5)</f>
        <v>#REF!</v>
      </c>
      <c r="AT288" s="290" cm="1">
        <f t="array" ref="AT288">IFERROR(IF($J288="Baseload",IF($O288=1,0,NPV('2027 Avoided Costs'!$D$6,_xlfn._xlws.FILTER('2027 Avoided Costs'!$C$14:$C$47,('2027 Avoided Costs'!$B$14:$B$47&gt;=$B288+1)*('2027 Avoided Costs'!$B$14:$B$47&lt;$B288+ROUND($O288,0)))))+_xlfn.XLOOKUP($B288,'2027 Avoided Costs'!$B$13:$B$47,'2027 Avoided Costs'!$C$13:$C$47),IF($O288=1,0,NPV('2027 Avoided Costs'!$D$6,_xlfn._xlws.FILTER('2027 Avoided Costs'!$E$14:$E$47,('2027 Avoided Costs'!$B$14:$B$47&gt;=$B288+1)*('2027 Avoided Costs'!$B$14:$B$47&lt;$B288+ROUND($O288,0)))))+_xlfn.XLOOKUP($B288,'2027 Avoided Costs'!$B$13:$B$47,'2027 Avoided Costs'!$E$13:$E$47))*IF($AE288&gt;0,$AE288*(1+$W288),0),0)</f>
        <v>4395406.3277777815</v>
      </c>
      <c r="AU288" s="290" cm="1">
        <f t="array" ref="AU288">IFERROR((IF($O288=1,0,NPV('2027 Avoided Costs'!$D$6,_xlfn._xlws.FILTER('2027 Avoided Costs'!$M$14:$M$47,('2027 Avoided Costs'!$B$14:$B$47&gt;=$B288+1)*('2027 Avoided Costs'!$B$14:$B$47&lt;$B288+ROUND($O288,0)))))+_xlfn.XLOOKUP($B288,'2027 Avoided Costs'!$B$13:$B$47,'2027 Avoided Costs'!$M$13:$M$47))*IF($AK288&gt;0,$AK288*(1+$W288),0),0)</f>
        <v>0</v>
      </c>
      <c r="AV288" s="291" cm="1">
        <f t="array" ref="AV288">IFERROR((IF($O288=1,0,NPV('2027 Avoided Costs'!$D$6,_xlfn._xlws.FILTER('2027 Avoided Costs'!$Q$14:$Q$47,('2027 Avoided Costs'!$B$14:$B$47&gt;=$B288+1)*('2027 Avoided Costs'!$B$14:$B$47&lt;$B288+ROUND($O288,0)))))+_xlfn.XLOOKUP($B288,'2027 Avoided Costs'!$B$13:$B$47,'2027 Avoided Costs'!$Q$13:$Q$47))*IF($AI288&gt;0,$AI288*(1+$W288),0),0)</f>
        <v>950052.53640286135</v>
      </c>
      <c r="AW288" s="291" cm="1">
        <f t="array" ref="AW288">IFERROR((IF($O288=1,0,NPV('2027 Avoided Costs'!$D$6,_xlfn._xlws.FILTER('2027 Avoided Costs'!$W$14:$W$47,('2027 Avoided Costs'!$B$14:$B$47&gt;=$B288+1)*('2027 Avoided Costs'!$B$14:$B$47&lt;$B288+ROUND($O288,0)))))+_xlfn.XLOOKUP($B288,'2027 Avoided Costs'!$B$13:$B$47,'2027 Avoided Costs'!$W$13:$W$47))*IF($AM288&gt;0,$AM288*(1+$W288),0),0)</f>
        <v>3013307.3421701789</v>
      </c>
      <c r="AX288" s="291" cm="1">
        <f t="array" ref="AX288">IFERROR((IF($O288=1,0,NPV('2027 Avoided Costs'!$D$6,_xlfn._xlws.FILTER('2027 Avoided Costs'!$AC$14:$AC$47,('2027 Avoided Costs'!$B$14:$B$47&gt;=$B288+1)*('2027 Avoided Costs'!$B$14:$B$47&lt;$B288+ROUND($O288,0)))))+_xlfn.XLOOKUP($B288,'2027 Avoided Costs'!$B$13:$B$47,'2027 Avoided Costs'!$AC$13:$AC$47))*IF($AO288&gt;0,$AO288*(1+$W288),0),0)</f>
        <v>79265.710059922043</v>
      </c>
      <c r="AY288" s="291" cm="1">
        <f t="array" ref="AY288">IFERROR((IF($O288=1,0,NPV('2027 Avoided Costs'!$D$4,_xlfn._xlws.FILTER('2027 Avoided Costs'!$I$14:$I$47,('2027 Avoided Costs'!$B$14:$B$47&gt;=$B288+1)*('2027 Avoided Costs'!$B$14:$B$47&lt;$B288+ROUND($O288,0)))))+_xlfn.XLOOKUP($B288,'2027 Avoided Costs'!$B$13:$B$47,'2027 Avoided Costs'!$I$13:$I$47))*IF($X288="Residential",'2027 Avoided Costs'!$J$5,IF($X288="Large Volume",'2027 Avoided Costs'!$J$7,'2027 Avoided Costs'!$J$6))*IF($AE288&gt;0,$AE288,0),0)</f>
        <v>0</v>
      </c>
      <c r="AZ288" s="291" cm="1">
        <f t="array" ref="AZ288">IFERROR(IF($J288="Baseload",IF($O288=1,0,NPV('2027 Avoided Costs'!$D$6,_xlfn._xlws.FILTER('2027 Avoided Costs'!$C$14:$C$47,('2027 Avoided Costs'!$B$14:$B$47&gt;=$B288+1)*('2027 Avoided Costs'!$B$14:$B$47&lt;$B288+ROUND($O288,0)))))+_xlfn.XLOOKUP($B288,'2027 Avoided Costs'!$B$13:$B$47,'2027 Avoided Costs'!$C$13:$C$47),IF($O288=1,0,NPV('2027 Avoided Costs'!$D$6,_xlfn._xlws.FILTER('2027 Avoided Costs'!$E$14:$E$47,('2027 Avoided Costs'!$B$14:$B$47&gt;=$B288+1)*('2027 Avoided Costs'!$B$14:$B$47&lt;$B288+ROUND($O288,0)))))+_xlfn.XLOOKUP($B288,'2027 Avoided Costs'!$B$13:$B$47,'2027 Avoided Costs'!$E$13:$E$47))*IF($AE288&lt;0,$AE288*(-1),0),0)</f>
        <v>0</v>
      </c>
      <c r="BA288" s="291" cm="1">
        <f t="array" ref="BA288">IFERROR((IF($O288=1,0,NPV('2027 Avoided Costs'!$D$6,_xlfn._xlws.FILTER('2027 Avoided Costs'!$M$14:$M$47,('2027 Avoided Costs'!$B$14:$B$47&gt;=$B288+1)*('2027 Avoided Costs'!$B$14:$B$47&lt;$B288+ROUND($O288,0)))))+_xlfn.XLOOKUP($B288,'2027 Avoided Costs'!$B$13:$B$47,'2027 Avoided Costs'!$M$13:$M$47))*IF($AK288&lt;0,$AK288*(-1),0),0)</f>
        <v>0</v>
      </c>
      <c r="BB288" s="291" cm="1">
        <f t="array" ref="BB288">IFERROR((IF($O288=1,0,NPV('2027 Avoided Costs'!$D$6,_xlfn._xlws.FILTER('2027 Avoided Costs'!$S$14:$S$47,('2027 Avoided Costs'!$B$14:$B$47&gt;=$B288+1)*('2027 Avoided Costs'!$B$14:$B$47&lt;$B288+ROUND($O288,0)))))+_xlfn.XLOOKUP($B288,'2027 Avoided Costs'!$B$13:$B$47,'2027 Avoided Costs'!$S$13:$S$47))*IF($AI288&lt;0,$AI288*(-1),0),0)</f>
        <v>0</v>
      </c>
      <c r="BC288" s="291" cm="1">
        <f t="array" ref="BC288">IFERROR((IF($O288=1,0,NPV('2027 Avoided Costs'!$D$6,_xlfn._xlws.FILTER('2027 Avoided Costs'!$Y$14:$Y$47,('2027 Avoided Costs'!$B$14:$B$47&gt;=$B288+1)*('2027 Avoided Costs'!$B$14:$B$47&lt;$B288+ROUND($O288,0)))))+_xlfn.XLOOKUP($B288,'2027 Avoided Costs'!$B$13:$B$47,'2027 Avoided Costs'!$Y$13:$Y$47))*IF($AM288&lt;0,$AM288*(-1),0),0)</f>
        <v>0</v>
      </c>
      <c r="BD288" s="291" cm="1">
        <f t="array" ref="BD288">IFERROR((IF($O288=1,0,NPV('2027 Avoided Costs'!$D$6,_xlfn._xlws.FILTER('2027 Avoided Costs'!$AE$14:$AE$47,('2027 Avoided Costs'!$B$14:$B$47&gt;=$B288+1)*('2027 Avoided Costs'!$B$14:$B$47&lt;$B288+ROUND($O288,0)))))+_xlfn.XLOOKUP($B288,'2027 Avoided Costs'!$B$13:$B$47,'2027 Avoided Costs'!$AE$13:$AE$47))*IF($AO288&lt;0,$AO288*(-1),0),0)</f>
        <v>0</v>
      </c>
      <c r="BE288" s="291" cm="1">
        <f t="array" ref="BE288">IFERROR((IF($O288=1,0,NPV('2027 Avoided Costs'!$D$4,_xlfn._xlws.FILTER('2027 Avoided Costs'!$I$14:$I$47,('2027 Avoided Costs'!$B$14:$B$47&gt;=$B288+1)*('2027 Avoided Costs'!$B$14:$B$47&lt;$B288+ROUND($O288,0)))))+_xlfn.XLOOKUP($B288,'2027 Avoided Costs'!$B$13:$B$47,'2027 Avoided Costs'!$I$13:$I$47))*IF($X288="Residential",'2027 Avoided Costs'!$J$5,IF($X288="Large Volume",'2027 Avoided Costs'!$J$7,'2027 Avoided Costs'!$J$6))*IF($AE288&lt;0,$AE288*(-1),0),0)</f>
        <v>0</v>
      </c>
      <c r="BF288" s="291">
        <f t="shared" si="111"/>
        <v>8438031.9164107442</v>
      </c>
      <c r="BG288" s="291">
        <f t="shared" si="112"/>
        <v>2904357.6000000006</v>
      </c>
      <c r="BH288" s="291">
        <f t="shared" si="113"/>
        <v>5533674.3164107436</v>
      </c>
      <c r="BI288" s="292">
        <f t="shared" si="137"/>
        <v>2.9053006132615153</v>
      </c>
      <c r="BJ288" s="196" cm="1">
        <f t="array" ref="BJ288">IFERROR(IF($J288="Baseload",IF($O288=1,0,NPV('2027 Avoided Costs'!$D$6,_xlfn._xlws.FILTER('2027 Avoided Costs'!$C$14:$C$47,('2027 Avoided Costs'!$B$14:$B$47&gt;=$B288+1)*('2027 Avoided Costs'!$B$14:$B$47&lt;$B288+ROUND($O288,0)))))+_xlfn.XLOOKUP($B288,'2027 Avoided Costs'!$B$13:$B$47,'2027 Avoided Costs'!$C$13:$C$47),IF($O288=1,0,NPV('2027 Avoided Costs'!$D$6,_xlfn._xlws.FILTER('2027 Avoided Costs'!$E$14:$E$47,('2027 Avoided Costs'!$B$14:$B$47&gt;=$B288+1)*('2027 Avoided Costs'!$B$14:$B$47&lt;$B288+ROUND($O288,0)))))+_xlfn.XLOOKUP($B288,'2027 Avoided Costs'!$B$13:$B$47,'2027 Avoided Costs'!$E$13:$E$47))*IF($AE288&gt;0,$AE288*(1+0),0),0)</f>
        <v>3822092.4589372016</v>
      </c>
      <c r="BK288" s="293">
        <f t="shared" si="135"/>
        <v>2.3035772873427298</v>
      </c>
    </row>
    <row r="289" spans="1:63" s="56" customFormat="1" x14ac:dyDescent="0.25">
      <c r="A289" s="270" t="s">
        <v>133</v>
      </c>
      <c r="B289" s="271">
        <v>2030</v>
      </c>
      <c r="C289" s="272" t="s">
        <v>11</v>
      </c>
      <c r="D289" s="272" t="s">
        <v>160</v>
      </c>
      <c r="E289" s="272" t="s">
        <v>338</v>
      </c>
      <c r="F289" s="273">
        <v>1848</v>
      </c>
      <c r="G289" s="274">
        <v>125</v>
      </c>
      <c r="H289" s="275">
        <f t="shared" si="115"/>
        <v>0.96153846153846156</v>
      </c>
      <c r="I289" s="274">
        <v>7.5</v>
      </c>
      <c r="J289" s="276" t="s">
        <v>264</v>
      </c>
      <c r="K289" s="277">
        <f t="shared" si="114"/>
        <v>0.8600000000000001</v>
      </c>
      <c r="L289" s="278">
        <v>0.21</v>
      </c>
      <c r="M289" s="278">
        <v>7.0000000000000007E-2</v>
      </c>
      <c r="N289" s="278">
        <v>1</v>
      </c>
      <c r="O289" s="279">
        <v>10</v>
      </c>
      <c r="P289" s="280">
        <v>130</v>
      </c>
      <c r="Q289" s="281">
        <v>182</v>
      </c>
      <c r="R289" s="282">
        <v>8.3283200000000002E-2</v>
      </c>
      <c r="S289" s="282">
        <v>2.3583461142391106E-2</v>
      </c>
      <c r="T289" s="281">
        <v>0</v>
      </c>
      <c r="U289" s="283">
        <v>0</v>
      </c>
      <c r="V289" s="284">
        <v>270</v>
      </c>
      <c r="W289" s="285">
        <v>0.15</v>
      </c>
      <c r="X289" s="286" t="s">
        <v>11</v>
      </c>
      <c r="Y289" s="287">
        <f t="shared" si="116"/>
        <v>1848</v>
      </c>
      <c r="Z289" s="288">
        <f t="shared" si="117"/>
        <v>231000</v>
      </c>
      <c r="AA289" s="288">
        <f t="shared" si="118"/>
        <v>13860</v>
      </c>
      <c r="AB289" s="288">
        <f t="shared" si="119"/>
        <v>245139.04799999998</v>
      </c>
      <c r="AC289" s="288">
        <f t="shared" si="136"/>
        <v>14587.547553089282</v>
      </c>
      <c r="AD289" s="287">
        <f t="shared" si="120"/>
        <v>240240</v>
      </c>
      <c r="AE289" s="287">
        <f t="shared" si="121"/>
        <v>206606.40000000002</v>
      </c>
      <c r="AF289" s="287">
        <f t="shared" si="122"/>
        <v>2402400</v>
      </c>
      <c r="AG289" s="287">
        <f t="shared" si="123"/>
        <v>2066064.0000000002</v>
      </c>
      <c r="AH289" s="287">
        <f t="shared" si="124"/>
        <v>360552.19200000004</v>
      </c>
      <c r="AI289" s="287">
        <f t="shared" si="125"/>
        <v>310074.88512000005</v>
      </c>
      <c r="AJ289" s="287">
        <f t="shared" si="126"/>
        <v>0</v>
      </c>
      <c r="AK289" s="287">
        <f t="shared" si="127"/>
        <v>0</v>
      </c>
      <c r="AL289" s="287">
        <f t="shared" si="128"/>
        <v>164.98868305920001</v>
      </c>
      <c r="AM289" s="287">
        <f t="shared" si="129"/>
        <v>141.89026743091202</v>
      </c>
      <c r="AN289" s="287">
        <f t="shared" si="130"/>
        <v>46.720157196900757</v>
      </c>
      <c r="AO289" s="287">
        <f t="shared" si="131"/>
        <v>40.179335189334651</v>
      </c>
      <c r="AP289" s="287">
        <f t="shared" si="132"/>
        <v>498960</v>
      </c>
      <c r="AQ289" s="287">
        <f t="shared" si="133"/>
        <v>429105.60000000003</v>
      </c>
      <c r="AR289" s="287">
        <f t="shared" si="134"/>
        <v>0</v>
      </c>
      <c r="AS289" s="289" t="e">
        <f>IF(J289='2027 Avoided Costs'!#REF!,3,5)</f>
        <v>#REF!</v>
      </c>
      <c r="AT289" s="290" cm="1">
        <f t="array" ref="AT289">IFERROR(IF($J289="Baseload",IF($O289=1,0,NPV('2027 Avoided Costs'!$D$6,_xlfn._xlws.FILTER('2027 Avoided Costs'!$C$14:$C$47,('2027 Avoided Costs'!$B$14:$B$47&gt;=$B289+1)*('2027 Avoided Costs'!$B$14:$B$47&lt;$B289+ROUND($O289,0)))))+_xlfn.XLOOKUP($B289,'2027 Avoided Costs'!$B$13:$B$47,'2027 Avoided Costs'!$C$13:$C$47),IF($O289=1,0,NPV('2027 Avoided Costs'!$D$6,_xlfn._xlws.FILTER('2027 Avoided Costs'!$E$14:$E$47,('2027 Avoided Costs'!$B$14:$B$47&gt;=$B289+1)*('2027 Avoided Costs'!$B$14:$B$47&lt;$B289+ROUND($O289,0)))))+_xlfn.XLOOKUP($B289,'2027 Avoided Costs'!$B$13:$B$47,'2027 Avoided Costs'!$E$13:$E$47))*IF($AE289&gt;0,$AE289*(1+$W289),0),0)</f>
        <v>649401.25469566195</v>
      </c>
      <c r="AU289" s="290" cm="1">
        <f t="array" ref="AU289">IFERROR((IF($O289=1,0,NPV('2027 Avoided Costs'!$D$6,_xlfn._xlws.FILTER('2027 Avoided Costs'!$M$14:$M$47,('2027 Avoided Costs'!$B$14:$B$47&gt;=$B289+1)*('2027 Avoided Costs'!$B$14:$B$47&lt;$B289+ROUND($O289,0)))))+_xlfn.XLOOKUP($B289,'2027 Avoided Costs'!$B$13:$B$47,'2027 Avoided Costs'!$M$13:$M$47))*IF($AK289&gt;0,$AK289*(1+$W289),0),0)</f>
        <v>0</v>
      </c>
      <c r="AV289" s="291" cm="1">
        <f t="array" ref="AV289">IFERROR((IF($O289=1,0,NPV('2027 Avoided Costs'!$D$6,_xlfn._xlws.FILTER('2027 Avoided Costs'!$Q$14:$Q$47,('2027 Avoided Costs'!$B$14:$B$47&gt;=$B289+1)*('2027 Avoided Costs'!$B$14:$B$47&lt;$B289+ROUND($O289,0)))))+_xlfn.XLOOKUP($B289,'2027 Avoided Costs'!$B$13:$B$47,'2027 Avoided Costs'!$Q$13:$Q$47))*IF($AI289&gt;0,$AI289*(1+$W289),0),0)</f>
        <v>140365.93278481674</v>
      </c>
      <c r="AW289" s="291" cm="1">
        <f t="array" ref="AW289">IFERROR((IF($O289=1,0,NPV('2027 Avoided Costs'!$D$6,_xlfn._xlws.FILTER('2027 Avoided Costs'!$W$14:$W$47,('2027 Avoided Costs'!$B$14:$B$47&gt;=$B289+1)*('2027 Avoided Costs'!$B$14:$B$47&lt;$B289+ROUND($O289,0)))))+_xlfn.XLOOKUP($B289,'2027 Avoided Costs'!$B$13:$B$47,'2027 Avoided Costs'!$W$13:$W$47))*IF($AM289&gt;0,$AM289*(1+$W289),0),0)</f>
        <v>445202.42791257519</v>
      </c>
      <c r="AX289" s="291" cm="1">
        <f t="array" ref="AX289">IFERROR((IF($O289=1,0,NPV('2027 Avoided Costs'!$D$6,_xlfn._xlws.FILTER('2027 Avoided Costs'!$AC$14:$AC$47,('2027 Avoided Costs'!$B$14:$B$47&gt;=$B289+1)*('2027 Avoided Costs'!$B$14:$B$47&lt;$B289+ROUND($O289,0)))))+_xlfn.XLOOKUP($B289,'2027 Avoided Costs'!$B$13:$B$47,'2027 Avoided Costs'!$AC$13:$AC$47))*IF($AO289&gt;0,$AO289*(1+$W289),0),0)</f>
        <v>11711.147440896701</v>
      </c>
      <c r="AY289" s="291" cm="1">
        <f t="array" ref="AY289">IFERROR((IF($O289=1,0,NPV('2027 Avoided Costs'!$D$4,_xlfn._xlws.FILTER('2027 Avoided Costs'!$I$14:$I$47,('2027 Avoided Costs'!$B$14:$B$47&gt;=$B289+1)*('2027 Avoided Costs'!$B$14:$B$47&lt;$B289+ROUND($O289,0)))))+_xlfn.XLOOKUP($B289,'2027 Avoided Costs'!$B$13:$B$47,'2027 Avoided Costs'!$I$13:$I$47))*IF($X289="Residential",'2027 Avoided Costs'!$J$5,IF($X289="Large Volume",'2027 Avoided Costs'!$J$7,'2027 Avoided Costs'!$J$6))*IF($AE289&gt;0,$AE289,0),0)</f>
        <v>0</v>
      </c>
      <c r="AZ289" s="291" cm="1">
        <f t="array" ref="AZ289">IFERROR(IF($J289="Baseload",IF($O289=1,0,NPV('2027 Avoided Costs'!$D$6,_xlfn._xlws.FILTER('2027 Avoided Costs'!$C$14:$C$47,('2027 Avoided Costs'!$B$14:$B$47&gt;=$B289+1)*('2027 Avoided Costs'!$B$14:$B$47&lt;$B289+ROUND($O289,0)))))+_xlfn.XLOOKUP($B289,'2027 Avoided Costs'!$B$13:$B$47,'2027 Avoided Costs'!$C$13:$C$47),IF($O289=1,0,NPV('2027 Avoided Costs'!$D$6,_xlfn._xlws.FILTER('2027 Avoided Costs'!$E$14:$E$47,('2027 Avoided Costs'!$B$14:$B$47&gt;=$B289+1)*('2027 Avoided Costs'!$B$14:$B$47&lt;$B289+ROUND($O289,0)))))+_xlfn.XLOOKUP($B289,'2027 Avoided Costs'!$B$13:$B$47,'2027 Avoided Costs'!$E$13:$E$47))*IF($AE289&lt;0,$AE289*(-1),0),0)</f>
        <v>0</v>
      </c>
      <c r="BA289" s="291" cm="1">
        <f t="array" ref="BA289">IFERROR((IF($O289=1,0,NPV('2027 Avoided Costs'!$D$6,_xlfn._xlws.FILTER('2027 Avoided Costs'!$M$14:$M$47,('2027 Avoided Costs'!$B$14:$B$47&gt;=$B289+1)*('2027 Avoided Costs'!$B$14:$B$47&lt;$B289+ROUND($O289,0)))))+_xlfn.XLOOKUP($B289,'2027 Avoided Costs'!$B$13:$B$47,'2027 Avoided Costs'!$M$13:$M$47))*IF($AK289&lt;0,$AK289*(-1),0),0)</f>
        <v>0</v>
      </c>
      <c r="BB289" s="291" cm="1">
        <f t="array" ref="BB289">IFERROR((IF($O289=1,0,NPV('2027 Avoided Costs'!$D$6,_xlfn._xlws.FILTER('2027 Avoided Costs'!$S$14:$S$47,('2027 Avoided Costs'!$B$14:$B$47&gt;=$B289+1)*('2027 Avoided Costs'!$B$14:$B$47&lt;$B289+ROUND($O289,0)))))+_xlfn.XLOOKUP($B289,'2027 Avoided Costs'!$B$13:$B$47,'2027 Avoided Costs'!$S$13:$S$47))*IF($AI289&lt;0,$AI289*(-1),0),0)</f>
        <v>0</v>
      </c>
      <c r="BC289" s="291" cm="1">
        <f t="array" ref="BC289">IFERROR((IF($O289=1,0,NPV('2027 Avoided Costs'!$D$6,_xlfn._xlws.FILTER('2027 Avoided Costs'!$Y$14:$Y$47,('2027 Avoided Costs'!$B$14:$B$47&gt;=$B289+1)*('2027 Avoided Costs'!$B$14:$B$47&lt;$B289+ROUND($O289,0)))))+_xlfn.XLOOKUP($B289,'2027 Avoided Costs'!$B$13:$B$47,'2027 Avoided Costs'!$Y$13:$Y$47))*IF($AM289&lt;0,$AM289*(-1),0),0)</f>
        <v>0</v>
      </c>
      <c r="BD289" s="291" cm="1">
        <f t="array" ref="BD289">IFERROR((IF($O289=1,0,NPV('2027 Avoided Costs'!$D$6,_xlfn._xlws.FILTER('2027 Avoided Costs'!$AE$14:$AE$47,('2027 Avoided Costs'!$B$14:$B$47&gt;=$B289+1)*('2027 Avoided Costs'!$B$14:$B$47&lt;$B289+ROUND($O289,0)))))+_xlfn.XLOOKUP($B289,'2027 Avoided Costs'!$B$13:$B$47,'2027 Avoided Costs'!$AE$13:$AE$47))*IF($AO289&lt;0,$AO289*(-1),0),0)</f>
        <v>0</v>
      </c>
      <c r="BE289" s="291" cm="1">
        <f t="array" ref="BE289">IFERROR((IF($O289=1,0,NPV('2027 Avoided Costs'!$D$4,_xlfn._xlws.FILTER('2027 Avoided Costs'!$I$14:$I$47,('2027 Avoided Costs'!$B$14:$B$47&gt;=$B289+1)*('2027 Avoided Costs'!$B$14:$B$47&lt;$B289+ROUND($O289,0)))))+_xlfn.XLOOKUP($B289,'2027 Avoided Costs'!$B$13:$B$47,'2027 Avoided Costs'!$I$13:$I$47))*IF($X289="Residential",'2027 Avoided Costs'!$J$5,IF($X289="Large Volume",'2027 Avoided Costs'!$J$7,'2027 Avoided Costs'!$J$6))*IF($AE289&lt;0,$AE289*(-1),0),0)</f>
        <v>0</v>
      </c>
      <c r="BF289" s="291">
        <f t="shared" si="111"/>
        <v>1246680.7628339503</v>
      </c>
      <c r="BG289" s="291">
        <f t="shared" si="112"/>
        <v>429105.60000000003</v>
      </c>
      <c r="BH289" s="291">
        <f t="shared" si="113"/>
        <v>817575.16283395025</v>
      </c>
      <c r="BI289" s="292">
        <f t="shared" si="137"/>
        <v>2.9053006132615149</v>
      </c>
      <c r="BJ289" s="196" cm="1">
        <f t="array" ref="BJ289">IFERROR(IF($J289="Baseload",IF($O289=1,0,NPV('2027 Avoided Costs'!$D$6,_xlfn._xlws.FILTER('2027 Avoided Costs'!$C$14:$C$47,('2027 Avoided Costs'!$B$14:$B$47&gt;=$B289+1)*('2027 Avoided Costs'!$B$14:$B$47&lt;$B289+ROUND($O289,0)))))+_xlfn.XLOOKUP($B289,'2027 Avoided Costs'!$B$13:$B$47,'2027 Avoided Costs'!$C$13:$C$47),IF($O289=1,0,NPV('2027 Avoided Costs'!$D$6,_xlfn._xlws.FILTER('2027 Avoided Costs'!$E$14:$E$47,('2027 Avoided Costs'!$B$14:$B$47&gt;=$B289+1)*('2027 Avoided Costs'!$B$14:$B$47&lt;$B289+ROUND($O289,0)))))+_xlfn.XLOOKUP($B289,'2027 Avoided Costs'!$B$13:$B$47,'2027 Avoided Costs'!$E$13:$E$47))*IF($AE289&gt;0,$AE289*(1+0),0),0)</f>
        <v>564696.74321361911</v>
      </c>
      <c r="BK289" s="293">
        <f t="shared" si="135"/>
        <v>2.1741968396077969</v>
      </c>
    </row>
    <row r="290" spans="1:63" s="56" customFormat="1" x14ac:dyDescent="0.25">
      <c r="A290" s="270" t="s">
        <v>133</v>
      </c>
      <c r="B290" s="271">
        <v>2030</v>
      </c>
      <c r="C290" s="272" t="s">
        <v>11</v>
      </c>
      <c r="D290" s="272" t="s">
        <v>160</v>
      </c>
      <c r="E290" s="272" t="s">
        <v>123</v>
      </c>
      <c r="F290" s="273">
        <v>150</v>
      </c>
      <c r="G290" s="274">
        <v>100</v>
      </c>
      <c r="H290" s="275">
        <f t="shared" si="115"/>
        <v>0.68965517241379315</v>
      </c>
      <c r="I290" s="274">
        <v>0</v>
      </c>
      <c r="J290" s="276" t="s">
        <v>264</v>
      </c>
      <c r="K290" s="277">
        <f t="shared" si="114"/>
        <v>0.8600000000000001</v>
      </c>
      <c r="L290" s="278">
        <v>0.21</v>
      </c>
      <c r="M290" s="278">
        <v>7.0000000000000007E-2</v>
      </c>
      <c r="N290" s="278">
        <v>1</v>
      </c>
      <c r="O290" s="279">
        <v>10</v>
      </c>
      <c r="P290" s="280">
        <v>145</v>
      </c>
      <c r="Q290" s="281">
        <v>217</v>
      </c>
      <c r="R290" s="282">
        <v>9.9299200000000004E-2</v>
      </c>
      <c r="S290" s="282">
        <v>2.8118742131312473E-2</v>
      </c>
      <c r="T290" s="281">
        <v>0</v>
      </c>
      <c r="U290" s="283">
        <v>0</v>
      </c>
      <c r="V290" s="284">
        <v>305</v>
      </c>
      <c r="W290" s="285">
        <v>0.15</v>
      </c>
      <c r="X290" s="286" t="s">
        <v>11</v>
      </c>
      <c r="Y290" s="287">
        <f t="shared" si="116"/>
        <v>150</v>
      </c>
      <c r="Z290" s="288">
        <f t="shared" si="117"/>
        <v>15000</v>
      </c>
      <c r="AA290" s="288">
        <f t="shared" si="118"/>
        <v>0</v>
      </c>
      <c r="AB290" s="288">
        <f t="shared" si="119"/>
        <v>15918.119999999999</v>
      </c>
      <c r="AC290" s="288">
        <f t="shared" si="136"/>
        <v>0</v>
      </c>
      <c r="AD290" s="287">
        <f t="shared" si="120"/>
        <v>21750</v>
      </c>
      <c r="AE290" s="287">
        <f t="shared" si="121"/>
        <v>18705.000000000004</v>
      </c>
      <c r="AF290" s="287">
        <f t="shared" si="122"/>
        <v>217500</v>
      </c>
      <c r="AG290" s="287">
        <f t="shared" si="123"/>
        <v>187050.00000000003</v>
      </c>
      <c r="AH290" s="287">
        <f t="shared" si="124"/>
        <v>34893.599999999999</v>
      </c>
      <c r="AI290" s="287">
        <f t="shared" si="125"/>
        <v>30008.496000000006</v>
      </c>
      <c r="AJ290" s="287">
        <f t="shared" si="126"/>
        <v>0</v>
      </c>
      <c r="AK290" s="287">
        <f t="shared" si="127"/>
        <v>0</v>
      </c>
      <c r="AL290" s="287">
        <f t="shared" si="128"/>
        <v>15.967311360000002</v>
      </c>
      <c r="AM290" s="287">
        <f t="shared" si="129"/>
        <v>13.731887769600004</v>
      </c>
      <c r="AN290" s="287">
        <f t="shared" si="130"/>
        <v>4.5214937347150457</v>
      </c>
      <c r="AO290" s="287">
        <f t="shared" si="131"/>
        <v>3.8884846118549401</v>
      </c>
      <c r="AP290" s="287">
        <f t="shared" si="132"/>
        <v>45750</v>
      </c>
      <c r="AQ290" s="287">
        <f t="shared" si="133"/>
        <v>39345.000000000007</v>
      </c>
      <c r="AR290" s="287">
        <f t="shared" si="134"/>
        <v>0</v>
      </c>
      <c r="AS290" s="289" t="e">
        <f>IF(J290='2027 Avoided Costs'!#REF!,3,5)</f>
        <v>#REF!</v>
      </c>
      <c r="AT290" s="290" cm="1">
        <f t="array" ref="AT290">IFERROR(IF($J290="Baseload",IF($O290=1,0,NPV('2027 Avoided Costs'!$D$6,_xlfn._xlws.FILTER('2027 Avoided Costs'!$C$14:$C$47,('2027 Avoided Costs'!$B$14:$B$47&gt;=$B290+1)*('2027 Avoided Costs'!$B$14:$B$47&lt;$B290+ROUND($O290,0)))))+_xlfn.XLOOKUP($B290,'2027 Avoided Costs'!$B$13:$B$47,'2027 Avoided Costs'!$C$13:$C$47),IF($O290=1,0,NPV('2027 Avoided Costs'!$D$6,_xlfn._xlws.FILTER('2027 Avoided Costs'!$E$14:$E$47,('2027 Avoided Costs'!$B$14:$B$47&gt;=$B290+1)*('2027 Avoided Costs'!$B$14:$B$47&lt;$B290+ROUND($O290,0)))))+_xlfn.XLOOKUP($B290,'2027 Avoided Costs'!$B$13:$B$47,'2027 Avoided Costs'!$E$13:$E$47))*IF($AE290&gt;0,$AE290*(1+$W290),0),0)</f>
        <v>58793.195511283091</v>
      </c>
      <c r="AU290" s="290" cm="1">
        <f t="array" ref="AU290">IFERROR((IF($O290=1,0,NPV('2027 Avoided Costs'!$D$6,_xlfn._xlws.FILTER('2027 Avoided Costs'!$M$14:$M$47,('2027 Avoided Costs'!$B$14:$B$47&gt;=$B290+1)*('2027 Avoided Costs'!$B$14:$B$47&lt;$B290+ROUND($O290,0)))))+_xlfn.XLOOKUP($B290,'2027 Avoided Costs'!$B$13:$B$47,'2027 Avoided Costs'!$M$13:$M$47))*IF($AK290&gt;0,$AK290*(1+$W290),0),0)</f>
        <v>0</v>
      </c>
      <c r="AV290" s="291" cm="1">
        <f t="array" ref="AV290">IFERROR((IF($O290=1,0,NPV('2027 Avoided Costs'!$D$6,_xlfn._xlws.FILTER('2027 Avoided Costs'!$Q$14:$Q$47,('2027 Avoided Costs'!$B$14:$B$47&gt;=$B290+1)*('2027 Avoided Costs'!$B$14:$B$47&lt;$B290+ROUND($O290,0)))))+_xlfn.XLOOKUP($B290,'2027 Avoided Costs'!$B$13:$B$47,'2027 Avoided Costs'!$Q$13:$Q$47))*IF($AI290&gt;0,$AI290*(1+$W290),0),0)</f>
        <v>13584.365373155966</v>
      </c>
      <c r="AW290" s="291" cm="1">
        <f t="array" ref="AW290">IFERROR((IF($O290=1,0,NPV('2027 Avoided Costs'!$D$6,_xlfn._xlws.FILTER('2027 Avoided Costs'!$W$14:$W$47,('2027 Avoided Costs'!$B$14:$B$47&gt;=$B290+1)*('2027 Avoided Costs'!$B$14:$B$47&lt;$B290+ROUND($O290,0)))))+_xlfn.XLOOKUP($B290,'2027 Avoided Costs'!$B$13:$B$47,'2027 Avoided Costs'!$W$13:$W$47))*IF($AM290&gt;0,$AM290*(1+$W290),0),0)</f>
        <v>43085.899304726001</v>
      </c>
      <c r="AX290" s="291" cm="1">
        <f t="array" ref="AX290">IFERROR((IF($O290=1,0,NPV('2027 Avoided Costs'!$D$6,_xlfn._xlws.FILTER('2027 Avoided Costs'!$AC$14:$AC$47,('2027 Avoided Costs'!$B$14:$B$47&gt;=$B290+1)*('2027 Avoided Costs'!$B$14:$B$47&lt;$B290+ROUND($O290,0)))))+_xlfn.XLOOKUP($B290,'2027 Avoided Costs'!$B$13:$B$47,'2027 Avoided Costs'!$AC$13:$AC$47))*IF($AO290&gt;0,$AO290*(1+$W290),0),0)</f>
        <v>1133.3840243125558</v>
      </c>
      <c r="AY290" s="291" cm="1">
        <f t="array" ref="AY290">IFERROR((IF($O290=1,0,NPV('2027 Avoided Costs'!$D$4,_xlfn._xlws.FILTER('2027 Avoided Costs'!$I$14:$I$47,('2027 Avoided Costs'!$B$14:$B$47&gt;=$B290+1)*('2027 Avoided Costs'!$B$14:$B$47&lt;$B290+ROUND($O290,0)))))+_xlfn.XLOOKUP($B290,'2027 Avoided Costs'!$B$13:$B$47,'2027 Avoided Costs'!$I$13:$I$47))*IF($X290="Residential",'2027 Avoided Costs'!$J$5,IF($X290="Large Volume",'2027 Avoided Costs'!$J$7,'2027 Avoided Costs'!$J$6))*IF($AE290&gt;0,$AE290,0),0)</f>
        <v>0</v>
      </c>
      <c r="AZ290" s="291" cm="1">
        <f t="array" ref="AZ290">IFERROR(IF($J290="Baseload",IF($O290=1,0,NPV('2027 Avoided Costs'!$D$6,_xlfn._xlws.FILTER('2027 Avoided Costs'!$C$14:$C$47,('2027 Avoided Costs'!$B$14:$B$47&gt;=$B290+1)*('2027 Avoided Costs'!$B$14:$B$47&lt;$B290+ROUND($O290,0)))))+_xlfn.XLOOKUP($B290,'2027 Avoided Costs'!$B$13:$B$47,'2027 Avoided Costs'!$C$13:$C$47),IF($O290=1,0,NPV('2027 Avoided Costs'!$D$6,_xlfn._xlws.FILTER('2027 Avoided Costs'!$E$14:$E$47,('2027 Avoided Costs'!$B$14:$B$47&gt;=$B290+1)*('2027 Avoided Costs'!$B$14:$B$47&lt;$B290+ROUND($O290,0)))))+_xlfn.XLOOKUP($B290,'2027 Avoided Costs'!$B$13:$B$47,'2027 Avoided Costs'!$E$13:$E$47))*IF($AE290&lt;0,$AE290*(-1),0),0)</f>
        <v>0</v>
      </c>
      <c r="BA290" s="291" cm="1">
        <f t="array" ref="BA290">IFERROR((IF($O290=1,0,NPV('2027 Avoided Costs'!$D$6,_xlfn._xlws.FILTER('2027 Avoided Costs'!$M$14:$M$47,('2027 Avoided Costs'!$B$14:$B$47&gt;=$B290+1)*('2027 Avoided Costs'!$B$14:$B$47&lt;$B290+ROUND($O290,0)))))+_xlfn.XLOOKUP($B290,'2027 Avoided Costs'!$B$13:$B$47,'2027 Avoided Costs'!$M$13:$M$47))*IF($AK290&lt;0,$AK290*(-1),0),0)</f>
        <v>0</v>
      </c>
      <c r="BB290" s="291" cm="1">
        <f t="array" ref="BB290">IFERROR((IF($O290=1,0,NPV('2027 Avoided Costs'!$D$6,_xlfn._xlws.FILTER('2027 Avoided Costs'!$S$14:$S$47,('2027 Avoided Costs'!$B$14:$B$47&gt;=$B290+1)*('2027 Avoided Costs'!$B$14:$B$47&lt;$B290+ROUND($O290,0)))))+_xlfn.XLOOKUP($B290,'2027 Avoided Costs'!$B$13:$B$47,'2027 Avoided Costs'!$S$13:$S$47))*IF($AI290&lt;0,$AI290*(-1),0),0)</f>
        <v>0</v>
      </c>
      <c r="BC290" s="291" cm="1">
        <f t="array" ref="BC290">IFERROR((IF($O290=1,0,NPV('2027 Avoided Costs'!$D$6,_xlfn._xlws.FILTER('2027 Avoided Costs'!$Y$14:$Y$47,('2027 Avoided Costs'!$B$14:$B$47&gt;=$B290+1)*('2027 Avoided Costs'!$B$14:$B$47&lt;$B290+ROUND($O290,0)))))+_xlfn.XLOOKUP($B290,'2027 Avoided Costs'!$B$13:$B$47,'2027 Avoided Costs'!$Y$13:$Y$47))*IF($AM290&lt;0,$AM290*(-1),0),0)</f>
        <v>0</v>
      </c>
      <c r="BD290" s="291" cm="1">
        <f t="array" ref="BD290">IFERROR((IF($O290=1,0,NPV('2027 Avoided Costs'!$D$6,_xlfn._xlws.FILTER('2027 Avoided Costs'!$AE$14:$AE$47,('2027 Avoided Costs'!$B$14:$B$47&gt;=$B290+1)*('2027 Avoided Costs'!$B$14:$B$47&lt;$B290+ROUND($O290,0)))))+_xlfn.XLOOKUP($B290,'2027 Avoided Costs'!$B$13:$B$47,'2027 Avoided Costs'!$AE$13:$AE$47))*IF($AO290&lt;0,$AO290*(-1),0),0)</f>
        <v>0</v>
      </c>
      <c r="BE290" s="291" cm="1">
        <f t="array" ref="BE290">IFERROR((IF($O290=1,0,NPV('2027 Avoided Costs'!$D$4,_xlfn._xlws.FILTER('2027 Avoided Costs'!$I$14:$I$47,('2027 Avoided Costs'!$B$14:$B$47&gt;=$B290+1)*('2027 Avoided Costs'!$B$14:$B$47&lt;$B290+ROUND($O290,0)))))+_xlfn.XLOOKUP($B290,'2027 Avoided Costs'!$B$13:$B$47,'2027 Avoided Costs'!$I$13:$I$47))*IF($X290="Residential",'2027 Avoided Costs'!$J$5,IF($X290="Large Volume",'2027 Avoided Costs'!$J$7,'2027 Avoided Costs'!$J$6))*IF($AE290&lt;0,$AE290*(-1),0),0)</f>
        <v>0</v>
      </c>
      <c r="BF290" s="291">
        <f t="shared" si="111"/>
        <v>116596.84421347761</v>
      </c>
      <c r="BG290" s="291">
        <f t="shared" si="112"/>
        <v>39345.000000000007</v>
      </c>
      <c r="BH290" s="291">
        <f t="shared" si="113"/>
        <v>77251.844213477598</v>
      </c>
      <c r="BI290" s="292">
        <f t="shared" si="137"/>
        <v>2.9634475591174887</v>
      </c>
      <c r="BJ290" s="196" cm="1">
        <f t="array" ref="BJ290">IFERROR(IF($J290="Baseload",IF($O290=1,0,NPV('2027 Avoided Costs'!$D$6,_xlfn._xlws.FILTER('2027 Avoided Costs'!$C$14:$C$47,('2027 Avoided Costs'!$B$14:$B$47&gt;=$B290+1)*('2027 Avoided Costs'!$B$14:$B$47&lt;$B290+ROUND($O290,0)))))+_xlfn.XLOOKUP($B290,'2027 Avoided Costs'!$B$13:$B$47,'2027 Avoided Costs'!$C$13:$C$47),IF($O290=1,0,NPV('2027 Avoided Costs'!$D$6,_xlfn._xlws.FILTER('2027 Avoided Costs'!$E$14:$E$47,('2027 Avoided Costs'!$B$14:$B$47&gt;=$B290+1)*('2027 Avoided Costs'!$B$14:$B$47&lt;$B290+ROUND($O290,0)))))+_xlfn.XLOOKUP($B290,'2027 Avoided Costs'!$B$13:$B$47,'2027 Avoided Costs'!$E$13:$E$47))*IF($AE290&gt;0,$AE290*(1+0),0),0)</f>
        <v>51124.517835898339</v>
      </c>
      <c r="BK290" s="293">
        <f t="shared" si="135"/>
        <v>3.2117183333143826</v>
      </c>
    </row>
    <row r="291" spans="1:63" s="56" customFormat="1" x14ac:dyDescent="0.25">
      <c r="A291" s="270" t="s">
        <v>133</v>
      </c>
      <c r="B291" s="271">
        <v>2030</v>
      </c>
      <c r="C291" s="272" t="s">
        <v>11</v>
      </c>
      <c r="D291" s="272" t="s">
        <v>160</v>
      </c>
      <c r="E291" s="272" t="s">
        <v>124</v>
      </c>
      <c r="F291" s="273">
        <v>10</v>
      </c>
      <c r="G291" s="274">
        <v>100</v>
      </c>
      <c r="H291" s="275">
        <f t="shared" si="115"/>
        <v>0.68965517241379315</v>
      </c>
      <c r="I291" s="274">
        <v>7.5</v>
      </c>
      <c r="J291" s="276" t="s">
        <v>264</v>
      </c>
      <c r="K291" s="277">
        <f t="shared" si="114"/>
        <v>0.8600000000000001</v>
      </c>
      <c r="L291" s="278">
        <v>0.21</v>
      </c>
      <c r="M291" s="278">
        <v>7.0000000000000007E-2</v>
      </c>
      <c r="N291" s="278">
        <v>1</v>
      </c>
      <c r="O291" s="279">
        <v>10</v>
      </c>
      <c r="P291" s="280">
        <v>145</v>
      </c>
      <c r="Q291" s="281">
        <v>217</v>
      </c>
      <c r="R291" s="282">
        <v>9.9299200000000004E-2</v>
      </c>
      <c r="S291" s="282">
        <v>2.8118742131312473E-2</v>
      </c>
      <c r="T291" s="281">
        <v>0</v>
      </c>
      <c r="U291" s="283">
        <v>0</v>
      </c>
      <c r="V291" s="284">
        <v>305</v>
      </c>
      <c r="W291" s="285">
        <v>0.15</v>
      </c>
      <c r="X291" s="286" t="s">
        <v>11</v>
      </c>
      <c r="Y291" s="287">
        <f t="shared" si="116"/>
        <v>10</v>
      </c>
      <c r="Z291" s="288">
        <f t="shared" si="117"/>
        <v>1000</v>
      </c>
      <c r="AA291" s="288">
        <f t="shared" si="118"/>
        <v>75</v>
      </c>
      <c r="AB291" s="288">
        <f t="shared" si="119"/>
        <v>1061.2079999999999</v>
      </c>
      <c r="AC291" s="288">
        <f t="shared" si="136"/>
        <v>78.936945633600018</v>
      </c>
      <c r="AD291" s="287">
        <f t="shared" si="120"/>
        <v>1450</v>
      </c>
      <c r="AE291" s="287">
        <f t="shared" si="121"/>
        <v>1247.0000000000002</v>
      </c>
      <c r="AF291" s="287">
        <f t="shared" si="122"/>
        <v>14500</v>
      </c>
      <c r="AG291" s="287">
        <f t="shared" si="123"/>
        <v>12470.000000000002</v>
      </c>
      <c r="AH291" s="287">
        <f t="shared" si="124"/>
        <v>2326.2400000000002</v>
      </c>
      <c r="AI291" s="287">
        <f t="shared" si="125"/>
        <v>2000.5664000000004</v>
      </c>
      <c r="AJ291" s="287">
        <f t="shared" si="126"/>
        <v>0</v>
      </c>
      <c r="AK291" s="287">
        <f t="shared" si="127"/>
        <v>0</v>
      </c>
      <c r="AL291" s="287">
        <f t="shared" si="128"/>
        <v>1.0644874240000002</v>
      </c>
      <c r="AM291" s="287">
        <f t="shared" si="129"/>
        <v>0.9154591846400002</v>
      </c>
      <c r="AN291" s="287">
        <f t="shared" si="130"/>
        <v>0.30143291564766972</v>
      </c>
      <c r="AO291" s="287">
        <f t="shared" si="131"/>
        <v>0.25923230745699599</v>
      </c>
      <c r="AP291" s="287">
        <f t="shared" si="132"/>
        <v>3050</v>
      </c>
      <c r="AQ291" s="287">
        <f t="shared" si="133"/>
        <v>2623.0000000000005</v>
      </c>
      <c r="AR291" s="287">
        <f t="shared" si="134"/>
        <v>0</v>
      </c>
      <c r="AS291" s="289" t="e">
        <f>IF(J291='2027 Avoided Costs'!#REF!,3,5)</f>
        <v>#REF!</v>
      </c>
      <c r="AT291" s="290" cm="1">
        <f t="array" ref="AT291">IFERROR(IF($J291="Baseload",IF($O291=1,0,NPV('2027 Avoided Costs'!$D$6,_xlfn._xlws.FILTER('2027 Avoided Costs'!$C$14:$C$47,('2027 Avoided Costs'!$B$14:$B$47&gt;=$B291+1)*('2027 Avoided Costs'!$B$14:$B$47&lt;$B291+ROUND($O291,0)))))+_xlfn.XLOOKUP($B291,'2027 Avoided Costs'!$B$13:$B$47,'2027 Avoided Costs'!$C$13:$C$47),IF($O291=1,0,NPV('2027 Avoided Costs'!$D$6,_xlfn._xlws.FILTER('2027 Avoided Costs'!$E$14:$E$47,('2027 Avoided Costs'!$B$14:$B$47&gt;=$B291+1)*('2027 Avoided Costs'!$B$14:$B$47&lt;$B291+ROUND($O291,0)))))+_xlfn.XLOOKUP($B291,'2027 Avoided Costs'!$B$13:$B$47,'2027 Avoided Costs'!$E$13:$E$47))*IF($AE291&gt;0,$AE291*(1+$W291),0),0)</f>
        <v>3919.5463674188727</v>
      </c>
      <c r="AU291" s="290" cm="1">
        <f t="array" ref="AU291">IFERROR((IF($O291=1,0,NPV('2027 Avoided Costs'!$D$6,_xlfn._xlws.FILTER('2027 Avoided Costs'!$M$14:$M$47,('2027 Avoided Costs'!$B$14:$B$47&gt;=$B291+1)*('2027 Avoided Costs'!$B$14:$B$47&lt;$B291+ROUND($O291,0)))))+_xlfn.XLOOKUP($B291,'2027 Avoided Costs'!$B$13:$B$47,'2027 Avoided Costs'!$M$13:$M$47))*IF($AK291&gt;0,$AK291*(1+$W291),0),0)</f>
        <v>0</v>
      </c>
      <c r="AV291" s="291" cm="1">
        <f t="array" ref="AV291">IFERROR((IF($O291=1,0,NPV('2027 Avoided Costs'!$D$6,_xlfn._xlws.FILTER('2027 Avoided Costs'!$Q$14:$Q$47,('2027 Avoided Costs'!$B$14:$B$47&gt;=$B291+1)*('2027 Avoided Costs'!$B$14:$B$47&lt;$B291+ROUND($O291,0)))))+_xlfn.XLOOKUP($B291,'2027 Avoided Costs'!$B$13:$B$47,'2027 Avoided Costs'!$Q$13:$Q$47))*IF($AI291&gt;0,$AI291*(1+$W291),0),0)</f>
        <v>905.62435821039776</v>
      </c>
      <c r="AW291" s="291" cm="1">
        <f t="array" ref="AW291">IFERROR((IF($O291=1,0,NPV('2027 Avoided Costs'!$D$6,_xlfn._xlws.FILTER('2027 Avoided Costs'!$W$14:$W$47,('2027 Avoided Costs'!$B$14:$B$47&gt;=$B291+1)*('2027 Avoided Costs'!$B$14:$B$47&lt;$B291+ROUND($O291,0)))))+_xlfn.XLOOKUP($B291,'2027 Avoided Costs'!$B$13:$B$47,'2027 Avoided Costs'!$W$13:$W$47))*IF($AM291&gt;0,$AM291*(1+$W291),0),0)</f>
        <v>2872.3932869817331</v>
      </c>
      <c r="AX291" s="291" cm="1">
        <f t="array" ref="AX291">IFERROR((IF($O291=1,0,NPV('2027 Avoided Costs'!$D$6,_xlfn._xlws.FILTER('2027 Avoided Costs'!$AC$14:$AC$47,('2027 Avoided Costs'!$B$14:$B$47&gt;=$B291+1)*('2027 Avoided Costs'!$B$14:$B$47&lt;$B291+ROUND($O291,0)))))+_xlfn.XLOOKUP($B291,'2027 Avoided Costs'!$B$13:$B$47,'2027 Avoided Costs'!$AC$13:$AC$47))*IF($AO291&gt;0,$AO291*(1+$W291),0),0)</f>
        <v>75.558934954170368</v>
      </c>
      <c r="AY291" s="291" cm="1">
        <f t="array" ref="AY291">IFERROR((IF($O291=1,0,NPV('2027 Avoided Costs'!$D$4,_xlfn._xlws.FILTER('2027 Avoided Costs'!$I$14:$I$47,('2027 Avoided Costs'!$B$14:$B$47&gt;=$B291+1)*('2027 Avoided Costs'!$B$14:$B$47&lt;$B291+ROUND($O291,0)))))+_xlfn.XLOOKUP($B291,'2027 Avoided Costs'!$B$13:$B$47,'2027 Avoided Costs'!$I$13:$I$47))*IF($X291="Residential",'2027 Avoided Costs'!$J$5,IF($X291="Large Volume",'2027 Avoided Costs'!$J$7,'2027 Avoided Costs'!$J$6))*IF($AE291&gt;0,$AE291,0),0)</f>
        <v>0</v>
      </c>
      <c r="AZ291" s="291" cm="1">
        <f t="array" ref="AZ291">IFERROR(IF($J291="Baseload",IF($O291=1,0,NPV('2027 Avoided Costs'!$D$6,_xlfn._xlws.FILTER('2027 Avoided Costs'!$C$14:$C$47,('2027 Avoided Costs'!$B$14:$B$47&gt;=$B291+1)*('2027 Avoided Costs'!$B$14:$B$47&lt;$B291+ROUND($O291,0)))))+_xlfn.XLOOKUP($B291,'2027 Avoided Costs'!$B$13:$B$47,'2027 Avoided Costs'!$C$13:$C$47),IF($O291=1,0,NPV('2027 Avoided Costs'!$D$6,_xlfn._xlws.FILTER('2027 Avoided Costs'!$E$14:$E$47,('2027 Avoided Costs'!$B$14:$B$47&gt;=$B291+1)*('2027 Avoided Costs'!$B$14:$B$47&lt;$B291+ROUND($O291,0)))))+_xlfn.XLOOKUP($B291,'2027 Avoided Costs'!$B$13:$B$47,'2027 Avoided Costs'!$E$13:$E$47))*IF($AE291&lt;0,$AE291*(-1),0),0)</f>
        <v>0</v>
      </c>
      <c r="BA291" s="291" cm="1">
        <f t="array" ref="BA291">IFERROR((IF($O291=1,0,NPV('2027 Avoided Costs'!$D$6,_xlfn._xlws.FILTER('2027 Avoided Costs'!$M$14:$M$47,('2027 Avoided Costs'!$B$14:$B$47&gt;=$B291+1)*('2027 Avoided Costs'!$B$14:$B$47&lt;$B291+ROUND($O291,0)))))+_xlfn.XLOOKUP($B291,'2027 Avoided Costs'!$B$13:$B$47,'2027 Avoided Costs'!$M$13:$M$47))*IF($AK291&lt;0,$AK291*(-1),0),0)</f>
        <v>0</v>
      </c>
      <c r="BB291" s="291" cm="1">
        <f t="array" ref="BB291">IFERROR((IF($O291=1,0,NPV('2027 Avoided Costs'!$D$6,_xlfn._xlws.FILTER('2027 Avoided Costs'!$S$14:$S$47,('2027 Avoided Costs'!$B$14:$B$47&gt;=$B291+1)*('2027 Avoided Costs'!$B$14:$B$47&lt;$B291+ROUND($O291,0)))))+_xlfn.XLOOKUP($B291,'2027 Avoided Costs'!$B$13:$B$47,'2027 Avoided Costs'!$S$13:$S$47))*IF($AI291&lt;0,$AI291*(-1),0),0)</f>
        <v>0</v>
      </c>
      <c r="BC291" s="291" cm="1">
        <f t="array" ref="BC291">IFERROR((IF($O291=1,0,NPV('2027 Avoided Costs'!$D$6,_xlfn._xlws.FILTER('2027 Avoided Costs'!$Y$14:$Y$47,('2027 Avoided Costs'!$B$14:$B$47&gt;=$B291+1)*('2027 Avoided Costs'!$B$14:$B$47&lt;$B291+ROUND($O291,0)))))+_xlfn.XLOOKUP($B291,'2027 Avoided Costs'!$B$13:$B$47,'2027 Avoided Costs'!$Y$13:$Y$47))*IF($AM291&lt;0,$AM291*(-1),0),0)</f>
        <v>0</v>
      </c>
      <c r="BD291" s="291" cm="1">
        <f t="array" ref="BD291">IFERROR((IF($O291=1,0,NPV('2027 Avoided Costs'!$D$6,_xlfn._xlws.FILTER('2027 Avoided Costs'!$AE$14:$AE$47,('2027 Avoided Costs'!$B$14:$B$47&gt;=$B291+1)*('2027 Avoided Costs'!$B$14:$B$47&lt;$B291+ROUND($O291,0)))))+_xlfn.XLOOKUP($B291,'2027 Avoided Costs'!$B$13:$B$47,'2027 Avoided Costs'!$AE$13:$AE$47))*IF($AO291&lt;0,$AO291*(-1),0),0)</f>
        <v>0</v>
      </c>
      <c r="BE291" s="291" cm="1">
        <f t="array" ref="BE291">IFERROR((IF($O291=1,0,NPV('2027 Avoided Costs'!$D$4,_xlfn._xlws.FILTER('2027 Avoided Costs'!$I$14:$I$47,('2027 Avoided Costs'!$B$14:$B$47&gt;=$B291+1)*('2027 Avoided Costs'!$B$14:$B$47&lt;$B291+ROUND($O291,0)))))+_xlfn.XLOOKUP($B291,'2027 Avoided Costs'!$B$13:$B$47,'2027 Avoided Costs'!$I$13:$I$47))*IF($X291="Residential",'2027 Avoided Costs'!$J$5,IF($X291="Large Volume",'2027 Avoided Costs'!$J$7,'2027 Avoided Costs'!$J$6))*IF($AE291&lt;0,$AE291*(-1),0),0)</f>
        <v>0</v>
      </c>
      <c r="BF291" s="291">
        <f t="shared" si="111"/>
        <v>7773.1229475651735</v>
      </c>
      <c r="BG291" s="291">
        <f t="shared" si="112"/>
        <v>2623.0000000000005</v>
      </c>
      <c r="BH291" s="291">
        <f t="shared" si="113"/>
        <v>5150.1229475651726</v>
      </c>
      <c r="BI291" s="292">
        <f t="shared" si="137"/>
        <v>2.9634475591174883</v>
      </c>
      <c r="BJ291" s="196" cm="1">
        <f t="array" ref="BJ291">IFERROR(IF($J291="Baseload",IF($O291=1,0,NPV('2027 Avoided Costs'!$D$6,_xlfn._xlws.FILTER('2027 Avoided Costs'!$C$14:$C$47,('2027 Avoided Costs'!$B$14:$B$47&gt;=$B291+1)*('2027 Avoided Costs'!$B$14:$B$47&lt;$B291+ROUND($O291,0)))))+_xlfn.XLOOKUP($B291,'2027 Avoided Costs'!$B$13:$B$47,'2027 Avoided Costs'!$C$13:$C$47),IF($O291=1,0,NPV('2027 Avoided Costs'!$D$6,_xlfn._xlws.FILTER('2027 Avoided Costs'!$E$14:$E$47,('2027 Avoided Costs'!$B$14:$B$47&gt;=$B291+1)*('2027 Avoided Costs'!$B$14:$B$47&lt;$B291+ROUND($O291,0)))))+_xlfn.XLOOKUP($B291,'2027 Avoided Costs'!$B$13:$B$47,'2027 Avoided Costs'!$E$13:$E$47))*IF($AE291&gt;0,$AE291*(1+0),0),0)</f>
        <v>3408.3011890598896</v>
      </c>
      <c r="BK291" s="293">
        <f t="shared" si="135"/>
        <v>2.9893578023676914</v>
      </c>
    </row>
    <row r="292" spans="1:63" s="56" customFormat="1" x14ac:dyDescent="0.25">
      <c r="A292" s="270" t="s">
        <v>206</v>
      </c>
      <c r="B292" s="271">
        <v>2027</v>
      </c>
      <c r="C292" s="272" t="s">
        <v>12</v>
      </c>
      <c r="D292" s="272" t="s">
        <v>22</v>
      </c>
      <c r="E292" s="272" t="s">
        <v>106</v>
      </c>
      <c r="F292" s="273">
        <v>50</v>
      </c>
      <c r="G292" s="274">
        <v>508</v>
      </c>
      <c r="H292" s="275">
        <f t="shared" si="115"/>
        <v>3.5474860335195535</v>
      </c>
      <c r="I292" s="274">
        <v>0</v>
      </c>
      <c r="J292" s="276" t="s">
        <v>264</v>
      </c>
      <c r="K292" s="277">
        <f t="shared" si="114"/>
        <v>1</v>
      </c>
      <c r="L292" s="278">
        <v>0</v>
      </c>
      <c r="M292" s="278">
        <v>0</v>
      </c>
      <c r="N292" s="278">
        <v>1</v>
      </c>
      <c r="O292" s="279">
        <v>25</v>
      </c>
      <c r="P292" s="280">
        <v>143.19999999999999</v>
      </c>
      <c r="Q292" s="281">
        <v>0</v>
      </c>
      <c r="R292" s="282">
        <v>0</v>
      </c>
      <c r="S292" s="282">
        <v>0</v>
      </c>
      <c r="T292" s="281">
        <v>0</v>
      </c>
      <c r="U292" s="283">
        <v>0</v>
      </c>
      <c r="V292" s="284">
        <v>508</v>
      </c>
      <c r="W292" s="285">
        <v>0.15</v>
      </c>
      <c r="X292" s="286" t="s">
        <v>11</v>
      </c>
      <c r="Y292" s="287">
        <f t="shared" si="116"/>
        <v>50</v>
      </c>
      <c r="Z292" s="288">
        <f t="shared" si="117"/>
        <v>25400</v>
      </c>
      <c r="AA292" s="288">
        <f t="shared" si="118"/>
        <v>0</v>
      </c>
      <c r="AB292" s="288">
        <f t="shared" si="119"/>
        <v>25400</v>
      </c>
      <c r="AC292" s="288">
        <f t="shared" si="136"/>
        <v>0</v>
      </c>
      <c r="AD292" s="287">
        <f t="shared" si="120"/>
        <v>7159.9999999999991</v>
      </c>
      <c r="AE292" s="287">
        <f t="shared" si="121"/>
        <v>7159.9999999999991</v>
      </c>
      <c r="AF292" s="287">
        <f t="shared" si="122"/>
        <v>178999.99999999997</v>
      </c>
      <c r="AG292" s="287">
        <f t="shared" si="123"/>
        <v>178999.99999999997</v>
      </c>
      <c r="AH292" s="287">
        <f t="shared" si="124"/>
        <v>0</v>
      </c>
      <c r="AI292" s="287">
        <f t="shared" si="125"/>
        <v>0</v>
      </c>
      <c r="AJ292" s="287">
        <f t="shared" si="126"/>
        <v>0</v>
      </c>
      <c r="AK292" s="287">
        <f t="shared" si="127"/>
        <v>0</v>
      </c>
      <c r="AL292" s="287">
        <f t="shared" si="128"/>
        <v>0</v>
      </c>
      <c r="AM292" s="287">
        <f t="shared" si="129"/>
        <v>0</v>
      </c>
      <c r="AN292" s="287">
        <f t="shared" si="130"/>
        <v>0</v>
      </c>
      <c r="AO292" s="287">
        <f t="shared" si="131"/>
        <v>0</v>
      </c>
      <c r="AP292" s="287">
        <f t="shared" si="132"/>
        <v>25400</v>
      </c>
      <c r="AQ292" s="287">
        <f t="shared" si="133"/>
        <v>25400</v>
      </c>
      <c r="AR292" s="287">
        <f t="shared" si="134"/>
        <v>0</v>
      </c>
      <c r="AS292" s="289" t="e">
        <f>IF(J292='2027 Avoided Costs'!#REF!,3,5)</f>
        <v>#REF!</v>
      </c>
      <c r="AT292" s="290" cm="1">
        <f t="array" ref="AT292">IFERROR(IF($J292="Baseload",IF($O292=1,0,NPV('2027 Avoided Costs'!$D$6,_xlfn._xlws.FILTER('2027 Avoided Costs'!$C$14:$C$47,('2027 Avoided Costs'!$B$14:$B$47&gt;=$B292+1)*('2027 Avoided Costs'!$B$14:$B$47&lt;$B292+ROUND($O292,0)))))+_xlfn.XLOOKUP($B292,'2027 Avoided Costs'!$B$13:$B$47,'2027 Avoided Costs'!$C$13:$C$47),IF($O292=1,0,NPV('2027 Avoided Costs'!$D$6,_xlfn._xlws.FILTER('2027 Avoided Costs'!$E$14:$E$47,('2027 Avoided Costs'!$B$14:$B$47&gt;=$B292+1)*('2027 Avoided Costs'!$B$14:$B$47&lt;$B292+ROUND($O292,0)))))+_xlfn.XLOOKUP($B292,'2027 Avoided Costs'!$B$13:$B$47,'2027 Avoided Costs'!$E$13:$E$47))*IF($AE292&gt;0,$AE292*(1+$W292),0),0)</f>
        <v>41685.329605857543</v>
      </c>
      <c r="AU292" s="290" cm="1">
        <f t="array" ref="AU292">IFERROR((IF($O292=1,0,NPV('2027 Avoided Costs'!$D$6,_xlfn._xlws.FILTER('2027 Avoided Costs'!$M$14:$M$47,('2027 Avoided Costs'!$B$14:$B$47&gt;=$B292+1)*('2027 Avoided Costs'!$B$14:$B$47&lt;$B292+ROUND($O292,0)))))+_xlfn.XLOOKUP($B292,'2027 Avoided Costs'!$B$13:$B$47,'2027 Avoided Costs'!$M$13:$M$47))*IF($AK292&gt;0,$AK292*(1+$W292),0),0)</f>
        <v>0</v>
      </c>
      <c r="AV292" s="291" cm="1">
        <f t="array" ref="AV292">IFERROR((IF($O292=1,0,NPV('2027 Avoided Costs'!$D$6,_xlfn._xlws.FILTER('2027 Avoided Costs'!$Q$14:$Q$47,('2027 Avoided Costs'!$B$14:$B$47&gt;=$B292+1)*('2027 Avoided Costs'!$B$14:$B$47&lt;$B292+ROUND($O292,0)))))+_xlfn.XLOOKUP($B292,'2027 Avoided Costs'!$B$13:$B$47,'2027 Avoided Costs'!$Q$13:$Q$47))*IF($AI292&gt;0,$AI292*(1+$W292),0),0)</f>
        <v>0</v>
      </c>
      <c r="AW292" s="291" cm="1">
        <f t="array" ref="AW292">IFERROR((IF($O292=1,0,NPV('2027 Avoided Costs'!$D$6,_xlfn._xlws.FILTER('2027 Avoided Costs'!$W$14:$W$47,('2027 Avoided Costs'!$B$14:$B$47&gt;=$B292+1)*('2027 Avoided Costs'!$B$14:$B$47&lt;$B292+ROUND($O292,0)))))+_xlfn.XLOOKUP($B292,'2027 Avoided Costs'!$B$13:$B$47,'2027 Avoided Costs'!$W$13:$W$47))*IF($AM292&gt;0,$AM292*(1+$W292),0),0)</f>
        <v>0</v>
      </c>
      <c r="AX292" s="291" cm="1">
        <f t="array" ref="AX292">IFERROR((IF($O292=1,0,NPV('2027 Avoided Costs'!$D$6,_xlfn._xlws.FILTER('2027 Avoided Costs'!$AC$14:$AC$47,('2027 Avoided Costs'!$B$14:$B$47&gt;=$B292+1)*('2027 Avoided Costs'!$B$14:$B$47&lt;$B292+ROUND($O292,0)))))+_xlfn.XLOOKUP($B292,'2027 Avoided Costs'!$B$13:$B$47,'2027 Avoided Costs'!$AC$13:$AC$47))*IF($AO292&gt;0,$AO292*(1+$W292),0),0)</f>
        <v>0</v>
      </c>
      <c r="AY292" s="291" cm="1">
        <f t="array" ref="AY292">IFERROR((IF($O292=1,0,NPV('2027 Avoided Costs'!$D$4,_xlfn._xlws.FILTER('2027 Avoided Costs'!$I$14:$I$47,('2027 Avoided Costs'!$B$14:$B$47&gt;=$B292+1)*('2027 Avoided Costs'!$B$14:$B$47&lt;$B292+ROUND($O292,0)))))+_xlfn.XLOOKUP($B292,'2027 Avoided Costs'!$B$13:$B$47,'2027 Avoided Costs'!$I$13:$I$47))*IF($X292="Residential",'2027 Avoided Costs'!$J$5,IF($X292="Large Volume",'2027 Avoided Costs'!$J$7,'2027 Avoided Costs'!$J$6))*IF($AE292&gt;0,$AE292,0),0)</f>
        <v>0</v>
      </c>
      <c r="AZ292" s="291" cm="1">
        <f t="array" ref="AZ292">IFERROR(IF($J292="Baseload",IF($O292=1,0,NPV('2027 Avoided Costs'!$D$6,_xlfn._xlws.FILTER('2027 Avoided Costs'!$C$14:$C$47,('2027 Avoided Costs'!$B$14:$B$47&gt;=$B292+1)*('2027 Avoided Costs'!$B$14:$B$47&lt;$B292+ROUND($O292,0)))))+_xlfn.XLOOKUP($B292,'2027 Avoided Costs'!$B$13:$B$47,'2027 Avoided Costs'!$C$13:$C$47),IF($O292=1,0,NPV('2027 Avoided Costs'!$D$6,_xlfn._xlws.FILTER('2027 Avoided Costs'!$E$14:$E$47,('2027 Avoided Costs'!$B$14:$B$47&gt;=$B292+1)*('2027 Avoided Costs'!$B$14:$B$47&lt;$B292+ROUND($O292,0)))))+_xlfn.XLOOKUP($B292,'2027 Avoided Costs'!$B$13:$B$47,'2027 Avoided Costs'!$E$13:$E$47))*IF($AE292&lt;0,$AE292*(-1),0),0)</f>
        <v>0</v>
      </c>
      <c r="BA292" s="291" cm="1">
        <f t="array" ref="BA292">IFERROR((IF($O292=1,0,NPV('2027 Avoided Costs'!$D$6,_xlfn._xlws.FILTER('2027 Avoided Costs'!$M$14:$M$47,('2027 Avoided Costs'!$B$14:$B$47&gt;=$B292+1)*('2027 Avoided Costs'!$B$14:$B$47&lt;$B292+ROUND($O292,0)))))+_xlfn.XLOOKUP($B292,'2027 Avoided Costs'!$B$13:$B$47,'2027 Avoided Costs'!$M$13:$M$47))*IF($AK292&lt;0,$AK292*(-1),0),0)</f>
        <v>0</v>
      </c>
      <c r="BB292" s="291" cm="1">
        <f t="array" ref="BB292">IFERROR((IF($O292=1,0,NPV('2027 Avoided Costs'!$D$6,_xlfn._xlws.FILTER('2027 Avoided Costs'!$S$14:$S$47,('2027 Avoided Costs'!$B$14:$B$47&gt;=$B292+1)*('2027 Avoided Costs'!$B$14:$B$47&lt;$B292+ROUND($O292,0)))))+_xlfn.XLOOKUP($B292,'2027 Avoided Costs'!$B$13:$B$47,'2027 Avoided Costs'!$S$13:$S$47))*IF($AI292&lt;0,$AI292*(-1),0),0)</f>
        <v>0</v>
      </c>
      <c r="BC292" s="291" cm="1">
        <f t="array" ref="BC292">IFERROR((IF($O292=1,0,NPV('2027 Avoided Costs'!$D$6,_xlfn._xlws.FILTER('2027 Avoided Costs'!$Y$14:$Y$47,('2027 Avoided Costs'!$B$14:$B$47&gt;=$B292+1)*('2027 Avoided Costs'!$B$14:$B$47&lt;$B292+ROUND($O292,0)))))+_xlfn.XLOOKUP($B292,'2027 Avoided Costs'!$B$13:$B$47,'2027 Avoided Costs'!$Y$13:$Y$47))*IF($AM292&lt;0,$AM292*(-1),0),0)</f>
        <v>0</v>
      </c>
      <c r="BD292" s="291" cm="1">
        <f t="array" ref="BD292">IFERROR((IF($O292=1,0,NPV('2027 Avoided Costs'!$D$6,_xlfn._xlws.FILTER('2027 Avoided Costs'!$AE$14:$AE$47,('2027 Avoided Costs'!$B$14:$B$47&gt;=$B292+1)*('2027 Avoided Costs'!$B$14:$B$47&lt;$B292+ROUND($O292,0)))))+_xlfn.XLOOKUP($B292,'2027 Avoided Costs'!$B$13:$B$47,'2027 Avoided Costs'!$AE$13:$AE$47))*IF($AO292&lt;0,$AO292*(-1),0),0)</f>
        <v>0</v>
      </c>
      <c r="BE292" s="291" cm="1">
        <f t="array" ref="BE292">IFERROR((IF($O292=1,0,NPV('2027 Avoided Costs'!$D$4,_xlfn._xlws.FILTER('2027 Avoided Costs'!$I$14:$I$47,('2027 Avoided Costs'!$B$14:$B$47&gt;=$B292+1)*('2027 Avoided Costs'!$B$14:$B$47&lt;$B292+ROUND($O292,0)))))+_xlfn.XLOOKUP($B292,'2027 Avoided Costs'!$B$13:$B$47,'2027 Avoided Costs'!$I$13:$I$47))*IF($X292="Residential",'2027 Avoided Costs'!$J$5,IF($X292="Large Volume",'2027 Avoided Costs'!$J$7,'2027 Avoided Costs'!$J$6))*IF($AE292&lt;0,$AE292*(-1),0),0)</f>
        <v>0</v>
      </c>
      <c r="BF292" s="291">
        <f t="shared" si="111"/>
        <v>41685.329605857543</v>
      </c>
      <c r="BG292" s="291">
        <f t="shared" si="112"/>
        <v>25400</v>
      </c>
      <c r="BH292" s="291">
        <f t="shared" si="113"/>
        <v>16285.329605857543</v>
      </c>
      <c r="BI292" s="292">
        <f t="shared" si="137"/>
        <v>1.6411547088920293</v>
      </c>
      <c r="BJ292" s="196" cm="1">
        <f t="array" ref="BJ292">IFERROR(IF($J292="Baseload",IF($O292=1,0,NPV('2027 Avoided Costs'!$D$6,_xlfn._xlws.FILTER('2027 Avoided Costs'!$C$14:$C$47,('2027 Avoided Costs'!$B$14:$B$47&gt;=$B292+1)*('2027 Avoided Costs'!$B$14:$B$47&lt;$B292+ROUND($O292,0)))))+_xlfn.XLOOKUP($B292,'2027 Avoided Costs'!$B$13:$B$47,'2027 Avoided Costs'!$C$13:$C$47),IF($O292=1,0,NPV('2027 Avoided Costs'!$D$6,_xlfn._xlws.FILTER('2027 Avoided Costs'!$E$14:$E$47,('2027 Avoided Costs'!$B$14:$B$47&gt;=$B292+1)*('2027 Avoided Costs'!$B$14:$B$47&lt;$B292+ROUND($O292,0)))))+_xlfn.XLOOKUP($B292,'2027 Avoided Costs'!$B$13:$B$47,'2027 Avoided Costs'!$E$13:$E$47))*IF($AE292&gt;0,$AE292*(1+0),0),0)</f>
        <v>36248.112700745696</v>
      </c>
      <c r="BK292" s="293">
        <f t="shared" si="135"/>
        <v>1.4270910512104604</v>
      </c>
    </row>
    <row r="293" spans="1:63" s="56" customFormat="1" x14ac:dyDescent="0.25">
      <c r="A293" s="270" t="s">
        <v>206</v>
      </c>
      <c r="B293" s="271">
        <v>2027</v>
      </c>
      <c r="C293" s="272" t="s">
        <v>12</v>
      </c>
      <c r="D293" s="272" t="s">
        <v>22</v>
      </c>
      <c r="E293" s="272" t="s">
        <v>108</v>
      </c>
      <c r="F293" s="273">
        <v>3400</v>
      </c>
      <c r="G293" s="274">
        <v>3300</v>
      </c>
      <c r="H293" s="275">
        <f t="shared" si="115"/>
        <v>6.1682242990654208</v>
      </c>
      <c r="I293" s="274">
        <v>160</v>
      </c>
      <c r="J293" s="276" t="s">
        <v>264</v>
      </c>
      <c r="K293" s="277">
        <f t="shared" si="114"/>
        <v>1</v>
      </c>
      <c r="L293" s="278">
        <v>0</v>
      </c>
      <c r="M293" s="278">
        <v>0</v>
      </c>
      <c r="N293" s="278">
        <v>1</v>
      </c>
      <c r="O293" s="279">
        <v>25</v>
      </c>
      <c r="P293" s="280">
        <v>535</v>
      </c>
      <c r="Q293" s="281">
        <v>0</v>
      </c>
      <c r="R293" s="282">
        <v>0</v>
      </c>
      <c r="S293" s="282">
        <v>0</v>
      </c>
      <c r="T293" s="281">
        <v>0</v>
      </c>
      <c r="U293" s="283">
        <v>0</v>
      </c>
      <c r="V293" s="284">
        <v>3300</v>
      </c>
      <c r="W293" s="285">
        <v>0.15</v>
      </c>
      <c r="X293" s="286" t="s">
        <v>11</v>
      </c>
      <c r="Y293" s="287">
        <f t="shared" si="116"/>
        <v>3400</v>
      </c>
      <c r="Z293" s="288">
        <f t="shared" si="117"/>
        <v>11220000</v>
      </c>
      <c r="AA293" s="288">
        <f t="shared" si="118"/>
        <v>544000</v>
      </c>
      <c r="AB293" s="288">
        <f t="shared" si="119"/>
        <v>11220000</v>
      </c>
      <c r="AC293" s="288">
        <f t="shared" si="136"/>
        <v>544000</v>
      </c>
      <c r="AD293" s="287">
        <f t="shared" si="120"/>
        <v>1819000</v>
      </c>
      <c r="AE293" s="287">
        <f t="shared" si="121"/>
        <v>1819000</v>
      </c>
      <c r="AF293" s="287">
        <f t="shared" si="122"/>
        <v>45475000</v>
      </c>
      <c r="AG293" s="287">
        <f t="shared" si="123"/>
        <v>45475000</v>
      </c>
      <c r="AH293" s="287">
        <f t="shared" si="124"/>
        <v>0</v>
      </c>
      <c r="AI293" s="287">
        <f t="shared" si="125"/>
        <v>0</v>
      </c>
      <c r="AJ293" s="287">
        <f t="shared" si="126"/>
        <v>0</v>
      </c>
      <c r="AK293" s="287">
        <f t="shared" si="127"/>
        <v>0</v>
      </c>
      <c r="AL293" s="287">
        <f t="shared" si="128"/>
        <v>0</v>
      </c>
      <c r="AM293" s="287">
        <f t="shared" si="129"/>
        <v>0</v>
      </c>
      <c r="AN293" s="287">
        <f t="shared" si="130"/>
        <v>0</v>
      </c>
      <c r="AO293" s="287">
        <f t="shared" si="131"/>
        <v>0</v>
      </c>
      <c r="AP293" s="287">
        <f t="shared" si="132"/>
        <v>11220000</v>
      </c>
      <c r="AQ293" s="287">
        <f t="shared" si="133"/>
        <v>11220000</v>
      </c>
      <c r="AR293" s="287">
        <f t="shared" si="134"/>
        <v>0</v>
      </c>
      <c r="AS293" s="289" t="e">
        <f>IF(J293='2027 Avoided Costs'!#REF!,3,5)</f>
        <v>#REF!</v>
      </c>
      <c r="AT293" s="290" cm="1">
        <f t="array" ref="AT293">IFERROR(IF($J293="Baseload",IF($O293=1,0,NPV('2027 Avoided Costs'!$D$6,_xlfn._xlws.FILTER('2027 Avoided Costs'!$C$14:$C$47,('2027 Avoided Costs'!$B$14:$B$47&gt;=$B293+1)*('2027 Avoided Costs'!$B$14:$B$47&lt;$B293+ROUND($O293,0)))))+_xlfn.XLOOKUP($B293,'2027 Avoided Costs'!$B$13:$B$47,'2027 Avoided Costs'!$C$13:$C$47),IF($O293=1,0,NPV('2027 Avoided Costs'!$D$6,_xlfn._xlws.FILTER('2027 Avoided Costs'!$E$14:$E$47,('2027 Avoided Costs'!$B$14:$B$47&gt;=$B293+1)*('2027 Avoided Costs'!$B$14:$B$47&lt;$B293+ROUND($O293,0)))))+_xlfn.XLOOKUP($B293,'2027 Avoided Costs'!$B$13:$B$47,'2027 Avoided Costs'!$E$13:$E$47))*IF($AE293&gt;0,$AE293*(1+$W293),0),0)</f>
        <v>10590169.630314928</v>
      </c>
      <c r="AU293" s="290" cm="1">
        <f t="array" ref="AU293">IFERROR((IF($O293=1,0,NPV('2027 Avoided Costs'!$D$6,_xlfn._xlws.FILTER('2027 Avoided Costs'!$M$14:$M$47,('2027 Avoided Costs'!$B$14:$B$47&gt;=$B293+1)*('2027 Avoided Costs'!$B$14:$B$47&lt;$B293+ROUND($O293,0)))))+_xlfn.XLOOKUP($B293,'2027 Avoided Costs'!$B$13:$B$47,'2027 Avoided Costs'!$M$13:$M$47))*IF($AK293&gt;0,$AK293*(1+$W293),0),0)</f>
        <v>0</v>
      </c>
      <c r="AV293" s="291" cm="1">
        <f t="array" ref="AV293">IFERROR((IF($O293=1,0,NPV('2027 Avoided Costs'!$D$6,_xlfn._xlws.FILTER('2027 Avoided Costs'!$Q$14:$Q$47,('2027 Avoided Costs'!$B$14:$B$47&gt;=$B293+1)*('2027 Avoided Costs'!$B$14:$B$47&lt;$B293+ROUND($O293,0)))))+_xlfn.XLOOKUP($B293,'2027 Avoided Costs'!$B$13:$B$47,'2027 Avoided Costs'!$Q$13:$Q$47))*IF($AI293&gt;0,$AI293*(1+$W293),0),0)</f>
        <v>0</v>
      </c>
      <c r="AW293" s="291" cm="1">
        <f t="array" ref="AW293">IFERROR((IF($O293=1,0,NPV('2027 Avoided Costs'!$D$6,_xlfn._xlws.FILTER('2027 Avoided Costs'!$W$14:$W$47,('2027 Avoided Costs'!$B$14:$B$47&gt;=$B293+1)*('2027 Avoided Costs'!$B$14:$B$47&lt;$B293+ROUND($O293,0)))))+_xlfn.XLOOKUP($B293,'2027 Avoided Costs'!$B$13:$B$47,'2027 Avoided Costs'!$W$13:$W$47))*IF($AM293&gt;0,$AM293*(1+$W293),0),0)</f>
        <v>0</v>
      </c>
      <c r="AX293" s="291" cm="1">
        <f t="array" ref="AX293">IFERROR((IF($O293=1,0,NPV('2027 Avoided Costs'!$D$6,_xlfn._xlws.FILTER('2027 Avoided Costs'!$AC$14:$AC$47,('2027 Avoided Costs'!$B$14:$B$47&gt;=$B293+1)*('2027 Avoided Costs'!$B$14:$B$47&lt;$B293+ROUND($O293,0)))))+_xlfn.XLOOKUP($B293,'2027 Avoided Costs'!$B$13:$B$47,'2027 Avoided Costs'!$AC$13:$AC$47))*IF($AO293&gt;0,$AO293*(1+$W293),0),0)</f>
        <v>0</v>
      </c>
      <c r="AY293" s="291" cm="1">
        <f t="array" ref="AY293">IFERROR((IF($O293=1,0,NPV('2027 Avoided Costs'!$D$4,_xlfn._xlws.FILTER('2027 Avoided Costs'!$I$14:$I$47,('2027 Avoided Costs'!$B$14:$B$47&gt;=$B293+1)*('2027 Avoided Costs'!$B$14:$B$47&lt;$B293+ROUND($O293,0)))))+_xlfn.XLOOKUP($B293,'2027 Avoided Costs'!$B$13:$B$47,'2027 Avoided Costs'!$I$13:$I$47))*IF($X293="Residential",'2027 Avoided Costs'!$J$5,IF($X293="Large Volume",'2027 Avoided Costs'!$J$7,'2027 Avoided Costs'!$J$6))*IF($AE293&gt;0,$AE293,0),0)</f>
        <v>0</v>
      </c>
      <c r="AZ293" s="291" cm="1">
        <f t="array" ref="AZ293">IFERROR(IF($J293="Baseload",IF($O293=1,0,NPV('2027 Avoided Costs'!$D$6,_xlfn._xlws.FILTER('2027 Avoided Costs'!$C$14:$C$47,('2027 Avoided Costs'!$B$14:$B$47&gt;=$B293+1)*('2027 Avoided Costs'!$B$14:$B$47&lt;$B293+ROUND($O293,0)))))+_xlfn.XLOOKUP($B293,'2027 Avoided Costs'!$B$13:$B$47,'2027 Avoided Costs'!$C$13:$C$47),IF($O293=1,0,NPV('2027 Avoided Costs'!$D$6,_xlfn._xlws.FILTER('2027 Avoided Costs'!$E$14:$E$47,('2027 Avoided Costs'!$B$14:$B$47&gt;=$B293+1)*('2027 Avoided Costs'!$B$14:$B$47&lt;$B293+ROUND($O293,0)))))+_xlfn.XLOOKUP($B293,'2027 Avoided Costs'!$B$13:$B$47,'2027 Avoided Costs'!$E$13:$E$47))*IF($AE293&lt;0,$AE293*(-1),0),0)</f>
        <v>0</v>
      </c>
      <c r="BA293" s="291" cm="1">
        <f t="array" ref="BA293">IFERROR((IF($O293=1,0,NPV('2027 Avoided Costs'!$D$6,_xlfn._xlws.FILTER('2027 Avoided Costs'!$M$14:$M$47,('2027 Avoided Costs'!$B$14:$B$47&gt;=$B293+1)*('2027 Avoided Costs'!$B$14:$B$47&lt;$B293+ROUND($O293,0)))))+_xlfn.XLOOKUP($B293,'2027 Avoided Costs'!$B$13:$B$47,'2027 Avoided Costs'!$M$13:$M$47))*IF($AK293&lt;0,$AK293*(-1),0),0)</f>
        <v>0</v>
      </c>
      <c r="BB293" s="291" cm="1">
        <f t="array" ref="BB293">IFERROR((IF($O293=1,0,NPV('2027 Avoided Costs'!$D$6,_xlfn._xlws.FILTER('2027 Avoided Costs'!$S$14:$S$47,('2027 Avoided Costs'!$B$14:$B$47&gt;=$B293+1)*('2027 Avoided Costs'!$B$14:$B$47&lt;$B293+ROUND($O293,0)))))+_xlfn.XLOOKUP($B293,'2027 Avoided Costs'!$B$13:$B$47,'2027 Avoided Costs'!$S$13:$S$47))*IF($AI293&lt;0,$AI293*(-1),0),0)</f>
        <v>0</v>
      </c>
      <c r="BC293" s="291" cm="1">
        <f t="array" ref="BC293">IFERROR((IF($O293=1,0,NPV('2027 Avoided Costs'!$D$6,_xlfn._xlws.FILTER('2027 Avoided Costs'!$Y$14:$Y$47,('2027 Avoided Costs'!$B$14:$B$47&gt;=$B293+1)*('2027 Avoided Costs'!$B$14:$B$47&lt;$B293+ROUND($O293,0)))))+_xlfn.XLOOKUP($B293,'2027 Avoided Costs'!$B$13:$B$47,'2027 Avoided Costs'!$Y$13:$Y$47))*IF($AM293&lt;0,$AM293*(-1),0),0)</f>
        <v>0</v>
      </c>
      <c r="BD293" s="291" cm="1">
        <f t="array" ref="BD293">IFERROR((IF($O293=1,0,NPV('2027 Avoided Costs'!$D$6,_xlfn._xlws.FILTER('2027 Avoided Costs'!$AE$14:$AE$47,('2027 Avoided Costs'!$B$14:$B$47&gt;=$B293+1)*('2027 Avoided Costs'!$B$14:$B$47&lt;$B293+ROUND($O293,0)))))+_xlfn.XLOOKUP($B293,'2027 Avoided Costs'!$B$13:$B$47,'2027 Avoided Costs'!$AE$13:$AE$47))*IF($AO293&lt;0,$AO293*(-1),0),0)</f>
        <v>0</v>
      </c>
      <c r="BE293" s="291" cm="1">
        <f t="array" ref="BE293">IFERROR((IF($O293=1,0,NPV('2027 Avoided Costs'!$D$4,_xlfn._xlws.FILTER('2027 Avoided Costs'!$I$14:$I$47,('2027 Avoided Costs'!$B$14:$B$47&gt;=$B293+1)*('2027 Avoided Costs'!$B$14:$B$47&lt;$B293+ROUND($O293,0)))))+_xlfn.XLOOKUP($B293,'2027 Avoided Costs'!$B$13:$B$47,'2027 Avoided Costs'!$I$13:$I$47))*IF($X293="Residential",'2027 Avoided Costs'!$J$5,IF($X293="Large Volume",'2027 Avoided Costs'!$J$7,'2027 Avoided Costs'!$J$6))*IF($AE293&lt;0,$AE293*(-1),0),0)</f>
        <v>0</v>
      </c>
      <c r="BF293" s="291">
        <f t="shared" si="111"/>
        <v>10590169.630314928</v>
      </c>
      <c r="BG293" s="291">
        <f t="shared" si="112"/>
        <v>11220000</v>
      </c>
      <c r="BH293" s="291">
        <f t="shared" si="113"/>
        <v>-629830.36968507245</v>
      </c>
      <c r="BI293" s="292">
        <f t="shared" si="137"/>
        <v>0.94386538594607194</v>
      </c>
      <c r="BJ293" s="196" cm="1">
        <f t="array" ref="BJ293">IFERROR(IF($J293="Baseload",IF($O293=1,0,NPV('2027 Avoided Costs'!$D$6,_xlfn._xlws.FILTER('2027 Avoided Costs'!$C$14:$C$47,('2027 Avoided Costs'!$B$14:$B$47&gt;=$B293+1)*('2027 Avoided Costs'!$B$14:$B$47&lt;$B293+ROUND($O293,0)))))+_xlfn.XLOOKUP($B293,'2027 Avoided Costs'!$B$13:$B$47,'2027 Avoided Costs'!$C$13:$C$47),IF($O293=1,0,NPV('2027 Avoided Costs'!$D$6,_xlfn._xlws.FILTER('2027 Avoided Costs'!$E$14:$E$47,('2027 Avoided Costs'!$B$14:$B$47&gt;=$B293+1)*('2027 Avoided Costs'!$B$14:$B$47&lt;$B293+ROUND($O293,0)))))+_xlfn.XLOOKUP($B293,'2027 Avoided Costs'!$B$13:$B$47,'2027 Avoided Costs'!$E$13:$E$47))*IF($AE293&gt;0,$AE293*(1+0),0),0)</f>
        <v>9208843.1567955893</v>
      </c>
      <c r="BK293" s="293">
        <f t="shared" si="135"/>
        <v>0.78279863624579982</v>
      </c>
    </row>
    <row r="294" spans="1:63" s="56" customFormat="1" x14ac:dyDescent="0.25">
      <c r="A294" s="270" t="s">
        <v>206</v>
      </c>
      <c r="B294" s="271">
        <v>2027</v>
      </c>
      <c r="C294" s="272" t="s">
        <v>12</v>
      </c>
      <c r="D294" s="272" t="s">
        <v>22</v>
      </c>
      <c r="E294" s="272" t="s">
        <v>278</v>
      </c>
      <c r="F294" s="273">
        <v>2196</v>
      </c>
      <c r="G294" s="274">
        <v>330</v>
      </c>
      <c r="H294" s="275">
        <f t="shared" si="115"/>
        <v>2.0245398773006134</v>
      </c>
      <c r="I294" s="274">
        <v>0</v>
      </c>
      <c r="J294" s="276" t="s">
        <v>264</v>
      </c>
      <c r="K294" s="277">
        <f t="shared" si="114"/>
        <v>1</v>
      </c>
      <c r="L294" s="278">
        <v>0</v>
      </c>
      <c r="M294" s="278">
        <v>0</v>
      </c>
      <c r="N294" s="278">
        <v>1</v>
      </c>
      <c r="O294" s="279">
        <v>10</v>
      </c>
      <c r="P294" s="280">
        <v>163</v>
      </c>
      <c r="Q294" s="281">
        <v>217</v>
      </c>
      <c r="R294" s="282">
        <v>9.9299200000000004E-2</v>
      </c>
      <c r="S294" s="282">
        <v>2.8118742131312473E-2</v>
      </c>
      <c r="T294" s="281">
        <v>0</v>
      </c>
      <c r="U294" s="283">
        <v>0</v>
      </c>
      <c r="V294" s="284">
        <v>330</v>
      </c>
      <c r="W294" s="285">
        <v>0.15</v>
      </c>
      <c r="X294" s="286" t="s">
        <v>11</v>
      </c>
      <c r="Y294" s="287">
        <f t="shared" si="116"/>
        <v>2196</v>
      </c>
      <c r="Z294" s="288">
        <f t="shared" si="117"/>
        <v>724680</v>
      </c>
      <c r="AA294" s="288">
        <f t="shared" si="118"/>
        <v>0</v>
      </c>
      <c r="AB294" s="288">
        <f t="shared" si="119"/>
        <v>724680</v>
      </c>
      <c r="AC294" s="288">
        <f t="shared" si="136"/>
        <v>0</v>
      </c>
      <c r="AD294" s="287">
        <f t="shared" si="120"/>
        <v>357948</v>
      </c>
      <c r="AE294" s="287">
        <f t="shared" si="121"/>
        <v>357948</v>
      </c>
      <c r="AF294" s="287">
        <f t="shared" si="122"/>
        <v>3579480</v>
      </c>
      <c r="AG294" s="287">
        <f t="shared" si="123"/>
        <v>3579480</v>
      </c>
      <c r="AH294" s="287">
        <f t="shared" si="124"/>
        <v>510842.304</v>
      </c>
      <c r="AI294" s="287">
        <f t="shared" si="125"/>
        <v>510842.304</v>
      </c>
      <c r="AJ294" s="287">
        <f t="shared" si="126"/>
        <v>0</v>
      </c>
      <c r="AK294" s="287">
        <f t="shared" si="127"/>
        <v>0</v>
      </c>
      <c r="AL294" s="287">
        <f t="shared" si="128"/>
        <v>233.76143831040002</v>
      </c>
      <c r="AM294" s="287">
        <f t="shared" si="129"/>
        <v>233.76143831040002</v>
      </c>
      <c r="AN294" s="287">
        <f t="shared" si="130"/>
        <v>66.194668276228271</v>
      </c>
      <c r="AO294" s="287">
        <f t="shared" si="131"/>
        <v>66.194668276228271</v>
      </c>
      <c r="AP294" s="287">
        <f t="shared" si="132"/>
        <v>724680</v>
      </c>
      <c r="AQ294" s="287">
        <f t="shared" si="133"/>
        <v>724680</v>
      </c>
      <c r="AR294" s="287">
        <f t="shared" si="134"/>
        <v>0</v>
      </c>
      <c r="AS294" s="289" t="e">
        <f>IF(J294='2027 Avoided Costs'!#REF!,3,5)</f>
        <v>#REF!</v>
      </c>
      <c r="AT294" s="290" cm="1">
        <f t="array" ref="AT294">IFERROR(IF($J294="Baseload",IF($O294=1,0,NPV('2027 Avoided Costs'!$D$6,_xlfn._xlws.FILTER('2027 Avoided Costs'!$C$14:$C$47,('2027 Avoided Costs'!$B$14:$B$47&gt;=$B294+1)*('2027 Avoided Costs'!$B$14:$B$47&lt;$B294+ROUND($O294,0)))))+_xlfn.XLOOKUP($B294,'2027 Avoided Costs'!$B$13:$B$47,'2027 Avoided Costs'!$C$13:$C$47),IF($O294=1,0,NPV('2027 Avoided Costs'!$D$6,_xlfn._xlws.FILTER('2027 Avoided Costs'!$E$14:$E$47,('2027 Avoided Costs'!$B$14:$B$47&gt;=$B294+1)*('2027 Avoided Costs'!$B$14:$B$47&lt;$B294+ROUND($O294,0)))))+_xlfn.XLOOKUP($B294,'2027 Avoided Costs'!$B$13:$B$47,'2027 Avoided Costs'!$E$13:$E$47))*IF($AE294&gt;0,$AE294*(1+$W294),0),0)</f>
        <v>1010118.608458594</v>
      </c>
      <c r="AU294" s="290" cm="1">
        <f t="array" ref="AU294">IFERROR((IF($O294=1,0,NPV('2027 Avoided Costs'!$D$6,_xlfn._xlws.FILTER('2027 Avoided Costs'!$M$14:$M$47,('2027 Avoided Costs'!$B$14:$B$47&gt;=$B294+1)*('2027 Avoided Costs'!$B$14:$B$47&lt;$B294+ROUND($O294,0)))))+_xlfn.XLOOKUP($B294,'2027 Avoided Costs'!$B$13:$B$47,'2027 Avoided Costs'!$M$13:$M$47))*IF($AK294&gt;0,$AK294*(1+$W294),0),0)</f>
        <v>0</v>
      </c>
      <c r="AV294" s="291" cm="1">
        <f t="array" ref="AV294">IFERROR((IF($O294=1,0,NPV('2027 Avoided Costs'!$D$6,_xlfn._xlws.FILTER('2027 Avoided Costs'!$Q$14:$Q$47,('2027 Avoided Costs'!$B$14:$B$47&gt;=$B294+1)*('2027 Avoided Costs'!$B$14:$B$47&lt;$B294+ROUND($O294,0)))))+_xlfn.XLOOKUP($B294,'2027 Avoided Costs'!$B$13:$B$47,'2027 Avoided Costs'!$Q$13:$Q$47))*IF($AI294&gt;0,$AI294*(1+$W294),0),0)</f>
        <v>260980.69915648623</v>
      </c>
      <c r="AW294" s="291" cm="1">
        <f t="array" ref="AW294">IFERROR((IF($O294=1,0,NPV('2027 Avoided Costs'!$D$6,_xlfn._xlws.FILTER('2027 Avoided Costs'!$W$14:$W$47,('2027 Avoided Costs'!$B$14:$B$47&gt;=$B294+1)*('2027 Avoided Costs'!$B$14:$B$47&lt;$B294+ROUND($O294,0)))))+_xlfn.XLOOKUP($B294,'2027 Avoided Costs'!$B$13:$B$47,'2027 Avoided Costs'!$W$13:$W$47))*IF($AM294&gt;0,$AM294*(1+$W294),0),0)</f>
        <v>675618.57405965019</v>
      </c>
      <c r="AX294" s="291" cm="1">
        <f t="array" ref="AX294">IFERROR((IF($O294=1,0,NPV('2027 Avoided Costs'!$D$6,_xlfn._xlws.FILTER('2027 Avoided Costs'!$AC$14:$AC$47,('2027 Avoided Costs'!$B$14:$B$47&gt;=$B294+1)*('2027 Avoided Costs'!$B$14:$B$47&lt;$B294+ROUND($O294,0)))))+_xlfn.XLOOKUP($B294,'2027 Avoided Costs'!$B$13:$B$47,'2027 Avoided Costs'!$AC$13:$AC$47))*IF($AO294&gt;0,$AO294*(1+$W294),0),0)</f>
        <v>0</v>
      </c>
      <c r="AY294" s="291" cm="1">
        <f t="array" ref="AY294">IFERROR((IF($O294=1,0,NPV('2027 Avoided Costs'!$D$4,_xlfn._xlws.FILTER('2027 Avoided Costs'!$I$14:$I$47,('2027 Avoided Costs'!$B$14:$B$47&gt;=$B294+1)*('2027 Avoided Costs'!$B$14:$B$47&lt;$B294+ROUND($O294,0)))))+_xlfn.XLOOKUP($B294,'2027 Avoided Costs'!$B$13:$B$47,'2027 Avoided Costs'!$I$13:$I$47))*IF($X294="Residential",'2027 Avoided Costs'!$J$5,IF($X294="Large Volume",'2027 Avoided Costs'!$J$7,'2027 Avoided Costs'!$J$6))*IF($AE294&gt;0,$AE294,0),0)</f>
        <v>0</v>
      </c>
      <c r="AZ294" s="291" cm="1">
        <f t="array" ref="AZ294">IFERROR(IF($J294="Baseload",IF($O294=1,0,NPV('2027 Avoided Costs'!$D$6,_xlfn._xlws.FILTER('2027 Avoided Costs'!$C$14:$C$47,('2027 Avoided Costs'!$B$14:$B$47&gt;=$B294+1)*('2027 Avoided Costs'!$B$14:$B$47&lt;$B294+ROUND($O294,0)))))+_xlfn.XLOOKUP($B294,'2027 Avoided Costs'!$B$13:$B$47,'2027 Avoided Costs'!$C$13:$C$47),IF($O294=1,0,NPV('2027 Avoided Costs'!$D$6,_xlfn._xlws.FILTER('2027 Avoided Costs'!$E$14:$E$47,('2027 Avoided Costs'!$B$14:$B$47&gt;=$B294+1)*('2027 Avoided Costs'!$B$14:$B$47&lt;$B294+ROUND($O294,0)))))+_xlfn.XLOOKUP($B294,'2027 Avoided Costs'!$B$13:$B$47,'2027 Avoided Costs'!$E$13:$E$47))*IF($AE294&lt;0,$AE294*(-1),0),0)</f>
        <v>0</v>
      </c>
      <c r="BA294" s="291" cm="1">
        <f t="array" ref="BA294">IFERROR((IF($O294=1,0,NPV('2027 Avoided Costs'!$D$6,_xlfn._xlws.FILTER('2027 Avoided Costs'!$M$14:$M$47,('2027 Avoided Costs'!$B$14:$B$47&gt;=$B294+1)*('2027 Avoided Costs'!$B$14:$B$47&lt;$B294+ROUND($O294,0)))))+_xlfn.XLOOKUP($B294,'2027 Avoided Costs'!$B$13:$B$47,'2027 Avoided Costs'!$M$13:$M$47))*IF($AK294&lt;0,$AK294*(-1),0),0)</f>
        <v>0</v>
      </c>
      <c r="BB294" s="291" cm="1">
        <f t="array" ref="BB294">IFERROR((IF($O294=1,0,NPV('2027 Avoided Costs'!$D$6,_xlfn._xlws.FILTER('2027 Avoided Costs'!$S$14:$S$47,('2027 Avoided Costs'!$B$14:$B$47&gt;=$B294+1)*('2027 Avoided Costs'!$B$14:$B$47&lt;$B294+ROUND($O294,0)))))+_xlfn.XLOOKUP($B294,'2027 Avoided Costs'!$B$13:$B$47,'2027 Avoided Costs'!$S$13:$S$47))*IF($AI294&lt;0,$AI294*(-1),0),0)</f>
        <v>0</v>
      </c>
      <c r="BC294" s="291" cm="1">
        <f t="array" ref="BC294">IFERROR((IF($O294=1,0,NPV('2027 Avoided Costs'!$D$6,_xlfn._xlws.FILTER('2027 Avoided Costs'!$Y$14:$Y$47,('2027 Avoided Costs'!$B$14:$B$47&gt;=$B294+1)*('2027 Avoided Costs'!$B$14:$B$47&lt;$B294+ROUND($O294,0)))))+_xlfn.XLOOKUP($B294,'2027 Avoided Costs'!$B$13:$B$47,'2027 Avoided Costs'!$Y$13:$Y$47))*IF($AM294&lt;0,$AM294*(-1),0),0)</f>
        <v>0</v>
      </c>
      <c r="BD294" s="291" cm="1">
        <f t="array" ref="BD294">IFERROR((IF($O294=1,0,NPV('2027 Avoided Costs'!$D$6,_xlfn._xlws.FILTER('2027 Avoided Costs'!$AE$14:$AE$47,('2027 Avoided Costs'!$B$14:$B$47&gt;=$B294+1)*('2027 Avoided Costs'!$B$14:$B$47&lt;$B294+ROUND($O294,0)))))+_xlfn.XLOOKUP($B294,'2027 Avoided Costs'!$B$13:$B$47,'2027 Avoided Costs'!$AE$13:$AE$47))*IF($AO294&lt;0,$AO294*(-1),0),0)</f>
        <v>0</v>
      </c>
      <c r="BE294" s="291" cm="1">
        <f t="array" ref="BE294">IFERROR((IF($O294=1,0,NPV('2027 Avoided Costs'!$D$4,_xlfn._xlws.FILTER('2027 Avoided Costs'!$I$14:$I$47,('2027 Avoided Costs'!$B$14:$B$47&gt;=$B294+1)*('2027 Avoided Costs'!$B$14:$B$47&lt;$B294+ROUND($O294,0)))))+_xlfn.XLOOKUP($B294,'2027 Avoided Costs'!$B$13:$B$47,'2027 Avoided Costs'!$I$13:$I$47))*IF($X294="Residential",'2027 Avoided Costs'!$J$5,IF($X294="Large Volume",'2027 Avoided Costs'!$J$7,'2027 Avoided Costs'!$J$6))*IF($AE294&lt;0,$AE294*(-1),0),0)</f>
        <v>0</v>
      </c>
      <c r="BF294" s="291">
        <f t="shared" si="111"/>
        <v>1946717.8816747302</v>
      </c>
      <c r="BG294" s="291">
        <f t="shared" si="112"/>
        <v>724680</v>
      </c>
      <c r="BH294" s="291">
        <f t="shared" si="113"/>
        <v>1222037.8816747302</v>
      </c>
      <c r="BI294" s="292">
        <f t="shared" si="137"/>
        <v>2.6863137959854422</v>
      </c>
      <c r="BJ294" s="196" cm="1">
        <f t="array" ref="BJ294">IFERROR(IF($J294="Baseload",IF($O294=1,0,NPV('2027 Avoided Costs'!$D$6,_xlfn._xlws.FILTER('2027 Avoided Costs'!$C$14:$C$47,('2027 Avoided Costs'!$B$14:$B$47&gt;=$B294+1)*('2027 Avoided Costs'!$B$14:$B$47&lt;$B294+ROUND($O294,0)))))+_xlfn.XLOOKUP($B294,'2027 Avoided Costs'!$B$13:$B$47,'2027 Avoided Costs'!$C$13:$C$47),IF($O294=1,0,NPV('2027 Avoided Costs'!$D$6,_xlfn._xlws.FILTER('2027 Avoided Costs'!$E$14:$E$47,('2027 Avoided Costs'!$B$14:$B$47&gt;=$B294+1)*('2027 Avoided Costs'!$B$14:$B$47&lt;$B294+ROUND($O294,0)))))+_xlfn.XLOOKUP($B294,'2027 Avoided Costs'!$B$13:$B$47,'2027 Avoided Costs'!$E$13:$E$47))*IF($AE294&gt;0,$AE294*(1+0),0),0)</f>
        <v>878364.0073552992</v>
      </c>
      <c r="BK294" s="293">
        <f t="shared" si="135"/>
        <v>1.2120715451720749</v>
      </c>
    </row>
    <row r="295" spans="1:63" s="56" customFormat="1" x14ac:dyDescent="0.25">
      <c r="A295" s="270" t="s">
        <v>206</v>
      </c>
      <c r="B295" s="271">
        <v>2027</v>
      </c>
      <c r="C295" s="272" t="s">
        <v>12</v>
      </c>
      <c r="D295" s="272" t="s">
        <v>22</v>
      </c>
      <c r="E295" s="272" t="s">
        <v>107</v>
      </c>
      <c r="F295" s="273">
        <v>2754</v>
      </c>
      <c r="G295" s="274">
        <v>22</v>
      </c>
      <c r="H295" s="275">
        <f t="shared" si="115"/>
        <v>1.2570432774536606</v>
      </c>
      <c r="I295" s="274">
        <v>0</v>
      </c>
      <c r="J295" s="276" t="s">
        <v>263</v>
      </c>
      <c r="K295" s="277">
        <f t="shared" si="114"/>
        <v>1</v>
      </c>
      <c r="L295" s="278">
        <v>0</v>
      </c>
      <c r="M295" s="278">
        <v>0</v>
      </c>
      <c r="N295" s="278">
        <v>0.83107190016103061</v>
      </c>
      <c r="O295" s="279">
        <v>12</v>
      </c>
      <c r="P295" s="280">
        <v>17.501386304347825</v>
      </c>
      <c r="Q295" s="281">
        <v>0</v>
      </c>
      <c r="R295" s="282">
        <v>0</v>
      </c>
      <c r="S295" s="282">
        <v>0</v>
      </c>
      <c r="T295" s="281">
        <v>4.6177685185185187</v>
      </c>
      <c r="U295" s="283">
        <v>0</v>
      </c>
      <c r="V295" s="284">
        <v>14.97</v>
      </c>
      <c r="W295" s="285">
        <v>0.15</v>
      </c>
      <c r="X295" s="286" t="s">
        <v>11</v>
      </c>
      <c r="Y295" s="287">
        <f t="shared" si="116"/>
        <v>2754</v>
      </c>
      <c r="Z295" s="288">
        <f t="shared" si="117"/>
        <v>60588</v>
      </c>
      <c r="AA295" s="288">
        <f t="shared" si="118"/>
        <v>0</v>
      </c>
      <c r="AB295" s="288">
        <f t="shared" si="119"/>
        <v>60588</v>
      </c>
      <c r="AC295" s="288">
        <f t="shared" si="136"/>
        <v>0</v>
      </c>
      <c r="AD295" s="287">
        <f t="shared" si="120"/>
        <v>40056.683162853733</v>
      </c>
      <c r="AE295" s="287">
        <f t="shared" si="121"/>
        <v>40056.683162853733</v>
      </c>
      <c r="AF295" s="287">
        <f t="shared" si="122"/>
        <v>480680.1979542448</v>
      </c>
      <c r="AG295" s="287">
        <f t="shared" si="123"/>
        <v>480680.1979542448</v>
      </c>
      <c r="AH295" s="287">
        <f t="shared" si="124"/>
        <v>0</v>
      </c>
      <c r="AI295" s="287">
        <f t="shared" si="125"/>
        <v>0</v>
      </c>
      <c r="AJ295" s="287">
        <f t="shared" si="126"/>
        <v>10569.019347898431</v>
      </c>
      <c r="AK295" s="287">
        <f t="shared" si="127"/>
        <v>10569.019347898431</v>
      </c>
      <c r="AL295" s="287">
        <f t="shared" si="128"/>
        <v>0</v>
      </c>
      <c r="AM295" s="287">
        <f t="shared" si="129"/>
        <v>0</v>
      </c>
      <c r="AN295" s="287">
        <f t="shared" si="130"/>
        <v>0</v>
      </c>
      <c r="AO295" s="287">
        <f t="shared" si="131"/>
        <v>0</v>
      </c>
      <c r="AP295" s="287">
        <f t="shared" si="132"/>
        <v>41227.380000000005</v>
      </c>
      <c r="AQ295" s="287">
        <f t="shared" si="133"/>
        <v>41227.380000000005</v>
      </c>
      <c r="AR295" s="287">
        <f t="shared" si="134"/>
        <v>0</v>
      </c>
      <c r="AS295" s="289" t="e">
        <f>IF(J295='2027 Avoided Costs'!#REF!,3,5)</f>
        <v>#REF!</v>
      </c>
      <c r="AT295" s="290" cm="1">
        <f t="array" ref="AT295">IFERROR(IF($J295="Baseload",IF($O295=1,0,NPV('2027 Avoided Costs'!$D$6,_xlfn._xlws.FILTER('2027 Avoided Costs'!$C$14:$C$47,('2027 Avoided Costs'!$B$14:$B$47&gt;=$B295+1)*('2027 Avoided Costs'!$B$14:$B$47&lt;$B295+ROUND($O295,0)))))+_xlfn.XLOOKUP($B295,'2027 Avoided Costs'!$B$13:$B$47,'2027 Avoided Costs'!$C$13:$C$47),IF($O295=1,0,NPV('2027 Avoided Costs'!$D$6,_xlfn._xlws.FILTER('2027 Avoided Costs'!$E$14:$E$47,('2027 Avoided Costs'!$B$14:$B$47&gt;=$B295+1)*('2027 Avoided Costs'!$B$14:$B$47&lt;$B295+ROUND($O295,0)))))+_xlfn.XLOOKUP($B295,'2027 Avoided Costs'!$B$13:$B$47,'2027 Avoided Costs'!$E$13:$E$47))*IF($AE295&gt;0,$AE295*(1+$W295),0),0)</f>
        <v>116430.96221548648</v>
      </c>
      <c r="AU295" s="290" cm="1">
        <f t="array" ref="AU295">IFERROR((IF($O295=1,0,NPV('2027 Avoided Costs'!$D$6,_xlfn._xlws.FILTER('2027 Avoided Costs'!$M$14:$M$47,('2027 Avoided Costs'!$B$14:$B$47&gt;=$B295+1)*('2027 Avoided Costs'!$B$14:$B$47&lt;$B295+ROUND($O295,0)))))+_xlfn.XLOOKUP($B295,'2027 Avoided Costs'!$B$13:$B$47,'2027 Avoided Costs'!$M$13:$M$47))*IF($AK295&gt;0,$AK295*(1+$W295),0),0)</f>
        <v>127900.72909831493</v>
      </c>
      <c r="AV295" s="291" cm="1">
        <f t="array" ref="AV295">IFERROR((IF($O295=1,0,NPV('2027 Avoided Costs'!$D$6,_xlfn._xlws.FILTER('2027 Avoided Costs'!$Q$14:$Q$47,('2027 Avoided Costs'!$B$14:$B$47&gt;=$B295+1)*('2027 Avoided Costs'!$B$14:$B$47&lt;$B295+ROUND($O295,0)))))+_xlfn.XLOOKUP($B295,'2027 Avoided Costs'!$B$13:$B$47,'2027 Avoided Costs'!$Q$13:$Q$47))*IF($AI295&gt;0,$AI295*(1+$W295),0),0)</f>
        <v>0</v>
      </c>
      <c r="AW295" s="291" cm="1">
        <f t="array" ref="AW295">IFERROR((IF($O295=1,0,NPV('2027 Avoided Costs'!$D$6,_xlfn._xlws.FILTER('2027 Avoided Costs'!$W$14:$W$47,('2027 Avoided Costs'!$B$14:$B$47&gt;=$B295+1)*('2027 Avoided Costs'!$B$14:$B$47&lt;$B295+ROUND($O295,0)))))+_xlfn.XLOOKUP($B295,'2027 Avoided Costs'!$B$13:$B$47,'2027 Avoided Costs'!$W$13:$W$47))*IF($AM295&gt;0,$AM295*(1+$W295),0),0)</f>
        <v>0</v>
      </c>
      <c r="AX295" s="291" cm="1">
        <f t="array" ref="AX295">IFERROR((IF($O295=1,0,NPV('2027 Avoided Costs'!$D$6,_xlfn._xlws.FILTER('2027 Avoided Costs'!$AC$14:$AC$47,('2027 Avoided Costs'!$B$14:$B$47&gt;=$B295+1)*('2027 Avoided Costs'!$B$14:$B$47&lt;$B295+ROUND($O295,0)))))+_xlfn.XLOOKUP($B295,'2027 Avoided Costs'!$B$13:$B$47,'2027 Avoided Costs'!$AC$13:$AC$47))*IF($AO295&gt;0,$AO295*(1+$W295),0),0)</f>
        <v>0</v>
      </c>
      <c r="AY295" s="291" cm="1">
        <f t="array" ref="AY295">IFERROR((IF($O295=1,0,NPV('2027 Avoided Costs'!$D$4,_xlfn._xlws.FILTER('2027 Avoided Costs'!$I$14:$I$47,('2027 Avoided Costs'!$B$14:$B$47&gt;=$B295+1)*('2027 Avoided Costs'!$B$14:$B$47&lt;$B295+ROUND($O295,0)))))+_xlfn.XLOOKUP($B295,'2027 Avoided Costs'!$B$13:$B$47,'2027 Avoided Costs'!$I$13:$I$47))*IF($X295="Residential",'2027 Avoided Costs'!$J$5,IF($X295="Large Volume",'2027 Avoided Costs'!$J$7,'2027 Avoided Costs'!$J$6))*IF($AE295&gt;0,$AE295,0),0)</f>
        <v>0</v>
      </c>
      <c r="AZ295" s="291" cm="1">
        <f t="array" ref="AZ295">IFERROR(IF($J295="Baseload",IF($O295=1,0,NPV('2027 Avoided Costs'!$D$6,_xlfn._xlws.FILTER('2027 Avoided Costs'!$C$14:$C$47,('2027 Avoided Costs'!$B$14:$B$47&gt;=$B295+1)*('2027 Avoided Costs'!$B$14:$B$47&lt;$B295+ROUND($O295,0)))))+_xlfn.XLOOKUP($B295,'2027 Avoided Costs'!$B$13:$B$47,'2027 Avoided Costs'!$C$13:$C$47),IF($O295=1,0,NPV('2027 Avoided Costs'!$D$6,_xlfn._xlws.FILTER('2027 Avoided Costs'!$E$14:$E$47,('2027 Avoided Costs'!$B$14:$B$47&gt;=$B295+1)*('2027 Avoided Costs'!$B$14:$B$47&lt;$B295+ROUND($O295,0)))))+_xlfn.XLOOKUP($B295,'2027 Avoided Costs'!$B$13:$B$47,'2027 Avoided Costs'!$E$13:$E$47))*IF($AE295&lt;0,$AE295*(-1),0),0)</f>
        <v>0</v>
      </c>
      <c r="BA295" s="291" cm="1">
        <f t="array" ref="BA295">IFERROR((IF($O295=1,0,NPV('2027 Avoided Costs'!$D$6,_xlfn._xlws.FILTER('2027 Avoided Costs'!$M$14:$M$47,('2027 Avoided Costs'!$B$14:$B$47&gt;=$B295+1)*('2027 Avoided Costs'!$B$14:$B$47&lt;$B295+ROUND($O295,0)))))+_xlfn.XLOOKUP($B295,'2027 Avoided Costs'!$B$13:$B$47,'2027 Avoided Costs'!$M$13:$M$47))*IF($AK295&lt;0,$AK295*(-1),0),0)</f>
        <v>0</v>
      </c>
      <c r="BB295" s="291" cm="1">
        <f t="array" ref="BB295">IFERROR((IF($O295=1,0,NPV('2027 Avoided Costs'!$D$6,_xlfn._xlws.FILTER('2027 Avoided Costs'!$S$14:$S$47,('2027 Avoided Costs'!$B$14:$B$47&gt;=$B295+1)*('2027 Avoided Costs'!$B$14:$B$47&lt;$B295+ROUND($O295,0)))))+_xlfn.XLOOKUP($B295,'2027 Avoided Costs'!$B$13:$B$47,'2027 Avoided Costs'!$S$13:$S$47))*IF($AI295&lt;0,$AI295*(-1),0),0)</f>
        <v>0</v>
      </c>
      <c r="BC295" s="291" cm="1">
        <f t="array" ref="BC295">IFERROR((IF($O295=1,0,NPV('2027 Avoided Costs'!$D$6,_xlfn._xlws.FILTER('2027 Avoided Costs'!$Y$14:$Y$47,('2027 Avoided Costs'!$B$14:$B$47&gt;=$B295+1)*('2027 Avoided Costs'!$B$14:$B$47&lt;$B295+ROUND($O295,0)))))+_xlfn.XLOOKUP($B295,'2027 Avoided Costs'!$B$13:$B$47,'2027 Avoided Costs'!$Y$13:$Y$47))*IF($AM295&lt;0,$AM295*(-1),0),0)</f>
        <v>0</v>
      </c>
      <c r="BD295" s="291" cm="1">
        <f t="array" ref="BD295">IFERROR((IF($O295=1,0,NPV('2027 Avoided Costs'!$D$6,_xlfn._xlws.FILTER('2027 Avoided Costs'!$AE$14:$AE$47,('2027 Avoided Costs'!$B$14:$B$47&gt;=$B295+1)*('2027 Avoided Costs'!$B$14:$B$47&lt;$B295+ROUND($O295,0)))))+_xlfn.XLOOKUP($B295,'2027 Avoided Costs'!$B$13:$B$47,'2027 Avoided Costs'!$AE$13:$AE$47))*IF($AO295&lt;0,$AO295*(-1),0),0)</f>
        <v>0</v>
      </c>
      <c r="BE295" s="291" cm="1">
        <f t="array" ref="BE295">IFERROR((IF($O295=1,0,NPV('2027 Avoided Costs'!$D$4,_xlfn._xlws.FILTER('2027 Avoided Costs'!$I$14:$I$47,('2027 Avoided Costs'!$B$14:$B$47&gt;=$B295+1)*('2027 Avoided Costs'!$B$14:$B$47&lt;$B295+ROUND($O295,0)))))+_xlfn.XLOOKUP($B295,'2027 Avoided Costs'!$B$13:$B$47,'2027 Avoided Costs'!$I$13:$I$47))*IF($X295="Residential",'2027 Avoided Costs'!$J$5,IF($X295="Large Volume",'2027 Avoided Costs'!$J$7,'2027 Avoided Costs'!$J$6))*IF($AE295&lt;0,$AE295*(-1),0),0)</f>
        <v>0</v>
      </c>
      <c r="BF295" s="291">
        <f t="shared" si="111"/>
        <v>244331.69131380139</v>
      </c>
      <c r="BG295" s="291">
        <f t="shared" si="112"/>
        <v>41227.380000000005</v>
      </c>
      <c r="BH295" s="291">
        <f t="shared" si="113"/>
        <v>203104.31131380139</v>
      </c>
      <c r="BI295" s="292">
        <f t="shared" si="137"/>
        <v>5.926442362182641</v>
      </c>
      <c r="BJ295" s="196" cm="1">
        <f t="array" ref="BJ295">IFERROR(IF($J295="Baseload",IF($O295=1,0,NPV('2027 Avoided Costs'!$D$6,_xlfn._xlws.FILTER('2027 Avoided Costs'!$C$14:$C$47,('2027 Avoided Costs'!$B$14:$B$47&gt;=$B295+1)*('2027 Avoided Costs'!$B$14:$B$47&lt;$B295+ROUND($O295,0)))))+_xlfn.XLOOKUP($B295,'2027 Avoided Costs'!$B$13:$B$47,'2027 Avoided Costs'!$C$13:$C$47),IF($O295=1,0,NPV('2027 Avoided Costs'!$D$6,_xlfn._xlws.FILTER('2027 Avoided Costs'!$E$14:$E$47,('2027 Avoided Costs'!$B$14:$B$47&gt;=$B295+1)*('2027 Avoided Costs'!$B$14:$B$47&lt;$B295+ROUND($O295,0)))))+_xlfn.XLOOKUP($B295,'2027 Avoided Costs'!$B$13:$B$47,'2027 Avoided Costs'!$E$13:$E$47))*IF($AE295&gt;0,$AE295*(1+0),0),0)</f>
        <v>101244.31496998825</v>
      </c>
      <c r="BK295" s="293">
        <f t="shared" si="135"/>
        <v>1.6710291636955874</v>
      </c>
    </row>
    <row r="296" spans="1:63" s="56" customFormat="1" x14ac:dyDescent="0.25">
      <c r="A296" s="270" t="s">
        <v>206</v>
      </c>
      <c r="B296" s="271">
        <v>2028</v>
      </c>
      <c r="C296" s="272" t="s">
        <v>12</v>
      </c>
      <c r="D296" s="272" t="s">
        <v>22</v>
      </c>
      <c r="E296" s="272" t="s">
        <v>106</v>
      </c>
      <c r="F296" s="273">
        <v>50</v>
      </c>
      <c r="G296" s="274">
        <v>508</v>
      </c>
      <c r="H296" s="275">
        <f t="shared" si="115"/>
        <v>3.5474860335195535</v>
      </c>
      <c r="I296" s="274">
        <v>0</v>
      </c>
      <c r="J296" s="276" t="s">
        <v>264</v>
      </c>
      <c r="K296" s="277">
        <f t="shared" si="114"/>
        <v>1</v>
      </c>
      <c r="L296" s="278">
        <v>0</v>
      </c>
      <c r="M296" s="278">
        <v>0</v>
      </c>
      <c r="N296" s="278">
        <v>1</v>
      </c>
      <c r="O296" s="279">
        <v>25</v>
      </c>
      <c r="P296" s="280">
        <v>143.19999999999999</v>
      </c>
      <c r="Q296" s="281">
        <v>0</v>
      </c>
      <c r="R296" s="282">
        <v>0</v>
      </c>
      <c r="S296" s="282">
        <v>0</v>
      </c>
      <c r="T296" s="281">
        <v>0</v>
      </c>
      <c r="U296" s="283">
        <v>0</v>
      </c>
      <c r="V296" s="284">
        <v>508</v>
      </c>
      <c r="W296" s="285">
        <v>0.15</v>
      </c>
      <c r="X296" s="286" t="s">
        <v>11</v>
      </c>
      <c r="Y296" s="287">
        <f t="shared" si="116"/>
        <v>50</v>
      </c>
      <c r="Z296" s="288">
        <f t="shared" si="117"/>
        <v>25400</v>
      </c>
      <c r="AA296" s="288">
        <f t="shared" si="118"/>
        <v>0</v>
      </c>
      <c r="AB296" s="288">
        <f t="shared" si="119"/>
        <v>25908</v>
      </c>
      <c r="AC296" s="288">
        <f t="shared" si="136"/>
        <v>0</v>
      </c>
      <c r="AD296" s="287">
        <f t="shared" si="120"/>
        <v>7159.9999999999991</v>
      </c>
      <c r="AE296" s="287">
        <f t="shared" si="121"/>
        <v>7159.9999999999991</v>
      </c>
      <c r="AF296" s="287">
        <f t="shared" si="122"/>
        <v>178999.99999999997</v>
      </c>
      <c r="AG296" s="287">
        <f t="shared" si="123"/>
        <v>178999.99999999997</v>
      </c>
      <c r="AH296" s="287">
        <f t="shared" si="124"/>
        <v>0</v>
      </c>
      <c r="AI296" s="287">
        <f t="shared" si="125"/>
        <v>0</v>
      </c>
      <c r="AJ296" s="287">
        <f t="shared" si="126"/>
        <v>0</v>
      </c>
      <c r="AK296" s="287">
        <f t="shared" si="127"/>
        <v>0</v>
      </c>
      <c r="AL296" s="287">
        <f t="shared" si="128"/>
        <v>0</v>
      </c>
      <c r="AM296" s="287">
        <f t="shared" si="129"/>
        <v>0</v>
      </c>
      <c r="AN296" s="287">
        <f t="shared" si="130"/>
        <v>0</v>
      </c>
      <c r="AO296" s="287">
        <f t="shared" si="131"/>
        <v>0</v>
      </c>
      <c r="AP296" s="287">
        <f t="shared" si="132"/>
        <v>25400</v>
      </c>
      <c r="AQ296" s="287">
        <f t="shared" si="133"/>
        <v>25400</v>
      </c>
      <c r="AR296" s="287">
        <f t="shared" si="134"/>
        <v>0</v>
      </c>
      <c r="AS296" s="289" t="e">
        <f>IF(J296='2027 Avoided Costs'!#REF!,3,5)</f>
        <v>#REF!</v>
      </c>
      <c r="AT296" s="290" cm="1">
        <f t="array" ref="AT296">IFERROR(IF($J296="Baseload",IF($O296=1,0,NPV('2027 Avoided Costs'!$D$6,_xlfn._xlws.FILTER('2027 Avoided Costs'!$C$14:$C$47,('2027 Avoided Costs'!$B$14:$B$47&gt;=$B296+1)*('2027 Avoided Costs'!$B$14:$B$47&lt;$B296+ROUND($O296,0)))))+_xlfn.XLOOKUP($B296,'2027 Avoided Costs'!$B$13:$B$47,'2027 Avoided Costs'!$C$13:$C$47),IF($O296=1,0,NPV('2027 Avoided Costs'!$D$6,_xlfn._xlws.FILTER('2027 Avoided Costs'!$E$14:$E$47,('2027 Avoided Costs'!$B$14:$B$47&gt;=$B296+1)*('2027 Avoided Costs'!$B$14:$B$47&lt;$B296+ROUND($O296,0)))))+_xlfn.XLOOKUP($B296,'2027 Avoided Costs'!$B$13:$B$47,'2027 Avoided Costs'!$E$13:$E$47))*IF($AE296&gt;0,$AE296*(1+$W296),0),0)</f>
        <v>43304.414986285141</v>
      </c>
      <c r="AU296" s="290" cm="1">
        <f t="array" ref="AU296">IFERROR((IF($O296=1,0,NPV('2027 Avoided Costs'!$D$6,_xlfn._xlws.FILTER('2027 Avoided Costs'!$M$14:$M$47,('2027 Avoided Costs'!$B$14:$B$47&gt;=$B296+1)*('2027 Avoided Costs'!$B$14:$B$47&lt;$B296+ROUND($O296,0)))))+_xlfn.XLOOKUP($B296,'2027 Avoided Costs'!$B$13:$B$47,'2027 Avoided Costs'!$M$13:$M$47))*IF($AK296&gt;0,$AK296*(1+$W296),0),0)</f>
        <v>0</v>
      </c>
      <c r="AV296" s="291" cm="1">
        <f t="array" ref="AV296">IFERROR((IF($O296=1,0,NPV('2027 Avoided Costs'!$D$6,_xlfn._xlws.FILTER('2027 Avoided Costs'!$Q$14:$Q$47,('2027 Avoided Costs'!$B$14:$B$47&gt;=$B296+1)*('2027 Avoided Costs'!$B$14:$B$47&lt;$B296+ROUND($O296,0)))))+_xlfn.XLOOKUP($B296,'2027 Avoided Costs'!$B$13:$B$47,'2027 Avoided Costs'!$Q$13:$Q$47))*IF($AI296&gt;0,$AI296*(1+$W296),0),0)</f>
        <v>0</v>
      </c>
      <c r="AW296" s="291" cm="1">
        <f t="array" ref="AW296">IFERROR((IF($O296=1,0,NPV('2027 Avoided Costs'!$D$6,_xlfn._xlws.FILTER('2027 Avoided Costs'!$W$14:$W$47,('2027 Avoided Costs'!$B$14:$B$47&gt;=$B296+1)*('2027 Avoided Costs'!$B$14:$B$47&lt;$B296+ROUND($O296,0)))))+_xlfn.XLOOKUP($B296,'2027 Avoided Costs'!$B$13:$B$47,'2027 Avoided Costs'!$W$13:$W$47))*IF($AM296&gt;0,$AM296*(1+$W296),0),0)</f>
        <v>0</v>
      </c>
      <c r="AX296" s="291" cm="1">
        <f t="array" ref="AX296">IFERROR((IF($O296=1,0,NPV('2027 Avoided Costs'!$D$6,_xlfn._xlws.FILTER('2027 Avoided Costs'!$AC$14:$AC$47,('2027 Avoided Costs'!$B$14:$B$47&gt;=$B296+1)*('2027 Avoided Costs'!$B$14:$B$47&lt;$B296+ROUND($O296,0)))))+_xlfn.XLOOKUP($B296,'2027 Avoided Costs'!$B$13:$B$47,'2027 Avoided Costs'!$AC$13:$AC$47))*IF($AO296&gt;0,$AO296*(1+$W296),0),0)</f>
        <v>0</v>
      </c>
      <c r="AY296" s="291" cm="1">
        <f t="array" ref="AY296">IFERROR((IF($O296=1,0,NPV('2027 Avoided Costs'!$D$4,_xlfn._xlws.FILTER('2027 Avoided Costs'!$I$14:$I$47,('2027 Avoided Costs'!$B$14:$B$47&gt;=$B296+1)*('2027 Avoided Costs'!$B$14:$B$47&lt;$B296+ROUND($O296,0)))))+_xlfn.XLOOKUP($B296,'2027 Avoided Costs'!$B$13:$B$47,'2027 Avoided Costs'!$I$13:$I$47))*IF($X296="Residential",'2027 Avoided Costs'!$J$5,IF($X296="Large Volume",'2027 Avoided Costs'!$J$7,'2027 Avoided Costs'!$J$6))*IF($AE296&gt;0,$AE296,0),0)</f>
        <v>0</v>
      </c>
      <c r="AZ296" s="291" cm="1">
        <f t="array" ref="AZ296">IFERROR(IF($J296="Baseload",IF($O296=1,0,NPV('2027 Avoided Costs'!$D$6,_xlfn._xlws.FILTER('2027 Avoided Costs'!$C$14:$C$47,('2027 Avoided Costs'!$B$14:$B$47&gt;=$B296+1)*('2027 Avoided Costs'!$B$14:$B$47&lt;$B296+ROUND($O296,0)))))+_xlfn.XLOOKUP($B296,'2027 Avoided Costs'!$B$13:$B$47,'2027 Avoided Costs'!$C$13:$C$47),IF($O296=1,0,NPV('2027 Avoided Costs'!$D$6,_xlfn._xlws.FILTER('2027 Avoided Costs'!$E$14:$E$47,('2027 Avoided Costs'!$B$14:$B$47&gt;=$B296+1)*('2027 Avoided Costs'!$B$14:$B$47&lt;$B296+ROUND($O296,0)))))+_xlfn.XLOOKUP($B296,'2027 Avoided Costs'!$B$13:$B$47,'2027 Avoided Costs'!$E$13:$E$47))*IF($AE296&lt;0,$AE296*(-1),0),0)</f>
        <v>0</v>
      </c>
      <c r="BA296" s="291" cm="1">
        <f t="array" ref="BA296">IFERROR((IF($O296=1,0,NPV('2027 Avoided Costs'!$D$6,_xlfn._xlws.FILTER('2027 Avoided Costs'!$M$14:$M$47,('2027 Avoided Costs'!$B$14:$B$47&gt;=$B296+1)*('2027 Avoided Costs'!$B$14:$B$47&lt;$B296+ROUND($O296,0)))))+_xlfn.XLOOKUP($B296,'2027 Avoided Costs'!$B$13:$B$47,'2027 Avoided Costs'!$M$13:$M$47))*IF($AK296&lt;0,$AK296*(-1),0),0)</f>
        <v>0</v>
      </c>
      <c r="BB296" s="291" cm="1">
        <f t="array" ref="BB296">IFERROR((IF($O296=1,0,NPV('2027 Avoided Costs'!$D$6,_xlfn._xlws.FILTER('2027 Avoided Costs'!$S$14:$S$47,('2027 Avoided Costs'!$B$14:$B$47&gt;=$B296+1)*('2027 Avoided Costs'!$B$14:$B$47&lt;$B296+ROUND($O296,0)))))+_xlfn.XLOOKUP($B296,'2027 Avoided Costs'!$B$13:$B$47,'2027 Avoided Costs'!$S$13:$S$47))*IF($AI296&lt;0,$AI296*(-1),0),0)</f>
        <v>0</v>
      </c>
      <c r="BC296" s="291" cm="1">
        <f t="array" ref="BC296">IFERROR((IF($O296=1,0,NPV('2027 Avoided Costs'!$D$6,_xlfn._xlws.FILTER('2027 Avoided Costs'!$Y$14:$Y$47,('2027 Avoided Costs'!$B$14:$B$47&gt;=$B296+1)*('2027 Avoided Costs'!$B$14:$B$47&lt;$B296+ROUND($O296,0)))))+_xlfn.XLOOKUP($B296,'2027 Avoided Costs'!$B$13:$B$47,'2027 Avoided Costs'!$Y$13:$Y$47))*IF($AM296&lt;0,$AM296*(-1),0),0)</f>
        <v>0</v>
      </c>
      <c r="BD296" s="291" cm="1">
        <f t="array" ref="BD296">IFERROR((IF($O296=1,0,NPV('2027 Avoided Costs'!$D$6,_xlfn._xlws.FILTER('2027 Avoided Costs'!$AE$14:$AE$47,('2027 Avoided Costs'!$B$14:$B$47&gt;=$B296+1)*('2027 Avoided Costs'!$B$14:$B$47&lt;$B296+ROUND($O296,0)))))+_xlfn.XLOOKUP($B296,'2027 Avoided Costs'!$B$13:$B$47,'2027 Avoided Costs'!$AE$13:$AE$47))*IF($AO296&lt;0,$AO296*(-1),0),0)</f>
        <v>0</v>
      </c>
      <c r="BE296" s="291" cm="1">
        <f t="array" ref="BE296">IFERROR((IF($O296=1,0,NPV('2027 Avoided Costs'!$D$4,_xlfn._xlws.FILTER('2027 Avoided Costs'!$I$14:$I$47,('2027 Avoided Costs'!$B$14:$B$47&gt;=$B296+1)*('2027 Avoided Costs'!$B$14:$B$47&lt;$B296+ROUND($O296,0)))))+_xlfn.XLOOKUP($B296,'2027 Avoided Costs'!$B$13:$B$47,'2027 Avoided Costs'!$I$13:$I$47))*IF($X296="Residential",'2027 Avoided Costs'!$J$5,IF($X296="Large Volume",'2027 Avoided Costs'!$J$7,'2027 Avoided Costs'!$J$6))*IF($AE296&lt;0,$AE296*(-1),0),0)</f>
        <v>0</v>
      </c>
      <c r="BF296" s="291">
        <f t="shared" si="111"/>
        <v>43304.414986285141</v>
      </c>
      <c r="BG296" s="291">
        <f t="shared" si="112"/>
        <v>25400</v>
      </c>
      <c r="BH296" s="291">
        <f t="shared" si="113"/>
        <v>17904.414986285141</v>
      </c>
      <c r="BI296" s="292">
        <f t="shared" si="137"/>
        <v>1.7048982278065017</v>
      </c>
      <c r="BJ296" s="196" cm="1">
        <f t="array" ref="BJ296">IFERROR(IF($J296="Baseload",IF($O296=1,0,NPV('2027 Avoided Costs'!$D$6,_xlfn._xlws.FILTER('2027 Avoided Costs'!$C$14:$C$47,('2027 Avoided Costs'!$B$14:$B$47&gt;=$B296+1)*('2027 Avoided Costs'!$B$14:$B$47&lt;$B296+ROUND($O296,0)))))+_xlfn.XLOOKUP($B296,'2027 Avoided Costs'!$B$13:$B$47,'2027 Avoided Costs'!$C$13:$C$47),IF($O296=1,0,NPV('2027 Avoided Costs'!$D$6,_xlfn._xlws.FILTER('2027 Avoided Costs'!$E$14:$E$47,('2027 Avoided Costs'!$B$14:$B$47&gt;=$B296+1)*('2027 Avoided Costs'!$B$14:$B$47&lt;$B296+ROUND($O296,0)))))+_xlfn.XLOOKUP($B296,'2027 Avoided Costs'!$B$13:$B$47,'2027 Avoided Costs'!$E$13:$E$47))*IF($AE296&gt;0,$AE296*(1+0),0),0)</f>
        <v>37656.013031552298</v>
      </c>
      <c r="BK296" s="293">
        <f t="shared" si="135"/>
        <v>1.4534511746005983</v>
      </c>
    </row>
    <row r="297" spans="1:63" s="56" customFormat="1" x14ac:dyDescent="0.25">
      <c r="A297" s="270" t="s">
        <v>206</v>
      </c>
      <c r="B297" s="271">
        <v>2028</v>
      </c>
      <c r="C297" s="272" t="s">
        <v>12</v>
      </c>
      <c r="D297" s="272" t="s">
        <v>22</v>
      </c>
      <c r="E297" s="272" t="s">
        <v>278</v>
      </c>
      <c r="F297" s="273">
        <v>2702</v>
      </c>
      <c r="G297" s="274">
        <v>330</v>
      </c>
      <c r="H297" s="275">
        <f t="shared" si="115"/>
        <v>2.0245398773006134</v>
      </c>
      <c r="I297" s="274">
        <v>0</v>
      </c>
      <c r="J297" s="276" t="s">
        <v>264</v>
      </c>
      <c r="K297" s="277">
        <f t="shared" si="114"/>
        <v>1</v>
      </c>
      <c r="L297" s="278">
        <v>0</v>
      </c>
      <c r="M297" s="278">
        <v>0</v>
      </c>
      <c r="N297" s="278">
        <v>1</v>
      </c>
      <c r="O297" s="279">
        <v>10</v>
      </c>
      <c r="P297" s="280">
        <v>163</v>
      </c>
      <c r="Q297" s="281">
        <v>217</v>
      </c>
      <c r="R297" s="282">
        <v>9.9299200000000004E-2</v>
      </c>
      <c r="S297" s="282">
        <v>2.8118742131312473E-2</v>
      </c>
      <c r="T297" s="281">
        <v>0</v>
      </c>
      <c r="U297" s="283">
        <v>0</v>
      </c>
      <c r="V297" s="284">
        <v>330</v>
      </c>
      <c r="W297" s="285">
        <v>0.15</v>
      </c>
      <c r="X297" s="286" t="s">
        <v>11</v>
      </c>
      <c r="Y297" s="287">
        <f t="shared" si="116"/>
        <v>2702</v>
      </c>
      <c r="Z297" s="288">
        <f t="shared" si="117"/>
        <v>891660</v>
      </c>
      <c r="AA297" s="288">
        <f t="shared" si="118"/>
        <v>0</v>
      </c>
      <c r="AB297" s="288">
        <f t="shared" si="119"/>
        <v>909493.20000000007</v>
      </c>
      <c r="AC297" s="288">
        <f t="shared" si="136"/>
        <v>0</v>
      </c>
      <c r="AD297" s="287">
        <f t="shared" si="120"/>
        <v>440426</v>
      </c>
      <c r="AE297" s="287">
        <f t="shared" si="121"/>
        <v>440426</v>
      </c>
      <c r="AF297" s="287">
        <f t="shared" si="122"/>
        <v>4404260</v>
      </c>
      <c r="AG297" s="287">
        <f t="shared" si="123"/>
        <v>4404260</v>
      </c>
      <c r="AH297" s="287">
        <f t="shared" si="124"/>
        <v>628550.04800000007</v>
      </c>
      <c r="AI297" s="287">
        <f t="shared" si="125"/>
        <v>628550.04800000007</v>
      </c>
      <c r="AJ297" s="287">
        <f t="shared" si="126"/>
        <v>0</v>
      </c>
      <c r="AK297" s="287">
        <f t="shared" si="127"/>
        <v>0</v>
      </c>
      <c r="AL297" s="287">
        <f t="shared" si="128"/>
        <v>287.6245019648</v>
      </c>
      <c r="AM297" s="287">
        <f t="shared" si="129"/>
        <v>287.6245019648</v>
      </c>
      <c r="AN297" s="287">
        <f t="shared" si="130"/>
        <v>81.447173808000358</v>
      </c>
      <c r="AO297" s="287">
        <f t="shared" si="131"/>
        <v>81.447173808000358</v>
      </c>
      <c r="AP297" s="287">
        <f t="shared" si="132"/>
        <v>891660</v>
      </c>
      <c r="AQ297" s="287">
        <f t="shared" si="133"/>
        <v>891660</v>
      </c>
      <c r="AR297" s="287">
        <f t="shared" si="134"/>
        <v>0</v>
      </c>
      <c r="AS297" s="289" t="e">
        <f>IF(J297='2027 Avoided Costs'!#REF!,3,5)</f>
        <v>#REF!</v>
      </c>
      <c r="AT297" s="290" cm="1">
        <f t="array" ref="AT297">IFERROR(IF($J297="Baseload",IF($O297=1,0,NPV('2027 Avoided Costs'!$D$6,_xlfn._xlws.FILTER('2027 Avoided Costs'!$C$14:$C$47,('2027 Avoided Costs'!$B$14:$B$47&gt;=$B297+1)*('2027 Avoided Costs'!$B$14:$B$47&lt;$B297+ROUND($O297,0)))))+_xlfn.XLOOKUP($B297,'2027 Avoided Costs'!$B$13:$B$47,'2027 Avoided Costs'!$C$13:$C$47),IF($O297=1,0,NPV('2027 Avoided Costs'!$D$6,_xlfn._xlws.FILTER('2027 Avoided Costs'!$E$14:$E$47,('2027 Avoided Costs'!$B$14:$B$47&gt;=$B297+1)*('2027 Avoided Costs'!$B$14:$B$47&lt;$B297+ROUND($O297,0)))))+_xlfn.XLOOKUP($B297,'2027 Avoided Costs'!$B$13:$B$47,'2027 Avoided Costs'!$E$13:$E$47))*IF($AE297&gt;0,$AE297*(1+$W297),0),0)</f>
        <v>1296080.9458175036</v>
      </c>
      <c r="AU297" s="290" cm="1">
        <f t="array" ref="AU297">IFERROR((IF($O297=1,0,NPV('2027 Avoided Costs'!$D$6,_xlfn._xlws.FILTER('2027 Avoided Costs'!$M$14:$M$47,('2027 Avoided Costs'!$B$14:$B$47&gt;=$B297+1)*('2027 Avoided Costs'!$B$14:$B$47&lt;$B297+ROUND($O297,0)))))+_xlfn.XLOOKUP($B297,'2027 Avoided Costs'!$B$13:$B$47,'2027 Avoided Costs'!$M$13:$M$47))*IF($AK297&gt;0,$AK297*(1+$W297),0),0)</f>
        <v>0</v>
      </c>
      <c r="AV297" s="291" cm="1">
        <f t="array" ref="AV297">IFERROR((IF($O297=1,0,NPV('2027 Avoided Costs'!$D$6,_xlfn._xlws.FILTER('2027 Avoided Costs'!$Q$14:$Q$47,('2027 Avoided Costs'!$B$14:$B$47&gt;=$B297+1)*('2027 Avoided Costs'!$B$14:$B$47&lt;$B297+ROUND($O297,0)))))+_xlfn.XLOOKUP($B297,'2027 Avoided Costs'!$B$13:$B$47,'2027 Avoided Costs'!$Q$13:$Q$47))*IF($AI297&gt;0,$AI297*(1+$W297),0),0)</f>
        <v>307681.20474448719</v>
      </c>
      <c r="AW297" s="291" cm="1">
        <f t="array" ref="AW297">IFERROR((IF($O297=1,0,NPV('2027 Avoided Costs'!$D$6,_xlfn._xlws.FILTER('2027 Avoided Costs'!$W$14:$W$47,('2027 Avoided Costs'!$B$14:$B$47&gt;=$B297+1)*('2027 Avoided Costs'!$B$14:$B$47&lt;$B297+ROUND($O297,0)))))+_xlfn.XLOOKUP($B297,'2027 Avoided Costs'!$B$13:$B$47,'2027 Avoided Costs'!$W$13:$W$47))*IF($AM297&gt;0,$AM297*(1+$W297),0),0)</f>
        <v>886963.34389474022</v>
      </c>
      <c r="AX297" s="291" cm="1">
        <f t="array" ref="AX297">IFERROR((IF($O297=1,0,NPV('2027 Avoided Costs'!$D$6,_xlfn._xlws.FILTER('2027 Avoided Costs'!$AC$14:$AC$47,('2027 Avoided Costs'!$B$14:$B$47&gt;=$B297+1)*('2027 Avoided Costs'!$B$14:$B$47&lt;$B297+ROUND($O297,0)))))+_xlfn.XLOOKUP($B297,'2027 Avoided Costs'!$B$13:$B$47,'2027 Avoided Costs'!$AC$13:$AC$47))*IF($AO297&gt;0,$AO297*(1+$W297),0),0)</f>
        <v>0</v>
      </c>
      <c r="AY297" s="291" cm="1">
        <f t="array" ref="AY297">IFERROR((IF($O297=1,0,NPV('2027 Avoided Costs'!$D$4,_xlfn._xlws.FILTER('2027 Avoided Costs'!$I$14:$I$47,('2027 Avoided Costs'!$B$14:$B$47&gt;=$B297+1)*('2027 Avoided Costs'!$B$14:$B$47&lt;$B297+ROUND($O297,0)))))+_xlfn.XLOOKUP($B297,'2027 Avoided Costs'!$B$13:$B$47,'2027 Avoided Costs'!$I$13:$I$47))*IF($X297="Residential",'2027 Avoided Costs'!$J$5,IF($X297="Large Volume",'2027 Avoided Costs'!$J$7,'2027 Avoided Costs'!$J$6))*IF($AE297&gt;0,$AE297,0),0)</f>
        <v>0</v>
      </c>
      <c r="AZ297" s="291" cm="1">
        <f t="array" ref="AZ297">IFERROR(IF($J297="Baseload",IF($O297=1,0,NPV('2027 Avoided Costs'!$D$6,_xlfn._xlws.FILTER('2027 Avoided Costs'!$C$14:$C$47,('2027 Avoided Costs'!$B$14:$B$47&gt;=$B297+1)*('2027 Avoided Costs'!$B$14:$B$47&lt;$B297+ROUND($O297,0)))))+_xlfn.XLOOKUP($B297,'2027 Avoided Costs'!$B$13:$B$47,'2027 Avoided Costs'!$C$13:$C$47),IF($O297=1,0,NPV('2027 Avoided Costs'!$D$6,_xlfn._xlws.FILTER('2027 Avoided Costs'!$E$14:$E$47,('2027 Avoided Costs'!$B$14:$B$47&gt;=$B297+1)*('2027 Avoided Costs'!$B$14:$B$47&lt;$B297+ROUND($O297,0)))))+_xlfn.XLOOKUP($B297,'2027 Avoided Costs'!$B$13:$B$47,'2027 Avoided Costs'!$E$13:$E$47))*IF($AE297&lt;0,$AE297*(-1),0),0)</f>
        <v>0</v>
      </c>
      <c r="BA297" s="291" cm="1">
        <f t="array" ref="BA297">IFERROR((IF($O297=1,0,NPV('2027 Avoided Costs'!$D$6,_xlfn._xlws.FILTER('2027 Avoided Costs'!$M$14:$M$47,('2027 Avoided Costs'!$B$14:$B$47&gt;=$B297+1)*('2027 Avoided Costs'!$B$14:$B$47&lt;$B297+ROUND($O297,0)))))+_xlfn.XLOOKUP($B297,'2027 Avoided Costs'!$B$13:$B$47,'2027 Avoided Costs'!$M$13:$M$47))*IF($AK297&lt;0,$AK297*(-1),0),0)</f>
        <v>0</v>
      </c>
      <c r="BB297" s="291" cm="1">
        <f t="array" ref="BB297">IFERROR((IF($O297=1,0,NPV('2027 Avoided Costs'!$D$6,_xlfn._xlws.FILTER('2027 Avoided Costs'!$S$14:$S$47,('2027 Avoided Costs'!$B$14:$B$47&gt;=$B297+1)*('2027 Avoided Costs'!$B$14:$B$47&lt;$B297+ROUND($O297,0)))))+_xlfn.XLOOKUP($B297,'2027 Avoided Costs'!$B$13:$B$47,'2027 Avoided Costs'!$S$13:$S$47))*IF($AI297&lt;0,$AI297*(-1),0),0)</f>
        <v>0</v>
      </c>
      <c r="BC297" s="291" cm="1">
        <f t="array" ref="BC297">IFERROR((IF($O297=1,0,NPV('2027 Avoided Costs'!$D$6,_xlfn._xlws.FILTER('2027 Avoided Costs'!$Y$14:$Y$47,('2027 Avoided Costs'!$B$14:$B$47&gt;=$B297+1)*('2027 Avoided Costs'!$B$14:$B$47&lt;$B297+ROUND($O297,0)))))+_xlfn.XLOOKUP($B297,'2027 Avoided Costs'!$B$13:$B$47,'2027 Avoided Costs'!$Y$13:$Y$47))*IF($AM297&lt;0,$AM297*(-1),0),0)</f>
        <v>0</v>
      </c>
      <c r="BD297" s="291" cm="1">
        <f t="array" ref="BD297">IFERROR((IF($O297=1,0,NPV('2027 Avoided Costs'!$D$6,_xlfn._xlws.FILTER('2027 Avoided Costs'!$AE$14:$AE$47,('2027 Avoided Costs'!$B$14:$B$47&gt;=$B297+1)*('2027 Avoided Costs'!$B$14:$B$47&lt;$B297+ROUND($O297,0)))))+_xlfn.XLOOKUP($B297,'2027 Avoided Costs'!$B$13:$B$47,'2027 Avoided Costs'!$AE$13:$AE$47))*IF($AO297&lt;0,$AO297*(-1),0),0)</f>
        <v>0</v>
      </c>
      <c r="BE297" s="291" cm="1">
        <f t="array" ref="BE297">IFERROR((IF($O297=1,0,NPV('2027 Avoided Costs'!$D$4,_xlfn._xlws.FILTER('2027 Avoided Costs'!$I$14:$I$47,('2027 Avoided Costs'!$B$14:$B$47&gt;=$B297+1)*('2027 Avoided Costs'!$B$14:$B$47&lt;$B297+ROUND($O297,0)))))+_xlfn.XLOOKUP($B297,'2027 Avoided Costs'!$B$13:$B$47,'2027 Avoided Costs'!$I$13:$I$47))*IF($X297="Residential",'2027 Avoided Costs'!$J$5,IF($X297="Large Volume",'2027 Avoided Costs'!$J$7,'2027 Avoided Costs'!$J$6))*IF($AE297&lt;0,$AE297*(-1),0),0)</f>
        <v>0</v>
      </c>
      <c r="BF297" s="291">
        <f t="shared" si="111"/>
        <v>2490725.4944567308</v>
      </c>
      <c r="BG297" s="291">
        <f t="shared" si="112"/>
        <v>891660</v>
      </c>
      <c r="BH297" s="291">
        <f t="shared" si="113"/>
        <v>1599065.4944567308</v>
      </c>
      <c r="BI297" s="292">
        <f t="shared" si="137"/>
        <v>2.7933578880478329</v>
      </c>
      <c r="BJ297" s="196" cm="1">
        <f t="array" ref="BJ297">IFERROR(IF($J297="Baseload",IF($O297=1,0,NPV('2027 Avoided Costs'!$D$6,_xlfn._xlws.FILTER('2027 Avoided Costs'!$C$14:$C$47,('2027 Avoided Costs'!$B$14:$B$47&gt;=$B297+1)*('2027 Avoided Costs'!$B$14:$B$47&lt;$B297+ROUND($O297,0)))))+_xlfn.XLOOKUP($B297,'2027 Avoided Costs'!$B$13:$B$47,'2027 Avoided Costs'!$C$13:$C$47),IF($O297=1,0,NPV('2027 Avoided Costs'!$D$6,_xlfn._xlws.FILTER('2027 Avoided Costs'!$E$14:$E$47,('2027 Avoided Costs'!$B$14:$B$47&gt;=$B297+1)*('2027 Avoided Costs'!$B$14:$B$47&lt;$B297+ROUND($O297,0)))))+_xlfn.XLOOKUP($B297,'2027 Avoided Costs'!$B$13:$B$47,'2027 Avoided Costs'!$E$13:$E$47))*IF($AE297&gt;0,$AE297*(1+0),0),0)</f>
        <v>1127026.9094065251</v>
      </c>
      <c r="BK297" s="293">
        <f t="shared" si="135"/>
        <v>1.2391812378657971</v>
      </c>
    </row>
    <row r="298" spans="1:63" s="56" customFormat="1" x14ac:dyDescent="0.25">
      <c r="A298" s="270" t="s">
        <v>206</v>
      </c>
      <c r="B298" s="271">
        <v>2028</v>
      </c>
      <c r="C298" s="272" t="s">
        <v>12</v>
      </c>
      <c r="D298" s="272" t="s">
        <v>22</v>
      </c>
      <c r="E298" s="272" t="s">
        <v>107</v>
      </c>
      <c r="F298" s="273">
        <v>2916</v>
      </c>
      <c r="G298" s="274">
        <v>22</v>
      </c>
      <c r="H298" s="275">
        <f t="shared" si="115"/>
        <v>1.2570432774536606</v>
      </c>
      <c r="I298" s="274">
        <v>0</v>
      </c>
      <c r="J298" s="276" t="s">
        <v>263</v>
      </c>
      <c r="K298" s="277">
        <f t="shared" si="114"/>
        <v>1</v>
      </c>
      <c r="L298" s="278">
        <v>0</v>
      </c>
      <c r="M298" s="278">
        <v>0</v>
      </c>
      <c r="N298" s="278">
        <v>0.83107190016103061</v>
      </c>
      <c r="O298" s="279">
        <v>12</v>
      </c>
      <c r="P298" s="280">
        <v>17.501386304347825</v>
      </c>
      <c r="Q298" s="281">
        <v>0</v>
      </c>
      <c r="R298" s="282">
        <v>0</v>
      </c>
      <c r="S298" s="282">
        <v>0</v>
      </c>
      <c r="T298" s="281">
        <v>4.6177685185185187</v>
      </c>
      <c r="U298" s="283">
        <v>0</v>
      </c>
      <c r="V298" s="284">
        <v>14.97</v>
      </c>
      <c r="W298" s="285">
        <v>0.15</v>
      </c>
      <c r="X298" s="286" t="s">
        <v>11</v>
      </c>
      <c r="Y298" s="287">
        <f t="shared" si="116"/>
        <v>2916</v>
      </c>
      <c r="Z298" s="288">
        <f t="shared" si="117"/>
        <v>64152</v>
      </c>
      <c r="AA298" s="288">
        <f t="shared" si="118"/>
        <v>0</v>
      </c>
      <c r="AB298" s="288">
        <f t="shared" si="119"/>
        <v>65435.040000000001</v>
      </c>
      <c r="AC298" s="288">
        <f t="shared" si="136"/>
        <v>0</v>
      </c>
      <c r="AD298" s="287">
        <f t="shared" si="120"/>
        <v>42412.9586430216</v>
      </c>
      <c r="AE298" s="287">
        <f t="shared" si="121"/>
        <v>42412.9586430216</v>
      </c>
      <c r="AF298" s="287">
        <f t="shared" si="122"/>
        <v>508955.50371625921</v>
      </c>
      <c r="AG298" s="287">
        <f t="shared" si="123"/>
        <v>508955.50371625921</v>
      </c>
      <c r="AH298" s="287">
        <f t="shared" si="124"/>
        <v>0</v>
      </c>
      <c r="AI298" s="287">
        <f t="shared" si="125"/>
        <v>0</v>
      </c>
      <c r="AJ298" s="287">
        <f t="shared" si="126"/>
        <v>11190.726368363044</v>
      </c>
      <c r="AK298" s="287">
        <f t="shared" si="127"/>
        <v>11190.726368363044</v>
      </c>
      <c r="AL298" s="287">
        <f t="shared" si="128"/>
        <v>0</v>
      </c>
      <c r="AM298" s="287">
        <f t="shared" si="129"/>
        <v>0</v>
      </c>
      <c r="AN298" s="287">
        <f t="shared" si="130"/>
        <v>0</v>
      </c>
      <c r="AO298" s="287">
        <f t="shared" si="131"/>
        <v>0</v>
      </c>
      <c r="AP298" s="287">
        <f t="shared" si="132"/>
        <v>43652.520000000004</v>
      </c>
      <c r="AQ298" s="287">
        <f t="shared" si="133"/>
        <v>43652.520000000004</v>
      </c>
      <c r="AR298" s="287">
        <f t="shared" si="134"/>
        <v>0</v>
      </c>
      <c r="AS298" s="289" t="e">
        <f>IF(J298='2027 Avoided Costs'!#REF!,3,5)</f>
        <v>#REF!</v>
      </c>
      <c r="AT298" s="290" cm="1">
        <f t="array" ref="AT298">IFERROR(IF($J298="Baseload",IF($O298=1,0,NPV('2027 Avoided Costs'!$D$6,_xlfn._xlws.FILTER('2027 Avoided Costs'!$C$14:$C$47,('2027 Avoided Costs'!$B$14:$B$47&gt;=$B298+1)*('2027 Avoided Costs'!$B$14:$B$47&lt;$B298+ROUND($O298,0)))))+_xlfn.XLOOKUP($B298,'2027 Avoided Costs'!$B$13:$B$47,'2027 Avoided Costs'!$C$13:$C$47),IF($O298=1,0,NPV('2027 Avoided Costs'!$D$6,_xlfn._xlws.FILTER('2027 Avoided Costs'!$E$14:$E$47,('2027 Avoided Costs'!$B$14:$B$47&gt;=$B298+1)*('2027 Avoided Costs'!$B$14:$B$47&lt;$B298+ROUND($O298,0)))))+_xlfn.XLOOKUP($B298,'2027 Avoided Costs'!$B$13:$B$47,'2027 Avoided Costs'!$E$13:$E$47))*IF($AE298&gt;0,$AE298*(1+$W298),0),0)</f>
        <v>129323.5741972268</v>
      </c>
      <c r="AU298" s="290" cm="1">
        <f t="array" ref="AU298">IFERROR((IF($O298=1,0,NPV('2027 Avoided Costs'!$D$6,_xlfn._xlws.FILTER('2027 Avoided Costs'!$M$14:$M$47,('2027 Avoided Costs'!$B$14:$B$47&gt;=$B298+1)*('2027 Avoided Costs'!$B$14:$B$47&lt;$B298+ROUND($O298,0)))))+_xlfn.XLOOKUP($B298,'2027 Avoided Costs'!$B$13:$B$47,'2027 Avoided Costs'!$M$13:$M$47))*IF($AK298&gt;0,$AK298*(1+$W298),0),0)</f>
        <v>138132.78742618012</v>
      </c>
      <c r="AV298" s="291" cm="1">
        <f t="array" ref="AV298">IFERROR((IF($O298=1,0,NPV('2027 Avoided Costs'!$D$6,_xlfn._xlws.FILTER('2027 Avoided Costs'!$Q$14:$Q$47,('2027 Avoided Costs'!$B$14:$B$47&gt;=$B298+1)*('2027 Avoided Costs'!$B$14:$B$47&lt;$B298+ROUND($O298,0)))))+_xlfn.XLOOKUP($B298,'2027 Avoided Costs'!$B$13:$B$47,'2027 Avoided Costs'!$Q$13:$Q$47))*IF($AI298&gt;0,$AI298*(1+$W298),0),0)</f>
        <v>0</v>
      </c>
      <c r="AW298" s="291" cm="1">
        <f t="array" ref="AW298">IFERROR((IF($O298=1,0,NPV('2027 Avoided Costs'!$D$6,_xlfn._xlws.FILTER('2027 Avoided Costs'!$W$14:$W$47,('2027 Avoided Costs'!$B$14:$B$47&gt;=$B298+1)*('2027 Avoided Costs'!$B$14:$B$47&lt;$B298+ROUND($O298,0)))))+_xlfn.XLOOKUP($B298,'2027 Avoided Costs'!$B$13:$B$47,'2027 Avoided Costs'!$W$13:$W$47))*IF($AM298&gt;0,$AM298*(1+$W298),0),0)</f>
        <v>0</v>
      </c>
      <c r="AX298" s="291" cm="1">
        <f t="array" ref="AX298">IFERROR((IF($O298=1,0,NPV('2027 Avoided Costs'!$D$6,_xlfn._xlws.FILTER('2027 Avoided Costs'!$AC$14:$AC$47,('2027 Avoided Costs'!$B$14:$B$47&gt;=$B298+1)*('2027 Avoided Costs'!$B$14:$B$47&lt;$B298+ROUND($O298,0)))))+_xlfn.XLOOKUP($B298,'2027 Avoided Costs'!$B$13:$B$47,'2027 Avoided Costs'!$AC$13:$AC$47))*IF($AO298&gt;0,$AO298*(1+$W298),0),0)</f>
        <v>0</v>
      </c>
      <c r="AY298" s="291" cm="1">
        <f t="array" ref="AY298">IFERROR((IF($O298=1,0,NPV('2027 Avoided Costs'!$D$4,_xlfn._xlws.FILTER('2027 Avoided Costs'!$I$14:$I$47,('2027 Avoided Costs'!$B$14:$B$47&gt;=$B298+1)*('2027 Avoided Costs'!$B$14:$B$47&lt;$B298+ROUND($O298,0)))))+_xlfn.XLOOKUP($B298,'2027 Avoided Costs'!$B$13:$B$47,'2027 Avoided Costs'!$I$13:$I$47))*IF($X298="Residential",'2027 Avoided Costs'!$J$5,IF($X298="Large Volume",'2027 Avoided Costs'!$J$7,'2027 Avoided Costs'!$J$6))*IF($AE298&gt;0,$AE298,0),0)</f>
        <v>0</v>
      </c>
      <c r="AZ298" s="291" cm="1">
        <f t="array" ref="AZ298">IFERROR(IF($J298="Baseload",IF($O298=1,0,NPV('2027 Avoided Costs'!$D$6,_xlfn._xlws.FILTER('2027 Avoided Costs'!$C$14:$C$47,('2027 Avoided Costs'!$B$14:$B$47&gt;=$B298+1)*('2027 Avoided Costs'!$B$14:$B$47&lt;$B298+ROUND($O298,0)))))+_xlfn.XLOOKUP($B298,'2027 Avoided Costs'!$B$13:$B$47,'2027 Avoided Costs'!$C$13:$C$47),IF($O298=1,0,NPV('2027 Avoided Costs'!$D$6,_xlfn._xlws.FILTER('2027 Avoided Costs'!$E$14:$E$47,('2027 Avoided Costs'!$B$14:$B$47&gt;=$B298+1)*('2027 Avoided Costs'!$B$14:$B$47&lt;$B298+ROUND($O298,0)))))+_xlfn.XLOOKUP($B298,'2027 Avoided Costs'!$B$13:$B$47,'2027 Avoided Costs'!$E$13:$E$47))*IF($AE298&lt;0,$AE298*(-1),0),0)</f>
        <v>0</v>
      </c>
      <c r="BA298" s="291" cm="1">
        <f t="array" ref="BA298">IFERROR((IF($O298=1,0,NPV('2027 Avoided Costs'!$D$6,_xlfn._xlws.FILTER('2027 Avoided Costs'!$M$14:$M$47,('2027 Avoided Costs'!$B$14:$B$47&gt;=$B298+1)*('2027 Avoided Costs'!$B$14:$B$47&lt;$B298+ROUND($O298,0)))))+_xlfn.XLOOKUP($B298,'2027 Avoided Costs'!$B$13:$B$47,'2027 Avoided Costs'!$M$13:$M$47))*IF($AK298&lt;0,$AK298*(-1),0),0)</f>
        <v>0</v>
      </c>
      <c r="BB298" s="291" cm="1">
        <f t="array" ref="BB298">IFERROR((IF($O298=1,0,NPV('2027 Avoided Costs'!$D$6,_xlfn._xlws.FILTER('2027 Avoided Costs'!$S$14:$S$47,('2027 Avoided Costs'!$B$14:$B$47&gt;=$B298+1)*('2027 Avoided Costs'!$B$14:$B$47&lt;$B298+ROUND($O298,0)))))+_xlfn.XLOOKUP($B298,'2027 Avoided Costs'!$B$13:$B$47,'2027 Avoided Costs'!$S$13:$S$47))*IF($AI298&lt;0,$AI298*(-1),0),0)</f>
        <v>0</v>
      </c>
      <c r="BC298" s="291" cm="1">
        <f t="array" ref="BC298">IFERROR((IF($O298=1,0,NPV('2027 Avoided Costs'!$D$6,_xlfn._xlws.FILTER('2027 Avoided Costs'!$Y$14:$Y$47,('2027 Avoided Costs'!$B$14:$B$47&gt;=$B298+1)*('2027 Avoided Costs'!$B$14:$B$47&lt;$B298+ROUND($O298,0)))))+_xlfn.XLOOKUP($B298,'2027 Avoided Costs'!$B$13:$B$47,'2027 Avoided Costs'!$Y$13:$Y$47))*IF($AM298&lt;0,$AM298*(-1),0),0)</f>
        <v>0</v>
      </c>
      <c r="BD298" s="291" cm="1">
        <f t="array" ref="BD298">IFERROR((IF($O298=1,0,NPV('2027 Avoided Costs'!$D$6,_xlfn._xlws.FILTER('2027 Avoided Costs'!$AE$14:$AE$47,('2027 Avoided Costs'!$B$14:$B$47&gt;=$B298+1)*('2027 Avoided Costs'!$B$14:$B$47&lt;$B298+ROUND($O298,0)))))+_xlfn.XLOOKUP($B298,'2027 Avoided Costs'!$B$13:$B$47,'2027 Avoided Costs'!$AE$13:$AE$47))*IF($AO298&lt;0,$AO298*(-1),0),0)</f>
        <v>0</v>
      </c>
      <c r="BE298" s="291" cm="1">
        <f t="array" ref="BE298">IFERROR((IF($O298=1,0,NPV('2027 Avoided Costs'!$D$4,_xlfn._xlws.FILTER('2027 Avoided Costs'!$I$14:$I$47,('2027 Avoided Costs'!$B$14:$B$47&gt;=$B298+1)*('2027 Avoided Costs'!$B$14:$B$47&lt;$B298+ROUND($O298,0)))))+_xlfn.XLOOKUP($B298,'2027 Avoided Costs'!$B$13:$B$47,'2027 Avoided Costs'!$I$13:$I$47))*IF($X298="Residential",'2027 Avoided Costs'!$J$5,IF($X298="Large Volume",'2027 Avoided Costs'!$J$7,'2027 Avoided Costs'!$J$6))*IF($AE298&lt;0,$AE298*(-1),0),0)</f>
        <v>0</v>
      </c>
      <c r="BF298" s="291">
        <f t="shared" si="111"/>
        <v>267456.36162340693</v>
      </c>
      <c r="BG298" s="291">
        <f t="shared" si="112"/>
        <v>43652.520000000004</v>
      </c>
      <c r="BH298" s="291">
        <f t="shared" si="113"/>
        <v>223803.84162340692</v>
      </c>
      <c r="BI298" s="292">
        <f t="shared" si="137"/>
        <v>6.1269397877466618</v>
      </c>
      <c r="BJ298" s="196" cm="1">
        <f t="array" ref="BJ298">IFERROR(IF($J298="Baseload",IF($O298=1,0,NPV('2027 Avoided Costs'!$D$6,_xlfn._xlws.FILTER('2027 Avoided Costs'!$C$14:$C$47,('2027 Avoided Costs'!$B$14:$B$47&gt;=$B298+1)*('2027 Avoided Costs'!$B$14:$B$47&lt;$B298+ROUND($O298,0)))))+_xlfn.XLOOKUP($B298,'2027 Avoided Costs'!$B$13:$B$47,'2027 Avoided Costs'!$C$13:$C$47),IF($O298=1,0,NPV('2027 Avoided Costs'!$D$6,_xlfn._xlws.FILTER('2027 Avoided Costs'!$E$14:$E$47,('2027 Avoided Costs'!$B$14:$B$47&gt;=$B298+1)*('2027 Avoided Costs'!$B$14:$B$47&lt;$B298+ROUND($O298,0)))))+_xlfn.XLOOKUP($B298,'2027 Avoided Costs'!$B$13:$B$47,'2027 Avoided Costs'!$E$13:$E$47))*IF($AE298&gt;0,$AE298*(1+0),0),0)</f>
        <v>112455.28191063202</v>
      </c>
      <c r="BK298" s="293">
        <f t="shared" si="135"/>
        <v>1.7185789434931502</v>
      </c>
    </row>
    <row r="299" spans="1:63" s="56" customFormat="1" x14ac:dyDescent="0.25">
      <c r="A299" s="270" t="s">
        <v>206</v>
      </c>
      <c r="B299" s="271">
        <v>2028</v>
      </c>
      <c r="C299" s="272" t="s">
        <v>12</v>
      </c>
      <c r="D299" s="272" t="s">
        <v>22</v>
      </c>
      <c r="E299" s="272" t="s">
        <v>108</v>
      </c>
      <c r="F299" s="273">
        <v>3600</v>
      </c>
      <c r="G299" s="274">
        <v>3415.4999999999995</v>
      </c>
      <c r="H299" s="275">
        <f t="shared" si="115"/>
        <v>6.3841121495327098</v>
      </c>
      <c r="I299" s="274">
        <v>160</v>
      </c>
      <c r="J299" s="276" t="s">
        <v>264</v>
      </c>
      <c r="K299" s="277">
        <f t="shared" si="114"/>
        <v>1</v>
      </c>
      <c r="L299" s="278">
        <v>0</v>
      </c>
      <c r="M299" s="278">
        <v>0</v>
      </c>
      <c r="N299" s="278">
        <v>1</v>
      </c>
      <c r="O299" s="279">
        <v>25</v>
      </c>
      <c r="P299" s="280">
        <v>535</v>
      </c>
      <c r="Q299" s="281">
        <v>0</v>
      </c>
      <c r="R299" s="282">
        <v>0</v>
      </c>
      <c r="S299" s="282">
        <v>0</v>
      </c>
      <c r="T299" s="281">
        <v>0</v>
      </c>
      <c r="U299" s="283">
        <v>0</v>
      </c>
      <c r="V299" s="284">
        <v>3415.4999999999995</v>
      </c>
      <c r="W299" s="285">
        <v>0.15</v>
      </c>
      <c r="X299" s="286" t="s">
        <v>11</v>
      </c>
      <c r="Y299" s="287">
        <f t="shared" si="116"/>
        <v>3600</v>
      </c>
      <c r="Z299" s="288">
        <f t="shared" si="117"/>
        <v>12295799.999999998</v>
      </c>
      <c r="AA299" s="288">
        <f t="shared" si="118"/>
        <v>576000</v>
      </c>
      <c r="AB299" s="288">
        <f t="shared" si="119"/>
        <v>12541715.999999998</v>
      </c>
      <c r="AC299" s="288">
        <f t="shared" si="136"/>
        <v>585907.20000000007</v>
      </c>
      <c r="AD299" s="287">
        <f t="shared" si="120"/>
        <v>1926000</v>
      </c>
      <c r="AE299" s="287">
        <f t="shared" si="121"/>
        <v>1926000</v>
      </c>
      <c r="AF299" s="287">
        <f t="shared" si="122"/>
        <v>48150000</v>
      </c>
      <c r="AG299" s="287">
        <f t="shared" si="123"/>
        <v>48150000</v>
      </c>
      <c r="AH299" s="287">
        <f t="shared" si="124"/>
        <v>0</v>
      </c>
      <c r="AI299" s="287">
        <f t="shared" si="125"/>
        <v>0</v>
      </c>
      <c r="AJ299" s="287">
        <f t="shared" si="126"/>
        <v>0</v>
      </c>
      <c r="AK299" s="287">
        <f t="shared" si="127"/>
        <v>0</v>
      </c>
      <c r="AL299" s="287">
        <f t="shared" si="128"/>
        <v>0</v>
      </c>
      <c r="AM299" s="287">
        <f t="shared" si="129"/>
        <v>0</v>
      </c>
      <c r="AN299" s="287">
        <f t="shared" si="130"/>
        <v>0</v>
      </c>
      <c r="AO299" s="287">
        <f t="shared" si="131"/>
        <v>0</v>
      </c>
      <c r="AP299" s="287">
        <f t="shared" si="132"/>
        <v>12295799.999999998</v>
      </c>
      <c r="AQ299" s="287">
        <f t="shared" si="133"/>
        <v>12295799.999999998</v>
      </c>
      <c r="AR299" s="287">
        <f t="shared" si="134"/>
        <v>0</v>
      </c>
      <c r="AS299" s="289" t="e">
        <f>IF(J299='2027 Avoided Costs'!#REF!,3,5)</f>
        <v>#REF!</v>
      </c>
      <c r="AT299" s="290" cm="1">
        <f t="array" ref="AT299">IFERROR(IF($J299="Baseload",IF($O299=1,0,NPV('2027 Avoided Costs'!$D$6,_xlfn._xlws.FILTER('2027 Avoided Costs'!$C$14:$C$47,('2027 Avoided Costs'!$B$14:$B$47&gt;=$B299+1)*('2027 Avoided Costs'!$B$14:$B$47&lt;$B299+ROUND($O299,0)))))+_xlfn.XLOOKUP($B299,'2027 Avoided Costs'!$B$13:$B$47,'2027 Avoided Costs'!$C$13:$C$47),IF($O299=1,0,NPV('2027 Avoided Costs'!$D$6,_xlfn._xlws.FILTER('2027 Avoided Costs'!$E$14:$E$47,('2027 Avoided Costs'!$B$14:$B$47&gt;=$B299+1)*('2027 Avoided Costs'!$B$14:$B$47&lt;$B299+ROUND($O299,0)))))+_xlfn.XLOOKUP($B299,'2027 Avoided Costs'!$B$13:$B$47,'2027 Avoided Costs'!$E$13:$E$47))*IF($AE299&gt;0,$AE299*(1+$W299),0),0)</f>
        <v>11648645.707204638</v>
      </c>
      <c r="AU299" s="290" cm="1">
        <f t="array" ref="AU299">IFERROR((IF($O299=1,0,NPV('2027 Avoided Costs'!$D$6,_xlfn._xlws.FILTER('2027 Avoided Costs'!$M$14:$M$47,('2027 Avoided Costs'!$B$14:$B$47&gt;=$B299+1)*('2027 Avoided Costs'!$B$14:$B$47&lt;$B299+ROUND($O299,0)))))+_xlfn.XLOOKUP($B299,'2027 Avoided Costs'!$B$13:$B$47,'2027 Avoided Costs'!$M$13:$M$47))*IF($AK299&gt;0,$AK299*(1+$W299),0),0)</f>
        <v>0</v>
      </c>
      <c r="AV299" s="291" cm="1">
        <f t="array" ref="AV299">IFERROR((IF($O299=1,0,NPV('2027 Avoided Costs'!$D$6,_xlfn._xlws.FILTER('2027 Avoided Costs'!$Q$14:$Q$47,('2027 Avoided Costs'!$B$14:$B$47&gt;=$B299+1)*('2027 Avoided Costs'!$B$14:$B$47&lt;$B299+ROUND($O299,0)))))+_xlfn.XLOOKUP($B299,'2027 Avoided Costs'!$B$13:$B$47,'2027 Avoided Costs'!$Q$13:$Q$47))*IF($AI299&gt;0,$AI299*(1+$W299),0),0)</f>
        <v>0</v>
      </c>
      <c r="AW299" s="291" cm="1">
        <f t="array" ref="AW299">IFERROR((IF($O299=1,0,NPV('2027 Avoided Costs'!$D$6,_xlfn._xlws.FILTER('2027 Avoided Costs'!$W$14:$W$47,('2027 Avoided Costs'!$B$14:$B$47&gt;=$B299+1)*('2027 Avoided Costs'!$B$14:$B$47&lt;$B299+ROUND($O299,0)))))+_xlfn.XLOOKUP($B299,'2027 Avoided Costs'!$B$13:$B$47,'2027 Avoided Costs'!$W$13:$W$47))*IF($AM299&gt;0,$AM299*(1+$W299),0),0)</f>
        <v>0</v>
      </c>
      <c r="AX299" s="291" cm="1">
        <f t="array" ref="AX299">IFERROR((IF($O299=1,0,NPV('2027 Avoided Costs'!$D$6,_xlfn._xlws.FILTER('2027 Avoided Costs'!$AC$14:$AC$47,('2027 Avoided Costs'!$B$14:$B$47&gt;=$B299+1)*('2027 Avoided Costs'!$B$14:$B$47&lt;$B299+ROUND($O299,0)))))+_xlfn.XLOOKUP($B299,'2027 Avoided Costs'!$B$13:$B$47,'2027 Avoided Costs'!$AC$13:$AC$47))*IF($AO299&gt;0,$AO299*(1+$W299),0),0)</f>
        <v>0</v>
      </c>
      <c r="AY299" s="291" cm="1">
        <f t="array" ref="AY299">IFERROR((IF($O299=1,0,NPV('2027 Avoided Costs'!$D$4,_xlfn._xlws.FILTER('2027 Avoided Costs'!$I$14:$I$47,('2027 Avoided Costs'!$B$14:$B$47&gt;=$B299+1)*('2027 Avoided Costs'!$B$14:$B$47&lt;$B299+ROUND($O299,0)))))+_xlfn.XLOOKUP($B299,'2027 Avoided Costs'!$B$13:$B$47,'2027 Avoided Costs'!$I$13:$I$47))*IF($X299="Residential",'2027 Avoided Costs'!$J$5,IF($X299="Large Volume",'2027 Avoided Costs'!$J$7,'2027 Avoided Costs'!$J$6))*IF($AE299&gt;0,$AE299,0),0)</f>
        <v>0</v>
      </c>
      <c r="AZ299" s="291" cm="1">
        <f t="array" ref="AZ299">IFERROR(IF($J299="Baseload",IF($O299=1,0,NPV('2027 Avoided Costs'!$D$6,_xlfn._xlws.FILTER('2027 Avoided Costs'!$C$14:$C$47,('2027 Avoided Costs'!$B$14:$B$47&gt;=$B299+1)*('2027 Avoided Costs'!$B$14:$B$47&lt;$B299+ROUND($O299,0)))))+_xlfn.XLOOKUP($B299,'2027 Avoided Costs'!$B$13:$B$47,'2027 Avoided Costs'!$C$13:$C$47),IF($O299=1,0,NPV('2027 Avoided Costs'!$D$6,_xlfn._xlws.FILTER('2027 Avoided Costs'!$E$14:$E$47,('2027 Avoided Costs'!$B$14:$B$47&gt;=$B299+1)*('2027 Avoided Costs'!$B$14:$B$47&lt;$B299+ROUND($O299,0)))))+_xlfn.XLOOKUP($B299,'2027 Avoided Costs'!$B$13:$B$47,'2027 Avoided Costs'!$E$13:$E$47))*IF($AE299&lt;0,$AE299*(-1),0),0)</f>
        <v>0</v>
      </c>
      <c r="BA299" s="291" cm="1">
        <f t="array" ref="BA299">IFERROR((IF($O299=1,0,NPV('2027 Avoided Costs'!$D$6,_xlfn._xlws.FILTER('2027 Avoided Costs'!$M$14:$M$47,('2027 Avoided Costs'!$B$14:$B$47&gt;=$B299+1)*('2027 Avoided Costs'!$B$14:$B$47&lt;$B299+ROUND($O299,0)))))+_xlfn.XLOOKUP($B299,'2027 Avoided Costs'!$B$13:$B$47,'2027 Avoided Costs'!$M$13:$M$47))*IF($AK299&lt;0,$AK299*(-1),0),0)</f>
        <v>0</v>
      </c>
      <c r="BB299" s="291" cm="1">
        <f t="array" ref="BB299">IFERROR((IF($O299=1,0,NPV('2027 Avoided Costs'!$D$6,_xlfn._xlws.FILTER('2027 Avoided Costs'!$S$14:$S$47,('2027 Avoided Costs'!$B$14:$B$47&gt;=$B299+1)*('2027 Avoided Costs'!$B$14:$B$47&lt;$B299+ROUND($O299,0)))))+_xlfn.XLOOKUP($B299,'2027 Avoided Costs'!$B$13:$B$47,'2027 Avoided Costs'!$S$13:$S$47))*IF($AI299&lt;0,$AI299*(-1),0),0)</f>
        <v>0</v>
      </c>
      <c r="BC299" s="291" cm="1">
        <f t="array" ref="BC299">IFERROR((IF($O299=1,0,NPV('2027 Avoided Costs'!$D$6,_xlfn._xlws.FILTER('2027 Avoided Costs'!$Y$14:$Y$47,('2027 Avoided Costs'!$B$14:$B$47&gt;=$B299+1)*('2027 Avoided Costs'!$B$14:$B$47&lt;$B299+ROUND($O299,0)))))+_xlfn.XLOOKUP($B299,'2027 Avoided Costs'!$B$13:$B$47,'2027 Avoided Costs'!$Y$13:$Y$47))*IF($AM299&lt;0,$AM299*(-1),0),0)</f>
        <v>0</v>
      </c>
      <c r="BD299" s="291" cm="1">
        <f t="array" ref="BD299">IFERROR((IF($O299=1,0,NPV('2027 Avoided Costs'!$D$6,_xlfn._xlws.FILTER('2027 Avoided Costs'!$AE$14:$AE$47,('2027 Avoided Costs'!$B$14:$B$47&gt;=$B299+1)*('2027 Avoided Costs'!$B$14:$B$47&lt;$B299+ROUND($O299,0)))))+_xlfn.XLOOKUP($B299,'2027 Avoided Costs'!$B$13:$B$47,'2027 Avoided Costs'!$AE$13:$AE$47))*IF($AO299&lt;0,$AO299*(-1),0),0)</f>
        <v>0</v>
      </c>
      <c r="BE299" s="291" cm="1">
        <f t="array" ref="BE299">IFERROR((IF($O299=1,0,NPV('2027 Avoided Costs'!$D$4,_xlfn._xlws.FILTER('2027 Avoided Costs'!$I$14:$I$47,('2027 Avoided Costs'!$B$14:$B$47&gt;=$B299+1)*('2027 Avoided Costs'!$B$14:$B$47&lt;$B299+ROUND($O299,0)))))+_xlfn.XLOOKUP($B299,'2027 Avoided Costs'!$B$13:$B$47,'2027 Avoided Costs'!$I$13:$I$47))*IF($X299="Residential",'2027 Avoided Costs'!$J$5,IF($X299="Large Volume",'2027 Avoided Costs'!$J$7,'2027 Avoided Costs'!$J$6))*IF($AE299&lt;0,$AE299*(-1),0),0)</f>
        <v>0</v>
      </c>
      <c r="BF299" s="291">
        <f t="shared" si="111"/>
        <v>11648645.707204638</v>
      </c>
      <c r="BG299" s="291">
        <f t="shared" si="112"/>
        <v>12295799.999999998</v>
      </c>
      <c r="BH299" s="291">
        <f t="shared" si="113"/>
        <v>-647154.29279536009</v>
      </c>
      <c r="BI299" s="292">
        <f t="shared" si="137"/>
        <v>0.94736785790307587</v>
      </c>
      <c r="BJ299" s="196" cm="1">
        <f t="array" ref="BJ299">IFERROR(IF($J299="Baseload",IF($O299=1,0,NPV('2027 Avoided Costs'!$D$6,_xlfn._xlws.FILTER('2027 Avoided Costs'!$C$14:$C$47,('2027 Avoided Costs'!$B$14:$B$47&gt;=$B299+1)*('2027 Avoided Costs'!$B$14:$B$47&lt;$B299+ROUND($O299,0)))))+_xlfn.XLOOKUP($B299,'2027 Avoided Costs'!$B$13:$B$47,'2027 Avoided Costs'!$C$13:$C$47),IF($O299=1,0,NPV('2027 Avoided Costs'!$D$6,_xlfn._xlws.FILTER('2027 Avoided Costs'!$E$14:$E$47,('2027 Avoided Costs'!$B$14:$B$47&gt;=$B299+1)*('2027 Avoided Costs'!$B$14:$B$47&lt;$B299+ROUND($O299,0)))))+_xlfn.XLOOKUP($B299,'2027 Avoided Costs'!$B$13:$B$47,'2027 Avoided Costs'!$E$13:$E$47))*IF($AE299&gt;0,$AE299*(1+0),0),0)</f>
        <v>10129257.136699684</v>
      </c>
      <c r="BK299" s="293">
        <f t="shared" si="135"/>
        <v>0.77159871077802467</v>
      </c>
    </row>
    <row r="300" spans="1:63" s="56" customFormat="1" x14ac:dyDescent="0.25">
      <c r="A300" s="270" t="s">
        <v>206</v>
      </c>
      <c r="B300" s="271">
        <v>2029</v>
      </c>
      <c r="C300" s="272" t="s">
        <v>12</v>
      </c>
      <c r="D300" s="272" t="s">
        <v>22</v>
      </c>
      <c r="E300" s="272" t="s">
        <v>106</v>
      </c>
      <c r="F300" s="273">
        <v>50</v>
      </c>
      <c r="G300" s="274">
        <v>508</v>
      </c>
      <c r="H300" s="275">
        <f t="shared" si="115"/>
        <v>3.5474860335195535</v>
      </c>
      <c r="I300" s="274">
        <v>0</v>
      </c>
      <c r="J300" s="276" t="s">
        <v>264</v>
      </c>
      <c r="K300" s="277">
        <f t="shared" si="114"/>
        <v>1</v>
      </c>
      <c r="L300" s="278">
        <v>0</v>
      </c>
      <c r="M300" s="278">
        <v>0</v>
      </c>
      <c r="N300" s="278">
        <v>1</v>
      </c>
      <c r="O300" s="279">
        <v>25</v>
      </c>
      <c r="P300" s="280">
        <v>143.19999999999999</v>
      </c>
      <c r="Q300" s="281">
        <v>0</v>
      </c>
      <c r="R300" s="282">
        <v>0</v>
      </c>
      <c r="S300" s="282">
        <v>0</v>
      </c>
      <c r="T300" s="281">
        <v>0</v>
      </c>
      <c r="U300" s="283">
        <v>0</v>
      </c>
      <c r="V300" s="284">
        <v>508</v>
      </c>
      <c r="W300" s="285">
        <v>0.15</v>
      </c>
      <c r="X300" s="286" t="s">
        <v>11</v>
      </c>
      <c r="Y300" s="287">
        <f t="shared" si="116"/>
        <v>50</v>
      </c>
      <c r="Z300" s="288">
        <f t="shared" si="117"/>
        <v>25400</v>
      </c>
      <c r="AA300" s="288">
        <f t="shared" si="118"/>
        <v>0</v>
      </c>
      <c r="AB300" s="288">
        <f t="shared" si="119"/>
        <v>26426.16</v>
      </c>
      <c r="AC300" s="288">
        <f t="shared" si="136"/>
        <v>0</v>
      </c>
      <c r="AD300" s="287">
        <f t="shared" si="120"/>
        <v>7159.9999999999991</v>
      </c>
      <c r="AE300" s="287">
        <f t="shared" si="121"/>
        <v>7159.9999999999991</v>
      </c>
      <c r="AF300" s="287">
        <f t="shared" si="122"/>
        <v>178999.99999999997</v>
      </c>
      <c r="AG300" s="287">
        <f t="shared" si="123"/>
        <v>178999.99999999997</v>
      </c>
      <c r="AH300" s="287">
        <f t="shared" si="124"/>
        <v>0</v>
      </c>
      <c r="AI300" s="287">
        <f t="shared" si="125"/>
        <v>0</v>
      </c>
      <c r="AJ300" s="287">
        <f t="shared" si="126"/>
        <v>0</v>
      </c>
      <c r="AK300" s="287">
        <f t="shared" si="127"/>
        <v>0</v>
      </c>
      <c r="AL300" s="287">
        <f t="shared" si="128"/>
        <v>0</v>
      </c>
      <c r="AM300" s="287">
        <f t="shared" si="129"/>
        <v>0</v>
      </c>
      <c r="AN300" s="287">
        <f t="shared" si="130"/>
        <v>0</v>
      </c>
      <c r="AO300" s="287">
        <f t="shared" si="131"/>
        <v>0</v>
      </c>
      <c r="AP300" s="287">
        <f t="shared" si="132"/>
        <v>25400</v>
      </c>
      <c r="AQ300" s="287">
        <f t="shared" si="133"/>
        <v>25400</v>
      </c>
      <c r="AR300" s="287">
        <f t="shared" si="134"/>
        <v>0</v>
      </c>
      <c r="AS300" s="289" t="e">
        <f>IF(J300='2027 Avoided Costs'!#REF!,3,5)</f>
        <v>#REF!</v>
      </c>
      <c r="AT300" s="290" cm="1">
        <f t="array" ref="AT300">IFERROR(IF($J300="Baseload",IF($O300=1,0,NPV('2027 Avoided Costs'!$D$6,_xlfn._xlws.FILTER('2027 Avoided Costs'!$C$14:$C$47,('2027 Avoided Costs'!$B$14:$B$47&gt;=$B300+1)*('2027 Avoided Costs'!$B$14:$B$47&lt;$B300+ROUND($O300,0)))))+_xlfn.XLOOKUP($B300,'2027 Avoided Costs'!$B$13:$B$47,'2027 Avoided Costs'!$C$13:$C$47),IF($O300=1,0,NPV('2027 Avoided Costs'!$D$6,_xlfn._xlws.FILTER('2027 Avoided Costs'!$E$14:$E$47,('2027 Avoided Costs'!$B$14:$B$47&gt;=$B300+1)*('2027 Avoided Costs'!$B$14:$B$47&lt;$B300+ROUND($O300,0)))))+_xlfn.XLOOKUP($B300,'2027 Avoided Costs'!$B$13:$B$47,'2027 Avoided Costs'!$E$13:$E$47))*IF($AE300&gt;0,$AE300*(1+$W300),0),0)</f>
        <v>44854.746415962662</v>
      </c>
      <c r="AU300" s="290" cm="1">
        <f t="array" ref="AU300">IFERROR((IF($O300=1,0,NPV('2027 Avoided Costs'!$D$6,_xlfn._xlws.FILTER('2027 Avoided Costs'!$M$14:$M$47,('2027 Avoided Costs'!$B$14:$B$47&gt;=$B300+1)*('2027 Avoided Costs'!$B$14:$B$47&lt;$B300+ROUND($O300,0)))))+_xlfn.XLOOKUP($B300,'2027 Avoided Costs'!$B$13:$B$47,'2027 Avoided Costs'!$M$13:$M$47))*IF($AK300&gt;0,$AK300*(1+$W300),0),0)</f>
        <v>0</v>
      </c>
      <c r="AV300" s="291" cm="1">
        <f t="array" ref="AV300">IFERROR((IF($O300=1,0,NPV('2027 Avoided Costs'!$D$6,_xlfn._xlws.FILTER('2027 Avoided Costs'!$Q$14:$Q$47,('2027 Avoided Costs'!$B$14:$B$47&gt;=$B300+1)*('2027 Avoided Costs'!$B$14:$B$47&lt;$B300+ROUND($O300,0)))))+_xlfn.XLOOKUP($B300,'2027 Avoided Costs'!$B$13:$B$47,'2027 Avoided Costs'!$Q$13:$Q$47))*IF($AI300&gt;0,$AI300*(1+$W300),0),0)</f>
        <v>0</v>
      </c>
      <c r="AW300" s="291" cm="1">
        <f t="array" ref="AW300">IFERROR((IF($O300=1,0,NPV('2027 Avoided Costs'!$D$6,_xlfn._xlws.FILTER('2027 Avoided Costs'!$W$14:$W$47,('2027 Avoided Costs'!$B$14:$B$47&gt;=$B300+1)*('2027 Avoided Costs'!$B$14:$B$47&lt;$B300+ROUND($O300,0)))))+_xlfn.XLOOKUP($B300,'2027 Avoided Costs'!$B$13:$B$47,'2027 Avoided Costs'!$W$13:$W$47))*IF($AM300&gt;0,$AM300*(1+$W300),0),0)</f>
        <v>0</v>
      </c>
      <c r="AX300" s="291" cm="1">
        <f t="array" ref="AX300">IFERROR((IF($O300=1,0,NPV('2027 Avoided Costs'!$D$6,_xlfn._xlws.FILTER('2027 Avoided Costs'!$AC$14:$AC$47,('2027 Avoided Costs'!$B$14:$B$47&gt;=$B300+1)*('2027 Avoided Costs'!$B$14:$B$47&lt;$B300+ROUND($O300,0)))))+_xlfn.XLOOKUP($B300,'2027 Avoided Costs'!$B$13:$B$47,'2027 Avoided Costs'!$AC$13:$AC$47))*IF($AO300&gt;0,$AO300*(1+$W300),0),0)</f>
        <v>0</v>
      </c>
      <c r="AY300" s="291" cm="1">
        <f t="array" ref="AY300">IFERROR((IF($O300=1,0,NPV('2027 Avoided Costs'!$D$4,_xlfn._xlws.FILTER('2027 Avoided Costs'!$I$14:$I$47,('2027 Avoided Costs'!$B$14:$B$47&gt;=$B300+1)*('2027 Avoided Costs'!$B$14:$B$47&lt;$B300+ROUND($O300,0)))))+_xlfn.XLOOKUP($B300,'2027 Avoided Costs'!$B$13:$B$47,'2027 Avoided Costs'!$I$13:$I$47))*IF($X300="Residential",'2027 Avoided Costs'!$J$5,IF($X300="Large Volume",'2027 Avoided Costs'!$J$7,'2027 Avoided Costs'!$J$6))*IF($AE300&gt;0,$AE300,0),0)</f>
        <v>0</v>
      </c>
      <c r="AZ300" s="291" cm="1">
        <f t="array" ref="AZ300">IFERROR(IF($J300="Baseload",IF($O300=1,0,NPV('2027 Avoided Costs'!$D$6,_xlfn._xlws.FILTER('2027 Avoided Costs'!$C$14:$C$47,('2027 Avoided Costs'!$B$14:$B$47&gt;=$B300+1)*('2027 Avoided Costs'!$B$14:$B$47&lt;$B300+ROUND($O300,0)))))+_xlfn.XLOOKUP($B300,'2027 Avoided Costs'!$B$13:$B$47,'2027 Avoided Costs'!$C$13:$C$47),IF($O300=1,0,NPV('2027 Avoided Costs'!$D$6,_xlfn._xlws.FILTER('2027 Avoided Costs'!$E$14:$E$47,('2027 Avoided Costs'!$B$14:$B$47&gt;=$B300+1)*('2027 Avoided Costs'!$B$14:$B$47&lt;$B300+ROUND($O300,0)))))+_xlfn.XLOOKUP($B300,'2027 Avoided Costs'!$B$13:$B$47,'2027 Avoided Costs'!$E$13:$E$47))*IF($AE300&lt;0,$AE300*(-1),0),0)</f>
        <v>0</v>
      </c>
      <c r="BA300" s="291" cm="1">
        <f t="array" ref="BA300">IFERROR((IF($O300=1,0,NPV('2027 Avoided Costs'!$D$6,_xlfn._xlws.FILTER('2027 Avoided Costs'!$M$14:$M$47,('2027 Avoided Costs'!$B$14:$B$47&gt;=$B300+1)*('2027 Avoided Costs'!$B$14:$B$47&lt;$B300+ROUND($O300,0)))))+_xlfn.XLOOKUP($B300,'2027 Avoided Costs'!$B$13:$B$47,'2027 Avoided Costs'!$M$13:$M$47))*IF($AK300&lt;0,$AK300*(-1),0),0)</f>
        <v>0</v>
      </c>
      <c r="BB300" s="291" cm="1">
        <f t="array" ref="BB300">IFERROR((IF($O300=1,0,NPV('2027 Avoided Costs'!$D$6,_xlfn._xlws.FILTER('2027 Avoided Costs'!$S$14:$S$47,('2027 Avoided Costs'!$B$14:$B$47&gt;=$B300+1)*('2027 Avoided Costs'!$B$14:$B$47&lt;$B300+ROUND($O300,0)))))+_xlfn.XLOOKUP($B300,'2027 Avoided Costs'!$B$13:$B$47,'2027 Avoided Costs'!$S$13:$S$47))*IF($AI300&lt;0,$AI300*(-1),0),0)</f>
        <v>0</v>
      </c>
      <c r="BC300" s="291" cm="1">
        <f t="array" ref="BC300">IFERROR((IF($O300=1,0,NPV('2027 Avoided Costs'!$D$6,_xlfn._xlws.FILTER('2027 Avoided Costs'!$Y$14:$Y$47,('2027 Avoided Costs'!$B$14:$B$47&gt;=$B300+1)*('2027 Avoided Costs'!$B$14:$B$47&lt;$B300+ROUND($O300,0)))))+_xlfn.XLOOKUP($B300,'2027 Avoided Costs'!$B$13:$B$47,'2027 Avoided Costs'!$Y$13:$Y$47))*IF($AM300&lt;0,$AM300*(-1),0),0)</f>
        <v>0</v>
      </c>
      <c r="BD300" s="291" cm="1">
        <f t="array" ref="BD300">IFERROR((IF($O300=1,0,NPV('2027 Avoided Costs'!$D$6,_xlfn._xlws.FILTER('2027 Avoided Costs'!$AE$14:$AE$47,('2027 Avoided Costs'!$B$14:$B$47&gt;=$B300+1)*('2027 Avoided Costs'!$B$14:$B$47&lt;$B300+ROUND($O300,0)))))+_xlfn.XLOOKUP($B300,'2027 Avoided Costs'!$B$13:$B$47,'2027 Avoided Costs'!$AE$13:$AE$47))*IF($AO300&lt;0,$AO300*(-1),0),0)</f>
        <v>0</v>
      </c>
      <c r="BE300" s="291" cm="1">
        <f t="array" ref="BE300">IFERROR((IF($O300=1,0,NPV('2027 Avoided Costs'!$D$4,_xlfn._xlws.FILTER('2027 Avoided Costs'!$I$14:$I$47,('2027 Avoided Costs'!$B$14:$B$47&gt;=$B300+1)*('2027 Avoided Costs'!$B$14:$B$47&lt;$B300+ROUND($O300,0)))))+_xlfn.XLOOKUP($B300,'2027 Avoided Costs'!$B$13:$B$47,'2027 Avoided Costs'!$I$13:$I$47))*IF($X300="Residential",'2027 Avoided Costs'!$J$5,IF($X300="Large Volume",'2027 Avoided Costs'!$J$7,'2027 Avoided Costs'!$J$6))*IF($AE300&lt;0,$AE300*(-1),0),0)</f>
        <v>0</v>
      </c>
      <c r="BF300" s="291">
        <f t="shared" si="111"/>
        <v>44854.746415962662</v>
      </c>
      <c r="BG300" s="291">
        <f t="shared" si="112"/>
        <v>25400</v>
      </c>
      <c r="BH300" s="291">
        <f t="shared" si="113"/>
        <v>19454.746415962662</v>
      </c>
      <c r="BI300" s="292">
        <f t="shared" si="137"/>
        <v>1.7659348982662466</v>
      </c>
      <c r="BJ300" s="196" cm="1">
        <f t="array" ref="BJ300">IFERROR(IF($J300="Baseload",IF($O300=1,0,NPV('2027 Avoided Costs'!$D$6,_xlfn._xlws.FILTER('2027 Avoided Costs'!$C$14:$C$47,('2027 Avoided Costs'!$B$14:$B$47&gt;=$B300+1)*('2027 Avoided Costs'!$B$14:$B$47&lt;$B300+ROUND($O300,0)))))+_xlfn.XLOOKUP($B300,'2027 Avoided Costs'!$B$13:$B$47,'2027 Avoided Costs'!$C$13:$C$47),IF($O300=1,0,NPV('2027 Avoided Costs'!$D$6,_xlfn._xlws.FILTER('2027 Avoided Costs'!$E$14:$E$47,('2027 Avoided Costs'!$B$14:$B$47&gt;=$B300+1)*('2027 Avoided Costs'!$B$14:$B$47&lt;$B300+ROUND($O300,0)))))+_xlfn.XLOOKUP($B300,'2027 Avoided Costs'!$B$13:$B$47,'2027 Avoided Costs'!$E$13:$E$47))*IF($AE300&gt;0,$AE300*(1+0),0),0)</f>
        <v>39004.127318228406</v>
      </c>
      <c r="BK300" s="293">
        <f t="shared" si="135"/>
        <v>1.4759665164453861</v>
      </c>
    </row>
    <row r="301" spans="1:63" s="56" customFormat="1" x14ac:dyDescent="0.25">
      <c r="A301" s="270" t="s">
        <v>206</v>
      </c>
      <c r="B301" s="271">
        <v>2029</v>
      </c>
      <c r="C301" s="272" t="s">
        <v>12</v>
      </c>
      <c r="D301" s="272" t="s">
        <v>22</v>
      </c>
      <c r="E301" s="272" t="s">
        <v>278</v>
      </c>
      <c r="F301" s="273">
        <v>3082</v>
      </c>
      <c r="G301" s="274">
        <v>330</v>
      </c>
      <c r="H301" s="275">
        <f t="shared" si="115"/>
        <v>2.0245398773006134</v>
      </c>
      <c r="I301" s="274">
        <v>0</v>
      </c>
      <c r="J301" s="276" t="s">
        <v>264</v>
      </c>
      <c r="K301" s="277">
        <f t="shared" si="114"/>
        <v>1</v>
      </c>
      <c r="L301" s="278">
        <v>0</v>
      </c>
      <c r="M301" s="278">
        <v>0</v>
      </c>
      <c r="N301" s="278">
        <v>1</v>
      </c>
      <c r="O301" s="279">
        <v>10</v>
      </c>
      <c r="P301" s="280">
        <v>163</v>
      </c>
      <c r="Q301" s="281">
        <v>217</v>
      </c>
      <c r="R301" s="282">
        <v>9.9299200000000004E-2</v>
      </c>
      <c r="S301" s="282">
        <v>2.8118742131312473E-2</v>
      </c>
      <c r="T301" s="281">
        <v>0</v>
      </c>
      <c r="U301" s="283">
        <v>0</v>
      </c>
      <c r="V301" s="284">
        <v>330</v>
      </c>
      <c r="W301" s="285">
        <v>0.15</v>
      </c>
      <c r="X301" s="286" t="s">
        <v>11</v>
      </c>
      <c r="Y301" s="287">
        <f t="shared" si="116"/>
        <v>3082</v>
      </c>
      <c r="Z301" s="288">
        <f t="shared" si="117"/>
        <v>1017060</v>
      </c>
      <c r="AA301" s="288">
        <f t="shared" si="118"/>
        <v>0</v>
      </c>
      <c r="AB301" s="288">
        <f t="shared" si="119"/>
        <v>1058149.2239999999</v>
      </c>
      <c r="AC301" s="288">
        <f t="shared" si="136"/>
        <v>0</v>
      </c>
      <c r="AD301" s="287">
        <f t="shared" si="120"/>
        <v>502366</v>
      </c>
      <c r="AE301" s="287">
        <f t="shared" si="121"/>
        <v>502366</v>
      </c>
      <c r="AF301" s="287">
        <f t="shared" si="122"/>
        <v>5023660</v>
      </c>
      <c r="AG301" s="287">
        <f t="shared" si="123"/>
        <v>5023660</v>
      </c>
      <c r="AH301" s="287">
        <f t="shared" si="124"/>
        <v>716947.16800000006</v>
      </c>
      <c r="AI301" s="287">
        <f t="shared" si="125"/>
        <v>716947.16800000006</v>
      </c>
      <c r="AJ301" s="287">
        <f t="shared" si="126"/>
        <v>0</v>
      </c>
      <c r="AK301" s="287">
        <f t="shared" si="127"/>
        <v>0</v>
      </c>
      <c r="AL301" s="287">
        <f t="shared" si="128"/>
        <v>328.07502407679999</v>
      </c>
      <c r="AM301" s="287">
        <f t="shared" si="129"/>
        <v>328.07502407679999</v>
      </c>
      <c r="AN301" s="287">
        <f t="shared" si="130"/>
        <v>92.901624602611818</v>
      </c>
      <c r="AO301" s="287">
        <f t="shared" si="131"/>
        <v>92.901624602611818</v>
      </c>
      <c r="AP301" s="287">
        <f t="shared" si="132"/>
        <v>1017060</v>
      </c>
      <c r="AQ301" s="287">
        <f t="shared" si="133"/>
        <v>1017060</v>
      </c>
      <c r="AR301" s="287">
        <f t="shared" si="134"/>
        <v>0</v>
      </c>
      <c r="AS301" s="289" t="e">
        <f>IF(J301='2027 Avoided Costs'!#REF!,3,5)</f>
        <v>#REF!</v>
      </c>
      <c r="AT301" s="290" cm="1">
        <f t="array" ref="AT301">IFERROR(IF($J301="Baseload",IF($O301=1,0,NPV('2027 Avoided Costs'!$D$6,_xlfn._xlws.FILTER('2027 Avoided Costs'!$C$14:$C$47,('2027 Avoided Costs'!$B$14:$B$47&gt;=$B301+1)*('2027 Avoided Costs'!$B$14:$B$47&lt;$B301+ROUND($O301,0)))))+_xlfn.XLOOKUP($B301,'2027 Avoided Costs'!$B$13:$B$47,'2027 Avoided Costs'!$C$13:$C$47),IF($O301=1,0,NPV('2027 Avoided Costs'!$D$6,_xlfn._xlws.FILTER('2027 Avoided Costs'!$E$14:$E$47,('2027 Avoided Costs'!$B$14:$B$47&gt;=$B301+1)*('2027 Avoided Costs'!$B$14:$B$47&lt;$B301+ROUND($O301,0)))))+_xlfn.XLOOKUP($B301,'2027 Avoided Costs'!$B$13:$B$47,'2027 Avoided Costs'!$E$13:$E$47))*IF($AE301&gt;0,$AE301*(1+$W301),0),0)</f>
        <v>1532482.4886129354</v>
      </c>
      <c r="AU301" s="290" cm="1">
        <f t="array" ref="AU301">IFERROR((IF($O301=1,0,NPV('2027 Avoided Costs'!$D$6,_xlfn._xlws.FILTER('2027 Avoided Costs'!$M$14:$M$47,('2027 Avoided Costs'!$B$14:$B$47&gt;=$B301+1)*('2027 Avoided Costs'!$B$14:$B$47&lt;$B301+ROUND($O301,0)))))+_xlfn.XLOOKUP($B301,'2027 Avoided Costs'!$B$13:$B$47,'2027 Avoided Costs'!$M$13:$M$47))*IF($AK301&gt;0,$AK301*(1+$W301),0),0)</f>
        <v>0</v>
      </c>
      <c r="AV301" s="291" cm="1">
        <f t="array" ref="AV301">IFERROR((IF($O301=1,0,NPV('2027 Avoided Costs'!$D$6,_xlfn._xlws.FILTER('2027 Avoided Costs'!$Q$14:$Q$47,('2027 Avoided Costs'!$B$14:$B$47&gt;=$B301+1)*('2027 Avoided Costs'!$B$14:$B$47&lt;$B301+ROUND($O301,0)))))+_xlfn.XLOOKUP($B301,'2027 Avoided Costs'!$B$13:$B$47,'2027 Avoided Costs'!$Q$13:$Q$47))*IF($AI301&gt;0,$AI301*(1+$W301),0),0)</f>
        <v>338577.84369146958</v>
      </c>
      <c r="AW301" s="291" cm="1">
        <f t="array" ref="AW301">IFERROR((IF($O301=1,0,NPV('2027 Avoided Costs'!$D$6,_xlfn._xlws.FILTER('2027 Avoided Costs'!$W$14:$W$47,('2027 Avoided Costs'!$B$14:$B$47&gt;=$B301+1)*('2027 Avoided Costs'!$B$14:$B$47&lt;$B301+ROUND($O301,0)))))+_xlfn.XLOOKUP($B301,'2027 Avoided Costs'!$B$13:$B$47,'2027 Avoided Costs'!$W$13:$W$47))*IF($AM301&gt;0,$AM301*(1+$W301),0),0)</f>
        <v>1069788.9870123391</v>
      </c>
      <c r="AX301" s="291" cm="1">
        <f t="array" ref="AX301">IFERROR((IF($O301=1,0,NPV('2027 Avoided Costs'!$D$6,_xlfn._xlws.FILTER('2027 Avoided Costs'!$AC$14:$AC$47,('2027 Avoided Costs'!$B$14:$B$47&gt;=$B301+1)*('2027 Avoided Costs'!$B$14:$B$47&lt;$B301+ROUND($O301,0)))))+_xlfn.XLOOKUP($B301,'2027 Avoided Costs'!$B$13:$B$47,'2027 Avoided Costs'!$AC$13:$AC$47))*IF($AO301&gt;0,$AO301*(1+$W301),0),0)</f>
        <v>0</v>
      </c>
      <c r="AY301" s="291" cm="1">
        <f t="array" ref="AY301">IFERROR((IF($O301=1,0,NPV('2027 Avoided Costs'!$D$4,_xlfn._xlws.FILTER('2027 Avoided Costs'!$I$14:$I$47,('2027 Avoided Costs'!$B$14:$B$47&gt;=$B301+1)*('2027 Avoided Costs'!$B$14:$B$47&lt;$B301+ROUND($O301,0)))))+_xlfn.XLOOKUP($B301,'2027 Avoided Costs'!$B$13:$B$47,'2027 Avoided Costs'!$I$13:$I$47))*IF($X301="Residential",'2027 Avoided Costs'!$J$5,IF($X301="Large Volume",'2027 Avoided Costs'!$J$7,'2027 Avoided Costs'!$J$6))*IF($AE301&gt;0,$AE301,0),0)</f>
        <v>0</v>
      </c>
      <c r="AZ301" s="291" cm="1">
        <f t="array" ref="AZ301">IFERROR(IF($J301="Baseload",IF($O301=1,0,NPV('2027 Avoided Costs'!$D$6,_xlfn._xlws.FILTER('2027 Avoided Costs'!$C$14:$C$47,('2027 Avoided Costs'!$B$14:$B$47&gt;=$B301+1)*('2027 Avoided Costs'!$B$14:$B$47&lt;$B301+ROUND($O301,0)))))+_xlfn.XLOOKUP($B301,'2027 Avoided Costs'!$B$13:$B$47,'2027 Avoided Costs'!$C$13:$C$47),IF($O301=1,0,NPV('2027 Avoided Costs'!$D$6,_xlfn._xlws.FILTER('2027 Avoided Costs'!$E$14:$E$47,('2027 Avoided Costs'!$B$14:$B$47&gt;=$B301+1)*('2027 Avoided Costs'!$B$14:$B$47&lt;$B301+ROUND($O301,0)))))+_xlfn.XLOOKUP($B301,'2027 Avoided Costs'!$B$13:$B$47,'2027 Avoided Costs'!$E$13:$E$47))*IF($AE301&lt;0,$AE301*(-1),0),0)</f>
        <v>0</v>
      </c>
      <c r="BA301" s="291" cm="1">
        <f t="array" ref="BA301">IFERROR((IF($O301=1,0,NPV('2027 Avoided Costs'!$D$6,_xlfn._xlws.FILTER('2027 Avoided Costs'!$M$14:$M$47,('2027 Avoided Costs'!$B$14:$B$47&gt;=$B301+1)*('2027 Avoided Costs'!$B$14:$B$47&lt;$B301+ROUND($O301,0)))))+_xlfn.XLOOKUP($B301,'2027 Avoided Costs'!$B$13:$B$47,'2027 Avoided Costs'!$M$13:$M$47))*IF($AK301&lt;0,$AK301*(-1),0),0)</f>
        <v>0</v>
      </c>
      <c r="BB301" s="291" cm="1">
        <f t="array" ref="BB301">IFERROR((IF($O301=1,0,NPV('2027 Avoided Costs'!$D$6,_xlfn._xlws.FILTER('2027 Avoided Costs'!$S$14:$S$47,('2027 Avoided Costs'!$B$14:$B$47&gt;=$B301+1)*('2027 Avoided Costs'!$B$14:$B$47&lt;$B301+ROUND($O301,0)))))+_xlfn.XLOOKUP($B301,'2027 Avoided Costs'!$B$13:$B$47,'2027 Avoided Costs'!$S$13:$S$47))*IF($AI301&lt;0,$AI301*(-1),0),0)</f>
        <v>0</v>
      </c>
      <c r="BC301" s="291" cm="1">
        <f t="array" ref="BC301">IFERROR((IF($O301=1,0,NPV('2027 Avoided Costs'!$D$6,_xlfn._xlws.FILTER('2027 Avoided Costs'!$Y$14:$Y$47,('2027 Avoided Costs'!$B$14:$B$47&gt;=$B301+1)*('2027 Avoided Costs'!$B$14:$B$47&lt;$B301+ROUND($O301,0)))))+_xlfn.XLOOKUP($B301,'2027 Avoided Costs'!$B$13:$B$47,'2027 Avoided Costs'!$Y$13:$Y$47))*IF($AM301&lt;0,$AM301*(-1),0),0)</f>
        <v>0</v>
      </c>
      <c r="BD301" s="291" cm="1">
        <f t="array" ref="BD301">IFERROR((IF($O301=1,0,NPV('2027 Avoided Costs'!$D$6,_xlfn._xlws.FILTER('2027 Avoided Costs'!$AE$14:$AE$47,('2027 Avoided Costs'!$B$14:$B$47&gt;=$B301+1)*('2027 Avoided Costs'!$B$14:$B$47&lt;$B301+ROUND($O301,0)))))+_xlfn.XLOOKUP($B301,'2027 Avoided Costs'!$B$13:$B$47,'2027 Avoided Costs'!$AE$13:$AE$47))*IF($AO301&lt;0,$AO301*(-1),0),0)</f>
        <v>0</v>
      </c>
      <c r="BE301" s="291" cm="1">
        <f t="array" ref="BE301">IFERROR((IF($O301=1,0,NPV('2027 Avoided Costs'!$D$4,_xlfn._xlws.FILTER('2027 Avoided Costs'!$I$14:$I$47,('2027 Avoided Costs'!$B$14:$B$47&gt;=$B301+1)*('2027 Avoided Costs'!$B$14:$B$47&lt;$B301+ROUND($O301,0)))))+_xlfn.XLOOKUP($B301,'2027 Avoided Costs'!$B$13:$B$47,'2027 Avoided Costs'!$I$13:$I$47))*IF($X301="Residential",'2027 Avoided Costs'!$J$5,IF($X301="Large Volume",'2027 Avoided Costs'!$J$7,'2027 Avoided Costs'!$J$6))*IF($AE301&lt;0,$AE301*(-1),0),0)</f>
        <v>0</v>
      </c>
      <c r="BF301" s="291">
        <f t="shared" si="111"/>
        <v>2940849.3193167439</v>
      </c>
      <c r="BG301" s="291">
        <f t="shared" si="112"/>
        <v>1017060</v>
      </c>
      <c r="BH301" s="291">
        <f t="shared" si="113"/>
        <v>1923789.3193167439</v>
      </c>
      <c r="BI301" s="292">
        <f t="shared" si="137"/>
        <v>2.8915199883160718</v>
      </c>
      <c r="BJ301" s="196" cm="1">
        <f t="array" ref="BJ301">IFERROR(IF($J301="Baseload",IF($O301=1,0,NPV('2027 Avoided Costs'!$D$6,_xlfn._xlws.FILTER('2027 Avoided Costs'!$C$14:$C$47,('2027 Avoided Costs'!$B$14:$B$47&gt;=$B301+1)*('2027 Avoided Costs'!$B$14:$B$47&lt;$B301+ROUND($O301,0)))))+_xlfn.XLOOKUP($B301,'2027 Avoided Costs'!$B$13:$B$47,'2027 Avoided Costs'!$C$13:$C$47),IF($O301=1,0,NPV('2027 Avoided Costs'!$D$6,_xlfn._xlws.FILTER('2027 Avoided Costs'!$E$14:$E$47,('2027 Avoided Costs'!$B$14:$B$47&gt;=$B301+1)*('2027 Avoided Costs'!$B$14:$B$47&lt;$B301+ROUND($O301,0)))))+_xlfn.XLOOKUP($B301,'2027 Avoided Costs'!$B$13:$B$47,'2027 Avoided Costs'!$E$13:$E$47))*IF($AE301&gt;0,$AE301*(1+0),0),0)</f>
        <v>1332593.4683590746</v>
      </c>
      <c r="BK301" s="293">
        <f t="shared" si="135"/>
        <v>1.2593625153564112</v>
      </c>
    </row>
    <row r="302" spans="1:63" s="56" customFormat="1" x14ac:dyDescent="0.25">
      <c r="A302" s="270" t="s">
        <v>206</v>
      </c>
      <c r="B302" s="271">
        <v>2029</v>
      </c>
      <c r="C302" s="272" t="s">
        <v>12</v>
      </c>
      <c r="D302" s="272" t="s">
        <v>22</v>
      </c>
      <c r="E302" s="272" t="s">
        <v>107</v>
      </c>
      <c r="F302" s="273">
        <v>3078</v>
      </c>
      <c r="G302" s="274">
        <v>22</v>
      </c>
      <c r="H302" s="275">
        <f t="shared" si="115"/>
        <v>1.2570432774536606</v>
      </c>
      <c r="I302" s="274">
        <v>0</v>
      </c>
      <c r="J302" s="276" t="s">
        <v>263</v>
      </c>
      <c r="K302" s="277">
        <f t="shared" si="114"/>
        <v>1</v>
      </c>
      <c r="L302" s="278">
        <v>0</v>
      </c>
      <c r="M302" s="278">
        <v>0</v>
      </c>
      <c r="N302" s="278">
        <v>0.83107190016103061</v>
      </c>
      <c r="O302" s="279">
        <v>12</v>
      </c>
      <c r="P302" s="280">
        <v>17.501386304347825</v>
      </c>
      <c r="Q302" s="281">
        <v>0</v>
      </c>
      <c r="R302" s="282">
        <v>0</v>
      </c>
      <c r="S302" s="282">
        <v>0</v>
      </c>
      <c r="T302" s="281">
        <v>4.6177685185185187</v>
      </c>
      <c r="U302" s="283">
        <v>0</v>
      </c>
      <c r="V302" s="284">
        <v>14.97</v>
      </c>
      <c r="W302" s="285">
        <v>0.15</v>
      </c>
      <c r="X302" s="286" t="s">
        <v>11</v>
      </c>
      <c r="Y302" s="287">
        <f t="shared" si="116"/>
        <v>3078</v>
      </c>
      <c r="Z302" s="288">
        <f t="shared" si="117"/>
        <v>67716</v>
      </c>
      <c r="AA302" s="288">
        <f t="shared" si="118"/>
        <v>0</v>
      </c>
      <c r="AB302" s="288">
        <f t="shared" si="119"/>
        <v>70451.7264</v>
      </c>
      <c r="AC302" s="288">
        <f t="shared" si="136"/>
        <v>0</v>
      </c>
      <c r="AD302" s="287">
        <f t="shared" si="120"/>
        <v>44769.234123189468</v>
      </c>
      <c r="AE302" s="287">
        <f t="shared" si="121"/>
        <v>44769.234123189468</v>
      </c>
      <c r="AF302" s="287">
        <f t="shared" si="122"/>
        <v>537230.80947827362</v>
      </c>
      <c r="AG302" s="287">
        <f t="shared" si="123"/>
        <v>537230.80947827362</v>
      </c>
      <c r="AH302" s="287">
        <f t="shared" si="124"/>
        <v>0</v>
      </c>
      <c r="AI302" s="287">
        <f t="shared" si="125"/>
        <v>0</v>
      </c>
      <c r="AJ302" s="287">
        <f t="shared" si="126"/>
        <v>11812.433388827658</v>
      </c>
      <c r="AK302" s="287">
        <f t="shared" si="127"/>
        <v>11812.433388827658</v>
      </c>
      <c r="AL302" s="287">
        <f t="shared" si="128"/>
        <v>0</v>
      </c>
      <c r="AM302" s="287">
        <f t="shared" si="129"/>
        <v>0</v>
      </c>
      <c r="AN302" s="287">
        <f t="shared" si="130"/>
        <v>0</v>
      </c>
      <c r="AO302" s="287">
        <f t="shared" si="131"/>
        <v>0</v>
      </c>
      <c r="AP302" s="287">
        <f t="shared" si="132"/>
        <v>46077.66</v>
      </c>
      <c r="AQ302" s="287">
        <f t="shared" si="133"/>
        <v>46077.66</v>
      </c>
      <c r="AR302" s="287">
        <f t="shared" si="134"/>
        <v>0</v>
      </c>
      <c r="AS302" s="289" t="e">
        <f>IF(J302='2027 Avoided Costs'!#REF!,3,5)</f>
        <v>#REF!</v>
      </c>
      <c r="AT302" s="290" cm="1">
        <f t="array" ref="AT302">IFERROR(IF($J302="Baseload",IF($O302=1,0,NPV('2027 Avoided Costs'!$D$6,_xlfn._xlws.FILTER('2027 Avoided Costs'!$C$14:$C$47,('2027 Avoided Costs'!$B$14:$B$47&gt;=$B302+1)*('2027 Avoided Costs'!$B$14:$B$47&lt;$B302+ROUND($O302,0)))))+_xlfn.XLOOKUP($B302,'2027 Avoided Costs'!$B$13:$B$47,'2027 Avoided Costs'!$C$13:$C$47),IF($O302=1,0,NPV('2027 Avoided Costs'!$D$6,_xlfn._xlws.FILTER('2027 Avoided Costs'!$E$14:$E$47,('2027 Avoided Costs'!$B$14:$B$47&gt;=$B302+1)*('2027 Avoided Costs'!$B$14:$B$47&lt;$B302+ROUND($O302,0)))))+_xlfn.XLOOKUP($B302,'2027 Avoided Costs'!$B$13:$B$47,'2027 Avoided Costs'!$E$13:$E$47))*IF($AE302&gt;0,$AE302*(1+$W302),0),0)</f>
        <v>141754.53283502773</v>
      </c>
      <c r="AU302" s="290" cm="1">
        <f t="array" ref="AU302">IFERROR((IF($O302=1,0,NPV('2027 Avoided Costs'!$D$6,_xlfn._xlws.FILTER('2027 Avoided Costs'!$M$14:$M$47,('2027 Avoided Costs'!$B$14:$B$47&gt;=$B302+1)*('2027 Avoided Costs'!$B$14:$B$47&lt;$B302+ROUND($O302,0)))))+_xlfn.XLOOKUP($B302,'2027 Avoided Costs'!$B$13:$B$47,'2027 Avoided Costs'!$M$13:$M$47))*IF($AK302&gt;0,$AK302*(1+$W302),0),0)</f>
        <v>148722.96779552064</v>
      </c>
      <c r="AV302" s="291" cm="1">
        <f t="array" ref="AV302">IFERROR((IF($O302=1,0,NPV('2027 Avoided Costs'!$D$6,_xlfn._xlws.FILTER('2027 Avoided Costs'!$Q$14:$Q$47,('2027 Avoided Costs'!$B$14:$B$47&gt;=$B302+1)*('2027 Avoided Costs'!$B$14:$B$47&lt;$B302+ROUND($O302,0)))))+_xlfn.XLOOKUP($B302,'2027 Avoided Costs'!$B$13:$B$47,'2027 Avoided Costs'!$Q$13:$Q$47))*IF($AI302&gt;0,$AI302*(1+$W302),0),0)</f>
        <v>0</v>
      </c>
      <c r="AW302" s="291" cm="1">
        <f t="array" ref="AW302">IFERROR((IF($O302=1,0,NPV('2027 Avoided Costs'!$D$6,_xlfn._xlws.FILTER('2027 Avoided Costs'!$W$14:$W$47,('2027 Avoided Costs'!$B$14:$B$47&gt;=$B302+1)*('2027 Avoided Costs'!$B$14:$B$47&lt;$B302+ROUND($O302,0)))))+_xlfn.XLOOKUP($B302,'2027 Avoided Costs'!$B$13:$B$47,'2027 Avoided Costs'!$W$13:$W$47))*IF($AM302&gt;0,$AM302*(1+$W302),0),0)</f>
        <v>0</v>
      </c>
      <c r="AX302" s="291" cm="1">
        <f t="array" ref="AX302">IFERROR((IF($O302=1,0,NPV('2027 Avoided Costs'!$D$6,_xlfn._xlws.FILTER('2027 Avoided Costs'!$AC$14:$AC$47,('2027 Avoided Costs'!$B$14:$B$47&gt;=$B302+1)*('2027 Avoided Costs'!$B$14:$B$47&lt;$B302+ROUND($O302,0)))))+_xlfn.XLOOKUP($B302,'2027 Avoided Costs'!$B$13:$B$47,'2027 Avoided Costs'!$AC$13:$AC$47))*IF($AO302&gt;0,$AO302*(1+$W302),0),0)</f>
        <v>0</v>
      </c>
      <c r="AY302" s="291" cm="1">
        <f t="array" ref="AY302">IFERROR((IF($O302=1,0,NPV('2027 Avoided Costs'!$D$4,_xlfn._xlws.FILTER('2027 Avoided Costs'!$I$14:$I$47,('2027 Avoided Costs'!$B$14:$B$47&gt;=$B302+1)*('2027 Avoided Costs'!$B$14:$B$47&lt;$B302+ROUND($O302,0)))))+_xlfn.XLOOKUP($B302,'2027 Avoided Costs'!$B$13:$B$47,'2027 Avoided Costs'!$I$13:$I$47))*IF($X302="Residential",'2027 Avoided Costs'!$J$5,IF($X302="Large Volume",'2027 Avoided Costs'!$J$7,'2027 Avoided Costs'!$J$6))*IF($AE302&gt;0,$AE302,0),0)</f>
        <v>0</v>
      </c>
      <c r="AZ302" s="291" cm="1">
        <f t="array" ref="AZ302">IFERROR(IF($J302="Baseload",IF($O302=1,0,NPV('2027 Avoided Costs'!$D$6,_xlfn._xlws.FILTER('2027 Avoided Costs'!$C$14:$C$47,('2027 Avoided Costs'!$B$14:$B$47&gt;=$B302+1)*('2027 Avoided Costs'!$B$14:$B$47&lt;$B302+ROUND($O302,0)))))+_xlfn.XLOOKUP($B302,'2027 Avoided Costs'!$B$13:$B$47,'2027 Avoided Costs'!$C$13:$C$47),IF($O302=1,0,NPV('2027 Avoided Costs'!$D$6,_xlfn._xlws.FILTER('2027 Avoided Costs'!$E$14:$E$47,('2027 Avoided Costs'!$B$14:$B$47&gt;=$B302+1)*('2027 Avoided Costs'!$B$14:$B$47&lt;$B302+ROUND($O302,0)))))+_xlfn.XLOOKUP($B302,'2027 Avoided Costs'!$B$13:$B$47,'2027 Avoided Costs'!$E$13:$E$47))*IF($AE302&lt;0,$AE302*(-1),0),0)</f>
        <v>0</v>
      </c>
      <c r="BA302" s="291" cm="1">
        <f t="array" ref="BA302">IFERROR((IF($O302=1,0,NPV('2027 Avoided Costs'!$D$6,_xlfn._xlws.FILTER('2027 Avoided Costs'!$M$14:$M$47,('2027 Avoided Costs'!$B$14:$B$47&gt;=$B302+1)*('2027 Avoided Costs'!$B$14:$B$47&lt;$B302+ROUND($O302,0)))))+_xlfn.XLOOKUP($B302,'2027 Avoided Costs'!$B$13:$B$47,'2027 Avoided Costs'!$M$13:$M$47))*IF($AK302&lt;0,$AK302*(-1),0),0)</f>
        <v>0</v>
      </c>
      <c r="BB302" s="291" cm="1">
        <f t="array" ref="BB302">IFERROR((IF($O302=1,0,NPV('2027 Avoided Costs'!$D$6,_xlfn._xlws.FILTER('2027 Avoided Costs'!$S$14:$S$47,('2027 Avoided Costs'!$B$14:$B$47&gt;=$B302+1)*('2027 Avoided Costs'!$B$14:$B$47&lt;$B302+ROUND($O302,0)))))+_xlfn.XLOOKUP($B302,'2027 Avoided Costs'!$B$13:$B$47,'2027 Avoided Costs'!$S$13:$S$47))*IF($AI302&lt;0,$AI302*(-1),0),0)</f>
        <v>0</v>
      </c>
      <c r="BC302" s="291" cm="1">
        <f t="array" ref="BC302">IFERROR((IF($O302=1,0,NPV('2027 Avoided Costs'!$D$6,_xlfn._xlws.FILTER('2027 Avoided Costs'!$Y$14:$Y$47,('2027 Avoided Costs'!$B$14:$B$47&gt;=$B302+1)*('2027 Avoided Costs'!$B$14:$B$47&lt;$B302+ROUND($O302,0)))))+_xlfn.XLOOKUP($B302,'2027 Avoided Costs'!$B$13:$B$47,'2027 Avoided Costs'!$Y$13:$Y$47))*IF($AM302&lt;0,$AM302*(-1),0),0)</f>
        <v>0</v>
      </c>
      <c r="BD302" s="291" cm="1">
        <f t="array" ref="BD302">IFERROR((IF($O302=1,0,NPV('2027 Avoided Costs'!$D$6,_xlfn._xlws.FILTER('2027 Avoided Costs'!$AE$14:$AE$47,('2027 Avoided Costs'!$B$14:$B$47&gt;=$B302+1)*('2027 Avoided Costs'!$B$14:$B$47&lt;$B302+ROUND($O302,0)))))+_xlfn.XLOOKUP($B302,'2027 Avoided Costs'!$B$13:$B$47,'2027 Avoided Costs'!$AE$13:$AE$47))*IF($AO302&lt;0,$AO302*(-1),0),0)</f>
        <v>0</v>
      </c>
      <c r="BE302" s="291" cm="1">
        <f t="array" ref="BE302">IFERROR((IF($O302=1,0,NPV('2027 Avoided Costs'!$D$4,_xlfn._xlws.FILTER('2027 Avoided Costs'!$I$14:$I$47,('2027 Avoided Costs'!$B$14:$B$47&gt;=$B302+1)*('2027 Avoided Costs'!$B$14:$B$47&lt;$B302+ROUND($O302,0)))))+_xlfn.XLOOKUP($B302,'2027 Avoided Costs'!$B$13:$B$47,'2027 Avoided Costs'!$I$13:$I$47))*IF($X302="Residential",'2027 Avoided Costs'!$J$5,IF($X302="Large Volume",'2027 Avoided Costs'!$J$7,'2027 Avoided Costs'!$J$6))*IF($AE302&lt;0,$AE302*(-1),0),0)</f>
        <v>0</v>
      </c>
      <c r="BF302" s="291">
        <f t="shared" si="111"/>
        <v>290477.50063054834</v>
      </c>
      <c r="BG302" s="291">
        <f t="shared" si="112"/>
        <v>46077.66</v>
      </c>
      <c r="BH302" s="291">
        <f t="shared" si="113"/>
        <v>244399.84063054834</v>
      </c>
      <c r="BI302" s="292">
        <f t="shared" si="137"/>
        <v>6.304085333989363</v>
      </c>
      <c r="BJ302" s="196" cm="1">
        <f t="array" ref="BJ302">IFERROR(IF($J302="Baseload",IF($O302=1,0,NPV('2027 Avoided Costs'!$D$6,_xlfn._xlws.FILTER('2027 Avoided Costs'!$C$14:$C$47,('2027 Avoided Costs'!$B$14:$B$47&gt;=$B302+1)*('2027 Avoided Costs'!$B$14:$B$47&lt;$B302+ROUND($O302,0)))))+_xlfn.XLOOKUP($B302,'2027 Avoided Costs'!$B$13:$B$47,'2027 Avoided Costs'!$C$13:$C$47),IF($O302=1,0,NPV('2027 Avoided Costs'!$D$6,_xlfn._xlws.FILTER('2027 Avoided Costs'!$E$14:$E$47,('2027 Avoided Costs'!$B$14:$B$47&gt;=$B302+1)*('2027 Avoided Costs'!$B$14:$B$47&lt;$B302+ROUND($O302,0)))))+_xlfn.XLOOKUP($B302,'2027 Avoided Costs'!$B$13:$B$47,'2027 Avoided Costs'!$E$13:$E$47))*IF($AE302&gt;0,$AE302*(1+0),0),0)</f>
        <v>123264.81116089369</v>
      </c>
      <c r="BK302" s="293">
        <f t="shared" si="135"/>
        <v>1.7496350687141387</v>
      </c>
    </row>
    <row r="303" spans="1:63" s="56" customFormat="1" x14ac:dyDescent="0.25">
      <c r="A303" s="270" t="s">
        <v>206</v>
      </c>
      <c r="B303" s="271">
        <v>2029</v>
      </c>
      <c r="C303" s="272" t="s">
        <v>12</v>
      </c>
      <c r="D303" s="272" t="s">
        <v>22</v>
      </c>
      <c r="E303" s="272" t="s">
        <v>108</v>
      </c>
      <c r="F303" s="273">
        <v>3800</v>
      </c>
      <c r="G303" s="274">
        <v>3535.0424999999991</v>
      </c>
      <c r="H303" s="275">
        <f t="shared" si="115"/>
        <v>6.6075560747663538</v>
      </c>
      <c r="I303" s="274">
        <v>160</v>
      </c>
      <c r="J303" s="276" t="s">
        <v>264</v>
      </c>
      <c r="K303" s="277">
        <f t="shared" si="114"/>
        <v>1</v>
      </c>
      <c r="L303" s="278">
        <v>0</v>
      </c>
      <c r="M303" s="278">
        <v>0</v>
      </c>
      <c r="N303" s="278">
        <v>1</v>
      </c>
      <c r="O303" s="279">
        <v>25</v>
      </c>
      <c r="P303" s="280">
        <v>535</v>
      </c>
      <c r="Q303" s="281">
        <v>0</v>
      </c>
      <c r="R303" s="282">
        <v>0</v>
      </c>
      <c r="S303" s="282">
        <v>0</v>
      </c>
      <c r="T303" s="281">
        <v>0</v>
      </c>
      <c r="U303" s="283">
        <v>0</v>
      </c>
      <c r="V303" s="284">
        <v>3535.0424999999991</v>
      </c>
      <c r="W303" s="285">
        <v>0.15</v>
      </c>
      <c r="X303" s="286" t="s">
        <v>11</v>
      </c>
      <c r="Y303" s="287">
        <f t="shared" si="116"/>
        <v>3800</v>
      </c>
      <c r="Z303" s="288">
        <f t="shared" si="117"/>
        <v>13433161.499999996</v>
      </c>
      <c r="AA303" s="288">
        <f t="shared" si="118"/>
        <v>608000</v>
      </c>
      <c r="AB303" s="288">
        <f t="shared" si="119"/>
        <v>13975861.224599997</v>
      </c>
      <c r="AC303" s="288">
        <f t="shared" si="136"/>
        <v>629095.07072000008</v>
      </c>
      <c r="AD303" s="287">
        <f t="shared" si="120"/>
        <v>2033000</v>
      </c>
      <c r="AE303" s="287">
        <f t="shared" si="121"/>
        <v>2033000</v>
      </c>
      <c r="AF303" s="287">
        <f t="shared" si="122"/>
        <v>50825000</v>
      </c>
      <c r="AG303" s="287">
        <f t="shared" si="123"/>
        <v>50825000</v>
      </c>
      <c r="AH303" s="287">
        <f t="shared" si="124"/>
        <v>0</v>
      </c>
      <c r="AI303" s="287">
        <f t="shared" si="125"/>
        <v>0</v>
      </c>
      <c r="AJ303" s="287">
        <f t="shared" si="126"/>
        <v>0</v>
      </c>
      <c r="AK303" s="287">
        <f t="shared" si="127"/>
        <v>0</v>
      </c>
      <c r="AL303" s="287">
        <f t="shared" si="128"/>
        <v>0</v>
      </c>
      <c r="AM303" s="287">
        <f t="shared" si="129"/>
        <v>0</v>
      </c>
      <c r="AN303" s="287">
        <f t="shared" si="130"/>
        <v>0</v>
      </c>
      <c r="AO303" s="287">
        <f t="shared" si="131"/>
        <v>0</v>
      </c>
      <c r="AP303" s="287">
        <f t="shared" si="132"/>
        <v>13433161.499999996</v>
      </c>
      <c r="AQ303" s="287">
        <f t="shared" si="133"/>
        <v>13433161.499999996</v>
      </c>
      <c r="AR303" s="287">
        <f t="shared" si="134"/>
        <v>0</v>
      </c>
      <c r="AS303" s="289" t="e">
        <f>IF(J303='2027 Avoided Costs'!#REF!,3,5)</f>
        <v>#REF!</v>
      </c>
      <c r="AT303" s="290" cm="1">
        <f t="array" ref="AT303">IFERROR(IF($J303="Baseload",IF($O303=1,0,NPV('2027 Avoided Costs'!$D$6,_xlfn._xlws.FILTER('2027 Avoided Costs'!$C$14:$C$47,('2027 Avoided Costs'!$B$14:$B$47&gt;=$B303+1)*('2027 Avoided Costs'!$B$14:$B$47&lt;$B303+ROUND($O303,0)))))+_xlfn.XLOOKUP($B303,'2027 Avoided Costs'!$B$13:$B$47,'2027 Avoided Costs'!$C$13:$C$47),IF($O303=1,0,NPV('2027 Avoided Costs'!$D$6,_xlfn._xlws.FILTER('2027 Avoided Costs'!$E$14:$E$47,('2027 Avoided Costs'!$B$14:$B$47&gt;=$B303+1)*('2027 Avoided Costs'!$B$14:$B$47&lt;$B303+ROUND($O303,0)))))+_xlfn.XLOOKUP($B303,'2027 Avoided Costs'!$B$13:$B$47,'2027 Avoided Costs'!$E$13:$E$47))*IF($AE303&gt;0,$AE303*(1+$W303),0),0)</f>
        <v>12735991.545202808</v>
      </c>
      <c r="AU303" s="290" cm="1">
        <f t="array" ref="AU303">IFERROR((IF($O303=1,0,NPV('2027 Avoided Costs'!$D$6,_xlfn._xlws.FILTER('2027 Avoided Costs'!$M$14:$M$47,('2027 Avoided Costs'!$B$14:$B$47&gt;=$B303+1)*('2027 Avoided Costs'!$B$14:$B$47&lt;$B303+ROUND($O303,0)))))+_xlfn.XLOOKUP($B303,'2027 Avoided Costs'!$B$13:$B$47,'2027 Avoided Costs'!$M$13:$M$47))*IF($AK303&gt;0,$AK303*(1+$W303),0),0)</f>
        <v>0</v>
      </c>
      <c r="AV303" s="291" cm="1">
        <f t="array" ref="AV303">IFERROR((IF($O303=1,0,NPV('2027 Avoided Costs'!$D$6,_xlfn._xlws.FILTER('2027 Avoided Costs'!$Q$14:$Q$47,('2027 Avoided Costs'!$B$14:$B$47&gt;=$B303+1)*('2027 Avoided Costs'!$B$14:$B$47&lt;$B303+ROUND($O303,0)))))+_xlfn.XLOOKUP($B303,'2027 Avoided Costs'!$B$13:$B$47,'2027 Avoided Costs'!$Q$13:$Q$47))*IF($AI303&gt;0,$AI303*(1+$W303),0),0)</f>
        <v>0</v>
      </c>
      <c r="AW303" s="291" cm="1">
        <f t="array" ref="AW303">IFERROR((IF($O303=1,0,NPV('2027 Avoided Costs'!$D$6,_xlfn._xlws.FILTER('2027 Avoided Costs'!$W$14:$W$47,('2027 Avoided Costs'!$B$14:$B$47&gt;=$B303+1)*('2027 Avoided Costs'!$B$14:$B$47&lt;$B303+ROUND($O303,0)))))+_xlfn.XLOOKUP($B303,'2027 Avoided Costs'!$B$13:$B$47,'2027 Avoided Costs'!$W$13:$W$47))*IF($AM303&gt;0,$AM303*(1+$W303),0),0)</f>
        <v>0</v>
      </c>
      <c r="AX303" s="291" cm="1">
        <f t="array" ref="AX303">IFERROR((IF($O303=1,0,NPV('2027 Avoided Costs'!$D$6,_xlfn._xlws.FILTER('2027 Avoided Costs'!$AC$14:$AC$47,('2027 Avoided Costs'!$B$14:$B$47&gt;=$B303+1)*('2027 Avoided Costs'!$B$14:$B$47&lt;$B303+ROUND($O303,0)))))+_xlfn.XLOOKUP($B303,'2027 Avoided Costs'!$B$13:$B$47,'2027 Avoided Costs'!$AC$13:$AC$47))*IF($AO303&gt;0,$AO303*(1+$W303),0),0)</f>
        <v>0</v>
      </c>
      <c r="AY303" s="291" cm="1">
        <f t="array" ref="AY303">IFERROR((IF($O303=1,0,NPV('2027 Avoided Costs'!$D$4,_xlfn._xlws.FILTER('2027 Avoided Costs'!$I$14:$I$47,('2027 Avoided Costs'!$B$14:$B$47&gt;=$B303+1)*('2027 Avoided Costs'!$B$14:$B$47&lt;$B303+ROUND($O303,0)))))+_xlfn.XLOOKUP($B303,'2027 Avoided Costs'!$B$13:$B$47,'2027 Avoided Costs'!$I$13:$I$47))*IF($X303="Residential",'2027 Avoided Costs'!$J$5,IF($X303="Large Volume",'2027 Avoided Costs'!$J$7,'2027 Avoided Costs'!$J$6))*IF($AE303&gt;0,$AE303,0),0)</f>
        <v>0</v>
      </c>
      <c r="AZ303" s="291" cm="1">
        <f t="array" ref="AZ303">IFERROR(IF($J303="Baseload",IF($O303=1,0,NPV('2027 Avoided Costs'!$D$6,_xlfn._xlws.FILTER('2027 Avoided Costs'!$C$14:$C$47,('2027 Avoided Costs'!$B$14:$B$47&gt;=$B303+1)*('2027 Avoided Costs'!$B$14:$B$47&lt;$B303+ROUND($O303,0)))))+_xlfn.XLOOKUP($B303,'2027 Avoided Costs'!$B$13:$B$47,'2027 Avoided Costs'!$C$13:$C$47),IF($O303=1,0,NPV('2027 Avoided Costs'!$D$6,_xlfn._xlws.FILTER('2027 Avoided Costs'!$E$14:$E$47,('2027 Avoided Costs'!$B$14:$B$47&gt;=$B303+1)*('2027 Avoided Costs'!$B$14:$B$47&lt;$B303+ROUND($O303,0)))))+_xlfn.XLOOKUP($B303,'2027 Avoided Costs'!$B$13:$B$47,'2027 Avoided Costs'!$E$13:$E$47))*IF($AE303&lt;0,$AE303*(-1),0),0)</f>
        <v>0</v>
      </c>
      <c r="BA303" s="291" cm="1">
        <f t="array" ref="BA303">IFERROR((IF($O303=1,0,NPV('2027 Avoided Costs'!$D$6,_xlfn._xlws.FILTER('2027 Avoided Costs'!$M$14:$M$47,('2027 Avoided Costs'!$B$14:$B$47&gt;=$B303+1)*('2027 Avoided Costs'!$B$14:$B$47&lt;$B303+ROUND($O303,0)))))+_xlfn.XLOOKUP($B303,'2027 Avoided Costs'!$B$13:$B$47,'2027 Avoided Costs'!$M$13:$M$47))*IF($AK303&lt;0,$AK303*(-1),0),0)</f>
        <v>0</v>
      </c>
      <c r="BB303" s="291" cm="1">
        <f t="array" ref="BB303">IFERROR((IF($O303=1,0,NPV('2027 Avoided Costs'!$D$6,_xlfn._xlws.FILTER('2027 Avoided Costs'!$S$14:$S$47,('2027 Avoided Costs'!$B$14:$B$47&gt;=$B303+1)*('2027 Avoided Costs'!$B$14:$B$47&lt;$B303+ROUND($O303,0)))))+_xlfn.XLOOKUP($B303,'2027 Avoided Costs'!$B$13:$B$47,'2027 Avoided Costs'!$S$13:$S$47))*IF($AI303&lt;0,$AI303*(-1),0),0)</f>
        <v>0</v>
      </c>
      <c r="BC303" s="291" cm="1">
        <f t="array" ref="BC303">IFERROR((IF($O303=1,0,NPV('2027 Avoided Costs'!$D$6,_xlfn._xlws.FILTER('2027 Avoided Costs'!$Y$14:$Y$47,('2027 Avoided Costs'!$B$14:$B$47&gt;=$B303+1)*('2027 Avoided Costs'!$B$14:$B$47&lt;$B303+ROUND($O303,0)))))+_xlfn.XLOOKUP($B303,'2027 Avoided Costs'!$B$13:$B$47,'2027 Avoided Costs'!$Y$13:$Y$47))*IF($AM303&lt;0,$AM303*(-1),0),0)</f>
        <v>0</v>
      </c>
      <c r="BD303" s="291" cm="1">
        <f t="array" ref="BD303">IFERROR((IF($O303=1,0,NPV('2027 Avoided Costs'!$D$6,_xlfn._xlws.FILTER('2027 Avoided Costs'!$AE$14:$AE$47,('2027 Avoided Costs'!$B$14:$B$47&gt;=$B303+1)*('2027 Avoided Costs'!$B$14:$B$47&lt;$B303+ROUND($O303,0)))))+_xlfn.XLOOKUP($B303,'2027 Avoided Costs'!$B$13:$B$47,'2027 Avoided Costs'!$AE$13:$AE$47))*IF($AO303&lt;0,$AO303*(-1),0),0)</f>
        <v>0</v>
      </c>
      <c r="BE303" s="291" cm="1">
        <f t="array" ref="BE303">IFERROR((IF($O303=1,0,NPV('2027 Avoided Costs'!$D$4,_xlfn._xlws.FILTER('2027 Avoided Costs'!$I$14:$I$47,('2027 Avoided Costs'!$B$14:$B$47&gt;=$B303+1)*('2027 Avoided Costs'!$B$14:$B$47&lt;$B303+ROUND($O303,0)))))+_xlfn.XLOOKUP($B303,'2027 Avoided Costs'!$B$13:$B$47,'2027 Avoided Costs'!$I$13:$I$47))*IF($X303="Residential",'2027 Avoided Costs'!$J$5,IF($X303="Large Volume",'2027 Avoided Costs'!$J$7,'2027 Avoided Costs'!$J$6))*IF($AE303&lt;0,$AE303*(-1),0),0)</f>
        <v>0</v>
      </c>
      <c r="BF303" s="291">
        <f t="shared" si="111"/>
        <v>12735991.545202808</v>
      </c>
      <c r="BG303" s="291">
        <f t="shared" si="112"/>
        <v>13433161.499999996</v>
      </c>
      <c r="BH303" s="291">
        <f t="shared" si="113"/>
        <v>-697169.95479718782</v>
      </c>
      <c r="BI303" s="292">
        <f t="shared" si="137"/>
        <v>0.94810082832718212</v>
      </c>
      <c r="BJ303" s="196" cm="1">
        <f t="array" ref="BJ303">IFERROR(IF($J303="Baseload",IF($O303=1,0,NPV('2027 Avoided Costs'!$D$6,_xlfn._xlws.FILTER('2027 Avoided Costs'!$C$14:$C$47,('2027 Avoided Costs'!$B$14:$B$47&gt;=$B303+1)*('2027 Avoided Costs'!$B$14:$B$47&lt;$B303+ROUND($O303,0)))))+_xlfn.XLOOKUP($B303,'2027 Avoided Costs'!$B$13:$B$47,'2027 Avoided Costs'!$C$13:$C$47),IF($O303=1,0,NPV('2027 Avoided Costs'!$D$6,_xlfn._xlws.FILTER('2027 Avoided Costs'!$E$14:$E$47,('2027 Avoided Costs'!$B$14:$B$47&gt;=$B303+1)*('2027 Avoided Costs'!$B$14:$B$47&lt;$B303+ROUND($O303,0)))))+_xlfn.XLOOKUP($B303,'2027 Avoided Costs'!$B$13:$B$47,'2027 Avoided Costs'!$E$13:$E$47))*IF($AE303&gt;0,$AE303*(1+0),0),0)</f>
        <v>11074775.256698094</v>
      </c>
      <c r="BK303" s="293">
        <f t="shared" si="135"/>
        <v>0.75828883241827216</v>
      </c>
    </row>
    <row r="304" spans="1:63" s="56" customFormat="1" x14ac:dyDescent="0.25">
      <c r="A304" s="270" t="s">
        <v>206</v>
      </c>
      <c r="B304" s="271">
        <v>2030</v>
      </c>
      <c r="C304" s="272" t="s">
        <v>12</v>
      </c>
      <c r="D304" s="272" t="s">
        <v>22</v>
      </c>
      <c r="E304" s="272" t="s">
        <v>106</v>
      </c>
      <c r="F304" s="273">
        <v>50</v>
      </c>
      <c r="G304" s="274">
        <v>508</v>
      </c>
      <c r="H304" s="275">
        <f t="shared" si="115"/>
        <v>3.5474860335195535</v>
      </c>
      <c r="I304" s="274">
        <v>0</v>
      </c>
      <c r="J304" s="276" t="s">
        <v>264</v>
      </c>
      <c r="K304" s="277">
        <f t="shared" si="114"/>
        <v>1</v>
      </c>
      <c r="L304" s="278">
        <v>0</v>
      </c>
      <c r="M304" s="278">
        <v>0</v>
      </c>
      <c r="N304" s="278">
        <v>1</v>
      </c>
      <c r="O304" s="279">
        <v>25</v>
      </c>
      <c r="P304" s="280">
        <v>143.19999999999999</v>
      </c>
      <c r="Q304" s="281">
        <v>0</v>
      </c>
      <c r="R304" s="282">
        <v>0</v>
      </c>
      <c r="S304" s="282">
        <v>0</v>
      </c>
      <c r="T304" s="281">
        <v>0</v>
      </c>
      <c r="U304" s="283">
        <v>0</v>
      </c>
      <c r="V304" s="284">
        <v>508</v>
      </c>
      <c r="W304" s="285">
        <v>0.15</v>
      </c>
      <c r="X304" s="286" t="s">
        <v>11</v>
      </c>
      <c r="Y304" s="287">
        <f t="shared" si="116"/>
        <v>50</v>
      </c>
      <c r="Z304" s="288">
        <f t="shared" si="117"/>
        <v>25400</v>
      </c>
      <c r="AA304" s="288">
        <f t="shared" si="118"/>
        <v>0</v>
      </c>
      <c r="AB304" s="288">
        <f t="shared" si="119"/>
        <v>26954.683199999999</v>
      </c>
      <c r="AC304" s="288">
        <f t="shared" si="136"/>
        <v>0</v>
      </c>
      <c r="AD304" s="287">
        <f t="shared" si="120"/>
        <v>7159.9999999999991</v>
      </c>
      <c r="AE304" s="287">
        <f t="shared" si="121"/>
        <v>7159.9999999999991</v>
      </c>
      <c r="AF304" s="287">
        <f t="shared" si="122"/>
        <v>178999.99999999997</v>
      </c>
      <c r="AG304" s="287">
        <f t="shared" si="123"/>
        <v>178999.99999999997</v>
      </c>
      <c r="AH304" s="287">
        <f t="shared" si="124"/>
        <v>0</v>
      </c>
      <c r="AI304" s="287">
        <f t="shared" si="125"/>
        <v>0</v>
      </c>
      <c r="AJ304" s="287">
        <f t="shared" si="126"/>
        <v>0</v>
      </c>
      <c r="AK304" s="287">
        <f t="shared" si="127"/>
        <v>0</v>
      </c>
      <c r="AL304" s="287">
        <f t="shared" si="128"/>
        <v>0</v>
      </c>
      <c r="AM304" s="287">
        <f t="shared" si="129"/>
        <v>0</v>
      </c>
      <c r="AN304" s="287">
        <f t="shared" si="130"/>
        <v>0</v>
      </c>
      <c r="AO304" s="287">
        <f t="shared" si="131"/>
        <v>0</v>
      </c>
      <c r="AP304" s="287">
        <f t="shared" si="132"/>
        <v>25400</v>
      </c>
      <c r="AQ304" s="287">
        <f t="shared" si="133"/>
        <v>25400</v>
      </c>
      <c r="AR304" s="287">
        <f t="shared" si="134"/>
        <v>0</v>
      </c>
      <c r="AS304" s="289" t="e">
        <f>IF(J304='2027 Avoided Costs'!#REF!,3,5)</f>
        <v>#REF!</v>
      </c>
      <c r="AT304" s="290" cm="1">
        <f t="array" ref="AT304">IFERROR(IF($J304="Baseload",IF($O304=1,0,NPV('2027 Avoided Costs'!$D$6,_xlfn._xlws.FILTER('2027 Avoided Costs'!$C$14:$C$47,('2027 Avoided Costs'!$B$14:$B$47&gt;=$B304+1)*('2027 Avoided Costs'!$B$14:$B$47&lt;$B304+ROUND($O304,0)))))+_xlfn.XLOOKUP($B304,'2027 Avoided Costs'!$B$13:$B$47,'2027 Avoided Costs'!$C$13:$C$47),IF($O304=1,0,NPV('2027 Avoided Costs'!$D$6,_xlfn._xlws.FILTER('2027 Avoided Costs'!$E$14:$E$47,('2027 Avoided Costs'!$B$14:$B$47&gt;=$B304+1)*('2027 Avoided Costs'!$B$14:$B$47&lt;$B304+ROUND($O304,0)))))+_xlfn.XLOOKUP($B304,'2027 Avoided Costs'!$B$13:$B$47,'2027 Avoided Costs'!$E$13:$E$47))*IF($AE304&gt;0,$AE304*(1+$W304),0),0)</f>
        <v>46309.626869260588</v>
      </c>
      <c r="AU304" s="290" cm="1">
        <f t="array" ref="AU304">IFERROR((IF($O304=1,0,NPV('2027 Avoided Costs'!$D$6,_xlfn._xlws.FILTER('2027 Avoided Costs'!$M$14:$M$47,('2027 Avoided Costs'!$B$14:$B$47&gt;=$B304+1)*('2027 Avoided Costs'!$B$14:$B$47&lt;$B304+ROUND($O304,0)))))+_xlfn.XLOOKUP($B304,'2027 Avoided Costs'!$B$13:$B$47,'2027 Avoided Costs'!$M$13:$M$47))*IF($AK304&gt;0,$AK304*(1+$W304),0),0)</f>
        <v>0</v>
      </c>
      <c r="AV304" s="291" cm="1">
        <f t="array" ref="AV304">IFERROR((IF($O304=1,0,NPV('2027 Avoided Costs'!$D$6,_xlfn._xlws.FILTER('2027 Avoided Costs'!$Q$14:$Q$47,('2027 Avoided Costs'!$B$14:$B$47&gt;=$B304+1)*('2027 Avoided Costs'!$B$14:$B$47&lt;$B304+ROUND($O304,0)))))+_xlfn.XLOOKUP($B304,'2027 Avoided Costs'!$B$13:$B$47,'2027 Avoided Costs'!$Q$13:$Q$47))*IF($AI304&gt;0,$AI304*(1+$W304),0),0)</f>
        <v>0</v>
      </c>
      <c r="AW304" s="291" cm="1">
        <f t="array" ref="AW304">IFERROR((IF($O304=1,0,NPV('2027 Avoided Costs'!$D$6,_xlfn._xlws.FILTER('2027 Avoided Costs'!$W$14:$W$47,('2027 Avoided Costs'!$B$14:$B$47&gt;=$B304+1)*('2027 Avoided Costs'!$B$14:$B$47&lt;$B304+ROUND($O304,0)))))+_xlfn.XLOOKUP($B304,'2027 Avoided Costs'!$B$13:$B$47,'2027 Avoided Costs'!$W$13:$W$47))*IF($AM304&gt;0,$AM304*(1+$W304),0),0)</f>
        <v>0</v>
      </c>
      <c r="AX304" s="291" cm="1">
        <f t="array" ref="AX304">IFERROR((IF($O304=1,0,NPV('2027 Avoided Costs'!$D$6,_xlfn._xlws.FILTER('2027 Avoided Costs'!$AC$14:$AC$47,('2027 Avoided Costs'!$B$14:$B$47&gt;=$B304+1)*('2027 Avoided Costs'!$B$14:$B$47&lt;$B304+ROUND($O304,0)))))+_xlfn.XLOOKUP($B304,'2027 Avoided Costs'!$B$13:$B$47,'2027 Avoided Costs'!$AC$13:$AC$47))*IF($AO304&gt;0,$AO304*(1+$W304),0),0)</f>
        <v>0</v>
      </c>
      <c r="AY304" s="291" cm="1">
        <f t="array" ref="AY304">IFERROR((IF($O304=1,0,NPV('2027 Avoided Costs'!$D$4,_xlfn._xlws.FILTER('2027 Avoided Costs'!$I$14:$I$47,('2027 Avoided Costs'!$B$14:$B$47&gt;=$B304+1)*('2027 Avoided Costs'!$B$14:$B$47&lt;$B304+ROUND($O304,0)))))+_xlfn.XLOOKUP($B304,'2027 Avoided Costs'!$B$13:$B$47,'2027 Avoided Costs'!$I$13:$I$47))*IF($X304="Residential",'2027 Avoided Costs'!$J$5,IF($X304="Large Volume",'2027 Avoided Costs'!$J$7,'2027 Avoided Costs'!$J$6))*IF($AE304&gt;0,$AE304,0),0)</f>
        <v>0</v>
      </c>
      <c r="AZ304" s="291" cm="1">
        <f t="array" ref="AZ304">IFERROR(IF($J304="Baseload",IF($O304=1,0,NPV('2027 Avoided Costs'!$D$6,_xlfn._xlws.FILTER('2027 Avoided Costs'!$C$14:$C$47,('2027 Avoided Costs'!$B$14:$B$47&gt;=$B304+1)*('2027 Avoided Costs'!$B$14:$B$47&lt;$B304+ROUND($O304,0)))))+_xlfn.XLOOKUP($B304,'2027 Avoided Costs'!$B$13:$B$47,'2027 Avoided Costs'!$C$13:$C$47),IF($O304=1,0,NPV('2027 Avoided Costs'!$D$6,_xlfn._xlws.FILTER('2027 Avoided Costs'!$E$14:$E$47,('2027 Avoided Costs'!$B$14:$B$47&gt;=$B304+1)*('2027 Avoided Costs'!$B$14:$B$47&lt;$B304+ROUND($O304,0)))))+_xlfn.XLOOKUP($B304,'2027 Avoided Costs'!$B$13:$B$47,'2027 Avoided Costs'!$E$13:$E$47))*IF($AE304&lt;0,$AE304*(-1),0),0)</f>
        <v>0</v>
      </c>
      <c r="BA304" s="291" cm="1">
        <f t="array" ref="BA304">IFERROR((IF($O304=1,0,NPV('2027 Avoided Costs'!$D$6,_xlfn._xlws.FILTER('2027 Avoided Costs'!$M$14:$M$47,('2027 Avoided Costs'!$B$14:$B$47&gt;=$B304+1)*('2027 Avoided Costs'!$B$14:$B$47&lt;$B304+ROUND($O304,0)))))+_xlfn.XLOOKUP($B304,'2027 Avoided Costs'!$B$13:$B$47,'2027 Avoided Costs'!$M$13:$M$47))*IF($AK304&lt;0,$AK304*(-1),0),0)</f>
        <v>0</v>
      </c>
      <c r="BB304" s="291" cm="1">
        <f t="array" ref="BB304">IFERROR((IF($O304=1,0,NPV('2027 Avoided Costs'!$D$6,_xlfn._xlws.FILTER('2027 Avoided Costs'!$S$14:$S$47,('2027 Avoided Costs'!$B$14:$B$47&gt;=$B304+1)*('2027 Avoided Costs'!$B$14:$B$47&lt;$B304+ROUND($O304,0)))))+_xlfn.XLOOKUP($B304,'2027 Avoided Costs'!$B$13:$B$47,'2027 Avoided Costs'!$S$13:$S$47))*IF($AI304&lt;0,$AI304*(-1),0),0)</f>
        <v>0</v>
      </c>
      <c r="BC304" s="291" cm="1">
        <f t="array" ref="BC304">IFERROR((IF($O304=1,0,NPV('2027 Avoided Costs'!$D$6,_xlfn._xlws.FILTER('2027 Avoided Costs'!$Y$14:$Y$47,('2027 Avoided Costs'!$B$14:$B$47&gt;=$B304+1)*('2027 Avoided Costs'!$B$14:$B$47&lt;$B304+ROUND($O304,0)))))+_xlfn.XLOOKUP($B304,'2027 Avoided Costs'!$B$13:$B$47,'2027 Avoided Costs'!$Y$13:$Y$47))*IF($AM304&lt;0,$AM304*(-1),0),0)</f>
        <v>0</v>
      </c>
      <c r="BD304" s="291" cm="1">
        <f t="array" ref="BD304">IFERROR((IF($O304=1,0,NPV('2027 Avoided Costs'!$D$6,_xlfn._xlws.FILTER('2027 Avoided Costs'!$AE$14:$AE$47,('2027 Avoided Costs'!$B$14:$B$47&gt;=$B304+1)*('2027 Avoided Costs'!$B$14:$B$47&lt;$B304+ROUND($O304,0)))))+_xlfn.XLOOKUP($B304,'2027 Avoided Costs'!$B$13:$B$47,'2027 Avoided Costs'!$AE$13:$AE$47))*IF($AO304&lt;0,$AO304*(-1),0),0)</f>
        <v>0</v>
      </c>
      <c r="BE304" s="291" cm="1">
        <f t="array" ref="BE304">IFERROR((IF($O304=1,0,NPV('2027 Avoided Costs'!$D$4,_xlfn._xlws.FILTER('2027 Avoided Costs'!$I$14:$I$47,('2027 Avoided Costs'!$B$14:$B$47&gt;=$B304+1)*('2027 Avoided Costs'!$B$14:$B$47&lt;$B304+ROUND($O304,0)))))+_xlfn.XLOOKUP($B304,'2027 Avoided Costs'!$B$13:$B$47,'2027 Avoided Costs'!$I$13:$I$47))*IF($X304="Residential",'2027 Avoided Costs'!$J$5,IF($X304="Large Volume",'2027 Avoided Costs'!$J$7,'2027 Avoided Costs'!$J$6))*IF($AE304&lt;0,$AE304*(-1),0),0)</f>
        <v>0</v>
      </c>
      <c r="BF304" s="291">
        <f t="shared" si="111"/>
        <v>46309.626869260588</v>
      </c>
      <c r="BG304" s="291">
        <f t="shared" si="112"/>
        <v>25400</v>
      </c>
      <c r="BH304" s="291">
        <f t="shared" si="113"/>
        <v>20909.626869260588</v>
      </c>
      <c r="BI304" s="292">
        <f t="shared" si="137"/>
        <v>1.8232136562701018</v>
      </c>
      <c r="BJ304" s="196" cm="1">
        <f t="array" ref="BJ304">IFERROR(IF($J304="Baseload",IF($O304=1,0,NPV('2027 Avoided Costs'!$D$6,_xlfn._xlws.FILTER('2027 Avoided Costs'!$C$14:$C$47,('2027 Avoided Costs'!$B$14:$B$47&gt;=$B304+1)*('2027 Avoided Costs'!$B$14:$B$47&lt;$B304+ROUND($O304,0)))))+_xlfn.XLOOKUP($B304,'2027 Avoided Costs'!$B$13:$B$47,'2027 Avoided Costs'!$C$13:$C$47),IF($O304=1,0,NPV('2027 Avoided Costs'!$D$6,_xlfn._xlws.FILTER('2027 Avoided Costs'!$E$14:$E$47,('2027 Avoided Costs'!$B$14:$B$47&gt;=$B304+1)*('2027 Avoided Costs'!$B$14:$B$47&lt;$B304+ROUND($O304,0)))))+_xlfn.XLOOKUP($B304,'2027 Avoided Costs'!$B$13:$B$47,'2027 Avoided Costs'!$E$13:$E$47))*IF($AE304&gt;0,$AE304*(1+0),0),0)</f>
        <v>40269.240755878775</v>
      </c>
      <c r="BK304" s="293">
        <f t="shared" si="135"/>
        <v>1.493960825177822</v>
      </c>
    </row>
    <row r="305" spans="1:63" s="56" customFormat="1" x14ac:dyDescent="0.25">
      <c r="A305" s="270" t="s">
        <v>206</v>
      </c>
      <c r="B305" s="271">
        <v>2030</v>
      </c>
      <c r="C305" s="272" t="s">
        <v>12</v>
      </c>
      <c r="D305" s="272" t="s">
        <v>22</v>
      </c>
      <c r="E305" s="272" t="s">
        <v>278</v>
      </c>
      <c r="F305" s="273">
        <v>3729</v>
      </c>
      <c r="G305" s="274">
        <v>330</v>
      </c>
      <c r="H305" s="275">
        <f t="shared" si="115"/>
        <v>2.0245398773006134</v>
      </c>
      <c r="I305" s="274">
        <v>0</v>
      </c>
      <c r="J305" s="276" t="s">
        <v>264</v>
      </c>
      <c r="K305" s="277">
        <f t="shared" si="114"/>
        <v>1</v>
      </c>
      <c r="L305" s="278">
        <v>0</v>
      </c>
      <c r="M305" s="278">
        <v>0</v>
      </c>
      <c r="N305" s="278">
        <v>1</v>
      </c>
      <c r="O305" s="279">
        <v>10</v>
      </c>
      <c r="P305" s="280">
        <v>163</v>
      </c>
      <c r="Q305" s="281">
        <v>217</v>
      </c>
      <c r="R305" s="282">
        <v>9.9299200000000004E-2</v>
      </c>
      <c r="S305" s="282">
        <v>2.8118742131312473E-2</v>
      </c>
      <c r="T305" s="281">
        <v>0</v>
      </c>
      <c r="U305" s="283">
        <v>0</v>
      </c>
      <c r="V305" s="284">
        <v>330</v>
      </c>
      <c r="W305" s="285">
        <v>0.15</v>
      </c>
      <c r="X305" s="286" t="s">
        <v>11</v>
      </c>
      <c r="Y305" s="287">
        <f t="shared" si="116"/>
        <v>3729</v>
      </c>
      <c r="Z305" s="288">
        <f t="shared" si="117"/>
        <v>1230570</v>
      </c>
      <c r="AA305" s="288">
        <f t="shared" si="118"/>
        <v>0</v>
      </c>
      <c r="AB305" s="288">
        <f t="shared" si="119"/>
        <v>1305890.72856</v>
      </c>
      <c r="AC305" s="288">
        <f t="shared" si="136"/>
        <v>0</v>
      </c>
      <c r="AD305" s="287">
        <f t="shared" si="120"/>
        <v>607827</v>
      </c>
      <c r="AE305" s="287">
        <f t="shared" si="121"/>
        <v>607827</v>
      </c>
      <c r="AF305" s="287">
        <f t="shared" si="122"/>
        <v>6078270</v>
      </c>
      <c r="AG305" s="287">
        <f t="shared" si="123"/>
        <v>6078270</v>
      </c>
      <c r="AH305" s="287">
        <f t="shared" si="124"/>
        <v>867454.89600000007</v>
      </c>
      <c r="AI305" s="287">
        <f t="shared" si="125"/>
        <v>867454.89600000007</v>
      </c>
      <c r="AJ305" s="287">
        <f t="shared" si="126"/>
        <v>0</v>
      </c>
      <c r="AK305" s="287">
        <f t="shared" si="127"/>
        <v>0</v>
      </c>
      <c r="AL305" s="287">
        <f t="shared" si="128"/>
        <v>396.94736040960004</v>
      </c>
      <c r="AM305" s="287">
        <f t="shared" si="129"/>
        <v>396.94736040960004</v>
      </c>
      <c r="AN305" s="287">
        <f t="shared" si="130"/>
        <v>112.40433424501605</v>
      </c>
      <c r="AO305" s="287">
        <f t="shared" si="131"/>
        <v>112.40433424501605</v>
      </c>
      <c r="AP305" s="287">
        <f t="shared" si="132"/>
        <v>1230570</v>
      </c>
      <c r="AQ305" s="287">
        <f t="shared" si="133"/>
        <v>1230570</v>
      </c>
      <c r="AR305" s="287">
        <f t="shared" si="134"/>
        <v>0</v>
      </c>
      <c r="AS305" s="289" t="e">
        <f>IF(J305='2027 Avoided Costs'!#REF!,3,5)</f>
        <v>#REF!</v>
      </c>
      <c r="AT305" s="290" cm="1">
        <f t="array" ref="AT305">IFERROR(IF($J305="Baseload",IF($O305=1,0,NPV('2027 Avoided Costs'!$D$6,_xlfn._xlws.FILTER('2027 Avoided Costs'!$C$14:$C$47,('2027 Avoided Costs'!$B$14:$B$47&gt;=$B305+1)*('2027 Avoided Costs'!$B$14:$B$47&lt;$B305+ROUND($O305,0)))))+_xlfn.XLOOKUP($B305,'2027 Avoided Costs'!$B$13:$B$47,'2027 Avoided Costs'!$C$13:$C$47),IF($O305=1,0,NPV('2027 Avoided Costs'!$D$6,_xlfn._xlws.FILTER('2027 Avoided Costs'!$E$14:$E$47,('2027 Avoided Costs'!$B$14:$B$47&gt;=$B305+1)*('2027 Avoided Costs'!$B$14:$B$47&lt;$B305+ROUND($O305,0)))))+_xlfn.XLOOKUP($B305,'2027 Avoided Costs'!$B$13:$B$47,'2027 Avoided Costs'!$E$13:$E$47))*IF($AE305&gt;0,$AE305*(1+$W305),0),0)</f>
        <v>1910510.1121644832</v>
      </c>
      <c r="AU305" s="290" cm="1">
        <f t="array" ref="AU305">IFERROR((IF($O305=1,0,NPV('2027 Avoided Costs'!$D$6,_xlfn._xlws.FILTER('2027 Avoided Costs'!$M$14:$M$47,('2027 Avoided Costs'!$B$14:$B$47&gt;=$B305+1)*('2027 Avoided Costs'!$B$14:$B$47&lt;$B305+ROUND($O305,0)))))+_xlfn.XLOOKUP($B305,'2027 Avoided Costs'!$B$13:$B$47,'2027 Avoided Costs'!$M$13:$M$47))*IF($AK305&gt;0,$AK305*(1+$W305),0),0)</f>
        <v>0</v>
      </c>
      <c r="AV305" s="291" cm="1">
        <f t="array" ref="AV305">IFERROR((IF($O305=1,0,NPV('2027 Avoided Costs'!$D$6,_xlfn._xlws.FILTER('2027 Avoided Costs'!$Q$14:$Q$47,('2027 Avoided Costs'!$B$14:$B$47&gt;=$B305+1)*('2027 Avoided Costs'!$B$14:$B$47&lt;$B305+ROUND($O305,0)))))+_xlfn.XLOOKUP($B305,'2027 Avoided Costs'!$B$13:$B$47,'2027 Avoided Costs'!$Q$13:$Q$47))*IF($AI305&gt;0,$AI305*(1+$W305),0),0)</f>
        <v>392682.93392634566</v>
      </c>
      <c r="AW305" s="291" cm="1">
        <f t="array" ref="AW305">IFERROR((IF($O305=1,0,NPV('2027 Avoided Costs'!$D$6,_xlfn._xlws.FILTER('2027 Avoided Costs'!$W$14:$W$47,('2027 Avoided Costs'!$B$14:$B$47&gt;=$B305+1)*('2027 Avoided Costs'!$B$14:$B$47&lt;$B305+ROUND($O305,0)))))+_xlfn.XLOOKUP($B305,'2027 Avoided Costs'!$B$13:$B$47,'2027 Avoided Costs'!$W$13:$W$47))*IF($AM305&gt;0,$AM305*(1+$W305),0),0)</f>
        <v>1245483.089204056</v>
      </c>
      <c r="AX305" s="291" cm="1">
        <f t="array" ref="AX305">IFERROR((IF($O305=1,0,NPV('2027 Avoided Costs'!$D$6,_xlfn._xlws.FILTER('2027 Avoided Costs'!$AC$14:$AC$47,('2027 Avoided Costs'!$B$14:$B$47&gt;=$B305+1)*('2027 Avoided Costs'!$B$14:$B$47&lt;$B305+ROUND($O305,0)))))+_xlfn.XLOOKUP($B305,'2027 Avoided Costs'!$B$13:$B$47,'2027 Avoided Costs'!$AC$13:$AC$47))*IF($AO305&gt;0,$AO305*(1+$W305),0),0)</f>
        <v>32762.705633035035</v>
      </c>
      <c r="AY305" s="291" cm="1">
        <f t="array" ref="AY305">IFERROR((IF($O305=1,0,NPV('2027 Avoided Costs'!$D$4,_xlfn._xlws.FILTER('2027 Avoided Costs'!$I$14:$I$47,('2027 Avoided Costs'!$B$14:$B$47&gt;=$B305+1)*('2027 Avoided Costs'!$B$14:$B$47&lt;$B305+ROUND($O305,0)))))+_xlfn.XLOOKUP($B305,'2027 Avoided Costs'!$B$13:$B$47,'2027 Avoided Costs'!$I$13:$I$47))*IF($X305="Residential",'2027 Avoided Costs'!$J$5,IF($X305="Large Volume",'2027 Avoided Costs'!$J$7,'2027 Avoided Costs'!$J$6))*IF($AE305&gt;0,$AE305,0),0)</f>
        <v>0</v>
      </c>
      <c r="AZ305" s="291" cm="1">
        <f t="array" ref="AZ305">IFERROR(IF($J305="Baseload",IF($O305=1,0,NPV('2027 Avoided Costs'!$D$6,_xlfn._xlws.FILTER('2027 Avoided Costs'!$C$14:$C$47,('2027 Avoided Costs'!$B$14:$B$47&gt;=$B305+1)*('2027 Avoided Costs'!$B$14:$B$47&lt;$B305+ROUND($O305,0)))))+_xlfn.XLOOKUP($B305,'2027 Avoided Costs'!$B$13:$B$47,'2027 Avoided Costs'!$C$13:$C$47),IF($O305=1,0,NPV('2027 Avoided Costs'!$D$6,_xlfn._xlws.FILTER('2027 Avoided Costs'!$E$14:$E$47,('2027 Avoided Costs'!$B$14:$B$47&gt;=$B305+1)*('2027 Avoided Costs'!$B$14:$B$47&lt;$B305+ROUND($O305,0)))))+_xlfn.XLOOKUP($B305,'2027 Avoided Costs'!$B$13:$B$47,'2027 Avoided Costs'!$E$13:$E$47))*IF($AE305&lt;0,$AE305*(-1),0),0)</f>
        <v>0</v>
      </c>
      <c r="BA305" s="291" cm="1">
        <f t="array" ref="BA305">IFERROR((IF($O305=1,0,NPV('2027 Avoided Costs'!$D$6,_xlfn._xlws.FILTER('2027 Avoided Costs'!$M$14:$M$47,('2027 Avoided Costs'!$B$14:$B$47&gt;=$B305+1)*('2027 Avoided Costs'!$B$14:$B$47&lt;$B305+ROUND($O305,0)))))+_xlfn.XLOOKUP($B305,'2027 Avoided Costs'!$B$13:$B$47,'2027 Avoided Costs'!$M$13:$M$47))*IF($AK305&lt;0,$AK305*(-1),0),0)</f>
        <v>0</v>
      </c>
      <c r="BB305" s="291" cm="1">
        <f t="array" ref="BB305">IFERROR((IF($O305=1,0,NPV('2027 Avoided Costs'!$D$6,_xlfn._xlws.FILTER('2027 Avoided Costs'!$S$14:$S$47,('2027 Avoided Costs'!$B$14:$B$47&gt;=$B305+1)*('2027 Avoided Costs'!$B$14:$B$47&lt;$B305+ROUND($O305,0)))))+_xlfn.XLOOKUP($B305,'2027 Avoided Costs'!$B$13:$B$47,'2027 Avoided Costs'!$S$13:$S$47))*IF($AI305&lt;0,$AI305*(-1),0),0)</f>
        <v>0</v>
      </c>
      <c r="BC305" s="291" cm="1">
        <f t="array" ref="BC305">IFERROR((IF($O305=1,0,NPV('2027 Avoided Costs'!$D$6,_xlfn._xlws.FILTER('2027 Avoided Costs'!$Y$14:$Y$47,('2027 Avoided Costs'!$B$14:$B$47&gt;=$B305+1)*('2027 Avoided Costs'!$B$14:$B$47&lt;$B305+ROUND($O305,0)))))+_xlfn.XLOOKUP($B305,'2027 Avoided Costs'!$B$13:$B$47,'2027 Avoided Costs'!$Y$13:$Y$47))*IF($AM305&lt;0,$AM305*(-1),0),0)</f>
        <v>0</v>
      </c>
      <c r="BD305" s="291" cm="1">
        <f t="array" ref="BD305">IFERROR((IF($O305=1,0,NPV('2027 Avoided Costs'!$D$6,_xlfn._xlws.FILTER('2027 Avoided Costs'!$AE$14:$AE$47,('2027 Avoided Costs'!$B$14:$B$47&gt;=$B305+1)*('2027 Avoided Costs'!$B$14:$B$47&lt;$B305+ROUND($O305,0)))))+_xlfn.XLOOKUP($B305,'2027 Avoided Costs'!$B$13:$B$47,'2027 Avoided Costs'!$AE$13:$AE$47))*IF($AO305&lt;0,$AO305*(-1),0),0)</f>
        <v>0</v>
      </c>
      <c r="BE305" s="291" cm="1">
        <f t="array" ref="BE305">IFERROR((IF($O305=1,0,NPV('2027 Avoided Costs'!$D$4,_xlfn._xlws.FILTER('2027 Avoided Costs'!$I$14:$I$47,('2027 Avoided Costs'!$B$14:$B$47&gt;=$B305+1)*('2027 Avoided Costs'!$B$14:$B$47&lt;$B305+ROUND($O305,0)))))+_xlfn.XLOOKUP($B305,'2027 Avoided Costs'!$B$13:$B$47,'2027 Avoided Costs'!$I$13:$I$47))*IF($X305="Residential",'2027 Avoided Costs'!$J$5,IF($X305="Large Volume",'2027 Avoided Costs'!$J$7,'2027 Avoided Costs'!$J$6))*IF($AE305&lt;0,$AE305*(-1),0),0)</f>
        <v>0</v>
      </c>
      <c r="BF305" s="291">
        <f t="shared" si="111"/>
        <v>3581438.8409279194</v>
      </c>
      <c r="BG305" s="291">
        <f t="shared" si="112"/>
        <v>1230570</v>
      </c>
      <c r="BH305" s="291">
        <f t="shared" si="113"/>
        <v>2350868.8409279194</v>
      </c>
      <c r="BI305" s="292">
        <f t="shared" si="137"/>
        <v>2.910390177663944</v>
      </c>
      <c r="BJ305" s="196" cm="1">
        <f t="array" ref="BJ305">IFERROR(IF($J305="Baseload",IF($O305=1,0,NPV('2027 Avoided Costs'!$D$6,_xlfn._xlws.FILTER('2027 Avoided Costs'!$C$14:$C$47,('2027 Avoided Costs'!$B$14:$B$47&gt;=$B305+1)*('2027 Avoided Costs'!$B$14:$B$47&lt;$B305+ROUND($O305,0)))))+_xlfn.XLOOKUP($B305,'2027 Avoided Costs'!$B$13:$B$47,'2027 Avoided Costs'!$C$13:$C$47),IF($O305=1,0,NPV('2027 Avoided Costs'!$D$6,_xlfn._xlws.FILTER('2027 Avoided Costs'!$E$14:$E$47,('2027 Avoided Costs'!$B$14:$B$47&gt;=$B305+1)*('2027 Avoided Costs'!$B$14:$B$47&lt;$B305+ROUND($O305,0)))))+_xlfn.XLOOKUP($B305,'2027 Avoided Costs'!$B$13:$B$47,'2027 Avoided Costs'!$E$13:$E$47))*IF($AE305&gt;0,$AE305*(1+0),0),0)</f>
        <v>1661313.1410125943</v>
      </c>
      <c r="BK305" s="293">
        <f t="shared" si="135"/>
        <v>1.2721685702175993</v>
      </c>
    </row>
    <row r="306" spans="1:63" s="56" customFormat="1" x14ac:dyDescent="0.25">
      <c r="A306" s="270" t="s">
        <v>206</v>
      </c>
      <c r="B306" s="271">
        <v>2030</v>
      </c>
      <c r="C306" s="272" t="s">
        <v>12</v>
      </c>
      <c r="D306" s="272" t="s">
        <v>22</v>
      </c>
      <c r="E306" s="272" t="s">
        <v>107</v>
      </c>
      <c r="F306" s="273">
        <v>3240</v>
      </c>
      <c r="G306" s="274">
        <v>22</v>
      </c>
      <c r="H306" s="275">
        <f t="shared" si="115"/>
        <v>1.2570432774536606</v>
      </c>
      <c r="I306" s="274">
        <v>0</v>
      </c>
      <c r="J306" s="276" t="s">
        <v>263</v>
      </c>
      <c r="K306" s="277">
        <f t="shared" si="114"/>
        <v>1</v>
      </c>
      <c r="L306" s="278">
        <v>0</v>
      </c>
      <c r="M306" s="278">
        <v>0</v>
      </c>
      <c r="N306" s="278">
        <v>0.83107190016103061</v>
      </c>
      <c r="O306" s="279">
        <v>12</v>
      </c>
      <c r="P306" s="280">
        <v>17.501386304347825</v>
      </c>
      <c r="Q306" s="281">
        <v>0</v>
      </c>
      <c r="R306" s="282">
        <v>0</v>
      </c>
      <c r="S306" s="282">
        <v>0</v>
      </c>
      <c r="T306" s="281">
        <v>4.6177685185185187</v>
      </c>
      <c r="U306" s="283">
        <v>0</v>
      </c>
      <c r="V306" s="284">
        <v>14.97</v>
      </c>
      <c r="W306" s="285">
        <v>0.15</v>
      </c>
      <c r="X306" s="286" t="s">
        <v>11</v>
      </c>
      <c r="Y306" s="287">
        <f t="shared" si="116"/>
        <v>3240</v>
      </c>
      <c r="Z306" s="288">
        <f t="shared" si="117"/>
        <v>71280</v>
      </c>
      <c r="AA306" s="288">
        <f t="shared" si="118"/>
        <v>0</v>
      </c>
      <c r="AB306" s="288">
        <f t="shared" si="119"/>
        <v>75642.906239999997</v>
      </c>
      <c r="AC306" s="288">
        <f t="shared" si="136"/>
        <v>0</v>
      </c>
      <c r="AD306" s="287">
        <f t="shared" si="120"/>
        <v>47125.509603357328</v>
      </c>
      <c r="AE306" s="287">
        <f t="shared" si="121"/>
        <v>47125.509603357328</v>
      </c>
      <c r="AF306" s="287">
        <f t="shared" si="122"/>
        <v>565506.11524028797</v>
      </c>
      <c r="AG306" s="287">
        <f t="shared" si="123"/>
        <v>565506.11524028797</v>
      </c>
      <c r="AH306" s="287">
        <f t="shared" si="124"/>
        <v>0</v>
      </c>
      <c r="AI306" s="287">
        <f t="shared" si="125"/>
        <v>0</v>
      </c>
      <c r="AJ306" s="287">
        <f t="shared" si="126"/>
        <v>12434.140409292271</v>
      </c>
      <c r="AK306" s="287">
        <f t="shared" si="127"/>
        <v>12434.140409292271</v>
      </c>
      <c r="AL306" s="287">
        <f t="shared" si="128"/>
        <v>0</v>
      </c>
      <c r="AM306" s="287">
        <f t="shared" si="129"/>
        <v>0</v>
      </c>
      <c r="AN306" s="287">
        <f t="shared" si="130"/>
        <v>0</v>
      </c>
      <c r="AO306" s="287">
        <f t="shared" si="131"/>
        <v>0</v>
      </c>
      <c r="AP306" s="287">
        <f t="shared" si="132"/>
        <v>48502.8</v>
      </c>
      <c r="AQ306" s="287">
        <f t="shared" si="133"/>
        <v>48502.8</v>
      </c>
      <c r="AR306" s="287">
        <f t="shared" si="134"/>
        <v>0</v>
      </c>
      <c r="AS306" s="289" t="e">
        <f>IF(J306='2027 Avoided Costs'!#REF!,3,5)</f>
        <v>#REF!</v>
      </c>
      <c r="AT306" s="290" cm="1">
        <f t="array" ref="AT306">IFERROR(IF($J306="Baseload",IF($O306=1,0,NPV('2027 Avoided Costs'!$D$6,_xlfn._xlws.FILTER('2027 Avoided Costs'!$C$14:$C$47,('2027 Avoided Costs'!$B$14:$B$47&gt;=$B306+1)*('2027 Avoided Costs'!$B$14:$B$47&lt;$B306+ROUND($O306,0)))))+_xlfn.XLOOKUP($B306,'2027 Avoided Costs'!$B$13:$B$47,'2027 Avoided Costs'!$C$13:$C$47),IF($O306=1,0,NPV('2027 Avoided Costs'!$D$6,_xlfn._xlws.FILTER('2027 Avoided Costs'!$E$14:$E$47,('2027 Avoided Costs'!$B$14:$B$47&gt;=$B306+1)*('2027 Avoided Costs'!$B$14:$B$47&lt;$B306+ROUND($O306,0)))))+_xlfn.XLOOKUP($B306,'2027 Avoided Costs'!$B$13:$B$47,'2027 Avoided Costs'!$E$13:$E$47))*IF($AE306&gt;0,$AE306*(1+$W306),0),0)</f>
        <v>154008.33803346497</v>
      </c>
      <c r="AU306" s="290" cm="1">
        <f t="array" ref="AU306">IFERROR((IF($O306=1,0,NPV('2027 Avoided Costs'!$D$6,_xlfn._xlws.FILTER('2027 Avoided Costs'!$M$14:$M$47,('2027 Avoided Costs'!$B$14:$B$47&gt;=$B306+1)*('2027 Avoided Costs'!$B$14:$B$47&lt;$B306+ROUND($O306,0)))))+_xlfn.XLOOKUP($B306,'2027 Avoided Costs'!$B$13:$B$47,'2027 Avoided Costs'!$M$13:$M$47))*IF($AK306&gt;0,$AK306*(1+$W306),0),0)</f>
        <v>159681.50226466422</v>
      </c>
      <c r="AV306" s="291" cm="1">
        <f t="array" ref="AV306">IFERROR((IF($O306=1,0,NPV('2027 Avoided Costs'!$D$6,_xlfn._xlws.FILTER('2027 Avoided Costs'!$Q$14:$Q$47,('2027 Avoided Costs'!$B$14:$B$47&gt;=$B306+1)*('2027 Avoided Costs'!$B$14:$B$47&lt;$B306+ROUND($O306,0)))))+_xlfn.XLOOKUP($B306,'2027 Avoided Costs'!$B$13:$B$47,'2027 Avoided Costs'!$Q$13:$Q$47))*IF($AI306&gt;0,$AI306*(1+$W306),0),0)</f>
        <v>0</v>
      </c>
      <c r="AW306" s="291" cm="1">
        <f t="array" ref="AW306">IFERROR((IF($O306=1,0,NPV('2027 Avoided Costs'!$D$6,_xlfn._xlws.FILTER('2027 Avoided Costs'!$W$14:$W$47,('2027 Avoided Costs'!$B$14:$B$47&gt;=$B306+1)*('2027 Avoided Costs'!$B$14:$B$47&lt;$B306+ROUND($O306,0)))))+_xlfn.XLOOKUP($B306,'2027 Avoided Costs'!$B$13:$B$47,'2027 Avoided Costs'!$W$13:$W$47))*IF($AM306&gt;0,$AM306*(1+$W306),0),0)</f>
        <v>0</v>
      </c>
      <c r="AX306" s="291" cm="1">
        <f t="array" ref="AX306">IFERROR((IF($O306=1,0,NPV('2027 Avoided Costs'!$D$6,_xlfn._xlws.FILTER('2027 Avoided Costs'!$AC$14:$AC$47,('2027 Avoided Costs'!$B$14:$B$47&gt;=$B306+1)*('2027 Avoided Costs'!$B$14:$B$47&lt;$B306+ROUND($O306,0)))))+_xlfn.XLOOKUP($B306,'2027 Avoided Costs'!$B$13:$B$47,'2027 Avoided Costs'!$AC$13:$AC$47))*IF($AO306&gt;0,$AO306*(1+$W306),0),0)</f>
        <v>0</v>
      </c>
      <c r="AY306" s="291" cm="1">
        <f t="array" ref="AY306">IFERROR((IF($O306=1,0,NPV('2027 Avoided Costs'!$D$4,_xlfn._xlws.FILTER('2027 Avoided Costs'!$I$14:$I$47,('2027 Avoided Costs'!$B$14:$B$47&gt;=$B306+1)*('2027 Avoided Costs'!$B$14:$B$47&lt;$B306+ROUND($O306,0)))))+_xlfn.XLOOKUP($B306,'2027 Avoided Costs'!$B$13:$B$47,'2027 Avoided Costs'!$I$13:$I$47))*IF($X306="Residential",'2027 Avoided Costs'!$J$5,IF($X306="Large Volume",'2027 Avoided Costs'!$J$7,'2027 Avoided Costs'!$J$6))*IF($AE306&gt;0,$AE306,0),0)</f>
        <v>0</v>
      </c>
      <c r="AZ306" s="291" cm="1">
        <f t="array" ref="AZ306">IFERROR(IF($J306="Baseload",IF($O306=1,0,NPV('2027 Avoided Costs'!$D$6,_xlfn._xlws.FILTER('2027 Avoided Costs'!$C$14:$C$47,('2027 Avoided Costs'!$B$14:$B$47&gt;=$B306+1)*('2027 Avoided Costs'!$B$14:$B$47&lt;$B306+ROUND($O306,0)))))+_xlfn.XLOOKUP($B306,'2027 Avoided Costs'!$B$13:$B$47,'2027 Avoided Costs'!$C$13:$C$47),IF($O306=1,0,NPV('2027 Avoided Costs'!$D$6,_xlfn._xlws.FILTER('2027 Avoided Costs'!$E$14:$E$47,('2027 Avoided Costs'!$B$14:$B$47&gt;=$B306+1)*('2027 Avoided Costs'!$B$14:$B$47&lt;$B306+ROUND($O306,0)))))+_xlfn.XLOOKUP($B306,'2027 Avoided Costs'!$B$13:$B$47,'2027 Avoided Costs'!$E$13:$E$47))*IF($AE306&lt;0,$AE306*(-1),0),0)</f>
        <v>0</v>
      </c>
      <c r="BA306" s="291" cm="1">
        <f t="array" ref="BA306">IFERROR((IF($O306=1,0,NPV('2027 Avoided Costs'!$D$6,_xlfn._xlws.FILTER('2027 Avoided Costs'!$M$14:$M$47,('2027 Avoided Costs'!$B$14:$B$47&gt;=$B306+1)*('2027 Avoided Costs'!$B$14:$B$47&lt;$B306+ROUND($O306,0)))))+_xlfn.XLOOKUP($B306,'2027 Avoided Costs'!$B$13:$B$47,'2027 Avoided Costs'!$M$13:$M$47))*IF($AK306&lt;0,$AK306*(-1),0),0)</f>
        <v>0</v>
      </c>
      <c r="BB306" s="291" cm="1">
        <f t="array" ref="BB306">IFERROR((IF($O306=1,0,NPV('2027 Avoided Costs'!$D$6,_xlfn._xlws.FILTER('2027 Avoided Costs'!$S$14:$S$47,('2027 Avoided Costs'!$B$14:$B$47&gt;=$B306+1)*('2027 Avoided Costs'!$B$14:$B$47&lt;$B306+ROUND($O306,0)))))+_xlfn.XLOOKUP($B306,'2027 Avoided Costs'!$B$13:$B$47,'2027 Avoided Costs'!$S$13:$S$47))*IF($AI306&lt;0,$AI306*(-1),0),0)</f>
        <v>0</v>
      </c>
      <c r="BC306" s="291" cm="1">
        <f t="array" ref="BC306">IFERROR((IF($O306=1,0,NPV('2027 Avoided Costs'!$D$6,_xlfn._xlws.FILTER('2027 Avoided Costs'!$Y$14:$Y$47,('2027 Avoided Costs'!$B$14:$B$47&gt;=$B306+1)*('2027 Avoided Costs'!$B$14:$B$47&lt;$B306+ROUND($O306,0)))))+_xlfn.XLOOKUP($B306,'2027 Avoided Costs'!$B$13:$B$47,'2027 Avoided Costs'!$Y$13:$Y$47))*IF($AM306&lt;0,$AM306*(-1),0),0)</f>
        <v>0</v>
      </c>
      <c r="BD306" s="291" cm="1">
        <f t="array" ref="BD306">IFERROR((IF($O306=1,0,NPV('2027 Avoided Costs'!$D$6,_xlfn._xlws.FILTER('2027 Avoided Costs'!$AE$14:$AE$47,('2027 Avoided Costs'!$B$14:$B$47&gt;=$B306+1)*('2027 Avoided Costs'!$B$14:$B$47&lt;$B306+ROUND($O306,0)))))+_xlfn.XLOOKUP($B306,'2027 Avoided Costs'!$B$13:$B$47,'2027 Avoided Costs'!$AE$13:$AE$47))*IF($AO306&lt;0,$AO306*(-1),0),0)</f>
        <v>0</v>
      </c>
      <c r="BE306" s="291" cm="1">
        <f t="array" ref="BE306">IFERROR((IF($O306=1,0,NPV('2027 Avoided Costs'!$D$4,_xlfn._xlws.FILTER('2027 Avoided Costs'!$I$14:$I$47,('2027 Avoided Costs'!$B$14:$B$47&gt;=$B306+1)*('2027 Avoided Costs'!$B$14:$B$47&lt;$B306+ROUND($O306,0)))))+_xlfn.XLOOKUP($B306,'2027 Avoided Costs'!$B$13:$B$47,'2027 Avoided Costs'!$I$13:$I$47))*IF($X306="Residential",'2027 Avoided Costs'!$J$5,IF($X306="Large Volume",'2027 Avoided Costs'!$J$7,'2027 Avoided Costs'!$J$6))*IF($AE306&lt;0,$AE306*(-1),0),0)</f>
        <v>0</v>
      </c>
      <c r="BF306" s="291">
        <f t="shared" si="111"/>
        <v>313689.84029812919</v>
      </c>
      <c r="BG306" s="291">
        <f t="shared" si="112"/>
        <v>48502.8</v>
      </c>
      <c r="BH306" s="291">
        <f t="shared" si="113"/>
        <v>265187.0402981292</v>
      </c>
      <c r="BI306" s="292">
        <f t="shared" si="137"/>
        <v>6.4674583796838361</v>
      </c>
      <c r="BJ306" s="196" cm="1">
        <f t="array" ref="BJ306">IFERROR(IF($J306="Baseload",IF($O306=1,0,NPV('2027 Avoided Costs'!$D$6,_xlfn._xlws.FILTER('2027 Avoided Costs'!$C$14:$C$47,('2027 Avoided Costs'!$B$14:$B$47&gt;=$B306+1)*('2027 Avoided Costs'!$B$14:$B$47&lt;$B306+ROUND($O306,0)))))+_xlfn.XLOOKUP($B306,'2027 Avoided Costs'!$B$13:$B$47,'2027 Avoided Costs'!$C$13:$C$47),IF($O306=1,0,NPV('2027 Avoided Costs'!$D$6,_xlfn._xlws.FILTER('2027 Avoided Costs'!$E$14:$E$47,('2027 Avoided Costs'!$B$14:$B$47&gt;=$B306+1)*('2027 Avoided Costs'!$B$14:$B$47&lt;$B306+ROUND($O306,0)))))+_xlfn.XLOOKUP($B306,'2027 Avoided Costs'!$B$13:$B$47,'2027 Avoided Costs'!$E$13:$E$47))*IF($AE306&gt;0,$AE306*(1+0),0),0)</f>
        <v>133920.29394214344</v>
      </c>
      <c r="BK306" s="293">
        <f t="shared" si="135"/>
        <v>1.770427665976249</v>
      </c>
    </row>
    <row r="307" spans="1:63" s="56" customFormat="1" x14ac:dyDescent="0.25">
      <c r="A307" s="270" t="s">
        <v>206</v>
      </c>
      <c r="B307" s="271">
        <v>2030</v>
      </c>
      <c r="C307" s="272" t="s">
        <v>12</v>
      </c>
      <c r="D307" s="272" t="s">
        <v>22</v>
      </c>
      <c r="E307" s="272" t="s">
        <v>108</v>
      </c>
      <c r="F307" s="273">
        <v>4000</v>
      </c>
      <c r="G307" s="274">
        <v>3658.7689874999987</v>
      </c>
      <c r="H307" s="275">
        <f t="shared" si="115"/>
        <v>6.8388205373831754</v>
      </c>
      <c r="I307" s="274">
        <v>165</v>
      </c>
      <c r="J307" s="276" t="s">
        <v>264</v>
      </c>
      <c r="K307" s="277">
        <f t="shared" si="114"/>
        <v>1</v>
      </c>
      <c r="L307" s="278">
        <v>0</v>
      </c>
      <c r="M307" s="278">
        <v>0</v>
      </c>
      <c r="N307" s="278">
        <v>1</v>
      </c>
      <c r="O307" s="279">
        <v>25</v>
      </c>
      <c r="P307" s="280">
        <v>535</v>
      </c>
      <c r="Q307" s="281">
        <v>0</v>
      </c>
      <c r="R307" s="282">
        <v>0</v>
      </c>
      <c r="S307" s="282">
        <v>0</v>
      </c>
      <c r="T307" s="281">
        <v>0</v>
      </c>
      <c r="U307" s="283">
        <v>0</v>
      </c>
      <c r="V307" s="284">
        <v>3658.7689874999987</v>
      </c>
      <c r="W307" s="285">
        <v>0.15</v>
      </c>
      <c r="X307" s="286" t="s">
        <v>11</v>
      </c>
      <c r="Y307" s="287">
        <f t="shared" si="116"/>
        <v>4000</v>
      </c>
      <c r="Z307" s="288">
        <f t="shared" si="117"/>
        <v>14635075.949999996</v>
      </c>
      <c r="AA307" s="288">
        <f t="shared" si="118"/>
        <v>660000</v>
      </c>
      <c r="AB307" s="288">
        <f t="shared" si="119"/>
        <v>15530859.678747594</v>
      </c>
      <c r="AC307" s="288">
        <f t="shared" si="136"/>
        <v>694645.1215756801</v>
      </c>
      <c r="AD307" s="287">
        <f t="shared" si="120"/>
        <v>2140000</v>
      </c>
      <c r="AE307" s="287">
        <f t="shared" si="121"/>
        <v>2140000</v>
      </c>
      <c r="AF307" s="287">
        <f t="shared" si="122"/>
        <v>53500000</v>
      </c>
      <c r="AG307" s="287">
        <f t="shared" si="123"/>
        <v>53500000</v>
      </c>
      <c r="AH307" s="287">
        <f t="shared" si="124"/>
        <v>0</v>
      </c>
      <c r="AI307" s="287">
        <f t="shared" si="125"/>
        <v>0</v>
      </c>
      <c r="AJ307" s="287">
        <f t="shared" si="126"/>
        <v>0</v>
      </c>
      <c r="AK307" s="287">
        <f t="shared" si="127"/>
        <v>0</v>
      </c>
      <c r="AL307" s="287">
        <f t="shared" si="128"/>
        <v>0</v>
      </c>
      <c r="AM307" s="287">
        <f t="shared" si="129"/>
        <v>0</v>
      </c>
      <c r="AN307" s="287">
        <f t="shared" si="130"/>
        <v>0</v>
      </c>
      <c r="AO307" s="287">
        <f t="shared" si="131"/>
        <v>0</v>
      </c>
      <c r="AP307" s="287">
        <f t="shared" si="132"/>
        <v>14635075.949999996</v>
      </c>
      <c r="AQ307" s="287">
        <f t="shared" si="133"/>
        <v>14635075.949999996</v>
      </c>
      <c r="AR307" s="287">
        <f t="shared" si="134"/>
        <v>0</v>
      </c>
      <c r="AS307" s="289" t="e">
        <f>IF(J307='2027 Avoided Costs'!#REF!,3,5)</f>
        <v>#REF!</v>
      </c>
      <c r="AT307" s="290" cm="1">
        <f t="array" ref="AT307">IFERROR(IF($J307="Baseload",IF($O307=1,0,NPV('2027 Avoided Costs'!$D$6,_xlfn._xlws.FILTER('2027 Avoided Costs'!$C$14:$C$47,('2027 Avoided Costs'!$B$14:$B$47&gt;=$B307+1)*('2027 Avoided Costs'!$B$14:$B$47&lt;$B307+ROUND($O307,0)))))+_xlfn.XLOOKUP($B307,'2027 Avoided Costs'!$B$13:$B$47,'2027 Avoided Costs'!$C$13:$C$47),IF($O307=1,0,NPV('2027 Avoided Costs'!$D$6,_xlfn._xlws.FILTER('2027 Avoided Costs'!$E$14:$E$47,('2027 Avoided Costs'!$B$14:$B$47&gt;=$B307+1)*('2027 Avoided Costs'!$B$14:$B$47&lt;$B307+ROUND($O307,0)))))+_xlfn.XLOOKUP($B307,'2027 Avoided Costs'!$B$13:$B$47,'2027 Avoided Costs'!$E$13:$E$47))*IF($AE307&gt;0,$AE307*(1+$W307),0),0)</f>
        <v>13841145.460924257</v>
      </c>
      <c r="AU307" s="290" cm="1">
        <f t="array" ref="AU307">IFERROR((IF($O307=1,0,NPV('2027 Avoided Costs'!$D$6,_xlfn._xlws.FILTER('2027 Avoided Costs'!$M$14:$M$47,('2027 Avoided Costs'!$B$14:$B$47&gt;=$B307+1)*('2027 Avoided Costs'!$B$14:$B$47&lt;$B307+ROUND($O307,0)))))+_xlfn.XLOOKUP($B307,'2027 Avoided Costs'!$B$13:$B$47,'2027 Avoided Costs'!$M$13:$M$47))*IF($AK307&gt;0,$AK307*(1+$W307),0),0)</f>
        <v>0</v>
      </c>
      <c r="AV307" s="291" cm="1">
        <f t="array" ref="AV307">IFERROR((IF($O307=1,0,NPV('2027 Avoided Costs'!$D$6,_xlfn._xlws.FILTER('2027 Avoided Costs'!$Q$14:$Q$47,('2027 Avoided Costs'!$B$14:$B$47&gt;=$B307+1)*('2027 Avoided Costs'!$B$14:$B$47&lt;$B307+ROUND($O307,0)))))+_xlfn.XLOOKUP($B307,'2027 Avoided Costs'!$B$13:$B$47,'2027 Avoided Costs'!$Q$13:$Q$47))*IF($AI307&gt;0,$AI307*(1+$W307),0),0)</f>
        <v>0</v>
      </c>
      <c r="AW307" s="291" cm="1">
        <f t="array" ref="AW307">IFERROR((IF($O307=1,0,NPV('2027 Avoided Costs'!$D$6,_xlfn._xlws.FILTER('2027 Avoided Costs'!$W$14:$W$47,('2027 Avoided Costs'!$B$14:$B$47&gt;=$B307+1)*('2027 Avoided Costs'!$B$14:$B$47&lt;$B307+ROUND($O307,0)))))+_xlfn.XLOOKUP($B307,'2027 Avoided Costs'!$B$13:$B$47,'2027 Avoided Costs'!$W$13:$W$47))*IF($AM307&gt;0,$AM307*(1+$W307),0),0)</f>
        <v>0</v>
      </c>
      <c r="AX307" s="291" cm="1">
        <f t="array" ref="AX307">IFERROR((IF($O307=1,0,NPV('2027 Avoided Costs'!$D$6,_xlfn._xlws.FILTER('2027 Avoided Costs'!$AC$14:$AC$47,('2027 Avoided Costs'!$B$14:$B$47&gt;=$B307+1)*('2027 Avoided Costs'!$B$14:$B$47&lt;$B307+ROUND($O307,0)))))+_xlfn.XLOOKUP($B307,'2027 Avoided Costs'!$B$13:$B$47,'2027 Avoided Costs'!$AC$13:$AC$47))*IF($AO307&gt;0,$AO307*(1+$W307),0),0)</f>
        <v>0</v>
      </c>
      <c r="AY307" s="291" cm="1">
        <f t="array" ref="AY307">IFERROR((IF($O307=1,0,NPV('2027 Avoided Costs'!$D$4,_xlfn._xlws.FILTER('2027 Avoided Costs'!$I$14:$I$47,('2027 Avoided Costs'!$B$14:$B$47&gt;=$B307+1)*('2027 Avoided Costs'!$B$14:$B$47&lt;$B307+ROUND($O307,0)))))+_xlfn.XLOOKUP($B307,'2027 Avoided Costs'!$B$13:$B$47,'2027 Avoided Costs'!$I$13:$I$47))*IF($X307="Residential",'2027 Avoided Costs'!$J$5,IF($X307="Large Volume",'2027 Avoided Costs'!$J$7,'2027 Avoided Costs'!$J$6))*IF($AE307&gt;0,$AE307,0),0)</f>
        <v>0</v>
      </c>
      <c r="AZ307" s="291" cm="1">
        <f t="array" ref="AZ307">IFERROR(IF($J307="Baseload",IF($O307=1,0,NPV('2027 Avoided Costs'!$D$6,_xlfn._xlws.FILTER('2027 Avoided Costs'!$C$14:$C$47,('2027 Avoided Costs'!$B$14:$B$47&gt;=$B307+1)*('2027 Avoided Costs'!$B$14:$B$47&lt;$B307+ROUND($O307,0)))))+_xlfn.XLOOKUP($B307,'2027 Avoided Costs'!$B$13:$B$47,'2027 Avoided Costs'!$C$13:$C$47),IF($O307=1,0,NPV('2027 Avoided Costs'!$D$6,_xlfn._xlws.FILTER('2027 Avoided Costs'!$E$14:$E$47,('2027 Avoided Costs'!$B$14:$B$47&gt;=$B307+1)*('2027 Avoided Costs'!$B$14:$B$47&lt;$B307+ROUND($O307,0)))))+_xlfn.XLOOKUP($B307,'2027 Avoided Costs'!$B$13:$B$47,'2027 Avoided Costs'!$E$13:$E$47))*IF($AE307&lt;0,$AE307*(-1),0),0)</f>
        <v>0</v>
      </c>
      <c r="BA307" s="291" cm="1">
        <f t="array" ref="BA307">IFERROR((IF($O307=1,0,NPV('2027 Avoided Costs'!$D$6,_xlfn._xlws.FILTER('2027 Avoided Costs'!$M$14:$M$47,('2027 Avoided Costs'!$B$14:$B$47&gt;=$B307+1)*('2027 Avoided Costs'!$B$14:$B$47&lt;$B307+ROUND($O307,0)))))+_xlfn.XLOOKUP($B307,'2027 Avoided Costs'!$B$13:$B$47,'2027 Avoided Costs'!$M$13:$M$47))*IF($AK307&lt;0,$AK307*(-1),0),0)</f>
        <v>0</v>
      </c>
      <c r="BB307" s="291" cm="1">
        <f t="array" ref="BB307">IFERROR((IF($O307=1,0,NPV('2027 Avoided Costs'!$D$6,_xlfn._xlws.FILTER('2027 Avoided Costs'!$S$14:$S$47,('2027 Avoided Costs'!$B$14:$B$47&gt;=$B307+1)*('2027 Avoided Costs'!$B$14:$B$47&lt;$B307+ROUND($O307,0)))))+_xlfn.XLOOKUP($B307,'2027 Avoided Costs'!$B$13:$B$47,'2027 Avoided Costs'!$S$13:$S$47))*IF($AI307&lt;0,$AI307*(-1),0),0)</f>
        <v>0</v>
      </c>
      <c r="BC307" s="291" cm="1">
        <f t="array" ref="BC307">IFERROR((IF($O307=1,0,NPV('2027 Avoided Costs'!$D$6,_xlfn._xlws.FILTER('2027 Avoided Costs'!$Y$14:$Y$47,('2027 Avoided Costs'!$B$14:$B$47&gt;=$B307+1)*('2027 Avoided Costs'!$B$14:$B$47&lt;$B307+ROUND($O307,0)))))+_xlfn.XLOOKUP($B307,'2027 Avoided Costs'!$B$13:$B$47,'2027 Avoided Costs'!$Y$13:$Y$47))*IF($AM307&lt;0,$AM307*(-1),0),0)</f>
        <v>0</v>
      </c>
      <c r="BD307" s="291" cm="1">
        <f t="array" ref="BD307">IFERROR((IF($O307=1,0,NPV('2027 Avoided Costs'!$D$6,_xlfn._xlws.FILTER('2027 Avoided Costs'!$AE$14:$AE$47,('2027 Avoided Costs'!$B$14:$B$47&gt;=$B307+1)*('2027 Avoided Costs'!$B$14:$B$47&lt;$B307+ROUND($O307,0)))))+_xlfn.XLOOKUP($B307,'2027 Avoided Costs'!$B$13:$B$47,'2027 Avoided Costs'!$AE$13:$AE$47))*IF($AO307&lt;0,$AO307*(-1),0),0)</f>
        <v>0</v>
      </c>
      <c r="BE307" s="291" cm="1">
        <f t="array" ref="BE307">IFERROR((IF($O307=1,0,NPV('2027 Avoided Costs'!$D$4,_xlfn._xlws.FILTER('2027 Avoided Costs'!$I$14:$I$47,('2027 Avoided Costs'!$B$14:$B$47&gt;=$B307+1)*('2027 Avoided Costs'!$B$14:$B$47&lt;$B307+ROUND($O307,0)))))+_xlfn.XLOOKUP($B307,'2027 Avoided Costs'!$B$13:$B$47,'2027 Avoided Costs'!$I$13:$I$47))*IF($X307="Residential",'2027 Avoided Costs'!$J$5,IF($X307="Large Volume",'2027 Avoided Costs'!$J$7,'2027 Avoided Costs'!$J$6))*IF($AE307&lt;0,$AE307*(-1),0),0)</f>
        <v>0</v>
      </c>
      <c r="BF307" s="291">
        <f t="shared" si="111"/>
        <v>13841145.460924257</v>
      </c>
      <c r="BG307" s="291">
        <f t="shared" si="112"/>
        <v>14635075.949999996</v>
      </c>
      <c r="BH307" s="291">
        <f t="shared" si="113"/>
        <v>-793930.48907573894</v>
      </c>
      <c r="BI307" s="292">
        <f t="shared" si="137"/>
        <v>0.94575152928565842</v>
      </c>
      <c r="BJ307" s="196" cm="1">
        <f t="array" ref="BJ307">IFERROR(IF($J307="Baseload",IF($O307=1,0,NPV('2027 Avoided Costs'!$D$6,_xlfn._xlws.FILTER('2027 Avoided Costs'!$C$14:$C$47,('2027 Avoided Costs'!$B$14:$B$47&gt;=$B307+1)*('2027 Avoided Costs'!$B$14:$B$47&lt;$B307+ROUND($O307,0)))))+_xlfn.XLOOKUP($B307,'2027 Avoided Costs'!$B$13:$B$47,'2027 Avoided Costs'!$C$13:$C$47),IF($O307=1,0,NPV('2027 Avoided Costs'!$D$6,_xlfn._xlws.FILTER('2027 Avoided Costs'!$E$14:$E$47,('2027 Avoided Costs'!$B$14:$B$47&gt;=$B307+1)*('2027 Avoided Costs'!$B$14:$B$47&lt;$B307+ROUND($O307,0)))))+_xlfn.XLOOKUP($B307,'2027 Avoided Costs'!$B$13:$B$47,'2027 Avoided Costs'!$E$13:$E$47))*IF($AE307&gt;0,$AE307*(1+0),0),0)</f>
        <v>12035778.661673268</v>
      </c>
      <c r="BK307" s="293">
        <f t="shared" si="135"/>
        <v>0.74178146133447076</v>
      </c>
    </row>
    <row r="308" spans="1:63" s="56" customFormat="1" x14ac:dyDescent="0.25">
      <c r="A308" s="270" t="s">
        <v>207</v>
      </c>
      <c r="B308" s="271">
        <v>2027</v>
      </c>
      <c r="C308" s="272" t="s">
        <v>12</v>
      </c>
      <c r="D308" s="272" t="s">
        <v>21</v>
      </c>
      <c r="E308" s="272" t="s">
        <v>109</v>
      </c>
      <c r="F308" s="273">
        <v>64</v>
      </c>
      <c r="G308" s="274">
        <v>45549</v>
      </c>
      <c r="H308" s="275">
        <f t="shared" si="115"/>
        <v>3</v>
      </c>
      <c r="I308" s="274">
        <v>0</v>
      </c>
      <c r="J308" s="276" t="s">
        <v>264</v>
      </c>
      <c r="K308" s="277">
        <f t="shared" si="114"/>
        <v>1</v>
      </c>
      <c r="L308" s="278">
        <v>0</v>
      </c>
      <c r="M308" s="278">
        <v>0</v>
      </c>
      <c r="N308" s="278">
        <v>0.97609999999999997</v>
      </c>
      <c r="O308" s="279">
        <v>20</v>
      </c>
      <c r="P308" s="280">
        <v>15183</v>
      </c>
      <c r="Q308" s="281">
        <v>10864</v>
      </c>
      <c r="R308" s="282">
        <v>6.6203996599558224</v>
      </c>
      <c r="S308" s="282">
        <v>1.9554512565234221</v>
      </c>
      <c r="T308" s="281">
        <v>0</v>
      </c>
      <c r="U308" s="283">
        <v>0</v>
      </c>
      <c r="V308" s="284">
        <v>44540</v>
      </c>
      <c r="W308" s="285">
        <v>0.15</v>
      </c>
      <c r="X308" s="286" t="s">
        <v>255</v>
      </c>
      <c r="Y308" s="287">
        <f t="shared" si="116"/>
        <v>64</v>
      </c>
      <c r="Z308" s="288">
        <f t="shared" si="117"/>
        <v>2915136</v>
      </c>
      <c r="AA308" s="288">
        <f t="shared" si="118"/>
        <v>0</v>
      </c>
      <c r="AB308" s="288">
        <f t="shared" si="119"/>
        <v>2915136</v>
      </c>
      <c r="AC308" s="288">
        <f t="shared" si="136"/>
        <v>0</v>
      </c>
      <c r="AD308" s="287">
        <f t="shared" si="120"/>
        <v>948488.08319999999</v>
      </c>
      <c r="AE308" s="287">
        <f t="shared" si="121"/>
        <v>948488.08319999999</v>
      </c>
      <c r="AF308" s="287">
        <f t="shared" si="122"/>
        <v>18969761.664000001</v>
      </c>
      <c r="AG308" s="287">
        <f t="shared" si="123"/>
        <v>18969761.664000001</v>
      </c>
      <c r="AH308" s="287">
        <f t="shared" si="124"/>
        <v>727543.27224319999</v>
      </c>
      <c r="AI308" s="287">
        <f t="shared" si="125"/>
        <v>727543.27224319999</v>
      </c>
      <c r="AJ308" s="287">
        <f t="shared" si="126"/>
        <v>0</v>
      </c>
      <c r="AK308" s="287">
        <f t="shared" si="127"/>
        <v>0</v>
      </c>
      <c r="AL308" s="287">
        <f t="shared" si="128"/>
        <v>443.35670399135012</v>
      </c>
      <c r="AM308" s="287">
        <f t="shared" si="129"/>
        <v>443.35670399135012</v>
      </c>
      <c r="AN308" s="287">
        <f t="shared" si="130"/>
        <v>130.95318537215829</v>
      </c>
      <c r="AO308" s="287">
        <f t="shared" si="131"/>
        <v>130.95318537215829</v>
      </c>
      <c r="AP308" s="287">
        <f t="shared" si="132"/>
        <v>2850560</v>
      </c>
      <c r="AQ308" s="287">
        <f t="shared" si="133"/>
        <v>2850560</v>
      </c>
      <c r="AR308" s="287">
        <f t="shared" si="134"/>
        <v>0</v>
      </c>
      <c r="AS308" s="289" t="e">
        <f>IF(J308='2027 Avoided Costs'!#REF!,3,5)</f>
        <v>#REF!</v>
      </c>
      <c r="AT308" s="290" cm="1">
        <f t="array" ref="AT308">IFERROR(IF($J308="Baseload",IF($O308=1,0,NPV('2027 Avoided Costs'!$D$6,_xlfn._xlws.FILTER('2027 Avoided Costs'!$C$14:$C$47,('2027 Avoided Costs'!$B$14:$B$47&gt;=$B308+1)*('2027 Avoided Costs'!$B$14:$B$47&lt;$B308+ROUND($O308,0)))))+_xlfn.XLOOKUP($B308,'2027 Avoided Costs'!$B$13:$B$47,'2027 Avoided Costs'!$C$13:$C$47),IF($O308=1,0,NPV('2027 Avoided Costs'!$D$6,_xlfn._xlws.FILTER('2027 Avoided Costs'!$E$14:$E$47,('2027 Avoided Costs'!$B$14:$B$47&gt;=$B308+1)*('2027 Avoided Costs'!$B$14:$B$47&lt;$B308+ROUND($O308,0)))))+_xlfn.XLOOKUP($B308,'2027 Avoided Costs'!$B$13:$B$47,'2027 Avoided Costs'!$E$13:$E$47))*IF($AE308&gt;0,$AE308*(1+$W308),0),0)</f>
        <v>4685693.991239314</v>
      </c>
      <c r="AU308" s="290" cm="1">
        <f t="array" ref="AU308">IFERROR((IF($O308=1,0,NPV('2027 Avoided Costs'!$D$6,_xlfn._xlws.FILTER('2027 Avoided Costs'!$M$14:$M$47,('2027 Avoided Costs'!$B$14:$B$47&gt;=$B308+1)*('2027 Avoided Costs'!$B$14:$B$47&lt;$B308+ROUND($O308,0)))))+_xlfn.XLOOKUP($B308,'2027 Avoided Costs'!$B$13:$B$47,'2027 Avoided Costs'!$M$13:$M$47))*IF($AK308&gt;0,$AK308*(1+$W308),0),0)</f>
        <v>0</v>
      </c>
      <c r="AV308" s="291" cm="1">
        <f t="array" ref="AV308">IFERROR((IF($O308=1,0,NPV('2027 Avoided Costs'!$D$6,_xlfn._xlws.FILTER('2027 Avoided Costs'!$Q$14:$Q$47,('2027 Avoided Costs'!$B$14:$B$47&gt;=$B308+1)*('2027 Avoided Costs'!$B$14:$B$47&lt;$B308+ROUND($O308,0)))))+_xlfn.XLOOKUP($B308,'2027 Avoided Costs'!$B$13:$B$47,'2027 Avoided Costs'!$Q$13:$Q$47))*IF($AI308&gt;0,$AI308*(1+$W308),0),0)</f>
        <v>585181.35247058794</v>
      </c>
      <c r="AW308" s="291" cm="1">
        <f t="array" ref="AW308">IFERROR((IF($O308=1,0,NPV('2027 Avoided Costs'!$D$6,_xlfn._xlws.FILTER('2027 Avoided Costs'!$W$14:$W$47,('2027 Avoided Costs'!$B$14:$B$47&gt;=$B308+1)*('2027 Avoided Costs'!$B$14:$B$47&lt;$B308+ROUND($O308,0)))))+_xlfn.XLOOKUP($B308,'2027 Avoided Costs'!$B$13:$B$47,'2027 Avoided Costs'!$W$13:$W$47))*IF($AM308&gt;0,$AM308*(1+$W308),0),0)</f>
        <v>2023113.2715519469</v>
      </c>
      <c r="AX308" s="291" cm="1">
        <f t="array" ref="AX308">IFERROR((IF($O308=1,0,NPV('2027 Avoided Costs'!$D$6,_xlfn._xlws.FILTER('2027 Avoided Costs'!$AC$14:$AC$47,('2027 Avoided Costs'!$B$14:$B$47&gt;=$B308+1)*('2027 Avoided Costs'!$B$14:$B$47&lt;$B308+ROUND($O308,0)))))+_xlfn.XLOOKUP($B308,'2027 Avoided Costs'!$B$13:$B$47,'2027 Avoided Costs'!$AC$13:$AC$47))*IF($AO308&gt;0,$AO308*(1+$W308),0),0)</f>
        <v>92191.48105509553</v>
      </c>
      <c r="AY308" s="291" cm="1">
        <f t="array" ref="AY308">IFERROR((IF($O308=1,0,NPV('2027 Avoided Costs'!$D$4,_xlfn._xlws.FILTER('2027 Avoided Costs'!$I$14:$I$47,('2027 Avoided Costs'!$B$14:$B$47&gt;=$B308+1)*('2027 Avoided Costs'!$B$14:$B$47&lt;$B308+ROUND($O308,0)))))+_xlfn.XLOOKUP($B308,'2027 Avoided Costs'!$B$13:$B$47,'2027 Avoided Costs'!$I$13:$I$47))*IF($X308="Residential",'2027 Avoided Costs'!$J$5,IF($X308="Large Volume",'2027 Avoided Costs'!$J$7,'2027 Avoided Costs'!$J$6))*IF($AE308&gt;0,$AE308,0),0)</f>
        <v>0</v>
      </c>
      <c r="AZ308" s="291" cm="1">
        <f t="array" ref="AZ308">IFERROR(IF($J308="Baseload",IF($O308=1,0,NPV('2027 Avoided Costs'!$D$6,_xlfn._xlws.FILTER('2027 Avoided Costs'!$C$14:$C$47,('2027 Avoided Costs'!$B$14:$B$47&gt;=$B308+1)*('2027 Avoided Costs'!$B$14:$B$47&lt;$B308+ROUND($O308,0)))))+_xlfn.XLOOKUP($B308,'2027 Avoided Costs'!$B$13:$B$47,'2027 Avoided Costs'!$C$13:$C$47),IF($O308=1,0,NPV('2027 Avoided Costs'!$D$6,_xlfn._xlws.FILTER('2027 Avoided Costs'!$E$14:$E$47,('2027 Avoided Costs'!$B$14:$B$47&gt;=$B308+1)*('2027 Avoided Costs'!$B$14:$B$47&lt;$B308+ROUND($O308,0)))))+_xlfn.XLOOKUP($B308,'2027 Avoided Costs'!$B$13:$B$47,'2027 Avoided Costs'!$E$13:$E$47))*IF($AE308&lt;0,$AE308*(-1),0),0)</f>
        <v>0</v>
      </c>
      <c r="BA308" s="291" cm="1">
        <f t="array" ref="BA308">IFERROR((IF($O308=1,0,NPV('2027 Avoided Costs'!$D$6,_xlfn._xlws.FILTER('2027 Avoided Costs'!$M$14:$M$47,('2027 Avoided Costs'!$B$14:$B$47&gt;=$B308+1)*('2027 Avoided Costs'!$B$14:$B$47&lt;$B308+ROUND($O308,0)))))+_xlfn.XLOOKUP($B308,'2027 Avoided Costs'!$B$13:$B$47,'2027 Avoided Costs'!$M$13:$M$47))*IF($AK308&lt;0,$AK308*(-1),0),0)</f>
        <v>0</v>
      </c>
      <c r="BB308" s="291" cm="1">
        <f t="array" ref="BB308">IFERROR((IF($O308=1,0,NPV('2027 Avoided Costs'!$D$6,_xlfn._xlws.FILTER('2027 Avoided Costs'!$S$14:$S$47,('2027 Avoided Costs'!$B$14:$B$47&gt;=$B308+1)*('2027 Avoided Costs'!$B$14:$B$47&lt;$B308+ROUND($O308,0)))))+_xlfn.XLOOKUP($B308,'2027 Avoided Costs'!$B$13:$B$47,'2027 Avoided Costs'!$S$13:$S$47))*IF($AI308&lt;0,$AI308*(-1),0),0)</f>
        <v>0</v>
      </c>
      <c r="BC308" s="291" cm="1">
        <f t="array" ref="BC308">IFERROR((IF($O308=1,0,NPV('2027 Avoided Costs'!$D$6,_xlfn._xlws.FILTER('2027 Avoided Costs'!$Y$14:$Y$47,('2027 Avoided Costs'!$B$14:$B$47&gt;=$B308+1)*('2027 Avoided Costs'!$B$14:$B$47&lt;$B308+ROUND($O308,0)))))+_xlfn.XLOOKUP($B308,'2027 Avoided Costs'!$B$13:$B$47,'2027 Avoided Costs'!$Y$13:$Y$47))*IF($AM308&lt;0,$AM308*(-1),0),0)</f>
        <v>0</v>
      </c>
      <c r="BD308" s="291" cm="1">
        <f t="array" ref="BD308">IFERROR((IF($O308=1,0,NPV('2027 Avoided Costs'!$D$6,_xlfn._xlws.FILTER('2027 Avoided Costs'!$AE$14:$AE$47,('2027 Avoided Costs'!$B$14:$B$47&gt;=$B308+1)*('2027 Avoided Costs'!$B$14:$B$47&lt;$B308+ROUND($O308,0)))))+_xlfn.XLOOKUP($B308,'2027 Avoided Costs'!$B$13:$B$47,'2027 Avoided Costs'!$AE$13:$AE$47))*IF($AO308&lt;0,$AO308*(-1),0),0)</f>
        <v>0</v>
      </c>
      <c r="BE308" s="291" cm="1">
        <f t="array" ref="BE308">IFERROR((IF($O308=1,0,NPV('2027 Avoided Costs'!$D$4,_xlfn._xlws.FILTER('2027 Avoided Costs'!$I$14:$I$47,('2027 Avoided Costs'!$B$14:$B$47&gt;=$B308+1)*('2027 Avoided Costs'!$B$14:$B$47&lt;$B308+ROUND($O308,0)))))+_xlfn.XLOOKUP($B308,'2027 Avoided Costs'!$B$13:$B$47,'2027 Avoided Costs'!$I$13:$I$47))*IF($X308="Residential",'2027 Avoided Costs'!$J$5,IF($X308="Large Volume",'2027 Avoided Costs'!$J$7,'2027 Avoided Costs'!$J$6))*IF($AE308&lt;0,$AE308*(-1),0),0)</f>
        <v>0</v>
      </c>
      <c r="BF308" s="291">
        <f t="shared" si="111"/>
        <v>7386180.0963169448</v>
      </c>
      <c r="BG308" s="291">
        <f t="shared" si="112"/>
        <v>2850560</v>
      </c>
      <c r="BH308" s="291">
        <f t="shared" si="113"/>
        <v>4535620.0963169448</v>
      </c>
      <c r="BI308" s="292">
        <f t="shared" si="137"/>
        <v>2.591133004152498</v>
      </c>
      <c r="BJ308" s="196" cm="1">
        <f t="array" ref="BJ308">IFERROR(IF($J308="Baseload",IF($O308=1,0,NPV('2027 Avoided Costs'!$D$6,_xlfn._xlws.FILTER('2027 Avoided Costs'!$C$14:$C$47,('2027 Avoided Costs'!$B$14:$B$47&gt;=$B308+1)*('2027 Avoided Costs'!$B$14:$B$47&lt;$B308+ROUND($O308,0)))))+_xlfn.XLOOKUP($B308,'2027 Avoided Costs'!$B$13:$B$47,'2027 Avoided Costs'!$C$13:$C$47),IF($O308=1,0,NPV('2027 Avoided Costs'!$D$6,_xlfn._xlws.FILTER('2027 Avoided Costs'!$E$14:$E$47,('2027 Avoided Costs'!$B$14:$B$47&gt;=$B308+1)*('2027 Avoided Costs'!$B$14:$B$47&lt;$B308+ROUND($O308,0)))))+_xlfn.XLOOKUP($B308,'2027 Avoided Costs'!$B$13:$B$47,'2027 Avoided Costs'!$E$13:$E$47))*IF($AE308&gt;0,$AE308*(1+0),0),0)</f>
        <v>4074516.5141211431</v>
      </c>
      <c r="BK308" s="293">
        <f t="shared" si="135"/>
        <v>1.3977106090834674</v>
      </c>
    </row>
    <row r="309" spans="1:63" s="56" customFormat="1" x14ac:dyDescent="0.25">
      <c r="A309" s="270" t="s">
        <v>207</v>
      </c>
      <c r="B309" s="271">
        <v>2027</v>
      </c>
      <c r="C309" s="272" t="s">
        <v>12</v>
      </c>
      <c r="D309" s="272" t="s">
        <v>21</v>
      </c>
      <c r="E309" s="272" t="s">
        <v>110</v>
      </c>
      <c r="F309" s="273">
        <v>100</v>
      </c>
      <c r="G309" s="274">
        <v>32653.800000000003</v>
      </c>
      <c r="H309" s="275">
        <f t="shared" si="115"/>
        <v>2.7</v>
      </c>
      <c r="I309" s="274">
        <v>0</v>
      </c>
      <c r="J309" s="276" t="s">
        <v>264</v>
      </c>
      <c r="K309" s="277">
        <f t="shared" si="114"/>
        <v>1</v>
      </c>
      <c r="L309" s="294">
        <v>0</v>
      </c>
      <c r="M309" s="294">
        <v>0</v>
      </c>
      <c r="N309" s="294">
        <v>0.97609999999999997</v>
      </c>
      <c r="O309" s="279">
        <v>15</v>
      </c>
      <c r="P309" s="280">
        <v>12094</v>
      </c>
      <c r="Q309" s="295">
        <v>0</v>
      </c>
      <c r="R309" s="296">
        <v>0</v>
      </c>
      <c r="S309" s="296">
        <v>0</v>
      </c>
      <c r="T309" s="295">
        <v>0</v>
      </c>
      <c r="U309" s="297">
        <v>0</v>
      </c>
      <c r="V309" s="284">
        <v>31979</v>
      </c>
      <c r="W309" s="298">
        <v>0.15</v>
      </c>
      <c r="X309" s="299" t="s">
        <v>255</v>
      </c>
      <c r="Y309" s="300">
        <f t="shared" si="116"/>
        <v>100</v>
      </c>
      <c r="Z309" s="196">
        <f t="shared" si="117"/>
        <v>3265380.0000000005</v>
      </c>
      <c r="AA309" s="196">
        <f t="shared" si="118"/>
        <v>0</v>
      </c>
      <c r="AB309" s="288">
        <f t="shared" si="119"/>
        <v>3265380.0000000005</v>
      </c>
      <c r="AC309" s="288">
        <f t="shared" si="136"/>
        <v>0</v>
      </c>
      <c r="AD309" s="287">
        <f t="shared" si="120"/>
        <v>1180495.3399999999</v>
      </c>
      <c r="AE309" s="287">
        <f t="shared" si="121"/>
        <v>1180495.3399999999</v>
      </c>
      <c r="AF309" s="287">
        <f t="shared" si="122"/>
        <v>17707430.099999998</v>
      </c>
      <c r="AG309" s="287">
        <f t="shared" si="123"/>
        <v>17707430.099999998</v>
      </c>
      <c r="AH309" s="300">
        <f t="shared" si="124"/>
        <v>0</v>
      </c>
      <c r="AI309" s="300">
        <f t="shared" si="125"/>
        <v>0</v>
      </c>
      <c r="AJ309" s="300">
        <f t="shared" si="126"/>
        <v>0</v>
      </c>
      <c r="AK309" s="300">
        <f t="shared" si="127"/>
        <v>0</v>
      </c>
      <c r="AL309" s="300">
        <f t="shared" si="128"/>
        <v>0</v>
      </c>
      <c r="AM309" s="300">
        <f t="shared" si="129"/>
        <v>0</v>
      </c>
      <c r="AN309" s="300">
        <f t="shared" si="130"/>
        <v>0</v>
      </c>
      <c r="AO309" s="300">
        <f t="shared" si="131"/>
        <v>0</v>
      </c>
      <c r="AP309" s="300">
        <f t="shared" si="132"/>
        <v>3197900</v>
      </c>
      <c r="AQ309" s="300">
        <f t="shared" si="133"/>
        <v>3197900</v>
      </c>
      <c r="AR309" s="300">
        <f t="shared" si="134"/>
        <v>0</v>
      </c>
      <c r="AS309" s="301" t="e">
        <f>IF(J309='2027 Avoided Costs'!#REF!,3,5)</f>
        <v>#REF!</v>
      </c>
      <c r="AT309" s="290" cm="1">
        <f t="array" ref="AT309">IFERROR(IF($J309="Baseload",IF($O309=1,0,NPV('2027 Avoided Costs'!$D$6,_xlfn._xlws.FILTER('2027 Avoided Costs'!$C$14:$C$47,('2027 Avoided Costs'!$B$14:$B$47&gt;=$B309+1)*('2027 Avoided Costs'!$B$14:$B$47&lt;$B309+ROUND($O309,0)))))+_xlfn.XLOOKUP($B309,'2027 Avoided Costs'!$B$13:$B$47,'2027 Avoided Costs'!$C$13:$C$47),IF($O309=1,0,NPV('2027 Avoided Costs'!$D$6,_xlfn._xlws.FILTER('2027 Avoided Costs'!$E$14:$E$47,('2027 Avoided Costs'!$B$14:$B$47&gt;=$B309+1)*('2027 Avoided Costs'!$B$14:$B$47&lt;$B309+ROUND($O309,0)))))+_xlfn.XLOOKUP($B309,'2027 Avoided Costs'!$B$13:$B$47,'2027 Avoided Costs'!$E$13:$E$47))*IF($AE309&gt;0,$AE309*(1+$W309),0),0)</f>
        <v>4655353.4169349279</v>
      </c>
      <c r="AU309" s="290" cm="1">
        <f t="array" ref="AU309">IFERROR((IF($O309=1,0,NPV('2027 Avoided Costs'!$D$6,_xlfn._xlws.FILTER('2027 Avoided Costs'!$M$14:$M$47,('2027 Avoided Costs'!$B$14:$B$47&gt;=$B309+1)*('2027 Avoided Costs'!$B$14:$B$47&lt;$B309+ROUND($O309,0)))))+_xlfn.XLOOKUP($B309,'2027 Avoided Costs'!$B$13:$B$47,'2027 Avoided Costs'!$M$13:$M$47))*IF($AK309&gt;0,$AK309*(1+$W309),0),0)</f>
        <v>0</v>
      </c>
      <c r="AV309" s="291" cm="1">
        <f t="array" ref="AV309">IFERROR((IF($O309=1,0,NPV('2027 Avoided Costs'!$D$6,_xlfn._xlws.FILTER('2027 Avoided Costs'!$Q$14:$Q$47,('2027 Avoided Costs'!$B$14:$B$47&gt;=$B309+1)*('2027 Avoided Costs'!$B$14:$B$47&lt;$B309+ROUND($O309,0)))))+_xlfn.XLOOKUP($B309,'2027 Avoided Costs'!$B$13:$B$47,'2027 Avoided Costs'!$Q$13:$Q$47))*IF($AI309&gt;0,$AI309*(1+$W309),0),0)</f>
        <v>0</v>
      </c>
      <c r="AW309" s="291" cm="1">
        <f t="array" ref="AW309">IFERROR((IF($O309=1,0,NPV('2027 Avoided Costs'!$D$6,_xlfn._xlws.FILTER('2027 Avoided Costs'!$W$14:$W$47,('2027 Avoided Costs'!$B$14:$B$47&gt;=$B309+1)*('2027 Avoided Costs'!$B$14:$B$47&lt;$B309+ROUND($O309,0)))))+_xlfn.XLOOKUP($B309,'2027 Avoided Costs'!$B$13:$B$47,'2027 Avoided Costs'!$W$13:$W$47))*IF($AM309&gt;0,$AM309*(1+$W309),0),0)</f>
        <v>0</v>
      </c>
      <c r="AX309" s="291" cm="1">
        <f t="array" ref="AX309">IFERROR((IF($O309=1,0,NPV('2027 Avoided Costs'!$D$6,_xlfn._xlws.FILTER('2027 Avoided Costs'!$AC$14:$AC$47,('2027 Avoided Costs'!$B$14:$B$47&gt;=$B309+1)*('2027 Avoided Costs'!$B$14:$B$47&lt;$B309+ROUND($O309,0)))))+_xlfn.XLOOKUP($B309,'2027 Avoided Costs'!$B$13:$B$47,'2027 Avoided Costs'!$AC$13:$AC$47))*IF($AO309&gt;0,$AO309*(1+$W309),0),0)</f>
        <v>0</v>
      </c>
      <c r="AY309" s="291" cm="1">
        <f t="array" ref="AY309">IFERROR((IF($O309=1,0,NPV('2027 Avoided Costs'!$D$4,_xlfn._xlws.FILTER('2027 Avoided Costs'!$I$14:$I$47,('2027 Avoided Costs'!$B$14:$B$47&gt;=$B309+1)*('2027 Avoided Costs'!$B$14:$B$47&lt;$B309+ROUND($O309,0)))))+_xlfn.XLOOKUP($B309,'2027 Avoided Costs'!$B$13:$B$47,'2027 Avoided Costs'!$I$13:$I$47))*IF($X309="Residential",'2027 Avoided Costs'!$J$5,IF($X309="Large Volume",'2027 Avoided Costs'!$J$7,'2027 Avoided Costs'!$J$6))*IF($AE309&gt;0,$AE309,0),0)</f>
        <v>0</v>
      </c>
      <c r="AZ309" s="291" cm="1">
        <f t="array" ref="AZ309">IFERROR(IF($J309="Baseload",IF($O309=1,0,NPV('2027 Avoided Costs'!$D$6,_xlfn._xlws.FILTER('2027 Avoided Costs'!$C$14:$C$47,('2027 Avoided Costs'!$B$14:$B$47&gt;=$B309+1)*('2027 Avoided Costs'!$B$14:$B$47&lt;$B309+ROUND($O309,0)))))+_xlfn.XLOOKUP($B309,'2027 Avoided Costs'!$B$13:$B$47,'2027 Avoided Costs'!$C$13:$C$47),IF($O309=1,0,NPV('2027 Avoided Costs'!$D$6,_xlfn._xlws.FILTER('2027 Avoided Costs'!$E$14:$E$47,('2027 Avoided Costs'!$B$14:$B$47&gt;=$B309+1)*('2027 Avoided Costs'!$B$14:$B$47&lt;$B309+ROUND($O309,0)))))+_xlfn.XLOOKUP($B309,'2027 Avoided Costs'!$B$13:$B$47,'2027 Avoided Costs'!$E$13:$E$47))*IF($AE309&lt;0,$AE309*(-1),0),0)</f>
        <v>0</v>
      </c>
      <c r="BA309" s="291" cm="1">
        <f t="array" ref="BA309">IFERROR((IF($O309=1,0,NPV('2027 Avoided Costs'!$D$6,_xlfn._xlws.FILTER('2027 Avoided Costs'!$M$14:$M$47,('2027 Avoided Costs'!$B$14:$B$47&gt;=$B309+1)*('2027 Avoided Costs'!$B$14:$B$47&lt;$B309+ROUND($O309,0)))))+_xlfn.XLOOKUP($B309,'2027 Avoided Costs'!$B$13:$B$47,'2027 Avoided Costs'!$M$13:$M$47))*IF($AK309&lt;0,$AK309*(-1),0),0)</f>
        <v>0</v>
      </c>
      <c r="BB309" s="291" cm="1">
        <f t="array" ref="BB309">IFERROR((IF($O309=1,0,NPV('2027 Avoided Costs'!$D$6,_xlfn._xlws.FILTER('2027 Avoided Costs'!$S$14:$S$47,('2027 Avoided Costs'!$B$14:$B$47&gt;=$B309+1)*('2027 Avoided Costs'!$B$14:$B$47&lt;$B309+ROUND($O309,0)))))+_xlfn.XLOOKUP($B309,'2027 Avoided Costs'!$B$13:$B$47,'2027 Avoided Costs'!$S$13:$S$47))*IF($AI309&lt;0,$AI309*(-1),0),0)</f>
        <v>0</v>
      </c>
      <c r="BC309" s="291" cm="1">
        <f t="array" ref="BC309">IFERROR((IF($O309=1,0,NPV('2027 Avoided Costs'!$D$6,_xlfn._xlws.FILTER('2027 Avoided Costs'!$Y$14:$Y$47,('2027 Avoided Costs'!$B$14:$B$47&gt;=$B309+1)*('2027 Avoided Costs'!$B$14:$B$47&lt;$B309+ROUND($O309,0)))))+_xlfn.XLOOKUP($B309,'2027 Avoided Costs'!$B$13:$B$47,'2027 Avoided Costs'!$Y$13:$Y$47))*IF($AM309&lt;0,$AM309*(-1),0),0)</f>
        <v>0</v>
      </c>
      <c r="BD309" s="291" cm="1">
        <f t="array" ref="BD309">IFERROR((IF($O309=1,0,NPV('2027 Avoided Costs'!$D$6,_xlfn._xlws.FILTER('2027 Avoided Costs'!$AE$14:$AE$47,('2027 Avoided Costs'!$B$14:$B$47&gt;=$B309+1)*('2027 Avoided Costs'!$B$14:$B$47&lt;$B309+ROUND($O309,0)))))+_xlfn.XLOOKUP($B309,'2027 Avoided Costs'!$B$13:$B$47,'2027 Avoided Costs'!$AE$13:$AE$47))*IF($AO309&lt;0,$AO309*(-1),0),0)</f>
        <v>0</v>
      </c>
      <c r="BE309" s="291" cm="1">
        <f t="array" ref="BE309">IFERROR((IF($O309=1,0,NPV('2027 Avoided Costs'!$D$4,_xlfn._xlws.FILTER('2027 Avoided Costs'!$I$14:$I$47,('2027 Avoided Costs'!$B$14:$B$47&gt;=$B309+1)*('2027 Avoided Costs'!$B$14:$B$47&lt;$B309+ROUND($O309,0)))))+_xlfn.XLOOKUP($B309,'2027 Avoided Costs'!$B$13:$B$47,'2027 Avoided Costs'!$I$13:$I$47))*IF($X309="Residential",'2027 Avoided Costs'!$J$5,IF($X309="Large Volume",'2027 Avoided Costs'!$J$7,'2027 Avoided Costs'!$J$6))*IF($AE309&lt;0,$AE309*(-1),0),0)</f>
        <v>0</v>
      </c>
      <c r="BF309" s="291">
        <f t="shared" si="111"/>
        <v>4655353.4169349279</v>
      </c>
      <c r="BG309" s="291">
        <f t="shared" si="112"/>
        <v>3197900</v>
      </c>
      <c r="BH309" s="291">
        <f t="shared" si="113"/>
        <v>1457453.4169349279</v>
      </c>
      <c r="BI309" s="292">
        <f t="shared" si="137"/>
        <v>1.4557532808827442</v>
      </c>
      <c r="BJ309" s="196" cm="1">
        <f t="array" ref="BJ309">IFERROR(IF($J309="Baseload",IF($O309=1,0,NPV('2027 Avoided Costs'!$D$6,_xlfn._xlws.FILTER('2027 Avoided Costs'!$C$14:$C$47,('2027 Avoided Costs'!$B$14:$B$47&gt;=$B309+1)*('2027 Avoided Costs'!$B$14:$B$47&lt;$B309+ROUND($O309,0)))))+_xlfn.XLOOKUP($B309,'2027 Avoided Costs'!$B$13:$B$47,'2027 Avoided Costs'!$C$13:$C$47),IF($O309=1,0,NPV('2027 Avoided Costs'!$D$6,_xlfn._xlws.FILTER('2027 Avoided Costs'!$E$14:$E$47,('2027 Avoided Costs'!$B$14:$B$47&gt;=$B309+1)*('2027 Avoided Costs'!$B$14:$B$47&lt;$B309+ROUND($O309,0)))))+_xlfn.XLOOKUP($B309,'2027 Avoided Costs'!$B$13:$B$47,'2027 Avoided Costs'!$E$13:$E$47))*IF($AE309&gt;0,$AE309*(1+0),0),0)</f>
        <v>4048133.4060303723</v>
      </c>
      <c r="BK309" s="293">
        <f t="shared" si="135"/>
        <v>1.2397128070945409</v>
      </c>
    </row>
    <row r="310" spans="1:63" s="56" customFormat="1" x14ac:dyDescent="0.25">
      <c r="A310" s="270" t="s">
        <v>207</v>
      </c>
      <c r="B310" s="271">
        <v>2027</v>
      </c>
      <c r="C310" s="272" t="s">
        <v>12</v>
      </c>
      <c r="D310" s="272" t="s">
        <v>21</v>
      </c>
      <c r="E310" s="272" t="s">
        <v>113</v>
      </c>
      <c r="F310" s="273">
        <v>15</v>
      </c>
      <c r="G310" s="274">
        <v>6437.1580459770121</v>
      </c>
      <c r="H310" s="275">
        <f t="shared" si="115"/>
        <v>3.9982348111658461</v>
      </c>
      <c r="I310" s="274">
        <v>0</v>
      </c>
      <c r="J310" s="276" t="s">
        <v>263</v>
      </c>
      <c r="K310" s="277">
        <f t="shared" si="114"/>
        <v>1</v>
      </c>
      <c r="L310" s="278">
        <v>0</v>
      </c>
      <c r="M310" s="278">
        <v>0</v>
      </c>
      <c r="N310" s="278">
        <v>1</v>
      </c>
      <c r="O310" s="279">
        <v>15</v>
      </c>
      <c r="P310" s="280">
        <v>1610</v>
      </c>
      <c r="Q310" s="281">
        <v>0</v>
      </c>
      <c r="R310" s="282">
        <v>0</v>
      </c>
      <c r="S310" s="282">
        <v>0</v>
      </c>
      <c r="T310" s="281">
        <v>0</v>
      </c>
      <c r="U310" s="283">
        <v>0</v>
      </c>
      <c r="V310" s="284">
        <v>6890</v>
      </c>
      <c r="W310" s="285">
        <v>0.15</v>
      </c>
      <c r="X310" s="286" t="s">
        <v>255</v>
      </c>
      <c r="Y310" s="287">
        <f t="shared" si="116"/>
        <v>15</v>
      </c>
      <c r="Z310" s="288">
        <f t="shared" si="117"/>
        <v>96557.370689655188</v>
      </c>
      <c r="AA310" s="288">
        <f t="shared" si="118"/>
        <v>0</v>
      </c>
      <c r="AB310" s="288">
        <f t="shared" si="119"/>
        <v>96557.370689655188</v>
      </c>
      <c r="AC310" s="288">
        <f t="shared" si="136"/>
        <v>0</v>
      </c>
      <c r="AD310" s="287">
        <f t="shared" si="120"/>
        <v>24150</v>
      </c>
      <c r="AE310" s="287">
        <f t="shared" si="121"/>
        <v>24150</v>
      </c>
      <c r="AF310" s="287">
        <f t="shared" si="122"/>
        <v>362250</v>
      </c>
      <c r="AG310" s="287">
        <f t="shared" si="123"/>
        <v>362250</v>
      </c>
      <c r="AH310" s="287">
        <f t="shared" si="124"/>
        <v>0</v>
      </c>
      <c r="AI310" s="287">
        <f t="shared" si="125"/>
        <v>0</v>
      </c>
      <c r="AJ310" s="287">
        <f t="shared" si="126"/>
        <v>0</v>
      </c>
      <c r="AK310" s="287">
        <f t="shared" si="127"/>
        <v>0</v>
      </c>
      <c r="AL310" s="287">
        <f t="shared" si="128"/>
        <v>0</v>
      </c>
      <c r="AM310" s="287">
        <f t="shared" si="129"/>
        <v>0</v>
      </c>
      <c r="AN310" s="287">
        <f t="shared" si="130"/>
        <v>0</v>
      </c>
      <c r="AO310" s="287">
        <f t="shared" si="131"/>
        <v>0</v>
      </c>
      <c r="AP310" s="287">
        <f t="shared" si="132"/>
        <v>103350</v>
      </c>
      <c r="AQ310" s="287">
        <f t="shared" si="133"/>
        <v>103350</v>
      </c>
      <c r="AR310" s="287">
        <f t="shared" si="134"/>
        <v>0</v>
      </c>
      <c r="AS310" s="289" t="e">
        <f>IF(J310='2027 Avoided Costs'!#REF!,3,5)</f>
        <v>#REF!</v>
      </c>
      <c r="AT310" s="290" cm="1">
        <f t="array" ref="AT310">IFERROR(IF($J310="Baseload",IF($O310=1,0,NPV('2027 Avoided Costs'!$D$6,_xlfn._xlws.FILTER('2027 Avoided Costs'!$C$14:$C$47,('2027 Avoided Costs'!$B$14:$B$47&gt;=$B310+1)*('2027 Avoided Costs'!$B$14:$B$47&lt;$B310+ROUND($O310,0)))))+_xlfn.XLOOKUP($B310,'2027 Avoided Costs'!$B$13:$B$47,'2027 Avoided Costs'!$C$13:$C$47),IF($O310=1,0,NPV('2027 Avoided Costs'!$D$6,_xlfn._xlws.FILTER('2027 Avoided Costs'!$E$14:$E$47,('2027 Avoided Costs'!$B$14:$B$47&gt;=$B310+1)*('2027 Avoided Costs'!$B$14:$B$47&lt;$B310+ROUND($O310,0)))))+_xlfn.XLOOKUP($B310,'2027 Avoided Costs'!$B$13:$B$47,'2027 Avoided Costs'!$E$13:$E$47))*IF($AE310&gt;0,$AE310*(1+$W310),0),0)</f>
        <v>84420.230457070589</v>
      </c>
      <c r="AU310" s="290" cm="1">
        <f t="array" ref="AU310">IFERROR((IF($O310=1,0,NPV('2027 Avoided Costs'!$D$6,_xlfn._xlws.FILTER('2027 Avoided Costs'!$M$14:$M$47,('2027 Avoided Costs'!$B$14:$B$47&gt;=$B310+1)*('2027 Avoided Costs'!$B$14:$B$47&lt;$B310+ROUND($O310,0)))))+_xlfn.XLOOKUP($B310,'2027 Avoided Costs'!$B$13:$B$47,'2027 Avoided Costs'!$M$13:$M$47))*IF($AK310&gt;0,$AK310*(1+$W310),0),0)</f>
        <v>0</v>
      </c>
      <c r="AV310" s="291" cm="1">
        <f t="array" ref="AV310">IFERROR((IF($O310=1,0,NPV('2027 Avoided Costs'!$D$6,_xlfn._xlws.FILTER('2027 Avoided Costs'!$Q$14:$Q$47,('2027 Avoided Costs'!$B$14:$B$47&gt;=$B310+1)*('2027 Avoided Costs'!$B$14:$B$47&lt;$B310+ROUND($O310,0)))))+_xlfn.XLOOKUP($B310,'2027 Avoided Costs'!$B$13:$B$47,'2027 Avoided Costs'!$Q$13:$Q$47))*IF($AI310&gt;0,$AI310*(1+$W310),0),0)</f>
        <v>0</v>
      </c>
      <c r="AW310" s="291" cm="1">
        <f t="array" ref="AW310">IFERROR((IF($O310=1,0,NPV('2027 Avoided Costs'!$D$6,_xlfn._xlws.FILTER('2027 Avoided Costs'!$W$14:$W$47,('2027 Avoided Costs'!$B$14:$B$47&gt;=$B310+1)*('2027 Avoided Costs'!$B$14:$B$47&lt;$B310+ROUND($O310,0)))))+_xlfn.XLOOKUP($B310,'2027 Avoided Costs'!$B$13:$B$47,'2027 Avoided Costs'!$W$13:$W$47))*IF($AM310&gt;0,$AM310*(1+$W310),0),0)</f>
        <v>0</v>
      </c>
      <c r="AX310" s="291" cm="1">
        <f t="array" ref="AX310">IFERROR((IF($O310=1,0,NPV('2027 Avoided Costs'!$D$6,_xlfn._xlws.FILTER('2027 Avoided Costs'!$AC$14:$AC$47,('2027 Avoided Costs'!$B$14:$B$47&gt;=$B310+1)*('2027 Avoided Costs'!$B$14:$B$47&lt;$B310+ROUND($O310,0)))))+_xlfn.XLOOKUP($B310,'2027 Avoided Costs'!$B$13:$B$47,'2027 Avoided Costs'!$AC$13:$AC$47))*IF($AO310&gt;0,$AO310*(1+$W310),0),0)</f>
        <v>0</v>
      </c>
      <c r="AY310" s="291" cm="1">
        <f t="array" ref="AY310">IFERROR((IF($O310=1,0,NPV('2027 Avoided Costs'!$D$4,_xlfn._xlws.FILTER('2027 Avoided Costs'!$I$14:$I$47,('2027 Avoided Costs'!$B$14:$B$47&gt;=$B310+1)*('2027 Avoided Costs'!$B$14:$B$47&lt;$B310+ROUND($O310,0)))))+_xlfn.XLOOKUP($B310,'2027 Avoided Costs'!$B$13:$B$47,'2027 Avoided Costs'!$I$13:$I$47))*IF($X310="Residential",'2027 Avoided Costs'!$J$5,IF($X310="Large Volume",'2027 Avoided Costs'!$J$7,'2027 Avoided Costs'!$J$6))*IF($AE310&gt;0,$AE310,0),0)</f>
        <v>0</v>
      </c>
      <c r="AZ310" s="291" cm="1">
        <f t="array" ref="AZ310">IFERROR(IF($J310="Baseload",IF($O310=1,0,NPV('2027 Avoided Costs'!$D$6,_xlfn._xlws.FILTER('2027 Avoided Costs'!$C$14:$C$47,('2027 Avoided Costs'!$B$14:$B$47&gt;=$B310+1)*('2027 Avoided Costs'!$B$14:$B$47&lt;$B310+ROUND($O310,0)))))+_xlfn.XLOOKUP($B310,'2027 Avoided Costs'!$B$13:$B$47,'2027 Avoided Costs'!$C$13:$C$47),IF($O310=1,0,NPV('2027 Avoided Costs'!$D$6,_xlfn._xlws.FILTER('2027 Avoided Costs'!$E$14:$E$47,('2027 Avoided Costs'!$B$14:$B$47&gt;=$B310+1)*('2027 Avoided Costs'!$B$14:$B$47&lt;$B310+ROUND($O310,0)))))+_xlfn.XLOOKUP($B310,'2027 Avoided Costs'!$B$13:$B$47,'2027 Avoided Costs'!$E$13:$E$47))*IF($AE310&lt;0,$AE310*(-1),0),0)</f>
        <v>0</v>
      </c>
      <c r="BA310" s="291" cm="1">
        <f t="array" ref="BA310">IFERROR((IF($O310=1,0,NPV('2027 Avoided Costs'!$D$6,_xlfn._xlws.FILTER('2027 Avoided Costs'!$M$14:$M$47,('2027 Avoided Costs'!$B$14:$B$47&gt;=$B310+1)*('2027 Avoided Costs'!$B$14:$B$47&lt;$B310+ROUND($O310,0)))))+_xlfn.XLOOKUP($B310,'2027 Avoided Costs'!$B$13:$B$47,'2027 Avoided Costs'!$M$13:$M$47))*IF($AK310&lt;0,$AK310*(-1),0),0)</f>
        <v>0</v>
      </c>
      <c r="BB310" s="291" cm="1">
        <f t="array" ref="BB310">IFERROR((IF($O310=1,0,NPV('2027 Avoided Costs'!$D$6,_xlfn._xlws.FILTER('2027 Avoided Costs'!$S$14:$S$47,('2027 Avoided Costs'!$B$14:$B$47&gt;=$B310+1)*('2027 Avoided Costs'!$B$14:$B$47&lt;$B310+ROUND($O310,0)))))+_xlfn.XLOOKUP($B310,'2027 Avoided Costs'!$B$13:$B$47,'2027 Avoided Costs'!$S$13:$S$47))*IF($AI310&lt;0,$AI310*(-1),0),0)</f>
        <v>0</v>
      </c>
      <c r="BC310" s="291" cm="1">
        <f t="array" ref="BC310">IFERROR((IF($O310=1,0,NPV('2027 Avoided Costs'!$D$6,_xlfn._xlws.FILTER('2027 Avoided Costs'!$Y$14:$Y$47,('2027 Avoided Costs'!$B$14:$B$47&gt;=$B310+1)*('2027 Avoided Costs'!$B$14:$B$47&lt;$B310+ROUND($O310,0)))))+_xlfn.XLOOKUP($B310,'2027 Avoided Costs'!$B$13:$B$47,'2027 Avoided Costs'!$Y$13:$Y$47))*IF($AM310&lt;0,$AM310*(-1),0),0)</f>
        <v>0</v>
      </c>
      <c r="BD310" s="291" cm="1">
        <f t="array" ref="BD310">IFERROR((IF($O310=1,0,NPV('2027 Avoided Costs'!$D$6,_xlfn._xlws.FILTER('2027 Avoided Costs'!$AE$14:$AE$47,('2027 Avoided Costs'!$B$14:$B$47&gt;=$B310+1)*('2027 Avoided Costs'!$B$14:$B$47&lt;$B310+ROUND($O310,0)))))+_xlfn.XLOOKUP($B310,'2027 Avoided Costs'!$B$13:$B$47,'2027 Avoided Costs'!$AE$13:$AE$47))*IF($AO310&lt;0,$AO310*(-1),0),0)</f>
        <v>0</v>
      </c>
      <c r="BE310" s="291" cm="1">
        <f t="array" ref="BE310">IFERROR((IF($O310=1,0,NPV('2027 Avoided Costs'!$D$4,_xlfn._xlws.FILTER('2027 Avoided Costs'!$I$14:$I$47,('2027 Avoided Costs'!$B$14:$B$47&gt;=$B310+1)*('2027 Avoided Costs'!$B$14:$B$47&lt;$B310+ROUND($O310,0)))))+_xlfn.XLOOKUP($B310,'2027 Avoided Costs'!$B$13:$B$47,'2027 Avoided Costs'!$I$13:$I$47))*IF($X310="Residential",'2027 Avoided Costs'!$J$5,IF($X310="Large Volume",'2027 Avoided Costs'!$J$7,'2027 Avoided Costs'!$J$6))*IF($AE310&lt;0,$AE310*(-1),0),0)</f>
        <v>0</v>
      </c>
      <c r="BF310" s="291">
        <f t="shared" si="111"/>
        <v>84420.230457070589</v>
      </c>
      <c r="BG310" s="291">
        <f t="shared" si="112"/>
        <v>103350</v>
      </c>
      <c r="BH310" s="291">
        <f t="shared" si="113"/>
        <v>-18929.769542929411</v>
      </c>
      <c r="BI310" s="292">
        <f t="shared" si="137"/>
        <v>0.81683822406454365</v>
      </c>
      <c r="BJ310" s="196" cm="1">
        <f t="array" ref="BJ310">IFERROR(IF($J310="Baseload",IF($O310=1,0,NPV('2027 Avoided Costs'!$D$6,_xlfn._xlws.FILTER('2027 Avoided Costs'!$C$14:$C$47,('2027 Avoided Costs'!$B$14:$B$47&gt;=$B310+1)*('2027 Avoided Costs'!$B$14:$B$47&lt;$B310+ROUND($O310,0)))))+_xlfn.XLOOKUP($B310,'2027 Avoided Costs'!$B$13:$B$47,'2027 Avoided Costs'!$C$13:$C$47),IF($O310=1,0,NPV('2027 Avoided Costs'!$D$6,_xlfn._xlws.FILTER('2027 Avoided Costs'!$E$14:$E$47,('2027 Avoided Costs'!$B$14:$B$47&gt;=$B310+1)*('2027 Avoided Costs'!$B$14:$B$47&lt;$B310+ROUND($O310,0)))))+_xlfn.XLOOKUP($B310,'2027 Avoided Costs'!$B$13:$B$47,'2027 Avoided Costs'!$E$13:$E$47))*IF($AE310&gt;0,$AE310*(1+0),0),0)</f>
        <v>73408.896049626608</v>
      </c>
      <c r="BK310" s="293">
        <f t="shared" si="135"/>
        <v>0.76026196162248416</v>
      </c>
    </row>
    <row r="311" spans="1:63" s="56" customFormat="1" x14ac:dyDescent="0.25">
      <c r="A311" s="270" t="s">
        <v>207</v>
      </c>
      <c r="B311" s="271">
        <v>2027</v>
      </c>
      <c r="C311" s="272" t="s">
        <v>12</v>
      </c>
      <c r="D311" s="272" t="s">
        <v>21</v>
      </c>
      <c r="E311" s="272" t="s">
        <v>114</v>
      </c>
      <c r="F311" s="273">
        <v>5</v>
      </c>
      <c r="G311" s="274">
        <v>4611.8641114982574</v>
      </c>
      <c r="H311" s="275">
        <f t="shared" si="115"/>
        <v>1.7595818815331008</v>
      </c>
      <c r="I311" s="274">
        <v>0</v>
      </c>
      <c r="J311" s="276" t="s">
        <v>263</v>
      </c>
      <c r="K311" s="277">
        <f t="shared" si="114"/>
        <v>1</v>
      </c>
      <c r="L311" s="278">
        <v>0</v>
      </c>
      <c r="M311" s="278">
        <v>0</v>
      </c>
      <c r="N311" s="278">
        <v>1</v>
      </c>
      <c r="O311" s="279">
        <v>15</v>
      </c>
      <c r="P311" s="280">
        <v>2621</v>
      </c>
      <c r="Q311" s="281">
        <v>-280</v>
      </c>
      <c r="R311" s="282">
        <v>0</v>
      </c>
      <c r="S311" s="282">
        <v>0</v>
      </c>
      <c r="T311" s="281">
        <v>0</v>
      </c>
      <c r="U311" s="283">
        <v>0</v>
      </c>
      <c r="V311" s="284">
        <v>6718</v>
      </c>
      <c r="W311" s="285">
        <v>0.15</v>
      </c>
      <c r="X311" s="286" t="s">
        <v>255</v>
      </c>
      <c r="Y311" s="287">
        <f t="shared" si="116"/>
        <v>5</v>
      </c>
      <c r="Z311" s="288">
        <f t="shared" si="117"/>
        <v>23059.320557491286</v>
      </c>
      <c r="AA311" s="288">
        <f t="shared" si="118"/>
        <v>0</v>
      </c>
      <c r="AB311" s="288">
        <f t="shared" si="119"/>
        <v>23059.320557491286</v>
      </c>
      <c r="AC311" s="288">
        <f t="shared" si="136"/>
        <v>0</v>
      </c>
      <c r="AD311" s="287">
        <f t="shared" si="120"/>
        <v>13105</v>
      </c>
      <c r="AE311" s="287">
        <f t="shared" si="121"/>
        <v>13105</v>
      </c>
      <c r="AF311" s="287">
        <f t="shared" si="122"/>
        <v>196575</v>
      </c>
      <c r="AG311" s="287">
        <f t="shared" si="123"/>
        <v>196575</v>
      </c>
      <c r="AH311" s="287">
        <f t="shared" si="124"/>
        <v>-1500.8000000000002</v>
      </c>
      <c r="AI311" s="287">
        <f t="shared" si="125"/>
        <v>-1500.8000000000002</v>
      </c>
      <c r="AJ311" s="287">
        <f t="shared" si="126"/>
        <v>0</v>
      </c>
      <c r="AK311" s="287">
        <f t="shared" si="127"/>
        <v>0</v>
      </c>
      <c r="AL311" s="287">
        <f t="shared" si="128"/>
        <v>0</v>
      </c>
      <c r="AM311" s="287">
        <f t="shared" si="129"/>
        <v>0</v>
      </c>
      <c r="AN311" s="287">
        <f t="shared" si="130"/>
        <v>0</v>
      </c>
      <c r="AO311" s="287">
        <f t="shared" si="131"/>
        <v>0</v>
      </c>
      <c r="AP311" s="287">
        <f t="shared" si="132"/>
        <v>33590</v>
      </c>
      <c r="AQ311" s="287">
        <f t="shared" si="133"/>
        <v>33590</v>
      </c>
      <c r="AR311" s="287">
        <f t="shared" si="134"/>
        <v>0</v>
      </c>
      <c r="AS311" s="289" t="e">
        <f>IF(J311='2027 Avoided Costs'!#REF!,3,5)</f>
        <v>#REF!</v>
      </c>
      <c r="AT311" s="290" cm="1">
        <f t="array" ref="AT311">IFERROR(IF($J311="Baseload",IF($O311=1,0,NPV('2027 Avoided Costs'!$D$6,_xlfn._xlws.FILTER('2027 Avoided Costs'!$C$14:$C$47,('2027 Avoided Costs'!$B$14:$B$47&gt;=$B311+1)*('2027 Avoided Costs'!$B$14:$B$47&lt;$B311+ROUND($O311,0)))))+_xlfn.XLOOKUP($B311,'2027 Avoided Costs'!$B$13:$B$47,'2027 Avoided Costs'!$C$13:$C$47),IF($O311=1,0,NPV('2027 Avoided Costs'!$D$6,_xlfn._xlws.FILTER('2027 Avoided Costs'!$E$14:$E$47,('2027 Avoided Costs'!$B$14:$B$47&gt;=$B311+1)*('2027 Avoided Costs'!$B$14:$B$47&lt;$B311+ROUND($O311,0)))))+_xlfn.XLOOKUP($B311,'2027 Avoided Costs'!$B$13:$B$47,'2027 Avoided Costs'!$E$13:$E$47))*IF($AE311&gt;0,$AE311*(1+$W311),0),0)</f>
        <v>45810.64679668365</v>
      </c>
      <c r="AU311" s="290" cm="1">
        <f t="array" ref="AU311">IFERROR((IF($O311=1,0,NPV('2027 Avoided Costs'!$D$6,_xlfn._xlws.FILTER('2027 Avoided Costs'!$M$14:$M$47,('2027 Avoided Costs'!$B$14:$B$47&gt;=$B311+1)*('2027 Avoided Costs'!$B$14:$B$47&lt;$B311+ROUND($O311,0)))))+_xlfn.XLOOKUP($B311,'2027 Avoided Costs'!$B$13:$B$47,'2027 Avoided Costs'!$M$13:$M$47))*IF($AK311&gt;0,$AK311*(1+$W311),0),0)</f>
        <v>0</v>
      </c>
      <c r="AV311" s="291" cm="1">
        <f t="array" ref="AV311">IFERROR((IF($O311=1,0,NPV('2027 Avoided Costs'!$D$6,_xlfn._xlws.FILTER('2027 Avoided Costs'!$Q$14:$Q$47,('2027 Avoided Costs'!$B$14:$B$47&gt;=$B311+1)*('2027 Avoided Costs'!$B$14:$B$47&lt;$B311+ROUND($O311,0)))))+_xlfn.XLOOKUP($B311,'2027 Avoided Costs'!$B$13:$B$47,'2027 Avoided Costs'!$Q$13:$Q$47))*IF($AI311&gt;0,$AI311*(1+$W311),0),0)</f>
        <v>0</v>
      </c>
      <c r="AW311" s="291" cm="1">
        <f t="array" ref="AW311">IFERROR((IF($O311=1,0,NPV('2027 Avoided Costs'!$D$6,_xlfn._xlws.FILTER('2027 Avoided Costs'!$W$14:$W$47,('2027 Avoided Costs'!$B$14:$B$47&gt;=$B311+1)*('2027 Avoided Costs'!$B$14:$B$47&lt;$B311+ROUND($O311,0)))))+_xlfn.XLOOKUP($B311,'2027 Avoided Costs'!$B$13:$B$47,'2027 Avoided Costs'!$W$13:$W$47))*IF($AM311&gt;0,$AM311*(1+$W311),0),0)</f>
        <v>0</v>
      </c>
      <c r="AX311" s="291" cm="1">
        <f t="array" ref="AX311">IFERROR((IF($O311=1,0,NPV('2027 Avoided Costs'!$D$6,_xlfn._xlws.FILTER('2027 Avoided Costs'!$AC$14:$AC$47,('2027 Avoided Costs'!$B$14:$B$47&gt;=$B311+1)*('2027 Avoided Costs'!$B$14:$B$47&lt;$B311+ROUND($O311,0)))))+_xlfn.XLOOKUP($B311,'2027 Avoided Costs'!$B$13:$B$47,'2027 Avoided Costs'!$AC$13:$AC$47))*IF($AO311&gt;0,$AO311*(1+$W311),0),0)</f>
        <v>0</v>
      </c>
      <c r="AY311" s="291" cm="1">
        <f t="array" ref="AY311">IFERROR((IF($O311=1,0,NPV('2027 Avoided Costs'!$D$4,_xlfn._xlws.FILTER('2027 Avoided Costs'!$I$14:$I$47,('2027 Avoided Costs'!$B$14:$B$47&gt;=$B311+1)*('2027 Avoided Costs'!$B$14:$B$47&lt;$B311+ROUND($O311,0)))))+_xlfn.XLOOKUP($B311,'2027 Avoided Costs'!$B$13:$B$47,'2027 Avoided Costs'!$I$13:$I$47))*IF($X311="Residential",'2027 Avoided Costs'!$J$5,IF($X311="Large Volume",'2027 Avoided Costs'!$J$7,'2027 Avoided Costs'!$J$6))*IF($AE311&gt;0,$AE311,0),0)</f>
        <v>0</v>
      </c>
      <c r="AZ311" s="291" cm="1">
        <f t="array" ref="AZ311">IFERROR(IF($J311="Baseload",IF($O311=1,0,NPV('2027 Avoided Costs'!$D$6,_xlfn._xlws.FILTER('2027 Avoided Costs'!$C$14:$C$47,('2027 Avoided Costs'!$B$14:$B$47&gt;=$B311+1)*('2027 Avoided Costs'!$B$14:$B$47&lt;$B311+ROUND($O311,0)))))+_xlfn.XLOOKUP($B311,'2027 Avoided Costs'!$B$13:$B$47,'2027 Avoided Costs'!$C$13:$C$47),IF($O311=1,0,NPV('2027 Avoided Costs'!$D$6,_xlfn._xlws.FILTER('2027 Avoided Costs'!$E$14:$E$47,('2027 Avoided Costs'!$B$14:$B$47&gt;=$B311+1)*('2027 Avoided Costs'!$B$14:$B$47&lt;$B311+ROUND($O311,0)))))+_xlfn.XLOOKUP($B311,'2027 Avoided Costs'!$B$13:$B$47,'2027 Avoided Costs'!$E$13:$E$47))*IF($AE311&lt;0,$AE311*(-1),0),0)</f>
        <v>0</v>
      </c>
      <c r="BA311" s="291" cm="1">
        <f t="array" ref="BA311">IFERROR((IF($O311=1,0,NPV('2027 Avoided Costs'!$D$6,_xlfn._xlws.FILTER('2027 Avoided Costs'!$M$14:$M$47,('2027 Avoided Costs'!$B$14:$B$47&gt;=$B311+1)*('2027 Avoided Costs'!$B$14:$B$47&lt;$B311+ROUND($O311,0)))))+_xlfn.XLOOKUP($B311,'2027 Avoided Costs'!$B$13:$B$47,'2027 Avoided Costs'!$M$13:$M$47))*IF($AK311&lt;0,$AK311*(-1),0),0)</f>
        <v>0</v>
      </c>
      <c r="BB311" s="291" cm="1">
        <f t="array" ref="BB311">IFERROR((IF($O311=1,0,NPV('2027 Avoided Costs'!$D$6,_xlfn._xlws.FILTER('2027 Avoided Costs'!$S$14:$S$47,('2027 Avoided Costs'!$B$14:$B$47&gt;=$B311+1)*('2027 Avoided Costs'!$B$14:$B$47&lt;$B311+ROUND($O311,0)))))+_xlfn.XLOOKUP($B311,'2027 Avoided Costs'!$B$13:$B$47,'2027 Avoided Costs'!$S$13:$S$47))*IF($AI311&lt;0,$AI311*(-1),0),0)</f>
        <v>864.00218184253276</v>
      </c>
      <c r="BC311" s="291" cm="1">
        <f t="array" ref="BC311">IFERROR((IF($O311=1,0,NPV('2027 Avoided Costs'!$D$6,_xlfn._xlws.FILTER('2027 Avoided Costs'!$Y$14:$Y$47,('2027 Avoided Costs'!$B$14:$B$47&gt;=$B311+1)*('2027 Avoided Costs'!$B$14:$B$47&lt;$B311+ROUND($O311,0)))))+_xlfn.XLOOKUP($B311,'2027 Avoided Costs'!$B$13:$B$47,'2027 Avoided Costs'!$Y$13:$Y$47))*IF($AM311&lt;0,$AM311*(-1),0),0)</f>
        <v>0</v>
      </c>
      <c r="BD311" s="291" cm="1">
        <f t="array" ref="BD311">IFERROR((IF($O311=1,0,NPV('2027 Avoided Costs'!$D$6,_xlfn._xlws.FILTER('2027 Avoided Costs'!$AE$14:$AE$47,('2027 Avoided Costs'!$B$14:$B$47&gt;=$B311+1)*('2027 Avoided Costs'!$B$14:$B$47&lt;$B311+ROUND($O311,0)))))+_xlfn.XLOOKUP($B311,'2027 Avoided Costs'!$B$13:$B$47,'2027 Avoided Costs'!$AE$13:$AE$47))*IF($AO311&lt;0,$AO311*(-1),0),0)</f>
        <v>0</v>
      </c>
      <c r="BE311" s="291" cm="1">
        <f t="array" ref="BE311">IFERROR((IF($O311=1,0,NPV('2027 Avoided Costs'!$D$4,_xlfn._xlws.FILTER('2027 Avoided Costs'!$I$14:$I$47,('2027 Avoided Costs'!$B$14:$B$47&gt;=$B311+1)*('2027 Avoided Costs'!$B$14:$B$47&lt;$B311+ROUND($O311,0)))))+_xlfn.XLOOKUP($B311,'2027 Avoided Costs'!$B$13:$B$47,'2027 Avoided Costs'!$I$13:$I$47))*IF($X311="Residential",'2027 Avoided Costs'!$J$5,IF($X311="Large Volume",'2027 Avoided Costs'!$J$7,'2027 Avoided Costs'!$J$6))*IF($AE311&lt;0,$AE311*(-1),0),0)</f>
        <v>0</v>
      </c>
      <c r="BF311" s="291">
        <f t="shared" si="111"/>
        <v>45810.64679668365</v>
      </c>
      <c r="BG311" s="291">
        <f t="shared" si="112"/>
        <v>34454.00218184253</v>
      </c>
      <c r="BH311" s="291">
        <f t="shared" si="113"/>
        <v>11356.64461484112</v>
      </c>
      <c r="BI311" s="292">
        <f t="shared" si="137"/>
        <v>1.3296175740310987</v>
      </c>
      <c r="BJ311" s="196" cm="1">
        <f t="array" ref="BJ311">IFERROR(IF($J311="Baseload",IF($O311=1,0,NPV('2027 Avoided Costs'!$D$6,_xlfn._xlws.FILTER('2027 Avoided Costs'!$C$14:$C$47,('2027 Avoided Costs'!$B$14:$B$47&gt;=$B311+1)*('2027 Avoided Costs'!$B$14:$B$47&lt;$B311+ROUND($O311,0)))))+_xlfn.XLOOKUP($B311,'2027 Avoided Costs'!$B$13:$B$47,'2027 Avoided Costs'!$C$13:$C$47),IF($O311=1,0,NPV('2027 Avoided Costs'!$D$6,_xlfn._xlws.FILTER('2027 Avoided Costs'!$E$14:$E$47,('2027 Avoided Costs'!$B$14:$B$47&gt;=$B311+1)*('2027 Avoided Costs'!$B$14:$B$47&lt;$B311+ROUND($O311,0)))))+_xlfn.XLOOKUP($B311,'2027 Avoided Costs'!$B$13:$B$47,'2027 Avoided Costs'!$E$13:$E$47))*IF($AE311&gt;0,$AE311*(1+0),0),0)</f>
        <v>39835.345040594482</v>
      </c>
      <c r="BK311" s="293">
        <f t="shared" si="135"/>
        <v>1.7275159925582961</v>
      </c>
    </row>
    <row r="312" spans="1:63" s="56" customFormat="1" x14ac:dyDescent="0.25">
      <c r="A312" s="270" t="s">
        <v>207</v>
      </c>
      <c r="B312" s="271">
        <v>2027</v>
      </c>
      <c r="C312" s="272" t="s">
        <v>12</v>
      </c>
      <c r="D312" s="272" t="s">
        <v>21</v>
      </c>
      <c r="E312" s="272" t="s">
        <v>115</v>
      </c>
      <c r="F312" s="273">
        <v>4</v>
      </c>
      <c r="G312" s="274">
        <v>4925.6000000000004</v>
      </c>
      <c r="H312" s="275">
        <f t="shared" si="115"/>
        <v>1.9998375964271216</v>
      </c>
      <c r="I312" s="274">
        <v>0</v>
      </c>
      <c r="J312" s="276" t="s">
        <v>264</v>
      </c>
      <c r="K312" s="277">
        <f t="shared" ref="K312:K351" si="138">1-L312+M312</f>
        <v>1</v>
      </c>
      <c r="L312" s="278">
        <v>0</v>
      </c>
      <c r="M312" s="278">
        <v>0</v>
      </c>
      <c r="N312" s="278">
        <v>1</v>
      </c>
      <c r="O312" s="279">
        <v>14</v>
      </c>
      <c r="P312" s="280">
        <v>2463</v>
      </c>
      <c r="Q312" s="281">
        <v>-280.95999999999998</v>
      </c>
      <c r="R312" s="282">
        <v>-0.17121387044009462</v>
      </c>
      <c r="S312" s="282">
        <v>-5.0571022186378926E-2</v>
      </c>
      <c r="T312" s="281">
        <v>0</v>
      </c>
      <c r="U312" s="283">
        <v>0</v>
      </c>
      <c r="V312" s="284">
        <v>9951</v>
      </c>
      <c r="W312" s="285">
        <v>0.15</v>
      </c>
      <c r="X312" s="286" t="s">
        <v>255</v>
      </c>
      <c r="Y312" s="287">
        <f t="shared" si="116"/>
        <v>4</v>
      </c>
      <c r="Z312" s="288">
        <f t="shared" si="117"/>
        <v>19702.400000000001</v>
      </c>
      <c r="AA312" s="288">
        <f t="shared" si="118"/>
        <v>0</v>
      </c>
      <c r="AB312" s="288">
        <f t="shared" si="119"/>
        <v>19702.400000000001</v>
      </c>
      <c r="AC312" s="288">
        <f t="shared" si="136"/>
        <v>0</v>
      </c>
      <c r="AD312" s="287">
        <f t="shared" si="120"/>
        <v>9852</v>
      </c>
      <c r="AE312" s="287">
        <f t="shared" si="121"/>
        <v>9852</v>
      </c>
      <c r="AF312" s="287">
        <f t="shared" si="122"/>
        <v>137928</v>
      </c>
      <c r="AG312" s="287">
        <f t="shared" si="123"/>
        <v>137928</v>
      </c>
      <c r="AH312" s="287">
        <f t="shared" si="124"/>
        <v>-1204.75648</v>
      </c>
      <c r="AI312" s="287">
        <f t="shared" si="125"/>
        <v>-1204.75648</v>
      </c>
      <c r="AJ312" s="287">
        <f t="shared" si="126"/>
        <v>0</v>
      </c>
      <c r="AK312" s="287">
        <f t="shared" si="127"/>
        <v>0</v>
      </c>
      <c r="AL312" s="287">
        <f t="shared" si="128"/>
        <v>-0.73416507644712581</v>
      </c>
      <c r="AM312" s="287">
        <f t="shared" si="129"/>
        <v>-0.73416507644712581</v>
      </c>
      <c r="AN312" s="287">
        <f t="shared" si="130"/>
        <v>-0.21684854313519286</v>
      </c>
      <c r="AO312" s="287">
        <f t="shared" si="131"/>
        <v>-0.21684854313519286</v>
      </c>
      <c r="AP312" s="287">
        <f t="shared" si="132"/>
        <v>39804</v>
      </c>
      <c r="AQ312" s="287">
        <f t="shared" si="133"/>
        <v>39804</v>
      </c>
      <c r="AR312" s="287">
        <f t="shared" si="134"/>
        <v>0</v>
      </c>
      <c r="AS312" s="289" t="e">
        <f>IF(J312='2027 Avoided Costs'!#REF!,3,5)</f>
        <v>#REF!</v>
      </c>
      <c r="AT312" s="290" cm="1">
        <f t="array" ref="AT312">IFERROR(IF($J312="Baseload",IF($O312=1,0,NPV('2027 Avoided Costs'!$D$6,_xlfn._xlws.FILTER('2027 Avoided Costs'!$C$14:$C$47,('2027 Avoided Costs'!$B$14:$B$47&gt;=$B312+1)*('2027 Avoided Costs'!$B$14:$B$47&lt;$B312+ROUND($O312,0)))))+_xlfn.XLOOKUP($B312,'2027 Avoided Costs'!$B$13:$B$47,'2027 Avoided Costs'!$C$13:$C$47),IF($O312=1,0,NPV('2027 Avoided Costs'!$D$6,_xlfn._xlws.FILTER('2027 Avoided Costs'!$E$14:$E$47,('2027 Avoided Costs'!$B$14:$B$47&gt;=$B312+1)*('2027 Avoided Costs'!$B$14:$B$47&lt;$B312+ROUND($O312,0)))))+_xlfn.XLOOKUP($B312,'2027 Avoided Costs'!$B$13:$B$47,'2027 Avoided Costs'!$E$13:$E$47))*IF($AE312&gt;0,$AE312*(1+$W312),0),0)</f>
        <v>36747.234913350811</v>
      </c>
      <c r="AU312" s="290" cm="1">
        <f t="array" ref="AU312">IFERROR((IF($O312=1,0,NPV('2027 Avoided Costs'!$D$6,_xlfn._xlws.FILTER('2027 Avoided Costs'!$M$14:$M$47,('2027 Avoided Costs'!$B$14:$B$47&gt;=$B312+1)*('2027 Avoided Costs'!$B$14:$B$47&lt;$B312+ROUND($O312,0)))))+_xlfn.XLOOKUP($B312,'2027 Avoided Costs'!$B$13:$B$47,'2027 Avoided Costs'!$M$13:$M$47))*IF($AK312&gt;0,$AK312*(1+$W312),0),0)</f>
        <v>0</v>
      </c>
      <c r="AV312" s="291" cm="1">
        <f t="array" ref="AV312">IFERROR((IF($O312=1,0,NPV('2027 Avoided Costs'!$D$6,_xlfn._xlws.FILTER('2027 Avoided Costs'!$Q$14:$Q$47,('2027 Avoided Costs'!$B$14:$B$47&gt;=$B312+1)*('2027 Avoided Costs'!$B$14:$B$47&lt;$B312+ROUND($O312,0)))))+_xlfn.XLOOKUP($B312,'2027 Avoided Costs'!$B$13:$B$47,'2027 Avoided Costs'!$Q$13:$Q$47))*IF($AI312&gt;0,$AI312*(1+$W312),0),0)</f>
        <v>0</v>
      </c>
      <c r="AW312" s="291" cm="1">
        <f t="array" ref="AW312">IFERROR((IF($O312=1,0,NPV('2027 Avoided Costs'!$D$6,_xlfn._xlws.FILTER('2027 Avoided Costs'!$W$14:$W$47,('2027 Avoided Costs'!$B$14:$B$47&gt;=$B312+1)*('2027 Avoided Costs'!$B$14:$B$47&lt;$B312+ROUND($O312,0)))))+_xlfn.XLOOKUP($B312,'2027 Avoided Costs'!$B$13:$B$47,'2027 Avoided Costs'!$W$13:$W$47))*IF($AM312&gt;0,$AM312*(1+$W312),0),0)</f>
        <v>0</v>
      </c>
      <c r="AX312" s="291" cm="1">
        <f t="array" ref="AX312">IFERROR((IF($O312=1,0,NPV('2027 Avoided Costs'!$D$6,_xlfn._xlws.FILTER('2027 Avoided Costs'!$AC$14:$AC$47,('2027 Avoided Costs'!$B$14:$B$47&gt;=$B312+1)*('2027 Avoided Costs'!$B$14:$B$47&lt;$B312+ROUND($O312,0)))))+_xlfn.XLOOKUP($B312,'2027 Avoided Costs'!$B$13:$B$47,'2027 Avoided Costs'!$AC$13:$AC$47))*IF($AO312&gt;0,$AO312*(1+$W312),0),0)</f>
        <v>0</v>
      </c>
      <c r="AY312" s="291" cm="1">
        <f t="array" ref="AY312">IFERROR((IF($O312=1,0,NPV('2027 Avoided Costs'!$D$4,_xlfn._xlws.FILTER('2027 Avoided Costs'!$I$14:$I$47,('2027 Avoided Costs'!$B$14:$B$47&gt;=$B312+1)*('2027 Avoided Costs'!$B$14:$B$47&lt;$B312+ROUND($O312,0)))))+_xlfn.XLOOKUP($B312,'2027 Avoided Costs'!$B$13:$B$47,'2027 Avoided Costs'!$I$13:$I$47))*IF($X312="Residential",'2027 Avoided Costs'!$J$5,IF($X312="Large Volume",'2027 Avoided Costs'!$J$7,'2027 Avoided Costs'!$J$6))*IF($AE312&gt;0,$AE312,0),0)</f>
        <v>0</v>
      </c>
      <c r="AZ312" s="291" cm="1">
        <f t="array" ref="AZ312">IFERROR(IF($J312="Baseload",IF($O312=1,0,NPV('2027 Avoided Costs'!$D$6,_xlfn._xlws.FILTER('2027 Avoided Costs'!$C$14:$C$47,('2027 Avoided Costs'!$B$14:$B$47&gt;=$B312+1)*('2027 Avoided Costs'!$B$14:$B$47&lt;$B312+ROUND($O312,0)))))+_xlfn.XLOOKUP($B312,'2027 Avoided Costs'!$B$13:$B$47,'2027 Avoided Costs'!$C$13:$C$47),IF($O312=1,0,NPV('2027 Avoided Costs'!$D$6,_xlfn._xlws.FILTER('2027 Avoided Costs'!$E$14:$E$47,('2027 Avoided Costs'!$B$14:$B$47&gt;=$B312+1)*('2027 Avoided Costs'!$B$14:$B$47&lt;$B312+ROUND($O312,0)))))+_xlfn.XLOOKUP($B312,'2027 Avoided Costs'!$B$13:$B$47,'2027 Avoided Costs'!$E$13:$E$47))*IF($AE312&lt;0,$AE312*(-1),0),0)</f>
        <v>0</v>
      </c>
      <c r="BA312" s="291" cm="1">
        <f t="array" ref="BA312">IFERROR((IF($O312=1,0,NPV('2027 Avoided Costs'!$D$6,_xlfn._xlws.FILTER('2027 Avoided Costs'!$M$14:$M$47,('2027 Avoided Costs'!$B$14:$B$47&gt;=$B312+1)*('2027 Avoided Costs'!$B$14:$B$47&lt;$B312+ROUND($O312,0)))))+_xlfn.XLOOKUP($B312,'2027 Avoided Costs'!$B$13:$B$47,'2027 Avoided Costs'!$M$13:$M$47))*IF($AK312&lt;0,$AK312*(-1),0),0)</f>
        <v>0</v>
      </c>
      <c r="BB312" s="291" cm="1">
        <f t="array" ref="BB312">IFERROR((IF($O312=1,0,NPV('2027 Avoided Costs'!$D$6,_xlfn._xlws.FILTER('2027 Avoided Costs'!$S$14:$S$47,('2027 Avoided Costs'!$B$14:$B$47&gt;=$B312+1)*('2027 Avoided Costs'!$B$14:$B$47&lt;$B312+ROUND($O312,0)))))+_xlfn.XLOOKUP($B312,'2027 Avoided Costs'!$B$13:$B$47,'2027 Avoided Costs'!$S$13:$S$47))*IF($AI312&lt;0,$AI312*(-1),0),0)</f>
        <v>660.67979263219479</v>
      </c>
      <c r="BC312" s="291" cm="1">
        <f t="array" ref="BC312">IFERROR((IF($O312=1,0,NPV('2027 Avoided Costs'!$D$6,_xlfn._xlws.FILTER('2027 Avoided Costs'!$Y$14:$Y$47,('2027 Avoided Costs'!$B$14:$B$47&gt;=$B312+1)*('2027 Avoided Costs'!$B$14:$B$47&lt;$B312+ROUND($O312,0)))))+_xlfn.XLOOKUP($B312,'2027 Avoided Costs'!$B$13:$B$47,'2027 Avoided Costs'!$Y$13:$Y$47))*IF($AM312&lt;0,$AM312*(-1),0),0)</f>
        <v>2325.0910794914103</v>
      </c>
      <c r="BD312" s="291" cm="1">
        <f t="array" ref="BD312">IFERROR((IF($O312=1,0,NPV('2027 Avoided Costs'!$D$6,_xlfn._xlws.FILTER('2027 Avoided Costs'!$AE$14:$AE$47,('2027 Avoided Costs'!$B$14:$B$47&gt;=$B312+1)*('2027 Avoided Costs'!$B$14:$B$47&lt;$B312+ROUND($O312,0)))))+_xlfn.XLOOKUP($B312,'2027 Avoided Costs'!$B$13:$B$47,'2027 Avoided Costs'!$AE$13:$AE$47))*IF($AO312&lt;0,$AO312*(-1),0),0)</f>
        <v>46.042069630406658</v>
      </c>
      <c r="BE312" s="291" cm="1">
        <f t="array" ref="BE312">IFERROR((IF($O312=1,0,NPV('2027 Avoided Costs'!$D$4,_xlfn._xlws.FILTER('2027 Avoided Costs'!$I$14:$I$47,('2027 Avoided Costs'!$B$14:$B$47&gt;=$B312+1)*('2027 Avoided Costs'!$B$14:$B$47&lt;$B312+ROUND($O312,0)))))+_xlfn.XLOOKUP($B312,'2027 Avoided Costs'!$B$13:$B$47,'2027 Avoided Costs'!$I$13:$I$47))*IF($X312="Residential",'2027 Avoided Costs'!$J$5,IF($X312="Large Volume",'2027 Avoided Costs'!$J$7,'2027 Avoided Costs'!$J$6))*IF($AE312&lt;0,$AE312*(-1),0),0)</f>
        <v>0</v>
      </c>
      <c r="BF312" s="291">
        <f t="shared" ref="BF312:BF351" si="139">SUM(AT312:AY312)+IF(AQ312&lt;0,AQ312*(-1),0)</f>
        <v>36747.234913350811</v>
      </c>
      <c r="BG312" s="291">
        <f t="shared" ref="BG312:BG351" si="140">SUM(AZ312:BE312)+IF(AQ312&gt;=0,AQ312,0)</f>
        <v>42835.812941754011</v>
      </c>
      <c r="BH312" s="291">
        <f t="shared" ref="BH312:BH351" si="141">BF312-BG312</f>
        <v>-6088.5780284032007</v>
      </c>
      <c r="BI312" s="292">
        <f t="shared" si="137"/>
        <v>0.85786243775314497</v>
      </c>
      <c r="BJ312" s="196" cm="1">
        <f t="array" ref="BJ312">IFERROR(IF($J312="Baseload",IF($O312=1,0,NPV('2027 Avoided Costs'!$D$6,_xlfn._xlws.FILTER('2027 Avoided Costs'!$C$14:$C$47,('2027 Avoided Costs'!$B$14:$B$47&gt;=$B312+1)*('2027 Avoided Costs'!$B$14:$B$47&lt;$B312+ROUND($O312,0)))))+_xlfn.XLOOKUP($B312,'2027 Avoided Costs'!$B$13:$B$47,'2027 Avoided Costs'!$C$13:$C$47),IF($O312=1,0,NPV('2027 Avoided Costs'!$D$6,_xlfn._xlws.FILTER('2027 Avoided Costs'!$E$14:$E$47,('2027 Avoided Costs'!$B$14:$B$47&gt;=$B312+1)*('2027 Avoided Costs'!$B$14:$B$47&lt;$B312+ROUND($O312,0)))))+_xlfn.XLOOKUP($B312,'2027 Avoided Costs'!$B$13:$B$47,'2027 Avoided Costs'!$E$13:$E$47))*IF($AE312&gt;0,$AE312*(1+0),0),0)</f>
        <v>31954.117315957228</v>
      </c>
      <c r="BK312" s="293">
        <f t="shared" si="135"/>
        <v>1.6218388275518325</v>
      </c>
    </row>
    <row r="313" spans="1:63" s="56" customFormat="1" x14ac:dyDescent="0.25">
      <c r="A313" s="270" t="s">
        <v>207</v>
      </c>
      <c r="B313" s="271">
        <v>2027</v>
      </c>
      <c r="C313" s="272" t="s">
        <v>12</v>
      </c>
      <c r="D313" s="272" t="s">
        <v>21</v>
      </c>
      <c r="E313" s="272" t="s">
        <v>116</v>
      </c>
      <c r="F313" s="273">
        <v>12</v>
      </c>
      <c r="G313" s="274">
        <v>2233.9219456011342</v>
      </c>
      <c r="H313" s="275">
        <f t="shared" si="115"/>
        <v>0.69788251971294413</v>
      </c>
      <c r="I313" s="274">
        <v>0</v>
      </c>
      <c r="J313" s="276" t="s">
        <v>264</v>
      </c>
      <c r="K313" s="277">
        <f t="shared" si="138"/>
        <v>1</v>
      </c>
      <c r="L313" s="278">
        <v>0</v>
      </c>
      <c r="M313" s="278">
        <v>0</v>
      </c>
      <c r="N313" s="278">
        <v>1</v>
      </c>
      <c r="O313" s="279">
        <v>20</v>
      </c>
      <c r="P313" s="280">
        <v>3201</v>
      </c>
      <c r="Q313" s="281">
        <v>5060</v>
      </c>
      <c r="R313" s="282">
        <v>1.1552511415525113</v>
      </c>
      <c r="S313" s="282">
        <v>1.1552511415525113</v>
      </c>
      <c r="T313" s="281">
        <v>0</v>
      </c>
      <c r="U313" s="283">
        <v>0</v>
      </c>
      <c r="V313" s="284">
        <v>2377</v>
      </c>
      <c r="W313" s="285">
        <v>0.15</v>
      </c>
      <c r="X313" s="286" t="s">
        <v>255</v>
      </c>
      <c r="Y313" s="287">
        <f t="shared" si="116"/>
        <v>12</v>
      </c>
      <c r="Z313" s="288">
        <f t="shared" si="117"/>
        <v>26807.063347213611</v>
      </c>
      <c r="AA313" s="288">
        <f t="shared" si="118"/>
        <v>0</v>
      </c>
      <c r="AB313" s="288">
        <f t="shared" si="119"/>
        <v>26807.063347213611</v>
      </c>
      <c r="AC313" s="288">
        <f t="shared" si="136"/>
        <v>0</v>
      </c>
      <c r="AD313" s="287">
        <f t="shared" si="120"/>
        <v>38412</v>
      </c>
      <c r="AE313" s="287">
        <f t="shared" si="121"/>
        <v>38412</v>
      </c>
      <c r="AF313" s="287">
        <f t="shared" si="122"/>
        <v>768240</v>
      </c>
      <c r="AG313" s="287">
        <f t="shared" si="123"/>
        <v>768240</v>
      </c>
      <c r="AH313" s="287">
        <f t="shared" si="124"/>
        <v>65091.840000000004</v>
      </c>
      <c r="AI313" s="287">
        <f t="shared" si="125"/>
        <v>65091.840000000004</v>
      </c>
      <c r="AJ313" s="287">
        <f t="shared" si="126"/>
        <v>0</v>
      </c>
      <c r="AK313" s="287">
        <f t="shared" si="127"/>
        <v>0</v>
      </c>
      <c r="AL313" s="287">
        <f t="shared" si="128"/>
        <v>14.861150684931506</v>
      </c>
      <c r="AM313" s="287">
        <f t="shared" si="129"/>
        <v>14.861150684931506</v>
      </c>
      <c r="AN313" s="287">
        <f t="shared" si="130"/>
        <v>14.861150684931506</v>
      </c>
      <c r="AO313" s="287">
        <f t="shared" si="131"/>
        <v>14.861150684931506</v>
      </c>
      <c r="AP313" s="287">
        <f t="shared" si="132"/>
        <v>28524</v>
      </c>
      <c r="AQ313" s="287">
        <f t="shared" si="133"/>
        <v>28524</v>
      </c>
      <c r="AR313" s="287">
        <f t="shared" si="134"/>
        <v>0</v>
      </c>
      <c r="AS313" s="289" t="e">
        <f>IF(J313='2027 Avoided Costs'!#REF!,3,5)</f>
        <v>#REF!</v>
      </c>
      <c r="AT313" s="290" cm="1">
        <f t="array" ref="AT313">IFERROR(IF($J313="Baseload",IF($O313=1,0,NPV('2027 Avoided Costs'!$D$6,_xlfn._xlws.FILTER('2027 Avoided Costs'!$C$14:$C$47,('2027 Avoided Costs'!$B$14:$B$47&gt;=$B313+1)*('2027 Avoided Costs'!$B$14:$B$47&lt;$B313+ROUND($O313,0)))))+_xlfn.XLOOKUP($B313,'2027 Avoided Costs'!$B$13:$B$47,'2027 Avoided Costs'!$C$13:$C$47),IF($O313=1,0,NPV('2027 Avoided Costs'!$D$6,_xlfn._xlws.FILTER('2027 Avoided Costs'!$E$14:$E$47,('2027 Avoided Costs'!$B$14:$B$47&gt;=$B313+1)*('2027 Avoided Costs'!$B$14:$B$47&lt;$B313+ROUND($O313,0)))))+_xlfn.XLOOKUP($B313,'2027 Avoided Costs'!$B$13:$B$47,'2027 Avoided Costs'!$E$13:$E$47))*IF($AE313&gt;0,$AE313*(1+$W313),0),0)</f>
        <v>189761.87553590187</v>
      </c>
      <c r="AU313" s="290" cm="1">
        <f t="array" ref="AU313">IFERROR((IF($O313=1,0,NPV('2027 Avoided Costs'!$D$6,_xlfn._xlws.FILTER('2027 Avoided Costs'!$M$14:$M$47,('2027 Avoided Costs'!$B$14:$B$47&gt;=$B313+1)*('2027 Avoided Costs'!$B$14:$B$47&lt;$B313+ROUND($O313,0)))))+_xlfn.XLOOKUP($B313,'2027 Avoided Costs'!$B$13:$B$47,'2027 Avoided Costs'!$M$13:$M$47))*IF($AK313&gt;0,$AK313*(1+$W313),0),0)</f>
        <v>0</v>
      </c>
      <c r="AV313" s="291" cm="1">
        <f t="array" ref="AV313">IFERROR((IF($O313=1,0,NPV('2027 Avoided Costs'!$D$6,_xlfn._xlws.FILTER('2027 Avoided Costs'!$Q$14:$Q$47,('2027 Avoided Costs'!$B$14:$B$47&gt;=$B313+1)*('2027 Avoided Costs'!$B$14:$B$47&lt;$B313+ROUND($O313,0)))))+_xlfn.XLOOKUP($B313,'2027 Avoided Costs'!$B$13:$B$47,'2027 Avoided Costs'!$Q$13:$Q$47))*IF($AI313&gt;0,$AI313*(1+$W313),0),0)</f>
        <v>52355.00405158908</v>
      </c>
      <c r="AW313" s="291" cm="1">
        <f t="array" ref="AW313">IFERROR((IF($O313=1,0,NPV('2027 Avoided Costs'!$D$6,_xlfn._xlws.FILTER('2027 Avoided Costs'!$W$14:$W$47,('2027 Avoided Costs'!$B$14:$B$47&gt;=$B313+1)*('2027 Avoided Costs'!$B$14:$B$47&lt;$B313+ROUND($O313,0)))))+_xlfn.XLOOKUP($B313,'2027 Avoided Costs'!$B$13:$B$47,'2027 Avoided Costs'!$W$13:$W$47))*IF($AM313&gt;0,$AM313*(1+$W313),0),0)</f>
        <v>67813.999225790016</v>
      </c>
      <c r="AX313" s="291" cm="1">
        <f t="array" ref="AX313">IFERROR((IF($O313=1,0,NPV('2027 Avoided Costs'!$D$6,_xlfn._xlws.FILTER('2027 Avoided Costs'!$AC$14:$AC$47,('2027 Avoided Costs'!$B$14:$B$47&gt;=$B313+1)*('2027 Avoided Costs'!$B$14:$B$47&lt;$B313+ROUND($O313,0)))))+_xlfn.XLOOKUP($B313,'2027 Avoided Costs'!$B$13:$B$47,'2027 Avoided Costs'!$AC$13:$AC$47))*IF($AO313&gt;0,$AO313*(1+$W313),0),0)</f>
        <v>10462.29985115025</v>
      </c>
      <c r="AY313" s="291" cm="1">
        <f t="array" ref="AY313">IFERROR((IF($O313=1,0,NPV('2027 Avoided Costs'!$D$4,_xlfn._xlws.FILTER('2027 Avoided Costs'!$I$14:$I$47,('2027 Avoided Costs'!$B$14:$B$47&gt;=$B313+1)*('2027 Avoided Costs'!$B$14:$B$47&lt;$B313+ROUND($O313,0)))))+_xlfn.XLOOKUP($B313,'2027 Avoided Costs'!$B$13:$B$47,'2027 Avoided Costs'!$I$13:$I$47))*IF($X313="Residential",'2027 Avoided Costs'!$J$5,IF($X313="Large Volume",'2027 Avoided Costs'!$J$7,'2027 Avoided Costs'!$J$6))*IF($AE313&gt;0,$AE313,0),0)</f>
        <v>0</v>
      </c>
      <c r="AZ313" s="291" cm="1">
        <f t="array" ref="AZ313">IFERROR(IF($J313="Baseload",IF($O313=1,0,NPV('2027 Avoided Costs'!$D$6,_xlfn._xlws.FILTER('2027 Avoided Costs'!$C$14:$C$47,('2027 Avoided Costs'!$B$14:$B$47&gt;=$B313+1)*('2027 Avoided Costs'!$B$14:$B$47&lt;$B313+ROUND($O313,0)))))+_xlfn.XLOOKUP($B313,'2027 Avoided Costs'!$B$13:$B$47,'2027 Avoided Costs'!$C$13:$C$47),IF($O313=1,0,NPV('2027 Avoided Costs'!$D$6,_xlfn._xlws.FILTER('2027 Avoided Costs'!$E$14:$E$47,('2027 Avoided Costs'!$B$14:$B$47&gt;=$B313+1)*('2027 Avoided Costs'!$B$14:$B$47&lt;$B313+ROUND($O313,0)))))+_xlfn.XLOOKUP($B313,'2027 Avoided Costs'!$B$13:$B$47,'2027 Avoided Costs'!$E$13:$E$47))*IF($AE313&lt;0,$AE313*(-1),0),0)</f>
        <v>0</v>
      </c>
      <c r="BA313" s="291" cm="1">
        <f t="array" ref="BA313">IFERROR((IF($O313=1,0,NPV('2027 Avoided Costs'!$D$6,_xlfn._xlws.FILTER('2027 Avoided Costs'!$M$14:$M$47,('2027 Avoided Costs'!$B$14:$B$47&gt;=$B313+1)*('2027 Avoided Costs'!$B$14:$B$47&lt;$B313+ROUND($O313,0)))))+_xlfn.XLOOKUP($B313,'2027 Avoided Costs'!$B$13:$B$47,'2027 Avoided Costs'!$M$13:$M$47))*IF($AK313&lt;0,$AK313*(-1),0),0)</f>
        <v>0</v>
      </c>
      <c r="BB313" s="291" cm="1">
        <f t="array" ref="BB313">IFERROR((IF($O313=1,0,NPV('2027 Avoided Costs'!$D$6,_xlfn._xlws.FILTER('2027 Avoided Costs'!$S$14:$S$47,('2027 Avoided Costs'!$B$14:$B$47&gt;=$B313+1)*('2027 Avoided Costs'!$B$14:$B$47&lt;$B313+ROUND($O313,0)))))+_xlfn.XLOOKUP($B313,'2027 Avoided Costs'!$B$13:$B$47,'2027 Avoided Costs'!$S$13:$S$47))*IF($AI313&lt;0,$AI313*(-1),0),0)</f>
        <v>0</v>
      </c>
      <c r="BC313" s="291" cm="1">
        <f t="array" ref="BC313">IFERROR((IF($O313=1,0,NPV('2027 Avoided Costs'!$D$6,_xlfn._xlws.FILTER('2027 Avoided Costs'!$Y$14:$Y$47,('2027 Avoided Costs'!$B$14:$B$47&gt;=$B313+1)*('2027 Avoided Costs'!$B$14:$B$47&lt;$B313+ROUND($O313,0)))))+_xlfn.XLOOKUP($B313,'2027 Avoided Costs'!$B$13:$B$47,'2027 Avoided Costs'!$Y$13:$Y$47))*IF($AM313&lt;0,$AM313*(-1),0),0)</f>
        <v>0</v>
      </c>
      <c r="BD313" s="291" cm="1">
        <f t="array" ref="BD313">IFERROR((IF($O313=1,0,NPV('2027 Avoided Costs'!$D$6,_xlfn._xlws.FILTER('2027 Avoided Costs'!$AE$14:$AE$47,('2027 Avoided Costs'!$B$14:$B$47&gt;=$B313+1)*('2027 Avoided Costs'!$B$14:$B$47&lt;$B313+ROUND($O313,0)))))+_xlfn.XLOOKUP($B313,'2027 Avoided Costs'!$B$13:$B$47,'2027 Avoided Costs'!$AE$13:$AE$47))*IF($AO313&lt;0,$AO313*(-1),0),0)</f>
        <v>0</v>
      </c>
      <c r="BE313" s="291" cm="1">
        <f t="array" ref="BE313">IFERROR((IF($O313=1,0,NPV('2027 Avoided Costs'!$D$4,_xlfn._xlws.FILTER('2027 Avoided Costs'!$I$14:$I$47,('2027 Avoided Costs'!$B$14:$B$47&gt;=$B313+1)*('2027 Avoided Costs'!$B$14:$B$47&lt;$B313+ROUND($O313,0)))))+_xlfn.XLOOKUP($B313,'2027 Avoided Costs'!$B$13:$B$47,'2027 Avoided Costs'!$I$13:$I$47))*IF($X313="Residential",'2027 Avoided Costs'!$J$5,IF($X313="Large Volume",'2027 Avoided Costs'!$J$7,'2027 Avoided Costs'!$J$6))*IF($AE313&lt;0,$AE313*(-1),0),0)</f>
        <v>0</v>
      </c>
      <c r="BF313" s="291">
        <f t="shared" si="139"/>
        <v>320393.17866443121</v>
      </c>
      <c r="BG313" s="291">
        <f t="shared" si="140"/>
        <v>28524</v>
      </c>
      <c r="BH313" s="291">
        <f t="shared" si="141"/>
        <v>291869.17866443121</v>
      </c>
      <c r="BI313" s="292">
        <f t="shared" si="137"/>
        <v>11.232407048956359</v>
      </c>
      <c r="BJ313" s="196" cm="1">
        <f t="array" ref="BJ313">IFERROR(IF($J313="Baseload",IF($O313=1,0,NPV('2027 Avoided Costs'!$D$6,_xlfn._xlws.FILTER('2027 Avoided Costs'!$C$14:$C$47,('2027 Avoided Costs'!$B$14:$B$47&gt;=$B313+1)*('2027 Avoided Costs'!$B$14:$B$47&lt;$B313+ROUND($O313,0)))))+_xlfn.XLOOKUP($B313,'2027 Avoided Costs'!$B$13:$B$47,'2027 Avoided Costs'!$C$13:$C$47),IF($O313=1,0,NPV('2027 Avoided Costs'!$D$6,_xlfn._xlws.FILTER('2027 Avoided Costs'!$E$14:$E$47,('2027 Avoided Costs'!$B$14:$B$47&gt;=$B313+1)*('2027 Avoided Costs'!$B$14:$B$47&lt;$B313+ROUND($O313,0)))))+_xlfn.XLOOKUP($B313,'2027 Avoided Costs'!$B$13:$B$47,'2027 Avoided Costs'!$E$13:$E$47))*IF($AE313&gt;0,$AE313*(1+0),0),0)</f>
        <v>165010.32655295817</v>
      </c>
      <c r="BK313" s="293">
        <f t="shared" si="135"/>
        <v>6.1554794128581687</v>
      </c>
    </row>
    <row r="314" spans="1:63" s="56" customFormat="1" x14ac:dyDescent="0.25">
      <c r="A314" s="270" t="s">
        <v>207</v>
      </c>
      <c r="B314" s="271">
        <v>2027</v>
      </c>
      <c r="C314" s="272" t="s">
        <v>12</v>
      </c>
      <c r="D314" s="272" t="s">
        <v>21</v>
      </c>
      <c r="E314" s="272" t="s">
        <v>111</v>
      </c>
      <c r="F314" s="273">
        <v>3</v>
      </c>
      <c r="G314" s="274">
        <v>30000</v>
      </c>
      <c r="H314" s="275">
        <f t="shared" si="115"/>
        <v>0</v>
      </c>
      <c r="I314" s="274">
        <v>0</v>
      </c>
      <c r="J314" s="276" t="s">
        <v>263</v>
      </c>
      <c r="K314" s="277">
        <f t="shared" si="138"/>
        <v>1</v>
      </c>
      <c r="L314" s="278">
        <v>0</v>
      </c>
      <c r="M314" s="278">
        <v>0</v>
      </c>
      <c r="N314" s="278">
        <v>0</v>
      </c>
      <c r="O314" s="279">
        <v>0</v>
      </c>
      <c r="P314" s="280">
        <v>0</v>
      </c>
      <c r="Q314" s="281">
        <v>0</v>
      </c>
      <c r="R314" s="282">
        <v>0</v>
      </c>
      <c r="S314" s="282">
        <v>0</v>
      </c>
      <c r="T314" s="281">
        <v>0</v>
      </c>
      <c r="U314" s="283">
        <v>0</v>
      </c>
      <c r="V314" s="284">
        <v>0</v>
      </c>
      <c r="W314" s="285">
        <v>0.15</v>
      </c>
      <c r="X314" s="286" t="s">
        <v>255</v>
      </c>
      <c r="Y314" s="287">
        <f t="shared" si="116"/>
        <v>3</v>
      </c>
      <c r="Z314" s="288">
        <f t="shared" si="117"/>
        <v>90000</v>
      </c>
      <c r="AA314" s="288">
        <f t="shared" si="118"/>
        <v>0</v>
      </c>
      <c r="AB314" s="288">
        <f t="shared" si="119"/>
        <v>90000</v>
      </c>
      <c r="AC314" s="288">
        <f t="shared" si="136"/>
        <v>0</v>
      </c>
      <c r="AD314" s="287">
        <f t="shared" si="120"/>
        <v>0</v>
      </c>
      <c r="AE314" s="287">
        <f t="shared" si="121"/>
        <v>0</v>
      </c>
      <c r="AF314" s="287">
        <f t="shared" si="122"/>
        <v>0</v>
      </c>
      <c r="AG314" s="287">
        <f t="shared" si="123"/>
        <v>0</v>
      </c>
      <c r="AH314" s="287">
        <f t="shared" si="124"/>
        <v>0</v>
      </c>
      <c r="AI314" s="287">
        <f t="shared" si="125"/>
        <v>0</v>
      </c>
      <c r="AJ314" s="287">
        <f t="shared" si="126"/>
        <v>0</v>
      </c>
      <c r="AK314" s="287">
        <f t="shared" si="127"/>
        <v>0</v>
      </c>
      <c r="AL314" s="287">
        <f t="shared" si="128"/>
        <v>0</v>
      </c>
      <c r="AM314" s="287">
        <f t="shared" si="129"/>
        <v>0</v>
      </c>
      <c r="AN314" s="287">
        <f t="shared" si="130"/>
        <v>0</v>
      </c>
      <c r="AO314" s="287">
        <f t="shared" si="131"/>
        <v>0</v>
      </c>
      <c r="AP314" s="287">
        <f t="shared" si="132"/>
        <v>0</v>
      </c>
      <c r="AQ314" s="287">
        <f t="shared" si="133"/>
        <v>0</v>
      </c>
      <c r="AR314" s="287">
        <f t="shared" si="134"/>
        <v>0</v>
      </c>
      <c r="AS314" s="289" t="e">
        <f>IF(J314='2027 Avoided Costs'!#REF!,3,5)</f>
        <v>#REF!</v>
      </c>
      <c r="AT314" s="290" cm="1">
        <f t="array" ref="AT314">IFERROR(IF($J314="Baseload",IF($O314=1,0,NPV('2027 Avoided Costs'!$D$6,_xlfn._xlws.FILTER('2027 Avoided Costs'!$C$14:$C$47,('2027 Avoided Costs'!$B$14:$B$47&gt;=$B314+1)*('2027 Avoided Costs'!$B$14:$B$47&lt;$B314+ROUND($O314,0)))))+_xlfn.XLOOKUP($B314,'2027 Avoided Costs'!$B$13:$B$47,'2027 Avoided Costs'!$C$13:$C$47),IF($O314=1,0,NPV('2027 Avoided Costs'!$D$6,_xlfn._xlws.FILTER('2027 Avoided Costs'!$E$14:$E$47,('2027 Avoided Costs'!$B$14:$B$47&gt;=$B314+1)*('2027 Avoided Costs'!$B$14:$B$47&lt;$B314+ROUND($O314,0)))))+_xlfn.XLOOKUP($B314,'2027 Avoided Costs'!$B$13:$B$47,'2027 Avoided Costs'!$E$13:$E$47))*IF($AE314&gt;0,$AE314*(1+$W314),0),0)</f>
        <v>0</v>
      </c>
      <c r="AU314" s="290" cm="1">
        <f t="array" ref="AU314">IFERROR((IF($O314=1,0,NPV('2027 Avoided Costs'!$D$6,_xlfn._xlws.FILTER('2027 Avoided Costs'!$M$14:$M$47,('2027 Avoided Costs'!$B$14:$B$47&gt;=$B314+1)*('2027 Avoided Costs'!$B$14:$B$47&lt;$B314+ROUND($O314,0)))))+_xlfn.XLOOKUP($B314,'2027 Avoided Costs'!$B$13:$B$47,'2027 Avoided Costs'!$M$13:$M$47))*IF($AK314&gt;0,$AK314*(1+$W314),0),0)</f>
        <v>0</v>
      </c>
      <c r="AV314" s="291" cm="1">
        <f t="array" ref="AV314">IFERROR((IF($O314=1,0,NPV('2027 Avoided Costs'!$D$6,_xlfn._xlws.FILTER('2027 Avoided Costs'!$Q$14:$Q$47,('2027 Avoided Costs'!$B$14:$B$47&gt;=$B314+1)*('2027 Avoided Costs'!$B$14:$B$47&lt;$B314+ROUND($O314,0)))))+_xlfn.XLOOKUP($B314,'2027 Avoided Costs'!$B$13:$B$47,'2027 Avoided Costs'!$Q$13:$Q$47))*IF($AI314&gt;0,$AI314*(1+$W314),0),0)</f>
        <v>0</v>
      </c>
      <c r="AW314" s="291" cm="1">
        <f t="array" ref="AW314">IFERROR((IF($O314=1,0,NPV('2027 Avoided Costs'!$D$6,_xlfn._xlws.FILTER('2027 Avoided Costs'!$W$14:$W$47,('2027 Avoided Costs'!$B$14:$B$47&gt;=$B314+1)*('2027 Avoided Costs'!$B$14:$B$47&lt;$B314+ROUND($O314,0)))))+_xlfn.XLOOKUP($B314,'2027 Avoided Costs'!$B$13:$B$47,'2027 Avoided Costs'!$W$13:$W$47))*IF($AM314&gt;0,$AM314*(1+$W314),0),0)</f>
        <v>0</v>
      </c>
      <c r="AX314" s="291" cm="1">
        <f t="array" ref="AX314">IFERROR((IF($O314=1,0,NPV('2027 Avoided Costs'!$D$6,_xlfn._xlws.FILTER('2027 Avoided Costs'!$AC$14:$AC$47,('2027 Avoided Costs'!$B$14:$B$47&gt;=$B314+1)*('2027 Avoided Costs'!$B$14:$B$47&lt;$B314+ROUND($O314,0)))))+_xlfn.XLOOKUP($B314,'2027 Avoided Costs'!$B$13:$B$47,'2027 Avoided Costs'!$AC$13:$AC$47))*IF($AO314&gt;0,$AO314*(1+$W314),0),0)</f>
        <v>0</v>
      </c>
      <c r="AY314" s="291" cm="1">
        <f t="array" ref="AY314">IFERROR((IF($O314=1,0,NPV('2027 Avoided Costs'!$D$4,_xlfn._xlws.FILTER('2027 Avoided Costs'!$I$14:$I$47,('2027 Avoided Costs'!$B$14:$B$47&gt;=$B314+1)*('2027 Avoided Costs'!$B$14:$B$47&lt;$B314+ROUND($O314,0)))))+_xlfn.XLOOKUP($B314,'2027 Avoided Costs'!$B$13:$B$47,'2027 Avoided Costs'!$I$13:$I$47))*IF($X314="Residential",'2027 Avoided Costs'!$J$5,IF($X314="Large Volume",'2027 Avoided Costs'!$J$7,'2027 Avoided Costs'!$J$6))*IF($AE314&gt;0,$AE314,0),0)</f>
        <v>0</v>
      </c>
      <c r="AZ314" s="291" cm="1">
        <f t="array" ref="AZ314">IFERROR(IF($J314="Baseload",IF($O314=1,0,NPV('2027 Avoided Costs'!$D$6,_xlfn._xlws.FILTER('2027 Avoided Costs'!$C$14:$C$47,('2027 Avoided Costs'!$B$14:$B$47&gt;=$B314+1)*('2027 Avoided Costs'!$B$14:$B$47&lt;$B314+ROUND($O314,0)))))+_xlfn.XLOOKUP($B314,'2027 Avoided Costs'!$B$13:$B$47,'2027 Avoided Costs'!$C$13:$C$47),IF($O314=1,0,NPV('2027 Avoided Costs'!$D$6,_xlfn._xlws.FILTER('2027 Avoided Costs'!$E$14:$E$47,('2027 Avoided Costs'!$B$14:$B$47&gt;=$B314+1)*('2027 Avoided Costs'!$B$14:$B$47&lt;$B314+ROUND($O314,0)))))+_xlfn.XLOOKUP($B314,'2027 Avoided Costs'!$B$13:$B$47,'2027 Avoided Costs'!$E$13:$E$47))*IF($AE314&lt;0,$AE314*(-1),0),0)</f>
        <v>0</v>
      </c>
      <c r="BA314" s="291" cm="1">
        <f t="array" ref="BA314">IFERROR((IF($O314=1,0,NPV('2027 Avoided Costs'!$D$6,_xlfn._xlws.FILTER('2027 Avoided Costs'!$M$14:$M$47,('2027 Avoided Costs'!$B$14:$B$47&gt;=$B314+1)*('2027 Avoided Costs'!$B$14:$B$47&lt;$B314+ROUND($O314,0)))))+_xlfn.XLOOKUP($B314,'2027 Avoided Costs'!$B$13:$B$47,'2027 Avoided Costs'!$M$13:$M$47))*IF($AK314&lt;0,$AK314*(-1),0),0)</f>
        <v>0</v>
      </c>
      <c r="BB314" s="291" cm="1">
        <f t="array" ref="BB314">IFERROR((IF($O314=1,0,NPV('2027 Avoided Costs'!$D$6,_xlfn._xlws.FILTER('2027 Avoided Costs'!$S$14:$S$47,('2027 Avoided Costs'!$B$14:$B$47&gt;=$B314+1)*('2027 Avoided Costs'!$B$14:$B$47&lt;$B314+ROUND($O314,0)))))+_xlfn.XLOOKUP($B314,'2027 Avoided Costs'!$B$13:$B$47,'2027 Avoided Costs'!$S$13:$S$47))*IF($AI314&lt;0,$AI314*(-1),0),0)</f>
        <v>0</v>
      </c>
      <c r="BC314" s="291" cm="1">
        <f t="array" ref="BC314">IFERROR((IF($O314=1,0,NPV('2027 Avoided Costs'!$D$6,_xlfn._xlws.FILTER('2027 Avoided Costs'!$Y$14:$Y$47,('2027 Avoided Costs'!$B$14:$B$47&gt;=$B314+1)*('2027 Avoided Costs'!$B$14:$B$47&lt;$B314+ROUND($O314,0)))))+_xlfn.XLOOKUP($B314,'2027 Avoided Costs'!$B$13:$B$47,'2027 Avoided Costs'!$Y$13:$Y$47))*IF($AM314&lt;0,$AM314*(-1),0),0)</f>
        <v>0</v>
      </c>
      <c r="BD314" s="291" cm="1">
        <f t="array" ref="BD314">IFERROR((IF($O314=1,0,NPV('2027 Avoided Costs'!$D$6,_xlfn._xlws.FILTER('2027 Avoided Costs'!$AE$14:$AE$47,('2027 Avoided Costs'!$B$14:$B$47&gt;=$B314+1)*('2027 Avoided Costs'!$B$14:$B$47&lt;$B314+ROUND($O314,0)))))+_xlfn.XLOOKUP($B314,'2027 Avoided Costs'!$B$13:$B$47,'2027 Avoided Costs'!$AE$13:$AE$47))*IF($AO314&lt;0,$AO314*(-1),0),0)</f>
        <v>0</v>
      </c>
      <c r="BE314" s="291" cm="1">
        <f t="array" ref="BE314">IFERROR((IF($O314=1,0,NPV('2027 Avoided Costs'!$D$4,_xlfn._xlws.FILTER('2027 Avoided Costs'!$I$14:$I$47,('2027 Avoided Costs'!$B$14:$B$47&gt;=$B314+1)*('2027 Avoided Costs'!$B$14:$B$47&lt;$B314+ROUND($O314,0)))))+_xlfn.XLOOKUP($B314,'2027 Avoided Costs'!$B$13:$B$47,'2027 Avoided Costs'!$I$13:$I$47))*IF($X314="Residential",'2027 Avoided Costs'!$J$5,IF($X314="Large Volume",'2027 Avoided Costs'!$J$7,'2027 Avoided Costs'!$J$6))*IF($AE314&lt;0,$AE314*(-1),0),0)</f>
        <v>0</v>
      </c>
      <c r="BF314" s="291">
        <f t="shared" si="139"/>
        <v>0</v>
      </c>
      <c r="BG314" s="291">
        <f t="shared" si="140"/>
        <v>0</v>
      </c>
      <c r="BH314" s="291">
        <f t="shared" si="141"/>
        <v>0</v>
      </c>
      <c r="BI314" s="292">
        <f t="shared" si="137"/>
        <v>0</v>
      </c>
      <c r="BJ314" s="196" cm="1">
        <f t="array" ref="BJ314">IFERROR(IF($J314="Baseload",IF($O314=1,0,NPV('2027 Avoided Costs'!$D$6,_xlfn._xlws.FILTER('2027 Avoided Costs'!$C$14:$C$47,('2027 Avoided Costs'!$B$14:$B$47&gt;=$B314+1)*('2027 Avoided Costs'!$B$14:$B$47&lt;$B314+ROUND($O314,0)))))+_xlfn.XLOOKUP($B314,'2027 Avoided Costs'!$B$13:$B$47,'2027 Avoided Costs'!$C$13:$C$47),IF($O314=1,0,NPV('2027 Avoided Costs'!$D$6,_xlfn._xlws.FILTER('2027 Avoided Costs'!$E$14:$E$47,('2027 Avoided Costs'!$B$14:$B$47&gt;=$B314+1)*('2027 Avoided Costs'!$B$14:$B$47&lt;$B314+ROUND($O314,0)))))+_xlfn.XLOOKUP($B314,'2027 Avoided Costs'!$B$13:$B$47,'2027 Avoided Costs'!$E$13:$E$47))*IF($AE314&gt;0,$AE314*(1+0),0),0)</f>
        <v>0</v>
      </c>
      <c r="BK314" s="293">
        <f t="shared" si="135"/>
        <v>0</v>
      </c>
    </row>
    <row r="315" spans="1:63" s="56" customFormat="1" x14ac:dyDescent="0.25">
      <c r="A315" s="270" t="s">
        <v>207</v>
      </c>
      <c r="B315" s="271">
        <v>2027</v>
      </c>
      <c r="C315" s="272" t="s">
        <v>12</v>
      </c>
      <c r="D315" s="272" t="s">
        <v>21</v>
      </c>
      <c r="E315" s="272" t="s">
        <v>117</v>
      </c>
      <c r="F315" s="273">
        <v>20</v>
      </c>
      <c r="G315" s="274">
        <v>16200.000000000002</v>
      </c>
      <c r="H315" s="275">
        <f t="shared" si="115"/>
        <v>0</v>
      </c>
      <c r="I315" s="274">
        <v>0</v>
      </c>
      <c r="J315" s="276" t="s">
        <v>263</v>
      </c>
      <c r="K315" s="277">
        <f t="shared" si="138"/>
        <v>1</v>
      </c>
      <c r="L315" s="278">
        <v>0</v>
      </c>
      <c r="M315" s="278">
        <v>0</v>
      </c>
      <c r="N315" s="278">
        <v>1</v>
      </c>
      <c r="O315" s="279">
        <v>0</v>
      </c>
      <c r="P315" s="280">
        <v>0</v>
      </c>
      <c r="Q315" s="281">
        <v>0</v>
      </c>
      <c r="R315" s="282">
        <v>0</v>
      </c>
      <c r="S315" s="282">
        <v>0</v>
      </c>
      <c r="T315" s="281">
        <v>0</v>
      </c>
      <c r="U315" s="283">
        <v>0</v>
      </c>
      <c r="V315" s="284">
        <v>0</v>
      </c>
      <c r="W315" s="285">
        <v>0.15</v>
      </c>
      <c r="X315" s="286" t="s">
        <v>255</v>
      </c>
      <c r="Y315" s="287">
        <f t="shared" si="116"/>
        <v>20</v>
      </c>
      <c r="Z315" s="288">
        <f t="shared" si="117"/>
        <v>324000.00000000006</v>
      </c>
      <c r="AA315" s="288">
        <f t="shared" si="118"/>
        <v>0</v>
      </c>
      <c r="AB315" s="288">
        <f t="shared" si="119"/>
        <v>324000.00000000006</v>
      </c>
      <c r="AC315" s="288">
        <f t="shared" si="136"/>
        <v>0</v>
      </c>
      <c r="AD315" s="287">
        <f t="shared" si="120"/>
        <v>0</v>
      </c>
      <c r="AE315" s="287">
        <f t="shared" si="121"/>
        <v>0</v>
      </c>
      <c r="AF315" s="287">
        <f t="shared" si="122"/>
        <v>0</v>
      </c>
      <c r="AG315" s="287">
        <f t="shared" si="123"/>
        <v>0</v>
      </c>
      <c r="AH315" s="287">
        <f t="shared" si="124"/>
        <v>0</v>
      </c>
      <c r="AI315" s="287">
        <f t="shared" si="125"/>
        <v>0</v>
      </c>
      <c r="AJ315" s="287">
        <f t="shared" si="126"/>
        <v>0</v>
      </c>
      <c r="AK315" s="287">
        <f t="shared" si="127"/>
        <v>0</v>
      </c>
      <c r="AL315" s="287">
        <f t="shared" si="128"/>
        <v>0</v>
      </c>
      <c r="AM315" s="287">
        <f t="shared" si="129"/>
        <v>0</v>
      </c>
      <c r="AN315" s="287">
        <f t="shared" si="130"/>
        <v>0</v>
      </c>
      <c r="AO315" s="287">
        <f t="shared" si="131"/>
        <v>0</v>
      </c>
      <c r="AP315" s="287">
        <f t="shared" si="132"/>
        <v>0</v>
      </c>
      <c r="AQ315" s="287">
        <f t="shared" si="133"/>
        <v>0</v>
      </c>
      <c r="AR315" s="287">
        <f t="shared" si="134"/>
        <v>0</v>
      </c>
      <c r="AS315" s="289" t="e">
        <f>IF(J315='2027 Avoided Costs'!#REF!,3,5)</f>
        <v>#REF!</v>
      </c>
      <c r="AT315" s="290" cm="1">
        <f t="array" ref="AT315">IFERROR(IF($J315="Baseload",IF($O315=1,0,NPV('2027 Avoided Costs'!$D$6,_xlfn._xlws.FILTER('2027 Avoided Costs'!$C$14:$C$47,('2027 Avoided Costs'!$B$14:$B$47&gt;=$B315+1)*('2027 Avoided Costs'!$B$14:$B$47&lt;$B315+ROUND($O315,0)))))+_xlfn.XLOOKUP($B315,'2027 Avoided Costs'!$B$13:$B$47,'2027 Avoided Costs'!$C$13:$C$47),IF($O315=1,0,NPV('2027 Avoided Costs'!$D$6,_xlfn._xlws.FILTER('2027 Avoided Costs'!$E$14:$E$47,('2027 Avoided Costs'!$B$14:$B$47&gt;=$B315+1)*('2027 Avoided Costs'!$B$14:$B$47&lt;$B315+ROUND($O315,0)))))+_xlfn.XLOOKUP($B315,'2027 Avoided Costs'!$B$13:$B$47,'2027 Avoided Costs'!$E$13:$E$47))*IF($AE315&gt;0,$AE315*(1+$W315),0),0)</f>
        <v>0</v>
      </c>
      <c r="AU315" s="290" cm="1">
        <f t="array" ref="AU315">IFERROR((IF($O315=1,0,NPV('2027 Avoided Costs'!$D$6,_xlfn._xlws.FILTER('2027 Avoided Costs'!$M$14:$M$47,('2027 Avoided Costs'!$B$14:$B$47&gt;=$B315+1)*('2027 Avoided Costs'!$B$14:$B$47&lt;$B315+ROUND($O315,0)))))+_xlfn.XLOOKUP($B315,'2027 Avoided Costs'!$B$13:$B$47,'2027 Avoided Costs'!$M$13:$M$47))*IF($AK315&gt;0,$AK315*(1+$W315),0),0)</f>
        <v>0</v>
      </c>
      <c r="AV315" s="291" cm="1">
        <f t="array" ref="AV315">IFERROR((IF($O315=1,0,NPV('2027 Avoided Costs'!$D$6,_xlfn._xlws.FILTER('2027 Avoided Costs'!$Q$14:$Q$47,('2027 Avoided Costs'!$B$14:$B$47&gt;=$B315+1)*('2027 Avoided Costs'!$B$14:$B$47&lt;$B315+ROUND($O315,0)))))+_xlfn.XLOOKUP($B315,'2027 Avoided Costs'!$B$13:$B$47,'2027 Avoided Costs'!$Q$13:$Q$47))*IF($AI315&gt;0,$AI315*(1+$W315),0),0)</f>
        <v>0</v>
      </c>
      <c r="AW315" s="291" cm="1">
        <f t="array" ref="AW315">IFERROR((IF($O315=1,0,NPV('2027 Avoided Costs'!$D$6,_xlfn._xlws.FILTER('2027 Avoided Costs'!$W$14:$W$47,('2027 Avoided Costs'!$B$14:$B$47&gt;=$B315+1)*('2027 Avoided Costs'!$B$14:$B$47&lt;$B315+ROUND($O315,0)))))+_xlfn.XLOOKUP($B315,'2027 Avoided Costs'!$B$13:$B$47,'2027 Avoided Costs'!$W$13:$W$47))*IF($AM315&gt;0,$AM315*(1+$W315),0),0)</f>
        <v>0</v>
      </c>
      <c r="AX315" s="291" cm="1">
        <f t="array" ref="AX315">IFERROR((IF($O315=1,0,NPV('2027 Avoided Costs'!$D$6,_xlfn._xlws.FILTER('2027 Avoided Costs'!$AC$14:$AC$47,('2027 Avoided Costs'!$B$14:$B$47&gt;=$B315+1)*('2027 Avoided Costs'!$B$14:$B$47&lt;$B315+ROUND($O315,0)))))+_xlfn.XLOOKUP($B315,'2027 Avoided Costs'!$B$13:$B$47,'2027 Avoided Costs'!$AC$13:$AC$47))*IF($AO315&gt;0,$AO315*(1+$W315),0),0)</f>
        <v>0</v>
      </c>
      <c r="AY315" s="291" cm="1">
        <f t="array" ref="AY315">IFERROR((IF($O315=1,0,NPV('2027 Avoided Costs'!$D$4,_xlfn._xlws.FILTER('2027 Avoided Costs'!$I$14:$I$47,('2027 Avoided Costs'!$B$14:$B$47&gt;=$B315+1)*('2027 Avoided Costs'!$B$14:$B$47&lt;$B315+ROUND($O315,0)))))+_xlfn.XLOOKUP($B315,'2027 Avoided Costs'!$B$13:$B$47,'2027 Avoided Costs'!$I$13:$I$47))*IF($X315="Residential",'2027 Avoided Costs'!$J$5,IF($X315="Large Volume",'2027 Avoided Costs'!$J$7,'2027 Avoided Costs'!$J$6))*IF($AE315&gt;0,$AE315,0),0)</f>
        <v>0</v>
      </c>
      <c r="AZ315" s="291" cm="1">
        <f t="array" ref="AZ315">IFERROR(IF($J315="Baseload",IF($O315=1,0,NPV('2027 Avoided Costs'!$D$6,_xlfn._xlws.FILTER('2027 Avoided Costs'!$C$14:$C$47,('2027 Avoided Costs'!$B$14:$B$47&gt;=$B315+1)*('2027 Avoided Costs'!$B$14:$B$47&lt;$B315+ROUND($O315,0)))))+_xlfn.XLOOKUP($B315,'2027 Avoided Costs'!$B$13:$B$47,'2027 Avoided Costs'!$C$13:$C$47),IF($O315=1,0,NPV('2027 Avoided Costs'!$D$6,_xlfn._xlws.FILTER('2027 Avoided Costs'!$E$14:$E$47,('2027 Avoided Costs'!$B$14:$B$47&gt;=$B315+1)*('2027 Avoided Costs'!$B$14:$B$47&lt;$B315+ROUND($O315,0)))))+_xlfn.XLOOKUP($B315,'2027 Avoided Costs'!$B$13:$B$47,'2027 Avoided Costs'!$E$13:$E$47))*IF($AE315&lt;0,$AE315*(-1),0),0)</f>
        <v>0</v>
      </c>
      <c r="BA315" s="291" cm="1">
        <f t="array" ref="BA315">IFERROR((IF($O315=1,0,NPV('2027 Avoided Costs'!$D$6,_xlfn._xlws.FILTER('2027 Avoided Costs'!$M$14:$M$47,('2027 Avoided Costs'!$B$14:$B$47&gt;=$B315+1)*('2027 Avoided Costs'!$B$14:$B$47&lt;$B315+ROUND($O315,0)))))+_xlfn.XLOOKUP($B315,'2027 Avoided Costs'!$B$13:$B$47,'2027 Avoided Costs'!$M$13:$M$47))*IF($AK315&lt;0,$AK315*(-1),0),0)</f>
        <v>0</v>
      </c>
      <c r="BB315" s="291" cm="1">
        <f t="array" ref="BB315">IFERROR((IF($O315=1,0,NPV('2027 Avoided Costs'!$D$6,_xlfn._xlws.FILTER('2027 Avoided Costs'!$S$14:$S$47,('2027 Avoided Costs'!$B$14:$B$47&gt;=$B315+1)*('2027 Avoided Costs'!$B$14:$B$47&lt;$B315+ROUND($O315,0)))))+_xlfn.XLOOKUP($B315,'2027 Avoided Costs'!$B$13:$B$47,'2027 Avoided Costs'!$S$13:$S$47))*IF($AI315&lt;0,$AI315*(-1),0),0)</f>
        <v>0</v>
      </c>
      <c r="BC315" s="291" cm="1">
        <f t="array" ref="BC315">IFERROR((IF($O315=1,0,NPV('2027 Avoided Costs'!$D$6,_xlfn._xlws.FILTER('2027 Avoided Costs'!$Y$14:$Y$47,('2027 Avoided Costs'!$B$14:$B$47&gt;=$B315+1)*('2027 Avoided Costs'!$B$14:$B$47&lt;$B315+ROUND($O315,0)))))+_xlfn.XLOOKUP($B315,'2027 Avoided Costs'!$B$13:$B$47,'2027 Avoided Costs'!$Y$13:$Y$47))*IF($AM315&lt;0,$AM315*(-1),0),0)</f>
        <v>0</v>
      </c>
      <c r="BD315" s="291" cm="1">
        <f t="array" ref="BD315">IFERROR((IF($O315=1,0,NPV('2027 Avoided Costs'!$D$6,_xlfn._xlws.FILTER('2027 Avoided Costs'!$AE$14:$AE$47,('2027 Avoided Costs'!$B$14:$B$47&gt;=$B315+1)*('2027 Avoided Costs'!$B$14:$B$47&lt;$B315+ROUND($O315,0)))))+_xlfn.XLOOKUP($B315,'2027 Avoided Costs'!$B$13:$B$47,'2027 Avoided Costs'!$AE$13:$AE$47))*IF($AO315&lt;0,$AO315*(-1),0),0)</f>
        <v>0</v>
      </c>
      <c r="BE315" s="291" cm="1">
        <f t="array" ref="BE315">IFERROR((IF($O315=1,0,NPV('2027 Avoided Costs'!$D$4,_xlfn._xlws.FILTER('2027 Avoided Costs'!$I$14:$I$47,('2027 Avoided Costs'!$B$14:$B$47&gt;=$B315+1)*('2027 Avoided Costs'!$B$14:$B$47&lt;$B315+ROUND($O315,0)))))+_xlfn.XLOOKUP($B315,'2027 Avoided Costs'!$B$13:$B$47,'2027 Avoided Costs'!$I$13:$I$47))*IF($X315="Residential",'2027 Avoided Costs'!$J$5,IF($X315="Large Volume",'2027 Avoided Costs'!$J$7,'2027 Avoided Costs'!$J$6))*IF($AE315&lt;0,$AE315*(-1),0),0)</f>
        <v>0</v>
      </c>
      <c r="BF315" s="291">
        <f t="shared" si="139"/>
        <v>0</v>
      </c>
      <c r="BG315" s="291">
        <f t="shared" si="140"/>
        <v>0</v>
      </c>
      <c r="BH315" s="291">
        <f t="shared" si="141"/>
        <v>0</v>
      </c>
      <c r="BI315" s="292">
        <f t="shared" si="137"/>
        <v>0</v>
      </c>
      <c r="BJ315" s="196" cm="1">
        <f t="array" ref="BJ315">IFERROR(IF($J315="Baseload",IF($O315=1,0,NPV('2027 Avoided Costs'!$D$6,_xlfn._xlws.FILTER('2027 Avoided Costs'!$C$14:$C$47,('2027 Avoided Costs'!$B$14:$B$47&gt;=$B315+1)*('2027 Avoided Costs'!$B$14:$B$47&lt;$B315+ROUND($O315,0)))))+_xlfn.XLOOKUP($B315,'2027 Avoided Costs'!$B$13:$B$47,'2027 Avoided Costs'!$C$13:$C$47),IF($O315=1,0,NPV('2027 Avoided Costs'!$D$6,_xlfn._xlws.FILTER('2027 Avoided Costs'!$E$14:$E$47,('2027 Avoided Costs'!$B$14:$B$47&gt;=$B315+1)*('2027 Avoided Costs'!$B$14:$B$47&lt;$B315+ROUND($O315,0)))))+_xlfn.XLOOKUP($B315,'2027 Avoided Costs'!$B$13:$B$47,'2027 Avoided Costs'!$E$13:$E$47))*IF($AE315&gt;0,$AE315*(1+0),0),0)</f>
        <v>0</v>
      </c>
      <c r="BK315" s="293">
        <f t="shared" si="135"/>
        <v>0</v>
      </c>
    </row>
    <row r="316" spans="1:63" s="56" customFormat="1" x14ac:dyDescent="0.25">
      <c r="A316" s="270" t="s">
        <v>207</v>
      </c>
      <c r="B316" s="271">
        <v>2027</v>
      </c>
      <c r="C316" s="272" t="s">
        <v>12</v>
      </c>
      <c r="D316" s="272" t="s">
        <v>21</v>
      </c>
      <c r="E316" s="272" t="s">
        <v>112</v>
      </c>
      <c r="F316" s="273">
        <v>6</v>
      </c>
      <c r="G316" s="274">
        <v>103956</v>
      </c>
      <c r="H316" s="275">
        <f t="shared" si="115"/>
        <v>3</v>
      </c>
      <c r="I316" s="274">
        <v>0</v>
      </c>
      <c r="J316" s="276" t="s">
        <v>264</v>
      </c>
      <c r="K316" s="277">
        <f t="shared" si="138"/>
        <v>1</v>
      </c>
      <c r="L316" s="278">
        <v>0</v>
      </c>
      <c r="M316" s="278">
        <v>0</v>
      </c>
      <c r="N316" s="278">
        <v>0.97609999999999997</v>
      </c>
      <c r="O316" s="279">
        <v>15</v>
      </c>
      <c r="P316" s="280">
        <v>34652</v>
      </c>
      <c r="Q316" s="281">
        <v>-90946</v>
      </c>
      <c r="R316" s="282">
        <v>0</v>
      </c>
      <c r="S316" s="282">
        <v>-28.2895</v>
      </c>
      <c r="T316" s="281">
        <v>0</v>
      </c>
      <c r="U316" s="283">
        <v>0</v>
      </c>
      <c r="V316" s="284">
        <v>399813</v>
      </c>
      <c r="W316" s="285">
        <v>0.15</v>
      </c>
      <c r="X316" s="286" t="s">
        <v>255</v>
      </c>
      <c r="Y316" s="287">
        <f t="shared" si="116"/>
        <v>6</v>
      </c>
      <c r="Z316" s="288">
        <f t="shared" si="117"/>
        <v>623736</v>
      </c>
      <c r="AA316" s="288">
        <f t="shared" si="118"/>
        <v>0</v>
      </c>
      <c r="AB316" s="288">
        <f t="shared" si="119"/>
        <v>623736</v>
      </c>
      <c r="AC316" s="288">
        <f t="shared" si="136"/>
        <v>0</v>
      </c>
      <c r="AD316" s="287">
        <f t="shared" si="120"/>
        <v>202942.9032</v>
      </c>
      <c r="AE316" s="287">
        <f t="shared" si="121"/>
        <v>202942.9032</v>
      </c>
      <c r="AF316" s="287">
        <f t="shared" si="122"/>
        <v>3044143.548</v>
      </c>
      <c r="AG316" s="287">
        <f t="shared" si="123"/>
        <v>3044143.548</v>
      </c>
      <c r="AH316" s="287">
        <f t="shared" si="124"/>
        <v>-570984.01633920008</v>
      </c>
      <c r="AI316" s="287">
        <f t="shared" si="125"/>
        <v>-570984.01633920008</v>
      </c>
      <c r="AJ316" s="287">
        <f t="shared" si="126"/>
        <v>0</v>
      </c>
      <c r="AK316" s="287">
        <f t="shared" si="127"/>
        <v>0</v>
      </c>
      <c r="AL316" s="287">
        <f t="shared" si="128"/>
        <v>0</v>
      </c>
      <c r="AM316" s="287">
        <f t="shared" si="129"/>
        <v>0</v>
      </c>
      <c r="AN316" s="287">
        <f t="shared" si="130"/>
        <v>-177.60926627040001</v>
      </c>
      <c r="AO316" s="287">
        <f t="shared" si="131"/>
        <v>-177.60926627040001</v>
      </c>
      <c r="AP316" s="287">
        <f t="shared" si="132"/>
        <v>2398878</v>
      </c>
      <c r="AQ316" s="287">
        <f t="shared" si="133"/>
        <v>2398878</v>
      </c>
      <c r="AR316" s="287">
        <f t="shared" si="134"/>
        <v>0</v>
      </c>
      <c r="AS316" s="289" t="e">
        <f>IF(J316='2027 Avoided Costs'!#REF!,3,5)</f>
        <v>#REF!</v>
      </c>
      <c r="AT316" s="290" cm="1">
        <f t="array" ref="AT316">IFERROR(IF($J316="Baseload",IF($O316=1,0,NPV('2027 Avoided Costs'!$D$6,_xlfn._xlws.FILTER('2027 Avoided Costs'!$C$14:$C$47,('2027 Avoided Costs'!$B$14:$B$47&gt;=$B316+1)*('2027 Avoided Costs'!$B$14:$B$47&lt;$B316+ROUND($O316,0)))))+_xlfn.XLOOKUP($B316,'2027 Avoided Costs'!$B$13:$B$47,'2027 Avoided Costs'!$C$13:$C$47),IF($O316=1,0,NPV('2027 Avoided Costs'!$D$6,_xlfn._xlws.FILTER('2027 Avoided Costs'!$E$14:$E$47,('2027 Avoided Costs'!$B$14:$B$47&gt;=$B316+1)*('2027 Avoided Costs'!$B$14:$B$47&lt;$B316+ROUND($O316,0)))))+_xlfn.XLOOKUP($B316,'2027 Avoided Costs'!$B$13:$B$47,'2027 Avoided Costs'!$E$13:$E$47))*IF($AE316&gt;0,$AE316*(1+$W316),0),0)</f>
        <v>800317.38020652789</v>
      </c>
      <c r="AU316" s="290" cm="1">
        <f t="array" ref="AU316">IFERROR((IF($O316=1,0,NPV('2027 Avoided Costs'!$D$6,_xlfn._xlws.FILTER('2027 Avoided Costs'!$M$14:$M$47,('2027 Avoided Costs'!$B$14:$B$47&gt;=$B316+1)*('2027 Avoided Costs'!$B$14:$B$47&lt;$B316+ROUND($O316,0)))))+_xlfn.XLOOKUP($B316,'2027 Avoided Costs'!$B$13:$B$47,'2027 Avoided Costs'!$M$13:$M$47))*IF($AK316&gt;0,$AK316*(1+$W316),0),0)</f>
        <v>0</v>
      </c>
      <c r="AV316" s="291" cm="1">
        <f t="array" ref="AV316">IFERROR((IF($O316=1,0,NPV('2027 Avoided Costs'!$D$6,_xlfn._xlws.FILTER('2027 Avoided Costs'!$Q$14:$Q$47,('2027 Avoided Costs'!$B$14:$B$47&gt;=$B316+1)*('2027 Avoided Costs'!$B$14:$B$47&lt;$B316+ROUND($O316,0)))))+_xlfn.XLOOKUP($B316,'2027 Avoided Costs'!$B$13:$B$47,'2027 Avoided Costs'!$Q$13:$Q$47))*IF($AI316&gt;0,$AI316*(1+$W316),0),0)</f>
        <v>0</v>
      </c>
      <c r="AW316" s="291" cm="1">
        <f t="array" ref="AW316">IFERROR((IF($O316=1,0,NPV('2027 Avoided Costs'!$D$6,_xlfn._xlws.FILTER('2027 Avoided Costs'!$W$14:$W$47,('2027 Avoided Costs'!$B$14:$B$47&gt;=$B316+1)*('2027 Avoided Costs'!$B$14:$B$47&lt;$B316+ROUND($O316,0)))))+_xlfn.XLOOKUP($B316,'2027 Avoided Costs'!$B$13:$B$47,'2027 Avoided Costs'!$W$13:$W$47))*IF($AM316&gt;0,$AM316*(1+$W316),0),0)</f>
        <v>0</v>
      </c>
      <c r="AX316" s="291" cm="1">
        <f t="array" ref="AX316">IFERROR((IF($O316=1,0,NPV('2027 Avoided Costs'!$D$6,_xlfn._xlws.FILTER('2027 Avoided Costs'!$AC$14:$AC$47,('2027 Avoided Costs'!$B$14:$B$47&gt;=$B316+1)*('2027 Avoided Costs'!$B$14:$B$47&lt;$B316+ROUND($O316,0)))))+_xlfn.XLOOKUP($B316,'2027 Avoided Costs'!$B$13:$B$47,'2027 Avoided Costs'!$AC$13:$AC$47))*IF($AO316&gt;0,$AO316*(1+$W316),0),0)</f>
        <v>0</v>
      </c>
      <c r="AY316" s="291" cm="1">
        <f t="array" ref="AY316">IFERROR((IF($O316=1,0,NPV('2027 Avoided Costs'!$D$4,_xlfn._xlws.FILTER('2027 Avoided Costs'!$I$14:$I$47,('2027 Avoided Costs'!$B$14:$B$47&gt;=$B316+1)*('2027 Avoided Costs'!$B$14:$B$47&lt;$B316+ROUND($O316,0)))))+_xlfn.XLOOKUP($B316,'2027 Avoided Costs'!$B$13:$B$47,'2027 Avoided Costs'!$I$13:$I$47))*IF($X316="Residential",'2027 Avoided Costs'!$J$5,IF($X316="Large Volume",'2027 Avoided Costs'!$J$7,'2027 Avoided Costs'!$J$6))*IF($AE316&gt;0,$AE316,0),0)</f>
        <v>0</v>
      </c>
      <c r="AZ316" s="291" cm="1">
        <f t="array" ref="AZ316">IFERROR(IF($J316="Baseload",IF($O316=1,0,NPV('2027 Avoided Costs'!$D$6,_xlfn._xlws.FILTER('2027 Avoided Costs'!$C$14:$C$47,('2027 Avoided Costs'!$B$14:$B$47&gt;=$B316+1)*('2027 Avoided Costs'!$B$14:$B$47&lt;$B316+ROUND($O316,0)))))+_xlfn.XLOOKUP($B316,'2027 Avoided Costs'!$B$13:$B$47,'2027 Avoided Costs'!$C$13:$C$47),IF($O316=1,0,NPV('2027 Avoided Costs'!$D$6,_xlfn._xlws.FILTER('2027 Avoided Costs'!$E$14:$E$47,('2027 Avoided Costs'!$B$14:$B$47&gt;=$B316+1)*('2027 Avoided Costs'!$B$14:$B$47&lt;$B316+ROUND($O316,0)))))+_xlfn.XLOOKUP($B316,'2027 Avoided Costs'!$B$13:$B$47,'2027 Avoided Costs'!$E$13:$E$47))*IF($AE316&lt;0,$AE316*(-1),0),0)</f>
        <v>0</v>
      </c>
      <c r="BA316" s="291" cm="1">
        <f t="array" ref="BA316">IFERROR((IF($O316=1,0,NPV('2027 Avoided Costs'!$D$6,_xlfn._xlws.FILTER('2027 Avoided Costs'!$M$14:$M$47,('2027 Avoided Costs'!$B$14:$B$47&gt;=$B316+1)*('2027 Avoided Costs'!$B$14:$B$47&lt;$B316+ROUND($O316,0)))))+_xlfn.XLOOKUP($B316,'2027 Avoided Costs'!$B$13:$B$47,'2027 Avoided Costs'!$M$13:$M$47))*IF($AK316&lt;0,$AK316*(-1),0),0)</f>
        <v>0</v>
      </c>
      <c r="BB316" s="291" cm="1">
        <f t="array" ref="BB316">IFERROR((IF($O316=1,0,NPV('2027 Avoided Costs'!$D$6,_xlfn._xlws.FILTER('2027 Avoided Costs'!$S$14:$S$47,('2027 Avoided Costs'!$B$14:$B$47&gt;=$B316+1)*('2027 Avoided Costs'!$B$14:$B$47&lt;$B316+ROUND($O316,0)))))+_xlfn.XLOOKUP($B316,'2027 Avoided Costs'!$B$13:$B$47,'2027 Avoided Costs'!$S$13:$S$47))*IF($AI316&lt;0,$AI316*(-1),0),0)</f>
        <v>328712.3107104752</v>
      </c>
      <c r="BC316" s="291" cm="1">
        <f t="array" ref="BC316">IFERROR((IF($O316=1,0,NPV('2027 Avoided Costs'!$D$6,_xlfn._xlws.FILTER('2027 Avoided Costs'!$Y$14:$Y$47,('2027 Avoided Costs'!$B$14:$B$47&gt;=$B316+1)*('2027 Avoided Costs'!$B$14:$B$47&lt;$B316+ROUND($O316,0)))))+_xlfn.XLOOKUP($B316,'2027 Avoided Costs'!$B$13:$B$47,'2027 Avoided Costs'!$Y$13:$Y$47))*IF($AM316&lt;0,$AM316*(-1),0),0)</f>
        <v>0</v>
      </c>
      <c r="BD316" s="291" cm="1">
        <f t="array" ref="BD316">IFERROR((IF($O316=1,0,NPV('2027 Avoided Costs'!$D$6,_xlfn._xlws.FILTER('2027 Avoided Costs'!$AE$14:$AE$47,('2027 Avoided Costs'!$B$14:$B$47&gt;=$B316+1)*('2027 Avoided Costs'!$B$14:$B$47&lt;$B316+ROUND($O316,0)))))+_xlfn.XLOOKUP($B316,'2027 Avoided Costs'!$B$13:$B$47,'2027 Avoided Costs'!$AE$13:$AE$47))*IF($AO316&lt;0,$AO316*(-1),0),0)</f>
        <v>37710.643965585623</v>
      </c>
      <c r="BE316" s="291" cm="1">
        <f t="array" ref="BE316">IFERROR((IF($O316=1,0,NPV('2027 Avoided Costs'!$D$4,_xlfn._xlws.FILTER('2027 Avoided Costs'!$I$14:$I$47,('2027 Avoided Costs'!$B$14:$B$47&gt;=$B316+1)*('2027 Avoided Costs'!$B$14:$B$47&lt;$B316+ROUND($O316,0)))))+_xlfn.XLOOKUP($B316,'2027 Avoided Costs'!$B$13:$B$47,'2027 Avoided Costs'!$I$13:$I$47))*IF($X316="Residential",'2027 Avoided Costs'!$J$5,IF($X316="Large Volume",'2027 Avoided Costs'!$J$7,'2027 Avoided Costs'!$J$6))*IF($AE316&lt;0,$AE316*(-1),0),0)</f>
        <v>0</v>
      </c>
      <c r="BF316" s="291">
        <f t="shared" si="139"/>
        <v>800317.38020652789</v>
      </c>
      <c r="BG316" s="291">
        <f t="shared" si="140"/>
        <v>2765300.9546760609</v>
      </c>
      <c r="BH316" s="291">
        <f t="shared" si="141"/>
        <v>-1964983.5744695331</v>
      </c>
      <c r="BI316" s="292">
        <f t="shared" si="137"/>
        <v>0.28941420602094303</v>
      </c>
      <c r="BJ316" s="196" cm="1">
        <f t="array" ref="BJ316">IFERROR(IF($J316="Baseload",IF($O316=1,0,NPV('2027 Avoided Costs'!$D$6,_xlfn._xlws.FILTER('2027 Avoided Costs'!$C$14:$C$47,('2027 Avoided Costs'!$B$14:$B$47&gt;=$B316+1)*('2027 Avoided Costs'!$B$14:$B$47&lt;$B316+ROUND($O316,0)))))+_xlfn.XLOOKUP($B316,'2027 Avoided Costs'!$B$13:$B$47,'2027 Avoided Costs'!$C$13:$C$47),IF($O316=1,0,NPV('2027 Avoided Costs'!$D$6,_xlfn._xlws.FILTER('2027 Avoided Costs'!$E$14:$E$47,('2027 Avoided Costs'!$B$14:$B$47&gt;=$B316+1)*('2027 Avoided Costs'!$B$14:$B$47&lt;$B316+ROUND($O316,0)))))+_xlfn.XLOOKUP($B316,'2027 Avoided Costs'!$B$13:$B$47,'2027 Avoided Costs'!$E$13:$E$47))*IF($AE316&gt;0,$AE316*(1+0),0),0)</f>
        <v>695928.1567013287</v>
      </c>
      <c r="BK316" s="293">
        <f t="shared" si="135"/>
        <v>1.1157415263850872</v>
      </c>
    </row>
    <row r="317" spans="1:63" s="56" customFormat="1" x14ac:dyDescent="0.25">
      <c r="A317" s="270" t="s">
        <v>207</v>
      </c>
      <c r="B317" s="271">
        <v>2027</v>
      </c>
      <c r="C317" s="272" t="s">
        <v>12</v>
      </c>
      <c r="D317" s="272" t="s">
        <v>21</v>
      </c>
      <c r="E317" s="272" t="s">
        <v>347</v>
      </c>
      <c r="F317" s="273">
        <v>10</v>
      </c>
      <c r="G317" s="274">
        <v>6831.1100000000006</v>
      </c>
      <c r="H317" s="275">
        <f t="shared" si="115"/>
        <v>1.87</v>
      </c>
      <c r="I317" s="274">
        <v>0</v>
      </c>
      <c r="J317" s="276" t="s">
        <v>264</v>
      </c>
      <c r="K317" s="277">
        <f t="shared" si="138"/>
        <v>1</v>
      </c>
      <c r="L317" s="278">
        <v>0</v>
      </c>
      <c r="M317" s="278">
        <v>0</v>
      </c>
      <c r="N317" s="278">
        <v>0.97609999999999997</v>
      </c>
      <c r="O317" s="279">
        <v>5</v>
      </c>
      <c r="P317" s="280">
        <v>3653</v>
      </c>
      <c r="Q317" s="281">
        <v>0</v>
      </c>
      <c r="R317" s="282">
        <v>0</v>
      </c>
      <c r="S317" s="282">
        <v>0</v>
      </c>
      <c r="T317" s="281">
        <v>0</v>
      </c>
      <c r="U317" s="283">
        <v>0</v>
      </c>
      <c r="V317" s="284">
        <v>5000</v>
      </c>
      <c r="W317" s="285">
        <v>0.15</v>
      </c>
      <c r="X317" s="286" t="s">
        <v>255</v>
      </c>
      <c r="Y317" s="287">
        <f t="shared" si="116"/>
        <v>10</v>
      </c>
      <c r="Z317" s="288">
        <f t="shared" si="117"/>
        <v>68311.100000000006</v>
      </c>
      <c r="AA317" s="288">
        <f t="shared" si="118"/>
        <v>0</v>
      </c>
      <c r="AB317" s="288">
        <f t="shared" si="119"/>
        <v>68311.100000000006</v>
      </c>
      <c r="AC317" s="288">
        <f t="shared" si="136"/>
        <v>0</v>
      </c>
      <c r="AD317" s="287">
        <f t="shared" si="120"/>
        <v>35656.932999999997</v>
      </c>
      <c r="AE317" s="287">
        <f t="shared" si="121"/>
        <v>35656.932999999997</v>
      </c>
      <c r="AF317" s="287">
        <f t="shared" si="122"/>
        <v>178284.66499999998</v>
      </c>
      <c r="AG317" s="287">
        <f t="shared" si="123"/>
        <v>178284.66499999998</v>
      </c>
      <c r="AH317" s="287">
        <f t="shared" si="124"/>
        <v>0</v>
      </c>
      <c r="AI317" s="287">
        <f t="shared" si="125"/>
        <v>0</v>
      </c>
      <c r="AJ317" s="287">
        <f t="shared" si="126"/>
        <v>0</v>
      </c>
      <c r="AK317" s="287">
        <f t="shared" si="127"/>
        <v>0</v>
      </c>
      <c r="AL317" s="287">
        <f t="shared" si="128"/>
        <v>0</v>
      </c>
      <c r="AM317" s="287">
        <f t="shared" si="129"/>
        <v>0</v>
      </c>
      <c r="AN317" s="287">
        <f t="shared" si="130"/>
        <v>0</v>
      </c>
      <c r="AO317" s="287">
        <f t="shared" si="131"/>
        <v>0</v>
      </c>
      <c r="AP317" s="287">
        <f t="shared" si="132"/>
        <v>50000</v>
      </c>
      <c r="AQ317" s="287">
        <f t="shared" si="133"/>
        <v>50000</v>
      </c>
      <c r="AR317" s="287">
        <f t="shared" si="134"/>
        <v>0</v>
      </c>
      <c r="AS317" s="289" t="e">
        <f>IF(J317='2027 Avoided Costs'!#REF!,3,5)</f>
        <v>#REF!</v>
      </c>
      <c r="AT317" s="290" cm="1">
        <f t="array" ref="AT317">IFERROR(IF($J317="Baseload",IF($O317=1,0,NPV('2027 Avoided Costs'!$D$6,_xlfn._xlws.FILTER('2027 Avoided Costs'!$C$14:$C$47,('2027 Avoided Costs'!$B$14:$B$47&gt;=$B317+1)*('2027 Avoided Costs'!$B$14:$B$47&lt;$B317+ROUND($O317,0)))))+_xlfn.XLOOKUP($B317,'2027 Avoided Costs'!$B$13:$B$47,'2027 Avoided Costs'!$C$13:$C$47),IF($O317=1,0,NPV('2027 Avoided Costs'!$D$6,_xlfn._xlws.FILTER('2027 Avoided Costs'!$E$14:$E$47,('2027 Avoided Costs'!$B$14:$B$47&gt;=$B317+1)*('2027 Avoided Costs'!$B$14:$B$47&lt;$B317+ROUND($O317,0)))))+_xlfn.XLOOKUP($B317,'2027 Avoided Costs'!$B$13:$B$47,'2027 Avoided Costs'!$E$13:$E$47))*IF($AE317&gt;0,$AE317*(1+$W317),0),0)</f>
        <v>53076.687944383571</v>
      </c>
      <c r="AU317" s="290" cm="1">
        <f t="array" ref="AU317">IFERROR((IF($O317=1,0,NPV('2027 Avoided Costs'!$D$6,_xlfn._xlws.FILTER('2027 Avoided Costs'!$M$14:$M$47,('2027 Avoided Costs'!$B$14:$B$47&gt;=$B317+1)*('2027 Avoided Costs'!$B$14:$B$47&lt;$B317+ROUND($O317,0)))))+_xlfn.XLOOKUP($B317,'2027 Avoided Costs'!$B$13:$B$47,'2027 Avoided Costs'!$M$13:$M$47))*IF($AK317&gt;0,$AK317*(1+$W317),0),0)</f>
        <v>0</v>
      </c>
      <c r="AV317" s="291" cm="1">
        <f t="array" ref="AV317">IFERROR((IF($O317=1,0,NPV('2027 Avoided Costs'!$D$6,_xlfn._xlws.FILTER('2027 Avoided Costs'!$Q$14:$Q$47,('2027 Avoided Costs'!$B$14:$B$47&gt;=$B317+1)*('2027 Avoided Costs'!$B$14:$B$47&lt;$B317+ROUND($O317,0)))))+_xlfn.XLOOKUP($B317,'2027 Avoided Costs'!$B$13:$B$47,'2027 Avoided Costs'!$Q$13:$Q$47))*IF($AI317&gt;0,$AI317*(1+$W317),0),0)</f>
        <v>0</v>
      </c>
      <c r="AW317" s="291" cm="1">
        <f t="array" ref="AW317">IFERROR((IF($O317=1,0,NPV('2027 Avoided Costs'!$D$6,_xlfn._xlws.FILTER('2027 Avoided Costs'!$W$14:$W$47,('2027 Avoided Costs'!$B$14:$B$47&gt;=$B317+1)*('2027 Avoided Costs'!$B$14:$B$47&lt;$B317+ROUND($O317,0)))))+_xlfn.XLOOKUP($B317,'2027 Avoided Costs'!$B$13:$B$47,'2027 Avoided Costs'!$W$13:$W$47))*IF($AM317&gt;0,$AM317*(1+$W317),0),0)</f>
        <v>0</v>
      </c>
      <c r="AX317" s="291" cm="1">
        <f t="array" ref="AX317">IFERROR((IF($O317=1,0,NPV('2027 Avoided Costs'!$D$6,_xlfn._xlws.FILTER('2027 Avoided Costs'!$AC$14:$AC$47,('2027 Avoided Costs'!$B$14:$B$47&gt;=$B317+1)*('2027 Avoided Costs'!$B$14:$B$47&lt;$B317+ROUND($O317,0)))))+_xlfn.XLOOKUP($B317,'2027 Avoided Costs'!$B$13:$B$47,'2027 Avoided Costs'!$AC$13:$AC$47))*IF($AO317&gt;0,$AO317*(1+$W317),0),0)</f>
        <v>0</v>
      </c>
      <c r="AY317" s="291" cm="1">
        <f t="array" ref="AY317">IFERROR((IF($O317=1,0,NPV('2027 Avoided Costs'!$D$4,_xlfn._xlws.FILTER('2027 Avoided Costs'!$I$14:$I$47,('2027 Avoided Costs'!$B$14:$B$47&gt;=$B317+1)*('2027 Avoided Costs'!$B$14:$B$47&lt;$B317+ROUND($O317,0)))))+_xlfn.XLOOKUP($B317,'2027 Avoided Costs'!$B$13:$B$47,'2027 Avoided Costs'!$I$13:$I$47))*IF($X317="Residential",'2027 Avoided Costs'!$J$5,IF($X317="Large Volume",'2027 Avoided Costs'!$J$7,'2027 Avoided Costs'!$J$6))*IF($AE317&gt;0,$AE317,0),0)</f>
        <v>0</v>
      </c>
      <c r="AZ317" s="291" cm="1">
        <f t="array" ref="AZ317">IFERROR(IF($J317="Baseload",IF($O317=1,0,NPV('2027 Avoided Costs'!$D$6,_xlfn._xlws.FILTER('2027 Avoided Costs'!$C$14:$C$47,('2027 Avoided Costs'!$B$14:$B$47&gt;=$B317+1)*('2027 Avoided Costs'!$B$14:$B$47&lt;$B317+ROUND($O317,0)))))+_xlfn.XLOOKUP($B317,'2027 Avoided Costs'!$B$13:$B$47,'2027 Avoided Costs'!$C$13:$C$47),IF($O317=1,0,NPV('2027 Avoided Costs'!$D$6,_xlfn._xlws.FILTER('2027 Avoided Costs'!$E$14:$E$47,('2027 Avoided Costs'!$B$14:$B$47&gt;=$B317+1)*('2027 Avoided Costs'!$B$14:$B$47&lt;$B317+ROUND($O317,0)))))+_xlfn.XLOOKUP($B317,'2027 Avoided Costs'!$B$13:$B$47,'2027 Avoided Costs'!$E$13:$E$47))*IF($AE317&lt;0,$AE317*(-1),0),0)</f>
        <v>0</v>
      </c>
      <c r="BA317" s="291" cm="1">
        <f t="array" ref="BA317">IFERROR((IF($O317=1,0,NPV('2027 Avoided Costs'!$D$6,_xlfn._xlws.FILTER('2027 Avoided Costs'!$M$14:$M$47,('2027 Avoided Costs'!$B$14:$B$47&gt;=$B317+1)*('2027 Avoided Costs'!$B$14:$B$47&lt;$B317+ROUND($O317,0)))))+_xlfn.XLOOKUP($B317,'2027 Avoided Costs'!$B$13:$B$47,'2027 Avoided Costs'!$M$13:$M$47))*IF($AK317&lt;0,$AK317*(-1),0),0)</f>
        <v>0</v>
      </c>
      <c r="BB317" s="291" cm="1">
        <f t="array" ref="BB317">IFERROR((IF($O317=1,0,NPV('2027 Avoided Costs'!$D$6,_xlfn._xlws.FILTER('2027 Avoided Costs'!$S$14:$S$47,('2027 Avoided Costs'!$B$14:$B$47&gt;=$B317+1)*('2027 Avoided Costs'!$B$14:$B$47&lt;$B317+ROUND($O317,0)))))+_xlfn.XLOOKUP($B317,'2027 Avoided Costs'!$B$13:$B$47,'2027 Avoided Costs'!$S$13:$S$47))*IF($AI317&lt;0,$AI317*(-1),0),0)</f>
        <v>0</v>
      </c>
      <c r="BC317" s="291" cm="1">
        <f t="array" ref="BC317">IFERROR((IF($O317=1,0,NPV('2027 Avoided Costs'!$D$6,_xlfn._xlws.FILTER('2027 Avoided Costs'!$Y$14:$Y$47,('2027 Avoided Costs'!$B$14:$B$47&gt;=$B317+1)*('2027 Avoided Costs'!$B$14:$B$47&lt;$B317+ROUND($O317,0)))))+_xlfn.XLOOKUP($B317,'2027 Avoided Costs'!$B$13:$B$47,'2027 Avoided Costs'!$Y$13:$Y$47))*IF($AM317&lt;0,$AM317*(-1),0),0)</f>
        <v>0</v>
      </c>
      <c r="BD317" s="291" cm="1">
        <f t="array" ref="BD317">IFERROR((IF($O317=1,0,NPV('2027 Avoided Costs'!$D$6,_xlfn._xlws.FILTER('2027 Avoided Costs'!$AE$14:$AE$47,('2027 Avoided Costs'!$B$14:$B$47&gt;=$B317+1)*('2027 Avoided Costs'!$B$14:$B$47&lt;$B317+ROUND($O317,0)))))+_xlfn.XLOOKUP($B317,'2027 Avoided Costs'!$B$13:$B$47,'2027 Avoided Costs'!$AE$13:$AE$47))*IF($AO317&lt;0,$AO317*(-1),0),0)</f>
        <v>0</v>
      </c>
      <c r="BE317" s="291" cm="1">
        <f t="array" ref="BE317">IFERROR((IF($O317=1,0,NPV('2027 Avoided Costs'!$D$4,_xlfn._xlws.FILTER('2027 Avoided Costs'!$I$14:$I$47,('2027 Avoided Costs'!$B$14:$B$47&gt;=$B317+1)*('2027 Avoided Costs'!$B$14:$B$47&lt;$B317+ROUND($O317,0)))))+_xlfn.XLOOKUP($B317,'2027 Avoided Costs'!$B$13:$B$47,'2027 Avoided Costs'!$I$13:$I$47))*IF($X317="Residential",'2027 Avoided Costs'!$J$5,IF($X317="Large Volume",'2027 Avoided Costs'!$J$7,'2027 Avoided Costs'!$J$6))*IF($AE317&lt;0,$AE317*(-1),0),0)</f>
        <v>0</v>
      </c>
      <c r="BF317" s="291">
        <f t="shared" si="139"/>
        <v>53076.687944383571</v>
      </c>
      <c r="BG317" s="291">
        <f t="shared" si="140"/>
        <v>50000</v>
      </c>
      <c r="BH317" s="291">
        <f t="shared" si="141"/>
        <v>3076.6879443835714</v>
      </c>
      <c r="BI317" s="292">
        <f t="shared" si="137"/>
        <v>1.0615337588876714</v>
      </c>
      <c r="BJ317" s="196" cm="1">
        <f t="array" ref="BJ317">IFERROR(IF($J317="Baseload",IF($O317=1,0,NPV('2027 Avoided Costs'!$D$6,_xlfn._xlws.FILTER('2027 Avoided Costs'!$C$14:$C$47,('2027 Avoided Costs'!$B$14:$B$47&gt;=$B317+1)*('2027 Avoided Costs'!$B$14:$B$47&lt;$B317+ROUND($O317,0)))))+_xlfn.XLOOKUP($B317,'2027 Avoided Costs'!$B$13:$B$47,'2027 Avoided Costs'!$C$13:$C$47),IF($O317=1,0,NPV('2027 Avoided Costs'!$D$6,_xlfn._xlws.FILTER('2027 Avoided Costs'!$E$14:$E$47,('2027 Avoided Costs'!$B$14:$B$47&gt;=$B317+1)*('2027 Avoided Costs'!$B$14:$B$47&lt;$B317+ROUND($O317,0)))))+_xlfn.XLOOKUP($B317,'2027 Avoided Costs'!$B$13:$B$47,'2027 Avoided Costs'!$E$13:$E$47))*IF($AE317&gt;0,$AE317*(1+0),0),0)</f>
        <v>46153.641690768323</v>
      </c>
      <c r="BK317" s="293">
        <f t="shared" si="135"/>
        <v>0.67563897654653959</v>
      </c>
    </row>
    <row r="318" spans="1:63" s="56" customFormat="1" x14ac:dyDescent="0.25">
      <c r="A318" s="270" t="s">
        <v>207</v>
      </c>
      <c r="B318" s="271">
        <v>2028</v>
      </c>
      <c r="C318" s="272" t="s">
        <v>12</v>
      </c>
      <c r="D318" s="272" t="s">
        <v>21</v>
      </c>
      <c r="E318" s="272" t="s">
        <v>109</v>
      </c>
      <c r="F318" s="273">
        <v>65</v>
      </c>
      <c r="G318" s="274">
        <v>45549</v>
      </c>
      <c r="H318" s="275">
        <f t="shared" si="115"/>
        <v>3</v>
      </c>
      <c r="I318" s="274">
        <v>0</v>
      </c>
      <c r="J318" s="276" t="s">
        <v>264</v>
      </c>
      <c r="K318" s="277">
        <f t="shared" si="138"/>
        <v>1</v>
      </c>
      <c r="L318" s="278">
        <v>0</v>
      </c>
      <c r="M318" s="278">
        <v>0</v>
      </c>
      <c r="N318" s="278">
        <v>0.97609999999999997</v>
      </c>
      <c r="O318" s="279">
        <v>20</v>
      </c>
      <c r="P318" s="280">
        <v>15183</v>
      </c>
      <c r="Q318" s="281">
        <v>10864</v>
      </c>
      <c r="R318" s="282">
        <v>6.6203996599558224</v>
      </c>
      <c r="S318" s="282">
        <v>1.9554512565234221</v>
      </c>
      <c r="T318" s="281">
        <v>0</v>
      </c>
      <c r="U318" s="283">
        <v>0</v>
      </c>
      <c r="V318" s="284">
        <v>44540</v>
      </c>
      <c r="W318" s="285">
        <v>0.15</v>
      </c>
      <c r="X318" s="286" t="s">
        <v>255</v>
      </c>
      <c r="Y318" s="287">
        <f t="shared" si="116"/>
        <v>65</v>
      </c>
      <c r="Z318" s="288">
        <f t="shared" si="117"/>
        <v>2960685</v>
      </c>
      <c r="AA318" s="288">
        <f t="shared" si="118"/>
        <v>0</v>
      </c>
      <c r="AB318" s="288">
        <f t="shared" si="119"/>
        <v>3019898.7</v>
      </c>
      <c r="AC318" s="288">
        <f t="shared" si="136"/>
        <v>0</v>
      </c>
      <c r="AD318" s="287">
        <f t="shared" si="120"/>
        <v>963308.2095</v>
      </c>
      <c r="AE318" s="287">
        <f t="shared" si="121"/>
        <v>963308.2095</v>
      </c>
      <c r="AF318" s="287">
        <f t="shared" si="122"/>
        <v>19266164.190000001</v>
      </c>
      <c r="AG318" s="287">
        <f t="shared" si="123"/>
        <v>19266164.190000001</v>
      </c>
      <c r="AH318" s="287">
        <f t="shared" si="124"/>
        <v>738911.13587200001</v>
      </c>
      <c r="AI318" s="287">
        <f t="shared" si="125"/>
        <v>738911.13587200001</v>
      </c>
      <c r="AJ318" s="287">
        <f t="shared" si="126"/>
        <v>0</v>
      </c>
      <c r="AK318" s="287">
        <f t="shared" si="127"/>
        <v>0</v>
      </c>
      <c r="AL318" s="287">
        <f t="shared" si="128"/>
        <v>450.28415249121497</v>
      </c>
      <c r="AM318" s="287">
        <f t="shared" si="129"/>
        <v>450.28415249121497</v>
      </c>
      <c r="AN318" s="287">
        <f t="shared" si="130"/>
        <v>132.99932889359826</v>
      </c>
      <c r="AO318" s="287">
        <f t="shared" si="131"/>
        <v>132.99932889359826</v>
      </c>
      <c r="AP318" s="287">
        <f t="shared" si="132"/>
        <v>2895100</v>
      </c>
      <c r="AQ318" s="287">
        <f t="shared" si="133"/>
        <v>2895100</v>
      </c>
      <c r="AR318" s="287">
        <f t="shared" si="134"/>
        <v>0</v>
      </c>
      <c r="AS318" s="289" t="e">
        <f>IF(J318='2027 Avoided Costs'!#REF!,3,5)</f>
        <v>#REF!</v>
      </c>
      <c r="AT318" s="290" cm="1">
        <f t="array" ref="AT318">IFERROR(IF($J318="Baseload",IF($O318=1,0,NPV('2027 Avoided Costs'!$D$6,_xlfn._xlws.FILTER('2027 Avoided Costs'!$C$14:$C$47,('2027 Avoided Costs'!$B$14:$B$47&gt;=$B318+1)*('2027 Avoided Costs'!$B$14:$B$47&lt;$B318+ROUND($O318,0)))))+_xlfn.XLOOKUP($B318,'2027 Avoided Costs'!$B$13:$B$47,'2027 Avoided Costs'!$C$13:$C$47),IF($O318=1,0,NPV('2027 Avoided Costs'!$D$6,_xlfn._xlws.FILTER('2027 Avoided Costs'!$E$14:$E$47,('2027 Avoided Costs'!$B$14:$B$47&gt;=$B318+1)*('2027 Avoided Costs'!$B$14:$B$47&lt;$B318+ROUND($O318,0)))))+_xlfn.XLOOKUP($B318,'2027 Avoided Costs'!$B$13:$B$47,'2027 Avoided Costs'!$E$13:$E$47))*IF($AE318&gt;0,$AE318*(1+$W318),0),0)</f>
        <v>4948897.7597808875</v>
      </c>
      <c r="AU318" s="290" cm="1">
        <f t="array" ref="AU318">IFERROR((IF($O318=1,0,NPV('2027 Avoided Costs'!$D$6,_xlfn._xlws.FILTER('2027 Avoided Costs'!$M$14:$M$47,('2027 Avoided Costs'!$B$14:$B$47&gt;=$B318+1)*('2027 Avoided Costs'!$B$14:$B$47&lt;$B318+ROUND($O318,0)))))+_xlfn.XLOOKUP($B318,'2027 Avoided Costs'!$B$13:$B$47,'2027 Avoided Costs'!$M$13:$M$47))*IF($AK318&gt;0,$AK318*(1+$W318),0),0)</f>
        <v>0</v>
      </c>
      <c r="AV318" s="291" cm="1">
        <f t="array" ref="AV318">IFERROR((IF($O318=1,0,NPV('2027 Avoided Costs'!$D$6,_xlfn._xlws.FILTER('2027 Avoided Costs'!$Q$14:$Q$47,('2027 Avoided Costs'!$B$14:$B$47&gt;=$B318+1)*('2027 Avoided Costs'!$B$14:$B$47&lt;$B318+ROUND($O318,0)))))+_xlfn.XLOOKUP($B318,'2027 Avoided Costs'!$B$13:$B$47,'2027 Avoided Costs'!$Q$13:$Q$47))*IF($AI318&gt;0,$AI318*(1+$W318),0),0)</f>
        <v>583534.05692947831</v>
      </c>
      <c r="AW318" s="291" cm="1">
        <f t="array" ref="AW318">IFERROR((IF($O318=1,0,NPV('2027 Avoided Costs'!$D$6,_xlfn._xlws.FILTER('2027 Avoided Costs'!$W$14:$W$47,('2027 Avoided Costs'!$B$14:$B$47&gt;=$B318+1)*('2027 Avoided Costs'!$B$14:$B$47&lt;$B318+ROUND($O318,0)))))+_xlfn.XLOOKUP($B318,'2027 Avoided Costs'!$B$13:$B$47,'2027 Avoided Costs'!$W$13:$W$47))*IF($AM318&gt;0,$AM318*(1+$W318),0),0)</f>
        <v>2172698.7840145025</v>
      </c>
      <c r="AX318" s="291" cm="1">
        <f t="array" ref="AX318">IFERROR((IF($O318=1,0,NPV('2027 Avoided Costs'!$D$6,_xlfn._xlws.FILTER('2027 Avoided Costs'!$AC$14:$AC$47,('2027 Avoided Costs'!$B$14:$B$47&gt;=$B318+1)*('2027 Avoided Costs'!$B$14:$B$47&lt;$B318+ROUND($O318,0)))))+_xlfn.XLOOKUP($B318,'2027 Avoided Costs'!$B$13:$B$47,'2027 Avoided Costs'!$AC$13:$AC$47))*IF($AO318&gt;0,$AO318*(1+$W318),0),0)</f>
        <v>99324.796901733527</v>
      </c>
      <c r="AY318" s="291" cm="1">
        <f t="array" ref="AY318">IFERROR((IF($O318=1,0,NPV('2027 Avoided Costs'!$D$4,_xlfn._xlws.FILTER('2027 Avoided Costs'!$I$14:$I$47,('2027 Avoided Costs'!$B$14:$B$47&gt;=$B318+1)*('2027 Avoided Costs'!$B$14:$B$47&lt;$B318+ROUND($O318,0)))))+_xlfn.XLOOKUP($B318,'2027 Avoided Costs'!$B$13:$B$47,'2027 Avoided Costs'!$I$13:$I$47))*IF($X318="Residential",'2027 Avoided Costs'!$J$5,IF($X318="Large Volume",'2027 Avoided Costs'!$J$7,'2027 Avoided Costs'!$J$6))*IF($AE318&gt;0,$AE318,0),0)</f>
        <v>0</v>
      </c>
      <c r="AZ318" s="291" cm="1">
        <f t="array" ref="AZ318">IFERROR(IF($J318="Baseload",IF($O318=1,0,NPV('2027 Avoided Costs'!$D$6,_xlfn._xlws.FILTER('2027 Avoided Costs'!$C$14:$C$47,('2027 Avoided Costs'!$B$14:$B$47&gt;=$B318+1)*('2027 Avoided Costs'!$B$14:$B$47&lt;$B318+ROUND($O318,0)))))+_xlfn.XLOOKUP($B318,'2027 Avoided Costs'!$B$13:$B$47,'2027 Avoided Costs'!$C$13:$C$47),IF($O318=1,0,NPV('2027 Avoided Costs'!$D$6,_xlfn._xlws.FILTER('2027 Avoided Costs'!$E$14:$E$47,('2027 Avoided Costs'!$B$14:$B$47&gt;=$B318+1)*('2027 Avoided Costs'!$B$14:$B$47&lt;$B318+ROUND($O318,0)))))+_xlfn.XLOOKUP($B318,'2027 Avoided Costs'!$B$13:$B$47,'2027 Avoided Costs'!$E$13:$E$47))*IF($AE318&lt;0,$AE318*(-1),0),0)</f>
        <v>0</v>
      </c>
      <c r="BA318" s="291" cm="1">
        <f t="array" ref="BA318">IFERROR((IF($O318=1,0,NPV('2027 Avoided Costs'!$D$6,_xlfn._xlws.FILTER('2027 Avoided Costs'!$M$14:$M$47,('2027 Avoided Costs'!$B$14:$B$47&gt;=$B318+1)*('2027 Avoided Costs'!$B$14:$B$47&lt;$B318+ROUND($O318,0)))))+_xlfn.XLOOKUP($B318,'2027 Avoided Costs'!$B$13:$B$47,'2027 Avoided Costs'!$M$13:$M$47))*IF($AK318&lt;0,$AK318*(-1),0),0)</f>
        <v>0</v>
      </c>
      <c r="BB318" s="291" cm="1">
        <f t="array" ref="BB318">IFERROR((IF($O318=1,0,NPV('2027 Avoided Costs'!$D$6,_xlfn._xlws.FILTER('2027 Avoided Costs'!$S$14:$S$47,('2027 Avoided Costs'!$B$14:$B$47&gt;=$B318+1)*('2027 Avoided Costs'!$B$14:$B$47&lt;$B318+ROUND($O318,0)))))+_xlfn.XLOOKUP($B318,'2027 Avoided Costs'!$B$13:$B$47,'2027 Avoided Costs'!$S$13:$S$47))*IF($AI318&lt;0,$AI318*(-1),0),0)</f>
        <v>0</v>
      </c>
      <c r="BC318" s="291" cm="1">
        <f t="array" ref="BC318">IFERROR((IF($O318=1,0,NPV('2027 Avoided Costs'!$D$6,_xlfn._xlws.FILTER('2027 Avoided Costs'!$Y$14:$Y$47,('2027 Avoided Costs'!$B$14:$B$47&gt;=$B318+1)*('2027 Avoided Costs'!$B$14:$B$47&lt;$B318+ROUND($O318,0)))))+_xlfn.XLOOKUP($B318,'2027 Avoided Costs'!$B$13:$B$47,'2027 Avoided Costs'!$Y$13:$Y$47))*IF($AM318&lt;0,$AM318*(-1),0),0)</f>
        <v>0</v>
      </c>
      <c r="BD318" s="291" cm="1">
        <f t="array" ref="BD318">IFERROR((IF($O318=1,0,NPV('2027 Avoided Costs'!$D$6,_xlfn._xlws.FILTER('2027 Avoided Costs'!$AE$14:$AE$47,('2027 Avoided Costs'!$B$14:$B$47&gt;=$B318+1)*('2027 Avoided Costs'!$B$14:$B$47&lt;$B318+ROUND($O318,0)))))+_xlfn.XLOOKUP($B318,'2027 Avoided Costs'!$B$13:$B$47,'2027 Avoided Costs'!$AE$13:$AE$47))*IF($AO318&lt;0,$AO318*(-1),0),0)</f>
        <v>0</v>
      </c>
      <c r="BE318" s="291" cm="1">
        <f t="array" ref="BE318">IFERROR((IF($O318=1,0,NPV('2027 Avoided Costs'!$D$4,_xlfn._xlws.FILTER('2027 Avoided Costs'!$I$14:$I$47,('2027 Avoided Costs'!$B$14:$B$47&gt;=$B318+1)*('2027 Avoided Costs'!$B$14:$B$47&lt;$B318+ROUND($O318,0)))))+_xlfn.XLOOKUP($B318,'2027 Avoided Costs'!$B$13:$B$47,'2027 Avoided Costs'!$I$13:$I$47))*IF($X318="Residential",'2027 Avoided Costs'!$J$5,IF($X318="Large Volume",'2027 Avoided Costs'!$J$7,'2027 Avoided Costs'!$J$6))*IF($AE318&lt;0,$AE318*(-1),0),0)</f>
        <v>0</v>
      </c>
      <c r="BF318" s="291">
        <f t="shared" si="139"/>
        <v>7804455.3976266021</v>
      </c>
      <c r="BG318" s="291">
        <f t="shared" si="140"/>
        <v>2895100</v>
      </c>
      <c r="BH318" s="291">
        <f t="shared" si="141"/>
        <v>4909355.3976266021</v>
      </c>
      <c r="BI318" s="292">
        <f t="shared" si="137"/>
        <v>2.6957463982683163</v>
      </c>
      <c r="BJ318" s="196" cm="1">
        <f t="array" ref="BJ318">IFERROR(IF($J318="Baseload",IF($O318=1,0,NPV('2027 Avoided Costs'!$D$6,_xlfn._xlws.FILTER('2027 Avoided Costs'!$C$14:$C$47,('2027 Avoided Costs'!$B$14:$B$47&gt;=$B318+1)*('2027 Avoided Costs'!$B$14:$B$47&lt;$B318+ROUND($O318,0)))))+_xlfn.XLOOKUP($B318,'2027 Avoided Costs'!$B$13:$B$47,'2027 Avoided Costs'!$C$13:$C$47),IF($O318=1,0,NPV('2027 Avoided Costs'!$D$6,_xlfn._xlws.FILTER('2027 Avoided Costs'!$E$14:$E$47,('2027 Avoided Costs'!$B$14:$B$47&gt;=$B318+1)*('2027 Avoided Costs'!$B$14:$B$47&lt;$B318+ROUND($O318,0)))))+_xlfn.XLOOKUP($B318,'2027 Avoided Costs'!$B$13:$B$47,'2027 Avoided Costs'!$E$13:$E$47))*IF($AE318&gt;0,$AE318*(1+0),0),0)</f>
        <v>4303389.3563312059</v>
      </c>
      <c r="BK318" s="293">
        <f t="shared" si="135"/>
        <v>1.4250111622390531</v>
      </c>
    </row>
    <row r="319" spans="1:63" s="56" customFormat="1" x14ac:dyDescent="0.25">
      <c r="A319" s="270" t="s">
        <v>207</v>
      </c>
      <c r="B319" s="271">
        <v>2028</v>
      </c>
      <c r="C319" s="272" t="s">
        <v>12</v>
      </c>
      <c r="D319" s="272" t="s">
        <v>21</v>
      </c>
      <c r="E319" s="272" t="s">
        <v>110</v>
      </c>
      <c r="F319" s="273">
        <v>97</v>
      </c>
      <c r="G319" s="274">
        <v>35314.479999999996</v>
      </c>
      <c r="H319" s="275">
        <f t="shared" si="115"/>
        <v>2.9199999999999995</v>
      </c>
      <c r="I319" s="274">
        <v>0</v>
      </c>
      <c r="J319" s="276" t="s">
        <v>264</v>
      </c>
      <c r="K319" s="277">
        <f t="shared" si="138"/>
        <v>1</v>
      </c>
      <c r="L319" s="294">
        <v>0</v>
      </c>
      <c r="M319" s="294">
        <v>0</v>
      </c>
      <c r="N319" s="294">
        <v>0.97609999999999997</v>
      </c>
      <c r="O319" s="279">
        <v>15</v>
      </c>
      <c r="P319" s="280">
        <v>12094</v>
      </c>
      <c r="Q319" s="295">
        <v>0</v>
      </c>
      <c r="R319" s="296">
        <v>0</v>
      </c>
      <c r="S319" s="296">
        <v>0</v>
      </c>
      <c r="T319" s="295">
        <v>0</v>
      </c>
      <c r="U319" s="297">
        <v>0</v>
      </c>
      <c r="V319" s="284">
        <v>31979</v>
      </c>
      <c r="W319" s="298">
        <v>0.15</v>
      </c>
      <c r="X319" s="299" t="s">
        <v>255</v>
      </c>
      <c r="Y319" s="300">
        <f t="shared" si="116"/>
        <v>97</v>
      </c>
      <c r="Z319" s="196">
        <f t="shared" si="117"/>
        <v>3425504.5599999996</v>
      </c>
      <c r="AA319" s="196">
        <f t="shared" si="118"/>
        <v>0</v>
      </c>
      <c r="AB319" s="288">
        <f t="shared" si="119"/>
        <v>3494014.6511999997</v>
      </c>
      <c r="AC319" s="288">
        <f t="shared" si="136"/>
        <v>0</v>
      </c>
      <c r="AD319" s="287">
        <f t="shared" si="120"/>
        <v>1145080.4797999999</v>
      </c>
      <c r="AE319" s="287">
        <f t="shared" si="121"/>
        <v>1145080.4797999999</v>
      </c>
      <c r="AF319" s="287">
        <f t="shared" si="122"/>
        <v>17176207.196999997</v>
      </c>
      <c r="AG319" s="287">
        <f t="shared" si="123"/>
        <v>17176207.196999997</v>
      </c>
      <c r="AH319" s="300">
        <f t="shared" si="124"/>
        <v>0</v>
      </c>
      <c r="AI319" s="300">
        <f t="shared" si="125"/>
        <v>0</v>
      </c>
      <c r="AJ319" s="300">
        <f t="shared" si="126"/>
        <v>0</v>
      </c>
      <c r="AK319" s="300">
        <f t="shared" si="127"/>
        <v>0</v>
      </c>
      <c r="AL319" s="300">
        <f t="shared" si="128"/>
        <v>0</v>
      </c>
      <c r="AM319" s="300">
        <f t="shared" si="129"/>
        <v>0</v>
      </c>
      <c r="AN319" s="300">
        <f t="shared" si="130"/>
        <v>0</v>
      </c>
      <c r="AO319" s="300">
        <f t="shared" si="131"/>
        <v>0</v>
      </c>
      <c r="AP319" s="300">
        <f t="shared" si="132"/>
        <v>3101963</v>
      </c>
      <c r="AQ319" s="300">
        <f t="shared" si="133"/>
        <v>3101963</v>
      </c>
      <c r="AR319" s="300">
        <f t="shared" si="134"/>
        <v>0</v>
      </c>
      <c r="AS319" s="301" t="e">
        <f>IF(J319='2027 Avoided Costs'!#REF!,3,5)</f>
        <v>#REF!</v>
      </c>
      <c r="AT319" s="290" cm="1">
        <f t="array" ref="AT319">IFERROR(IF($J319="Baseload",IF($O319=1,0,NPV('2027 Avoided Costs'!$D$6,_xlfn._xlws.FILTER('2027 Avoided Costs'!$C$14:$C$47,('2027 Avoided Costs'!$B$14:$B$47&gt;=$B319+1)*('2027 Avoided Costs'!$B$14:$B$47&lt;$B319+ROUND($O319,0)))))+_xlfn.XLOOKUP($B319,'2027 Avoided Costs'!$B$13:$B$47,'2027 Avoided Costs'!$C$13:$C$47),IF($O319=1,0,NPV('2027 Avoided Costs'!$D$6,_xlfn._xlws.FILTER('2027 Avoided Costs'!$E$14:$E$47,('2027 Avoided Costs'!$B$14:$B$47&gt;=$B319+1)*('2027 Avoided Costs'!$B$14:$B$47&lt;$B319+ROUND($O319,0)))))+_xlfn.XLOOKUP($B319,'2027 Avoided Costs'!$B$13:$B$47,'2027 Avoided Costs'!$E$13:$E$47))*IF($AE319&gt;0,$AE319*(1+$W319),0),0)</f>
        <v>4696613.2847673791</v>
      </c>
      <c r="AU319" s="290" cm="1">
        <f t="array" ref="AU319">IFERROR((IF($O319=1,0,NPV('2027 Avoided Costs'!$D$6,_xlfn._xlws.FILTER('2027 Avoided Costs'!$M$14:$M$47,('2027 Avoided Costs'!$B$14:$B$47&gt;=$B319+1)*('2027 Avoided Costs'!$B$14:$B$47&lt;$B319+ROUND($O319,0)))))+_xlfn.XLOOKUP($B319,'2027 Avoided Costs'!$B$13:$B$47,'2027 Avoided Costs'!$M$13:$M$47))*IF($AK319&gt;0,$AK319*(1+$W319),0),0)</f>
        <v>0</v>
      </c>
      <c r="AV319" s="291" cm="1">
        <f t="array" ref="AV319">IFERROR((IF($O319=1,0,NPV('2027 Avoided Costs'!$D$6,_xlfn._xlws.FILTER('2027 Avoided Costs'!$Q$14:$Q$47,('2027 Avoided Costs'!$B$14:$B$47&gt;=$B319+1)*('2027 Avoided Costs'!$B$14:$B$47&lt;$B319+ROUND($O319,0)))))+_xlfn.XLOOKUP($B319,'2027 Avoided Costs'!$B$13:$B$47,'2027 Avoided Costs'!$Q$13:$Q$47))*IF($AI319&gt;0,$AI319*(1+$W319),0),0)</f>
        <v>0</v>
      </c>
      <c r="AW319" s="291" cm="1">
        <f t="array" ref="AW319">IFERROR((IF($O319=1,0,NPV('2027 Avoided Costs'!$D$6,_xlfn._xlws.FILTER('2027 Avoided Costs'!$W$14:$W$47,('2027 Avoided Costs'!$B$14:$B$47&gt;=$B319+1)*('2027 Avoided Costs'!$B$14:$B$47&lt;$B319+ROUND($O319,0)))))+_xlfn.XLOOKUP($B319,'2027 Avoided Costs'!$B$13:$B$47,'2027 Avoided Costs'!$W$13:$W$47))*IF($AM319&gt;0,$AM319*(1+$W319),0),0)</f>
        <v>0</v>
      </c>
      <c r="AX319" s="291" cm="1">
        <f t="array" ref="AX319">IFERROR((IF($O319=1,0,NPV('2027 Avoided Costs'!$D$6,_xlfn._xlws.FILTER('2027 Avoided Costs'!$AC$14:$AC$47,('2027 Avoided Costs'!$B$14:$B$47&gt;=$B319+1)*('2027 Avoided Costs'!$B$14:$B$47&lt;$B319+ROUND($O319,0)))))+_xlfn.XLOOKUP($B319,'2027 Avoided Costs'!$B$13:$B$47,'2027 Avoided Costs'!$AC$13:$AC$47))*IF($AO319&gt;0,$AO319*(1+$W319),0),0)</f>
        <v>0</v>
      </c>
      <c r="AY319" s="291" cm="1">
        <f t="array" ref="AY319">IFERROR((IF($O319=1,0,NPV('2027 Avoided Costs'!$D$4,_xlfn._xlws.FILTER('2027 Avoided Costs'!$I$14:$I$47,('2027 Avoided Costs'!$B$14:$B$47&gt;=$B319+1)*('2027 Avoided Costs'!$B$14:$B$47&lt;$B319+ROUND($O319,0)))))+_xlfn.XLOOKUP($B319,'2027 Avoided Costs'!$B$13:$B$47,'2027 Avoided Costs'!$I$13:$I$47))*IF($X319="Residential",'2027 Avoided Costs'!$J$5,IF($X319="Large Volume",'2027 Avoided Costs'!$J$7,'2027 Avoided Costs'!$J$6))*IF($AE319&gt;0,$AE319,0),0)</f>
        <v>0</v>
      </c>
      <c r="AZ319" s="291" cm="1">
        <f t="array" ref="AZ319">IFERROR(IF($J319="Baseload",IF($O319=1,0,NPV('2027 Avoided Costs'!$D$6,_xlfn._xlws.FILTER('2027 Avoided Costs'!$C$14:$C$47,('2027 Avoided Costs'!$B$14:$B$47&gt;=$B319+1)*('2027 Avoided Costs'!$B$14:$B$47&lt;$B319+ROUND($O319,0)))))+_xlfn.XLOOKUP($B319,'2027 Avoided Costs'!$B$13:$B$47,'2027 Avoided Costs'!$C$13:$C$47),IF($O319=1,0,NPV('2027 Avoided Costs'!$D$6,_xlfn._xlws.FILTER('2027 Avoided Costs'!$E$14:$E$47,('2027 Avoided Costs'!$B$14:$B$47&gt;=$B319+1)*('2027 Avoided Costs'!$B$14:$B$47&lt;$B319+ROUND($O319,0)))))+_xlfn.XLOOKUP($B319,'2027 Avoided Costs'!$B$13:$B$47,'2027 Avoided Costs'!$E$13:$E$47))*IF($AE319&lt;0,$AE319*(-1),0),0)</f>
        <v>0</v>
      </c>
      <c r="BA319" s="291" cm="1">
        <f t="array" ref="BA319">IFERROR((IF($O319=1,0,NPV('2027 Avoided Costs'!$D$6,_xlfn._xlws.FILTER('2027 Avoided Costs'!$M$14:$M$47,('2027 Avoided Costs'!$B$14:$B$47&gt;=$B319+1)*('2027 Avoided Costs'!$B$14:$B$47&lt;$B319+ROUND($O319,0)))))+_xlfn.XLOOKUP($B319,'2027 Avoided Costs'!$B$13:$B$47,'2027 Avoided Costs'!$M$13:$M$47))*IF($AK319&lt;0,$AK319*(-1),0),0)</f>
        <v>0</v>
      </c>
      <c r="BB319" s="291" cm="1">
        <f t="array" ref="BB319">IFERROR((IF($O319=1,0,NPV('2027 Avoided Costs'!$D$6,_xlfn._xlws.FILTER('2027 Avoided Costs'!$S$14:$S$47,('2027 Avoided Costs'!$B$14:$B$47&gt;=$B319+1)*('2027 Avoided Costs'!$B$14:$B$47&lt;$B319+ROUND($O319,0)))))+_xlfn.XLOOKUP($B319,'2027 Avoided Costs'!$B$13:$B$47,'2027 Avoided Costs'!$S$13:$S$47))*IF($AI319&lt;0,$AI319*(-1),0),0)</f>
        <v>0</v>
      </c>
      <c r="BC319" s="291" cm="1">
        <f t="array" ref="BC319">IFERROR((IF($O319=1,0,NPV('2027 Avoided Costs'!$D$6,_xlfn._xlws.FILTER('2027 Avoided Costs'!$Y$14:$Y$47,('2027 Avoided Costs'!$B$14:$B$47&gt;=$B319+1)*('2027 Avoided Costs'!$B$14:$B$47&lt;$B319+ROUND($O319,0)))))+_xlfn.XLOOKUP($B319,'2027 Avoided Costs'!$B$13:$B$47,'2027 Avoided Costs'!$Y$13:$Y$47))*IF($AM319&lt;0,$AM319*(-1),0),0)</f>
        <v>0</v>
      </c>
      <c r="BD319" s="291" cm="1">
        <f t="array" ref="BD319">IFERROR((IF($O319=1,0,NPV('2027 Avoided Costs'!$D$6,_xlfn._xlws.FILTER('2027 Avoided Costs'!$AE$14:$AE$47,('2027 Avoided Costs'!$B$14:$B$47&gt;=$B319+1)*('2027 Avoided Costs'!$B$14:$B$47&lt;$B319+ROUND($O319,0)))))+_xlfn.XLOOKUP($B319,'2027 Avoided Costs'!$B$13:$B$47,'2027 Avoided Costs'!$AE$13:$AE$47))*IF($AO319&lt;0,$AO319*(-1),0),0)</f>
        <v>0</v>
      </c>
      <c r="BE319" s="291" cm="1">
        <f t="array" ref="BE319">IFERROR((IF($O319=1,0,NPV('2027 Avoided Costs'!$D$4,_xlfn._xlws.FILTER('2027 Avoided Costs'!$I$14:$I$47,('2027 Avoided Costs'!$B$14:$B$47&gt;=$B319+1)*('2027 Avoided Costs'!$B$14:$B$47&lt;$B319+ROUND($O319,0)))))+_xlfn.XLOOKUP($B319,'2027 Avoided Costs'!$B$13:$B$47,'2027 Avoided Costs'!$I$13:$I$47))*IF($X319="Residential",'2027 Avoided Costs'!$J$5,IF($X319="Large Volume",'2027 Avoided Costs'!$J$7,'2027 Avoided Costs'!$J$6))*IF($AE319&lt;0,$AE319*(-1),0),0)</f>
        <v>0</v>
      </c>
      <c r="BF319" s="291">
        <f t="shared" si="139"/>
        <v>4696613.2847673791</v>
      </c>
      <c r="BG319" s="291">
        <f t="shared" si="140"/>
        <v>3101963</v>
      </c>
      <c r="BH319" s="291">
        <f t="shared" si="141"/>
        <v>1594650.2847673791</v>
      </c>
      <c r="BI319" s="292">
        <f t="shared" si="137"/>
        <v>1.5140777903435274</v>
      </c>
      <c r="BJ319" s="196" cm="1">
        <f t="array" ref="BJ319">IFERROR(IF($J319="Baseload",IF($O319=1,0,NPV('2027 Avoided Costs'!$D$6,_xlfn._xlws.FILTER('2027 Avoided Costs'!$C$14:$C$47,('2027 Avoided Costs'!$B$14:$B$47&gt;=$B319+1)*('2027 Avoided Costs'!$B$14:$B$47&lt;$B319+ROUND($O319,0)))))+_xlfn.XLOOKUP($B319,'2027 Avoided Costs'!$B$13:$B$47,'2027 Avoided Costs'!$C$13:$C$47),IF($O319=1,0,NPV('2027 Avoided Costs'!$D$6,_xlfn._xlws.FILTER('2027 Avoided Costs'!$E$14:$E$47,('2027 Avoided Costs'!$B$14:$B$47&gt;=$B319+1)*('2027 Avoided Costs'!$B$14:$B$47&lt;$B319+ROUND($O319,0)))))+_xlfn.XLOOKUP($B319,'2027 Avoided Costs'!$B$13:$B$47,'2027 Avoided Costs'!$E$13:$E$47))*IF($AE319&gt;0,$AE319*(1+0),0),0)</f>
        <v>4084011.5519716344</v>
      </c>
      <c r="BK319" s="293">
        <f t="shared" si="135"/>
        <v>1.1688593093245914</v>
      </c>
    </row>
    <row r="320" spans="1:63" s="56" customFormat="1" x14ac:dyDescent="0.25">
      <c r="A320" s="270" t="s">
        <v>207</v>
      </c>
      <c r="B320" s="271">
        <v>2028</v>
      </c>
      <c r="C320" s="272" t="s">
        <v>12</v>
      </c>
      <c r="D320" s="272" t="s">
        <v>21</v>
      </c>
      <c r="E320" s="272" t="s">
        <v>113</v>
      </c>
      <c r="F320" s="273">
        <v>12</v>
      </c>
      <c r="G320" s="274">
        <v>6437.1580459770121</v>
      </c>
      <c r="H320" s="275">
        <f t="shared" si="115"/>
        <v>3.9982348111658461</v>
      </c>
      <c r="I320" s="274">
        <v>0</v>
      </c>
      <c r="J320" s="276" t="s">
        <v>263</v>
      </c>
      <c r="K320" s="277">
        <f t="shared" si="138"/>
        <v>1</v>
      </c>
      <c r="L320" s="278">
        <v>0</v>
      </c>
      <c r="M320" s="278">
        <v>0</v>
      </c>
      <c r="N320" s="278">
        <v>1</v>
      </c>
      <c r="O320" s="279">
        <v>15</v>
      </c>
      <c r="P320" s="280">
        <v>1610</v>
      </c>
      <c r="Q320" s="281">
        <v>0</v>
      </c>
      <c r="R320" s="282">
        <v>0</v>
      </c>
      <c r="S320" s="282">
        <v>0</v>
      </c>
      <c r="T320" s="281">
        <v>0</v>
      </c>
      <c r="U320" s="283">
        <v>0</v>
      </c>
      <c r="V320" s="284">
        <v>6890</v>
      </c>
      <c r="W320" s="285">
        <v>0.15</v>
      </c>
      <c r="X320" s="286" t="s">
        <v>255</v>
      </c>
      <c r="Y320" s="287">
        <f t="shared" si="116"/>
        <v>12</v>
      </c>
      <c r="Z320" s="288">
        <f t="shared" si="117"/>
        <v>77245.896551724145</v>
      </c>
      <c r="AA320" s="288">
        <f t="shared" si="118"/>
        <v>0</v>
      </c>
      <c r="AB320" s="288">
        <f t="shared" si="119"/>
        <v>78790.814482758622</v>
      </c>
      <c r="AC320" s="288">
        <f t="shared" si="136"/>
        <v>0</v>
      </c>
      <c r="AD320" s="287">
        <f t="shared" si="120"/>
        <v>19320</v>
      </c>
      <c r="AE320" s="287">
        <f t="shared" si="121"/>
        <v>19320</v>
      </c>
      <c r="AF320" s="287">
        <f t="shared" si="122"/>
        <v>289800</v>
      </c>
      <c r="AG320" s="287">
        <f t="shared" si="123"/>
        <v>289800</v>
      </c>
      <c r="AH320" s="287">
        <f t="shared" si="124"/>
        <v>0</v>
      </c>
      <c r="AI320" s="287">
        <f t="shared" si="125"/>
        <v>0</v>
      </c>
      <c r="AJ320" s="287">
        <f t="shared" si="126"/>
        <v>0</v>
      </c>
      <c r="AK320" s="287">
        <f t="shared" si="127"/>
        <v>0</v>
      </c>
      <c r="AL320" s="287">
        <f t="shared" si="128"/>
        <v>0</v>
      </c>
      <c r="AM320" s="287">
        <f t="shared" si="129"/>
        <v>0</v>
      </c>
      <c r="AN320" s="287">
        <f t="shared" si="130"/>
        <v>0</v>
      </c>
      <c r="AO320" s="287">
        <f t="shared" si="131"/>
        <v>0</v>
      </c>
      <c r="AP320" s="287">
        <f t="shared" si="132"/>
        <v>82680</v>
      </c>
      <c r="AQ320" s="287">
        <f t="shared" si="133"/>
        <v>82680</v>
      </c>
      <c r="AR320" s="287">
        <f t="shared" si="134"/>
        <v>0</v>
      </c>
      <c r="AS320" s="289" t="e">
        <f>IF(J320='2027 Avoided Costs'!#REF!,3,5)</f>
        <v>#REF!</v>
      </c>
      <c r="AT320" s="290" cm="1">
        <f t="array" ref="AT320">IFERROR(IF($J320="Baseload",IF($O320=1,0,NPV('2027 Avoided Costs'!$D$6,_xlfn._xlws.FILTER('2027 Avoided Costs'!$C$14:$C$47,('2027 Avoided Costs'!$B$14:$B$47&gt;=$B320+1)*('2027 Avoided Costs'!$B$14:$B$47&lt;$B320+ROUND($O320,0)))))+_xlfn.XLOOKUP($B320,'2027 Avoided Costs'!$B$13:$B$47,'2027 Avoided Costs'!$C$13:$C$47),IF($O320=1,0,NPV('2027 Avoided Costs'!$D$6,_xlfn._xlws.FILTER('2027 Avoided Costs'!$E$14:$E$47,('2027 Avoided Costs'!$B$14:$B$47&gt;=$B320+1)*('2027 Avoided Costs'!$B$14:$B$47&lt;$B320+ROUND($O320,0)))))+_xlfn.XLOOKUP($B320,'2027 Avoided Costs'!$B$13:$B$47,'2027 Avoided Costs'!$E$13:$E$47))*IF($AE320&gt;0,$AE320*(1+$W320),0),0)</f>
        <v>70644.825016988878</v>
      </c>
      <c r="AU320" s="290" cm="1">
        <f t="array" ref="AU320">IFERROR((IF($O320=1,0,NPV('2027 Avoided Costs'!$D$6,_xlfn._xlws.FILTER('2027 Avoided Costs'!$M$14:$M$47,('2027 Avoided Costs'!$B$14:$B$47&gt;=$B320+1)*('2027 Avoided Costs'!$B$14:$B$47&lt;$B320+ROUND($O320,0)))))+_xlfn.XLOOKUP($B320,'2027 Avoided Costs'!$B$13:$B$47,'2027 Avoided Costs'!$M$13:$M$47))*IF($AK320&gt;0,$AK320*(1+$W320),0),0)</f>
        <v>0</v>
      </c>
      <c r="AV320" s="291" cm="1">
        <f t="array" ref="AV320">IFERROR((IF($O320=1,0,NPV('2027 Avoided Costs'!$D$6,_xlfn._xlws.FILTER('2027 Avoided Costs'!$Q$14:$Q$47,('2027 Avoided Costs'!$B$14:$B$47&gt;=$B320+1)*('2027 Avoided Costs'!$B$14:$B$47&lt;$B320+ROUND($O320,0)))))+_xlfn.XLOOKUP($B320,'2027 Avoided Costs'!$B$13:$B$47,'2027 Avoided Costs'!$Q$13:$Q$47))*IF($AI320&gt;0,$AI320*(1+$W320),0),0)</f>
        <v>0</v>
      </c>
      <c r="AW320" s="291" cm="1">
        <f t="array" ref="AW320">IFERROR((IF($O320=1,0,NPV('2027 Avoided Costs'!$D$6,_xlfn._xlws.FILTER('2027 Avoided Costs'!$W$14:$W$47,('2027 Avoided Costs'!$B$14:$B$47&gt;=$B320+1)*('2027 Avoided Costs'!$B$14:$B$47&lt;$B320+ROUND($O320,0)))))+_xlfn.XLOOKUP($B320,'2027 Avoided Costs'!$B$13:$B$47,'2027 Avoided Costs'!$W$13:$W$47))*IF($AM320&gt;0,$AM320*(1+$W320),0),0)</f>
        <v>0</v>
      </c>
      <c r="AX320" s="291" cm="1">
        <f t="array" ref="AX320">IFERROR((IF($O320=1,0,NPV('2027 Avoided Costs'!$D$6,_xlfn._xlws.FILTER('2027 Avoided Costs'!$AC$14:$AC$47,('2027 Avoided Costs'!$B$14:$B$47&gt;=$B320+1)*('2027 Avoided Costs'!$B$14:$B$47&lt;$B320+ROUND($O320,0)))))+_xlfn.XLOOKUP($B320,'2027 Avoided Costs'!$B$13:$B$47,'2027 Avoided Costs'!$AC$13:$AC$47))*IF($AO320&gt;0,$AO320*(1+$W320),0),0)</f>
        <v>0</v>
      </c>
      <c r="AY320" s="291" cm="1">
        <f t="array" ref="AY320">IFERROR((IF($O320=1,0,NPV('2027 Avoided Costs'!$D$4,_xlfn._xlws.FILTER('2027 Avoided Costs'!$I$14:$I$47,('2027 Avoided Costs'!$B$14:$B$47&gt;=$B320+1)*('2027 Avoided Costs'!$B$14:$B$47&lt;$B320+ROUND($O320,0)))))+_xlfn.XLOOKUP($B320,'2027 Avoided Costs'!$B$13:$B$47,'2027 Avoided Costs'!$I$13:$I$47))*IF($X320="Residential",'2027 Avoided Costs'!$J$5,IF($X320="Large Volume",'2027 Avoided Costs'!$J$7,'2027 Avoided Costs'!$J$6))*IF($AE320&gt;0,$AE320,0),0)</f>
        <v>0</v>
      </c>
      <c r="AZ320" s="291" cm="1">
        <f t="array" ref="AZ320">IFERROR(IF($J320="Baseload",IF($O320=1,0,NPV('2027 Avoided Costs'!$D$6,_xlfn._xlws.FILTER('2027 Avoided Costs'!$C$14:$C$47,('2027 Avoided Costs'!$B$14:$B$47&gt;=$B320+1)*('2027 Avoided Costs'!$B$14:$B$47&lt;$B320+ROUND($O320,0)))))+_xlfn.XLOOKUP($B320,'2027 Avoided Costs'!$B$13:$B$47,'2027 Avoided Costs'!$C$13:$C$47),IF($O320=1,0,NPV('2027 Avoided Costs'!$D$6,_xlfn._xlws.FILTER('2027 Avoided Costs'!$E$14:$E$47,('2027 Avoided Costs'!$B$14:$B$47&gt;=$B320+1)*('2027 Avoided Costs'!$B$14:$B$47&lt;$B320+ROUND($O320,0)))))+_xlfn.XLOOKUP($B320,'2027 Avoided Costs'!$B$13:$B$47,'2027 Avoided Costs'!$E$13:$E$47))*IF($AE320&lt;0,$AE320*(-1),0),0)</f>
        <v>0</v>
      </c>
      <c r="BA320" s="291" cm="1">
        <f t="array" ref="BA320">IFERROR((IF($O320=1,0,NPV('2027 Avoided Costs'!$D$6,_xlfn._xlws.FILTER('2027 Avoided Costs'!$M$14:$M$47,('2027 Avoided Costs'!$B$14:$B$47&gt;=$B320+1)*('2027 Avoided Costs'!$B$14:$B$47&lt;$B320+ROUND($O320,0)))))+_xlfn.XLOOKUP($B320,'2027 Avoided Costs'!$B$13:$B$47,'2027 Avoided Costs'!$M$13:$M$47))*IF($AK320&lt;0,$AK320*(-1),0),0)</f>
        <v>0</v>
      </c>
      <c r="BB320" s="291" cm="1">
        <f t="array" ref="BB320">IFERROR((IF($O320=1,0,NPV('2027 Avoided Costs'!$D$6,_xlfn._xlws.FILTER('2027 Avoided Costs'!$S$14:$S$47,('2027 Avoided Costs'!$B$14:$B$47&gt;=$B320+1)*('2027 Avoided Costs'!$B$14:$B$47&lt;$B320+ROUND($O320,0)))))+_xlfn.XLOOKUP($B320,'2027 Avoided Costs'!$B$13:$B$47,'2027 Avoided Costs'!$S$13:$S$47))*IF($AI320&lt;0,$AI320*(-1),0),0)</f>
        <v>0</v>
      </c>
      <c r="BC320" s="291" cm="1">
        <f t="array" ref="BC320">IFERROR((IF($O320=1,0,NPV('2027 Avoided Costs'!$D$6,_xlfn._xlws.FILTER('2027 Avoided Costs'!$Y$14:$Y$47,('2027 Avoided Costs'!$B$14:$B$47&gt;=$B320+1)*('2027 Avoided Costs'!$B$14:$B$47&lt;$B320+ROUND($O320,0)))))+_xlfn.XLOOKUP($B320,'2027 Avoided Costs'!$B$13:$B$47,'2027 Avoided Costs'!$Y$13:$Y$47))*IF($AM320&lt;0,$AM320*(-1),0),0)</f>
        <v>0</v>
      </c>
      <c r="BD320" s="291" cm="1">
        <f t="array" ref="BD320">IFERROR((IF($O320=1,0,NPV('2027 Avoided Costs'!$D$6,_xlfn._xlws.FILTER('2027 Avoided Costs'!$AE$14:$AE$47,('2027 Avoided Costs'!$B$14:$B$47&gt;=$B320+1)*('2027 Avoided Costs'!$B$14:$B$47&lt;$B320+ROUND($O320,0)))))+_xlfn.XLOOKUP($B320,'2027 Avoided Costs'!$B$13:$B$47,'2027 Avoided Costs'!$AE$13:$AE$47))*IF($AO320&lt;0,$AO320*(-1),0),0)</f>
        <v>0</v>
      </c>
      <c r="BE320" s="291" cm="1">
        <f t="array" ref="BE320">IFERROR((IF($O320=1,0,NPV('2027 Avoided Costs'!$D$4,_xlfn._xlws.FILTER('2027 Avoided Costs'!$I$14:$I$47,('2027 Avoided Costs'!$B$14:$B$47&gt;=$B320+1)*('2027 Avoided Costs'!$B$14:$B$47&lt;$B320+ROUND($O320,0)))))+_xlfn.XLOOKUP($B320,'2027 Avoided Costs'!$B$13:$B$47,'2027 Avoided Costs'!$I$13:$I$47))*IF($X320="Residential",'2027 Avoided Costs'!$J$5,IF($X320="Large Volume",'2027 Avoided Costs'!$J$7,'2027 Avoided Costs'!$J$6))*IF($AE320&lt;0,$AE320*(-1),0),0)</f>
        <v>0</v>
      </c>
      <c r="BF320" s="291">
        <f t="shared" si="139"/>
        <v>70644.825016988878</v>
      </c>
      <c r="BG320" s="291">
        <f t="shared" si="140"/>
        <v>82680</v>
      </c>
      <c r="BH320" s="291">
        <f t="shared" si="141"/>
        <v>-12035.174983011122</v>
      </c>
      <c r="BI320" s="292">
        <f t="shared" si="137"/>
        <v>0.8544366838048969</v>
      </c>
      <c r="BJ320" s="196" cm="1">
        <f t="array" ref="BJ320">IFERROR(IF($J320="Baseload",IF($O320=1,0,NPV('2027 Avoided Costs'!$D$6,_xlfn._xlws.FILTER('2027 Avoided Costs'!$C$14:$C$47,('2027 Avoided Costs'!$B$14:$B$47&gt;=$B320+1)*('2027 Avoided Costs'!$B$14:$B$47&lt;$B320+ROUND($O320,0)))))+_xlfn.XLOOKUP($B320,'2027 Avoided Costs'!$B$13:$B$47,'2027 Avoided Costs'!$C$13:$C$47),IF($O320=1,0,NPV('2027 Avoided Costs'!$D$6,_xlfn._xlws.FILTER('2027 Avoided Costs'!$E$14:$E$47,('2027 Avoided Costs'!$B$14:$B$47&gt;=$B320+1)*('2027 Avoided Costs'!$B$14:$B$47&lt;$B320+ROUND($O320,0)))))+_xlfn.XLOOKUP($B320,'2027 Avoided Costs'!$B$13:$B$47,'2027 Avoided Costs'!$E$13:$E$47))*IF($AE320&gt;0,$AE320*(1+0),0),0)</f>
        <v>61430.282623468585</v>
      </c>
      <c r="BK320" s="293">
        <f t="shared" si="135"/>
        <v>0.77966299786012561</v>
      </c>
    </row>
    <row r="321" spans="1:63" s="56" customFormat="1" x14ac:dyDescent="0.25">
      <c r="A321" s="270" t="s">
        <v>207</v>
      </c>
      <c r="B321" s="271">
        <v>2028</v>
      </c>
      <c r="C321" s="272" t="s">
        <v>12</v>
      </c>
      <c r="D321" s="272" t="s">
        <v>21</v>
      </c>
      <c r="E321" s="272" t="s">
        <v>114</v>
      </c>
      <c r="F321" s="273">
        <v>6</v>
      </c>
      <c r="G321" s="274">
        <v>4611.8641114982574</v>
      </c>
      <c r="H321" s="275">
        <f t="shared" si="115"/>
        <v>1.7595818815331008</v>
      </c>
      <c r="I321" s="274">
        <v>0</v>
      </c>
      <c r="J321" s="276" t="s">
        <v>263</v>
      </c>
      <c r="K321" s="277">
        <f t="shared" si="138"/>
        <v>1</v>
      </c>
      <c r="L321" s="278">
        <v>0</v>
      </c>
      <c r="M321" s="278">
        <v>0</v>
      </c>
      <c r="N321" s="278">
        <v>1</v>
      </c>
      <c r="O321" s="279">
        <v>15</v>
      </c>
      <c r="P321" s="280">
        <v>2621</v>
      </c>
      <c r="Q321" s="281">
        <v>-280</v>
      </c>
      <c r="R321" s="282">
        <v>0</v>
      </c>
      <c r="S321" s="282">
        <v>0</v>
      </c>
      <c r="T321" s="281">
        <v>0</v>
      </c>
      <c r="U321" s="283">
        <v>0</v>
      </c>
      <c r="V321" s="284">
        <v>6718</v>
      </c>
      <c r="W321" s="285">
        <v>0.15</v>
      </c>
      <c r="X321" s="286" t="s">
        <v>255</v>
      </c>
      <c r="Y321" s="287">
        <f t="shared" si="116"/>
        <v>6</v>
      </c>
      <c r="Z321" s="288">
        <f t="shared" si="117"/>
        <v>27671.184668989546</v>
      </c>
      <c r="AA321" s="288">
        <f t="shared" si="118"/>
        <v>0</v>
      </c>
      <c r="AB321" s="288">
        <f t="shared" si="119"/>
        <v>28224.608362369338</v>
      </c>
      <c r="AC321" s="288">
        <f t="shared" si="136"/>
        <v>0</v>
      </c>
      <c r="AD321" s="287">
        <f t="shared" si="120"/>
        <v>15726</v>
      </c>
      <c r="AE321" s="287">
        <f t="shared" si="121"/>
        <v>15726</v>
      </c>
      <c r="AF321" s="287">
        <f t="shared" si="122"/>
        <v>235890</v>
      </c>
      <c r="AG321" s="287">
        <f t="shared" si="123"/>
        <v>235890</v>
      </c>
      <c r="AH321" s="287">
        <f t="shared" si="124"/>
        <v>-1800.96</v>
      </c>
      <c r="AI321" s="287">
        <f t="shared" si="125"/>
        <v>-1800.96</v>
      </c>
      <c r="AJ321" s="287">
        <f t="shared" si="126"/>
        <v>0</v>
      </c>
      <c r="AK321" s="287">
        <f t="shared" si="127"/>
        <v>0</v>
      </c>
      <c r="AL321" s="287">
        <f t="shared" si="128"/>
        <v>0</v>
      </c>
      <c r="AM321" s="287">
        <f t="shared" si="129"/>
        <v>0</v>
      </c>
      <c r="AN321" s="287">
        <f t="shared" si="130"/>
        <v>0</v>
      </c>
      <c r="AO321" s="287">
        <f t="shared" si="131"/>
        <v>0</v>
      </c>
      <c r="AP321" s="287">
        <f t="shared" si="132"/>
        <v>40308</v>
      </c>
      <c r="AQ321" s="287">
        <f t="shared" si="133"/>
        <v>40308</v>
      </c>
      <c r="AR321" s="287">
        <f t="shared" si="134"/>
        <v>0</v>
      </c>
      <c r="AS321" s="289" t="e">
        <f>IF(J321='2027 Avoided Costs'!#REF!,3,5)</f>
        <v>#REF!</v>
      </c>
      <c r="AT321" s="290" cm="1">
        <f t="array" ref="AT321">IFERROR(IF($J321="Baseload",IF($O321=1,0,NPV('2027 Avoided Costs'!$D$6,_xlfn._xlws.FILTER('2027 Avoided Costs'!$C$14:$C$47,('2027 Avoided Costs'!$B$14:$B$47&gt;=$B321+1)*('2027 Avoided Costs'!$B$14:$B$47&lt;$B321+ROUND($O321,0)))))+_xlfn.XLOOKUP($B321,'2027 Avoided Costs'!$B$13:$B$47,'2027 Avoided Costs'!$C$13:$C$47),IF($O321=1,0,NPV('2027 Avoided Costs'!$D$6,_xlfn._xlws.FILTER('2027 Avoided Costs'!$E$14:$E$47,('2027 Avoided Costs'!$B$14:$B$47&gt;=$B321+1)*('2027 Avoided Costs'!$B$14:$B$47&lt;$B321+ROUND($O321,0)))))+_xlfn.XLOOKUP($B321,'2027 Avoided Costs'!$B$13:$B$47,'2027 Avoided Costs'!$E$13:$E$47))*IF($AE321&gt;0,$AE321*(1+$W321),0),0)</f>
        <v>57503.132412896841</v>
      </c>
      <c r="AU321" s="290" cm="1">
        <f t="array" ref="AU321">IFERROR((IF($O321=1,0,NPV('2027 Avoided Costs'!$D$6,_xlfn._xlws.FILTER('2027 Avoided Costs'!$M$14:$M$47,('2027 Avoided Costs'!$B$14:$B$47&gt;=$B321+1)*('2027 Avoided Costs'!$B$14:$B$47&lt;$B321+ROUND($O321,0)))))+_xlfn.XLOOKUP($B321,'2027 Avoided Costs'!$B$13:$B$47,'2027 Avoided Costs'!$M$13:$M$47))*IF($AK321&gt;0,$AK321*(1+$W321),0),0)</f>
        <v>0</v>
      </c>
      <c r="AV321" s="291" cm="1">
        <f t="array" ref="AV321">IFERROR((IF($O321=1,0,NPV('2027 Avoided Costs'!$D$6,_xlfn._xlws.FILTER('2027 Avoided Costs'!$Q$14:$Q$47,('2027 Avoided Costs'!$B$14:$B$47&gt;=$B321+1)*('2027 Avoided Costs'!$B$14:$B$47&lt;$B321+ROUND($O321,0)))))+_xlfn.XLOOKUP($B321,'2027 Avoided Costs'!$B$13:$B$47,'2027 Avoided Costs'!$Q$13:$Q$47))*IF($AI321&gt;0,$AI321*(1+$W321),0),0)</f>
        <v>0</v>
      </c>
      <c r="AW321" s="291" cm="1">
        <f t="array" ref="AW321">IFERROR((IF($O321=1,0,NPV('2027 Avoided Costs'!$D$6,_xlfn._xlws.FILTER('2027 Avoided Costs'!$W$14:$W$47,('2027 Avoided Costs'!$B$14:$B$47&gt;=$B321+1)*('2027 Avoided Costs'!$B$14:$B$47&lt;$B321+ROUND($O321,0)))))+_xlfn.XLOOKUP($B321,'2027 Avoided Costs'!$B$13:$B$47,'2027 Avoided Costs'!$W$13:$W$47))*IF($AM321&gt;0,$AM321*(1+$W321),0),0)</f>
        <v>0</v>
      </c>
      <c r="AX321" s="291" cm="1">
        <f t="array" ref="AX321">IFERROR((IF($O321=1,0,NPV('2027 Avoided Costs'!$D$6,_xlfn._xlws.FILTER('2027 Avoided Costs'!$AC$14:$AC$47,('2027 Avoided Costs'!$B$14:$B$47&gt;=$B321+1)*('2027 Avoided Costs'!$B$14:$B$47&lt;$B321+ROUND($O321,0)))))+_xlfn.XLOOKUP($B321,'2027 Avoided Costs'!$B$13:$B$47,'2027 Avoided Costs'!$AC$13:$AC$47))*IF($AO321&gt;0,$AO321*(1+$W321),0),0)</f>
        <v>0</v>
      </c>
      <c r="AY321" s="291" cm="1">
        <f t="array" ref="AY321">IFERROR((IF($O321=1,0,NPV('2027 Avoided Costs'!$D$4,_xlfn._xlws.FILTER('2027 Avoided Costs'!$I$14:$I$47,('2027 Avoided Costs'!$B$14:$B$47&gt;=$B321+1)*('2027 Avoided Costs'!$B$14:$B$47&lt;$B321+ROUND($O321,0)))))+_xlfn.XLOOKUP($B321,'2027 Avoided Costs'!$B$13:$B$47,'2027 Avoided Costs'!$I$13:$I$47))*IF($X321="Residential",'2027 Avoided Costs'!$J$5,IF($X321="Large Volume",'2027 Avoided Costs'!$J$7,'2027 Avoided Costs'!$J$6))*IF($AE321&gt;0,$AE321,0),0)</f>
        <v>0</v>
      </c>
      <c r="AZ321" s="291" cm="1">
        <f t="array" ref="AZ321">IFERROR(IF($J321="Baseload",IF($O321=1,0,NPV('2027 Avoided Costs'!$D$6,_xlfn._xlws.FILTER('2027 Avoided Costs'!$C$14:$C$47,('2027 Avoided Costs'!$B$14:$B$47&gt;=$B321+1)*('2027 Avoided Costs'!$B$14:$B$47&lt;$B321+ROUND($O321,0)))))+_xlfn.XLOOKUP($B321,'2027 Avoided Costs'!$B$13:$B$47,'2027 Avoided Costs'!$C$13:$C$47),IF($O321=1,0,NPV('2027 Avoided Costs'!$D$6,_xlfn._xlws.FILTER('2027 Avoided Costs'!$E$14:$E$47,('2027 Avoided Costs'!$B$14:$B$47&gt;=$B321+1)*('2027 Avoided Costs'!$B$14:$B$47&lt;$B321+ROUND($O321,0)))))+_xlfn.XLOOKUP($B321,'2027 Avoided Costs'!$B$13:$B$47,'2027 Avoided Costs'!$E$13:$E$47))*IF($AE321&lt;0,$AE321*(-1),0),0)</f>
        <v>0</v>
      </c>
      <c r="BA321" s="291" cm="1">
        <f t="array" ref="BA321">IFERROR((IF($O321=1,0,NPV('2027 Avoided Costs'!$D$6,_xlfn._xlws.FILTER('2027 Avoided Costs'!$M$14:$M$47,('2027 Avoided Costs'!$B$14:$B$47&gt;=$B321+1)*('2027 Avoided Costs'!$B$14:$B$47&lt;$B321+ROUND($O321,0)))))+_xlfn.XLOOKUP($B321,'2027 Avoided Costs'!$B$13:$B$47,'2027 Avoided Costs'!$M$13:$M$47))*IF($AK321&lt;0,$AK321*(-1),0),0)</f>
        <v>0</v>
      </c>
      <c r="BB321" s="291" cm="1">
        <f t="array" ref="BB321">IFERROR((IF($O321=1,0,NPV('2027 Avoided Costs'!$D$6,_xlfn._xlws.FILTER('2027 Avoided Costs'!$S$14:$S$47,('2027 Avoided Costs'!$B$14:$B$47&gt;=$B321+1)*('2027 Avoided Costs'!$B$14:$B$47&lt;$B321+ROUND($O321,0)))))+_xlfn.XLOOKUP($B321,'2027 Avoided Costs'!$B$13:$B$47,'2027 Avoided Costs'!$S$13:$S$47))*IF($AI321&lt;0,$AI321*(-1),0),0)</f>
        <v>1023.100339010112</v>
      </c>
      <c r="BC321" s="291" cm="1">
        <f t="array" ref="BC321">IFERROR((IF($O321=1,0,NPV('2027 Avoided Costs'!$D$6,_xlfn._xlws.FILTER('2027 Avoided Costs'!$Y$14:$Y$47,('2027 Avoided Costs'!$B$14:$B$47&gt;=$B321+1)*('2027 Avoided Costs'!$B$14:$B$47&lt;$B321+ROUND($O321,0)))))+_xlfn.XLOOKUP($B321,'2027 Avoided Costs'!$B$13:$B$47,'2027 Avoided Costs'!$Y$13:$Y$47))*IF($AM321&lt;0,$AM321*(-1),0),0)</f>
        <v>0</v>
      </c>
      <c r="BD321" s="291" cm="1">
        <f t="array" ref="BD321">IFERROR((IF($O321=1,0,NPV('2027 Avoided Costs'!$D$6,_xlfn._xlws.FILTER('2027 Avoided Costs'!$AE$14:$AE$47,('2027 Avoided Costs'!$B$14:$B$47&gt;=$B321+1)*('2027 Avoided Costs'!$B$14:$B$47&lt;$B321+ROUND($O321,0)))))+_xlfn.XLOOKUP($B321,'2027 Avoided Costs'!$B$13:$B$47,'2027 Avoided Costs'!$AE$13:$AE$47))*IF($AO321&lt;0,$AO321*(-1),0),0)</f>
        <v>0</v>
      </c>
      <c r="BE321" s="291" cm="1">
        <f t="array" ref="BE321">IFERROR((IF($O321=1,0,NPV('2027 Avoided Costs'!$D$4,_xlfn._xlws.FILTER('2027 Avoided Costs'!$I$14:$I$47,('2027 Avoided Costs'!$B$14:$B$47&gt;=$B321+1)*('2027 Avoided Costs'!$B$14:$B$47&lt;$B321+ROUND($O321,0)))))+_xlfn.XLOOKUP($B321,'2027 Avoided Costs'!$B$13:$B$47,'2027 Avoided Costs'!$I$13:$I$47))*IF($X321="Residential",'2027 Avoided Costs'!$J$5,IF($X321="Large Volume",'2027 Avoided Costs'!$J$7,'2027 Avoided Costs'!$J$6))*IF($AE321&lt;0,$AE321*(-1),0),0)</f>
        <v>0</v>
      </c>
      <c r="BF321" s="291">
        <f t="shared" si="139"/>
        <v>57503.132412896841</v>
      </c>
      <c r="BG321" s="291">
        <f t="shared" si="140"/>
        <v>41331.10033901011</v>
      </c>
      <c r="BH321" s="291">
        <f t="shared" si="141"/>
        <v>16172.03207388673</v>
      </c>
      <c r="BI321" s="292">
        <f t="shared" si="137"/>
        <v>1.3912799790288393</v>
      </c>
      <c r="BJ321" s="196" cm="1">
        <f t="array" ref="BJ321">IFERROR(IF($J321="Baseload",IF($O321=1,0,NPV('2027 Avoided Costs'!$D$6,_xlfn._xlws.FILTER('2027 Avoided Costs'!$C$14:$C$47,('2027 Avoided Costs'!$B$14:$B$47&gt;=$B321+1)*('2027 Avoided Costs'!$B$14:$B$47&lt;$B321+ROUND($O321,0)))))+_xlfn.XLOOKUP($B321,'2027 Avoided Costs'!$B$13:$B$47,'2027 Avoided Costs'!$C$13:$C$47),IF($O321=1,0,NPV('2027 Avoided Costs'!$D$6,_xlfn._xlws.FILTER('2027 Avoided Costs'!$E$14:$E$47,('2027 Avoided Costs'!$B$14:$B$47&gt;=$B321+1)*('2027 Avoided Costs'!$B$14:$B$47&lt;$B321+ROUND($O321,0)))))+_xlfn.XLOOKUP($B321,'2027 Avoided Costs'!$B$13:$B$47,'2027 Avoided Costs'!$E$13:$E$47))*IF($AE321&gt;0,$AE321*(1+0),0),0)</f>
        <v>50002.723837301608</v>
      </c>
      <c r="BK321" s="293">
        <f t="shared" si="135"/>
        <v>1.7716002714839474</v>
      </c>
    </row>
    <row r="322" spans="1:63" s="56" customFormat="1" x14ac:dyDescent="0.25">
      <c r="A322" s="270" t="s">
        <v>207</v>
      </c>
      <c r="B322" s="271">
        <v>2028</v>
      </c>
      <c r="C322" s="272" t="s">
        <v>12</v>
      </c>
      <c r="D322" s="272" t="s">
        <v>21</v>
      </c>
      <c r="E322" s="272" t="s">
        <v>115</v>
      </c>
      <c r="F322" s="273">
        <v>4</v>
      </c>
      <c r="G322" s="274">
        <v>4925.6000000000004</v>
      </c>
      <c r="H322" s="275">
        <f t="shared" si="115"/>
        <v>1.9998375964271216</v>
      </c>
      <c r="I322" s="274">
        <v>0</v>
      </c>
      <c r="J322" s="276" t="s">
        <v>264</v>
      </c>
      <c r="K322" s="277">
        <f t="shared" si="138"/>
        <v>1</v>
      </c>
      <c r="L322" s="278">
        <v>0</v>
      </c>
      <c r="M322" s="278">
        <v>0</v>
      </c>
      <c r="N322" s="278">
        <v>1</v>
      </c>
      <c r="O322" s="279">
        <v>14</v>
      </c>
      <c r="P322" s="280">
        <v>2463</v>
      </c>
      <c r="Q322" s="281">
        <v>-280.95999999999998</v>
      </c>
      <c r="R322" s="282">
        <v>-0.17121387044009462</v>
      </c>
      <c r="S322" s="282">
        <v>-5.0571022186378926E-2</v>
      </c>
      <c r="T322" s="281">
        <v>0</v>
      </c>
      <c r="U322" s="283">
        <v>0</v>
      </c>
      <c r="V322" s="284">
        <v>9951</v>
      </c>
      <c r="W322" s="285">
        <v>0.15</v>
      </c>
      <c r="X322" s="286" t="s">
        <v>255</v>
      </c>
      <c r="Y322" s="287">
        <f t="shared" si="116"/>
        <v>4</v>
      </c>
      <c r="Z322" s="288">
        <f t="shared" si="117"/>
        <v>19702.400000000001</v>
      </c>
      <c r="AA322" s="288">
        <f t="shared" si="118"/>
        <v>0</v>
      </c>
      <c r="AB322" s="288">
        <f t="shared" si="119"/>
        <v>20096.448</v>
      </c>
      <c r="AC322" s="288">
        <f t="shared" si="136"/>
        <v>0</v>
      </c>
      <c r="AD322" s="287">
        <f t="shared" si="120"/>
        <v>9852</v>
      </c>
      <c r="AE322" s="287">
        <f t="shared" si="121"/>
        <v>9852</v>
      </c>
      <c r="AF322" s="287">
        <f t="shared" si="122"/>
        <v>137928</v>
      </c>
      <c r="AG322" s="287">
        <f t="shared" si="123"/>
        <v>137928</v>
      </c>
      <c r="AH322" s="287">
        <f t="shared" si="124"/>
        <v>-1204.75648</v>
      </c>
      <c r="AI322" s="287">
        <f t="shared" si="125"/>
        <v>-1204.75648</v>
      </c>
      <c r="AJ322" s="287">
        <f t="shared" si="126"/>
        <v>0</v>
      </c>
      <c r="AK322" s="287">
        <f t="shared" si="127"/>
        <v>0</v>
      </c>
      <c r="AL322" s="287">
        <f t="shared" si="128"/>
        <v>-0.73416507644712581</v>
      </c>
      <c r="AM322" s="287">
        <f t="shared" si="129"/>
        <v>-0.73416507644712581</v>
      </c>
      <c r="AN322" s="287">
        <f t="shared" si="130"/>
        <v>-0.21684854313519286</v>
      </c>
      <c r="AO322" s="287">
        <f t="shared" si="131"/>
        <v>-0.21684854313519286</v>
      </c>
      <c r="AP322" s="287">
        <f t="shared" si="132"/>
        <v>39804</v>
      </c>
      <c r="AQ322" s="287">
        <f t="shared" si="133"/>
        <v>39804</v>
      </c>
      <c r="AR322" s="287">
        <f t="shared" si="134"/>
        <v>0</v>
      </c>
      <c r="AS322" s="289" t="e">
        <f>IF(J322='2027 Avoided Costs'!#REF!,3,5)</f>
        <v>#REF!</v>
      </c>
      <c r="AT322" s="290" cm="1">
        <f t="array" ref="AT322">IFERROR(IF($J322="Baseload",IF($O322=1,0,NPV('2027 Avoided Costs'!$D$6,_xlfn._xlws.FILTER('2027 Avoided Costs'!$C$14:$C$47,('2027 Avoided Costs'!$B$14:$B$47&gt;=$B322+1)*('2027 Avoided Costs'!$B$14:$B$47&lt;$B322+ROUND($O322,0)))))+_xlfn.XLOOKUP($B322,'2027 Avoided Costs'!$B$13:$B$47,'2027 Avoided Costs'!$C$13:$C$47),IF($O322=1,0,NPV('2027 Avoided Costs'!$D$6,_xlfn._xlws.FILTER('2027 Avoided Costs'!$E$14:$E$47,('2027 Avoided Costs'!$B$14:$B$47&gt;=$B322+1)*('2027 Avoided Costs'!$B$14:$B$47&lt;$B322+ROUND($O322,0)))))+_xlfn.XLOOKUP($B322,'2027 Avoided Costs'!$B$13:$B$47,'2027 Avoided Costs'!$E$13:$E$47))*IF($AE322&gt;0,$AE322*(1+$W322),0),0)</f>
        <v>38255.482153033256</v>
      </c>
      <c r="AU322" s="290" cm="1">
        <f t="array" ref="AU322">IFERROR((IF($O322=1,0,NPV('2027 Avoided Costs'!$D$6,_xlfn._xlws.FILTER('2027 Avoided Costs'!$M$14:$M$47,('2027 Avoided Costs'!$B$14:$B$47&gt;=$B322+1)*('2027 Avoided Costs'!$B$14:$B$47&lt;$B322+ROUND($O322,0)))))+_xlfn.XLOOKUP($B322,'2027 Avoided Costs'!$B$13:$B$47,'2027 Avoided Costs'!$M$13:$M$47))*IF($AK322&gt;0,$AK322*(1+$W322),0),0)</f>
        <v>0</v>
      </c>
      <c r="AV322" s="291" cm="1">
        <f t="array" ref="AV322">IFERROR((IF($O322=1,0,NPV('2027 Avoided Costs'!$D$6,_xlfn._xlws.FILTER('2027 Avoided Costs'!$Q$14:$Q$47,('2027 Avoided Costs'!$B$14:$B$47&gt;=$B322+1)*('2027 Avoided Costs'!$B$14:$B$47&lt;$B322+ROUND($O322,0)))))+_xlfn.XLOOKUP($B322,'2027 Avoided Costs'!$B$13:$B$47,'2027 Avoided Costs'!$Q$13:$Q$47))*IF($AI322&gt;0,$AI322*(1+$W322),0),0)</f>
        <v>0</v>
      </c>
      <c r="AW322" s="291" cm="1">
        <f t="array" ref="AW322">IFERROR((IF($O322=1,0,NPV('2027 Avoided Costs'!$D$6,_xlfn._xlws.FILTER('2027 Avoided Costs'!$W$14:$W$47,('2027 Avoided Costs'!$B$14:$B$47&gt;=$B322+1)*('2027 Avoided Costs'!$B$14:$B$47&lt;$B322+ROUND($O322,0)))))+_xlfn.XLOOKUP($B322,'2027 Avoided Costs'!$B$13:$B$47,'2027 Avoided Costs'!$W$13:$W$47))*IF($AM322&gt;0,$AM322*(1+$W322),0),0)</f>
        <v>0</v>
      </c>
      <c r="AX322" s="291" cm="1">
        <f t="array" ref="AX322">IFERROR((IF($O322=1,0,NPV('2027 Avoided Costs'!$D$6,_xlfn._xlws.FILTER('2027 Avoided Costs'!$AC$14:$AC$47,('2027 Avoided Costs'!$B$14:$B$47&gt;=$B322+1)*('2027 Avoided Costs'!$B$14:$B$47&lt;$B322+ROUND($O322,0)))))+_xlfn.XLOOKUP($B322,'2027 Avoided Costs'!$B$13:$B$47,'2027 Avoided Costs'!$AC$13:$AC$47))*IF($AO322&gt;0,$AO322*(1+$W322),0),0)</f>
        <v>0</v>
      </c>
      <c r="AY322" s="291" cm="1">
        <f t="array" ref="AY322">IFERROR((IF($O322=1,0,NPV('2027 Avoided Costs'!$D$4,_xlfn._xlws.FILTER('2027 Avoided Costs'!$I$14:$I$47,('2027 Avoided Costs'!$B$14:$B$47&gt;=$B322+1)*('2027 Avoided Costs'!$B$14:$B$47&lt;$B322+ROUND($O322,0)))))+_xlfn.XLOOKUP($B322,'2027 Avoided Costs'!$B$13:$B$47,'2027 Avoided Costs'!$I$13:$I$47))*IF($X322="Residential",'2027 Avoided Costs'!$J$5,IF($X322="Large Volume",'2027 Avoided Costs'!$J$7,'2027 Avoided Costs'!$J$6))*IF($AE322&gt;0,$AE322,0),0)</f>
        <v>0</v>
      </c>
      <c r="AZ322" s="291" cm="1">
        <f t="array" ref="AZ322">IFERROR(IF($J322="Baseload",IF($O322=1,0,NPV('2027 Avoided Costs'!$D$6,_xlfn._xlws.FILTER('2027 Avoided Costs'!$C$14:$C$47,('2027 Avoided Costs'!$B$14:$B$47&gt;=$B322+1)*('2027 Avoided Costs'!$B$14:$B$47&lt;$B322+ROUND($O322,0)))))+_xlfn.XLOOKUP($B322,'2027 Avoided Costs'!$B$13:$B$47,'2027 Avoided Costs'!$C$13:$C$47),IF($O322=1,0,NPV('2027 Avoided Costs'!$D$6,_xlfn._xlws.FILTER('2027 Avoided Costs'!$E$14:$E$47,('2027 Avoided Costs'!$B$14:$B$47&gt;=$B322+1)*('2027 Avoided Costs'!$B$14:$B$47&lt;$B322+ROUND($O322,0)))))+_xlfn.XLOOKUP($B322,'2027 Avoided Costs'!$B$13:$B$47,'2027 Avoided Costs'!$E$13:$E$47))*IF($AE322&lt;0,$AE322*(-1),0),0)</f>
        <v>0</v>
      </c>
      <c r="BA322" s="291" cm="1">
        <f t="array" ref="BA322">IFERROR((IF($O322=1,0,NPV('2027 Avoided Costs'!$D$6,_xlfn._xlws.FILTER('2027 Avoided Costs'!$M$14:$M$47,('2027 Avoided Costs'!$B$14:$B$47&gt;=$B322+1)*('2027 Avoided Costs'!$B$14:$B$47&lt;$B322+ROUND($O322,0)))))+_xlfn.XLOOKUP($B322,'2027 Avoided Costs'!$B$13:$B$47,'2027 Avoided Costs'!$M$13:$M$47))*IF($AK322&lt;0,$AK322*(-1),0),0)</f>
        <v>0</v>
      </c>
      <c r="BB322" s="291" cm="1">
        <f t="array" ref="BB322">IFERROR((IF($O322=1,0,NPV('2027 Avoided Costs'!$D$6,_xlfn._xlws.FILTER('2027 Avoided Costs'!$S$14:$S$47,('2027 Avoided Costs'!$B$14:$B$47&gt;=$B322+1)*('2027 Avoided Costs'!$B$14:$B$47&lt;$B322+ROUND($O322,0)))))+_xlfn.XLOOKUP($B322,'2027 Avoided Costs'!$B$13:$B$47,'2027 Avoided Costs'!$S$13:$S$47))*IF($AI322&lt;0,$AI322*(-1),0),0)</f>
        <v>650.80949300545421</v>
      </c>
      <c r="BC322" s="291" cm="1">
        <f t="array" ref="BC322">IFERROR((IF($O322=1,0,NPV('2027 Avoided Costs'!$D$6,_xlfn._xlws.FILTER('2027 Avoided Costs'!$Y$14:$Y$47,('2027 Avoided Costs'!$B$14:$B$47&gt;=$B322+1)*('2027 Avoided Costs'!$B$14:$B$47&lt;$B322+ROUND($O322,0)))))+_xlfn.XLOOKUP($B322,'2027 Avoided Costs'!$B$13:$B$47,'2027 Avoided Costs'!$Y$13:$Y$47))*IF($AM322&lt;0,$AM322*(-1),0),0)</f>
        <v>2460.3680268999324</v>
      </c>
      <c r="BD322" s="291" cm="1">
        <f t="array" ref="BD322">IFERROR((IF($O322=1,0,NPV('2027 Avoided Costs'!$D$6,_xlfn._xlws.FILTER('2027 Avoided Costs'!$AE$14:$AE$47,('2027 Avoided Costs'!$B$14:$B$47&gt;=$B322+1)*('2027 Avoided Costs'!$B$14:$B$47&lt;$B322+ROUND($O322,0)))))+_xlfn.XLOOKUP($B322,'2027 Avoided Costs'!$B$13:$B$47,'2027 Avoided Costs'!$AE$13:$AE$47))*IF($AO322&lt;0,$AO322*(-1),0),0)</f>
        <v>48.841427463935382</v>
      </c>
      <c r="BE322" s="291" cm="1">
        <f t="array" ref="BE322">IFERROR((IF($O322=1,0,NPV('2027 Avoided Costs'!$D$4,_xlfn._xlws.FILTER('2027 Avoided Costs'!$I$14:$I$47,('2027 Avoided Costs'!$B$14:$B$47&gt;=$B322+1)*('2027 Avoided Costs'!$B$14:$B$47&lt;$B322+ROUND($O322,0)))))+_xlfn.XLOOKUP($B322,'2027 Avoided Costs'!$B$13:$B$47,'2027 Avoided Costs'!$I$13:$I$47))*IF($X322="Residential",'2027 Avoided Costs'!$J$5,IF($X322="Large Volume",'2027 Avoided Costs'!$J$7,'2027 Avoided Costs'!$J$6))*IF($AE322&lt;0,$AE322*(-1),0),0)</f>
        <v>0</v>
      </c>
      <c r="BF322" s="291">
        <f t="shared" si="139"/>
        <v>38255.482153033256</v>
      </c>
      <c r="BG322" s="291">
        <f t="shared" si="140"/>
        <v>42964.018947369324</v>
      </c>
      <c r="BH322" s="291">
        <f t="shared" si="141"/>
        <v>-4708.5367943360689</v>
      </c>
      <c r="BI322" s="292">
        <f t="shared" si="137"/>
        <v>0.89040744069813393</v>
      </c>
      <c r="BJ322" s="196" cm="1">
        <f t="array" ref="BJ322">IFERROR(IF($J322="Baseload",IF($O322=1,0,NPV('2027 Avoided Costs'!$D$6,_xlfn._xlws.FILTER('2027 Avoided Costs'!$C$14:$C$47,('2027 Avoided Costs'!$B$14:$B$47&gt;=$B322+1)*('2027 Avoided Costs'!$B$14:$B$47&lt;$B322+ROUND($O322,0)))))+_xlfn.XLOOKUP($B322,'2027 Avoided Costs'!$B$13:$B$47,'2027 Avoided Costs'!$C$13:$C$47),IF($O322=1,0,NPV('2027 Avoided Costs'!$D$6,_xlfn._xlws.FILTER('2027 Avoided Costs'!$E$14:$E$47,('2027 Avoided Costs'!$B$14:$B$47&gt;=$B322+1)*('2027 Avoided Costs'!$B$14:$B$47&lt;$B322+ROUND($O322,0)))))+_xlfn.XLOOKUP($B322,'2027 Avoided Costs'!$B$13:$B$47,'2027 Avoided Costs'!$E$13:$E$47))*IF($AE322&gt;0,$AE322*(1+0),0),0)</f>
        <v>33265.636654811533</v>
      </c>
      <c r="BK322" s="293">
        <f t="shared" si="135"/>
        <v>1.6552993173127675</v>
      </c>
    </row>
    <row r="323" spans="1:63" s="56" customFormat="1" x14ac:dyDescent="0.25">
      <c r="A323" s="270" t="s">
        <v>207</v>
      </c>
      <c r="B323" s="271">
        <v>2028</v>
      </c>
      <c r="C323" s="272" t="s">
        <v>12</v>
      </c>
      <c r="D323" s="272" t="s">
        <v>21</v>
      </c>
      <c r="E323" s="272" t="s">
        <v>116</v>
      </c>
      <c r="F323" s="273">
        <v>12</v>
      </c>
      <c r="G323" s="274">
        <v>2233.9219456011342</v>
      </c>
      <c r="H323" s="275">
        <f t="shared" si="115"/>
        <v>0.69788251971294413</v>
      </c>
      <c r="I323" s="274">
        <v>0</v>
      </c>
      <c r="J323" s="276" t="s">
        <v>264</v>
      </c>
      <c r="K323" s="277">
        <f t="shared" si="138"/>
        <v>1</v>
      </c>
      <c r="L323" s="278">
        <v>0</v>
      </c>
      <c r="M323" s="278">
        <v>0</v>
      </c>
      <c r="N323" s="278">
        <v>1</v>
      </c>
      <c r="O323" s="279">
        <v>20</v>
      </c>
      <c r="P323" s="280">
        <v>3201</v>
      </c>
      <c r="Q323" s="281">
        <v>5060</v>
      </c>
      <c r="R323" s="282">
        <v>1.1552511415525113</v>
      </c>
      <c r="S323" s="282">
        <v>1.1552511415525113</v>
      </c>
      <c r="T323" s="281">
        <v>0</v>
      </c>
      <c r="U323" s="283">
        <v>0</v>
      </c>
      <c r="V323" s="284">
        <v>2377</v>
      </c>
      <c r="W323" s="285">
        <v>0.15</v>
      </c>
      <c r="X323" s="286" t="s">
        <v>255</v>
      </c>
      <c r="Y323" s="287">
        <f t="shared" si="116"/>
        <v>12</v>
      </c>
      <c r="Z323" s="288">
        <f t="shared" si="117"/>
        <v>26807.063347213611</v>
      </c>
      <c r="AA323" s="288">
        <f t="shared" si="118"/>
        <v>0</v>
      </c>
      <c r="AB323" s="288">
        <f t="shared" si="119"/>
        <v>27343.204614157883</v>
      </c>
      <c r="AC323" s="288">
        <f t="shared" si="136"/>
        <v>0</v>
      </c>
      <c r="AD323" s="287">
        <f t="shared" si="120"/>
        <v>38412</v>
      </c>
      <c r="AE323" s="287">
        <f t="shared" si="121"/>
        <v>38412</v>
      </c>
      <c r="AF323" s="287">
        <f t="shared" si="122"/>
        <v>768240</v>
      </c>
      <c r="AG323" s="287">
        <f t="shared" si="123"/>
        <v>768240</v>
      </c>
      <c r="AH323" s="287">
        <f t="shared" si="124"/>
        <v>65091.840000000004</v>
      </c>
      <c r="AI323" s="287">
        <f t="shared" si="125"/>
        <v>65091.840000000004</v>
      </c>
      <c r="AJ323" s="287">
        <f t="shared" si="126"/>
        <v>0</v>
      </c>
      <c r="AK323" s="287">
        <f t="shared" si="127"/>
        <v>0</v>
      </c>
      <c r="AL323" s="287">
        <f t="shared" si="128"/>
        <v>14.861150684931506</v>
      </c>
      <c r="AM323" s="287">
        <f t="shared" si="129"/>
        <v>14.861150684931506</v>
      </c>
      <c r="AN323" s="287">
        <f t="shared" si="130"/>
        <v>14.861150684931506</v>
      </c>
      <c r="AO323" s="287">
        <f t="shared" si="131"/>
        <v>14.861150684931506</v>
      </c>
      <c r="AP323" s="287">
        <f t="shared" si="132"/>
        <v>28524</v>
      </c>
      <c r="AQ323" s="287">
        <f t="shared" si="133"/>
        <v>28524</v>
      </c>
      <c r="AR323" s="287">
        <f t="shared" si="134"/>
        <v>0</v>
      </c>
      <c r="AS323" s="289" t="e">
        <f>IF(J323='2027 Avoided Costs'!#REF!,3,5)</f>
        <v>#REF!</v>
      </c>
      <c r="AT323" s="290" cm="1">
        <f t="array" ref="AT323">IFERROR(IF($J323="Baseload",IF($O323=1,0,NPV('2027 Avoided Costs'!$D$6,_xlfn._xlws.FILTER('2027 Avoided Costs'!$C$14:$C$47,('2027 Avoided Costs'!$B$14:$B$47&gt;=$B323+1)*('2027 Avoided Costs'!$B$14:$B$47&lt;$B323+ROUND($O323,0)))))+_xlfn.XLOOKUP($B323,'2027 Avoided Costs'!$B$13:$B$47,'2027 Avoided Costs'!$C$13:$C$47),IF($O323=1,0,NPV('2027 Avoided Costs'!$D$6,_xlfn._xlws.FILTER('2027 Avoided Costs'!$E$14:$E$47,('2027 Avoided Costs'!$B$14:$B$47&gt;=$B323+1)*('2027 Avoided Costs'!$B$14:$B$47&lt;$B323+ROUND($O323,0)))))+_xlfn.XLOOKUP($B323,'2027 Avoided Costs'!$B$13:$B$47,'2027 Avoided Costs'!$E$13:$E$47))*IF($AE323&gt;0,$AE323*(1+$W323),0),0)</f>
        <v>197337.73560112427</v>
      </c>
      <c r="AU323" s="290" cm="1">
        <f t="array" ref="AU323">IFERROR((IF($O323=1,0,NPV('2027 Avoided Costs'!$D$6,_xlfn._xlws.FILTER('2027 Avoided Costs'!$M$14:$M$47,('2027 Avoided Costs'!$B$14:$B$47&gt;=$B323+1)*('2027 Avoided Costs'!$B$14:$B$47&lt;$B323+ROUND($O323,0)))))+_xlfn.XLOOKUP($B323,'2027 Avoided Costs'!$B$13:$B$47,'2027 Avoided Costs'!$M$13:$M$47))*IF($AK323&gt;0,$AK323*(1+$W323),0),0)</f>
        <v>0</v>
      </c>
      <c r="AV323" s="291" cm="1">
        <f t="array" ref="AV323">IFERROR((IF($O323=1,0,NPV('2027 Avoided Costs'!$D$6,_xlfn._xlws.FILTER('2027 Avoided Costs'!$Q$14:$Q$47,('2027 Avoided Costs'!$B$14:$B$47&gt;=$B323+1)*('2027 Avoided Costs'!$B$14:$B$47&lt;$B323+ROUND($O323,0)))))+_xlfn.XLOOKUP($B323,'2027 Avoided Costs'!$B$13:$B$47,'2027 Avoided Costs'!$Q$13:$Q$47))*IF($AI323&gt;0,$AI323*(1+$W323),0),0)</f>
        <v>51404.429604894001</v>
      </c>
      <c r="AW323" s="291" cm="1">
        <f t="array" ref="AW323">IFERROR((IF($O323=1,0,NPV('2027 Avoided Costs'!$D$6,_xlfn._xlws.FILTER('2027 Avoided Costs'!$W$14:$W$47,('2027 Avoided Costs'!$B$14:$B$47&gt;=$B323+1)*('2027 Avoided Costs'!$B$14:$B$47&lt;$B323+ROUND($O323,0)))))+_xlfn.XLOOKUP($B323,'2027 Avoided Costs'!$B$13:$B$47,'2027 Avoided Costs'!$W$13:$W$47))*IF($AM323&gt;0,$AM323*(1+$W323),0),0)</f>
        <v>71707.618053106868</v>
      </c>
      <c r="AX323" s="291" cm="1">
        <f t="array" ref="AX323">IFERROR((IF($O323=1,0,NPV('2027 Avoided Costs'!$D$6,_xlfn._xlws.FILTER('2027 Avoided Costs'!$AC$14:$AC$47,('2027 Avoided Costs'!$B$14:$B$47&gt;=$B323+1)*('2027 Avoided Costs'!$B$14:$B$47&lt;$B323+ROUND($O323,0)))))+_xlfn.XLOOKUP($B323,'2027 Avoided Costs'!$B$13:$B$47,'2027 Avoided Costs'!$AC$13:$AC$47))*IF($AO323&gt;0,$AO323*(1+$W323),0),0)</f>
        <v>11098.407682100184</v>
      </c>
      <c r="AY323" s="291" cm="1">
        <f t="array" ref="AY323">IFERROR((IF($O323=1,0,NPV('2027 Avoided Costs'!$D$4,_xlfn._xlws.FILTER('2027 Avoided Costs'!$I$14:$I$47,('2027 Avoided Costs'!$B$14:$B$47&gt;=$B323+1)*('2027 Avoided Costs'!$B$14:$B$47&lt;$B323+ROUND($O323,0)))))+_xlfn.XLOOKUP($B323,'2027 Avoided Costs'!$B$13:$B$47,'2027 Avoided Costs'!$I$13:$I$47))*IF($X323="Residential",'2027 Avoided Costs'!$J$5,IF($X323="Large Volume",'2027 Avoided Costs'!$J$7,'2027 Avoided Costs'!$J$6))*IF($AE323&gt;0,$AE323,0),0)</f>
        <v>0</v>
      </c>
      <c r="AZ323" s="291" cm="1">
        <f t="array" ref="AZ323">IFERROR(IF($J323="Baseload",IF($O323=1,0,NPV('2027 Avoided Costs'!$D$6,_xlfn._xlws.FILTER('2027 Avoided Costs'!$C$14:$C$47,('2027 Avoided Costs'!$B$14:$B$47&gt;=$B323+1)*('2027 Avoided Costs'!$B$14:$B$47&lt;$B323+ROUND($O323,0)))))+_xlfn.XLOOKUP($B323,'2027 Avoided Costs'!$B$13:$B$47,'2027 Avoided Costs'!$C$13:$C$47),IF($O323=1,0,NPV('2027 Avoided Costs'!$D$6,_xlfn._xlws.FILTER('2027 Avoided Costs'!$E$14:$E$47,('2027 Avoided Costs'!$B$14:$B$47&gt;=$B323+1)*('2027 Avoided Costs'!$B$14:$B$47&lt;$B323+ROUND($O323,0)))))+_xlfn.XLOOKUP($B323,'2027 Avoided Costs'!$B$13:$B$47,'2027 Avoided Costs'!$E$13:$E$47))*IF($AE323&lt;0,$AE323*(-1),0),0)</f>
        <v>0</v>
      </c>
      <c r="BA323" s="291" cm="1">
        <f t="array" ref="BA323">IFERROR((IF($O323=1,0,NPV('2027 Avoided Costs'!$D$6,_xlfn._xlws.FILTER('2027 Avoided Costs'!$M$14:$M$47,('2027 Avoided Costs'!$B$14:$B$47&gt;=$B323+1)*('2027 Avoided Costs'!$B$14:$B$47&lt;$B323+ROUND($O323,0)))))+_xlfn.XLOOKUP($B323,'2027 Avoided Costs'!$B$13:$B$47,'2027 Avoided Costs'!$M$13:$M$47))*IF($AK323&lt;0,$AK323*(-1),0),0)</f>
        <v>0</v>
      </c>
      <c r="BB323" s="291" cm="1">
        <f t="array" ref="BB323">IFERROR((IF($O323=1,0,NPV('2027 Avoided Costs'!$D$6,_xlfn._xlws.FILTER('2027 Avoided Costs'!$S$14:$S$47,('2027 Avoided Costs'!$B$14:$B$47&gt;=$B323+1)*('2027 Avoided Costs'!$B$14:$B$47&lt;$B323+ROUND($O323,0)))))+_xlfn.XLOOKUP($B323,'2027 Avoided Costs'!$B$13:$B$47,'2027 Avoided Costs'!$S$13:$S$47))*IF($AI323&lt;0,$AI323*(-1),0),0)</f>
        <v>0</v>
      </c>
      <c r="BC323" s="291" cm="1">
        <f t="array" ref="BC323">IFERROR((IF($O323=1,0,NPV('2027 Avoided Costs'!$D$6,_xlfn._xlws.FILTER('2027 Avoided Costs'!$Y$14:$Y$47,('2027 Avoided Costs'!$B$14:$B$47&gt;=$B323+1)*('2027 Avoided Costs'!$B$14:$B$47&lt;$B323+ROUND($O323,0)))))+_xlfn.XLOOKUP($B323,'2027 Avoided Costs'!$B$13:$B$47,'2027 Avoided Costs'!$Y$13:$Y$47))*IF($AM323&lt;0,$AM323*(-1),0),0)</f>
        <v>0</v>
      </c>
      <c r="BD323" s="291" cm="1">
        <f t="array" ref="BD323">IFERROR((IF($O323=1,0,NPV('2027 Avoided Costs'!$D$6,_xlfn._xlws.FILTER('2027 Avoided Costs'!$AE$14:$AE$47,('2027 Avoided Costs'!$B$14:$B$47&gt;=$B323+1)*('2027 Avoided Costs'!$B$14:$B$47&lt;$B323+ROUND($O323,0)))))+_xlfn.XLOOKUP($B323,'2027 Avoided Costs'!$B$13:$B$47,'2027 Avoided Costs'!$AE$13:$AE$47))*IF($AO323&lt;0,$AO323*(-1),0),0)</f>
        <v>0</v>
      </c>
      <c r="BE323" s="291" cm="1">
        <f t="array" ref="BE323">IFERROR((IF($O323=1,0,NPV('2027 Avoided Costs'!$D$4,_xlfn._xlws.FILTER('2027 Avoided Costs'!$I$14:$I$47,('2027 Avoided Costs'!$B$14:$B$47&gt;=$B323+1)*('2027 Avoided Costs'!$B$14:$B$47&lt;$B323+ROUND($O323,0)))))+_xlfn.XLOOKUP($B323,'2027 Avoided Costs'!$B$13:$B$47,'2027 Avoided Costs'!$I$13:$I$47))*IF($X323="Residential",'2027 Avoided Costs'!$J$5,IF($X323="Large Volume",'2027 Avoided Costs'!$J$7,'2027 Avoided Costs'!$J$6))*IF($AE323&lt;0,$AE323*(-1),0),0)</f>
        <v>0</v>
      </c>
      <c r="BF323" s="291">
        <f t="shared" si="139"/>
        <v>331548.19094122533</v>
      </c>
      <c r="BG323" s="291">
        <f t="shared" si="140"/>
        <v>28524</v>
      </c>
      <c r="BH323" s="291">
        <f t="shared" si="141"/>
        <v>303024.19094122533</v>
      </c>
      <c r="BI323" s="292">
        <f t="shared" si="137"/>
        <v>11.623481662502641</v>
      </c>
      <c r="BJ323" s="196" cm="1">
        <f t="array" ref="BJ323">IFERROR(IF($J323="Baseload",IF($O323=1,0,NPV('2027 Avoided Costs'!$D$6,_xlfn._xlws.FILTER('2027 Avoided Costs'!$C$14:$C$47,('2027 Avoided Costs'!$B$14:$B$47&gt;=$B323+1)*('2027 Avoided Costs'!$B$14:$B$47&lt;$B323+ROUND($O323,0)))))+_xlfn.XLOOKUP($B323,'2027 Avoided Costs'!$B$13:$B$47,'2027 Avoided Costs'!$C$13:$C$47),IF($O323=1,0,NPV('2027 Avoided Costs'!$D$6,_xlfn._xlws.FILTER('2027 Avoided Costs'!$E$14:$E$47,('2027 Avoided Costs'!$B$14:$B$47&gt;=$B323+1)*('2027 Avoided Costs'!$B$14:$B$47&lt;$B323+ROUND($O323,0)))))+_xlfn.XLOOKUP($B323,'2027 Avoided Costs'!$B$13:$B$47,'2027 Avoided Costs'!$E$13:$E$47))*IF($AE323&gt;0,$AE323*(1+0),0),0)</f>
        <v>171598.03095749937</v>
      </c>
      <c r="BK323" s="293">
        <f t="shared" si="135"/>
        <v>6.2757103045869247</v>
      </c>
    </row>
    <row r="324" spans="1:63" s="56" customFormat="1" x14ac:dyDescent="0.25">
      <c r="A324" s="270" t="s">
        <v>207</v>
      </c>
      <c r="B324" s="271">
        <v>2028</v>
      </c>
      <c r="C324" s="272" t="s">
        <v>12</v>
      </c>
      <c r="D324" s="272" t="s">
        <v>21</v>
      </c>
      <c r="E324" s="272" t="s">
        <v>111</v>
      </c>
      <c r="F324" s="273">
        <v>4</v>
      </c>
      <c r="G324" s="274">
        <v>30000</v>
      </c>
      <c r="H324" s="275">
        <f t="shared" si="115"/>
        <v>0</v>
      </c>
      <c r="I324" s="274">
        <v>0</v>
      </c>
      <c r="J324" s="276" t="s">
        <v>263</v>
      </c>
      <c r="K324" s="277">
        <f t="shared" si="138"/>
        <v>1</v>
      </c>
      <c r="L324" s="278">
        <v>0</v>
      </c>
      <c r="M324" s="278">
        <v>0</v>
      </c>
      <c r="N324" s="278">
        <v>0</v>
      </c>
      <c r="O324" s="279">
        <v>0</v>
      </c>
      <c r="P324" s="280">
        <v>0</v>
      </c>
      <c r="Q324" s="281">
        <v>0</v>
      </c>
      <c r="R324" s="282">
        <v>0</v>
      </c>
      <c r="S324" s="282">
        <v>0</v>
      </c>
      <c r="T324" s="281">
        <v>0</v>
      </c>
      <c r="U324" s="283">
        <v>0</v>
      </c>
      <c r="V324" s="284">
        <v>0</v>
      </c>
      <c r="W324" s="285">
        <v>0.15</v>
      </c>
      <c r="X324" s="286" t="s">
        <v>255</v>
      </c>
      <c r="Y324" s="287">
        <f t="shared" si="116"/>
        <v>4</v>
      </c>
      <c r="Z324" s="288">
        <f t="shared" si="117"/>
        <v>120000</v>
      </c>
      <c r="AA324" s="288">
        <f t="shared" si="118"/>
        <v>0</v>
      </c>
      <c r="AB324" s="288">
        <f t="shared" si="119"/>
        <v>122400</v>
      </c>
      <c r="AC324" s="288">
        <f t="shared" si="136"/>
        <v>0</v>
      </c>
      <c r="AD324" s="287">
        <f t="shared" si="120"/>
        <v>0</v>
      </c>
      <c r="AE324" s="287">
        <f t="shared" si="121"/>
        <v>0</v>
      </c>
      <c r="AF324" s="287">
        <f t="shared" si="122"/>
        <v>0</v>
      </c>
      <c r="AG324" s="287">
        <f t="shared" si="123"/>
        <v>0</v>
      </c>
      <c r="AH324" s="287">
        <f t="shared" si="124"/>
        <v>0</v>
      </c>
      <c r="AI324" s="287">
        <f t="shared" si="125"/>
        <v>0</v>
      </c>
      <c r="AJ324" s="287">
        <f t="shared" si="126"/>
        <v>0</v>
      </c>
      <c r="AK324" s="287">
        <f t="shared" si="127"/>
        <v>0</v>
      </c>
      <c r="AL324" s="287">
        <f t="shared" si="128"/>
        <v>0</v>
      </c>
      <c r="AM324" s="287">
        <f t="shared" si="129"/>
        <v>0</v>
      </c>
      <c r="AN324" s="287">
        <f t="shared" si="130"/>
        <v>0</v>
      </c>
      <c r="AO324" s="287">
        <f t="shared" si="131"/>
        <v>0</v>
      </c>
      <c r="AP324" s="287">
        <f t="shared" si="132"/>
        <v>0</v>
      </c>
      <c r="AQ324" s="287">
        <f t="shared" si="133"/>
        <v>0</v>
      </c>
      <c r="AR324" s="287">
        <f t="shared" si="134"/>
        <v>0</v>
      </c>
      <c r="AS324" s="289" t="e">
        <f>IF(J324='2027 Avoided Costs'!#REF!,3,5)</f>
        <v>#REF!</v>
      </c>
      <c r="AT324" s="290" cm="1">
        <f t="array" ref="AT324">IFERROR(IF($J324="Baseload",IF($O324=1,0,NPV('2027 Avoided Costs'!$D$6,_xlfn._xlws.FILTER('2027 Avoided Costs'!$C$14:$C$47,('2027 Avoided Costs'!$B$14:$B$47&gt;=$B324+1)*('2027 Avoided Costs'!$B$14:$B$47&lt;$B324+ROUND($O324,0)))))+_xlfn.XLOOKUP($B324,'2027 Avoided Costs'!$B$13:$B$47,'2027 Avoided Costs'!$C$13:$C$47),IF($O324=1,0,NPV('2027 Avoided Costs'!$D$6,_xlfn._xlws.FILTER('2027 Avoided Costs'!$E$14:$E$47,('2027 Avoided Costs'!$B$14:$B$47&gt;=$B324+1)*('2027 Avoided Costs'!$B$14:$B$47&lt;$B324+ROUND($O324,0)))))+_xlfn.XLOOKUP($B324,'2027 Avoided Costs'!$B$13:$B$47,'2027 Avoided Costs'!$E$13:$E$47))*IF($AE324&gt;0,$AE324*(1+$W324),0),0)</f>
        <v>0</v>
      </c>
      <c r="AU324" s="290" cm="1">
        <f t="array" ref="AU324">IFERROR((IF($O324=1,0,NPV('2027 Avoided Costs'!$D$6,_xlfn._xlws.FILTER('2027 Avoided Costs'!$M$14:$M$47,('2027 Avoided Costs'!$B$14:$B$47&gt;=$B324+1)*('2027 Avoided Costs'!$B$14:$B$47&lt;$B324+ROUND($O324,0)))))+_xlfn.XLOOKUP($B324,'2027 Avoided Costs'!$B$13:$B$47,'2027 Avoided Costs'!$M$13:$M$47))*IF($AK324&gt;0,$AK324*(1+$W324),0),0)</f>
        <v>0</v>
      </c>
      <c r="AV324" s="291" cm="1">
        <f t="array" ref="AV324">IFERROR((IF($O324=1,0,NPV('2027 Avoided Costs'!$D$6,_xlfn._xlws.FILTER('2027 Avoided Costs'!$Q$14:$Q$47,('2027 Avoided Costs'!$B$14:$B$47&gt;=$B324+1)*('2027 Avoided Costs'!$B$14:$B$47&lt;$B324+ROUND($O324,0)))))+_xlfn.XLOOKUP($B324,'2027 Avoided Costs'!$B$13:$B$47,'2027 Avoided Costs'!$Q$13:$Q$47))*IF($AI324&gt;0,$AI324*(1+$W324),0),0)</f>
        <v>0</v>
      </c>
      <c r="AW324" s="291" cm="1">
        <f t="array" ref="AW324">IFERROR((IF($O324=1,0,NPV('2027 Avoided Costs'!$D$6,_xlfn._xlws.FILTER('2027 Avoided Costs'!$W$14:$W$47,('2027 Avoided Costs'!$B$14:$B$47&gt;=$B324+1)*('2027 Avoided Costs'!$B$14:$B$47&lt;$B324+ROUND($O324,0)))))+_xlfn.XLOOKUP($B324,'2027 Avoided Costs'!$B$13:$B$47,'2027 Avoided Costs'!$W$13:$W$47))*IF($AM324&gt;0,$AM324*(1+$W324),0),0)</f>
        <v>0</v>
      </c>
      <c r="AX324" s="291" cm="1">
        <f t="array" ref="AX324">IFERROR((IF($O324=1,0,NPV('2027 Avoided Costs'!$D$6,_xlfn._xlws.FILTER('2027 Avoided Costs'!$AC$14:$AC$47,('2027 Avoided Costs'!$B$14:$B$47&gt;=$B324+1)*('2027 Avoided Costs'!$B$14:$B$47&lt;$B324+ROUND($O324,0)))))+_xlfn.XLOOKUP($B324,'2027 Avoided Costs'!$B$13:$B$47,'2027 Avoided Costs'!$AC$13:$AC$47))*IF($AO324&gt;0,$AO324*(1+$W324),0),0)</f>
        <v>0</v>
      </c>
      <c r="AY324" s="291" cm="1">
        <f t="array" ref="AY324">IFERROR((IF($O324=1,0,NPV('2027 Avoided Costs'!$D$4,_xlfn._xlws.FILTER('2027 Avoided Costs'!$I$14:$I$47,('2027 Avoided Costs'!$B$14:$B$47&gt;=$B324+1)*('2027 Avoided Costs'!$B$14:$B$47&lt;$B324+ROUND($O324,0)))))+_xlfn.XLOOKUP($B324,'2027 Avoided Costs'!$B$13:$B$47,'2027 Avoided Costs'!$I$13:$I$47))*IF($X324="Residential",'2027 Avoided Costs'!$J$5,IF($X324="Large Volume",'2027 Avoided Costs'!$J$7,'2027 Avoided Costs'!$J$6))*IF($AE324&gt;0,$AE324,0),0)</f>
        <v>0</v>
      </c>
      <c r="AZ324" s="291" cm="1">
        <f t="array" ref="AZ324">IFERROR(IF($J324="Baseload",IF($O324=1,0,NPV('2027 Avoided Costs'!$D$6,_xlfn._xlws.FILTER('2027 Avoided Costs'!$C$14:$C$47,('2027 Avoided Costs'!$B$14:$B$47&gt;=$B324+1)*('2027 Avoided Costs'!$B$14:$B$47&lt;$B324+ROUND($O324,0)))))+_xlfn.XLOOKUP($B324,'2027 Avoided Costs'!$B$13:$B$47,'2027 Avoided Costs'!$C$13:$C$47),IF($O324=1,0,NPV('2027 Avoided Costs'!$D$6,_xlfn._xlws.FILTER('2027 Avoided Costs'!$E$14:$E$47,('2027 Avoided Costs'!$B$14:$B$47&gt;=$B324+1)*('2027 Avoided Costs'!$B$14:$B$47&lt;$B324+ROUND($O324,0)))))+_xlfn.XLOOKUP($B324,'2027 Avoided Costs'!$B$13:$B$47,'2027 Avoided Costs'!$E$13:$E$47))*IF($AE324&lt;0,$AE324*(-1),0),0)</f>
        <v>0</v>
      </c>
      <c r="BA324" s="291" cm="1">
        <f t="array" ref="BA324">IFERROR((IF($O324=1,0,NPV('2027 Avoided Costs'!$D$6,_xlfn._xlws.FILTER('2027 Avoided Costs'!$M$14:$M$47,('2027 Avoided Costs'!$B$14:$B$47&gt;=$B324+1)*('2027 Avoided Costs'!$B$14:$B$47&lt;$B324+ROUND($O324,0)))))+_xlfn.XLOOKUP($B324,'2027 Avoided Costs'!$B$13:$B$47,'2027 Avoided Costs'!$M$13:$M$47))*IF($AK324&lt;0,$AK324*(-1),0),0)</f>
        <v>0</v>
      </c>
      <c r="BB324" s="291" cm="1">
        <f t="array" ref="BB324">IFERROR((IF($O324=1,0,NPV('2027 Avoided Costs'!$D$6,_xlfn._xlws.FILTER('2027 Avoided Costs'!$S$14:$S$47,('2027 Avoided Costs'!$B$14:$B$47&gt;=$B324+1)*('2027 Avoided Costs'!$B$14:$B$47&lt;$B324+ROUND($O324,0)))))+_xlfn.XLOOKUP($B324,'2027 Avoided Costs'!$B$13:$B$47,'2027 Avoided Costs'!$S$13:$S$47))*IF($AI324&lt;0,$AI324*(-1),0),0)</f>
        <v>0</v>
      </c>
      <c r="BC324" s="291" cm="1">
        <f t="array" ref="BC324">IFERROR((IF($O324=1,0,NPV('2027 Avoided Costs'!$D$6,_xlfn._xlws.FILTER('2027 Avoided Costs'!$Y$14:$Y$47,('2027 Avoided Costs'!$B$14:$B$47&gt;=$B324+1)*('2027 Avoided Costs'!$B$14:$B$47&lt;$B324+ROUND($O324,0)))))+_xlfn.XLOOKUP($B324,'2027 Avoided Costs'!$B$13:$B$47,'2027 Avoided Costs'!$Y$13:$Y$47))*IF($AM324&lt;0,$AM324*(-1),0),0)</f>
        <v>0</v>
      </c>
      <c r="BD324" s="291" cm="1">
        <f t="array" ref="BD324">IFERROR((IF($O324=1,0,NPV('2027 Avoided Costs'!$D$6,_xlfn._xlws.FILTER('2027 Avoided Costs'!$AE$14:$AE$47,('2027 Avoided Costs'!$B$14:$B$47&gt;=$B324+1)*('2027 Avoided Costs'!$B$14:$B$47&lt;$B324+ROUND($O324,0)))))+_xlfn.XLOOKUP($B324,'2027 Avoided Costs'!$B$13:$B$47,'2027 Avoided Costs'!$AE$13:$AE$47))*IF($AO324&lt;0,$AO324*(-1),0),0)</f>
        <v>0</v>
      </c>
      <c r="BE324" s="291" cm="1">
        <f t="array" ref="BE324">IFERROR((IF($O324=1,0,NPV('2027 Avoided Costs'!$D$4,_xlfn._xlws.FILTER('2027 Avoided Costs'!$I$14:$I$47,('2027 Avoided Costs'!$B$14:$B$47&gt;=$B324+1)*('2027 Avoided Costs'!$B$14:$B$47&lt;$B324+ROUND($O324,0)))))+_xlfn.XLOOKUP($B324,'2027 Avoided Costs'!$B$13:$B$47,'2027 Avoided Costs'!$I$13:$I$47))*IF($X324="Residential",'2027 Avoided Costs'!$J$5,IF($X324="Large Volume",'2027 Avoided Costs'!$J$7,'2027 Avoided Costs'!$J$6))*IF($AE324&lt;0,$AE324*(-1),0),0)</f>
        <v>0</v>
      </c>
      <c r="BF324" s="291">
        <f t="shared" si="139"/>
        <v>0</v>
      </c>
      <c r="BG324" s="291">
        <f t="shared" si="140"/>
        <v>0</v>
      </c>
      <c r="BH324" s="291">
        <f t="shared" si="141"/>
        <v>0</v>
      </c>
      <c r="BI324" s="292">
        <f t="shared" si="137"/>
        <v>0</v>
      </c>
      <c r="BJ324" s="196" cm="1">
        <f t="array" ref="BJ324">IFERROR(IF($J324="Baseload",IF($O324=1,0,NPV('2027 Avoided Costs'!$D$6,_xlfn._xlws.FILTER('2027 Avoided Costs'!$C$14:$C$47,('2027 Avoided Costs'!$B$14:$B$47&gt;=$B324+1)*('2027 Avoided Costs'!$B$14:$B$47&lt;$B324+ROUND($O324,0)))))+_xlfn.XLOOKUP($B324,'2027 Avoided Costs'!$B$13:$B$47,'2027 Avoided Costs'!$C$13:$C$47),IF($O324=1,0,NPV('2027 Avoided Costs'!$D$6,_xlfn._xlws.FILTER('2027 Avoided Costs'!$E$14:$E$47,('2027 Avoided Costs'!$B$14:$B$47&gt;=$B324+1)*('2027 Avoided Costs'!$B$14:$B$47&lt;$B324+ROUND($O324,0)))))+_xlfn.XLOOKUP($B324,'2027 Avoided Costs'!$B$13:$B$47,'2027 Avoided Costs'!$E$13:$E$47))*IF($AE324&gt;0,$AE324*(1+0),0),0)</f>
        <v>0</v>
      </c>
      <c r="BK324" s="293">
        <f t="shared" si="135"/>
        <v>0</v>
      </c>
    </row>
    <row r="325" spans="1:63" s="56" customFormat="1" x14ac:dyDescent="0.25">
      <c r="A325" s="270" t="s">
        <v>207</v>
      </c>
      <c r="B325" s="271">
        <v>2028</v>
      </c>
      <c r="C325" s="272" t="s">
        <v>12</v>
      </c>
      <c r="D325" s="272" t="s">
        <v>21</v>
      </c>
      <c r="E325" s="272" t="s">
        <v>117</v>
      </c>
      <c r="F325" s="273">
        <v>20</v>
      </c>
      <c r="G325" s="274">
        <v>16200.000000000002</v>
      </c>
      <c r="H325" s="275">
        <f t="shared" si="115"/>
        <v>0</v>
      </c>
      <c r="I325" s="274">
        <v>0</v>
      </c>
      <c r="J325" s="276" t="s">
        <v>263</v>
      </c>
      <c r="K325" s="277">
        <f t="shared" si="138"/>
        <v>1</v>
      </c>
      <c r="L325" s="278">
        <v>0</v>
      </c>
      <c r="M325" s="278">
        <v>0</v>
      </c>
      <c r="N325" s="278">
        <v>1</v>
      </c>
      <c r="O325" s="279">
        <v>0</v>
      </c>
      <c r="P325" s="280">
        <v>0</v>
      </c>
      <c r="Q325" s="281">
        <v>0</v>
      </c>
      <c r="R325" s="282">
        <v>0</v>
      </c>
      <c r="S325" s="282">
        <v>0</v>
      </c>
      <c r="T325" s="281">
        <v>0</v>
      </c>
      <c r="U325" s="283">
        <v>0</v>
      </c>
      <c r="V325" s="284">
        <v>0</v>
      </c>
      <c r="W325" s="285">
        <v>0.15</v>
      </c>
      <c r="X325" s="286" t="s">
        <v>255</v>
      </c>
      <c r="Y325" s="287">
        <f t="shared" si="116"/>
        <v>20</v>
      </c>
      <c r="Z325" s="288">
        <f t="shared" si="117"/>
        <v>324000.00000000006</v>
      </c>
      <c r="AA325" s="288">
        <f t="shared" si="118"/>
        <v>0</v>
      </c>
      <c r="AB325" s="288">
        <f t="shared" si="119"/>
        <v>330480.00000000006</v>
      </c>
      <c r="AC325" s="288">
        <f t="shared" si="136"/>
        <v>0</v>
      </c>
      <c r="AD325" s="287">
        <f t="shared" si="120"/>
        <v>0</v>
      </c>
      <c r="AE325" s="287">
        <f t="shared" si="121"/>
        <v>0</v>
      </c>
      <c r="AF325" s="287">
        <f t="shared" si="122"/>
        <v>0</v>
      </c>
      <c r="AG325" s="287">
        <f t="shared" si="123"/>
        <v>0</v>
      </c>
      <c r="AH325" s="287">
        <f t="shared" si="124"/>
        <v>0</v>
      </c>
      <c r="AI325" s="287">
        <f t="shared" si="125"/>
        <v>0</v>
      </c>
      <c r="AJ325" s="287">
        <f t="shared" si="126"/>
        <v>0</v>
      </c>
      <c r="AK325" s="287">
        <f t="shared" si="127"/>
        <v>0</v>
      </c>
      <c r="AL325" s="287">
        <f t="shared" si="128"/>
        <v>0</v>
      </c>
      <c r="AM325" s="287">
        <f t="shared" si="129"/>
        <v>0</v>
      </c>
      <c r="AN325" s="287">
        <f t="shared" si="130"/>
        <v>0</v>
      </c>
      <c r="AO325" s="287">
        <f t="shared" si="131"/>
        <v>0</v>
      </c>
      <c r="AP325" s="287">
        <f t="shared" si="132"/>
        <v>0</v>
      </c>
      <c r="AQ325" s="287">
        <f t="shared" si="133"/>
        <v>0</v>
      </c>
      <c r="AR325" s="287">
        <f t="shared" si="134"/>
        <v>0</v>
      </c>
      <c r="AS325" s="289" t="e">
        <f>IF(J325='2027 Avoided Costs'!#REF!,3,5)</f>
        <v>#REF!</v>
      </c>
      <c r="AT325" s="290" cm="1">
        <f t="array" ref="AT325">IFERROR(IF($J325="Baseload",IF($O325=1,0,NPV('2027 Avoided Costs'!$D$6,_xlfn._xlws.FILTER('2027 Avoided Costs'!$C$14:$C$47,('2027 Avoided Costs'!$B$14:$B$47&gt;=$B325+1)*('2027 Avoided Costs'!$B$14:$B$47&lt;$B325+ROUND($O325,0)))))+_xlfn.XLOOKUP($B325,'2027 Avoided Costs'!$B$13:$B$47,'2027 Avoided Costs'!$C$13:$C$47),IF($O325=1,0,NPV('2027 Avoided Costs'!$D$6,_xlfn._xlws.FILTER('2027 Avoided Costs'!$E$14:$E$47,('2027 Avoided Costs'!$B$14:$B$47&gt;=$B325+1)*('2027 Avoided Costs'!$B$14:$B$47&lt;$B325+ROUND($O325,0)))))+_xlfn.XLOOKUP($B325,'2027 Avoided Costs'!$B$13:$B$47,'2027 Avoided Costs'!$E$13:$E$47))*IF($AE325&gt;0,$AE325*(1+$W325),0),0)</f>
        <v>0</v>
      </c>
      <c r="AU325" s="290" cm="1">
        <f t="array" ref="AU325">IFERROR((IF($O325=1,0,NPV('2027 Avoided Costs'!$D$6,_xlfn._xlws.FILTER('2027 Avoided Costs'!$M$14:$M$47,('2027 Avoided Costs'!$B$14:$B$47&gt;=$B325+1)*('2027 Avoided Costs'!$B$14:$B$47&lt;$B325+ROUND($O325,0)))))+_xlfn.XLOOKUP($B325,'2027 Avoided Costs'!$B$13:$B$47,'2027 Avoided Costs'!$M$13:$M$47))*IF($AK325&gt;0,$AK325*(1+$W325),0),0)</f>
        <v>0</v>
      </c>
      <c r="AV325" s="291" cm="1">
        <f t="array" ref="AV325">IFERROR((IF($O325=1,0,NPV('2027 Avoided Costs'!$D$6,_xlfn._xlws.FILTER('2027 Avoided Costs'!$Q$14:$Q$47,('2027 Avoided Costs'!$B$14:$B$47&gt;=$B325+1)*('2027 Avoided Costs'!$B$14:$B$47&lt;$B325+ROUND($O325,0)))))+_xlfn.XLOOKUP($B325,'2027 Avoided Costs'!$B$13:$B$47,'2027 Avoided Costs'!$Q$13:$Q$47))*IF($AI325&gt;0,$AI325*(1+$W325),0),0)</f>
        <v>0</v>
      </c>
      <c r="AW325" s="291" cm="1">
        <f t="array" ref="AW325">IFERROR((IF($O325=1,0,NPV('2027 Avoided Costs'!$D$6,_xlfn._xlws.FILTER('2027 Avoided Costs'!$W$14:$W$47,('2027 Avoided Costs'!$B$14:$B$47&gt;=$B325+1)*('2027 Avoided Costs'!$B$14:$B$47&lt;$B325+ROUND($O325,0)))))+_xlfn.XLOOKUP($B325,'2027 Avoided Costs'!$B$13:$B$47,'2027 Avoided Costs'!$W$13:$W$47))*IF($AM325&gt;0,$AM325*(1+$W325),0),0)</f>
        <v>0</v>
      </c>
      <c r="AX325" s="291" cm="1">
        <f t="array" ref="AX325">IFERROR((IF($O325=1,0,NPV('2027 Avoided Costs'!$D$6,_xlfn._xlws.FILTER('2027 Avoided Costs'!$AC$14:$AC$47,('2027 Avoided Costs'!$B$14:$B$47&gt;=$B325+1)*('2027 Avoided Costs'!$B$14:$B$47&lt;$B325+ROUND($O325,0)))))+_xlfn.XLOOKUP($B325,'2027 Avoided Costs'!$B$13:$B$47,'2027 Avoided Costs'!$AC$13:$AC$47))*IF($AO325&gt;0,$AO325*(1+$W325),0),0)</f>
        <v>0</v>
      </c>
      <c r="AY325" s="291" cm="1">
        <f t="array" ref="AY325">IFERROR((IF($O325=1,0,NPV('2027 Avoided Costs'!$D$4,_xlfn._xlws.FILTER('2027 Avoided Costs'!$I$14:$I$47,('2027 Avoided Costs'!$B$14:$B$47&gt;=$B325+1)*('2027 Avoided Costs'!$B$14:$B$47&lt;$B325+ROUND($O325,0)))))+_xlfn.XLOOKUP($B325,'2027 Avoided Costs'!$B$13:$B$47,'2027 Avoided Costs'!$I$13:$I$47))*IF($X325="Residential",'2027 Avoided Costs'!$J$5,IF($X325="Large Volume",'2027 Avoided Costs'!$J$7,'2027 Avoided Costs'!$J$6))*IF($AE325&gt;0,$AE325,0),0)</f>
        <v>0</v>
      </c>
      <c r="AZ325" s="291" cm="1">
        <f t="array" ref="AZ325">IFERROR(IF($J325="Baseload",IF($O325=1,0,NPV('2027 Avoided Costs'!$D$6,_xlfn._xlws.FILTER('2027 Avoided Costs'!$C$14:$C$47,('2027 Avoided Costs'!$B$14:$B$47&gt;=$B325+1)*('2027 Avoided Costs'!$B$14:$B$47&lt;$B325+ROUND($O325,0)))))+_xlfn.XLOOKUP($B325,'2027 Avoided Costs'!$B$13:$B$47,'2027 Avoided Costs'!$C$13:$C$47),IF($O325=1,0,NPV('2027 Avoided Costs'!$D$6,_xlfn._xlws.FILTER('2027 Avoided Costs'!$E$14:$E$47,('2027 Avoided Costs'!$B$14:$B$47&gt;=$B325+1)*('2027 Avoided Costs'!$B$14:$B$47&lt;$B325+ROUND($O325,0)))))+_xlfn.XLOOKUP($B325,'2027 Avoided Costs'!$B$13:$B$47,'2027 Avoided Costs'!$E$13:$E$47))*IF($AE325&lt;0,$AE325*(-1),0),0)</f>
        <v>0</v>
      </c>
      <c r="BA325" s="291" cm="1">
        <f t="array" ref="BA325">IFERROR((IF($O325=1,0,NPV('2027 Avoided Costs'!$D$6,_xlfn._xlws.FILTER('2027 Avoided Costs'!$M$14:$M$47,('2027 Avoided Costs'!$B$14:$B$47&gt;=$B325+1)*('2027 Avoided Costs'!$B$14:$B$47&lt;$B325+ROUND($O325,0)))))+_xlfn.XLOOKUP($B325,'2027 Avoided Costs'!$B$13:$B$47,'2027 Avoided Costs'!$M$13:$M$47))*IF($AK325&lt;0,$AK325*(-1),0),0)</f>
        <v>0</v>
      </c>
      <c r="BB325" s="291" cm="1">
        <f t="array" ref="BB325">IFERROR((IF($O325=1,0,NPV('2027 Avoided Costs'!$D$6,_xlfn._xlws.FILTER('2027 Avoided Costs'!$S$14:$S$47,('2027 Avoided Costs'!$B$14:$B$47&gt;=$B325+1)*('2027 Avoided Costs'!$B$14:$B$47&lt;$B325+ROUND($O325,0)))))+_xlfn.XLOOKUP($B325,'2027 Avoided Costs'!$B$13:$B$47,'2027 Avoided Costs'!$S$13:$S$47))*IF($AI325&lt;0,$AI325*(-1),0),0)</f>
        <v>0</v>
      </c>
      <c r="BC325" s="291" cm="1">
        <f t="array" ref="BC325">IFERROR((IF($O325=1,0,NPV('2027 Avoided Costs'!$D$6,_xlfn._xlws.FILTER('2027 Avoided Costs'!$Y$14:$Y$47,('2027 Avoided Costs'!$B$14:$B$47&gt;=$B325+1)*('2027 Avoided Costs'!$B$14:$B$47&lt;$B325+ROUND($O325,0)))))+_xlfn.XLOOKUP($B325,'2027 Avoided Costs'!$B$13:$B$47,'2027 Avoided Costs'!$Y$13:$Y$47))*IF($AM325&lt;0,$AM325*(-1),0),0)</f>
        <v>0</v>
      </c>
      <c r="BD325" s="291" cm="1">
        <f t="array" ref="BD325">IFERROR((IF($O325=1,0,NPV('2027 Avoided Costs'!$D$6,_xlfn._xlws.FILTER('2027 Avoided Costs'!$AE$14:$AE$47,('2027 Avoided Costs'!$B$14:$B$47&gt;=$B325+1)*('2027 Avoided Costs'!$B$14:$B$47&lt;$B325+ROUND($O325,0)))))+_xlfn.XLOOKUP($B325,'2027 Avoided Costs'!$B$13:$B$47,'2027 Avoided Costs'!$AE$13:$AE$47))*IF($AO325&lt;0,$AO325*(-1),0),0)</f>
        <v>0</v>
      </c>
      <c r="BE325" s="291" cm="1">
        <f t="array" ref="BE325">IFERROR((IF($O325=1,0,NPV('2027 Avoided Costs'!$D$4,_xlfn._xlws.FILTER('2027 Avoided Costs'!$I$14:$I$47,('2027 Avoided Costs'!$B$14:$B$47&gt;=$B325+1)*('2027 Avoided Costs'!$B$14:$B$47&lt;$B325+ROUND($O325,0)))))+_xlfn.XLOOKUP($B325,'2027 Avoided Costs'!$B$13:$B$47,'2027 Avoided Costs'!$I$13:$I$47))*IF($X325="Residential",'2027 Avoided Costs'!$J$5,IF($X325="Large Volume",'2027 Avoided Costs'!$J$7,'2027 Avoided Costs'!$J$6))*IF($AE325&lt;0,$AE325*(-1),0),0)</f>
        <v>0</v>
      </c>
      <c r="BF325" s="291">
        <f t="shared" si="139"/>
        <v>0</v>
      </c>
      <c r="BG325" s="291">
        <f t="shared" si="140"/>
        <v>0</v>
      </c>
      <c r="BH325" s="291">
        <f t="shared" si="141"/>
        <v>0</v>
      </c>
      <c r="BI325" s="292">
        <f t="shared" si="137"/>
        <v>0</v>
      </c>
      <c r="BJ325" s="196" cm="1">
        <f t="array" ref="BJ325">IFERROR(IF($J325="Baseload",IF($O325=1,0,NPV('2027 Avoided Costs'!$D$6,_xlfn._xlws.FILTER('2027 Avoided Costs'!$C$14:$C$47,('2027 Avoided Costs'!$B$14:$B$47&gt;=$B325+1)*('2027 Avoided Costs'!$B$14:$B$47&lt;$B325+ROUND($O325,0)))))+_xlfn.XLOOKUP($B325,'2027 Avoided Costs'!$B$13:$B$47,'2027 Avoided Costs'!$C$13:$C$47),IF($O325=1,0,NPV('2027 Avoided Costs'!$D$6,_xlfn._xlws.FILTER('2027 Avoided Costs'!$E$14:$E$47,('2027 Avoided Costs'!$B$14:$B$47&gt;=$B325+1)*('2027 Avoided Costs'!$B$14:$B$47&lt;$B325+ROUND($O325,0)))))+_xlfn.XLOOKUP($B325,'2027 Avoided Costs'!$B$13:$B$47,'2027 Avoided Costs'!$E$13:$E$47))*IF($AE325&gt;0,$AE325*(1+0),0),0)</f>
        <v>0</v>
      </c>
      <c r="BK325" s="293">
        <f t="shared" si="135"/>
        <v>0</v>
      </c>
    </row>
    <row r="326" spans="1:63" s="56" customFormat="1" x14ac:dyDescent="0.25">
      <c r="A326" s="270" t="s">
        <v>207</v>
      </c>
      <c r="B326" s="271">
        <v>2028</v>
      </c>
      <c r="C326" s="272" t="s">
        <v>12</v>
      </c>
      <c r="D326" s="272" t="s">
        <v>21</v>
      </c>
      <c r="E326" s="272" t="s">
        <v>112</v>
      </c>
      <c r="F326" s="273">
        <v>7</v>
      </c>
      <c r="G326" s="274">
        <v>103956</v>
      </c>
      <c r="H326" s="275">
        <f t="shared" si="115"/>
        <v>3</v>
      </c>
      <c r="I326" s="274">
        <v>0</v>
      </c>
      <c r="J326" s="276" t="s">
        <v>264</v>
      </c>
      <c r="K326" s="277">
        <f t="shared" si="138"/>
        <v>1</v>
      </c>
      <c r="L326" s="278">
        <v>0</v>
      </c>
      <c r="M326" s="278">
        <v>0</v>
      </c>
      <c r="N326" s="278">
        <v>0.97609999999999997</v>
      </c>
      <c r="O326" s="279">
        <v>15</v>
      </c>
      <c r="P326" s="280">
        <v>34652</v>
      </c>
      <c r="Q326" s="281">
        <v>-90946</v>
      </c>
      <c r="R326" s="282">
        <v>0</v>
      </c>
      <c r="S326" s="282">
        <v>-28.2895</v>
      </c>
      <c r="T326" s="281">
        <v>0</v>
      </c>
      <c r="U326" s="283">
        <v>0</v>
      </c>
      <c r="V326" s="284">
        <v>399813</v>
      </c>
      <c r="W326" s="285">
        <v>0.15</v>
      </c>
      <c r="X326" s="286" t="s">
        <v>255</v>
      </c>
      <c r="Y326" s="287">
        <f t="shared" si="116"/>
        <v>7</v>
      </c>
      <c r="Z326" s="288">
        <f t="shared" si="117"/>
        <v>727692</v>
      </c>
      <c r="AA326" s="288">
        <f t="shared" si="118"/>
        <v>0</v>
      </c>
      <c r="AB326" s="288">
        <f t="shared" si="119"/>
        <v>742245.84</v>
      </c>
      <c r="AC326" s="288">
        <f t="shared" si="136"/>
        <v>0</v>
      </c>
      <c r="AD326" s="287">
        <f t="shared" si="120"/>
        <v>236766.72039999999</v>
      </c>
      <c r="AE326" s="287">
        <f t="shared" si="121"/>
        <v>236766.72039999999</v>
      </c>
      <c r="AF326" s="287">
        <f t="shared" si="122"/>
        <v>3551500.8059999999</v>
      </c>
      <c r="AG326" s="287">
        <f t="shared" si="123"/>
        <v>3551500.8059999999</v>
      </c>
      <c r="AH326" s="287">
        <f t="shared" si="124"/>
        <v>-666148.01906239998</v>
      </c>
      <c r="AI326" s="287">
        <f t="shared" si="125"/>
        <v>-666148.01906239998</v>
      </c>
      <c r="AJ326" s="287">
        <f t="shared" si="126"/>
        <v>0</v>
      </c>
      <c r="AK326" s="287">
        <f t="shared" si="127"/>
        <v>0</v>
      </c>
      <c r="AL326" s="287">
        <f t="shared" si="128"/>
        <v>0</v>
      </c>
      <c r="AM326" s="287">
        <f t="shared" si="129"/>
        <v>0</v>
      </c>
      <c r="AN326" s="287">
        <f t="shared" si="130"/>
        <v>-207.21081064880002</v>
      </c>
      <c r="AO326" s="287">
        <f t="shared" si="131"/>
        <v>-207.21081064880002</v>
      </c>
      <c r="AP326" s="287">
        <f t="shared" si="132"/>
        <v>2798691</v>
      </c>
      <c r="AQ326" s="287">
        <f t="shared" si="133"/>
        <v>2798691</v>
      </c>
      <c r="AR326" s="287">
        <f t="shared" si="134"/>
        <v>0</v>
      </c>
      <c r="AS326" s="289" t="e">
        <f>IF(J326='2027 Avoided Costs'!#REF!,3,5)</f>
        <v>#REF!</v>
      </c>
      <c r="AT326" s="290" cm="1">
        <f t="array" ref="AT326">IFERROR(IF($J326="Baseload",IF($O326=1,0,NPV('2027 Avoided Costs'!$D$6,_xlfn._xlws.FILTER('2027 Avoided Costs'!$C$14:$C$47,('2027 Avoided Costs'!$B$14:$B$47&gt;=$B326+1)*('2027 Avoided Costs'!$B$14:$B$47&lt;$B326+ROUND($O326,0)))))+_xlfn.XLOOKUP($B326,'2027 Avoided Costs'!$B$13:$B$47,'2027 Avoided Costs'!$C$13:$C$47),IF($O326=1,0,NPV('2027 Avoided Costs'!$D$6,_xlfn._xlws.FILTER('2027 Avoided Costs'!$E$14:$E$47,('2027 Avoided Costs'!$B$14:$B$47&gt;=$B326+1)*('2027 Avoided Costs'!$B$14:$B$47&lt;$B326+ROUND($O326,0)))))+_xlfn.XLOOKUP($B326,'2027 Avoided Costs'!$B$13:$B$47,'2027 Avoided Costs'!$E$13:$E$47))*IF($AE326&gt;0,$AE326*(1+$W326),0),0)</f>
        <v>971112.2877718308</v>
      </c>
      <c r="AU326" s="290" cm="1">
        <f t="array" ref="AU326">IFERROR((IF($O326=1,0,NPV('2027 Avoided Costs'!$D$6,_xlfn._xlws.FILTER('2027 Avoided Costs'!$M$14:$M$47,('2027 Avoided Costs'!$B$14:$B$47&gt;=$B326+1)*('2027 Avoided Costs'!$B$14:$B$47&lt;$B326+ROUND($O326,0)))))+_xlfn.XLOOKUP($B326,'2027 Avoided Costs'!$B$13:$B$47,'2027 Avoided Costs'!$M$13:$M$47))*IF($AK326&gt;0,$AK326*(1+$W326),0),0)</f>
        <v>0</v>
      </c>
      <c r="AV326" s="291" cm="1">
        <f t="array" ref="AV326">IFERROR((IF($O326=1,0,NPV('2027 Avoided Costs'!$D$6,_xlfn._xlws.FILTER('2027 Avoided Costs'!$Q$14:$Q$47,('2027 Avoided Costs'!$B$14:$B$47&gt;=$B326+1)*('2027 Avoided Costs'!$B$14:$B$47&lt;$B326+ROUND($O326,0)))))+_xlfn.XLOOKUP($B326,'2027 Avoided Costs'!$B$13:$B$47,'2027 Avoided Costs'!$Q$13:$Q$47))*IF($AI326&gt;0,$AI326*(1+$W326),0),0)</f>
        <v>0</v>
      </c>
      <c r="AW326" s="291" cm="1">
        <f t="array" ref="AW326">IFERROR((IF($O326=1,0,NPV('2027 Avoided Costs'!$D$6,_xlfn._xlws.FILTER('2027 Avoided Costs'!$W$14:$W$47,('2027 Avoided Costs'!$B$14:$B$47&gt;=$B326+1)*('2027 Avoided Costs'!$B$14:$B$47&lt;$B326+ROUND($O326,0)))))+_xlfn.XLOOKUP($B326,'2027 Avoided Costs'!$B$13:$B$47,'2027 Avoided Costs'!$W$13:$W$47))*IF($AM326&gt;0,$AM326*(1+$W326),0),0)</f>
        <v>0</v>
      </c>
      <c r="AX326" s="291" cm="1">
        <f t="array" ref="AX326">IFERROR((IF($O326=1,0,NPV('2027 Avoided Costs'!$D$6,_xlfn._xlws.FILTER('2027 Avoided Costs'!$AC$14:$AC$47,('2027 Avoided Costs'!$B$14:$B$47&gt;=$B326+1)*('2027 Avoided Costs'!$B$14:$B$47&lt;$B326+ROUND($O326,0)))))+_xlfn.XLOOKUP($B326,'2027 Avoided Costs'!$B$13:$B$47,'2027 Avoided Costs'!$AC$13:$AC$47))*IF($AO326&gt;0,$AO326*(1+$W326),0),0)</f>
        <v>0</v>
      </c>
      <c r="AY326" s="291" cm="1">
        <f t="array" ref="AY326">IFERROR((IF($O326=1,0,NPV('2027 Avoided Costs'!$D$4,_xlfn._xlws.FILTER('2027 Avoided Costs'!$I$14:$I$47,('2027 Avoided Costs'!$B$14:$B$47&gt;=$B326+1)*('2027 Avoided Costs'!$B$14:$B$47&lt;$B326+ROUND($O326,0)))))+_xlfn.XLOOKUP($B326,'2027 Avoided Costs'!$B$13:$B$47,'2027 Avoided Costs'!$I$13:$I$47))*IF($X326="Residential",'2027 Avoided Costs'!$J$5,IF($X326="Large Volume",'2027 Avoided Costs'!$J$7,'2027 Avoided Costs'!$J$6))*IF($AE326&gt;0,$AE326,0),0)</f>
        <v>0</v>
      </c>
      <c r="AZ326" s="291" cm="1">
        <f t="array" ref="AZ326">IFERROR(IF($J326="Baseload",IF($O326=1,0,NPV('2027 Avoided Costs'!$D$6,_xlfn._xlws.FILTER('2027 Avoided Costs'!$C$14:$C$47,('2027 Avoided Costs'!$B$14:$B$47&gt;=$B326+1)*('2027 Avoided Costs'!$B$14:$B$47&lt;$B326+ROUND($O326,0)))))+_xlfn.XLOOKUP($B326,'2027 Avoided Costs'!$B$13:$B$47,'2027 Avoided Costs'!$C$13:$C$47),IF($O326=1,0,NPV('2027 Avoided Costs'!$D$6,_xlfn._xlws.FILTER('2027 Avoided Costs'!$E$14:$E$47,('2027 Avoided Costs'!$B$14:$B$47&gt;=$B326+1)*('2027 Avoided Costs'!$B$14:$B$47&lt;$B326+ROUND($O326,0)))))+_xlfn.XLOOKUP($B326,'2027 Avoided Costs'!$B$13:$B$47,'2027 Avoided Costs'!$E$13:$E$47))*IF($AE326&lt;0,$AE326*(-1),0),0)</f>
        <v>0</v>
      </c>
      <c r="BA326" s="291" cm="1">
        <f t="array" ref="BA326">IFERROR((IF($O326=1,0,NPV('2027 Avoided Costs'!$D$6,_xlfn._xlws.FILTER('2027 Avoided Costs'!$M$14:$M$47,('2027 Avoided Costs'!$B$14:$B$47&gt;=$B326+1)*('2027 Avoided Costs'!$B$14:$B$47&lt;$B326+ROUND($O326,0)))))+_xlfn.XLOOKUP($B326,'2027 Avoided Costs'!$B$13:$B$47,'2027 Avoided Costs'!$M$13:$M$47))*IF($AK326&lt;0,$AK326*(-1),0),0)</f>
        <v>0</v>
      </c>
      <c r="BB326" s="291" cm="1">
        <f t="array" ref="BB326">IFERROR((IF($O326=1,0,NPV('2027 Avoided Costs'!$D$6,_xlfn._xlws.FILTER('2027 Avoided Costs'!$S$14:$S$47,('2027 Avoided Costs'!$B$14:$B$47&gt;=$B326+1)*('2027 Avoided Costs'!$B$14:$B$47&lt;$B326+ROUND($O326,0)))))+_xlfn.XLOOKUP($B326,'2027 Avoided Costs'!$B$13:$B$47,'2027 Avoided Costs'!$S$13:$S$47))*IF($AI326&lt;0,$AI326*(-1),0),0)</f>
        <v>378429.42882332526</v>
      </c>
      <c r="BC326" s="291" cm="1">
        <f t="array" ref="BC326">IFERROR((IF($O326=1,0,NPV('2027 Avoided Costs'!$D$6,_xlfn._xlws.FILTER('2027 Avoided Costs'!$Y$14:$Y$47,('2027 Avoided Costs'!$B$14:$B$47&gt;=$B326+1)*('2027 Avoided Costs'!$B$14:$B$47&lt;$B326+ROUND($O326,0)))))+_xlfn.XLOOKUP($B326,'2027 Avoided Costs'!$B$13:$B$47,'2027 Avoided Costs'!$Y$13:$Y$47))*IF($AM326&lt;0,$AM326*(-1),0),0)</f>
        <v>0</v>
      </c>
      <c r="BD326" s="291" cm="1">
        <f t="array" ref="BD326">IFERROR((IF($O326=1,0,NPV('2027 Avoided Costs'!$D$6,_xlfn._xlws.FILTER('2027 Avoided Costs'!$AE$14:$AE$47,('2027 Avoided Costs'!$B$14:$B$47&gt;=$B326+1)*('2027 Avoided Costs'!$B$14:$B$47&lt;$B326+ROUND($O326,0)))))+_xlfn.XLOOKUP($B326,'2027 Avoided Costs'!$B$13:$B$47,'2027 Avoided Costs'!$AE$13:$AE$47))*IF($AO326&lt;0,$AO326*(-1),0),0)</f>
        <v>46670.69297180877</v>
      </c>
      <c r="BE326" s="291" cm="1">
        <f t="array" ref="BE326">IFERROR((IF($O326=1,0,NPV('2027 Avoided Costs'!$D$4,_xlfn._xlws.FILTER('2027 Avoided Costs'!$I$14:$I$47,('2027 Avoided Costs'!$B$14:$B$47&gt;=$B326+1)*('2027 Avoided Costs'!$B$14:$B$47&lt;$B326+ROUND($O326,0)))))+_xlfn.XLOOKUP($B326,'2027 Avoided Costs'!$B$13:$B$47,'2027 Avoided Costs'!$I$13:$I$47))*IF($X326="Residential",'2027 Avoided Costs'!$J$5,IF($X326="Large Volume",'2027 Avoided Costs'!$J$7,'2027 Avoided Costs'!$J$6))*IF($AE326&lt;0,$AE326*(-1),0),0)</f>
        <v>0</v>
      </c>
      <c r="BF326" s="291">
        <f t="shared" si="139"/>
        <v>971112.2877718308</v>
      </c>
      <c r="BG326" s="291">
        <f t="shared" si="140"/>
        <v>3223791.1217951342</v>
      </c>
      <c r="BH326" s="291">
        <f t="shared" si="141"/>
        <v>-2252678.8340233034</v>
      </c>
      <c r="BI326" s="292">
        <f t="shared" si="137"/>
        <v>0.30123300520508822</v>
      </c>
      <c r="BJ326" s="196" cm="1">
        <f t="array" ref="BJ326">IFERROR(IF($J326="Baseload",IF($O326=1,0,NPV('2027 Avoided Costs'!$D$6,_xlfn._xlws.FILTER('2027 Avoided Costs'!$C$14:$C$47,('2027 Avoided Costs'!$B$14:$B$47&gt;=$B326+1)*('2027 Avoided Costs'!$B$14:$B$47&lt;$B326+ROUND($O326,0)))))+_xlfn.XLOOKUP($B326,'2027 Avoided Costs'!$B$13:$B$47,'2027 Avoided Costs'!$C$13:$C$47),IF($O326=1,0,NPV('2027 Avoided Costs'!$D$6,_xlfn._xlws.FILTER('2027 Avoided Costs'!$E$14:$E$47,('2027 Avoided Costs'!$B$14:$B$47&gt;=$B326+1)*('2027 Avoided Costs'!$B$14:$B$47&lt;$B326+ROUND($O326,0)))))+_xlfn.XLOOKUP($B326,'2027 Avoided Costs'!$B$13:$B$47,'2027 Avoided Costs'!$E$13:$E$47))*IF($AE326&gt;0,$AE326*(1+0),0),0)</f>
        <v>844445.467627679</v>
      </c>
      <c r="BK326" s="293">
        <f t="shared" si="135"/>
        <v>1.1376897277426021</v>
      </c>
    </row>
    <row r="327" spans="1:63" s="56" customFormat="1" x14ac:dyDescent="0.25">
      <c r="A327" s="270" t="s">
        <v>207</v>
      </c>
      <c r="B327" s="271">
        <v>2028</v>
      </c>
      <c r="C327" s="272" t="s">
        <v>12</v>
      </c>
      <c r="D327" s="272" t="s">
        <v>21</v>
      </c>
      <c r="E327" s="272" t="s">
        <v>347</v>
      </c>
      <c r="F327" s="273">
        <v>14</v>
      </c>
      <c r="G327" s="274">
        <v>6831.1100000000006</v>
      </c>
      <c r="H327" s="275">
        <f t="shared" si="115"/>
        <v>1.87</v>
      </c>
      <c r="I327" s="274">
        <v>0</v>
      </c>
      <c r="J327" s="276" t="s">
        <v>264</v>
      </c>
      <c r="K327" s="277">
        <f t="shared" si="138"/>
        <v>1</v>
      </c>
      <c r="L327" s="278">
        <v>0</v>
      </c>
      <c r="M327" s="278">
        <v>0</v>
      </c>
      <c r="N327" s="278">
        <v>0.97609999999999997</v>
      </c>
      <c r="O327" s="279">
        <v>5</v>
      </c>
      <c r="P327" s="280">
        <v>3653</v>
      </c>
      <c r="Q327" s="281">
        <v>0</v>
      </c>
      <c r="R327" s="282">
        <v>0</v>
      </c>
      <c r="S327" s="282">
        <v>0</v>
      </c>
      <c r="T327" s="281">
        <v>0</v>
      </c>
      <c r="U327" s="283">
        <v>0</v>
      </c>
      <c r="V327" s="284">
        <v>5000</v>
      </c>
      <c r="W327" s="285">
        <v>0.15</v>
      </c>
      <c r="X327" s="286" t="s">
        <v>255</v>
      </c>
      <c r="Y327" s="287">
        <f t="shared" si="116"/>
        <v>14</v>
      </c>
      <c r="Z327" s="288">
        <f t="shared" si="117"/>
        <v>95635.540000000008</v>
      </c>
      <c r="AA327" s="288">
        <f t="shared" si="118"/>
        <v>0</v>
      </c>
      <c r="AB327" s="288">
        <f t="shared" si="119"/>
        <v>97548.250800000009</v>
      </c>
      <c r="AC327" s="288">
        <f t="shared" si="136"/>
        <v>0</v>
      </c>
      <c r="AD327" s="287">
        <f t="shared" si="120"/>
        <v>49919.706200000001</v>
      </c>
      <c r="AE327" s="287">
        <f t="shared" si="121"/>
        <v>49919.706200000001</v>
      </c>
      <c r="AF327" s="287">
        <f t="shared" si="122"/>
        <v>249598.53100000002</v>
      </c>
      <c r="AG327" s="287">
        <f t="shared" si="123"/>
        <v>249598.53100000002</v>
      </c>
      <c r="AH327" s="287">
        <f t="shared" si="124"/>
        <v>0</v>
      </c>
      <c r="AI327" s="287">
        <f t="shared" si="125"/>
        <v>0</v>
      </c>
      <c r="AJ327" s="287">
        <f t="shared" si="126"/>
        <v>0</v>
      </c>
      <c r="AK327" s="287">
        <f t="shared" si="127"/>
        <v>0</v>
      </c>
      <c r="AL327" s="287">
        <f t="shared" si="128"/>
        <v>0</v>
      </c>
      <c r="AM327" s="287">
        <f t="shared" si="129"/>
        <v>0</v>
      </c>
      <c r="AN327" s="287">
        <f t="shared" si="130"/>
        <v>0</v>
      </c>
      <c r="AO327" s="287">
        <f t="shared" si="131"/>
        <v>0</v>
      </c>
      <c r="AP327" s="287">
        <f t="shared" si="132"/>
        <v>70000</v>
      </c>
      <c r="AQ327" s="287">
        <f t="shared" si="133"/>
        <v>70000</v>
      </c>
      <c r="AR327" s="287">
        <f t="shared" si="134"/>
        <v>0</v>
      </c>
      <c r="AS327" s="289" t="e">
        <f>IF(J327='2027 Avoided Costs'!#REF!,3,5)</f>
        <v>#REF!</v>
      </c>
      <c r="AT327" s="290" cm="1">
        <f t="array" ref="AT327">IFERROR(IF($J327="Baseload",IF($O327=1,0,NPV('2027 Avoided Costs'!$D$6,_xlfn._xlws.FILTER('2027 Avoided Costs'!$C$14:$C$47,('2027 Avoided Costs'!$B$14:$B$47&gt;=$B327+1)*('2027 Avoided Costs'!$B$14:$B$47&lt;$B327+ROUND($O327,0)))))+_xlfn.XLOOKUP($B327,'2027 Avoided Costs'!$B$13:$B$47,'2027 Avoided Costs'!$C$13:$C$47),IF($O327=1,0,NPV('2027 Avoided Costs'!$D$6,_xlfn._xlws.FILTER('2027 Avoided Costs'!$E$14:$E$47,('2027 Avoided Costs'!$B$14:$B$47&gt;=$B327+1)*('2027 Avoided Costs'!$B$14:$B$47&lt;$B327+ROUND($O327,0)))))+_xlfn.XLOOKUP($B327,'2027 Avoided Costs'!$B$13:$B$47,'2027 Avoided Costs'!$E$13:$E$47))*IF($AE327&gt;0,$AE327*(1+$W327),0),0)</f>
        <v>79067.427483230975</v>
      </c>
      <c r="AU327" s="290" cm="1">
        <f t="array" ref="AU327">IFERROR((IF($O327=1,0,NPV('2027 Avoided Costs'!$D$6,_xlfn._xlws.FILTER('2027 Avoided Costs'!$M$14:$M$47,('2027 Avoided Costs'!$B$14:$B$47&gt;=$B327+1)*('2027 Avoided Costs'!$B$14:$B$47&lt;$B327+ROUND($O327,0)))))+_xlfn.XLOOKUP($B327,'2027 Avoided Costs'!$B$13:$B$47,'2027 Avoided Costs'!$M$13:$M$47))*IF($AK327&gt;0,$AK327*(1+$W327),0),0)</f>
        <v>0</v>
      </c>
      <c r="AV327" s="291" cm="1">
        <f t="array" ref="AV327">IFERROR((IF($O327=1,0,NPV('2027 Avoided Costs'!$D$6,_xlfn._xlws.FILTER('2027 Avoided Costs'!$Q$14:$Q$47,('2027 Avoided Costs'!$B$14:$B$47&gt;=$B327+1)*('2027 Avoided Costs'!$B$14:$B$47&lt;$B327+ROUND($O327,0)))))+_xlfn.XLOOKUP($B327,'2027 Avoided Costs'!$B$13:$B$47,'2027 Avoided Costs'!$Q$13:$Q$47))*IF($AI327&gt;0,$AI327*(1+$W327),0),0)</f>
        <v>0</v>
      </c>
      <c r="AW327" s="291" cm="1">
        <f t="array" ref="AW327">IFERROR((IF($O327=1,0,NPV('2027 Avoided Costs'!$D$6,_xlfn._xlws.FILTER('2027 Avoided Costs'!$W$14:$W$47,('2027 Avoided Costs'!$B$14:$B$47&gt;=$B327+1)*('2027 Avoided Costs'!$B$14:$B$47&lt;$B327+ROUND($O327,0)))))+_xlfn.XLOOKUP($B327,'2027 Avoided Costs'!$B$13:$B$47,'2027 Avoided Costs'!$W$13:$W$47))*IF($AM327&gt;0,$AM327*(1+$W327),0),0)</f>
        <v>0</v>
      </c>
      <c r="AX327" s="291" cm="1">
        <f t="array" ref="AX327">IFERROR((IF($O327=1,0,NPV('2027 Avoided Costs'!$D$6,_xlfn._xlws.FILTER('2027 Avoided Costs'!$AC$14:$AC$47,('2027 Avoided Costs'!$B$14:$B$47&gt;=$B327+1)*('2027 Avoided Costs'!$B$14:$B$47&lt;$B327+ROUND($O327,0)))))+_xlfn.XLOOKUP($B327,'2027 Avoided Costs'!$B$13:$B$47,'2027 Avoided Costs'!$AC$13:$AC$47))*IF($AO327&gt;0,$AO327*(1+$W327),0),0)</f>
        <v>0</v>
      </c>
      <c r="AY327" s="291" cm="1">
        <f t="array" ref="AY327">IFERROR((IF($O327=1,0,NPV('2027 Avoided Costs'!$D$4,_xlfn._xlws.FILTER('2027 Avoided Costs'!$I$14:$I$47,('2027 Avoided Costs'!$B$14:$B$47&gt;=$B327+1)*('2027 Avoided Costs'!$B$14:$B$47&lt;$B327+ROUND($O327,0)))))+_xlfn.XLOOKUP($B327,'2027 Avoided Costs'!$B$13:$B$47,'2027 Avoided Costs'!$I$13:$I$47))*IF($X327="Residential",'2027 Avoided Costs'!$J$5,IF($X327="Large Volume",'2027 Avoided Costs'!$J$7,'2027 Avoided Costs'!$J$6))*IF($AE327&gt;0,$AE327,0),0)</f>
        <v>0</v>
      </c>
      <c r="AZ327" s="291" cm="1">
        <f t="array" ref="AZ327">IFERROR(IF($J327="Baseload",IF($O327=1,0,NPV('2027 Avoided Costs'!$D$6,_xlfn._xlws.FILTER('2027 Avoided Costs'!$C$14:$C$47,('2027 Avoided Costs'!$B$14:$B$47&gt;=$B327+1)*('2027 Avoided Costs'!$B$14:$B$47&lt;$B327+ROUND($O327,0)))))+_xlfn.XLOOKUP($B327,'2027 Avoided Costs'!$B$13:$B$47,'2027 Avoided Costs'!$C$13:$C$47),IF($O327=1,0,NPV('2027 Avoided Costs'!$D$6,_xlfn._xlws.FILTER('2027 Avoided Costs'!$E$14:$E$47,('2027 Avoided Costs'!$B$14:$B$47&gt;=$B327+1)*('2027 Avoided Costs'!$B$14:$B$47&lt;$B327+ROUND($O327,0)))))+_xlfn.XLOOKUP($B327,'2027 Avoided Costs'!$B$13:$B$47,'2027 Avoided Costs'!$E$13:$E$47))*IF($AE327&lt;0,$AE327*(-1),0),0)</f>
        <v>0</v>
      </c>
      <c r="BA327" s="291" cm="1">
        <f t="array" ref="BA327">IFERROR((IF($O327=1,0,NPV('2027 Avoided Costs'!$D$6,_xlfn._xlws.FILTER('2027 Avoided Costs'!$M$14:$M$47,('2027 Avoided Costs'!$B$14:$B$47&gt;=$B327+1)*('2027 Avoided Costs'!$B$14:$B$47&lt;$B327+ROUND($O327,0)))))+_xlfn.XLOOKUP($B327,'2027 Avoided Costs'!$B$13:$B$47,'2027 Avoided Costs'!$M$13:$M$47))*IF($AK327&lt;0,$AK327*(-1),0),0)</f>
        <v>0</v>
      </c>
      <c r="BB327" s="291" cm="1">
        <f t="array" ref="BB327">IFERROR((IF($O327=1,0,NPV('2027 Avoided Costs'!$D$6,_xlfn._xlws.FILTER('2027 Avoided Costs'!$S$14:$S$47,('2027 Avoided Costs'!$B$14:$B$47&gt;=$B327+1)*('2027 Avoided Costs'!$B$14:$B$47&lt;$B327+ROUND($O327,0)))))+_xlfn.XLOOKUP($B327,'2027 Avoided Costs'!$B$13:$B$47,'2027 Avoided Costs'!$S$13:$S$47))*IF($AI327&lt;0,$AI327*(-1),0),0)</f>
        <v>0</v>
      </c>
      <c r="BC327" s="291" cm="1">
        <f t="array" ref="BC327">IFERROR((IF($O327=1,0,NPV('2027 Avoided Costs'!$D$6,_xlfn._xlws.FILTER('2027 Avoided Costs'!$Y$14:$Y$47,('2027 Avoided Costs'!$B$14:$B$47&gt;=$B327+1)*('2027 Avoided Costs'!$B$14:$B$47&lt;$B327+ROUND($O327,0)))))+_xlfn.XLOOKUP($B327,'2027 Avoided Costs'!$B$13:$B$47,'2027 Avoided Costs'!$Y$13:$Y$47))*IF($AM327&lt;0,$AM327*(-1),0),0)</f>
        <v>0</v>
      </c>
      <c r="BD327" s="291" cm="1">
        <f t="array" ref="BD327">IFERROR((IF($O327=1,0,NPV('2027 Avoided Costs'!$D$6,_xlfn._xlws.FILTER('2027 Avoided Costs'!$AE$14:$AE$47,('2027 Avoided Costs'!$B$14:$B$47&gt;=$B327+1)*('2027 Avoided Costs'!$B$14:$B$47&lt;$B327+ROUND($O327,0)))))+_xlfn.XLOOKUP($B327,'2027 Avoided Costs'!$B$13:$B$47,'2027 Avoided Costs'!$AE$13:$AE$47))*IF($AO327&lt;0,$AO327*(-1),0),0)</f>
        <v>0</v>
      </c>
      <c r="BE327" s="291" cm="1">
        <f t="array" ref="BE327">IFERROR((IF($O327=1,0,NPV('2027 Avoided Costs'!$D$4,_xlfn._xlws.FILTER('2027 Avoided Costs'!$I$14:$I$47,('2027 Avoided Costs'!$B$14:$B$47&gt;=$B327+1)*('2027 Avoided Costs'!$B$14:$B$47&lt;$B327+ROUND($O327,0)))))+_xlfn.XLOOKUP($B327,'2027 Avoided Costs'!$B$13:$B$47,'2027 Avoided Costs'!$I$13:$I$47))*IF($X327="Residential",'2027 Avoided Costs'!$J$5,IF($X327="Large Volume",'2027 Avoided Costs'!$J$7,'2027 Avoided Costs'!$J$6))*IF($AE327&lt;0,$AE327*(-1),0),0)</f>
        <v>0</v>
      </c>
      <c r="BF327" s="291">
        <f t="shared" si="139"/>
        <v>79067.427483230975</v>
      </c>
      <c r="BG327" s="291">
        <f t="shared" si="140"/>
        <v>70000</v>
      </c>
      <c r="BH327" s="291">
        <f t="shared" si="141"/>
        <v>9067.4274832309748</v>
      </c>
      <c r="BI327" s="292">
        <f t="shared" si="137"/>
        <v>1.1295346783318712</v>
      </c>
      <c r="BJ327" s="196" cm="1">
        <f t="array" ref="BJ327">IFERROR(IF($J327="Baseload",IF($O327=1,0,NPV('2027 Avoided Costs'!$D$6,_xlfn._xlws.FILTER('2027 Avoided Costs'!$C$14:$C$47,('2027 Avoided Costs'!$B$14:$B$47&gt;=$B327+1)*('2027 Avoided Costs'!$B$14:$B$47&lt;$B327+ROUND($O327,0)))))+_xlfn.XLOOKUP($B327,'2027 Avoided Costs'!$B$13:$B$47,'2027 Avoided Costs'!$C$13:$C$47),IF($O327=1,0,NPV('2027 Avoided Costs'!$D$6,_xlfn._xlws.FILTER('2027 Avoided Costs'!$E$14:$E$47,('2027 Avoided Costs'!$B$14:$B$47&gt;=$B327+1)*('2027 Avoided Costs'!$B$14:$B$47&lt;$B327+ROUND($O327,0)))))+_xlfn.XLOOKUP($B327,'2027 Avoided Costs'!$B$13:$B$47,'2027 Avoided Costs'!$E$13:$E$47))*IF($AE327&gt;0,$AE327*(1+0),0),0)</f>
        <v>68754.284768026933</v>
      </c>
      <c r="BK327" s="293">
        <f t="shared" si="135"/>
        <v>0.70482334848824302</v>
      </c>
    </row>
    <row r="328" spans="1:63" s="56" customFormat="1" x14ac:dyDescent="0.25">
      <c r="A328" s="270" t="s">
        <v>207</v>
      </c>
      <c r="B328" s="271">
        <v>2029</v>
      </c>
      <c r="C328" s="272" t="s">
        <v>12</v>
      </c>
      <c r="D328" s="272" t="s">
        <v>21</v>
      </c>
      <c r="E328" s="272" t="s">
        <v>109</v>
      </c>
      <c r="F328" s="273">
        <v>68</v>
      </c>
      <c r="G328" s="274">
        <v>49344.75</v>
      </c>
      <c r="H328" s="275">
        <f t="shared" si="115"/>
        <v>3.25</v>
      </c>
      <c r="I328" s="274">
        <v>0</v>
      </c>
      <c r="J328" s="276" t="s">
        <v>264</v>
      </c>
      <c r="K328" s="277">
        <f t="shared" si="138"/>
        <v>1</v>
      </c>
      <c r="L328" s="278">
        <v>0</v>
      </c>
      <c r="M328" s="278">
        <v>0</v>
      </c>
      <c r="N328" s="278">
        <v>0.97609999999999997</v>
      </c>
      <c r="O328" s="279">
        <v>20</v>
      </c>
      <c r="P328" s="280">
        <v>15183</v>
      </c>
      <c r="Q328" s="281">
        <v>10864</v>
      </c>
      <c r="R328" s="282">
        <v>6.6203996599558224</v>
      </c>
      <c r="S328" s="282">
        <v>1.9554512565234221</v>
      </c>
      <c r="T328" s="281">
        <v>0</v>
      </c>
      <c r="U328" s="283">
        <v>0</v>
      </c>
      <c r="V328" s="284">
        <v>44540</v>
      </c>
      <c r="W328" s="285">
        <v>0.15</v>
      </c>
      <c r="X328" s="286" t="s">
        <v>255</v>
      </c>
      <c r="Y328" s="287">
        <f t="shared" si="116"/>
        <v>68</v>
      </c>
      <c r="Z328" s="288">
        <f t="shared" si="117"/>
        <v>3355443</v>
      </c>
      <c r="AA328" s="288">
        <f t="shared" si="118"/>
        <v>0</v>
      </c>
      <c r="AB328" s="288">
        <f t="shared" si="119"/>
        <v>3491002.8972</v>
      </c>
      <c r="AC328" s="288">
        <f t="shared" si="136"/>
        <v>0</v>
      </c>
      <c r="AD328" s="287">
        <f t="shared" si="120"/>
        <v>1007768.5884</v>
      </c>
      <c r="AE328" s="287">
        <f t="shared" si="121"/>
        <v>1007768.5884</v>
      </c>
      <c r="AF328" s="287">
        <f t="shared" si="122"/>
        <v>20155371.767999999</v>
      </c>
      <c r="AG328" s="287">
        <f t="shared" si="123"/>
        <v>20155371.767999999</v>
      </c>
      <c r="AH328" s="287">
        <f t="shared" si="124"/>
        <v>773014.72675839998</v>
      </c>
      <c r="AI328" s="287">
        <f t="shared" si="125"/>
        <v>773014.72675839998</v>
      </c>
      <c r="AJ328" s="287">
        <f t="shared" si="126"/>
        <v>0</v>
      </c>
      <c r="AK328" s="287">
        <f t="shared" si="127"/>
        <v>0</v>
      </c>
      <c r="AL328" s="287">
        <f t="shared" si="128"/>
        <v>471.06649799080947</v>
      </c>
      <c r="AM328" s="287">
        <f t="shared" si="129"/>
        <v>471.06649799080947</v>
      </c>
      <c r="AN328" s="287">
        <f t="shared" si="130"/>
        <v>139.13775945791818</v>
      </c>
      <c r="AO328" s="287">
        <f t="shared" si="131"/>
        <v>139.13775945791818</v>
      </c>
      <c r="AP328" s="287">
        <f t="shared" si="132"/>
        <v>3028720</v>
      </c>
      <c r="AQ328" s="287">
        <f t="shared" si="133"/>
        <v>3028720</v>
      </c>
      <c r="AR328" s="287">
        <f t="shared" si="134"/>
        <v>0</v>
      </c>
      <c r="AS328" s="289" t="e">
        <f>IF(J328='2027 Avoided Costs'!#REF!,3,5)</f>
        <v>#REF!</v>
      </c>
      <c r="AT328" s="290" cm="1">
        <f t="array" ref="AT328">IFERROR(IF($J328="Baseload",IF($O328=1,0,NPV('2027 Avoided Costs'!$D$6,_xlfn._xlws.FILTER('2027 Avoided Costs'!$C$14:$C$47,('2027 Avoided Costs'!$B$14:$B$47&gt;=$B328+1)*('2027 Avoided Costs'!$B$14:$B$47&lt;$B328+ROUND($O328,0)))))+_xlfn.XLOOKUP($B328,'2027 Avoided Costs'!$B$13:$B$47,'2027 Avoided Costs'!$C$13:$C$47),IF($O328=1,0,NPV('2027 Avoided Costs'!$D$6,_xlfn._xlws.FILTER('2027 Avoided Costs'!$E$14:$E$47,('2027 Avoided Costs'!$B$14:$B$47&gt;=$B328+1)*('2027 Avoided Costs'!$B$14:$B$47&lt;$B328+ROUND($O328,0)))))+_xlfn.XLOOKUP($B328,'2027 Avoided Costs'!$B$13:$B$47,'2027 Avoided Costs'!$E$13:$E$47))*IF($AE328&gt;0,$AE328*(1+$W328),0),0)</f>
        <v>5365580.2458254816</v>
      </c>
      <c r="AU328" s="290" cm="1">
        <f t="array" ref="AU328">IFERROR((IF($O328=1,0,NPV('2027 Avoided Costs'!$D$6,_xlfn._xlws.FILTER('2027 Avoided Costs'!$M$14:$M$47,('2027 Avoided Costs'!$B$14:$B$47&gt;=$B328+1)*('2027 Avoided Costs'!$B$14:$B$47&lt;$B328+ROUND($O328,0)))))+_xlfn.XLOOKUP($B328,'2027 Avoided Costs'!$B$13:$B$47,'2027 Avoided Costs'!$M$13:$M$47))*IF($AK328&gt;0,$AK328*(1+$W328),0),0)</f>
        <v>0</v>
      </c>
      <c r="AV328" s="291" cm="1">
        <f t="array" ref="AV328">IFERROR((IF($O328=1,0,NPV('2027 Avoided Costs'!$D$6,_xlfn._xlws.FILTER('2027 Avoided Costs'!$Q$14:$Q$47,('2027 Avoided Costs'!$B$14:$B$47&gt;=$B328+1)*('2027 Avoided Costs'!$B$14:$B$47&lt;$B328+ROUND($O328,0)))))+_xlfn.XLOOKUP($B328,'2027 Avoided Costs'!$B$13:$B$47,'2027 Avoided Costs'!$Q$13:$Q$47))*IF($AI328&gt;0,$AI328*(1+$W328),0),0)</f>
        <v>598415.96185166307</v>
      </c>
      <c r="AW328" s="291" cm="1">
        <f t="array" ref="AW328">IFERROR((IF($O328=1,0,NPV('2027 Avoided Costs'!$D$6,_xlfn._xlws.FILTER('2027 Avoided Costs'!$W$14:$W$47,('2027 Avoided Costs'!$B$14:$B$47&gt;=$B328+1)*('2027 Avoided Costs'!$B$14:$B$47&lt;$B328+ROUND($O328,0)))))+_xlfn.XLOOKUP($B328,'2027 Avoided Costs'!$B$13:$B$47,'2027 Avoided Costs'!$W$13:$W$47))*IF($AM328&gt;0,$AM328*(1+$W328),0),0)</f>
        <v>2391067.2062496329</v>
      </c>
      <c r="AX328" s="291" cm="1">
        <f t="array" ref="AX328">IFERROR((IF($O328=1,0,NPV('2027 Avoided Costs'!$D$6,_xlfn._xlws.FILTER('2027 Avoided Costs'!$AC$14:$AC$47,('2027 Avoided Costs'!$B$14:$B$47&gt;=$B328+1)*('2027 Avoided Costs'!$B$14:$B$47&lt;$B328+ROUND($O328,0)))))+_xlfn.XLOOKUP($B328,'2027 Avoided Costs'!$B$13:$B$47,'2027 Avoided Costs'!$AC$13:$AC$47))*IF($AO328&gt;0,$AO328*(1+$W328),0),0)</f>
        <v>110226.6866096678</v>
      </c>
      <c r="AY328" s="291" cm="1">
        <f t="array" ref="AY328">IFERROR((IF($O328=1,0,NPV('2027 Avoided Costs'!$D$4,_xlfn._xlws.FILTER('2027 Avoided Costs'!$I$14:$I$47,('2027 Avoided Costs'!$B$14:$B$47&gt;=$B328+1)*('2027 Avoided Costs'!$B$14:$B$47&lt;$B328+ROUND($O328,0)))))+_xlfn.XLOOKUP($B328,'2027 Avoided Costs'!$B$13:$B$47,'2027 Avoided Costs'!$I$13:$I$47))*IF($X328="Residential",'2027 Avoided Costs'!$J$5,IF($X328="Large Volume",'2027 Avoided Costs'!$J$7,'2027 Avoided Costs'!$J$6))*IF($AE328&gt;0,$AE328,0),0)</f>
        <v>0</v>
      </c>
      <c r="AZ328" s="291" cm="1">
        <f t="array" ref="AZ328">IFERROR(IF($J328="Baseload",IF($O328=1,0,NPV('2027 Avoided Costs'!$D$6,_xlfn._xlws.FILTER('2027 Avoided Costs'!$C$14:$C$47,('2027 Avoided Costs'!$B$14:$B$47&gt;=$B328+1)*('2027 Avoided Costs'!$B$14:$B$47&lt;$B328+ROUND($O328,0)))))+_xlfn.XLOOKUP($B328,'2027 Avoided Costs'!$B$13:$B$47,'2027 Avoided Costs'!$C$13:$C$47),IF($O328=1,0,NPV('2027 Avoided Costs'!$D$6,_xlfn._xlws.FILTER('2027 Avoided Costs'!$E$14:$E$47,('2027 Avoided Costs'!$B$14:$B$47&gt;=$B328+1)*('2027 Avoided Costs'!$B$14:$B$47&lt;$B328+ROUND($O328,0)))))+_xlfn.XLOOKUP($B328,'2027 Avoided Costs'!$B$13:$B$47,'2027 Avoided Costs'!$E$13:$E$47))*IF($AE328&lt;0,$AE328*(-1),0),0)</f>
        <v>0</v>
      </c>
      <c r="BA328" s="291" cm="1">
        <f t="array" ref="BA328">IFERROR((IF($O328=1,0,NPV('2027 Avoided Costs'!$D$6,_xlfn._xlws.FILTER('2027 Avoided Costs'!$M$14:$M$47,('2027 Avoided Costs'!$B$14:$B$47&gt;=$B328+1)*('2027 Avoided Costs'!$B$14:$B$47&lt;$B328+ROUND($O328,0)))))+_xlfn.XLOOKUP($B328,'2027 Avoided Costs'!$B$13:$B$47,'2027 Avoided Costs'!$M$13:$M$47))*IF($AK328&lt;0,$AK328*(-1),0),0)</f>
        <v>0</v>
      </c>
      <c r="BB328" s="291" cm="1">
        <f t="array" ref="BB328">IFERROR((IF($O328=1,0,NPV('2027 Avoided Costs'!$D$6,_xlfn._xlws.FILTER('2027 Avoided Costs'!$S$14:$S$47,('2027 Avoided Costs'!$B$14:$B$47&gt;=$B328+1)*('2027 Avoided Costs'!$B$14:$B$47&lt;$B328+ROUND($O328,0)))))+_xlfn.XLOOKUP($B328,'2027 Avoided Costs'!$B$13:$B$47,'2027 Avoided Costs'!$S$13:$S$47))*IF($AI328&lt;0,$AI328*(-1),0),0)</f>
        <v>0</v>
      </c>
      <c r="BC328" s="291" cm="1">
        <f t="array" ref="BC328">IFERROR((IF($O328=1,0,NPV('2027 Avoided Costs'!$D$6,_xlfn._xlws.FILTER('2027 Avoided Costs'!$Y$14:$Y$47,('2027 Avoided Costs'!$B$14:$B$47&gt;=$B328+1)*('2027 Avoided Costs'!$B$14:$B$47&lt;$B328+ROUND($O328,0)))))+_xlfn.XLOOKUP($B328,'2027 Avoided Costs'!$B$13:$B$47,'2027 Avoided Costs'!$Y$13:$Y$47))*IF($AM328&lt;0,$AM328*(-1),0),0)</f>
        <v>0</v>
      </c>
      <c r="BD328" s="291" cm="1">
        <f t="array" ref="BD328">IFERROR((IF($O328=1,0,NPV('2027 Avoided Costs'!$D$6,_xlfn._xlws.FILTER('2027 Avoided Costs'!$AE$14:$AE$47,('2027 Avoided Costs'!$B$14:$B$47&gt;=$B328+1)*('2027 Avoided Costs'!$B$14:$B$47&lt;$B328+ROUND($O328,0)))))+_xlfn.XLOOKUP($B328,'2027 Avoided Costs'!$B$13:$B$47,'2027 Avoided Costs'!$AE$13:$AE$47))*IF($AO328&lt;0,$AO328*(-1),0),0)</f>
        <v>0</v>
      </c>
      <c r="BE328" s="291" cm="1">
        <f t="array" ref="BE328">IFERROR((IF($O328=1,0,NPV('2027 Avoided Costs'!$D$4,_xlfn._xlws.FILTER('2027 Avoided Costs'!$I$14:$I$47,('2027 Avoided Costs'!$B$14:$B$47&gt;=$B328+1)*('2027 Avoided Costs'!$B$14:$B$47&lt;$B328+ROUND($O328,0)))))+_xlfn.XLOOKUP($B328,'2027 Avoided Costs'!$B$13:$B$47,'2027 Avoided Costs'!$I$13:$I$47))*IF($X328="Residential",'2027 Avoided Costs'!$J$5,IF($X328="Large Volume",'2027 Avoided Costs'!$J$7,'2027 Avoided Costs'!$J$6))*IF($AE328&lt;0,$AE328*(-1),0),0)</f>
        <v>0</v>
      </c>
      <c r="BF328" s="291">
        <f t="shared" si="139"/>
        <v>8465290.1005364452</v>
      </c>
      <c r="BG328" s="291">
        <f t="shared" si="140"/>
        <v>3028720</v>
      </c>
      <c r="BH328" s="291">
        <f t="shared" si="141"/>
        <v>5436570.1005364452</v>
      </c>
      <c r="BI328" s="292">
        <f t="shared" si="137"/>
        <v>2.7950058442300527</v>
      </c>
      <c r="BJ328" s="196" cm="1">
        <f t="array" ref="BJ328">IFERROR(IF($J328="Baseload",IF($O328=1,0,NPV('2027 Avoided Costs'!$D$6,_xlfn._xlws.FILTER('2027 Avoided Costs'!$C$14:$C$47,('2027 Avoided Costs'!$B$14:$B$47&gt;=$B328+1)*('2027 Avoided Costs'!$B$14:$B$47&lt;$B328+ROUND($O328,0)))))+_xlfn.XLOOKUP($B328,'2027 Avoided Costs'!$B$13:$B$47,'2027 Avoided Costs'!$C$13:$C$47),IF($O328=1,0,NPV('2027 Avoided Costs'!$D$6,_xlfn._xlws.FILTER('2027 Avoided Costs'!$E$14:$E$47,('2027 Avoided Costs'!$B$14:$B$47&gt;=$B328+1)*('2027 Avoided Costs'!$B$14:$B$47&lt;$B328+ROUND($O328,0)))))+_xlfn.XLOOKUP($B328,'2027 Avoided Costs'!$B$13:$B$47,'2027 Avoided Costs'!$E$13:$E$47))*IF($AE328&gt;0,$AE328*(1+0),0),0)</f>
        <v>4665721.9528917242</v>
      </c>
      <c r="BK328" s="293">
        <f t="shared" si="135"/>
        <v>1.3364990205633807</v>
      </c>
    </row>
    <row r="329" spans="1:63" s="56" customFormat="1" x14ac:dyDescent="0.25">
      <c r="A329" s="270" t="s">
        <v>207</v>
      </c>
      <c r="B329" s="271">
        <v>2029</v>
      </c>
      <c r="C329" s="272" t="s">
        <v>12</v>
      </c>
      <c r="D329" s="272" t="s">
        <v>21</v>
      </c>
      <c r="E329" s="272" t="s">
        <v>110</v>
      </c>
      <c r="F329" s="273">
        <v>92</v>
      </c>
      <c r="G329" s="274">
        <v>38096.1</v>
      </c>
      <c r="H329" s="275">
        <f t="shared" ref="H329:H351" si="142">IFERROR(G329/P329,0)</f>
        <v>3.15</v>
      </c>
      <c r="I329" s="274">
        <v>0</v>
      </c>
      <c r="J329" s="276" t="s">
        <v>264</v>
      </c>
      <c r="K329" s="277">
        <f t="shared" si="138"/>
        <v>1</v>
      </c>
      <c r="L329" s="278">
        <v>0</v>
      </c>
      <c r="M329" s="278">
        <v>0</v>
      </c>
      <c r="N329" s="278">
        <v>0.97609999999999997</v>
      </c>
      <c r="O329" s="279">
        <v>15</v>
      </c>
      <c r="P329" s="280">
        <v>12094</v>
      </c>
      <c r="Q329" s="281">
        <v>0</v>
      </c>
      <c r="R329" s="282">
        <v>0</v>
      </c>
      <c r="S329" s="282">
        <v>0</v>
      </c>
      <c r="T329" s="281">
        <v>0</v>
      </c>
      <c r="U329" s="283">
        <v>0</v>
      </c>
      <c r="V329" s="284">
        <v>31979</v>
      </c>
      <c r="W329" s="285">
        <v>0.15</v>
      </c>
      <c r="X329" s="286" t="s">
        <v>255</v>
      </c>
      <c r="Y329" s="287">
        <f t="shared" ref="Y329:Y351" si="143">F329</f>
        <v>92</v>
      </c>
      <c r="Z329" s="288">
        <f t="shared" ref="Z329:Z351" si="144">F329*G329</f>
        <v>3504841.1999999997</v>
      </c>
      <c r="AA329" s="288">
        <f t="shared" ref="AA329:AA351" si="145">F329*I329</f>
        <v>0</v>
      </c>
      <c r="AB329" s="288">
        <f t="shared" ref="AB329:AB351" si="146">Z329*(1+$AB$1)^($B329-2027)</f>
        <v>3646436.7844799994</v>
      </c>
      <c r="AC329" s="288">
        <f t="shared" si="136"/>
        <v>0</v>
      </c>
      <c r="AD329" s="287">
        <f t="shared" ref="AD329:AD351" si="147">IF($AD$2="Yes",P329*F329,P329*F329*N329)</f>
        <v>1086055.7127999999</v>
      </c>
      <c r="AE329" s="287">
        <f t="shared" ref="AE329:AE351" si="148">AD329*(1-L329+M329)</f>
        <v>1086055.7127999999</v>
      </c>
      <c r="AF329" s="287">
        <f t="shared" ref="AF329:AF351" si="149">AD329*O329</f>
        <v>16290835.691999998</v>
      </c>
      <c r="AG329" s="287">
        <f t="shared" ref="AG329:AG351" si="150">AE329*O329</f>
        <v>16290835.691999998</v>
      </c>
      <c r="AH329" s="287">
        <f t="shared" ref="AH329:AH351" si="151">$Q329*N329*$F329*1.072</f>
        <v>0</v>
      </c>
      <c r="AI329" s="287">
        <f t="shared" ref="AI329:AI351" si="152">$Q329*(1-L329+$M329)*N329*$F329*1.072</f>
        <v>0</v>
      </c>
      <c r="AJ329" s="287">
        <f t="shared" ref="AJ329:AJ351" si="153">$T329*N329*$F329</f>
        <v>0</v>
      </c>
      <c r="AK329" s="287">
        <f t="shared" ref="AK329:AK351" si="154">$T329*(1-L329+$M329)*N329*$F329</f>
        <v>0</v>
      </c>
      <c r="AL329" s="287">
        <f t="shared" ref="AL329:AL351" si="155">R329*N329*$F329*1.072</f>
        <v>0</v>
      </c>
      <c r="AM329" s="287">
        <f t="shared" ref="AM329:AM351" si="156">R329*(1-L329+$M329)*N329*$F329*1.072</f>
        <v>0</v>
      </c>
      <c r="AN329" s="287">
        <f t="shared" ref="AN329:AN351" si="157">S329*N329*$F329*1.072</f>
        <v>0</v>
      </c>
      <c r="AO329" s="287">
        <f t="shared" ref="AO329:AO351" si="158">S329*(1-L329+$M329)*N329*$F329*1.072</f>
        <v>0</v>
      </c>
      <c r="AP329" s="287">
        <f t="shared" ref="AP329:AP351" si="159">V329*F329</f>
        <v>2942068</v>
      </c>
      <c r="AQ329" s="287">
        <f t="shared" ref="AQ329:AQ351" si="160">V329*F329*(1-L329+M329)</f>
        <v>2942068</v>
      </c>
      <c r="AR329" s="287">
        <f t="shared" ref="AR329:AR351" si="161">AE329*U329</f>
        <v>0</v>
      </c>
      <c r="AS329" s="289" t="e">
        <f>IF(J329='2027 Avoided Costs'!#REF!,3,5)</f>
        <v>#REF!</v>
      </c>
      <c r="AT329" s="290" cm="1">
        <f t="array" ref="AT329">IFERROR(IF($J329="Baseload",IF($O329=1,0,NPV('2027 Avoided Costs'!$D$6,_xlfn._xlws.FILTER('2027 Avoided Costs'!$C$14:$C$47,('2027 Avoided Costs'!$B$14:$B$47&gt;=$B329+1)*('2027 Avoided Costs'!$B$14:$B$47&lt;$B329+ROUND($O329,0)))))+_xlfn.XLOOKUP($B329,'2027 Avoided Costs'!$B$13:$B$47,'2027 Avoided Costs'!$C$13:$C$47),IF($O329=1,0,NPV('2027 Avoided Costs'!$D$6,_xlfn._xlws.FILTER('2027 Avoided Costs'!$E$14:$E$47,('2027 Avoided Costs'!$B$14:$B$47&gt;=$B329+1)*('2027 Avoided Costs'!$B$14:$B$47&lt;$B329+ROUND($O329,0)))))+_xlfn.XLOOKUP($B329,'2027 Avoided Costs'!$B$13:$B$47,'2027 Avoided Costs'!$E$13:$E$47))*IF($AE329&gt;0,$AE329*(1+$W329),0),0)</f>
        <v>4616879.6836943431</v>
      </c>
      <c r="AU329" s="290" cm="1">
        <f t="array" ref="AU329">IFERROR((IF($O329=1,0,NPV('2027 Avoided Costs'!$D$6,_xlfn._xlws.FILTER('2027 Avoided Costs'!$M$14:$M$47,('2027 Avoided Costs'!$B$14:$B$47&gt;=$B329+1)*('2027 Avoided Costs'!$B$14:$B$47&lt;$B329+ROUND($O329,0)))))+_xlfn.XLOOKUP($B329,'2027 Avoided Costs'!$B$13:$B$47,'2027 Avoided Costs'!$M$13:$M$47))*IF($AK329&gt;0,$AK329*(1+$W329),0),0)</f>
        <v>0</v>
      </c>
      <c r="AV329" s="291" cm="1">
        <f t="array" ref="AV329">IFERROR((IF($O329=1,0,NPV('2027 Avoided Costs'!$D$6,_xlfn._xlws.FILTER('2027 Avoided Costs'!$Q$14:$Q$47,('2027 Avoided Costs'!$B$14:$B$47&gt;=$B329+1)*('2027 Avoided Costs'!$B$14:$B$47&lt;$B329+ROUND($O329,0)))))+_xlfn.XLOOKUP($B329,'2027 Avoided Costs'!$B$13:$B$47,'2027 Avoided Costs'!$Q$13:$Q$47))*IF($AI329&gt;0,$AI329*(1+$W329),0),0)</f>
        <v>0</v>
      </c>
      <c r="AW329" s="291" cm="1">
        <f t="array" ref="AW329">IFERROR((IF($O329=1,0,NPV('2027 Avoided Costs'!$D$6,_xlfn._xlws.FILTER('2027 Avoided Costs'!$W$14:$W$47,('2027 Avoided Costs'!$B$14:$B$47&gt;=$B329+1)*('2027 Avoided Costs'!$B$14:$B$47&lt;$B329+ROUND($O329,0)))))+_xlfn.XLOOKUP($B329,'2027 Avoided Costs'!$B$13:$B$47,'2027 Avoided Costs'!$W$13:$W$47))*IF($AM329&gt;0,$AM329*(1+$W329),0),0)</f>
        <v>0</v>
      </c>
      <c r="AX329" s="291" cm="1">
        <f t="array" ref="AX329">IFERROR((IF($O329=1,0,NPV('2027 Avoided Costs'!$D$6,_xlfn._xlws.FILTER('2027 Avoided Costs'!$AC$14:$AC$47,('2027 Avoided Costs'!$B$14:$B$47&gt;=$B329+1)*('2027 Avoided Costs'!$B$14:$B$47&lt;$B329+ROUND($O329,0)))))+_xlfn.XLOOKUP($B329,'2027 Avoided Costs'!$B$13:$B$47,'2027 Avoided Costs'!$AC$13:$AC$47))*IF($AO329&gt;0,$AO329*(1+$W329),0),0)</f>
        <v>0</v>
      </c>
      <c r="AY329" s="291" cm="1">
        <f t="array" ref="AY329">IFERROR((IF($O329=1,0,NPV('2027 Avoided Costs'!$D$4,_xlfn._xlws.FILTER('2027 Avoided Costs'!$I$14:$I$47,('2027 Avoided Costs'!$B$14:$B$47&gt;=$B329+1)*('2027 Avoided Costs'!$B$14:$B$47&lt;$B329+ROUND($O329,0)))))+_xlfn.XLOOKUP($B329,'2027 Avoided Costs'!$B$13:$B$47,'2027 Avoided Costs'!$I$13:$I$47))*IF($X329="Residential",'2027 Avoided Costs'!$J$5,IF($X329="Large Volume",'2027 Avoided Costs'!$J$7,'2027 Avoided Costs'!$J$6))*IF($AE329&gt;0,$AE329,0),0)</f>
        <v>0</v>
      </c>
      <c r="AZ329" s="291" cm="1">
        <f t="array" ref="AZ329">IFERROR(IF($J329="Baseload",IF($O329=1,0,NPV('2027 Avoided Costs'!$D$6,_xlfn._xlws.FILTER('2027 Avoided Costs'!$C$14:$C$47,('2027 Avoided Costs'!$B$14:$B$47&gt;=$B329+1)*('2027 Avoided Costs'!$B$14:$B$47&lt;$B329+ROUND($O329,0)))))+_xlfn.XLOOKUP($B329,'2027 Avoided Costs'!$B$13:$B$47,'2027 Avoided Costs'!$C$13:$C$47),IF($O329=1,0,NPV('2027 Avoided Costs'!$D$6,_xlfn._xlws.FILTER('2027 Avoided Costs'!$E$14:$E$47,('2027 Avoided Costs'!$B$14:$B$47&gt;=$B329+1)*('2027 Avoided Costs'!$B$14:$B$47&lt;$B329+ROUND($O329,0)))))+_xlfn.XLOOKUP($B329,'2027 Avoided Costs'!$B$13:$B$47,'2027 Avoided Costs'!$E$13:$E$47))*IF($AE329&lt;0,$AE329*(-1),0),0)</f>
        <v>0</v>
      </c>
      <c r="BA329" s="291" cm="1">
        <f t="array" ref="BA329">IFERROR((IF($O329=1,0,NPV('2027 Avoided Costs'!$D$6,_xlfn._xlws.FILTER('2027 Avoided Costs'!$M$14:$M$47,('2027 Avoided Costs'!$B$14:$B$47&gt;=$B329+1)*('2027 Avoided Costs'!$B$14:$B$47&lt;$B329+ROUND($O329,0)))))+_xlfn.XLOOKUP($B329,'2027 Avoided Costs'!$B$13:$B$47,'2027 Avoided Costs'!$M$13:$M$47))*IF($AK329&lt;0,$AK329*(-1),0),0)</f>
        <v>0</v>
      </c>
      <c r="BB329" s="291" cm="1">
        <f t="array" ref="BB329">IFERROR((IF($O329=1,0,NPV('2027 Avoided Costs'!$D$6,_xlfn._xlws.FILTER('2027 Avoided Costs'!$S$14:$S$47,('2027 Avoided Costs'!$B$14:$B$47&gt;=$B329+1)*('2027 Avoided Costs'!$B$14:$B$47&lt;$B329+ROUND($O329,0)))))+_xlfn.XLOOKUP($B329,'2027 Avoided Costs'!$B$13:$B$47,'2027 Avoided Costs'!$S$13:$S$47))*IF($AI329&lt;0,$AI329*(-1),0),0)</f>
        <v>0</v>
      </c>
      <c r="BC329" s="291" cm="1">
        <f t="array" ref="BC329">IFERROR((IF($O329=1,0,NPV('2027 Avoided Costs'!$D$6,_xlfn._xlws.FILTER('2027 Avoided Costs'!$Y$14:$Y$47,('2027 Avoided Costs'!$B$14:$B$47&gt;=$B329+1)*('2027 Avoided Costs'!$B$14:$B$47&lt;$B329+ROUND($O329,0)))))+_xlfn.XLOOKUP($B329,'2027 Avoided Costs'!$B$13:$B$47,'2027 Avoided Costs'!$Y$13:$Y$47))*IF($AM329&lt;0,$AM329*(-1),0),0)</f>
        <v>0</v>
      </c>
      <c r="BD329" s="291" cm="1">
        <f t="array" ref="BD329">IFERROR((IF($O329=1,0,NPV('2027 Avoided Costs'!$D$6,_xlfn._xlws.FILTER('2027 Avoided Costs'!$AE$14:$AE$47,('2027 Avoided Costs'!$B$14:$B$47&gt;=$B329+1)*('2027 Avoided Costs'!$B$14:$B$47&lt;$B329+ROUND($O329,0)))))+_xlfn.XLOOKUP($B329,'2027 Avoided Costs'!$B$13:$B$47,'2027 Avoided Costs'!$AE$13:$AE$47))*IF($AO329&lt;0,$AO329*(-1),0),0)</f>
        <v>0</v>
      </c>
      <c r="BE329" s="291" cm="1">
        <f t="array" ref="BE329">IFERROR((IF($O329=1,0,NPV('2027 Avoided Costs'!$D$4,_xlfn._xlws.FILTER('2027 Avoided Costs'!$I$14:$I$47,('2027 Avoided Costs'!$B$14:$B$47&gt;=$B329+1)*('2027 Avoided Costs'!$B$14:$B$47&lt;$B329+ROUND($O329,0)))))+_xlfn.XLOOKUP($B329,'2027 Avoided Costs'!$B$13:$B$47,'2027 Avoided Costs'!$I$13:$I$47))*IF($X329="Residential",'2027 Avoided Costs'!$J$5,IF($X329="Large Volume",'2027 Avoided Costs'!$J$7,'2027 Avoided Costs'!$J$6))*IF($AE329&lt;0,$AE329*(-1),0),0)</f>
        <v>0</v>
      </c>
      <c r="BF329" s="291">
        <f t="shared" si="139"/>
        <v>4616879.6836943431</v>
      </c>
      <c r="BG329" s="291">
        <f t="shared" si="140"/>
        <v>2942068</v>
      </c>
      <c r="BH329" s="291">
        <f t="shared" si="141"/>
        <v>1674811.6836943431</v>
      </c>
      <c r="BI329" s="292">
        <f t="shared" si="137"/>
        <v>1.5692634173290159</v>
      </c>
      <c r="BJ329" s="196" cm="1">
        <f t="array" ref="BJ329">IFERROR(IF($J329="Baseload",IF($O329=1,0,NPV('2027 Avoided Costs'!$D$6,_xlfn._xlws.FILTER('2027 Avoided Costs'!$C$14:$C$47,('2027 Avoided Costs'!$B$14:$B$47&gt;=$B329+1)*('2027 Avoided Costs'!$B$14:$B$47&lt;$B329+ROUND($O329,0)))))+_xlfn.XLOOKUP($B329,'2027 Avoided Costs'!$B$13:$B$47,'2027 Avoided Costs'!$C$13:$C$47),IF($O329=1,0,NPV('2027 Avoided Costs'!$D$6,_xlfn._xlws.FILTER('2027 Avoided Costs'!$E$14:$E$47,('2027 Avoided Costs'!$B$14:$B$47&gt;=$B329+1)*('2027 Avoided Costs'!$B$14:$B$47&lt;$B329+ROUND($O329,0)))))+_xlfn.XLOOKUP($B329,'2027 Avoided Costs'!$B$13:$B$47,'2027 Avoided Costs'!$E$13:$E$47))*IF($AE329&gt;0,$AE329*(1+0),0),0)</f>
        <v>4014677.9858211675</v>
      </c>
      <c r="BK329" s="293">
        <f t="shared" ref="BK329:BK351" si="162">IFERROR(BJ329/(AB329+AC329),0)</f>
        <v>1.1009865858386685</v>
      </c>
    </row>
    <row r="330" spans="1:63" s="56" customFormat="1" x14ac:dyDescent="0.25">
      <c r="A330" s="270" t="s">
        <v>207</v>
      </c>
      <c r="B330" s="271">
        <v>2029</v>
      </c>
      <c r="C330" s="272" t="s">
        <v>12</v>
      </c>
      <c r="D330" s="272" t="s">
        <v>21</v>
      </c>
      <c r="E330" s="272" t="s">
        <v>113</v>
      </c>
      <c r="F330" s="273">
        <v>12</v>
      </c>
      <c r="G330" s="274">
        <v>6437.1580459770121</v>
      </c>
      <c r="H330" s="275">
        <f t="shared" si="142"/>
        <v>3.9982348111658461</v>
      </c>
      <c r="I330" s="274">
        <v>0</v>
      </c>
      <c r="J330" s="276" t="s">
        <v>263</v>
      </c>
      <c r="K330" s="277">
        <f t="shared" si="138"/>
        <v>1</v>
      </c>
      <c r="L330" s="294">
        <v>0</v>
      </c>
      <c r="M330" s="294">
        <v>0</v>
      </c>
      <c r="N330" s="294">
        <v>1</v>
      </c>
      <c r="O330" s="279">
        <v>15</v>
      </c>
      <c r="P330" s="280">
        <v>1610</v>
      </c>
      <c r="Q330" s="295">
        <v>0</v>
      </c>
      <c r="R330" s="296">
        <v>0</v>
      </c>
      <c r="S330" s="296">
        <v>0</v>
      </c>
      <c r="T330" s="295">
        <v>0</v>
      </c>
      <c r="U330" s="297">
        <v>0</v>
      </c>
      <c r="V330" s="284">
        <v>6890</v>
      </c>
      <c r="W330" s="298">
        <v>0.15</v>
      </c>
      <c r="X330" s="299" t="s">
        <v>255</v>
      </c>
      <c r="Y330" s="300">
        <f t="shared" si="143"/>
        <v>12</v>
      </c>
      <c r="Z330" s="196">
        <f t="shared" si="144"/>
        <v>77245.896551724145</v>
      </c>
      <c r="AA330" s="196">
        <f t="shared" si="145"/>
        <v>0</v>
      </c>
      <c r="AB330" s="288">
        <f t="shared" si="146"/>
        <v>80366.630772413802</v>
      </c>
      <c r="AC330" s="288">
        <f t="shared" ref="AC330:AC351" si="163">AA330*(1+$AC$1)^($B330-2027)</f>
        <v>0</v>
      </c>
      <c r="AD330" s="287">
        <f t="shared" si="147"/>
        <v>19320</v>
      </c>
      <c r="AE330" s="287">
        <f t="shared" si="148"/>
        <v>19320</v>
      </c>
      <c r="AF330" s="287">
        <f t="shared" si="149"/>
        <v>289800</v>
      </c>
      <c r="AG330" s="287">
        <f t="shared" si="150"/>
        <v>289800</v>
      </c>
      <c r="AH330" s="300">
        <f t="shared" si="151"/>
        <v>0</v>
      </c>
      <c r="AI330" s="300">
        <f t="shared" si="152"/>
        <v>0</v>
      </c>
      <c r="AJ330" s="300">
        <f t="shared" si="153"/>
        <v>0</v>
      </c>
      <c r="AK330" s="300">
        <f t="shared" si="154"/>
        <v>0</v>
      </c>
      <c r="AL330" s="300">
        <f t="shared" si="155"/>
        <v>0</v>
      </c>
      <c r="AM330" s="300">
        <f t="shared" si="156"/>
        <v>0</v>
      </c>
      <c r="AN330" s="300">
        <f t="shared" si="157"/>
        <v>0</v>
      </c>
      <c r="AO330" s="300">
        <f t="shared" si="158"/>
        <v>0</v>
      </c>
      <c r="AP330" s="300">
        <f t="shared" si="159"/>
        <v>82680</v>
      </c>
      <c r="AQ330" s="300">
        <f t="shared" si="160"/>
        <v>82680</v>
      </c>
      <c r="AR330" s="300">
        <f t="shared" si="161"/>
        <v>0</v>
      </c>
      <c r="AS330" s="301" t="e">
        <f>IF(J330='2027 Avoided Costs'!#REF!,3,5)</f>
        <v>#REF!</v>
      </c>
      <c r="AT330" s="290" cm="1">
        <f t="array" ref="AT330">IFERROR(IF($J330="Baseload",IF($O330=1,0,NPV('2027 Avoided Costs'!$D$6,_xlfn._xlws.FILTER('2027 Avoided Costs'!$C$14:$C$47,('2027 Avoided Costs'!$B$14:$B$47&gt;=$B330+1)*('2027 Avoided Costs'!$B$14:$B$47&lt;$B330+ROUND($O330,0)))))+_xlfn.XLOOKUP($B330,'2027 Avoided Costs'!$B$13:$B$47,'2027 Avoided Costs'!$C$13:$C$47),IF($O330=1,0,NPV('2027 Avoided Costs'!$D$6,_xlfn._xlws.FILTER('2027 Avoided Costs'!$E$14:$E$47,('2027 Avoided Costs'!$B$14:$B$47&gt;=$B330+1)*('2027 Avoided Costs'!$B$14:$B$47&lt;$B330+ROUND($O330,0)))))+_xlfn.XLOOKUP($B330,'2027 Avoided Costs'!$B$13:$B$47,'2027 Avoided Costs'!$E$13:$E$47))*IF($AE330&gt;0,$AE330*(1+$W330),0),0)</f>
        <v>73361.122586722951</v>
      </c>
      <c r="AU330" s="290" cm="1">
        <f t="array" ref="AU330">IFERROR((IF($O330=1,0,NPV('2027 Avoided Costs'!$D$6,_xlfn._xlws.FILTER('2027 Avoided Costs'!$M$14:$M$47,('2027 Avoided Costs'!$B$14:$B$47&gt;=$B330+1)*('2027 Avoided Costs'!$B$14:$B$47&lt;$B330+ROUND($O330,0)))))+_xlfn.XLOOKUP($B330,'2027 Avoided Costs'!$B$13:$B$47,'2027 Avoided Costs'!$M$13:$M$47))*IF($AK330&gt;0,$AK330*(1+$W330),0),0)</f>
        <v>0</v>
      </c>
      <c r="AV330" s="291" cm="1">
        <f t="array" ref="AV330">IFERROR((IF($O330=1,0,NPV('2027 Avoided Costs'!$D$6,_xlfn._xlws.FILTER('2027 Avoided Costs'!$Q$14:$Q$47,('2027 Avoided Costs'!$B$14:$B$47&gt;=$B330+1)*('2027 Avoided Costs'!$B$14:$B$47&lt;$B330+ROUND($O330,0)))))+_xlfn.XLOOKUP($B330,'2027 Avoided Costs'!$B$13:$B$47,'2027 Avoided Costs'!$Q$13:$Q$47))*IF($AI330&gt;0,$AI330*(1+$W330),0),0)</f>
        <v>0</v>
      </c>
      <c r="AW330" s="291" cm="1">
        <f t="array" ref="AW330">IFERROR((IF($O330=1,0,NPV('2027 Avoided Costs'!$D$6,_xlfn._xlws.FILTER('2027 Avoided Costs'!$W$14:$W$47,('2027 Avoided Costs'!$B$14:$B$47&gt;=$B330+1)*('2027 Avoided Costs'!$B$14:$B$47&lt;$B330+ROUND($O330,0)))))+_xlfn.XLOOKUP($B330,'2027 Avoided Costs'!$B$13:$B$47,'2027 Avoided Costs'!$W$13:$W$47))*IF($AM330&gt;0,$AM330*(1+$W330),0),0)</f>
        <v>0</v>
      </c>
      <c r="AX330" s="291" cm="1">
        <f t="array" ref="AX330">IFERROR((IF($O330=1,0,NPV('2027 Avoided Costs'!$D$6,_xlfn._xlws.FILTER('2027 Avoided Costs'!$AC$14:$AC$47,('2027 Avoided Costs'!$B$14:$B$47&gt;=$B330+1)*('2027 Avoided Costs'!$B$14:$B$47&lt;$B330+ROUND($O330,0)))))+_xlfn.XLOOKUP($B330,'2027 Avoided Costs'!$B$13:$B$47,'2027 Avoided Costs'!$AC$13:$AC$47))*IF($AO330&gt;0,$AO330*(1+$W330),0),0)</f>
        <v>0</v>
      </c>
      <c r="AY330" s="291" cm="1">
        <f t="array" ref="AY330">IFERROR((IF($O330=1,0,NPV('2027 Avoided Costs'!$D$4,_xlfn._xlws.FILTER('2027 Avoided Costs'!$I$14:$I$47,('2027 Avoided Costs'!$B$14:$B$47&gt;=$B330+1)*('2027 Avoided Costs'!$B$14:$B$47&lt;$B330+ROUND($O330,0)))))+_xlfn.XLOOKUP($B330,'2027 Avoided Costs'!$B$13:$B$47,'2027 Avoided Costs'!$I$13:$I$47))*IF($X330="Residential",'2027 Avoided Costs'!$J$5,IF($X330="Large Volume",'2027 Avoided Costs'!$J$7,'2027 Avoided Costs'!$J$6))*IF($AE330&gt;0,$AE330,0),0)</f>
        <v>0</v>
      </c>
      <c r="AZ330" s="291" cm="1">
        <f t="array" ref="AZ330">IFERROR(IF($J330="Baseload",IF($O330=1,0,NPV('2027 Avoided Costs'!$D$6,_xlfn._xlws.FILTER('2027 Avoided Costs'!$C$14:$C$47,('2027 Avoided Costs'!$B$14:$B$47&gt;=$B330+1)*('2027 Avoided Costs'!$B$14:$B$47&lt;$B330+ROUND($O330,0)))))+_xlfn.XLOOKUP($B330,'2027 Avoided Costs'!$B$13:$B$47,'2027 Avoided Costs'!$C$13:$C$47),IF($O330=1,0,NPV('2027 Avoided Costs'!$D$6,_xlfn._xlws.FILTER('2027 Avoided Costs'!$E$14:$E$47,('2027 Avoided Costs'!$B$14:$B$47&gt;=$B330+1)*('2027 Avoided Costs'!$B$14:$B$47&lt;$B330+ROUND($O330,0)))))+_xlfn.XLOOKUP($B330,'2027 Avoided Costs'!$B$13:$B$47,'2027 Avoided Costs'!$E$13:$E$47))*IF($AE330&lt;0,$AE330*(-1),0),0)</f>
        <v>0</v>
      </c>
      <c r="BA330" s="291" cm="1">
        <f t="array" ref="BA330">IFERROR((IF($O330=1,0,NPV('2027 Avoided Costs'!$D$6,_xlfn._xlws.FILTER('2027 Avoided Costs'!$M$14:$M$47,('2027 Avoided Costs'!$B$14:$B$47&gt;=$B330+1)*('2027 Avoided Costs'!$B$14:$B$47&lt;$B330+ROUND($O330,0)))))+_xlfn.XLOOKUP($B330,'2027 Avoided Costs'!$B$13:$B$47,'2027 Avoided Costs'!$M$13:$M$47))*IF($AK330&lt;0,$AK330*(-1),0),0)</f>
        <v>0</v>
      </c>
      <c r="BB330" s="291" cm="1">
        <f t="array" ref="BB330">IFERROR((IF($O330=1,0,NPV('2027 Avoided Costs'!$D$6,_xlfn._xlws.FILTER('2027 Avoided Costs'!$S$14:$S$47,('2027 Avoided Costs'!$B$14:$B$47&gt;=$B330+1)*('2027 Avoided Costs'!$B$14:$B$47&lt;$B330+ROUND($O330,0)))))+_xlfn.XLOOKUP($B330,'2027 Avoided Costs'!$B$13:$B$47,'2027 Avoided Costs'!$S$13:$S$47))*IF($AI330&lt;0,$AI330*(-1),0),0)</f>
        <v>0</v>
      </c>
      <c r="BC330" s="291" cm="1">
        <f t="array" ref="BC330">IFERROR((IF($O330=1,0,NPV('2027 Avoided Costs'!$D$6,_xlfn._xlws.FILTER('2027 Avoided Costs'!$Y$14:$Y$47,('2027 Avoided Costs'!$B$14:$B$47&gt;=$B330+1)*('2027 Avoided Costs'!$B$14:$B$47&lt;$B330+ROUND($O330,0)))))+_xlfn.XLOOKUP($B330,'2027 Avoided Costs'!$B$13:$B$47,'2027 Avoided Costs'!$Y$13:$Y$47))*IF($AM330&lt;0,$AM330*(-1),0),0)</f>
        <v>0</v>
      </c>
      <c r="BD330" s="291" cm="1">
        <f t="array" ref="BD330">IFERROR((IF($O330=1,0,NPV('2027 Avoided Costs'!$D$6,_xlfn._xlws.FILTER('2027 Avoided Costs'!$AE$14:$AE$47,('2027 Avoided Costs'!$B$14:$B$47&gt;=$B330+1)*('2027 Avoided Costs'!$B$14:$B$47&lt;$B330+ROUND($O330,0)))))+_xlfn.XLOOKUP($B330,'2027 Avoided Costs'!$B$13:$B$47,'2027 Avoided Costs'!$AE$13:$AE$47))*IF($AO330&lt;0,$AO330*(-1),0),0)</f>
        <v>0</v>
      </c>
      <c r="BE330" s="291" cm="1">
        <f t="array" ref="BE330">IFERROR((IF($O330=1,0,NPV('2027 Avoided Costs'!$D$4,_xlfn._xlws.FILTER('2027 Avoided Costs'!$I$14:$I$47,('2027 Avoided Costs'!$B$14:$B$47&gt;=$B330+1)*('2027 Avoided Costs'!$B$14:$B$47&lt;$B330+ROUND($O330,0)))))+_xlfn.XLOOKUP($B330,'2027 Avoided Costs'!$B$13:$B$47,'2027 Avoided Costs'!$I$13:$I$47))*IF($X330="Residential",'2027 Avoided Costs'!$J$5,IF($X330="Large Volume",'2027 Avoided Costs'!$J$7,'2027 Avoided Costs'!$J$6))*IF($AE330&lt;0,$AE330*(-1),0),0)</f>
        <v>0</v>
      </c>
      <c r="BF330" s="291">
        <f t="shared" si="139"/>
        <v>73361.122586722951</v>
      </c>
      <c r="BG330" s="291">
        <f t="shared" si="140"/>
        <v>82680</v>
      </c>
      <c r="BH330" s="291">
        <f t="shared" si="141"/>
        <v>-9318.8774132770486</v>
      </c>
      <c r="BI330" s="292">
        <f t="shared" ref="BI330:BI351" si="164">IFERROR(BF330/BG330,0)</f>
        <v>0.88728982325499461</v>
      </c>
      <c r="BJ330" s="196" cm="1">
        <f t="array" ref="BJ330">IFERROR(IF($J330="Baseload",IF($O330=1,0,NPV('2027 Avoided Costs'!$D$6,_xlfn._xlws.FILTER('2027 Avoided Costs'!$C$14:$C$47,('2027 Avoided Costs'!$B$14:$B$47&gt;=$B330+1)*('2027 Avoided Costs'!$B$14:$B$47&lt;$B330+ROUND($O330,0)))))+_xlfn.XLOOKUP($B330,'2027 Avoided Costs'!$B$13:$B$47,'2027 Avoided Costs'!$C$13:$C$47),IF($O330=1,0,NPV('2027 Avoided Costs'!$D$6,_xlfn._xlws.FILTER('2027 Avoided Costs'!$E$14:$E$47,('2027 Avoided Costs'!$B$14:$B$47&gt;=$B330+1)*('2027 Avoided Costs'!$B$14:$B$47&lt;$B330+ROUND($O330,0)))))+_xlfn.XLOOKUP($B330,'2027 Avoided Costs'!$B$13:$B$47,'2027 Avoided Costs'!$E$13:$E$47))*IF($AE330&gt;0,$AE330*(1+0),0),0)</f>
        <v>63792.280510193879</v>
      </c>
      <c r="BK330" s="293">
        <f t="shared" si="162"/>
        <v>0.79376576941297949</v>
      </c>
    </row>
    <row r="331" spans="1:63" s="56" customFormat="1" x14ac:dyDescent="0.25">
      <c r="A331" s="270" t="s">
        <v>207</v>
      </c>
      <c r="B331" s="271">
        <v>2029</v>
      </c>
      <c r="C331" s="272" t="s">
        <v>12</v>
      </c>
      <c r="D331" s="272" t="s">
        <v>21</v>
      </c>
      <c r="E331" s="272" t="s">
        <v>114</v>
      </c>
      <c r="F331" s="273">
        <v>6</v>
      </c>
      <c r="G331" s="274">
        <v>4611.8641114982574</v>
      </c>
      <c r="H331" s="275">
        <f t="shared" si="142"/>
        <v>1.7595818815331008</v>
      </c>
      <c r="I331" s="274">
        <v>0</v>
      </c>
      <c r="J331" s="276" t="s">
        <v>263</v>
      </c>
      <c r="K331" s="277">
        <f t="shared" si="138"/>
        <v>1</v>
      </c>
      <c r="L331" s="278">
        <v>0</v>
      </c>
      <c r="M331" s="278">
        <v>0</v>
      </c>
      <c r="N331" s="278">
        <v>1</v>
      </c>
      <c r="O331" s="279">
        <v>15</v>
      </c>
      <c r="P331" s="280">
        <v>2621</v>
      </c>
      <c r="Q331" s="281">
        <v>-280</v>
      </c>
      <c r="R331" s="282">
        <v>0</v>
      </c>
      <c r="S331" s="282">
        <v>0</v>
      </c>
      <c r="T331" s="281">
        <v>0</v>
      </c>
      <c r="U331" s="283">
        <v>0</v>
      </c>
      <c r="V331" s="284">
        <v>6718</v>
      </c>
      <c r="W331" s="285">
        <v>0.15</v>
      </c>
      <c r="X331" s="286" t="s">
        <v>255</v>
      </c>
      <c r="Y331" s="287">
        <f t="shared" si="143"/>
        <v>6</v>
      </c>
      <c r="Z331" s="288">
        <f t="shared" si="144"/>
        <v>27671.184668989546</v>
      </c>
      <c r="AA331" s="288">
        <f t="shared" si="145"/>
        <v>0</v>
      </c>
      <c r="AB331" s="288">
        <f t="shared" si="146"/>
        <v>28789.100529616724</v>
      </c>
      <c r="AC331" s="288">
        <f t="shared" si="163"/>
        <v>0</v>
      </c>
      <c r="AD331" s="287">
        <f t="shared" si="147"/>
        <v>15726</v>
      </c>
      <c r="AE331" s="287">
        <f t="shared" si="148"/>
        <v>15726</v>
      </c>
      <c r="AF331" s="287">
        <f t="shared" si="149"/>
        <v>235890</v>
      </c>
      <c r="AG331" s="287">
        <f t="shared" si="150"/>
        <v>235890</v>
      </c>
      <c r="AH331" s="287">
        <f t="shared" si="151"/>
        <v>-1800.96</v>
      </c>
      <c r="AI331" s="287">
        <f t="shared" si="152"/>
        <v>-1800.96</v>
      </c>
      <c r="AJ331" s="287">
        <f t="shared" si="153"/>
        <v>0</v>
      </c>
      <c r="AK331" s="287">
        <f t="shared" si="154"/>
        <v>0</v>
      </c>
      <c r="AL331" s="287">
        <f t="shared" si="155"/>
        <v>0</v>
      </c>
      <c r="AM331" s="287">
        <f t="shared" si="156"/>
        <v>0</v>
      </c>
      <c r="AN331" s="287">
        <f t="shared" si="157"/>
        <v>0</v>
      </c>
      <c r="AO331" s="287">
        <f t="shared" si="158"/>
        <v>0</v>
      </c>
      <c r="AP331" s="287">
        <f t="shared" si="159"/>
        <v>40308</v>
      </c>
      <c r="AQ331" s="287">
        <f t="shared" si="160"/>
        <v>40308</v>
      </c>
      <c r="AR331" s="287">
        <f t="shared" si="161"/>
        <v>0</v>
      </c>
      <c r="AS331" s="289" t="e">
        <f>IF(J331='2027 Avoided Costs'!#REF!,3,5)</f>
        <v>#REF!</v>
      </c>
      <c r="AT331" s="290" cm="1">
        <f t="array" ref="AT331">IFERROR(IF($J331="Baseload",IF($O331=1,0,NPV('2027 Avoided Costs'!$D$6,_xlfn._xlws.FILTER('2027 Avoided Costs'!$C$14:$C$47,('2027 Avoided Costs'!$B$14:$B$47&gt;=$B331+1)*('2027 Avoided Costs'!$B$14:$B$47&lt;$B331+ROUND($O331,0)))))+_xlfn.XLOOKUP($B331,'2027 Avoided Costs'!$B$13:$B$47,'2027 Avoided Costs'!$C$13:$C$47),IF($O331=1,0,NPV('2027 Avoided Costs'!$D$6,_xlfn._xlws.FILTER('2027 Avoided Costs'!$E$14:$E$47,('2027 Avoided Costs'!$B$14:$B$47&gt;=$B331+1)*('2027 Avoided Costs'!$B$14:$B$47&lt;$B331+ROUND($O331,0)))))+_xlfn.XLOOKUP($B331,'2027 Avoided Costs'!$B$13:$B$47,'2027 Avoided Costs'!$E$13:$E$47))*IF($AE331&gt;0,$AE331*(1+$W331),0),0)</f>
        <v>59714.131149006476</v>
      </c>
      <c r="AU331" s="290" cm="1">
        <f t="array" ref="AU331">IFERROR((IF($O331=1,0,NPV('2027 Avoided Costs'!$D$6,_xlfn._xlws.FILTER('2027 Avoided Costs'!$M$14:$M$47,('2027 Avoided Costs'!$B$14:$B$47&gt;=$B331+1)*('2027 Avoided Costs'!$B$14:$B$47&lt;$B331+ROUND($O331,0)))))+_xlfn.XLOOKUP($B331,'2027 Avoided Costs'!$B$13:$B$47,'2027 Avoided Costs'!$M$13:$M$47))*IF($AK331&gt;0,$AK331*(1+$W331),0),0)</f>
        <v>0</v>
      </c>
      <c r="AV331" s="291" cm="1">
        <f t="array" ref="AV331">IFERROR((IF($O331=1,0,NPV('2027 Avoided Costs'!$D$6,_xlfn._xlws.FILTER('2027 Avoided Costs'!$Q$14:$Q$47,('2027 Avoided Costs'!$B$14:$B$47&gt;=$B331+1)*('2027 Avoided Costs'!$B$14:$B$47&lt;$B331+ROUND($O331,0)))))+_xlfn.XLOOKUP($B331,'2027 Avoided Costs'!$B$13:$B$47,'2027 Avoided Costs'!$Q$13:$Q$47))*IF($AI331&gt;0,$AI331*(1+$W331),0),0)</f>
        <v>0</v>
      </c>
      <c r="AW331" s="291" cm="1">
        <f t="array" ref="AW331">IFERROR((IF($O331=1,0,NPV('2027 Avoided Costs'!$D$6,_xlfn._xlws.FILTER('2027 Avoided Costs'!$W$14:$W$47,('2027 Avoided Costs'!$B$14:$B$47&gt;=$B331+1)*('2027 Avoided Costs'!$B$14:$B$47&lt;$B331+ROUND($O331,0)))))+_xlfn.XLOOKUP($B331,'2027 Avoided Costs'!$B$13:$B$47,'2027 Avoided Costs'!$W$13:$W$47))*IF($AM331&gt;0,$AM331*(1+$W331),0),0)</f>
        <v>0</v>
      </c>
      <c r="AX331" s="291" cm="1">
        <f t="array" ref="AX331">IFERROR((IF($O331=1,0,NPV('2027 Avoided Costs'!$D$6,_xlfn._xlws.FILTER('2027 Avoided Costs'!$AC$14:$AC$47,('2027 Avoided Costs'!$B$14:$B$47&gt;=$B331+1)*('2027 Avoided Costs'!$B$14:$B$47&lt;$B331+ROUND($O331,0)))))+_xlfn.XLOOKUP($B331,'2027 Avoided Costs'!$B$13:$B$47,'2027 Avoided Costs'!$AC$13:$AC$47))*IF($AO331&gt;0,$AO331*(1+$W331),0),0)</f>
        <v>0</v>
      </c>
      <c r="AY331" s="291" cm="1">
        <f t="array" ref="AY331">IFERROR((IF($O331=1,0,NPV('2027 Avoided Costs'!$D$4,_xlfn._xlws.FILTER('2027 Avoided Costs'!$I$14:$I$47,('2027 Avoided Costs'!$B$14:$B$47&gt;=$B331+1)*('2027 Avoided Costs'!$B$14:$B$47&lt;$B331+ROUND($O331,0)))))+_xlfn.XLOOKUP($B331,'2027 Avoided Costs'!$B$13:$B$47,'2027 Avoided Costs'!$I$13:$I$47))*IF($X331="Residential",'2027 Avoided Costs'!$J$5,IF($X331="Large Volume",'2027 Avoided Costs'!$J$7,'2027 Avoided Costs'!$J$6))*IF($AE331&gt;0,$AE331,0),0)</f>
        <v>0</v>
      </c>
      <c r="AZ331" s="291" cm="1">
        <f t="array" ref="AZ331">IFERROR(IF($J331="Baseload",IF($O331=1,0,NPV('2027 Avoided Costs'!$D$6,_xlfn._xlws.FILTER('2027 Avoided Costs'!$C$14:$C$47,('2027 Avoided Costs'!$B$14:$B$47&gt;=$B331+1)*('2027 Avoided Costs'!$B$14:$B$47&lt;$B331+ROUND($O331,0)))))+_xlfn.XLOOKUP($B331,'2027 Avoided Costs'!$B$13:$B$47,'2027 Avoided Costs'!$C$13:$C$47),IF($O331=1,0,NPV('2027 Avoided Costs'!$D$6,_xlfn._xlws.FILTER('2027 Avoided Costs'!$E$14:$E$47,('2027 Avoided Costs'!$B$14:$B$47&gt;=$B331+1)*('2027 Avoided Costs'!$B$14:$B$47&lt;$B331+ROUND($O331,0)))))+_xlfn.XLOOKUP($B331,'2027 Avoided Costs'!$B$13:$B$47,'2027 Avoided Costs'!$E$13:$E$47))*IF($AE331&lt;0,$AE331*(-1),0),0)</f>
        <v>0</v>
      </c>
      <c r="BA331" s="291" cm="1">
        <f t="array" ref="BA331">IFERROR((IF($O331=1,0,NPV('2027 Avoided Costs'!$D$6,_xlfn._xlws.FILTER('2027 Avoided Costs'!$M$14:$M$47,('2027 Avoided Costs'!$B$14:$B$47&gt;=$B331+1)*('2027 Avoided Costs'!$B$14:$B$47&lt;$B331+ROUND($O331,0)))))+_xlfn.XLOOKUP($B331,'2027 Avoided Costs'!$B$13:$B$47,'2027 Avoided Costs'!$M$13:$M$47))*IF($AK331&lt;0,$AK331*(-1),0),0)</f>
        <v>0</v>
      </c>
      <c r="BB331" s="291" cm="1">
        <f t="array" ref="BB331">IFERROR((IF($O331=1,0,NPV('2027 Avoided Costs'!$D$6,_xlfn._xlws.FILTER('2027 Avoided Costs'!$S$14:$S$47,('2027 Avoided Costs'!$B$14:$B$47&gt;=$B331+1)*('2027 Avoided Costs'!$B$14:$B$47&lt;$B331+ROUND($O331,0)))))+_xlfn.XLOOKUP($B331,'2027 Avoided Costs'!$B$13:$B$47,'2027 Avoided Costs'!$S$13:$S$47))*IF($AI331&lt;0,$AI331*(-1),0),0)</f>
        <v>1022.5580148597285</v>
      </c>
      <c r="BC331" s="291" cm="1">
        <f t="array" ref="BC331">IFERROR((IF($O331=1,0,NPV('2027 Avoided Costs'!$D$6,_xlfn._xlws.FILTER('2027 Avoided Costs'!$Y$14:$Y$47,('2027 Avoided Costs'!$B$14:$B$47&gt;=$B331+1)*('2027 Avoided Costs'!$B$14:$B$47&lt;$B331+ROUND($O331,0)))))+_xlfn.XLOOKUP($B331,'2027 Avoided Costs'!$B$13:$B$47,'2027 Avoided Costs'!$Y$13:$Y$47))*IF($AM331&lt;0,$AM331*(-1),0),0)</f>
        <v>0</v>
      </c>
      <c r="BD331" s="291" cm="1">
        <f t="array" ref="BD331">IFERROR((IF($O331=1,0,NPV('2027 Avoided Costs'!$D$6,_xlfn._xlws.FILTER('2027 Avoided Costs'!$AE$14:$AE$47,('2027 Avoided Costs'!$B$14:$B$47&gt;=$B331+1)*('2027 Avoided Costs'!$B$14:$B$47&lt;$B331+ROUND($O331,0)))))+_xlfn.XLOOKUP($B331,'2027 Avoided Costs'!$B$13:$B$47,'2027 Avoided Costs'!$AE$13:$AE$47))*IF($AO331&lt;0,$AO331*(-1),0),0)</f>
        <v>0</v>
      </c>
      <c r="BE331" s="291" cm="1">
        <f t="array" ref="BE331">IFERROR((IF($O331=1,0,NPV('2027 Avoided Costs'!$D$4,_xlfn._xlws.FILTER('2027 Avoided Costs'!$I$14:$I$47,('2027 Avoided Costs'!$B$14:$B$47&gt;=$B331+1)*('2027 Avoided Costs'!$B$14:$B$47&lt;$B331+ROUND($O331,0)))))+_xlfn.XLOOKUP($B331,'2027 Avoided Costs'!$B$13:$B$47,'2027 Avoided Costs'!$I$13:$I$47))*IF($X331="Residential",'2027 Avoided Costs'!$J$5,IF($X331="Large Volume",'2027 Avoided Costs'!$J$7,'2027 Avoided Costs'!$J$6))*IF($AE331&lt;0,$AE331*(-1),0),0)</f>
        <v>0</v>
      </c>
      <c r="BF331" s="291">
        <f t="shared" si="139"/>
        <v>59714.131149006476</v>
      </c>
      <c r="BG331" s="291">
        <f t="shared" si="140"/>
        <v>41330.558014859729</v>
      </c>
      <c r="BH331" s="291">
        <f t="shared" si="141"/>
        <v>18383.573134146747</v>
      </c>
      <c r="BI331" s="292">
        <f t="shared" si="164"/>
        <v>1.4447937317356623</v>
      </c>
      <c r="BJ331" s="196" cm="1">
        <f t="array" ref="BJ331">IFERROR(IF($J331="Baseload",IF($O331=1,0,NPV('2027 Avoided Costs'!$D$6,_xlfn._xlws.FILTER('2027 Avoided Costs'!$C$14:$C$47,('2027 Avoided Costs'!$B$14:$B$47&gt;=$B331+1)*('2027 Avoided Costs'!$B$14:$B$47&lt;$B331+ROUND($O331,0)))))+_xlfn.XLOOKUP($B331,'2027 Avoided Costs'!$B$13:$B$47,'2027 Avoided Costs'!$C$13:$C$47),IF($O331=1,0,NPV('2027 Avoided Costs'!$D$6,_xlfn._xlws.FILTER('2027 Avoided Costs'!$E$14:$E$47,('2027 Avoided Costs'!$B$14:$B$47&gt;=$B331+1)*('2027 Avoided Costs'!$B$14:$B$47&lt;$B331+ROUND($O331,0)))))+_xlfn.XLOOKUP($B331,'2027 Avoided Costs'!$B$13:$B$47,'2027 Avoided Costs'!$E$13:$E$47))*IF($AE331&gt;0,$AE331*(1+0),0),0)</f>
        <v>51925.331433918684</v>
      </c>
      <c r="BK331" s="293">
        <f t="shared" si="162"/>
        <v>1.8036454935610307</v>
      </c>
    </row>
    <row r="332" spans="1:63" s="56" customFormat="1" x14ac:dyDescent="0.25">
      <c r="A332" s="270" t="s">
        <v>207</v>
      </c>
      <c r="B332" s="271">
        <v>2029</v>
      </c>
      <c r="C332" s="272" t="s">
        <v>12</v>
      </c>
      <c r="D332" s="272" t="s">
        <v>21</v>
      </c>
      <c r="E332" s="272" t="s">
        <v>115</v>
      </c>
      <c r="F332" s="273">
        <v>4</v>
      </c>
      <c r="G332" s="274">
        <v>4925.6000000000004</v>
      </c>
      <c r="H332" s="275">
        <f t="shared" si="142"/>
        <v>1.9998375964271216</v>
      </c>
      <c r="I332" s="274">
        <v>0</v>
      </c>
      <c r="J332" s="276" t="s">
        <v>264</v>
      </c>
      <c r="K332" s="277">
        <f t="shared" si="138"/>
        <v>1</v>
      </c>
      <c r="L332" s="278">
        <v>0</v>
      </c>
      <c r="M332" s="278">
        <v>0</v>
      </c>
      <c r="N332" s="278">
        <v>1</v>
      </c>
      <c r="O332" s="279">
        <v>14</v>
      </c>
      <c r="P332" s="280">
        <v>2463</v>
      </c>
      <c r="Q332" s="281">
        <v>-280.95999999999998</v>
      </c>
      <c r="R332" s="282">
        <v>-0.17121387044009462</v>
      </c>
      <c r="S332" s="282">
        <v>-5.0571022186378926E-2</v>
      </c>
      <c r="T332" s="281">
        <v>0</v>
      </c>
      <c r="U332" s="283">
        <v>0</v>
      </c>
      <c r="V332" s="284">
        <v>9951</v>
      </c>
      <c r="W332" s="285">
        <v>0.15</v>
      </c>
      <c r="X332" s="286" t="s">
        <v>255</v>
      </c>
      <c r="Y332" s="287">
        <f t="shared" si="143"/>
        <v>4</v>
      </c>
      <c r="Z332" s="288">
        <f t="shared" si="144"/>
        <v>19702.400000000001</v>
      </c>
      <c r="AA332" s="288">
        <f t="shared" si="145"/>
        <v>0</v>
      </c>
      <c r="AB332" s="288">
        <f t="shared" si="146"/>
        <v>20498.376960000001</v>
      </c>
      <c r="AC332" s="288">
        <f t="shared" si="163"/>
        <v>0</v>
      </c>
      <c r="AD332" s="287">
        <f t="shared" si="147"/>
        <v>9852</v>
      </c>
      <c r="AE332" s="287">
        <f t="shared" si="148"/>
        <v>9852</v>
      </c>
      <c r="AF332" s="287">
        <f t="shared" si="149"/>
        <v>137928</v>
      </c>
      <c r="AG332" s="287">
        <f t="shared" si="150"/>
        <v>137928</v>
      </c>
      <c r="AH332" s="287">
        <f t="shared" si="151"/>
        <v>-1204.75648</v>
      </c>
      <c r="AI332" s="287">
        <f t="shared" si="152"/>
        <v>-1204.75648</v>
      </c>
      <c r="AJ332" s="287">
        <f t="shared" si="153"/>
        <v>0</v>
      </c>
      <c r="AK332" s="287">
        <f t="shared" si="154"/>
        <v>0</v>
      </c>
      <c r="AL332" s="287">
        <f t="shared" si="155"/>
        <v>-0.73416507644712581</v>
      </c>
      <c r="AM332" s="287">
        <f t="shared" si="156"/>
        <v>-0.73416507644712581</v>
      </c>
      <c r="AN332" s="287">
        <f t="shared" si="157"/>
        <v>-0.21684854313519286</v>
      </c>
      <c r="AO332" s="287">
        <f t="shared" si="158"/>
        <v>-0.21684854313519286</v>
      </c>
      <c r="AP332" s="287">
        <f t="shared" si="159"/>
        <v>39804</v>
      </c>
      <c r="AQ332" s="287">
        <f t="shared" si="160"/>
        <v>39804</v>
      </c>
      <c r="AR332" s="287">
        <f t="shared" si="161"/>
        <v>0</v>
      </c>
      <c r="AS332" s="289" t="e">
        <f>IF(J332='2027 Avoided Costs'!#REF!,3,5)</f>
        <v>#REF!</v>
      </c>
      <c r="AT332" s="290" cm="1">
        <f t="array" ref="AT332">IFERROR(IF($J332="Baseload",IF($O332=1,0,NPV('2027 Avoided Costs'!$D$6,_xlfn._xlws.FILTER('2027 Avoided Costs'!$C$14:$C$47,('2027 Avoided Costs'!$B$14:$B$47&gt;=$B332+1)*('2027 Avoided Costs'!$B$14:$B$47&lt;$B332+ROUND($O332,0)))))+_xlfn.XLOOKUP($B332,'2027 Avoided Costs'!$B$13:$B$47,'2027 Avoided Costs'!$C$13:$C$47),IF($O332=1,0,NPV('2027 Avoided Costs'!$D$6,_xlfn._xlws.FILTER('2027 Avoided Costs'!$E$14:$E$47,('2027 Avoided Costs'!$B$14:$B$47&gt;=$B332+1)*('2027 Avoided Costs'!$B$14:$B$47&lt;$B332+ROUND($O332,0)))))+_xlfn.XLOOKUP($B332,'2027 Avoided Costs'!$B$13:$B$47,'2027 Avoided Costs'!$E$13:$E$47))*IF($AE332&gt;0,$AE332*(1+$W332),0),0)</f>
        <v>39621.778284932152</v>
      </c>
      <c r="AU332" s="290" cm="1">
        <f t="array" ref="AU332">IFERROR((IF($O332=1,0,NPV('2027 Avoided Costs'!$D$6,_xlfn._xlws.FILTER('2027 Avoided Costs'!$M$14:$M$47,('2027 Avoided Costs'!$B$14:$B$47&gt;=$B332+1)*('2027 Avoided Costs'!$B$14:$B$47&lt;$B332+ROUND($O332,0)))))+_xlfn.XLOOKUP($B332,'2027 Avoided Costs'!$B$13:$B$47,'2027 Avoided Costs'!$M$13:$M$47))*IF($AK332&gt;0,$AK332*(1+$W332),0),0)</f>
        <v>0</v>
      </c>
      <c r="AV332" s="291" cm="1">
        <f t="array" ref="AV332">IFERROR((IF($O332=1,0,NPV('2027 Avoided Costs'!$D$6,_xlfn._xlws.FILTER('2027 Avoided Costs'!$Q$14:$Q$47,('2027 Avoided Costs'!$B$14:$B$47&gt;=$B332+1)*('2027 Avoided Costs'!$B$14:$B$47&lt;$B332+ROUND($O332,0)))))+_xlfn.XLOOKUP($B332,'2027 Avoided Costs'!$B$13:$B$47,'2027 Avoided Costs'!$Q$13:$Q$47))*IF($AI332&gt;0,$AI332*(1+$W332),0),0)</f>
        <v>0</v>
      </c>
      <c r="AW332" s="291" cm="1">
        <f t="array" ref="AW332">IFERROR((IF($O332=1,0,NPV('2027 Avoided Costs'!$D$6,_xlfn._xlws.FILTER('2027 Avoided Costs'!$W$14:$W$47,('2027 Avoided Costs'!$B$14:$B$47&gt;=$B332+1)*('2027 Avoided Costs'!$B$14:$B$47&lt;$B332+ROUND($O332,0)))))+_xlfn.XLOOKUP($B332,'2027 Avoided Costs'!$B$13:$B$47,'2027 Avoided Costs'!$W$13:$W$47))*IF($AM332&gt;0,$AM332*(1+$W332),0),0)</f>
        <v>0</v>
      </c>
      <c r="AX332" s="291" cm="1">
        <f t="array" ref="AX332">IFERROR((IF($O332=1,0,NPV('2027 Avoided Costs'!$D$6,_xlfn._xlws.FILTER('2027 Avoided Costs'!$AC$14:$AC$47,('2027 Avoided Costs'!$B$14:$B$47&gt;=$B332+1)*('2027 Avoided Costs'!$B$14:$B$47&lt;$B332+ROUND($O332,0)))))+_xlfn.XLOOKUP($B332,'2027 Avoided Costs'!$B$13:$B$47,'2027 Avoided Costs'!$AC$13:$AC$47))*IF($AO332&gt;0,$AO332*(1+$W332),0),0)</f>
        <v>0</v>
      </c>
      <c r="AY332" s="291" cm="1">
        <f t="array" ref="AY332">IFERROR((IF($O332=1,0,NPV('2027 Avoided Costs'!$D$4,_xlfn._xlws.FILTER('2027 Avoided Costs'!$I$14:$I$47,('2027 Avoided Costs'!$B$14:$B$47&gt;=$B332+1)*('2027 Avoided Costs'!$B$14:$B$47&lt;$B332+ROUND($O332,0)))))+_xlfn.XLOOKUP($B332,'2027 Avoided Costs'!$B$13:$B$47,'2027 Avoided Costs'!$I$13:$I$47))*IF($X332="Residential",'2027 Avoided Costs'!$J$5,IF($X332="Large Volume",'2027 Avoided Costs'!$J$7,'2027 Avoided Costs'!$J$6))*IF($AE332&gt;0,$AE332,0),0)</f>
        <v>0</v>
      </c>
      <c r="AZ332" s="291" cm="1">
        <f t="array" ref="AZ332">IFERROR(IF($J332="Baseload",IF($O332=1,0,NPV('2027 Avoided Costs'!$D$6,_xlfn._xlws.FILTER('2027 Avoided Costs'!$C$14:$C$47,('2027 Avoided Costs'!$B$14:$B$47&gt;=$B332+1)*('2027 Avoided Costs'!$B$14:$B$47&lt;$B332+ROUND($O332,0)))))+_xlfn.XLOOKUP($B332,'2027 Avoided Costs'!$B$13:$B$47,'2027 Avoided Costs'!$C$13:$C$47),IF($O332=1,0,NPV('2027 Avoided Costs'!$D$6,_xlfn._xlws.FILTER('2027 Avoided Costs'!$E$14:$E$47,('2027 Avoided Costs'!$B$14:$B$47&gt;=$B332+1)*('2027 Avoided Costs'!$B$14:$B$47&lt;$B332+ROUND($O332,0)))))+_xlfn.XLOOKUP($B332,'2027 Avoided Costs'!$B$13:$B$47,'2027 Avoided Costs'!$E$13:$E$47))*IF($AE332&lt;0,$AE332*(-1),0),0)</f>
        <v>0</v>
      </c>
      <c r="BA332" s="291" cm="1">
        <f t="array" ref="BA332">IFERROR((IF($O332=1,0,NPV('2027 Avoided Costs'!$D$6,_xlfn._xlws.FILTER('2027 Avoided Costs'!$M$14:$M$47,('2027 Avoided Costs'!$B$14:$B$47&gt;=$B332+1)*('2027 Avoided Costs'!$B$14:$B$47&lt;$B332+ROUND($O332,0)))))+_xlfn.XLOOKUP($B332,'2027 Avoided Costs'!$B$13:$B$47,'2027 Avoided Costs'!$M$13:$M$47))*IF($AK332&lt;0,$AK332*(-1),0),0)</f>
        <v>0</v>
      </c>
      <c r="BB332" s="291" cm="1">
        <f t="array" ref="BB332">IFERROR((IF($O332=1,0,NPV('2027 Avoided Costs'!$D$6,_xlfn._xlws.FILTER('2027 Avoided Costs'!$S$14:$S$47,('2027 Avoided Costs'!$B$14:$B$47&gt;=$B332+1)*('2027 Avoided Costs'!$B$14:$B$47&lt;$B332+ROUND($O332,0)))))+_xlfn.XLOOKUP($B332,'2027 Avoided Costs'!$B$13:$B$47,'2027 Avoided Costs'!$S$13:$S$47))*IF($AI332&lt;0,$AI332*(-1),0),0)</f>
        <v>642.85331949424085</v>
      </c>
      <c r="BC332" s="291" cm="1">
        <f t="array" ref="BC332">IFERROR((IF($O332=1,0,NPV('2027 Avoided Costs'!$D$6,_xlfn._xlws.FILTER('2027 Avoided Costs'!$Y$14:$Y$47,('2027 Avoided Costs'!$B$14:$B$47&gt;=$B332+1)*('2027 Avoided Costs'!$B$14:$B$47&lt;$B332+ROUND($O332,0)))))+_xlfn.XLOOKUP($B332,'2027 Avoided Costs'!$B$13:$B$47,'2027 Avoided Costs'!$Y$13:$Y$47))*IF($AM332&lt;0,$AM332*(-1),0),0)</f>
        <v>2584.7255934517475</v>
      </c>
      <c r="BD332" s="291" cm="1">
        <f t="array" ref="BD332">IFERROR((IF($O332=1,0,NPV('2027 Avoided Costs'!$D$6,_xlfn._xlws.FILTER('2027 Avoided Costs'!$AE$14:$AE$47,('2027 Avoided Costs'!$B$14:$B$47&gt;=$B332+1)*('2027 Avoided Costs'!$B$14:$B$47&lt;$B332+ROUND($O332,0)))))+_xlfn.XLOOKUP($B332,'2027 Avoided Costs'!$B$13:$B$47,'2027 Avoided Costs'!$AE$13:$AE$47))*IF($AO332&lt;0,$AO332*(-1),0),0)</f>
        <v>51.810986253742648</v>
      </c>
      <c r="BE332" s="291" cm="1">
        <f t="array" ref="BE332">IFERROR((IF($O332=1,0,NPV('2027 Avoided Costs'!$D$4,_xlfn._xlws.FILTER('2027 Avoided Costs'!$I$14:$I$47,('2027 Avoided Costs'!$B$14:$B$47&gt;=$B332+1)*('2027 Avoided Costs'!$B$14:$B$47&lt;$B332+ROUND($O332,0)))))+_xlfn.XLOOKUP($B332,'2027 Avoided Costs'!$B$13:$B$47,'2027 Avoided Costs'!$I$13:$I$47))*IF($X332="Residential",'2027 Avoided Costs'!$J$5,IF($X332="Large Volume",'2027 Avoided Costs'!$J$7,'2027 Avoided Costs'!$J$6))*IF($AE332&lt;0,$AE332*(-1),0),0)</f>
        <v>0</v>
      </c>
      <c r="BF332" s="291">
        <f t="shared" si="139"/>
        <v>39621.778284932152</v>
      </c>
      <c r="BG332" s="291">
        <f t="shared" si="140"/>
        <v>43083.389899199734</v>
      </c>
      <c r="BH332" s="291">
        <f t="shared" si="141"/>
        <v>-3461.6116142675819</v>
      </c>
      <c r="BI332" s="292">
        <f t="shared" si="164"/>
        <v>0.91965322082671397</v>
      </c>
      <c r="BJ332" s="196" cm="1">
        <f t="array" ref="BJ332">IFERROR(IF($J332="Baseload",IF($O332=1,0,NPV('2027 Avoided Costs'!$D$6,_xlfn._xlws.FILTER('2027 Avoided Costs'!$C$14:$C$47,('2027 Avoided Costs'!$B$14:$B$47&gt;=$B332+1)*('2027 Avoided Costs'!$B$14:$B$47&lt;$B332+ROUND($O332,0)))))+_xlfn.XLOOKUP($B332,'2027 Avoided Costs'!$B$13:$B$47,'2027 Avoided Costs'!$C$13:$C$47),IF($O332=1,0,NPV('2027 Avoided Costs'!$D$6,_xlfn._xlws.FILTER('2027 Avoided Costs'!$E$14:$E$47,('2027 Avoided Costs'!$B$14:$B$47&gt;=$B332+1)*('2027 Avoided Costs'!$B$14:$B$47&lt;$B332+ROUND($O332,0)))))+_xlfn.XLOOKUP($B332,'2027 Avoided Costs'!$B$13:$B$47,'2027 Avoided Costs'!$E$13:$E$47))*IF($AE332&gt;0,$AE332*(1+0),0),0)</f>
        <v>34453.720247767094</v>
      </c>
      <c r="BK332" s="293">
        <f t="shared" si="162"/>
        <v>1.6808023540107193</v>
      </c>
    </row>
    <row r="333" spans="1:63" s="56" customFormat="1" x14ac:dyDescent="0.25">
      <c r="A333" s="270" t="s">
        <v>207</v>
      </c>
      <c r="B333" s="271">
        <v>2029</v>
      </c>
      <c r="C333" s="272" t="s">
        <v>12</v>
      </c>
      <c r="D333" s="272" t="s">
        <v>21</v>
      </c>
      <c r="E333" s="272" t="s">
        <v>116</v>
      </c>
      <c r="F333" s="273">
        <v>12</v>
      </c>
      <c r="G333" s="274">
        <v>2233.9219456011342</v>
      </c>
      <c r="H333" s="275">
        <f t="shared" si="142"/>
        <v>0.69788251971294413</v>
      </c>
      <c r="I333" s="274">
        <v>0</v>
      </c>
      <c r="J333" s="276" t="s">
        <v>264</v>
      </c>
      <c r="K333" s="277">
        <f t="shared" si="138"/>
        <v>1</v>
      </c>
      <c r="L333" s="278">
        <v>0</v>
      </c>
      <c r="M333" s="278">
        <v>0</v>
      </c>
      <c r="N333" s="278">
        <v>1</v>
      </c>
      <c r="O333" s="279">
        <v>20</v>
      </c>
      <c r="P333" s="280">
        <v>3201</v>
      </c>
      <c r="Q333" s="281">
        <v>5060</v>
      </c>
      <c r="R333" s="282">
        <v>1.1552511415525113</v>
      </c>
      <c r="S333" s="282">
        <v>1.1552511415525113</v>
      </c>
      <c r="T333" s="281">
        <v>0</v>
      </c>
      <c r="U333" s="283">
        <v>0</v>
      </c>
      <c r="V333" s="284">
        <v>2377</v>
      </c>
      <c r="W333" s="285">
        <v>0.15</v>
      </c>
      <c r="X333" s="286" t="s">
        <v>255</v>
      </c>
      <c r="Y333" s="287">
        <f t="shared" si="143"/>
        <v>12</v>
      </c>
      <c r="Z333" s="288">
        <f t="shared" si="144"/>
        <v>26807.063347213611</v>
      </c>
      <c r="AA333" s="288">
        <f t="shared" si="145"/>
        <v>0</v>
      </c>
      <c r="AB333" s="288">
        <f t="shared" si="146"/>
        <v>27890.068706441041</v>
      </c>
      <c r="AC333" s="288">
        <f t="shared" si="163"/>
        <v>0</v>
      </c>
      <c r="AD333" s="287">
        <f t="shared" si="147"/>
        <v>38412</v>
      </c>
      <c r="AE333" s="287">
        <f t="shared" si="148"/>
        <v>38412</v>
      </c>
      <c r="AF333" s="287">
        <f t="shared" si="149"/>
        <v>768240</v>
      </c>
      <c r="AG333" s="287">
        <f t="shared" si="150"/>
        <v>768240</v>
      </c>
      <c r="AH333" s="287">
        <f t="shared" si="151"/>
        <v>65091.840000000004</v>
      </c>
      <c r="AI333" s="287">
        <f t="shared" si="152"/>
        <v>65091.840000000004</v>
      </c>
      <c r="AJ333" s="287">
        <f t="shared" si="153"/>
        <v>0</v>
      </c>
      <c r="AK333" s="287">
        <f t="shared" si="154"/>
        <v>0</v>
      </c>
      <c r="AL333" s="287">
        <f t="shared" si="155"/>
        <v>14.861150684931506</v>
      </c>
      <c r="AM333" s="287">
        <f t="shared" si="156"/>
        <v>14.861150684931506</v>
      </c>
      <c r="AN333" s="287">
        <f t="shared" si="157"/>
        <v>14.861150684931506</v>
      </c>
      <c r="AO333" s="287">
        <f t="shared" si="158"/>
        <v>14.861150684931506</v>
      </c>
      <c r="AP333" s="287">
        <f t="shared" si="159"/>
        <v>28524</v>
      </c>
      <c r="AQ333" s="287">
        <f t="shared" si="160"/>
        <v>28524</v>
      </c>
      <c r="AR333" s="287">
        <f t="shared" si="161"/>
        <v>0</v>
      </c>
      <c r="AS333" s="289" t="e">
        <f>IF(J333='2027 Avoided Costs'!#REF!,3,5)</f>
        <v>#REF!</v>
      </c>
      <c r="AT333" s="290" cm="1">
        <f t="array" ref="AT333">IFERROR(IF($J333="Baseload",IF($O333=1,0,NPV('2027 Avoided Costs'!$D$6,_xlfn._xlws.FILTER('2027 Avoided Costs'!$C$14:$C$47,('2027 Avoided Costs'!$B$14:$B$47&gt;=$B333+1)*('2027 Avoided Costs'!$B$14:$B$47&lt;$B333+ROUND($O333,0)))))+_xlfn.XLOOKUP($B333,'2027 Avoided Costs'!$B$13:$B$47,'2027 Avoided Costs'!$C$13:$C$47),IF($O333=1,0,NPV('2027 Avoided Costs'!$D$6,_xlfn._xlws.FILTER('2027 Avoided Costs'!$E$14:$E$47,('2027 Avoided Costs'!$B$14:$B$47&gt;=$B333+1)*('2027 Avoided Costs'!$B$14:$B$47&lt;$B333+ROUND($O333,0)))))+_xlfn.XLOOKUP($B333,'2027 Avoided Costs'!$B$13:$B$47,'2027 Avoided Costs'!$E$13:$E$47))*IF($AE333&gt;0,$AE333*(1+$W333),0),0)</f>
        <v>204513.88421410377</v>
      </c>
      <c r="AU333" s="290" cm="1">
        <f t="array" ref="AU333">IFERROR((IF($O333=1,0,NPV('2027 Avoided Costs'!$D$6,_xlfn._xlws.FILTER('2027 Avoided Costs'!$M$14:$M$47,('2027 Avoided Costs'!$B$14:$B$47&gt;=$B333+1)*('2027 Avoided Costs'!$B$14:$B$47&lt;$B333+ROUND($O333,0)))))+_xlfn.XLOOKUP($B333,'2027 Avoided Costs'!$B$13:$B$47,'2027 Avoided Costs'!$M$13:$M$47))*IF($AK333&gt;0,$AK333*(1+$W333),0),0)</f>
        <v>0</v>
      </c>
      <c r="AV333" s="291" cm="1">
        <f t="array" ref="AV333">IFERROR((IF($O333=1,0,NPV('2027 Avoided Costs'!$D$6,_xlfn._xlws.FILTER('2027 Avoided Costs'!$Q$14:$Q$47,('2027 Avoided Costs'!$B$14:$B$47&gt;=$B333+1)*('2027 Avoided Costs'!$B$14:$B$47&lt;$B333+ROUND($O333,0)))))+_xlfn.XLOOKUP($B333,'2027 Avoided Costs'!$B$13:$B$47,'2027 Avoided Costs'!$Q$13:$Q$47))*IF($AI333&gt;0,$AI333*(1+$W333),0),0)</f>
        <v>50389.7205240033</v>
      </c>
      <c r="AW333" s="291" cm="1">
        <f t="array" ref="AW333">IFERROR((IF($O333=1,0,NPV('2027 Avoided Costs'!$D$6,_xlfn._xlws.FILTER('2027 Avoided Costs'!$W$14:$W$47,('2027 Avoided Costs'!$B$14:$B$47&gt;=$B333+1)*('2027 Avoided Costs'!$B$14:$B$47&lt;$B333+ROUND($O333,0)))))+_xlfn.XLOOKUP($B333,'2027 Avoided Costs'!$B$13:$B$47,'2027 Avoided Costs'!$W$13:$W$47))*IF($AM333&gt;0,$AM333*(1+$W333),0),0)</f>
        <v>75433.108067403387</v>
      </c>
      <c r="AX333" s="291" cm="1">
        <f t="array" ref="AX333">IFERROR((IF($O333=1,0,NPV('2027 Avoided Costs'!$D$6,_xlfn._xlws.FILTER('2027 Avoided Costs'!$AC$14:$AC$47,('2027 Avoided Costs'!$B$14:$B$47&gt;=$B333+1)*('2027 Avoided Costs'!$B$14:$B$47&lt;$B333+ROUND($O333,0)))))+_xlfn.XLOOKUP($B333,'2027 Avoided Costs'!$B$13:$B$47,'2027 Avoided Costs'!$AC$13:$AC$47))*IF($AO333&gt;0,$AO333*(1+$W333),0),0)</f>
        <v>11773.190869171875</v>
      </c>
      <c r="AY333" s="291" cm="1">
        <f t="array" ref="AY333">IFERROR((IF($O333=1,0,NPV('2027 Avoided Costs'!$D$4,_xlfn._xlws.FILTER('2027 Avoided Costs'!$I$14:$I$47,('2027 Avoided Costs'!$B$14:$B$47&gt;=$B333+1)*('2027 Avoided Costs'!$B$14:$B$47&lt;$B333+ROUND($O333,0)))))+_xlfn.XLOOKUP($B333,'2027 Avoided Costs'!$B$13:$B$47,'2027 Avoided Costs'!$I$13:$I$47))*IF($X333="Residential",'2027 Avoided Costs'!$J$5,IF($X333="Large Volume",'2027 Avoided Costs'!$J$7,'2027 Avoided Costs'!$J$6))*IF($AE333&gt;0,$AE333,0),0)</f>
        <v>0</v>
      </c>
      <c r="AZ333" s="291" cm="1">
        <f t="array" ref="AZ333">IFERROR(IF($J333="Baseload",IF($O333=1,0,NPV('2027 Avoided Costs'!$D$6,_xlfn._xlws.FILTER('2027 Avoided Costs'!$C$14:$C$47,('2027 Avoided Costs'!$B$14:$B$47&gt;=$B333+1)*('2027 Avoided Costs'!$B$14:$B$47&lt;$B333+ROUND($O333,0)))))+_xlfn.XLOOKUP($B333,'2027 Avoided Costs'!$B$13:$B$47,'2027 Avoided Costs'!$C$13:$C$47),IF($O333=1,0,NPV('2027 Avoided Costs'!$D$6,_xlfn._xlws.FILTER('2027 Avoided Costs'!$E$14:$E$47,('2027 Avoided Costs'!$B$14:$B$47&gt;=$B333+1)*('2027 Avoided Costs'!$B$14:$B$47&lt;$B333+ROUND($O333,0)))))+_xlfn.XLOOKUP($B333,'2027 Avoided Costs'!$B$13:$B$47,'2027 Avoided Costs'!$E$13:$E$47))*IF($AE333&lt;0,$AE333*(-1),0),0)</f>
        <v>0</v>
      </c>
      <c r="BA333" s="291" cm="1">
        <f t="array" ref="BA333">IFERROR((IF($O333=1,0,NPV('2027 Avoided Costs'!$D$6,_xlfn._xlws.FILTER('2027 Avoided Costs'!$M$14:$M$47,('2027 Avoided Costs'!$B$14:$B$47&gt;=$B333+1)*('2027 Avoided Costs'!$B$14:$B$47&lt;$B333+ROUND($O333,0)))))+_xlfn.XLOOKUP($B333,'2027 Avoided Costs'!$B$13:$B$47,'2027 Avoided Costs'!$M$13:$M$47))*IF($AK333&lt;0,$AK333*(-1),0),0)</f>
        <v>0</v>
      </c>
      <c r="BB333" s="291" cm="1">
        <f t="array" ref="BB333">IFERROR((IF($O333=1,0,NPV('2027 Avoided Costs'!$D$6,_xlfn._xlws.FILTER('2027 Avoided Costs'!$S$14:$S$47,('2027 Avoided Costs'!$B$14:$B$47&gt;=$B333+1)*('2027 Avoided Costs'!$B$14:$B$47&lt;$B333+ROUND($O333,0)))))+_xlfn.XLOOKUP($B333,'2027 Avoided Costs'!$B$13:$B$47,'2027 Avoided Costs'!$S$13:$S$47))*IF($AI333&lt;0,$AI333*(-1),0),0)</f>
        <v>0</v>
      </c>
      <c r="BC333" s="291" cm="1">
        <f t="array" ref="BC333">IFERROR((IF($O333=1,0,NPV('2027 Avoided Costs'!$D$6,_xlfn._xlws.FILTER('2027 Avoided Costs'!$Y$14:$Y$47,('2027 Avoided Costs'!$B$14:$B$47&gt;=$B333+1)*('2027 Avoided Costs'!$B$14:$B$47&lt;$B333+ROUND($O333,0)))))+_xlfn.XLOOKUP($B333,'2027 Avoided Costs'!$B$13:$B$47,'2027 Avoided Costs'!$Y$13:$Y$47))*IF($AM333&lt;0,$AM333*(-1),0),0)</f>
        <v>0</v>
      </c>
      <c r="BD333" s="291" cm="1">
        <f t="array" ref="BD333">IFERROR((IF($O333=1,0,NPV('2027 Avoided Costs'!$D$6,_xlfn._xlws.FILTER('2027 Avoided Costs'!$AE$14:$AE$47,('2027 Avoided Costs'!$B$14:$B$47&gt;=$B333+1)*('2027 Avoided Costs'!$B$14:$B$47&lt;$B333+ROUND($O333,0)))))+_xlfn.XLOOKUP($B333,'2027 Avoided Costs'!$B$13:$B$47,'2027 Avoided Costs'!$AE$13:$AE$47))*IF($AO333&lt;0,$AO333*(-1),0),0)</f>
        <v>0</v>
      </c>
      <c r="BE333" s="291" cm="1">
        <f t="array" ref="BE333">IFERROR((IF($O333=1,0,NPV('2027 Avoided Costs'!$D$4,_xlfn._xlws.FILTER('2027 Avoided Costs'!$I$14:$I$47,('2027 Avoided Costs'!$B$14:$B$47&gt;=$B333+1)*('2027 Avoided Costs'!$B$14:$B$47&lt;$B333+ROUND($O333,0)))))+_xlfn.XLOOKUP($B333,'2027 Avoided Costs'!$B$13:$B$47,'2027 Avoided Costs'!$I$13:$I$47))*IF($X333="Residential",'2027 Avoided Costs'!$J$5,IF($X333="Large Volume",'2027 Avoided Costs'!$J$7,'2027 Avoided Costs'!$J$6))*IF($AE333&lt;0,$AE333*(-1),0),0)</f>
        <v>0</v>
      </c>
      <c r="BF333" s="291">
        <f t="shared" si="139"/>
        <v>342109.90367468231</v>
      </c>
      <c r="BG333" s="291">
        <f t="shared" si="140"/>
        <v>28524</v>
      </c>
      <c r="BH333" s="291">
        <f t="shared" si="141"/>
        <v>313585.90367468231</v>
      </c>
      <c r="BI333" s="292">
        <f t="shared" si="164"/>
        <v>11.993756264012141</v>
      </c>
      <c r="BJ333" s="196" cm="1">
        <f t="array" ref="BJ333">IFERROR(IF($J333="Baseload",IF($O333=1,0,NPV('2027 Avoided Costs'!$D$6,_xlfn._xlws.FILTER('2027 Avoided Costs'!$C$14:$C$47,('2027 Avoided Costs'!$B$14:$B$47&gt;=$B333+1)*('2027 Avoided Costs'!$B$14:$B$47&lt;$B333+ROUND($O333,0)))))+_xlfn.XLOOKUP($B333,'2027 Avoided Costs'!$B$13:$B$47,'2027 Avoided Costs'!$C$13:$C$47),IF($O333=1,0,NPV('2027 Avoided Costs'!$D$6,_xlfn._xlws.FILTER('2027 Avoided Costs'!$E$14:$E$47,('2027 Avoided Costs'!$B$14:$B$47&gt;=$B333+1)*('2027 Avoided Costs'!$B$14:$B$47&lt;$B333+ROUND($O333,0)))))+_xlfn.XLOOKUP($B333,'2027 Avoided Costs'!$B$13:$B$47,'2027 Avoided Costs'!$E$13:$E$47))*IF($AE333&gt;0,$AE333*(1+0),0),0)</f>
        <v>177838.16018617724</v>
      </c>
      <c r="BK333" s="293">
        <f t="shared" si="162"/>
        <v>6.3763973498246207</v>
      </c>
    </row>
    <row r="334" spans="1:63" s="56" customFormat="1" x14ac:dyDescent="0.25">
      <c r="A334" s="270" t="s">
        <v>207</v>
      </c>
      <c r="B334" s="271">
        <v>2029</v>
      </c>
      <c r="C334" s="272" t="s">
        <v>12</v>
      </c>
      <c r="D334" s="272" t="s">
        <v>21</v>
      </c>
      <c r="E334" s="272" t="s">
        <v>111</v>
      </c>
      <c r="F334" s="273">
        <v>4</v>
      </c>
      <c r="G334" s="274">
        <v>30000</v>
      </c>
      <c r="H334" s="275">
        <f t="shared" si="142"/>
        <v>0</v>
      </c>
      <c r="I334" s="274">
        <v>0</v>
      </c>
      <c r="J334" s="276" t="s">
        <v>263</v>
      </c>
      <c r="K334" s="277">
        <f t="shared" si="138"/>
        <v>1</v>
      </c>
      <c r="L334" s="278">
        <v>0</v>
      </c>
      <c r="M334" s="278">
        <v>0</v>
      </c>
      <c r="N334" s="278">
        <v>0</v>
      </c>
      <c r="O334" s="279">
        <v>0</v>
      </c>
      <c r="P334" s="280">
        <v>0</v>
      </c>
      <c r="Q334" s="281">
        <v>0</v>
      </c>
      <c r="R334" s="282">
        <v>0</v>
      </c>
      <c r="S334" s="282">
        <v>0</v>
      </c>
      <c r="T334" s="281">
        <v>0</v>
      </c>
      <c r="U334" s="283">
        <v>0</v>
      </c>
      <c r="V334" s="284">
        <v>0</v>
      </c>
      <c r="W334" s="285">
        <v>0.15</v>
      </c>
      <c r="X334" s="286" t="s">
        <v>255</v>
      </c>
      <c r="Y334" s="287">
        <f t="shared" si="143"/>
        <v>4</v>
      </c>
      <c r="Z334" s="288">
        <f t="shared" si="144"/>
        <v>120000</v>
      </c>
      <c r="AA334" s="288">
        <f t="shared" si="145"/>
        <v>0</v>
      </c>
      <c r="AB334" s="288">
        <f t="shared" si="146"/>
        <v>124848</v>
      </c>
      <c r="AC334" s="288">
        <f t="shared" si="163"/>
        <v>0</v>
      </c>
      <c r="AD334" s="287">
        <f t="shared" si="147"/>
        <v>0</v>
      </c>
      <c r="AE334" s="287">
        <f t="shared" si="148"/>
        <v>0</v>
      </c>
      <c r="AF334" s="287">
        <f t="shared" si="149"/>
        <v>0</v>
      </c>
      <c r="AG334" s="287">
        <f t="shared" si="150"/>
        <v>0</v>
      </c>
      <c r="AH334" s="287">
        <f t="shared" si="151"/>
        <v>0</v>
      </c>
      <c r="AI334" s="287">
        <f t="shared" si="152"/>
        <v>0</v>
      </c>
      <c r="AJ334" s="287">
        <f t="shared" si="153"/>
        <v>0</v>
      </c>
      <c r="AK334" s="287">
        <f t="shared" si="154"/>
        <v>0</v>
      </c>
      <c r="AL334" s="287">
        <f t="shared" si="155"/>
        <v>0</v>
      </c>
      <c r="AM334" s="287">
        <f t="shared" si="156"/>
        <v>0</v>
      </c>
      <c r="AN334" s="287">
        <f t="shared" si="157"/>
        <v>0</v>
      </c>
      <c r="AO334" s="287">
        <f t="shared" si="158"/>
        <v>0</v>
      </c>
      <c r="AP334" s="287">
        <f t="shared" si="159"/>
        <v>0</v>
      </c>
      <c r="AQ334" s="287">
        <f t="shared" si="160"/>
        <v>0</v>
      </c>
      <c r="AR334" s="287">
        <f t="shared" si="161"/>
        <v>0</v>
      </c>
      <c r="AS334" s="289" t="e">
        <f>IF(J334='2027 Avoided Costs'!#REF!,3,5)</f>
        <v>#REF!</v>
      </c>
      <c r="AT334" s="290" cm="1">
        <f t="array" ref="AT334">IFERROR(IF($J334="Baseload",IF($O334=1,0,NPV('2027 Avoided Costs'!$D$6,_xlfn._xlws.FILTER('2027 Avoided Costs'!$C$14:$C$47,('2027 Avoided Costs'!$B$14:$B$47&gt;=$B334+1)*('2027 Avoided Costs'!$B$14:$B$47&lt;$B334+ROUND($O334,0)))))+_xlfn.XLOOKUP($B334,'2027 Avoided Costs'!$B$13:$B$47,'2027 Avoided Costs'!$C$13:$C$47),IF($O334=1,0,NPV('2027 Avoided Costs'!$D$6,_xlfn._xlws.FILTER('2027 Avoided Costs'!$E$14:$E$47,('2027 Avoided Costs'!$B$14:$B$47&gt;=$B334+1)*('2027 Avoided Costs'!$B$14:$B$47&lt;$B334+ROUND($O334,0)))))+_xlfn.XLOOKUP($B334,'2027 Avoided Costs'!$B$13:$B$47,'2027 Avoided Costs'!$E$13:$E$47))*IF($AE334&gt;0,$AE334*(1+$W334),0),0)</f>
        <v>0</v>
      </c>
      <c r="AU334" s="290" cm="1">
        <f t="array" ref="AU334">IFERROR((IF($O334=1,0,NPV('2027 Avoided Costs'!$D$6,_xlfn._xlws.FILTER('2027 Avoided Costs'!$M$14:$M$47,('2027 Avoided Costs'!$B$14:$B$47&gt;=$B334+1)*('2027 Avoided Costs'!$B$14:$B$47&lt;$B334+ROUND($O334,0)))))+_xlfn.XLOOKUP($B334,'2027 Avoided Costs'!$B$13:$B$47,'2027 Avoided Costs'!$M$13:$M$47))*IF($AK334&gt;0,$AK334*(1+$W334),0),0)</f>
        <v>0</v>
      </c>
      <c r="AV334" s="291" cm="1">
        <f t="array" ref="AV334">IFERROR((IF($O334=1,0,NPV('2027 Avoided Costs'!$D$6,_xlfn._xlws.FILTER('2027 Avoided Costs'!$Q$14:$Q$47,('2027 Avoided Costs'!$B$14:$B$47&gt;=$B334+1)*('2027 Avoided Costs'!$B$14:$B$47&lt;$B334+ROUND($O334,0)))))+_xlfn.XLOOKUP($B334,'2027 Avoided Costs'!$B$13:$B$47,'2027 Avoided Costs'!$Q$13:$Q$47))*IF($AI334&gt;0,$AI334*(1+$W334),0),0)</f>
        <v>0</v>
      </c>
      <c r="AW334" s="291" cm="1">
        <f t="array" ref="AW334">IFERROR((IF($O334=1,0,NPV('2027 Avoided Costs'!$D$6,_xlfn._xlws.FILTER('2027 Avoided Costs'!$W$14:$W$47,('2027 Avoided Costs'!$B$14:$B$47&gt;=$B334+1)*('2027 Avoided Costs'!$B$14:$B$47&lt;$B334+ROUND($O334,0)))))+_xlfn.XLOOKUP($B334,'2027 Avoided Costs'!$B$13:$B$47,'2027 Avoided Costs'!$W$13:$W$47))*IF($AM334&gt;0,$AM334*(1+$W334),0),0)</f>
        <v>0</v>
      </c>
      <c r="AX334" s="291" cm="1">
        <f t="array" ref="AX334">IFERROR((IF($O334=1,0,NPV('2027 Avoided Costs'!$D$6,_xlfn._xlws.FILTER('2027 Avoided Costs'!$AC$14:$AC$47,('2027 Avoided Costs'!$B$14:$B$47&gt;=$B334+1)*('2027 Avoided Costs'!$B$14:$B$47&lt;$B334+ROUND($O334,0)))))+_xlfn.XLOOKUP($B334,'2027 Avoided Costs'!$B$13:$B$47,'2027 Avoided Costs'!$AC$13:$AC$47))*IF($AO334&gt;0,$AO334*(1+$W334),0),0)</f>
        <v>0</v>
      </c>
      <c r="AY334" s="291" cm="1">
        <f t="array" ref="AY334">IFERROR((IF($O334=1,0,NPV('2027 Avoided Costs'!$D$4,_xlfn._xlws.FILTER('2027 Avoided Costs'!$I$14:$I$47,('2027 Avoided Costs'!$B$14:$B$47&gt;=$B334+1)*('2027 Avoided Costs'!$B$14:$B$47&lt;$B334+ROUND($O334,0)))))+_xlfn.XLOOKUP($B334,'2027 Avoided Costs'!$B$13:$B$47,'2027 Avoided Costs'!$I$13:$I$47))*IF($X334="Residential",'2027 Avoided Costs'!$J$5,IF($X334="Large Volume",'2027 Avoided Costs'!$J$7,'2027 Avoided Costs'!$J$6))*IF($AE334&gt;0,$AE334,0),0)</f>
        <v>0</v>
      </c>
      <c r="AZ334" s="291" cm="1">
        <f t="array" ref="AZ334">IFERROR(IF($J334="Baseload",IF($O334=1,0,NPV('2027 Avoided Costs'!$D$6,_xlfn._xlws.FILTER('2027 Avoided Costs'!$C$14:$C$47,('2027 Avoided Costs'!$B$14:$B$47&gt;=$B334+1)*('2027 Avoided Costs'!$B$14:$B$47&lt;$B334+ROUND($O334,0)))))+_xlfn.XLOOKUP($B334,'2027 Avoided Costs'!$B$13:$B$47,'2027 Avoided Costs'!$C$13:$C$47),IF($O334=1,0,NPV('2027 Avoided Costs'!$D$6,_xlfn._xlws.FILTER('2027 Avoided Costs'!$E$14:$E$47,('2027 Avoided Costs'!$B$14:$B$47&gt;=$B334+1)*('2027 Avoided Costs'!$B$14:$B$47&lt;$B334+ROUND($O334,0)))))+_xlfn.XLOOKUP($B334,'2027 Avoided Costs'!$B$13:$B$47,'2027 Avoided Costs'!$E$13:$E$47))*IF($AE334&lt;0,$AE334*(-1),0),0)</f>
        <v>0</v>
      </c>
      <c r="BA334" s="291" cm="1">
        <f t="array" ref="BA334">IFERROR((IF($O334=1,0,NPV('2027 Avoided Costs'!$D$6,_xlfn._xlws.FILTER('2027 Avoided Costs'!$M$14:$M$47,('2027 Avoided Costs'!$B$14:$B$47&gt;=$B334+1)*('2027 Avoided Costs'!$B$14:$B$47&lt;$B334+ROUND($O334,0)))))+_xlfn.XLOOKUP($B334,'2027 Avoided Costs'!$B$13:$B$47,'2027 Avoided Costs'!$M$13:$M$47))*IF($AK334&lt;0,$AK334*(-1),0),0)</f>
        <v>0</v>
      </c>
      <c r="BB334" s="291" cm="1">
        <f t="array" ref="BB334">IFERROR((IF($O334=1,0,NPV('2027 Avoided Costs'!$D$6,_xlfn._xlws.FILTER('2027 Avoided Costs'!$S$14:$S$47,('2027 Avoided Costs'!$B$14:$B$47&gt;=$B334+1)*('2027 Avoided Costs'!$B$14:$B$47&lt;$B334+ROUND($O334,0)))))+_xlfn.XLOOKUP($B334,'2027 Avoided Costs'!$B$13:$B$47,'2027 Avoided Costs'!$S$13:$S$47))*IF($AI334&lt;0,$AI334*(-1),0),0)</f>
        <v>0</v>
      </c>
      <c r="BC334" s="291" cm="1">
        <f t="array" ref="BC334">IFERROR((IF($O334=1,0,NPV('2027 Avoided Costs'!$D$6,_xlfn._xlws.FILTER('2027 Avoided Costs'!$Y$14:$Y$47,('2027 Avoided Costs'!$B$14:$B$47&gt;=$B334+1)*('2027 Avoided Costs'!$B$14:$B$47&lt;$B334+ROUND($O334,0)))))+_xlfn.XLOOKUP($B334,'2027 Avoided Costs'!$B$13:$B$47,'2027 Avoided Costs'!$Y$13:$Y$47))*IF($AM334&lt;0,$AM334*(-1),0),0)</f>
        <v>0</v>
      </c>
      <c r="BD334" s="291" cm="1">
        <f t="array" ref="BD334">IFERROR((IF($O334=1,0,NPV('2027 Avoided Costs'!$D$6,_xlfn._xlws.FILTER('2027 Avoided Costs'!$AE$14:$AE$47,('2027 Avoided Costs'!$B$14:$B$47&gt;=$B334+1)*('2027 Avoided Costs'!$B$14:$B$47&lt;$B334+ROUND($O334,0)))))+_xlfn.XLOOKUP($B334,'2027 Avoided Costs'!$B$13:$B$47,'2027 Avoided Costs'!$AE$13:$AE$47))*IF($AO334&lt;0,$AO334*(-1),0),0)</f>
        <v>0</v>
      </c>
      <c r="BE334" s="291" cm="1">
        <f t="array" ref="BE334">IFERROR((IF($O334=1,0,NPV('2027 Avoided Costs'!$D$4,_xlfn._xlws.FILTER('2027 Avoided Costs'!$I$14:$I$47,('2027 Avoided Costs'!$B$14:$B$47&gt;=$B334+1)*('2027 Avoided Costs'!$B$14:$B$47&lt;$B334+ROUND($O334,0)))))+_xlfn.XLOOKUP($B334,'2027 Avoided Costs'!$B$13:$B$47,'2027 Avoided Costs'!$I$13:$I$47))*IF($X334="Residential",'2027 Avoided Costs'!$J$5,IF($X334="Large Volume",'2027 Avoided Costs'!$J$7,'2027 Avoided Costs'!$J$6))*IF($AE334&lt;0,$AE334*(-1),0),0)</f>
        <v>0</v>
      </c>
      <c r="BF334" s="291">
        <f t="shared" si="139"/>
        <v>0</v>
      </c>
      <c r="BG334" s="291">
        <f t="shared" si="140"/>
        <v>0</v>
      </c>
      <c r="BH334" s="291">
        <f t="shared" si="141"/>
        <v>0</v>
      </c>
      <c r="BI334" s="292">
        <f t="shared" si="164"/>
        <v>0</v>
      </c>
      <c r="BJ334" s="196" cm="1">
        <f t="array" ref="BJ334">IFERROR(IF($J334="Baseload",IF($O334=1,0,NPV('2027 Avoided Costs'!$D$6,_xlfn._xlws.FILTER('2027 Avoided Costs'!$C$14:$C$47,('2027 Avoided Costs'!$B$14:$B$47&gt;=$B334+1)*('2027 Avoided Costs'!$B$14:$B$47&lt;$B334+ROUND($O334,0)))))+_xlfn.XLOOKUP($B334,'2027 Avoided Costs'!$B$13:$B$47,'2027 Avoided Costs'!$C$13:$C$47),IF($O334=1,0,NPV('2027 Avoided Costs'!$D$6,_xlfn._xlws.FILTER('2027 Avoided Costs'!$E$14:$E$47,('2027 Avoided Costs'!$B$14:$B$47&gt;=$B334+1)*('2027 Avoided Costs'!$B$14:$B$47&lt;$B334+ROUND($O334,0)))))+_xlfn.XLOOKUP($B334,'2027 Avoided Costs'!$B$13:$B$47,'2027 Avoided Costs'!$E$13:$E$47))*IF($AE334&gt;0,$AE334*(1+0),0),0)</f>
        <v>0</v>
      </c>
      <c r="BK334" s="293">
        <f t="shared" si="162"/>
        <v>0</v>
      </c>
    </row>
    <row r="335" spans="1:63" s="56" customFormat="1" x14ac:dyDescent="0.25">
      <c r="A335" s="270" t="s">
        <v>207</v>
      </c>
      <c r="B335" s="271">
        <v>2029</v>
      </c>
      <c r="C335" s="272" t="s">
        <v>12</v>
      </c>
      <c r="D335" s="272" t="s">
        <v>21</v>
      </c>
      <c r="E335" s="272" t="s">
        <v>117</v>
      </c>
      <c r="F335" s="273">
        <v>20</v>
      </c>
      <c r="G335" s="274">
        <v>16200.000000000002</v>
      </c>
      <c r="H335" s="275">
        <f t="shared" si="142"/>
        <v>0</v>
      </c>
      <c r="I335" s="274">
        <v>0</v>
      </c>
      <c r="J335" s="276" t="s">
        <v>263</v>
      </c>
      <c r="K335" s="277">
        <f t="shared" si="138"/>
        <v>1</v>
      </c>
      <c r="L335" s="278">
        <v>0</v>
      </c>
      <c r="M335" s="278">
        <v>0</v>
      </c>
      <c r="N335" s="278">
        <v>1</v>
      </c>
      <c r="O335" s="279">
        <v>0</v>
      </c>
      <c r="P335" s="280">
        <v>0</v>
      </c>
      <c r="Q335" s="281">
        <v>0</v>
      </c>
      <c r="R335" s="282">
        <v>0</v>
      </c>
      <c r="S335" s="282">
        <v>0</v>
      </c>
      <c r="T335" s="281">
        <v>0</v>
      </c>
      <c r="U335" s="283">
        <v>0</v>
      </c>
      <c r="V335" s="284">
        <v>0</v>
      </c>
      <c r="W335" s="285">
        <v>0.15</v>
      </c>
      <c r="X335" s="286" t="s">
        <v>255</v>
      </c>
      <c r="Y335" s="287">
        <f t="shared" si="143"/>
        <v>20</v>
      </c>
      <c r="Z335" s="288">
        <f t="shared" si="144"/>
        <v>324000.00000000006</v>
      </c>
      <c r="AA335" s="288">
        <f t="shared" si="145"/>
        <v>0</v>
      </c>
      <c r="AB335" s="288">
        <f t="shared" si="146"/>
        <v>337089.60000000003</v>
      </c>
      <c r="AC335" s="288">
        <f t="shared" si="163"/>
        <v>0</v>
      </c>
      <c r="AD335" s="287">
        <f t="shared" si="147"/>
        <v>0</v>
      </c>
      <c r="AE335" s="287">
        <f t="shared" si="148"/>
        <v>0</v>
      </c>
      <c r="AF335" s="287">
        <f t="shared" si="149"/>
        <v>0</v>
      </c>
      <c r="AG335" s="287">
        <f t="shared" si="150"/>
        <v>0</v>
      </c>
      <c r="AH335" s="287">
        <f t="shared" si="151"/>
        <v>0</v>
      </c>
      <c r="AI335" s="287">
        <f t="shared" si="152"/>
        <v>0</v>
      </c>
      <c r="AJ335" s="287">
        <f t="shared" si="153"/>
        <v>0</v>
      </c>
      <c r="AK335" s="287">
        <f t="shared" si="154"/>
        <v>0</v>
      </c>
      <c r="AL335" s="287">
        <f t="shared" si="155"/>
        <v>0</v>
      </c>
      <c r="AM335" s="287">
        <f t="shared" si="156"/>
        <v>0</v>
      </c>
      <c r="AN335" s="287">
        <f t="shared" si="157"/>
        <v>0</v>
      </c>
      <c r="AO335" s="287">
        <f t="shared" si="158"/>
        <v>0</v>
      </c>
      <c r="AP335" s="287">
        <f t="shared" si="159"/>
        <v>0</v>
      </c>
      <c r="AQ335" s="287">
        <f t="shared" si="160"/>
        <v>0</v>
      </c>
      <c r="AR335" s="287">
        <f t="shared" si="161"/>
        <v>0</v>
      </c>
      <c r="AS335" s="289" t="e">
        <f>IF(J335='2027 Avoided Costs'!#REF!,3,5)</f>
        <v>#REF!</v>
      </c>
      <c r="AT335" s="290" cm="1">
        <f t="array" ref="AT335">IFERROR(IF($J335="Baseload",IF($O335=1,0,NPV('2027 Avoided Costs'!$D$6,_xlfn._xlws.FILTER('2027 Avoided Costs'!$C$14:$C$47,('2027 Avoided Costs'!$B$14:$B$47&gt;=$B335+1)*('2027 Avoided Costs'!$B$14:$B$47&lt;$B335+ROUND($O335,0)))))+_xlfn.XLOOKUP($B335,'2027 Avoided Costs'!$B$13:$B$47,'2027 Avoided Costs'!$C$13:$C$47),IF($O335=1,0,NPV('2027 Avoided Costs'!$D$6,_xlfn._xlws.FILTER('2027 Avoided Costs'!$E$14:$E$47,('2027 Avoided Costs'!$B$14:$B$47&gt;=$B335+1)*('2027 Avoided Costs'!$B$14:$B$47&lt;$B335+ROUND($O335,0)))))+_xlfn.XLOOKUP($B335,'2027 Avoided Costs'!$B$13:$B$47,'2027 Avoided Costs'!$E$13:$E$47))*IF($AE335&gt;0,$AE335*(1+$W335),0),0)</f>
        <v>0</v>
      </c>
      <c r="AU335" s="290" cm="1">
        <f t="array" ref="AU335">IFERROR((IF($O335=1,0,NPV('2027 Avoided Costs'!$D$6,_xlfn._xlws.FILTER('2027 Avoided Costs'!$M$14:$M$47,('2027 Avoided Costs'!$B$14:$B$47&gt;=$B335+1)*('2027 Avoided Costs'!$B$14:$B$47&lt;$B335+ROUND($O335,0)))))+_xlfn.XLOOKUP($B335,'2027 Avoided Costs'!$B$13:$B$47,'2027 Avoided Costs'!$M$13:$M$47))*IF($AK335&gt;0,$AK335*(1+$W335),0),0)</f>
        <v>0</v>
      </c>
      <c r="AV335" s="291" cm="1">
        <f t="array" ref="AV335">IFERROR((IF($O335=1,0,NPV('2027 Avoided Costs'!$D$6,_xlfn._xlws.FILTER('2027 Avoided Costs'!$Q$14:$Q$47,('2027 Avoided Costs'!$B$14:$B$47&gt;=$B335+1)*('2027 Avoided Costs'!$B$14:$B$47&lt;$B335+ROUND($O335,0)))))+_xlfn.XLOOKUP($B335,'2027 Avoided Costs'!$B$13:$B$47,'2027 Avoided Costs'!$Q$13:$Q$47))*IF($AI335&gt;0,$AI335*(1+$W335),0),0)</f>
        <v>0</v>
      </c>
      <c r="AW335" s="291" cm="1">
        <f t="array" ref="AW335">IFERROR((IF($O335=1,0,NPV('2027 Avoided Costs'!$D$6,_xlfn._xlws.FILTER('2027 Avoided Costs'!$W$14:$W$47,('2027 Avoided Costs'!$B$14:$B$47&gt;=$B335+1)*('2027 Avoided Costs'!$B$14:$B$47&lt;$B335+ROUND($O335,0)))))+_xlfn.XLOOKUP($B335,'2027 Avoided Costs'!$B$13:$B$47,'2027 Avoided Costs'!$W$13:$W$47))*IF($AM335&gt;0,$AM335*(1+$W335),0),0)</f>
        <v>0</v>
      </c>
      <c r="AX335" s="291" cm="1">
        <f t="array" ref="AX335">IFERROR((IF($O335=1,0,NPV('2027 Avoided Costs'!$D$6,_xlfn._xlws.FILTER('2027 Avoided Costs'!$AC$14:$AC$47,('2027 Avoided Costs'!$B$14:$B$47&gt;=$B335+1)*('2027 Avoided Costs'!$B$14:$B$47&lt;$B335+ROUND($O335,0)))))+_xlfn.XLOOKUP($B335,'2027 Avoided Costs'!$B$13:$B$47,'2027 Avoided Costs'!$AC$13:$AC$47))*IF($AO335&gt;0,$AO335*(1+$W335),0),0)</f>
        <v>0</v>
      </c>
      <c r="AY335" s="291" cm="1">
        <f t="array" ref="AY335">IFERROR((IF($O335=1,0,NPV('2027 Avoided Costs'!$D$4,_xlfn._xlws.FILTER('2027 Avoided Costs'!$I$14:$I$47,('2027 Avoided Costs'!$B$14:$B$47&gt;=$B335+1)*('2027 Avoided Costs'!$B$14:$B$47&lt;$B335+ROUND($O335,0)))))+_xlfn.XLOOKUP($B335,'2027 Avoided Costs'!$B$13:$B$47,'2027 Avoided Costs'!$I$13:$I$47))*IF($X335="Residential",'2027 Avoided Costs'!$J$5,IF($X335="Large Volume",'2027 Avoided Costs'!$J$7,'2027 Avoided Costs'!$J$6))*IF($AE335&gt;0,$AE335,0),0)</f>
        <v>0</v>
      </c>
      <c r="AZ335" s="291" cm="1">
        <f t="array" ref="AZ335">IFERROR(IF($J335="Baseload",IF($O335=1,0,NPV('2027 Avoided Costs'!$D$6,_xlfn._xlws.FILTER('2027 Avoided Costs'!$C$14:$C$47,('2027 Avoided Costs'!$B$14:$B$47&gt;=$B335+1)*('2027 Avoided Costs'!$B$14:$B$47&lt;$B335+ROUND($O335,0)))))+_xlfn.XLOOKUP($B335,'2027 Avoided Costs'!$B$13:$B$47,'2027 Avoided Costs'!$C$13:$C$47),IF($O335=1,0,NPV('2027 Avoided Costs'!$D$6,_xlfn._xlws.FILTER('2027 Avoided Costs'!$E$14:$E$47,('2027 Avoided Costs'!$B$14:$B$47&gt;=$B335+1)*('2027 Avoided Costs'!$B$14:$B$47&lt;$B335+ROUND($O335,0)))))+_xlfn.XLOOKUP($B335,'2027 Avoided Costs'!$B$13:$B$47,'2027 Avoided Costs'!$E$13:$E$47))*IF($AE335&lt;0,$AE335*(-1),0),0)</f>
        <v>0</v>
      </c>
      <c r="BA335" s="291" cm="1">
        <f t="array" ref="BA335">IFERROR((IF($O335=1,0,NPV('2027 Avoided Costs'!$D$6,_xlfn._xlws.FILTER('2027 Avoided Costs'!$M$14:$M$47,('2027 Avoided Costs'!$B$14:$B$47&gt;=$B335+1)*('2027 Avoided Costs'!$B$14:$B$47&lt;$B335+ROUND($O335,0)))))+_xlfn.XLOOKUP($B335,'2027 Avoided Costs'!$B$13:$B$47,'2027 Avoided Costs'!$M$13:$M$47))*IF($AK335&lt;0,$AK335*(-1),0),0)</f>
        <v>0</v>
      </c>
      <c r="BB335" s="291" cm="1">
        <f t="array" ref="BB335">IFERROR((IF($O335=1,0,NPV('2027 Avoided Costs'!$D$6,_xlfn._xlws.FILTER('2027 Avoided Costs'!$S$14:$S$47,('2027 Avoided Costs'!$B$14:$B$47&gt;=$B335+1)*('2027 Avoided Costs'!$B$14:$B$47&lt;$B335+ROUND($O335,0)))))+_xlfn.XLOOKUP($B335,'2027 Avoided Costs'!$B$13:$B$47,'2027 Avoided Costs'!$S$13:$S$47))*IF($AI335&lt;0,$AI335*(-1),0),0)</f>
        <v>0</v>
      </c>
      <c r="BC335" s="291" cm="1">
        <f t="array" ref="BC335">IFERROR((IF($O335=1,0,NPV('2027 Avoided Costs'!$D$6,_xlfn._xlws.FILTER('2027 Avoided Costs'!$Y$14:$Y$47,('2027 Avoided Costs'!$B$14:$B$47&gt;=$B335+1)*('2027 Avoided Costs'!$B$14:$B$47&lt;$B335+ROUND($O335,0)))))+_xlfn.XLOOKUP($B335,'2027 Avoided Costs'!$B$13:$B$47,'2027 Avoided Costs'!$Y$13:$Y$47))*IF($AM335&lt;0,$AM335*(-1),0),0)</f>
        <v>0</v>
      </c>
      <c r="BD335" s="291" cm="1">
        <f t="array" ref="BD335">IFERROR((IF($O335=1,0,NPV('2027 Avoided Costs'!$D$6,_xlfn._xlws.FILTER('2027 Avoided Costs'!$AE$14:$AE$47,('2027 Avoided Costs'!$B$14:$B$47&gt;=$B335+1)*('2027 Avoided Costs'!$B$14:$B$47&lt;$B335+ROUND($O335,0)))))+_xlfn.XLOOKUP($B335,'2027 Avoided Costs'!$B$13:$B$47,'2027 Avoided Costs'!$AE$13:$AE$47))*IF($AO335&lt;0,$AO335*(-1),0),0)</f>
        <v>0</v>
      </c>
      <c r="BE335" s="291" cm="1">
        <f t="array" ref="BE335">IFERROR((IF($O335=1,0,NPV('2027 Avoided Costs'!$D$4,_xlfn._xlws.FILTER('2027 Avoided Costs'!$I$14:$I$47,('2027 Avoided Costs'!$B$14:$B$47&gt;=$B335+1)*('2027 Avoided Costs'!$B$14:$B$47&lt;$B335+ROUND($O335,0)))))+_xlfn.XLOOKUP($B335,'2027 Avoided Costs'!$B$13:$B$47,'2027 Avoided Costs'!$I$13:$I$47))*IF($X335="Residential",'2027 Avoided Costs'!$J$5,IF($X335="Large Volume",'2027 Avoided Costs'!$J$7,'2027 Avoided Costs'!$J$6))*IF($AE335&lt;0,$AE335*(-1),0),0)</f>
        <v>0</v>
      </c>
      <c r="BF335" s="291">
        <f t="shared" si="139"/>
        <v>0</v>
      </c>
      <c r="BG335" s="291">
        <f t="shared" si="140"/>
        <v>0</v>
      </c>
      <c r="BH335" s="291">
        <f t="shared" si="141"/>
        <v>0</v>
      </c>
      <c r="BI335" s="292">
        <f t="shared" si="164"/>
        <v>0</v>
      </c>
      <c r="BJ335" s="196" cm="1">
        <f t="array" ref="BJ335">IFERROR(IF($J335="Baseload",IF($O335=1,0,NPV('2027 Avoided Costs'!$D$6,_xlfn._xlws.FILTER('2027 Avoided Costs'!$C$14:$C$47,('2027 Avoided Costs'!$B$14:$B$47&gt;=$B335+1)*('2027 Avoided Costs'!$B$14:$B$47&lt;$B335+ROUND($O335,0)))))+_xlfn.XLOOKUP($B335,'2027 Avoided Costs'!$B$13:$B$47,'2027 Avoided Costs'!$C$13:$C$47),IF($O335=1,0,NPV('2027 Avoided Costs'!$D$6,_xlfn._xlws.FILTER('2027 Avoided Costs'!$E$14:$E$47,('2027 Avoided Costs'!$B$14:$B$47&gt;=$B335+1)*('2027 Avoided Costs'!$B$14:$B$47&lt;$B335+ROUND($O335,0)))))+_xlfn.XLOOKUP($B335,'2027 Avoided Costs'!$B$13:$B$47,'2027 Avoided Costs'!$E$13:$E$47))*IF($AE335&gt;0,$AE335*(1+0),0),0)</f>
        <v>0</v>
      </c>
      <c r="BK335" s="293">
        <f t="shared" si="162"/>
        <v>0</v>
      </c>
    </row>
    <row r="336" spans="1:63" s="56" customFormat="1" x14ac:dyDescent="0.25">
      <c r="A336" s="270" t="s">
        <v>207</v>
      </c>
      <c r="B336" s="271">
        <v>2029</v>
      </c>
      <c r="C336" s="272" t="s">
        <v>12</v>
      </c>
      <c r="D336" s="272" t="s">
        <v>21</v>
      </c>
      <c r="E336" s="272" t="s">
        <v>112</v>
      </c>
      <c r="F336" s="273">
        <v>8</v>
      </c>
      <c r="G336" s="274">
        <v>112619</v>
      </c>
      <c r="H336" s="275">
        <f t="shared" si="142"/>
        <v>3.25</v>
      </c>
      <c r="I336" s="274">
        <v>0</v>
      </c>
      <c r="J336" s="276" t="s">
        <v>264</v>
      </c>
      <c r="K336" s="277">
        <f t="shared" si="138"/>
        <v>1</v>
      </c>
      <c r="L336" s="278">
        <v>0</v>
      </c>
      <c r="M336" s="278">
        <v>0</v>
      </c>
      <c r="N336" s="278">
        <v>0.97609999999999997</v>
      </c>
      <c r="O336" s="279">
        <v>15</v>
      </c>
      <c r="P336" s="280">
        <v>34652</v>
      </c>
      <c r="Q336" s="281">
        <v>-90946</v>
      </c>
      <c r="R336" s="282">
        <v>0</v>
      </c>
      <c r="S336" s="282">
        <v>-28.2895</v>
      </c>
      <c r="T336" s="281">
        <v>0</v>
      </c>
      <c r="U336" s="283">
        <v>0</v>
      </c>
      <c r="V336" s="284">
        <v>399813</v>
      </c>
      <c r="W336" s="285">
        <v>0.15</v>
      </c>
      <c r="X336" s="286" t="s">
        <v>255</v>
      </c>
      <c r="Y336" s="287">
        <f t="shared" si="143"/>
        <v>8</v>
      </c>
      <c r="Z336" s="288">
        <f t="shared" si="144"/>
        <v>900952</v>
      </c>
      <c r="AA336" s="288">
        <f t="shared" si="145"/>
        <v>0</v>
      </c>
      <c r="AB336" s="288">
        <f t="shared" si="146"/>
        <v>937350.4608</v>
      </c>
      <c r="AC336" s="288">
        <f t="shared" si="163"/>
        <v>0</v>
      </c>
      <c r="AD336" s="287">
        <f t="shared" si="147"/>
        <v>270590.53759999998</v>
      </c>
      <c r="AE336" s="287">
        <f t="shared" si="148"/>
        <v>270590.53759999998</v>
      </c>
      <c r="AF336" s="287">
        <f t="shared" si="149"/>
        <v>4058858.0639999998</v>
      </c>
      <c r="AG336" s="287">
        <f t="shared" si="150"/>
        <v>4058858.0639999998</v>
      </c>
      <c r="AH336" s="287">
        <f t="shared" si="151"/>
        <v>-761312.02178559999</v>
      </c>
      <c r="AI336" s="287">
        <f t="shared" si="152"/>
        <v>-761312.02178559999</v>
      </c>
      <c r="AJ336" s="287">
        <f t="shared" si="153"/>
        <v>0</v>
      </c>
      <c r="AK336" s="287">
        <f t="shared" si="154"/>
        <v>0</v>
      </c>
      <c r="AL336" s="287">
        <f t="shared" si="155"/>
        <v>0</v>
      </c>
      <c r="AM336" s="287">
        <f t="shared" si="156"/>
        <v>0</v>
      </c>
      <c r="AN336" s="287">
        <f t="shared" si="157"/>
        <v>-236.8123550272</v>
      </c>
      <c r="AO336" s="287">
        <f t="shared" si="158"/>
        <v>-236.8123550272</v>
      </c>
      <c r="AP336" s="287">
        <f t="shared" si="159"/>
        <v>3198504</v>
      </c>
      <c r="AQ336" s="287">
        <f t="shared" si="160"/>
        <v>3198504</v>
      </c>
      <c r="AR336" s="287">
        <f t="shared" si="161"/>
        <v>0</v>
      </c>
      <c r="AS336" s="289" t="e">
        <f>IF(J336='2027 Avoided Costs'!#REF!,3,5)</f>
        <v>#REF!</v>
      </c>
      <c r="AT336" s="290" cm="1">
        <f t="array" ref="AT336">IFERROR(IF($J336="Baseload",IF($O336=1,0,NPV('2027 Avoided Costs'!$D$6,_xlfn._xlws.FILTER('2027 Avoided Costs'!$C$14:$C$47,('2027 Avoided Costs'!$B$14:$B$47&gt;=$B336+1)*('2027 Avoided Costs'!$B$14:$B$47&lt;$B336+ROUND($O336,0)))))+_xlfn.XLOOKUP($B336,'2027 Avoided Costs'!$B$13:$B$47,'2027 Avoided Costs'!$C$13:$C$47),IF($O336=1,0,NPV('2027 Avoided Costs'!$D$6,_xlfn._xlws.FILTER('2027 Avoided Costs'!$E$14:$E$47,('2027 Avoided Costs'!$B$14:$B$47&gt;=$B336+1)*('2027 Avoided Costs'!$B$14:$B$47&lt;$B336+ROUND($O336,0)))))+_xlfn.XLOOKUP($B336,'2027 Avoided Costs'!$B$13:$B$47,'2027 Avoided Costs'!$E$13:$E$47))*IF($AE336&gt;0,$AE336*(1+$W336),0),0)</f>
        <v>1150294.5391489591</v>
      </c>
      <c r="AU336" s="290" cm="1">
        <f t="array" ref="AU336">IFERROR((IF($O336=1,0,NPV('2027 Avoided Costs'!$D$6,_xlfn._xlws.FILTER('2027 Avoided Costs'!$M$14:$M$47,('2027 Avoided Costs'!$B$14:$B$47&gt;=$B336+1)*('2027 Avoided Costs'!$B$14:$B$47&lt;$B336+ROUND($O336,0)))))+_xlfn.XLOOKUP($B336,'2027 Avoided Costs'!$B$13:$B$47,'2027 Avoided Costs'!$M$13:$M$47))*IF($AK336&gt;0,$AK336*(1+$W336),0),0)</f>
        <v>0</v>
      </c>
      <c r="AV336" s="291" cm="1">
        <f t="array" ref="AV336">IFERROR((IF($O336=1,0,NPV('2027 Avoided Costs'!$D$6,_xlfn._xlws.FILTER('2027 Avoided Costs'!$Q$14:$Q$47,('2027 Avoided Costs'!$B$14:$B$47&gt;=$B336+1)*('2027 Avoided Costs'!$B$14:$B$47&lt;$B336+ROUND($O336,0)))))+_xlfn.XLOOKUP($B336,'2027 Avoided Costs'!$B$13:$B$47,'2027 Avoided Costs'!$Q$13:$Q$47))*IF($AI336&gt;0,$AI336*(1+$W336),0),0)</f>
        <v>0</v>
      </c>
      <c r="AW336" s="291" cm="1">
        <f t="array" ref="AW336">IFERROR((IF($O336=1,0,NPV('2027 Avoided Costs'!$D$6,_xlfn._xlws.FILTER('2027 Avoided Costs'!$W$14:$W$47,('2027 Avoided Costs'!$B$14:$B$47&gt;=$B336+1)*('2027 Avoided Costs'!$B$14:$B$47&lt;$B336+ROUND($O336,0)))))+_xlfn.XLOOKUP($B336,'2027 Avoided Costs'!$B$13:$B$47,'2027 Avoided Costs'!$W$13:$W$47))*IF($AM336&gt;0,$AM336*(1+$W336),0),0)</f>
        <v>0</v>
      </c>
      <c r="AX336" s="291" cm="1">
        <f t="array" ref="AX336">IFERROR((IF($O336=1,0,NPV('2027 Avoided Costs'!$D$6,_xlfn._xlws.FILTER('2027 Avoided Costs'!$AC$14:$AC$47,('2027 Avoided Costs'!$B$14:$B$47&gt;=$B336+1)*('2027 Avoided Costs'!$B$14:$B$47&lt;$B336+ROUND($O336,0)))))+_xlfn.XLOOKUP($B336,'2027 Avoided Costs'!$B$13:$B$47,'2027 Avoided Costs'!$AC$13:$AC$47))*IF($AO336&gt;0,$AO336*(1+$W336),0),0)</f>
        <v>0</v>
      </c>
      <c r="AY336" s="291" cm="1">
        <f t="array" ref="AY336">IFERROR((IF($O336=1,0,NPV('2027 Avoided Costs'!$D$4,_xlfn._xlws.FILTER('2027 Avoided Costs'!$I$14:$I$47,('2027 Avoided Costs'!$B$14:$B$47&gt;=$B336+1)*('2027 Avoided Costs'!$B$14:$B$47&lt;$B336+ROUND($O336,0)))))+_xlfn.XLOOKUP($B336,'2027 Avoided Costs'!$B$13:$B$47,'2027 Avoided Costs'!$I$13:$I$47))*IF($X336="Residential",'2027 Avoided Costs'!$J$5,IF($X336="Large Volume",'2027 Avoided Costs'!$J$7,'2027 Avoided Costs'!$J$6))*IF($AE336&gt;0,$AE336,0),0)</f>
        <v>0</v>
      </c>
      <c r="AZ336" s="291" cm="1">
        <f t="array" ref="AZ336">IFERROR(IF($J336="Baseload",IF($O336=1,0,NPV('2027 Avoided Costs'!$D$6,_xlfn._xlws.FILTER('2027 Avoided Costs'!$C$14:$C$47,('2027 Avoided Costs'!$B$14:$B$47&gt;=$B336+1)*('2027 Avoided Costs'!$B$14:$B$47&lt;$B336+ROUND($O336,0)))))+_xlfn.XLOOKUP($B336,'2027 Avoided Costs'!$B$13:$B$47,'2027 Avoided Costs'!$C$13:$C$47),IF($O336=1,0,NPV('2027 Avoided Costs'!$D$6,_xlfn._xlws.FILTER('2027 Avoided Costs'!$E$14:$E$47,('2027 Avoided Costs'!$B$14:$B$47&gt;=$B336+1)*('2027 Avoided Costs'!$B$14:$B$47&lt;$B336+ROUND($O336,0)))))+_xlfn.XLOOKUP($B336,'2027 Avoided Costs'!$B$13:$B$47,'2027 Avoided Costs'!$E$13:$E$47))*IF($AE336&lt;0,$AE336*(-1),0),0)</f>
        <v>0</v>
      </c>
      <c r="BA336" s="291" cm="1">
        <f t="array" ref="BA336">IFERROR((IF($O336=1,0,NPV('2027 Avoided Costs'!$D$6,_xlfn._xlws.FILTER('2027 Avoided Costs'!$M$14:$M$47,('2027 Avoided Costs'!$B$14:$B$47&gt;=$B336+1)*('2027 Avoided Costs'!$B$14:$B$47&lt;$B336+ROUND($O336,0)))))+_xlfn.XLOOKUP($B336,'2027 Avoided Costs'!$B$13:$B$47,'2027 Avoided Costs'!$M$13:$M$47))*IF($AK336&lt;0,$AK336*(-1),0),0)</f>
        <v>0</v>
      </c>
      <c r="BB336" s="291" cm="1">
        <f t="array" ref="BB336">IFERROR((IF($O336=1,0,NPV('2027 Avoided Costs'!$D$6,_xlfn._xlws.FILTER('2027 Avoided Costs'!$S$14:$S$47,('2027 Avoided Costs'!$B$14:$B$47&gt;=$B336+1)*('2027 Avoided Costs'!$B$14:$B$47&lt;$B336+ROUND($O336,0)))))+_xlfn.XLOOKUP($B336,'2027 Avoided Costs'!$B$13:$B$47,'2027 Avoided Costs'!$S$13:$S$47))*IF($AI336&lt;0,$AI336*(-1),0),0)</f>
        <v>432261.52145851625</v>
      </c>
      <c r="BC336" s="291" cm="1">
        <f t="array" ref="BC336">IFERROR((IF($O336=1,0,NPV('2027 Avoided Costs'!$D$6,_xlfn._xlws.FILTER('2027 Avoided Costs'!$Y$14:$Y$47,('2027 Avoided Costs'!$B$14:$B$47&gt;=$B336+1)*('2027 Avoided Costs'!$B$14:$B$47&lt;$B336+ROUND($O336,0)))))+_xlfn.XLOOKUP($B336,'2027 Avoided Costs'!$B$13:$B$47,'2027 Avoided Costs'!$Y$13:$Y$47))*IF($AM336&lt;0,$AM336*(-1),0),0)</f>
        <v>0</v>
      </c>
      <c r="BD336" s="291" cm="1">
        <f t="array" ref="BD336">IFERROR((IF($O336=1,0,NPV('2027 Avoided Costs'!$D$6,_xlfn._xlws.FILTER('2027 Avoided Costs'!$AE$14:$AE$47,('2027 Avoided Costs'!$B$14:$B$47&gt;=$B336+1)*('2027 Avoided Costs'!$B$14:$B$47&lt;$B336+ROUND($O336,0)))))+_xlfn.XLOOKUP($B336,'2027 Avoided Costs'!$B$13:$B$47,'2027 Avoided Costs'!$AE$13:$AE$47))*IF($AO336&lt;0,$AO336*(-1),0),0)</f>
        <v>109832.08635597098</v>
      </c>
      <c r="BE336" s="291" cm="1">
        <f t="array" ref="BE336">IFERROR((IF($O336=1,0,NPV('2027 Avoided Costs'!$D$4,_xlfn._xlws.FILTER('2027 Avoided Costs'!$I$14:$I$47,('2027 Avoided Costs'!$B$14:$B$47&gt;=$B336+1)*('2027 Avoided Costs'!$B$14:$B$47&lt;$B336+ROUND($O336,0)))))+_xlfn.XLOOKUP($B336,'2027 Avoided Costs'!$B$13:$B$47,'2027 Avoided Costs'!$I$13:$I$47))*IF($X336="Residential",'2027 Avoided Costs'!$J$5,IF($X336="Large Volume",'2027 Avoided Costs'!$J$7,'2027 Avoided Costs'!$J$6))*IF($AE336&lt;0,$AE336*(-1),0),0)</f>
        <v>0</v>
      </c>
      <c r="BF336" s="291">
        <f t="shared" si="139"/>
        <v>1150294.5391489591</v>
      </c>
      <c r="BG336" s="291">
        <f t="shared" si="140"/>
        <v>3740597.6078144871</v>
      </c>
      <c r="BH336" s="291">
        <f t="shared" si="141"/>
        <v>-2590303.0686655277</v>
      </c>
      <c r="BI336" s="292">
        <f t="shared" si="164"/>
        <v>0.3075162473359544</v>
      </c>
      <c r="BJ336" s="196" cm="1">
        <f t="array" ref="BJ336">IFERROR(IF($J336="Baseload",IF($O336=1,0,NPV('2027 Avoided Costs'!$D$6,_xlfn._xlws.FILTER('2027 Avoided Costs'!$C$14:$C$47,('2027 Avoided Costs'!$B$14:$B$47&gt;=$B336+1)*('2027 Avoided Costs'!$B$14:$B$47&lt;$B336+ROUND($O336,0)))))+_xlfn.XLOOKUP($B336,'2027 Avoided Costs'!$B$13:$B$47,'2027 Avoided Costs'!$C$13:$C$47),IF($O336=1,0,NPV('2027 Avoided Costs'!$D$6,_xlfn._xlws.FILTER('2027 Avoided Costs'!$E$14:$E$47,('2027 Avoided Costs'!$B$14:$B$47&gt;=$B336+1)*('2027 Avoided Costs'!$B$14:$B$47&lt;$B336+ROUND($O336,0)))))+_xlfn.XLOOKUP($B336,'2027 Avoided Costs'!$B$13:$B$47,'2027 Avoided Costs'!$E$13:$E$47))*IF($AE336&gt;0,$AE336*(1+0),0),0)</f>
        <v>1000256.1209990948</v>
      </c>
      <c r="BK336" s="293">
        <f t="shared" si="162"/>
        <v>1.067110075505171</v>
      </c>
    </row>
    <row r="337" spans="1:63" s="56" customFormat="1" x14ac:dyDescent="0.25">
      <c r="A337" s="270" t="s">
        <v>207</v>
      </c>
      <c r="B337" s="271">
        <v>2029</v>
      </c>
      <c r="C337" s="272" t="s">
        <v>12</v>
      </c>
      <c r="D337" s="272" t="s">
        <v>21</v>
      </c>
      <c r="E337" s="272" t="s">
        <v>347</v>
      </c>
      <c r="F337" s="273">
        <v>17</v>
      </c>
      <c r="G337" s="274">
        <v>6831.1100000000006</v>
      </c>
      <c r="H337" s="275">
        <f t="shared" si="142"/>
        <v>1.87</v>
      </c>
      <c r="I337" s="274">
        <v>0</v>
      </c>
      <c r="J337" s="276" t="s">
        <v>264</v>
      </c>
      <c r="K337" s="277">
        <f t="shared" si="138"/>
        <v>1</v>
      </c>
      <c r="L337" s="278">
        <v>0</v>
      </c>
      <c r="M337" s="278">
        <v>0</v>
      </c>
      <c r="N337" s="278">
        <v>0.97609999999999997</v>
      </c>
      <c r="O337" s="279">
        <v>5</v>
      </c>
      <c r="P337" s="280">
        <v>3653</v>
      </c>
      <c r="Q337" s="281">
        <v>0</v>
      </c>
      <c r="R337" s="282">
        <v>0</v>
      </c>
      <c r="S337" s="282">
        <v>0</v>
      </c>
      <c r="T337" s="281">
        <v>0</v>
      </c>
      <c r="U337" s="283">
        <v>0</v>
      </c>
      <c r="V337" s="284">
        <v>5000</v>
      </c>
      <c r="W337" s="285">
        <v>0.15</v>
      </c>
      <c r="X337" s="286" t="s">
        <v>255</v>
      </c>
      <c r="Y337" s="287">
        <f t="shared" si="143"/>
        <v>17</v>
      </c>
      <c r="Z337" s="288">
        <f t="shared" si="144"/>
        <v>116128.87000000001</v>
      </c>
      <c r="AA337" s="288">
        <f t="shared" si="145"/>
        <v>0</v>
      </c>
      <c r="AB337" s="288">
        <f t="shared" si="146"/>
        <v>120820.47634800001</v>
      </c>
      <c r="AC337" s="288">
        <f t="shared" si="163"/>
        <v>0</v>
      </c>
      <c r="AD337" s="287">
        <f t="shared" si="147"/>
        <v>60616.786099999998</v>
      </c>
      <c r="AE337" s="287">
        <f t="shared" si="148"/>
        <v>60616.786099999998</v>
      </c>
      <c r="AF337" s="287">
        <f t="shared" si="149"/>
        <v>303083.93050000002</v>
      </c>
      <c r="AG337" s="287">
        <f t="shared" si="150"/>
        <v>303083.93050000002</v>
      </c>
      <c r="AH337" s="287">
        <f t="shared" si="151"/>
        <v>0</v>
      </c>
      <c r="AI337" s="287">
        <f t="shared" si="152"/>
        <v>0</v>
      </c>
      <c r="AJ337" s="287">
        <f t="shared" si="153"/>
        <v>0</v>
      </c>
      <c r="AK337" s="287">
        <f t="shared" si="154"/>
        <v>0</v>
      </c>
      <c r="AL337" s="287">
        <f t="shared" si="155"/>
        <v>0</v>
      </c>
      <c r="AM337" s="287">
        <f t="shared" si="156"/>
        <v>0</v>
      </c>
      <c r="AN337" s="287">
        <f t="shared" si="157"/>
        <v>0</v>
      </c>
      <c r="AO337" s="287">
        <f t="shared" si="158"/>
        <v>0</v>
      </c>
      <c r="AP337" s="287">
        <f t="shared" si="159"/>
        <v>85000</v>
      </c>
      <c r="AQ337" s="287">
        <f t="shared" si="160"/>
        <v>85000</v>
      </c>
      <c r="AR337" s="287">
        <f t="shared" si="161"/>
        <v>0</v>
      </c>
      <c r="AS337" s="289" t="e">
        <f>IF(J337='2027 Avoided Costs'!#REF!,3,5)</f>
        <v>#REF!</v>
      </c>
      <c r="AT337" s="290" cm="1">
        <f t="array" ref="AT337">IFERROR(IF($J337="Baseload",IF($O337=1,0,NPV('2027 Avoided Costs'!$D$6,_xlfn._xlws.FILTER('2027 Avoided Costs'!$C$14:$C$47,('2027 Avoided Costs'!$B$14:$B$47&gt;=$B337+1)*('2027 Avoided Costs'!$B$14:$B$47&lt;$B337+ROUND($O337,0)))))+_xlfn.XLOOKUP($B337,'2027 Avoided Costs'!$B$13:$B$47,'2027 Avoided Costs'!$C$13:$C$47),IF($O337=1,0,NPV('2027 Avoided Costs'!$D$6,_xlfn._xlws.FILTER('2027 Avoided Costs'!$E$14:$E$47,('2027 Avoided Costs'!$B$14:$B$47&gt;=$B337+1)*('2027 Avoided Costs'!$B$14:$B$47&lt;$B337+ROUND($O337,0)))))+_xlfn.XLOOKUP($B337,'2027 Avoided Costs'!$B$13:$B$47,'2027 Avoided Costs'!$E$13:$E$47))*IF($AE337&gt;0,$AE337*(1+$W337),0),0)</f>
        <v>101071.83582790499</v>
      </c>
      <c r="AU337" s="290" cm="1">
        <f t="array" ref="AU337">IFERROR((IF($O337=1,0,NPV('2027 Avoided Costs'!$D$6,_xlfn._xlws.FILTER('2027 Avoided Costs'!$M$14:$M$47,('2027 Avoided Costs'!$B$14:$B$47&gt;=$B337+1)*('2027 Avoided Costs'!$B$14:$B$47&lt;$B337+ROUND($O337,0)))))+_xlfn.XLOOKUP($B337,'2027 Avoided Costs'!$B$13:$B$47,'2027 Avoided Costs'!$M$13:$M$47))*IF($AK337&gt;0,$AK337*(1+$W337),0),0)</f>
        <v>0</v>
      </c>
      <c r="AV337" s="291" cm="1">
        <f t="array" ref="AV337">IFERROR((IF($O337=1,0,NPV('2027 Avoided Costs'!$D$6,_xlfn._xlws.FILTER('2027 Avoided Costs'!$Q$14:$Q$47,('2027 Avoided Costs'!$B$14:$B$47&gt;=$B337+1)*('2027 Avoided Costs'!$B$14:$B$47&lt;$B337+ROUND($O337,0)))))+_xlfn.XLOOKUP($B337,'2027 Avoided Costs'!$B$13:$B$47,'2027 Avoided Costs'!$Q$13:$Q$47))*IF($AI337&gt;0,$AI337*(1+$W337),0),0)</f>
        <v>0</v>
      </c>
      <c r="AW337" s="291" cm="1">
        <f t="array" ref="AW337">IFERROR((IF($O337=1,0,NPV('2027 Avoided Costs'!$D$6,_xlfn._xlws.FILTER('2027 Avoided Costs'!$W$14:$W$47,('2027 Avoided Costs'!$B$14:$B$47&gt;=$B337+1)*('2027 Avoided Costs'!$B$14:$B$47&lt;$B337+ROUND($O337,0)))))+_xlfn.XLOOKUP($B337,'2027 Avoided Costs'!$B$13:$B$47,'2027 Avoided Costs'!$W$13:$W$47))*IF($AM337&gt;0,$AM337*(1+$W337),0),0)</f>
        <v>0</v>
      </c>
      <c r="AX337" s="291" cm="1">
        <f t="array" ref="AX337">IFERROR((IF($O337=1,0,NPV('2027 Avoided Costs'!$D$6,_xlfn._xlws.FILTER('2027 Avoided Costs'!$AC$14:$AC$47,('2027 Avoided Costs'!$B$14:$B$47&gt;=$B337+1)*('2027 Avoided Costs'!$B$14:$B$47&lt;$B337+ROUND($O337,0)))))+_xlfn.XLOOKUP($B337,'2027 Avoided Costs'!$B$13:$B$47,'2027 Avoided Costs'!$AC$13:$AC$47))*IF($AO337&gt;0,$AO337*(1+$W337),0),0)</f>
        <v>0</v>
      </c>
      <c r="AY337" s="291" cm="1">
        <f t="array" ref="AY337">IFERROR((IF($O337=1,0,NPV('2027 Avoided Costs'!$D$4,_xlfn._xlws.FILTER('2027 Avoided Costs'!$I$14:$I$47,('2027 Avoided Costs'!$B$14:$B$47&gt;=$B337+1)*('2027 Avoided Costs'!$B$14:$B$47&lt;$B337+ROUND($O337,0)))))+_xlfn.XLOOKUP($B337,'2027 Avoided Costs'!$B$13:$B$47,'2027 Avoided Costs'!$I$13:$I$47))*IF($X337="Residential",'2027 Avoided Costs'!$J$5,IF($X337="Large Volume",'2027 Avoided Costs'!$J$7,'2027 Avoided Costs'!$J$6))*IF($AE337&gt;0,$AE337,0),0)</f>
        <v>0</v>
      </c>
      <c r="AZ337" s="291" cm="1">
        <f t="array" ref="AZ337">IFERROR(IF($J337="Baseload",IF($O337=1,0,NPV('2027 Avoided Costs'!$D$6,_xlfn._xlws.FILTER('2027 Avoided Costs'!$C$14:$C$47,('2027 Avoided Costs'!$B$14:$B$47&gt;=$B337+1)*('2027 Avoided Costs'!$B$14:$B$47&lt;$B337+ROUND($O337,0)))))+_xlfn.XLOOKUP($B337,'2027 Avoided Costs'!$B$13:$B$47,'2027 Avoided Costs'!$C$13:$C$47),IF($O337=1,0,NPV('2027 Avoided Costs'!$D$6,_xlfn._xlws.FILTER('2027 Avoided Costs'!$E$14:$E$47,('2027 Avoided Costs'!$B$14:$B$47&gt;=$B337+1)*('2027 Avoided Costs'!$B$14:$B$47&lt;$B337+ROUND($O337,0)))))+_xlfn.XLOOKUP($B337,'2027 Avoided Costs'!$B$13:$B$47,'2027 Avoided Costs'!$E$13:$E$47))*IF($AE337&lt;0,$AE337*(-1),0),0)</f>
        <v>0</v>
      </c>
      <c r="BA337" s="291" cm="1">
        <f t="array" ref="BA337">IFERROR((IF($O337=1,0,NPV('2027 Avoided Costs'!$D$6,_xlfn._xlws.FILTER('2027 Avoided Costs'!$M$14:$M$47,('2027 Avoided Costs'!$B$14:$B$47&gt;=$B337+1)*('2027 Avoided Costs'!$B$14:$B$47&lt;$B337+ROUND($O337,0)))))+_xlfn.XLOOKUP($B337,'2027 Avoided Costs'!$B$13:$B$47,'2027 Avoided Costs'!$M$13:$M$47))*IF($AK337&lt;0,$AK337*(-1),0),0)</f>
        <v>0</v>
      </c>
      <c r="BB337" s="291" cm="1">
        <f t="array" ref="BB337">IFERROR((IF($O337=1,0,NPV('2027 Avoided Costs'!$D$6,_xlfn._xlws.FILTER('2027 Avoided Costs'!$S$14:$S$47,('2027 Avoided Costs'!$B$14:$B$47&gt;=$B337+1)*('2027 Avoided Costs'!$B$14:$B$47&lt;$B337+ROUND($O337,0)))))+_xlfn.XLOOKUP($B337,'2027 Avoided Costs'!$B$13:$B$47,'2027 Avoided Costs'!$S$13:$S$47))*IF($AI337&lt;0,$AI337*(-1),0),0)</f>
        <v>0</v>
      </c>
      <c r="BC337" s="291" cm="1">
        <f t="array" ref="BC337">IFERROR((IF($O337=1,0,NPV('2027 Avoided Costs'!$D$6,_xlfn._xlws.FILTER('2027 Avoided Costs'!$Y$14:$Y$47,('2027 Avoided Costs'!$B$14:$B$47&gt;=$B337+1)*('2027 Avoided Costs'!$B$14:$B$47&lt;$B337+ROUND($O337,0)))))+_xlfn.XLOOKUP($B337,'2027 Avoided Costs'!$B$13:$B$47,'2027 Avoided Costs'!$Y$13:$Y$47))*IF($AM337&lt;0,$AM337*(-1),0),0)</f>
        <v>0</v>
      </c>
      <c r="BD337" s="291" cm="1">
        <f t="array" ref="BD337">IFERROR((IF($O337=1,0,NPV('2027 Avoided Costs'!$D$6,_xlfn._xlws.FILTER('2027 Avoided Costs'!$AE$14:$AE$47,('2027 Avoided Costs'!$B$14:$B$47&gt;=$B337+1)*('2027 Avoided Costs'!$B$14:$B$47&lt;$B337+ROUND($O337,0)))))+_xlfn.XLOOKUP($B337,'2027 Avoided Costs'!$B$13:$B$47,'2027 Avoided Costs'!$AE$13:$AE$47))*IF($AO337&lt;0,$AO337*(-1),0),0)</f>
        <v>0</v>
      </c>
      <c r="BE337" s="291" cm="1">
        <f t="array" ref="BE337">IFERROR((IF($O337=1,0,NPV('2027 Avoided Costs'!$D$4,_xlfn._xlws.FILTER('2027 Avoided Costs'!$I$14:$I$47,('2027 Avoided Costs'!$B$14:$B$47&gt;=$B337+1)*('2027 Avoided Costs'!$B$14:$B$47&lt;$B337+ROUND($O337,0)))))+_xlfn.XLOOKUP($B337,'2027 Avoided Costs'!$B$13:$B$47,'2027 Avoided Costs'!$I$13:$I$47))*IF($X337="Residential",'2027 Avoided Costs'!$J$5,IF($X337="Large Volume",'2027 Avoided Costs'!$J$7,'2027 Avoided Costs'!$J$6))*IF($AE337&lt;0,$AE337*(-1),0),0)</f>
        <v>0</v>
      </c>
      <c r="BF337" s="291">
        <f t="shared" si="139"/>
        <v>101071.83582790499</v>
      </c>
      <c r="BG337" s="291">
        <f t="shared" si="140"/>
        <v>85000</v>
      </c>
      <c r="BH337" s="291">
        <f t="shared" si="141"/>
        <v>16071.835827904986</v>
      </c>
      <c r="BI337" s="292">
        <f t="shared" si="164"/>
        <v>1.1890804215047646</v>
      </c>
      <c r="BJ337" s="196" cm="1">
        <f t="array" ref="BJ337">IFERROR(IF($J337="Baseload",IF($O337=1,0,NPV('2027 Avoided Costs'!$D$6,_xlfn._xlws.FILTER('2027 Avoided Costs'!$C$14:$C$47,('2027 Avoided Costs'!$B$14:$B$47&gt;=$B337+1)*('2027 Avoided Costs'!$B$14:$B$47&lt;$B337+ROUND($O337,0)))))+_xlfn.XLOOKUP($B337,'2027 Avoided Costs'!$B$13:$B$47,'2027 Avoided Costs'!$C$13:$C$47),IF($O337=1,0,NPV('2027 Avoided Costs'!$D$6,_xlfn._xlws.FILTER('2027 Avoided Costs'!$E$14:$E$47,('2027 Avoided Costs'!$B$14:$B$47&gt;=$B337+1)*('2027 Avoided Costs'!$B$14:$B$47&lt;$B337+ROUND($O337,0)))))+_xlfn.XLOOKUP($B337,'2027 Avoided Costs'!$B$13:$B$47,'2027 Avoided Costs'!$E$13:$E$47))*IF($AE337&gt;0,$AE337*(1+0),0),0)</f>
        <v>87888.552893830434</v>
      </c>
      <c r="BK337" s="293">
        <f t="shared" si="162"/>
        <v>0.72743094176093515</v>
      </c>
    </row>
    <row r="338" spans="1:63" s="56" customFormat="1" x14ac:dyDescent="0.25">
      <c r="A338" s="270" t="s">
        <v>207</v>
      </c>
      <c r="B338" s="271">
        <v>2030</v>
      </c>
      <c r="C338" s="272" t="s">
        <v>12</v>
      </c>
      <c r="D338" s="272" t="s">
        <v>21</v>
      </c>
      <c r="E338" s="272" t="s">
        <v>109</v>
      </c>
      <c r="F338" s="273">
        <v>70</v>
      </c>
      <c r="G338" s="274">
        <v>49344.75</v>
      </c>
      <c r="H338" s="275">
        <f t="shared" si="142"/>
        <v>3.25</v>
      </c>
      <c r="I338" s="274">
        <v>0</v>
      </c>
      <c r="J338" s="276" t="s">
        <v>264</v>
      </c>
      <c r="K338" s="277">
        <f t="shared" si="138"/>
        <v>1</v>
      </c>
      <c r="L338" s="278">
        <v>0</v>
      </c>
      <c r="M338" s="278">
        <v>0</v>
      </c>
      <c r="N338" s="278">
        <v>0.97609999999999997</v>
      </c>
      <c r="O338" s="279">
        <v>20</v>
      </c>
      <c r="P338" s="280">
        <v>15183</v>
      </c>
      <c r="Q338" s="281">
        <v>10864</v>
      </c>
      <c r="R338" s="282">
        <v>6.6203996599558224</v>
      </c>
      <c r="S338" s="282">
        <v>1.9554512565234221</v>
      </c>
      <c r="T338" s="281">
        <v>0</v>
      </c>
      <c r="U338" s="283">
        <v>0</v>
      </c>
      <c r="V338" s="284">
        <v>44540</v>
      </c>
      <c r="W338" s="285">
        <v>0.15</v>
      </c>
      <c r="X338" s="286" t="s">
        <v>255</v>
      </c>
      <c r="Y338" s="287">
        <f t="shared" si="143"/>
        <v>70</v>
      </c>
      <c r="Z338" s="288">
        <f t="shared" si="144"/>
        <v>3454132.5</v>
      </c>
      <c r="AA338" s="288">
        <f t="shared" si="145"/>
        <v>0</v>
      </c>
      <c r="AB338" s="288">
        <f t="shared" si="146"/>
        <v>3665553.0420599999</v>
      </c>
      <c r="AC338" s="288">
        <f t="shared" si="163"/>
        <v>0</v>
      </c>
      <c r="AD338" s="287">
        <f t="shared" si="147"/>
        <v>1037408.841</v>
      </c>
      <c r="AE338" s="287">
        <f t="shared" si="148"/>
        <v>1037408.841</v>
      </c>
      <c r="AF338" s="287">
        <f t="shared" si="149"/>
        <v>20748176.82</v>
      </c>
      <c r="AG338" s="287">
        <f t="shared" si="150"/>
        <v>20748176.82</v>
      </c>
      <c r="AH338" s="287">
        <f t="shared" si="151"/>
        <v>795750.45401600003</v>
      </c>
      <c r="AI338" s="287">
        <f t="shared" si="152"/>
        <v>795750.45401600003</v>
      </c>
      <c r="AJ338" s="287">
        <f t="shared" si="153"/>
        <v>0</v>
      </c>
      <c r="AK338" s="287">
        <f t="shared" si="154"/>
        <v>0</v>
      </c>
      <c r="AL338" s="287">
        <f t="shared" si="155"/>
        <v>484.92139499053917</v>
      </c>
      <c r="AM338" s="287">
        <f t="shared" si="156"/>
        <v>484.92139499053917</v>
      </c>
      <c r="AN338" s="287">
        <f t="shared" si="157"/>
        <v>143.23004650079812</v>
      </c>
      <c r="AO338" s="287">
        <f t="shared" si="158"/>
        <v>143.23004650079812</v>
      </c>
      <c r="AP338" s="287">
        <f t="shared" si="159"/>
        <v>3117800</v>
      </c>
      <c r="AQ338" s="287">
        <f t="shared" si="160"/>
        <v>3117800</v>
      </c>
      <c r="AR338" s="287">
        <f t="shared" si="161"/>
        <v>0</v>
      </c>
      <c r="AS338" s="289" t="e">
        <f>IF(J338='2027 Avoided Costs'!#REF!,3,5)</f>
        <v>#REF!</v>
      </c>
      <c r="AT338" s="290" cm="1">
        <f t="array" ref="AT338">IFERROR(IF($J338="Baseload",IF($O338=1,0,NPV('2027 Avoided Costs'!$D$6,_xlfn._xlws.FILTER('2027 Avoided Costs'!$C$14:$C$47,('2027 Avoided Costs'!$B$14:$B$47&gt;=$B338+1)*('2027 Avoided Costs'!$B$14:$B$47&lt;$B338+ROUND($O338,0)))))+_xlfn.XLOOKUP($B338,'2027 Avoided Costs'!$B$13:$B$47,'2027 Avoided Costs'!$C$13:$C$47),IF($O338=1,0,NPV('2027 Avoided Costs'!$D$6,_xlfn._xlws.FILTER('2027 Avoided Costs'!$E$14:$E$47,('2027 Avoided Costs'!$B$14:$B$47&gt;=$B338+1)*('2027 Avoided Costs'!$B$14:$B$47&lt;$B338+ROUND($O338,0)))))+_xlfn.XLOOKUP($B338,'2027 Avoided Costs'!$B$13:$B$47,'2027 Avoided Costs'!$E$13:$E$47))*IF($AE338&gt;0,$AE338*(1+$W338),0),0)</f>
        <v>5702516.0199314477</v>
      </c>
      <c r="AU338" s="290" cm="1">
        <f t="array" ref="AU338">IFERROR((IF($O338=1,0,NPV('2027 Avoided Costs'!$D$6,_xlfn._xlws.FILTER('2027 Avoided Costs'!$M$14:$M$47,('2027 Avoided Costs'!$B$14:$B$47&gt;=$B338+1)*('2027 Avoided Costs'!$B$14:$B$47&lt;$B338+ROUND($O338,0)))))+_xlfn.XLOOKUP($B338,'2027 Avoided Costs'!$B$13:$B$47,'2027 Avoided Costs'!$M$13:$M$47))*IF($AK338&gt;0,$AK338*(1+$W338),0),0)</f>
        <v>0</v>
      </c>
      <c r="AV338" s="291" cm="1">
        <f t="array" ref="AV338">IFERROR((IF($O338=1,0,NPV('2027 Avoided Costs'!$D$6,_xlfn._xlws.FILTER('2027 Avoided Costs'!$Q$14:$Q$47,('2027 Avoided Costs'!$B$14:$B$47&gt;=$B338+1)*('2027 Avoided Costs'!$B$14:$B$47&lt;$B338+ROUND($O338,0)))))+_xlfn.XLOOKUP($B338,'2027 Avoided Costs'!$B$13:$B$47,'2027 Avoided Costs'!$Q$13:$Q$47))*IF($AI338&gt;0,$AI338*(1+$W338),0),0)</f>
        <v>594517.66791029915</v>
      </c>
      <c r="AW338" s="291" cm="1">
        <f t="array" ref="AW338">IFERROR((IF($O338=1,0,NPV('2027 Avoided Costs'!$D$6,_xlfn._xlws.FILTER('2027 Avoided Costs'!$W$14:$W$47,('2027 Avoided Costs'!$B$14:$B$47&gt;=$B338+1)*('2027 Avoided Costs'!$B$14:$B$47&lt;$B338+ROUND($O338,0)))))+_xlfn.XLOOKUP($B338,'2027 Avoided Costs'!$B$13:$B$47,'2027 Avoided Costs'!$W$13:$W$47))*IF($AM338&gt;0,$AM338*(1+$W338),0),0)</f>
        <v>2583603.1563266162</v>
      </c>
      <c r="AX338" s="291" cm="1">
        <f t="array" ref="AX338">IFERROR((IF($O338=1,0,NPV('2027 Avoided Costs'!$D$6,_xlfn._xlws.FILTER('2027 Avoided Costs'!$AC$14:$AC$47,('2027 Avoided Costs'!$B$14:$B$47&gt;=$B338+1)*('2027 Avoided Costs'!$B$14:$B$47&lt;$B338+ROUND($O338,0)))))+_xlfn.XLOOKUP($B338,'2027 Avoided Costs'!$B$13:$B$47,'2027 Avoided Costs'!$AC$13:$AC$47))*IF($AO338&gt;0,$AO338*(1+$W338),0),0)</f>
        <v>120367.54177775724</v>
      </c>
      <c r="AY338" s="291" cm="1">
        <f t="array" ref="AY338">IFERROR((IF($O338=1,0,NPV('2027 Avoided Costs'!$D$4,_xlfn._xlws.FILTER('2027 Avoided Costs'!$I$14:$I$47,('2027 Avoided Costs'!$B$14:$B$47&gt;=$B338+1)*('2027 Avoided Costs'!$B$14:$B$47&lt;$B338+ROUND($O338,0)))))+_xlfn.XLOOKUP($B338,'2027 Avoided Costs'!$B$13:$B$47,'2027 Avoided Costs'!$I$13:$I$47))*IF($X338="Residential",'2027 Avoided Costs'!$J$5,IF($X338="Large Volume",'2027 Avoided Costs'!$J$7,'2027 Avoided Costs'!$J$6))*IF($AE338&gt;0,$AE338,0),0)</f>
        <v>0</v>
      </c>
      <c r="AZ338" s="291" cm="1">
        <f t="array" ref="AZ338">IFERROR(IF($J338="Baseload",IF($O338=1,0,NPV('2027 Avoided Costs'!$D$6,_xlfn._xlws.FILTER('2027 Avoided Costs'!$C$14:$C$47,('2027 Avoided Costs'!$B$14:$B$47&gt;=$B338+1)*('2027 Avoided Costs'!$B$14:$B$47&lt;$B338+ROUND($O338,0)))))+_xlfn.XLOOKUP($B338,'2027 Avoided Costs'!$B$13:$B$47,'2027 Avoided Costs'!$C$13:$C$47),IF($O338=1,0,NPV('2027 Avoided Costs'!$D$6,_xlfn._xlws.FILTER('2027 Avoided Costs'!$E$14:$E$47,('2027 Avoided Costs'!$B$14:$B$47&gt;=$B338+1)*('2027 Avoided Costs'!$B$14:$B$47&lt;$B338+ROUND($O338,0)))))+_xlfn.XLOOKUP($B338,'2027 Avoided Costs'!$B$13:$B$47,'2027 Avoided Costs'!$E$13:$E$47))*IF($AE338&lt;0,$AE338*(-1),0),0)</f>
        <v>0</v>
      </c>
      <c r="BA338" s="291" cm="1">
        <f t="array" ref="BA338">IFERROR((IF($O338=1,0,NPV('2027 Avoided Costs'!$D$6,_xlfn._xlws.FILTER('2027 Avoided Costs'!$M$14:$M$47,('2027 Avoided Costs'!$B$14:$B$47&gt;=$B338+1)*('2027 Avoided Costs'!$B$14:$B$47&lt;$B338+ROUND($O338,0)))))+_xlfn.XLOOKUP($B338,'2027 Avoided Costs'!$B$13:$B$47,'2027 Avoided Costs'!$M$13:$M$47))*IF($AK338&lt;0,$AK338*(-1),0),0)</f>
        <v>0</v>
      </c>
      <c r="BB338" s="291" cm="1">
        <f t="array" ref="BB338">IFERROR((IF($O338=1,0,NPV('2027 Avoided Costs'!$D$6,_xlfn._xlws.FILTER('2027 Avoided Costs'!$S$14:$S$47,('2027 Avoided Costs'!$B$14:$B$47&gt;=$B338+1)*('2027 Avoided Costs'!$B$14:$B$47&lt;$B338+ROUND($O338,0)))))+_xlfn.XLOOKUP($B338,'2027 Avoided Costs'!$B$13:$B$47,'2027 Avoided Costs'!$S$13:$S$47))*IF($AI338&lt;0,$AI338*(-1),0),0)</f>
        <v>0</v>
      </c>
      <c r="BC338" s="291" cm="1">
        <f t="array" ref="BC338">IFERROR((IF($O338=1,0,NPV('2027 Avoided Costs'!$D$6,_xlfn._xlws.FILTER('2027 Avoided Costs'!$Y$14:$Y$47,('2027 Avoided Costs'!$B$14:$B$47&gt;=$B338+1)*('2027 Avoided Costs'!$B$14:$B$47&lt;$B338+ROUND($O338,0)))))+_xlfn.XLOOKUP($B338,'2027 Avoided Costs'!$B$13:$B$47,'2027 Avoided Costs'!$Y$13:$Y$47))*IF($AM338&lt;0,$AM338*(-1),0),0)</f>
        <v>0</v>
      </c>
      <c r="BD338" s="291" cm="1">
        <f t="array" ref="BD338">IFERROR((IF($O338=1,0,NPV('2027 Avoided Costs'!$D$6,_xlfn._xlws.FILTER('2027 Avoided Costs'!$AE$14:$AE$47,('2027 Avoided Costs'!$B$14:$B$47&gt;=$B338+1)*('2027 Avoided Costs'!$B$14:$B$47&lt;$B338+ROUND($O338,0)))))+_xlfn.XLOOKUP($B338,'2027 Avoided Costs'!$B$13:$B$47,'2027 Avoided Costs'!$AE$13:$AE$47))*IF($AO338&lt;0,$AO338*(-1),0),0)</f>
        <v>0</v>
      </c>
      <c r="BE338" s="291" cm="1">
        <f t="array" ref="BE338">IFERROR((IF($O338=1,0,NPV('2027 Avoided Costs'!$D$4,_xlfn._xlws.FILTER('2027 Avoided Costs'!$I$14:$I$47,('2027 Avoided Costs'!$B$14:$B$47&gt;=$B338+1)*('2027 Avoided Costs'!$B$14:$B$47&lt;$B338+ROUND($O338,0)))))+_xlfn.XLOOKUP($B338,'2027 Avoided Costs'!$B$13:$B$47,'2027 Avoided Costs'!$I$13:$I$47))*IF($X338="Residential",'2027 Avoided Costs'!$J$5,IF($X338="Large Volume",'2027 Avoided Costs'!$J$7,'2027 Avoided Costs'!$J$6))*IF($AE338&lt;0,$AE338*(-1),0),0)</f>
        <v>0</v>
      </c>
      <c r="BF338" s="291">
        <f t="shared" si="139"/>
        <v>9001004.3859461211</v>
      </c>
      <c r="BG338" s="291">
        <f t="shared" si="140"/>
        <v>3117800</v>
      </c>
      <c r="BH338" s="291">
        <f t="shared" si="141"/>
        <v>5883204.3859461211</v>
      </c>
      <c r="BI338" s="292">
        <f t="shared" si="164"/>
        <v>2.8869729892700371</v>
      </c>
      <c r="BJ338" s="196" cm="1">
        <f t="array" ref="BJ338">IFERROR(IF($J338="Baseload",IF($O338=1,0,NPV('2027 Avoided Costs'!$D$6,_xlfn._xlws.FILTER('2027 Avoided Costs'!$C$14:$C$47,('2027 Avoided Costs'!$B$14:$B$47&gt;=$B338+1)*('2027 Avoided Costs'!$B$14:$B$47&lt;$B338+ROUND($O338,0)))))+_xlfn.XLOOKUP($B338,'2027 Avoided Costs'!$B$13:$B$47,'2027 Avoided Costs'!$C$13:$C$47),IF($O338=1,0,NPV('2027 Avoided Costs'!$D$6,_xlfn._xlws.FILTER('2027 Avoided Costs'!$E$14:$E$47,('2027 Avoided Costs'!$B$14:$B$47&gt;=$B338+1)*('2027 Avoided Costs'!$B$14:$B$47&lt;$B338+ROUND($O338,0)))))+_xlfn.XLOOKUP($B338,'2027 Avoided Costs'!$B$13:$B$47,'2027 Avoided Costs'!$E$13:$E$47))*IF($AE338&gt;0,$AE338*(1+0),0),0)</f>
        <v>4958709.5825490858</v>
      </c>
      <c r="BK338" s="293">
        <f t="shared" si="162"/>
        <v>1.3527862032416114</v>
      </c>
    </row>
    <row r="339" spans="1:63" s="56" customFormat="1" x14ac:dyDescent="0.25">
      <c r="A339" s="270" t="s">
        <v>207</v>
      </c>
      <c r="B339" s="271">
        <v>2030</v>
      </c>
      <c r="C339" s="272" t="s">
        <v>12</v>
      </c>
      <c r="D339" s="272" t="s">
        <v>21</v>
      </c>
      <c r="E339" s="272" t="s">
        <v>110</v>
      </c>
      <c r="F339" s="273">
        <v>86</v>
      </c>
      <c r="G339" s="274">
        <v>41119.599999999999</v>
      </c>
      <c r="H339" s="275">
        <f t="shared" si="142"/>
        <v>3.4</v>
      </c>
      <c r="I339" s="274">
        <v>0</v>
      </c>
      <c r="J339" s="276" t="s">
        <v>264</v>
      </c>
      <c r="K339" s="277">
        <f t="shared" si="138"/>
        <v>1</v>
      </c>
      <c r="L339" s="278">
        <v>0</v>
      </c>
      <c r="M339" s="278">
        <v>0</v>
      </c>
      <c r="N339" s="278">
        <v>0.97609999999999997</v>
      </c>
      <c r="O339" s="279">
        <v>15</v>
      </c>
      <c r="P339" s="280">
        <v>12094</v>
      </c>
      <c r="Q339" s="281">
        <v>0</v>
      </c>
      <c r="R339" s="282">
        <v>0</v>
      </c>
      <c r="S339" s="282">
        <v>0</v>
      </c>
      <c r="T339" s="281">
        <v>0</v>
      </c>
      <c r="U339" s="283">
        <v>0</v>
      </c>
      <c r="V339" s="284">
        <v>31979</v>
      </c>
      <c r="W339" s="285">
        <v>0.15</v>
      </c>
      <c r="X339" s="286" t="s">
        <v>255</v>
      </c>
      <c r="Y339" s="287">
        <f t="shared" si="143"/>
        <v>86</v>
      </c>
      <c r="Z339" s="288">
        <f t="shared" si="144"/>
        <v>3536285.6</v>
      </c>
      <c r="AA339" s="288">
        <f t="shared" si="145"/>
        <v>0</v>
      </c>
      <c r="AB339" s="288">
        <f t="shared" si="146"/>
        <v>3752734.5690047997</v>
      </c>
      <c r="AC339" s="288">
        <f t="shared" si="163"/>
        <v>0</v>
      </c>
      <c r="AD339" s="287">
        <f t="shared" si="147"/>
        <v>1015225.9924</v>
      </c>
      <c r="AE339" s="287">
        <f t="shared" si="148"/>
        <v>1015225.9924</v>
      </c>
      <c r="AF339" s="287">
        <f t="shared" si="149"/>
        <v>15228389.886</v>
      </c>
      <c r="AG339" s="287">
        <f t="shared" si="150"/>
        <v>15228389.886</v>
      </c>
      <c r="AH339" s="287">
        <f t="shared" si="151"/>
        <v>0</v>
      </c>
      <c r="AI339" s="287">
        <f t="shared" si="152"/>
        <v>0</v>
      </c>
      <c r="AJ339" s="287">
        <f t="shared" si="153"/>
        <v>0</v>
      </c>
      <c r="AK339" s="287">
        <f t="shared" si="154"/>
        <v>0</v>
      </c>
      <c r="AL339" s="287">
        <f t="shared" si="155"/>
        <v>0</v>
      </c>
      <c r="AM339" s="287">
        <f t="shared" si="156"/>
        <v>0</v>
      </c>
      <c r="AN339" s="287">
        <f t="shared" si="157"/>
        <v>0</v>
      </c>
      <c r="AO339" s="287">
        <f t="shared" si="158"/>
        <v>0</v>
      </c>
      <c r="AP339" s="287">
        <f t="shared" si="159"/>
        <v>2750194</v>
      </c>
      <c r="AQ339" s="287">
        <f t="shared" si="160"/>
        <v>2750194</v>
      </c>
      <c r="AR339" s="287">
        <f t="shared" si="161"/>
        <v>0</v>
      </c>
      <c r="AS339" s="289" t="e">
        <f>IF(J339='2027 Avoided Costs'!#REF!,3,5)</f>
        <v>#REF!</v>
      </c>
      <c r="AT339" s="290" cm="1">
        <f t="array" ref="AT339">IFERROR(IF($J339="Baseload",IF($O339=1,0,NPV('2027 Avoided Costs'!$D$6,_xlfn._xlws.FILTER('2027 Avoided Costs'!$C$14:$C$47,('2027 Avoided Costs'!$B$14:$B$47&gt;=$B339+1)*('2027 Avoided Costs'!$B$14:$B$47&lt;$B339+ROUND($O339,0)))))+_xlfn.XLOOKUP($B339,'2027 Avoided Costs'!$B$13:$B$47,'2027 Avoided Costs'!$C$13:$C$47),IF($O339=1,0,NPV('2027 Avoided Costs'!$D$6,_xlfn._xlws.FILTER('2027 Avoided Costs'!$E$14:$E$47,('2027 Avoided Costs'!$B$14:$B$47&gt;=$B339+1)*('2027 Avoided Costs'!$B$14:$B$47&lt;$B339+ROUND($O339,0)))))+_xlfn.XLOOKUP($B339,'2027 Avoided Costs'!$B$13:$B$47,'2027 Avoided Costs'!$E$13:$E$47))*IF($AE339&gt;0,$AE339*(1+$W339),0),0)</f>
        <v>4451778.1762936041</v>
      </c>
      <c r="AU339" s="290" cm="1">
        <f t="array" ref="AU339">IFERROR((IF($O339=1,0,NPV('2027 Avoided Costs'!$D$6,_xlfn._xlws.FILTER('2027 Avoided Costs'!$M$14:$M$47,('2027 Avoided Costs'!$B$14:$B$47&gt;=$B339+1)*('2027 Avoided Costs'!$B$14:$B$47&lt;$B339+ROUND($O339,0)))))+_xlfn.XLOOKUP($B339,'2027 Avoided Costs'!$B$13:$B$47,'2027 Avoided Costs'!$M$13:$M$47))*IF($AK339&gt;0,$AK339*(1+$W339),0),0)</f>
        <v>0</v>
      </c>
      <c r="AV339" s="291" cm="1">
        <f t="array" ref="AV339">IFERROR((IF($O339=1,0,NPV('2027 Avoided Costs'!$D$6,_xlfn._xlws.FILTER('2027 Avoided Costs'!$Q$14:$Q$47,('2027 Avoided Costs'!$B$14:$B$47&gt;=$B339+1)*('2027 Avoided Costs'!$B$14:$B$47&lt;$B339+ROUND($O339,0)))))+_xlfn.XLOOKUP($B339,'2027 Avoided Costs'!$B$13:$B$47,'2027 Avoided Costs'!$Q$13:$Q$47))*IF($AI339&gt;0,$AI339*(1+$W339),0),0)</f>
        <v>0</v>
      </c>
      <c r="AW339" s="291" cm="1">
        <f t="array" ref="AW339">IFERROR((IF($O339=1,0,NPV('2027 Avoided Costs'!$D$6,_xlfn._xlws.FILTER('2027 Avoided Costs'!$W$14:$W$47,('2027 Avoided Costs'!$B$14:$B$47&gt;=$B339+1)*('2027 Avoided Costs'!$B$14:$B$47&lt;$B339+ROUND($O339,0)))))+_xlfn.XLOOKUP($B339,'2027 Avoided Costs'!$B$13:$B$47,'2027 Avoided Costs'!$W$13:$W$47))*IF($AM339&gt;0,$AM339*(1+$W339),0),0)</f>
        <v>0</v>
      </c>
      <c r="AX339" s="291" cm="1">
        <f t="array" ref="AX339">IFERROR((IF($O339=1,0,NPV('2027 Avoided Costs'!$D$6,_xlfn._xlws.FILTER('2027 Avoided Costs'!$AC$14:$AC$47,('2027 Avoided Costs'!$B$14:$B$47&gt;=$B339+1)*('2027 Avoided Costs'!$B$14:$B$47&lt;$B339+ROUND($O339,0)))))+_xlfn.XLOOKUP($B339,'2027 Avoided Costs'!$B$13:$B$47,'2027 Avoided Costs'!$AC$13:$AC$47))*IF($AO339&gt;0,$AO339*(1+$W339),0),0)</f>
        <v>0</v>
      </c>
      <c r="AY339" s="291" cm="1">
        <f t="array" ref="AY339">IFERROR((IF($O339=1,0,NPV('2027 Avoided Costs'!$D$4,_xlfn._xlws.FILTER('2027 Avoided Costs'!$I$14:$I$47,('2027 Avoided Costs'!$B$14:$B$47&gt;=$B339+1)*('2027 Avoided Costs'!$B$14:$B$47&lt;$B339+ROUND($O339,0)))))+_xlfn.XLOOKUP($B339,'2027 Avoided Costs'!$B$13:$B$47,'2027 Avoided Costs'!$I$13:$I$47))*IF($X339="Residential",'2027 Avoided Costs'!$J$5,IF($X339="Large Volume",'2027 Avoided Costs'!$J$7,'2027 Avoided Costs'!$J$6))*IF($AE339&gt;0,$AE339,0),0)</f>
        <v>0</v>
      </c>
      <c r="AZ339" s="291" cm="1">
        <f t="array" ref="AZ339">IFERROR(IF($J339="Baseload",IF($O339=1,0,NPV('2027 Avoided Costs'!$D$6,_xlfn._xlws.FILTER('2027 Avoided Costs'!$C$14:$C$47,('2027 Avoided Costs'!$B$14:$B$47&gt;=$B339+1)*('2027 Avoided Costs'!$B$14:$B$47&lt;$B339+ROUND($O339,0)))))+_xlfn.XLOOKUP($B339,'2027 Avoided Costs'!$B$13:$B$47,'2027 Avoided Costs'!$C$13:$C$47),IF($O339=1,0,NPV('2027 Avoided Costs'!$D$6,_xlfn._xlws.FILTER('2027 Avoided Costs'!$E$14:$E$47,('2027 Avoided Costs'!$B$14:$B$47&gt;=$B339+1)*('2027 Avoided Costs'!$B$14:$B$47&lt;$B339+ROUND($O339,0)))))+_xlfn.XLOOKUP($B339,'2027 Avoided Costs'!$B$13:$B$47,'2027 Avoided Costs'!$E$13:$E$47))*IF($AE339&lt;0,$AE339*(-1),0),0)</f>
        <v>0</v>
      </c>
      <c r="BA339" s="291" cm="1">
        <f t="array" ref="BA339">IFERROR((IF($O339=1,0,NPV('2027 Avoided Costs'!$D$6,_xlfn._xlws.FILTER('2027 Avoided Costs'!$M$14:$M$47,('2027 Avoided Costs'!$B$14:$B$47&gt;=$B339+1)*('2027 Avoided Costs'!$B$14:$B$47&lt;$B339+ROUND($O339,0)))))+_xlfn.XLOOKUP($B339,'2027 Avoided Costs'!$B$13:$B$47,'2027 Avoided Costs'!$M$13:$M$47))*IF($AK339&lt;0,$AK339*(-1),0),0)</f>
        <v>0</v>
      </c>
      <c r="BB339" s="291" cm="1">
        <f t="array" ref="BB339">IFERROR((IF($O339=1,0,NPV('2027 Avoided Costs'!$D$6,_xlfn._xlws.FILTER('2027 Avoided Costs'!$S$14:$S$47,('2027 Avoided Costs'!$B$14:$B$47&gt;=$B339+1)*('2027 Avoided Costs'!$B$14:$B$47&lt;$B339+ROUND($O339,0)))))+_xlfn.XLOOKUP($B339,'2027 Avoided Costs'!$B$13:$B$47,'2027 Avoided Costs'!$S$13:$S$47))*IF($AI339&lt;0,$AI339*(-1),0),0)</f>
        <v>0</v>
      </c>
      <c r="BC339" s="291" cm="1">
        <f t="array" ref="BC339">IFERROR((IF($O339=1,0,NPV('2027 Avoided Costs'!$D$6,_xlfn._xlws.FILTER('2027 Avoided Costs'!$Y$14:$Y$47,('2027 Avoided Costs'!$B$14:$B$47&gt;=$B339+1)*('2027 Avoided Costs'!$B$14:$B$47&lt;$B339+ROUND($O339,0)))))+_xlfn.XLOOKUP($B339,'2027 Avoided Costs'!$B$13:$B$47,'2027 Avoided Costs'!$Y$13:$Y$47))*IF($AM339&lt;0,$AM339*(-1),0),0)</f>
        <v>0</v>
      </c>
      <c r="BD339" s="291" cm="1">
        <f t="array" ref="BD339">IFERROR((IF($O339=1,0,NPV('2027 Avoided Costs'!$D$6,_xlfn._xlws.FILTER('2027 Avoided Costs'!$AE$14:$AE$47,('2027 Avoided Costs'!$B$14:$B$47&gt;=$B339+1)*('2027 Avoided Costs'!$B$14:$B$47&lt;$B339+ROUND($O339,0)))))+_xlfn.XLOOKUP($B339,'2027 Avoided Costs'!$B$13:$B$47,'2027 Avoided Costs'!$AE$13:$AE$47))*IF($AO339&lt;0,$AO339*(-1),0),0)</f>
        <v>0</v>
      </c>
      <c r="BE339" s="291" cm="1">
        <f t="array" ref="BE339">IFERROR((IF($O339=1,0,NPV('2027 Avoided Costs'!$D$4,_xlfn._xlws.FILTER('2027 Avoided Costs'!$I$14:$I$47,('2027 Avoided Costs'!$B$14:$B$47&gt;=$B339+1)*('2027 Avoided Costs'!$B$14:$B$47&lt;$B339+ROUND($O339,0)))))+_xlfn.XLOOKUP($B339,'2027 Avoided Costs'!$B$13:$B$47,'2027 Avoided Costs'!$I$13:$I$47))*IF($X339="Residential",'2027 Avoided Costs'!$J$5,IF($X339="Large Volume",'2027 Avoided Costs'!$J$7,'2027 Avoided Costs'!$J$6))*IF($AE339&lt;0,$AE339*(-1),0),0)</f>
        <v>0</v>
      </c>
      <c r="BF339" s="291">
        <f t="shared" si="139"/>
        <v>4451778.1762936041</v>
      </c>
      <c r="BG339" s="291">
        <f t="shared" si="140"/>
        <v>2750194</v>
      </c>
      <c r="BH339" s="291">
        <f t="shared" si="141"/>
        <v>1701584.1762936041</v>
      </c>
      <c r="BI339" s="292">
        <f t="shared" si="164"/>
        <v>1.6187142348116548</v>
      </c>
      <c r="BJ339" s="196" cm="1">
        <f t="array" ref="BJ339">IFERROR(IF($J339="Baseload",IF($O339=1,0,NPV('2027 Avoided Costs'!$D$6,_xlfn._xlws.FILTER('2027 Avoided Costs'!$C$14:$C$47,('2027 Avoided Costs'!$B$14:$B$47&gt;=$B339+1)*('2027 Avoided Costs'!$B$14:$B$47&lt;$B339+ROUND($O339,0)))))+_xlfn.XLOOKUP($B339,'2027 Avoided Costs'!$B$13:$B$47,'2027 Avoided Costs'!$C$13:$C$47),IF($O339=1,0,NPV('2027 Avoided Costs'!$D$6,_xlfn._xlws.FILTER('2027 Avoided Costs'!$E$14:$E$47,('2027 Avoided Costs'!$B$14:$B$47&gt;=$B339+1)*('2027 Avoided Costs'!$B$14:$B$47&lt;$B339+ROUND($O339,0)))))+_xlfn.XLOOKUP($B339,'2027 Avoided Costs'!$B$13:$B$47,'2027 Avoided Costs'!$E$13:$E$47))*IF($AE339&gt;0,$AE339*(1+0),0),0)</f>
        <v>3871111.4576466125</v>
      </c>
      <c r="BK339" s="293">
        <f t="shared" si="162"/>
        <v>1.0315441677169312</v>
      </c>
    </row>
    <row r="340" spans="1:63" s="56" customFormat="1" x14ac:dyDescent="0.25">
      <c r="A340" s="270" t="s">
        <v>207</v>
      </c>
      <c r="B340" s="271">
        <v>2030</v>
      </c>
      <c r="C340" s="272" t="s">
        <v>12</v>
      </c>
      <c r="D340" s="272" t="s">
        <v>21</v>
      </c>
      <c r="E340" s="272" t="s">
        <v>113</v>
      </c>
      <c r="F340" s="273">
        <v>12</v>
      </c>
      <c r="G340" s="274">
        <v>6437.1580459770121</v>
      </c>
      <c r="H340" s="275">
        <f t="shared" si="142"/>
        <v>3.9982348111658461</v>
      </c>
      <c r="I340" s="274">
        <v>0</v>
      </c>
      <c r="J340" s="276" t="s">
        <v>263</v>
      </c>
      <c r="K340" s="277">
        <f t="shared" si="138"/>
        <v>1</v>
      </c>
      <c r="L340" s="278">
        <v>0</v>
      </c>
      <c r="M340" s="278">
        <v>0</v>
      </c>
      <c r="N340" s="278">
        <v>1</v>
      </c>
      <c r="O340" s="279">
        <v>15</v>
      </c>
      <c r="P340" s="280">
        <v>1610</v>
      </c>
      <c r="Q340" s="281">
        <v>0</v>
      </c>
      <c r="R340" s="282">
        <v>0</v>
      </c>
      <c r="S340" s="282">
        <v>0</v>
      </c>
      <c r="T340" s="281">
        <v>0</v>
      </c>
      <c r="U340" s="283">
        <v>0</v>
      </c>
      <c r="V340" s="284">
        <v>6890</v>
      </c>
      <c r="W340" s="285">
        <v>0.15</v>
      </c>
      <c r="X340" s="286" t="s">
        <v>255</v>
      </c>
      <c r="Y340" s="287">
        <f t="shared" si="143"/>
        <v>12</v>
      </c>
      <c r="Z340" s="288">
        <f t="shared" si="144"/>
        <v>77245.896551724145</v>
      </c>
      <c r="AA340" s="288">
        <f t="shared" si="145"/>
        <v>0</v>
      </c>
      <c r="AB340" s="288">
        <f t="shared" si="146"/>
        <v>81973.963387862066</v>
      </c>
      <c r="AC340" s="288">
        <f t="shared" si="163"/>
        <v>0</v>
      </c>
      <c r="AD340" s="287">
        <f t="shared" si="147"/>
        <v>19320</v>
      </c>
      <c r="AE340" s="287">
        <f t="shared" si="148"/>
        <v>19320</v>
      </c>
      <c r="AF340" s="287">
        <f t="shared" si="149"/>
        <v>289800</v>
      </c>
      <c r="AG340" s="287">
        <f t="shared" si="150"/>
        <v>289800</v>
      </c>
      <c r="AH340" s="287">
        <f t="shared" si="151"/>
        <v>0</v>
      </c>
      <c r="AI340" s="287">
        <f t="shared" si="152"/>
        <v>0</v>
      </c>
      <c r="AJ340" s="287">
        <f t="shared" si="153"/>
        <v>0</v>
      </c>
      <c r="AK340" s="287">
        <f t="shared" si="154"/>
        <v>0</v>
      </c>
      <c r="AL340" s="287">
        <f t="shared" si="155"/>
        <v>0</v>
      </c>
      <c r="AM340" s="287">
        <f t="shared" si="156"/>
        <v>0</v>
      </c>
      <c r="AN340" s="287">
        <f t="shared" si="157"/>
        <v>0</v>
      </c>
      <c r="AO340" s="287">
        <f t="shared" si="158"/>
        <v>0</v>
      </c>
      <c r="AP340" s="287">
        <f t="shared" si="159"/>
        <v>82680</v>
      </c>
      <c r="AQ340" s="287">
        <f t="shared" si="160"/>
        <v>82680</v>
      </c>
      <c r="AR340" s="287">
        <f t="shared" si="161"/>
        <v>0</v>
      </c>
      <c r="AS340" s="289" t="e">
        <f>IF(J340='2027 Avoided Costs'!#REF!,3,5)</f>
        <v>#REF!</v>
      </c>
      <c r="AT340" s="290" cm="1">
        <f t="array" ref="AT340">IFERROR(IF($J340="Baseload",IF($O340=1,0,NPV('2027 Avoided Costs'!$D$6,_xlfn._xlws.FILTER('2027 Avoided Costs'!$C$14:$C$47,('2027 Avoided Costs'!$B$14:$B$47&gt;=$B340+1)*('2027 Avoided Costs'!$B$14:$B$47&lt;$B340+ROUND($O340,0)))))+_xlfn.XLOOKUP($B340,'2027 Avoided Costs'!$B$13:$B$47,'2027 Avoided Costs'!$C$13:$C$47),IF($O340=1,0,NPV('2027 Avoided Costs'!$D$6,_xlfn._xlws.FILTER('2027 Avoided Costs'!$E$14:$E$47,('2027 Avoided Costs'!$B$14:$B$47&gt;=$B340+1)*('2027 Avoided Costs'!$B$14:$B$47&lt;$B340+ROUND($O340,0)))))+_xlfn.XLOOKUP($B340,'2027 Avoided Costs'!$B$13:$B$47,'2027 Avoided Costs'!$E$13:$E$47))*IF($AE340&gt;0,$AE340*(1+$W340),0),0)</f>
        <v>75773.839286938004</v>
      </c>
      <c r="AU340" s="290" cm="1">
        <f t="array" ref="AU340">IFERROR((IF($O340=1,0,NPV('2027 Avoided Costs'!$D$6,_xlfn._xlws.FILTER('2027 Avoided Costs'!$M$14:$M$47,('2027 Avoided Costs'!$B$14:$B$47&gt;=$B340+1)*('2027 Avoided Costs'!$B$14:$B$47&lt;$B340+ROUND($O340,0)))))+_xlfn.XLOOKUP($B340,'2027 Avoided Costs'!$B$13:$B$47,'2027 Avoided Costs'!$M$13:$M$47))*IF($AK340&gt;0,$AK340*(1+$W340),0),0)</f>
        <v>0</v>
      </c>
      <c r="AV340" s="291" cm="1">
        <f t="array" ref="AV340">IFERROR((IF($O340=1,0,NPV('2027 Avoided Costs'!$D$6,_xlfn._xlws.FILTER('2027 Avoided Costs'!$Q$14:$Q$47,('2027 Avoided Costs'!$B$14:$B$47&gt;=$B340+1)*('2027 Avoided Costs'!$B$14:$B$47&lt;$B340+ROUND($O340,0)))))+_xlfn.XLOOKUP($B340,'2027 Avoided Costs'!$B$13:$B$47,'2027 Avoided Costs'!$Q$13:$Q$47))*IF($AI340&gt;0,$AI340*(1+$W340),0),0)</f>
        <v>0</v>
      </c>
      <c r="AW340" s="291" cm="1">
        <f t="array" ref="AW340">IFERROR((IF($O340=1,0,NPV('2027 Avoided Costs'!$D$6,_xlfn._xlws.FILTER('2027 Avoided Costs'!$W$14:$W$47,('2027 Avoided Costs'!$B$14:$B$47&gt;=$B340+1)*('2027 Avoided Costs'!$B$14:$B$47&lt;$B340+ROUND($O340,0)))))+_xlfn.XLOOKUP($B340,'2027 Avoided Costs'!$B$13:$B$47,'2027 Avoided Costs'!$W$13:$W$47))*IF($AM340&gt;0,$AM340*(1+$W340),0),0)</f>
        <v>0</v>
      </c>
      <c r="AX340" s="291" cm="1">
        <f t="array" ref="AX340">IFERROR((IF($O340=1,0,NPV('2027 Avoided Costs'!$D$6,_xlfn._xlws.FILTER('2027 Avoided Costs'!$AC$14:$AC$47,('2027 Avoided Costs'!$B$14:$B$47&gt;=$B340+1)*('2027 Avoided Costs'!$B$14:$B$47&lt;$B340+ROUND($O340,0)))))+_xlfn.XLOOKUP($B340,'2027 Avoided Costs'!$B$13:$B$47,'2027 Avoided Costs'!$AC$13:$AC$47))*IF($AO340&gt;0,$AO340*(1+$W340),0),0)</f>
        <v>0</v>
      </c>
      <c r="AY340" s="291" cm="1">
        <f t="array" ref="AY340">IFERROR((IF($O340=1,0,NPV('2027 Avoided Costs'!$D$4,_xlfn._xlws.FILTER('2027 Avoided Costs'!$I$14:$I$47,('2027 Avoided Costs'!$B$14:$B$47&gt;=$B340+1)*('2027 Avoided Costs'!$B$14:$B$47&lt;$B340+ROUND($O340,0)))))+_xlfn.XLOOKUP($B340,'2027 Avoided Costs'!$B$13:$B$47,'2027 Avoided Costs'!$I$13:$I$47))*IF($X340="Residential",'2027 Avoided Costs'!$J$5,IF($X340="Large Volume",'2027 Avoided Costs'!$J$7,'2027 Avoided Costs'!$J$6))*IF($AE340&gt;0,$AE340,0),0)</f>
        <v>0</v>
      </c>
      <c r="AZ340" s="291" cm="1">
        <f t="array" ref="AZ340">IFERROR(IF($J340="Baseload",IF($O340=1,0,NPV('2027 Avoided Costs'!$D$6,_xlfn._xlws.FILTER('2027 Avoided Costs'!$C$14:$C$47,('2027 Avoided Costs'!$B$14:$B$47&gt;=$B340+1)*('2027 Avoided Costs'!$B$14:$B$47&lt;$B340+ROUND($O340,0)))))+_xlfn.XLOOKUP($B340,'2027 Avoided Costs'!$B$13:$B$47,'2027 Avoided Costs'!$C$13:$C$47),IF($O340=1,0,NPV('2027 Avoided Costs'!$D$6,_xlfn._xlws.FILTER('2027 Avoided Costs'!$E$14:$E$47,('2027 Avoided Costs'!$B$14:$B$47&gt;=$B340+1)*('2027 Avoided Costs'!$B$14:$B$47&lt;$B340+ROUND($O340,0)))))+_xlfn.XLOOKUP($B340,'2027 Avoided Costs'!$B$13:$B$47,'2027 Avoided Costs'!$E$13:$E$47))*IF($AE340&lt;0,$AE340*(-1),0),0)</f>
        <v>0</v>
      </c>
      <c r="BA340" s="291" cm="1">
        <f t="array" ref="BA340">IFERROR((IF($O340=1,0,NPV('2027 Avoided Costs'!$D$6,_xlfn._xlws.FILTER('2027 Avoided Costs'!$M$14:$M$47,('2027 Avoided Costs'!$B$14:$B$47&gt;=$B340+1)*('2027 Avoided Costs'!$B$14:$B$47&lt;$B340+ROUND($O340,0)))))+_xlfn.XLOOKUP($B340,'2027 Avoided Costs'!$B$13:$B$47,'2027 Avoided Costs'!$M$13:$M$47))*IF($AK340&lt;0,$AK340*(-1),0),0)</f>
        <v>0</v>
      </c>
      <c r="BB340" s="291" cm="1">
        <f t="array" ref="BB340">IFERROR((IF($O340=1,0,NPV('2027 Avoided Costs'!$D$6,_xlfn._xlws.FILTER('2027 Avoided Costs'!$S$14:$S$47,('2027 Avoided Costs'!$B$14:$B$47&gt;=$B340+1)*('2027 Avoided Costs'!$B$14:$B$47&lt;$B340+ROUND($O340,0)))))+_xlfn.XLOOKUP($B340,'2027 Avoided Costs'!$B$13:$B$47,'2027 Avoided Costs'!$S$13:$S$47))*IF($AI340&lt;0,$AI340*(-1),0),0)</f>
        <v>0</v>
      </c>
      <c r="BC340" s="291" cm="1">
        <f t="array" ref="BC340">IFERROR((IF($O340=1,0,NPV('2027 Avoided Costs'!$D$6,_xlfn._xlws.FILTER('2027 Avoided Costs'!$Y$14:$Y$47,('2027 Avoided Costs'!$B$14:$B$47&gt;=$B340+1)*('2027 Avoided Costs'!$B$14:$B$47&lt;$B340+ROUND($O340,0)))))+_xlfn.XLOOKUP($B340,'2027 Avoided Costs'!$B$13:$B$47,'2027 Avoided Costs'!$Y$13:$Y$47))*IF($AM340&lt;0,$AM340*(-1),0),0)</f>
        <v>0</v>
      </c>
      <c r="BD340" s="291" cm="1">
        <f t="array" ref="BD340">IFERROR((IF($O340=1,0,NPV('2027 Avoided Costs'!$D$6,_xlfn._xlws.FILTER('2027 Avoided Costs'!$AE$14:$AE$47,('2027 Avoided Costs'!$B$14:$B$47&gt;=$B340+1)*('2027 Avoided Costs'!$B$14:$B$47&lt;$B340+ROUND($O340,0)))))+_xlfn.XLOOKUP($B340,'2027 Avoided Costs'!$B$13:$B$47,'2027 Avoided Costs'!$AE$13:$AE$47))*IF($AO340&lt;0,$AO340*(-1),0),0)</f>
        <v>0</v>
      </c>
      <c r="BE340" s="291" cm="1">
        <f t="array" ref="BE340">IFERROR((IF($O340=1,0,NPV('2027 Avoided Costs'!$D$4,_xlfn._xlws.FILTER('2027 Avoided Costs'!$I$14:$I$47,('2027 Avoided Costs'!$B$14:$B$47&gt;=$B340+1)*('2027 Avoided Costs'!$B$14:$B$47&lt;$B340+ROUND($O340,0)))))+_xlfn.XLOOKUP($B340,'2027 Avoided Costs'!$B$13:$B$47,'2027 Avoided Costs'!$I$13:$I$47))*IF($X340="Residential",'2027 Avoided Costs'!$J$5,IF($X340="Large Volume",'2027 Avoided Costs'!$J$7,'2027 Avoided Costs'!$J$6))*IF($AE340&lt;0,$AE340*(-1),0),0)</f>
        <v>0</v>
      </c>
      <c r="BF340" s="291">
        <f t="shared" si="139"/>
        <v>75773.839286938004</v>
      </c>
      <c r="BG340" s="291">
        <f t="shared" si="140"/>
        <v>82680</v>
      </c>
      <c r="BH340" s="291">
        <f t="shared" si="141"/>
        <v>-6906.1607130619959</v>
      </c>
      <c r="BI340" s="292">
        <f t="shared" si="164"/>
        <v>0.91647120569591201</v>
      </c>
      <c r="BJ340" s="196" cm="1">
        <f t="array" ref="BJ340">IFERROR(IF($J340="Baseload",IF($O340=1,0,NPV('2027 Avoided Costs'!$D$6,_xlfn._xlws.FILTER('2027 Avoided Costs'!$C$14:$C$47,('2027 Avoided Costs'!$B$14:$B$47&gt;=$B340+1)*('2027 Avoided Costs'!$B$14:$B$47&lt;$B340+ROUND($O340,0)))))+_xlfn.XLOOKUP($B340,'2027 Avoided Costs'!$B$13:$B$47,'2027 Avoided Costs'!$C$13:$C$47),IF($O340=1,0,NPV('2027 Avoided Costs'!$D$6,_xlfn._xlws.FILTER('2027 Avoided Costs'!$E$14:$E$47,('2027 Avoided Costs'!$B$14:$B$47&gt;=$B340+1)*('2027 Avoided Costs'!$B$14:$B$47&lt;$B340+ROUND($O340,0)))))+_xlfn.XLOOKUP($B340,'2027 Avoided Costs'!$B$13:$B$47,'2027 Avoided Costs'!$E$13:$E$47))*IF($AE340&gt;0,$AE340*(1+0),0),0)</f>
        <v>65890.295032120004</v>
      </c>
      <c r="BK340" s="293">
        <f t="shared" si="162"/>
        <v>0.80379540416215156</v>
      </c>
    </row>
    <row r="341" spans="1:63" s="56" customFormat="1" x14ac:dyDescent="0.25">
      <c r="A341" s="270" t="s">
        <v>207</v>
      </c>
      <c r="B341" s="271">
        <v>2030</v>
      </c>
      <c r="C341" s="272" t="s">
        <v>12</v>
      </c>
      <c r="D341" s="272" t="s">
        <v>21</v>
      </c>
      <c r="E341" s="272" t="s">
        <v>114</v>
      </c>
      <c r="F341" s="273">
        <v>6</v>
      </c>
      <c r="G341" s="274">
        <v>4611.8641114982574</v>
      </c>
      <c r="H341" s="275">
        <f t="shared" si="142"/>
        <v>1.7595818815331008</v>
      </c>
      <c r="I341" s="274">
        <v>0</v>
      </c>
      <c r="J341" s="276" t="s">
        <v>263</v>
      </c>
      <c r="K341" s="277">
        <f t="shared" si="138"/>
        <v>1</v>
      </c>
      <c r="L341" s="294">
        <v>0</v>
      </c>
      <c r="M341" s="294">
        <v>0</v>
      </c>
      <c r="N341" s="294">
        <v>1</v>
      </c>
      <c r="O341" s="279">
        <v>15</v>
      </c>
      <c r="P341" s="280">
        <v>2621</v>
      </c>
      <c r="Q341" s="295">
        <v>-280</v>
      </c>
      <c r="R341" s="296">
        <v>0</v>
      </c>
      <c r="S341" s="296">
        <v>0</v>
      </c>
      <c r="T341" s="295">
        <v>0</v>
      </c>
      <c r="U341" s="297">
        <v>0</v>
      </c>
      <c r="V341" s="284">
        <v>6718</v>
      </c>
      <c r="W341" s="298">
        <v>0.15</v>
      </c>
      <c r="X341" s="299" t="s">
        <v>255</v>
      </c>
      <c r="Y341" s="300">
        <f t="shared" si="143"/>
        <v>6</v>
      </c>
      <c r="Z341" s="196">
        <f t="shared" si="144"/>
        <v>27671.184668989546</v>
      </c>
      <c r="AA341" s="196">
        <f t="shared" si="145"/>
        <v>0</v>
      </c>
      <c r="AB341" s="288">
        <f t="shared" si="146"/>
        <v>29364.882540209055</v>
      </c>
      <c r="AC341" s="288">
        <f t="shared" si="163"/>
        <v>0</v>
      </c>
      <c r="AD341" s="287">
        <f t="shared" si="147"/>
        <v>15726</v>
      </c>
      <c r="AE341" s="287">
        <f t="shared" si="148"/>
        <v>15726</v>
      </c>
      <c r="AF341" s="287">
        <f t="shared" si="149"/>
        <v>235890</v>
      </c>
      <c r="AG341" s="287">
        <f t="shared" si="150"/>
        <v>235890</v>
      </c>
      <c r="AH341" s="300">
        <f t="shared" si="151"/>
        <v>-1800.96</v>
      </c>
      <c r="AI341" s="300">
        <f t="shared" si="152"/>
        <v>-1800.96</v>
      </c>
      <c r="AJ341" s="300">
        <f t="shared" si="153"/>
        <v>0</v>
      </c>
      <c r="AK341" s="300">
        <f t="shared" si="154"/>
        <v>0</v>
      </c>
      <c r="AL341" s="300">
        <f t="shared" si="155"/>
        <v>0</v>
      </c>
      <c r="AM341" s="300">
        <f t="shared" si="156"/>
        <v>0</v>
      </c>
      <c r="AN341" s="300">
        <f t="shared" si="157"/>
        <v>0</v>
      </c>
      <c r="AO341" s="300">
        <f t="shared" si="158"/>
        <v>0</v>
      </c>
      <c r="AP341" s="300">
        <f t="shared" si="159"/>
        <v>40308</v>
      </c>
      <c r="AQ341" s="300">
        <f t="shared" si="160"/>
        <v>40308</v>
      </c>
      <c r="AR341" s="300">
        <f t="shared" si="161"/>
        <v>0</v>
      </c>
      <c r="AS341" s="301" t="e">
        <f>IF(J341='2027 Avoided Costs'!#REF!,3,5)</f>
        <v>#REF!</v>
      </c>
      <c r="AT341" s="290" cm="1">
        <f t="array" ref="AT341">IFERROR(IF($J341="Baseload",IF($O341=1,0,NPV('2027 Avoided Costs'!$D$6,_xlfn._xlws.FILTER('2027 Avoided Costs'!$C$14:$C$47,('2027 Avoided Costs'!$B$14:$B$47&gt;=$B341+1)*('2027 Avoided Costs'!$B$14:$B$47&lt;$B341+ROUND($O341,0)))))+_xlfn.XLOOKUP($B341,'2027 Avoided Costs'!$B$13:$B$47,'2027 Avoided Costs'!$C$13:$C$47),IF($O341=1,0,NPV('2027 Avoided Costs'!$D$6,_xlfn._xlws.FILTER('2027 Avoided Costs'!$E$14:$E$47,('2027 Avoided Costs'!$B$14:$B$47&gt;=$B341+1)*('2027 Avoided Costs'!$B$14:$B$47&lt;$B341+ROUND($O341,0)))))+_xlfn.XLOOKUP($B341,'2027 Avoided Costs'!$B$13:$B$47,'2027 Avoided Costs'!$E$13:$E$47))*IF($AE341&gt;0,$AE341*(1+$W341),0),0)</f>
        <v>61678.022599709475</v>
      </c>
      <c r="AU341" s="290" cm="1">
        <f t="array" ref="AU341">IFERROR((IF($O341=1,0,NPV('2027 Avoided Costs'!$D$6,_xlfn._xlws.FILTER('2027 Avoided Costs'!$M$14:$M$47,('2027 Avoided Costs'!$B$14:$B$47&gt;=$B341+1)*('2027 Avoided Costs'!$B$14:$B$47&lt;$B341+ROUND($O341,0)))))+_xlfn.XLOOKUP($B341,'2027 Avoided Costs'!$B$13:$B$47,'2027 Avoided Costs'!$M$13:$M$47))*IF($AK341&gt;0,$AK341*(1+$W341),0),0)</f>
        <v>0</v>
      </c>
      <c r="AV341" s="291" cm="1">
        <f t="array" ref="AV341">IFERROR((IF($O341=1,0,NPV('2027 Avoided Costs'!$D$6,_xlfn._xlws.FILTER('2027 Avoided Costs'!$Q$14:$Q$47,('2027 Avoided Costs'!$B$14:$B$47&gt;=$B341+1)*('2027 Avoided Costs'!$B$14:$B$47&lt;$B341+ROUND($O341,0)))))+_xlfn.XLOOKUP($B341,'2027 Avoided Costs'!$B$13:$B$47,'2027 Avoided Costs'!$Q$13:$Q$47))*IF($AI341&gt;0,$AI341*(1+$W341),0),0)</f>
        <v>0</v>
      </c>
      <c r="AW341" s="291" cm="1">
        <f t="array" ref="AW341">IFERROR((IF($O341=1,0,NPV('2027 Avoided Costs'!$D$6,_xlfn._xlws.FILTER('2027 Avoided Costs'!$W$14:$W$47,('2027 Avoided Costs'!$B$14:$B$47&gt;=$B341+1)*('2027 Avoided Costs'!$B$14:$B$47&lt;$B341+ROUND($O341,0)))))+_xlfn.XLOOKUP($B341,'2027 Avoided Costs'!$B$13:$B$47,'2027 Avoided Costs'!$W$13:$W$47))*IF($AM341&gt;0,$AM341*(1+$W341),0),0)</f>
        <v>0</v>
      </c>
      <c r="AX341" s="291" cm="1">
        <f t="array" ref="AX341">IFERROR((IF($O341=1,0,NPV('2027 Avoided Costs'!$D$6,_xlfn._xlws.FILTER('2027 Avoided Costs'!$AC$14:$AC$47,('2027 Avoided Costs'!$B$14:$B$47&gt;=$B341+1)*('2027 Avoided Costs'!$B$14:$B$47&lt;$B341+ROUND($O341,0)))))+_xlfn.XLOOKUP($B341,'2027 Avoided Costs'!$B$13:$B$47,'2027 Avoided Costs'!$AC$13:$AC$47))*IF($AO341&gt;0,$AO341*(1+$W341),0),0)</f>
        <v>0</v>
      </c>
      <c r="AY341" s="291" cm="1">
        <f t="array" ref="AY341">IFERROR((IF($O341=1,0,NPV('2027 Avoided Costs'!$D$4,_xlfn._xlws.FILTER('2027 Avoided Costs'!$I$14:$I$47,('2027 Avoided Costs'!$B$14:$B$47&gt;=$B341+1)*('2027 Avoided Costs'!$B$14:$B$47&lt;$B341+ROUND($O341,0)))))+_xlfn.XLOOKUP($B341,'2027 Avoided Costs'!$B$13:$B$47,'2027 Avoided Costs'!$I$13:$I$47))*IF($X341="Residential",'2027 Avoided Costs'!$J$5,IF($X341="Large Volume",'2027 Avoided Costs'!$J$7,'2027 Avoided Costs'!$J$6))*IF($AE341&gt;0,$AE341,0),0)</f>
        <v>0</v>
      </c>
      <c r="AZ341" s="291" cm="1">
        <f t="array" ref="AZ341">IFERROR(IF($J341="Baseload",IF($O341=1,0,NPV('2027 Avoided Costs'!$D$6,_xlfn._xlws.FILTER('2027 Avoided Costs'!$C$14:$C$47,('2027 Avoided Costs'!$B$14:$B$47&gt;=$B341+1)*('2027 Avoided Costs'!$B$14:$B$47&lt;$B341+ROUND($O341,0)))))+_xlfn.XLOOKUP($B341,'2027 Avoided Costs'!$B$13:$B$47,'2027 Avoided Costs'!$C$13:$C$47),IF($O341=1,0,NPV('2027 Avoided Costs'!$D$6,_xlfn._xlws.FILTER('2027 Avoided Costs'!$E$14:$E$47,('2027 Avoided Costs'!$B$14:$B$47&gt;=$B341+1)*('2027 Avoided Costs'!$B$14:$B$47&lt;$B341+ROUND($O341,0)))))+_xlfn.XLOOKUP($B341,'2027 Avoided Costs'!$B$13:$B$47,'2027 Avoided Costs'!$E$13:$E$47))*IF($AE341&lt;0,$AE341*(-1),0),0)</f>
        <v>0</v>
      </c>
      <c r="BA341" s="291" cm="1">
        <f t="array" ref="BA341">IFERROR((IF($O341=1,0,NPV('2027 Avoided Costs'!$D$6,_xlfn._xlws.FILTER('2027 Avoided Costs'!$M$14:$M$47,('2027 Avoided Costs'!$B$14:$B$47&gt;=$B341+1)*('2027 Avoided Costs'!$B$14:$B$47&lt;$B341+ROUND($O341,0)))))+_xlfn.XLOOKUP($B341,'2027 Avoided Costs'!$B$13:$B$47,'2027 Avoided Costs'!$M$13:$M$47))*IF($AK341&lt;0,$AK341*(-1),0),0)</f>
        <v>0</v>
      </c>
      <c r="BB341" s="291" cm="1">
        <f t="array" ref="BB341">IFERROR((IF($O341=1,0,NPV('2027 Avoided Costs'!$D$6,_xlfn._xlws.FILTER('2027 Avoided Costs'!$S$14:$S$47,('2027 Avoided Costs'!$B$14:$B$47&gt;=$B341+1)*('2027 Avoided Costs'!$B$14:$B$47&lt;$B341+ROUND($O341,0)))))+_xlfn.XLOOKUP($B341,'2027 Avoided Costs'!$B$13:$B$47,'2027 Avoided Costs'!$S$13:$S$47))*IF($AI341&lt;0,$AI341*(-1),0),0)</f>
        <v>1003.5995604113792</v>
      </c>
      <c r="BC341" s="291" cm="1">
        <f t="array" ref="BC341">IFERROR((IF($O341=1,0,NPV('2027 Avoided Costs'!$D$6,_xlfn._xlws.FILTER('2027 Avoided Costs'!$Y$14:$Y$47,('2027 Avoided Costs'!$B$14:$B$47&gt;=$B341+1)*('2027 Avoided Costs'!$B$14:$B$47&lt;$B341+ROUND($O341,0)))))+_xlfn.XLOOKUP($B341,'2027 Avoided Costs'!$B$13:$B$47,'2027 Avoided Costs'!$Y$13:$Y$47))*IF($AM341&lt;0,$AM341*(-1),0),0)</f>
        <v>0</v>
      </c>
      <c r="BD341" s="291" cm="1">
        <f t="array" ref="BD341">IFERROR((IF($O341=1,0,NPV('2027 Avoided Costs'!$D$6,_xlfn._xlws.FILTER('2027 Avoided Costs'!$AE$14:$AE$47,('2027 Avoided Costs'!$B$14:$B$47&gt;=$B341+1)*('2027 Avoided Costs'!$B$14:$B$47&lt;$B341+ROUND($O341,0)))))+_xlfn.XLOOKUP($B341,'2027 Avoided Costs'!$B$13:$B$47,'2027 Avoided Costs'!$AE$13:$AE$47))*IF($AO341&lt;0,$AO341*(-1),0),0)</f>
        <v>0</v>
      </c>
      <c r="BE341" s="291" cm="1">
        <f t="array" ref="BE341">IFERROR((IF($O341=1,0,NPV('2027 Avoided Costs'!$D$4,_xlfn._xlws.FILTER('2027 Avoided Costs'!$I$14:$I$47,('2027 Avoided Costs'!$B$14:$B$47&gt;=$B341+1)*('2027 Avoided Costs'!$B$14:$B$47&lt;$B341+ROUND($O341,0)))))+_xlfn.XLOOKUP($B341,'2027 Avoided Costs'!$B$13:$B$47,'2027 Avoided Costs'!$I$13:$I$47))*IF($X341="Residential",'2027 Avoided Costs'!$J$5,IF($X341="Large Volume",'2027 Avoided Costs'!$J$7,'2027 Avoided Costs'!$J$6))*IF($AE341&lt;0,$AE341*(-1),0),0)</f>
        <v>0</v>
      </c>
      <c r="BF341" s="291">
        <f t="shared" si="139"/>
        <v>61678.022599709475</v>
      </c>
      <c r="BG341" s="291">
        <f t="shared" si="140"/>
        <v>41311.599560411378</v>
      </c>
      <c r="BH341" s="291">
        <f t="shared" si="141"/>
        <v>20366.423039298097</v>
      </c>
      <c r="BI341" s="292">
        <f t="shared" si="164"/>
        <v>1.4929952666082458</v>
      </c>
      <c r="BJ341" s="196" cm="1">
        <f t="array" ref="BJ341">IFERROR(IF($J341="Baseload",IF($O341=1,0,NPV('2027 Avoided Costs'!$D$6,_xlfn._xlws.FILTER('2027 Avoided Costs'!$C$14:$C$47,('2027 Avoided Costs'!$B$14:$B$47&gt;=$B341+1)*('2027 Avoided Costs'!$B$14:$B$47&lt;$B341+ROUND($O341,0)))))+_xlfn.XLOOKUP($B341,'2027 Avoided Costs'!$B$13:$B$47,'2027 Avoided Costs'!$C$13:$C$47),IF($O341=1,0,NPV('2027 Avoided Costs'!$D$6,_xlfn._xlws.FILTER('2027 Avoided Costs'!$E$14:$E$47,('2027 Avoided Costs'!$B$14:$B$47&gt;=$B341+1)*('2027 Avoided Costs'!$B$14:$B$47&lt;$B341+ROUND($O341,0)))))+_xlfn.XLOOKUP($B341,'2027 Avoided Costs'!$B$13:$B$47,'2027 Avoided Costs'!$E$13:$E$47))*IF($AE341&gt;0,$AE341*(1+0),0),0)</f>
        <v>53633.063130182156</v>
      </c>
      <c r="BK341" s="293">
        <f t="shared" si="162"/>
        <v>1.8264354729409495</v>
      </c>
    </row>
    <row r="342" spans="1:63" s="56" customFormat="1" x14ac:dyDescent="0.25">
      <c r="A342" s="270" t="s">
        <v>207</v>
      </c>
      <c r="B342" s="271">
        <v>2030</v>
      </c>
      <c r="C342" s="272" t="s">
        <v>12</v>
      </c>
      <c r="D342" s="272" t="s">
        <v>21</v>
      </c>
      <c r="E342" s="272" t="s">
        <v>115</v>
      </c>
      <c r="F342" s="273">
        <v>4</v>
      </c>
      <c r="G342" s="274">
        <v>4925.6000000000004</v>
      </c>
      <c r="H342" s="275">
        <f t="shared" si="142"/>
        <v>1.9998375964271216</v>
      </c>
      <c r="I342" s="274">
        <v>0</v>
      </c>
      <c r="J342" s="276" t="s">
        <v>264</v>
      </c>
      <c r="K342" s="277">
        <f t="shared" si="138"/>
        <v>1</v>
      </c>
      <c r="L342" s="278">
        <v>0</v>
      </c>
      <c r="M342" s="278">
        <v>0</v>
      </c>
      <c r="N342" s="278">
        <v>1</v>
      </c>
      <c r="O342" s="279">
        <v>14</v>
      </c>
      <c r="P342" s="280">
        <v>2463</v>
      </c>
      <c r="Q342" s="281">
        <v>-280.95999999999998</v>
      </c>
      <c r="R342" s="282">
        <v>-0.17121387044009462</v>
      </c>
      <c r="S342" s="282">
        <v>-5.0571022186378926E-2</v>
      </c>
      <c r="T342" s="281">
        <v>0</v>
      </c>
      <c r="U342" s="283">
        <v>0</v>
      </c>
      <c r="V342" s="284">
        <v>9951</v>
      </c>
      <c r="W342" s="285">
        <v>0.15</v>
      </c>
      <c r="X342" s="286" t="s">
        <v>255</v>
      </c>
      <c r="Y342" s="287">
        <f t="shared" si="143"/>
        <v>4</v>
      </c>
      <c r="Z342" s="288">
        <f t="shared" si="144"/>
        <v>19702.400000000001</v>
      </c>
      <c r="AA342" s="288">
        <f t="shared" si="145"/>
        <v>0</v>
      </c>
      <c r="AB342" s="288">
        <f t="shared" si="146"/>
        <v>20908.3444992</v>
      </c>
      <c r="AC342" s="288">
        <f t="shared" si="163"/>
        <v>0</v>
      </c>
      <c r="AD342" s="287">
        <f t="shared" si="147"/>
        <v>9852</v>
      </c>
      <c r="AE342" s="287">
        <f t="shared" si="148"/>
        <v>9852</v>
      </c>
      <c r="AF342" s="287">
        <f t="shared" si="149"/>
        <v>137928</v>
      </c>
      <c r="AG342" s="287">
        <f t="shared" si="150"/>
        <v>137928</v>
      </c>
      <c r="AH342" s="287">
        <f t="shared" si="151"/>
        <v>-1204.75648</v>
      </c>
      <c r="AI342" s="287">
        <f t="shared" si="152"/>
        <v>-1204.75648</v>
      </c>
      <c r="AJ342" s="287">
        <f t="shared" si="153"/>
        <v>0</v>
      </c>
      <c r="AK342" s="287">
        <f t="shared" si="154"/>
        <v>0</v>
      </c>
      <c r="AL342" s="287">
        <f t="shared" si="155"/>
        <v>-0.73416507644712581</v>
      </c>
      <c r="AM342" s="287">
        <f t="shared" si="156"/>
        <v>-0.73416507644712581</v>
      </c>
      <c r="AN342" s="287">
        <f t="shared" si="157"/>
        <v>-0.21684854313519286</v>
      </c>
      <c r="AO342" s="287">
        <f t="shared" si="158"/>
        <v>-0.21684854313519286</v>
      </c>
      <c r="AP342" s="287">
        <f t="shared" si="159"/>
        <v>39804</v>
      </c>
      <c r="AQ342" s="287">
        <f t="shared" si="160"/>
        <v>39804</v>
      </c>
      <c r="AR342" s="287">
        <f t="shared" si="161"/>
        <v>0</v>
      </c>
      <c r="AS342" s="289" t="e">
        <f>IF(J342='2027 Avoided Costs'!#REF!,3,5)</f>
        <v>#REF!</v>
      </c>
      <c r="AT342" s="290" cm="1">
        <f t="array" ref="AT342">IFERROR(IF($J342="Baseload",IF($O342=1,0,NPV('2027 Avoided Costs'!$D$6,_xlfn._xlws.FILTER('2027 Avoided Costs'!$C$14:$C$47,('2027 Avoided Costs'!$B$14:$B$47&gt;=$B342+1)*('2027 Avoided Costs'!$B$14:$B$47&lt;$B342+ROUND($O342,0)))))+_xlfn.XLOOKUP($B342,'2027 Avoided Costs'!$B$13:$B$47,'2027 Avoided Costs'!$C$13:$C$47),IF($O342=1,0,NPV('2027 Avoided Costs'!$D$6,_xlfn._xlws.FILTER('2027 Avoided Costs'!$E$14:$E$47,('2027 Avoided Costs'!$B$14:$B$47&gt;=$B342+1)*('2027 Avoided Costs'!$B$14:$B$47&lt;$B342+ROUND($O342,0)))))+_xlfn.XLOOKUP($B342,'2027 Avoided Costs'!$B$13:$B$47,'2027 Avoided Costs'!$E$13:$E$47))*IF($AE342&gt;0,$AE342*(1+$W342),0),0)</f>
        <v>40866.710453664928</v>
      </c>
      <c r="AU342" s="290" cm="1">
        <f t="array" ref="AU342">IFERROR((IF($O342=1,0,NPV('2027 Avoided Costs'!$D$6,_xlfn._xlws.FILTER('2027 Avoided Costs'!$M$14:$M$47,('2027 Avoided Costs'!$B$14:$B$47&gt;=$B342+1)*('2027 Avoided Costs'!$B$14:$B$47&lt;$B342+ROUND($O342,0)))))+_xlfn.XLOOKUP($B342,'2027 Avoided Costs'!$B$13:$B$47,'2027 Avoided Costs'!$M$13:$M$47))*IF($AK342&gt;0,$AK342*(1+$W342),0),0)</f>
        <v>0</v>
      </c>
      <c r="AV342" s="291" cm="1">
        <f t="array" ref="AV342">IFERROR((IF($O342=1,0,NPV('2027 Avoided Costs'!$D$6,_xlfn._xlws.FILTER('2027 Avoided Costs'!$Q$14:$Q$47,('2027 Avoided Costs'!$B$14:$B$47&gt;=$B342+1)*('2027 Avoided Costs'!$B$14:$B$47&lt;$B342+ROUND($O342,0)))))+_xlfn.XLOOKUP($B342,'2027 Avoided Costs'!$B$13:$B$47,'2027 Avoided Costs'!$Q$13:$Q$47))*IF($AI342&gt;0,$AI342*(1+$W342),0),0)</f>
        <v>0</v>
      </c>
      <c r="AW342" s="291" cm="1">
        <f t="array" ref="AW342">IFERROR((IF($O342=1,0,NPV('2027 Avoided Costs'!$D$6,_xlfn._xlws.FILTER('2027 Avoided Costs'!$W$14:$W$47,('2027 Avoided Costs'!$B$14:$B$47&gt;=$B342+1)*('2027 Avoided Costs'!$B$14:$B$47&lt;$B342+ROUND($O342,0)))))+_xlfn.XLOOKUP($B342,'2027 Avoided Costs'!$B$13:$B$47,'2027 Avoided Costs'!$W$13:$W$47))*IF($AM342&gt;0,$AM342*(1+$W342),0),0)</f>
        <v>0</v>
      </c>
      <c r="AX342" s="291" cm="1">
        <f t="array" ref="AX342">IFERROR((IF($O342=1,0,NPV('2027 Avoided Costs'!$D$6,_xlfn._xlws.FILTER('2027 Avoided Costs'!$AC$14:$AC$47,('2027 Avoided Costs'!$B$14:$B$47&gt;=$B342+1)*('2027 Avoided Costs'!$B$14:$B$47&lt;$B342+ROUND($O342,0)))))+_xlfn.XLOOKUP($B342,'2027 Avoided Costs'!$B$13:$B$47,'2027 Avoided Costs'!$AC$13:$AC$47))*IF($AO342&gt;0,$AO342*(1+$W342),0),0)</f>
        <v>0</v>
      </c>
      <c r="AY342" s="291" cm="1">
        <f t="array" ref="AY342">IFERROR((IF($O342=1,0,NPV('2027 Avoided Costs'!$D$4,_xlfn._xlws.FILTER('2027 Avoided Costs'!$I$14:$I$47,('2027 Avoided Costs'!$B$14:$B$47&gt;=$B342+1)*('2027 Avoided Costs'!$B$14:$B$47&lt;$B342+ROUND($O342,0)))))+_xlfn.XLOOKUP($B342,'2027 Avoided Costs'!$B$13:$B$47,'2027 Avoided Costs'!$I$13:$I$47))*IF($X342="Residential",'2027 Avoided Costs'!$J$5,IF($X342="Large Volume",'2027 Avoided Costs'!$J$7,'2027 Avoided Costs'!$J$6))*IF($AE342&gt;0,$AE342,0),0)</f>
        <v>0</v>
      </c>
      <c r="AZ342" s="291" cm="1">
        <f t="array" ref="AZ342">IFERROR(IF($J342="Baseload",IF($O342=1,0,NPV('2027 Avoided Costs'!$D$6,_xlfn._xlws.FILTER('2027 Avoided Costs'!$C$14:$C$47,('2027 Avoided Costs'!$B$14:$B$47&gt;=$B342+1)*('2027 Avoided Costs'!$B$14:$B$47&lt;$B342+ROUND($O342,0)))))+_xlfn.XLOOKUP($B342,'2027 Avoided Costs'!$B$13:$B$47,'2027 Avoided Costs'!$C$13:$C$47),IF($O342=1,0,NPV('2027 Avoided Costs'!$D$6,_xlfn._xlws.FILTER('2027 Avoided Costs'!$E$14:$E$47,('2027 Avoided Costs'!$B$14:$B$47&gt;=$B342+1)*('2027 Avoided Costs'!$B$14:$B$47&lt;$B342+ROUND($O342,0)))))+_xlfn.XLOOKUP($B342,'2027 Avoided Costs'!$B$13:$B$47,'2027 Avoided Costs'!$E$13:$E$47))*IF($AE342&lt;0,$AE342*(-1),0),0)</f>
        <v>0</v>
      </c>
      <c r="BA342" s="291" cm="1">
        <f t="array" ref="BA342">IFERROR((IF($O342=1,0,NPV('2027 Avoided Costs'!$D$6,_xlfn._xlws.FILTER('2027 Avoided Costs'!$M$14:$M$47,('2027 Avoided Costs'!$B$14:$B$47&gt;=$B342+1)*('2027 Avoided Costs'!$B$14:$B$47&lt;$B342+ROUND($O342,0)))))+_xlfn.XLOOKUP($B342,'2027 Avoided Costs'!$B$13:$B$47,'2027 Avoided Costs'!$M$13:$M$47))*IF($AK342&lt;0,$AK342*(-1),0),0)</f>
        <v>0</v>
      </c>
      <c r="BB342" s="291" cm="1">
        <f t="array" ref="BB342">IFERROR((IF($O342=1,0,NPV('2027 Avoided Costs'!$D$6,_xlfn._xlws.FILTER('2027 Avoided Costs'!$S$14:$S$47,('2027 Avoided Costs'!$B$14:$B$47&gt;=$B342+1)*('2027 Avoided Costs'!$B$14:$B$47&lt;$B342+ROUND($O342,0)))))+_xlfn.XLOOKUP($B342,'2027 Avoided Costs'!$B$13:$B$47,'2027 Avoided Costs'!$S$13:$S$47))*IF($AI342&lt;0,$AI342*(-1),0),0)</f>
        <v>633.30128526156193</v>
      </c>
      <c r="BC342" s="291" cm="1">
        <f t="array" ref="BC342">IFERROR((IF($O342=1,0,NPV('2027 Avoided Costs'!$D$6,_xlfn._xlws.FILTER('2027 Avoided Costs'!$Y$14:$Y$47,('2027 Avoided Costs'!$B$14:$B$47&gt;=$B342+1)*('2027 Avoided Costs'!$B$14:$B$47&lt;$B342+ROUND($O342,0)))))+_xlfn.XLOOKUP($B342,'2027 Avoided Costs'!$B$13:$B$47,'2027 Avoided Costs'!$Y$13:$Y$47))*IF($AM342&lt;0,$AM342*(-1),0),0)</f>
        <v>2536.6874057083787</v>
      </c>
      <c r="BD342" s="291" cm="1">
        <f t="array" ref="BD342">IFERROR((IF($O342=1,0,NPV('2027 Avoided Costs'!$D$6,_xlfn._xlws.FILTER('2027 Avoided Costs'!$AE$14:$AE$47,('2027 Avoided Costs'!$B$14:$B$47&gt;=$B342+1)*('2027 Avoided Costs'!$B$14:$B$47&lt;$B342+ROUND($O342,0)))))+_xlfn.XLOOKUP($B342,'2027 Avoided Costs'!$B$13:$B$47,'2027 Avoided Costs'!$AE$13:$AE$47))*IF($AO342&lt;0,$AO342*(-1),0),0)</f>
        <v>106.68783362324649</v>
      </c>
      <c r="BE342" s="291" cm="1">
        <f t="array" ref="BE342">IFERROR((IF($O342=1,0,NPV('2027 Avoided Costs'!$D$4,_xlfn._xlws.FILTER('2027 Avoided Costs'!$I$14:$I$47,('2027 Avoided Costs'!$B$14:$B$47&gt;=$B342+1)*('2027 Avoided Costs'!$B$14:$B$47&lt;$B342+ROUND($O342,0)))))+_xlfn.XLOOKUP($B342,'2027 Avoided Costs'!$B$13:$B$47,'2027 Avoided Costs'!$I$13:$I$47))*IF($X342="Residential",'2027 Avoided Costs'!$J$5,IF($X342="Large Volume",'2027 Avoided Costs'!$J$7,'2027 Avoided Costs'!$J$6))*IF($AE342&lt;0,$AE342*(-1),0),0)</f>
        <v>0</v>
      </c>
      <c r="BF342" s="291">
        <f t="shared" si="139"/>
        <v>40866.710453664928</v>
      </c>
      <c r="BG342" s="291">
        <f t="shared" si="140"/>
        <v>43080.676524593189</v>
      </c>
      <c r="BH342" s="291">
        <f t="shared" si="141"/>
        <v>-2213.9660709282616</v>
      </c>
      <c r="BI342" s="292">
        <f t="shared" si="164"/>
        <v>0.94860883696512077</v>
      </c>
      <c r="BJ342" s="196" cm="1">
        <f t="array" ref="BJ342">IFERROR(IF($J342="Baseload",IF($O342=1,0,NPV('2027 Avoided Costs'!$D$6,_xlfn._xlws.FILTER('2027 Avoided Costs'!$C$14:$C$47,('2027 Avoided Costs'!$B$14:$B$47&gt;=$B342+1)*('2027 Avoided Costs'!$B$14:$B$47&lt;$B342+ROUND($O342,0)))))+_xlfn.XLOOKUP($B342,'2027 Avoided Costs'!$B$13:$B$47,'2027 Avoided Costs'!$C$13:$C$47),IF($O342=1,0,NPV('2027 Avoided Costs'!$D$6,_xlfn._xlws.FILTER('2027 Avoided Costs'!$E$14:$E$47,('2027 Avoided Costs'!$B$14:$B$47&gt;=$B342+1)*('2027 Avoided Costs'!$B$14:$B$47&lt;$B342+ROUND($O342,0)))))+_xlfn.XLOOKUP($B342,'2027 Avoided Costs'!$B$13:$B$47,'2027 Avoided Costs'!$E$13:$E$47))*IF($AE342&gt;0,$AE342*(1+0),0),0)</f>
        <v>35536.269959708639</v>
      </c>
      <c r="BK342" s="293">
        <f t="shared" si="162"/>
        <v>1.6996214100579956</v>
      </c>
    </row>
    <row r="343" spans="1:63" s="56" customFormat="1" x14ac:dyDescent="0.25">
      <c r="A343" s="270" t="s">
        <v>207</v>
      </c>
      <c r="B343" s="271">
        <v>2030</v>
      </c>
      <c r="C343" s="272" t="s">
        <v>12</v>
      </c>
      <c r="D343" s="272" t="s">
        <v>21</v>
      </c>
      <c r="E343" s="272" t="s">
        <v>116</v>
      </c>
      <c r="F343" s="273">
        <v>12</v>
      </c>
      <c r="G343" s="274">
        <v>2233.9219456011342</v>
      </c>
      <c r="H343" s="275">
        <f t="shared" si="142"/>
        <v>0.69788251971294413</v>
      </c>
      <c r="I343" s="274">
        <v>0</v>
      </c>
      <c r="J343" s="276" t="s">
        <v>264</v>
      </c>
      <c r="K343" s="277">
        <f t="shared" si="138"/>
        <v>1</v>
      </c>
      <c r="L343" s="278">
        <v>0</v>
      </c>
      <c r="M343" s="278">
        <v>0</v>
      </c>
      <c r="N343" s="278">
        <v>1</v>
      </c>
      <c r="O343" s="279">
        <v>20</v>
      </c>
      <c r="P343" s="280">
        <v>3201</v>
      </c>
      <c r="Q343" s="281">
        <v>5060</v>
      </c>
      <c r="R343" s="282">
        <v>1.1552511415525113</v>
      </c>
      <c r="S343" s="282">
        <v>1.1552511415525113</v>
      </c>
      <c r="T343" s="281">
        <v>0</v>
      </c>
      <c r="U343" s="283">
        <v>0</v>
      </c>
      <c r="V343" s="284">
        <v>2377</v>
      </c>
      <c r="W343" s="285">
        <v>0.15</v>
      </c>
      <c r="X343" s="286" t="s">
        <v>255</v>
      </c>
      <c r="Y343" s="287">
        <f t="shared" si="143"/>
        <v>12</v>
      </c>
      <c r="Z343" s="288">
        <f t="shared" si="144"/>
        <v>26807.063347213611</v>
      </c>
      <c r="AA343" s="288">
        <f t="shared" si="145"/>
        <v>0</v>
      </c>
      <c r="AB343" s="288">
        <f t="shared" si="146"/>
        <v>28447.870080569861</v>
      </c>
      <c r="AC343" s="288">
        <f t="shared" si="163"/>
        <v>0</v>
      </c>
      <c r="AD343" s="287">
        <f t="shared" si="147"/>
        <v>38412</v>
      </c>
      <c r="AE343" s="287">
        <f t="shared" si="148"/>
        <v>38412</v>
      </c>
      <c r="AF343" s="287">
        <f t="shared" si="149"/>
        <v>768240</v>
      </c>
      <c r="AG343" s="287">
        <f t="shared" si="150"/>
        <v>768240</v>
      </c>
      <c r="AH343" s="287">
        <f t="shared" si="151"/>
        <v>65091.840000000004</v>
      </c>
      <c r="AI343" s="287">
        <f t="shared" si="152"/>
        <v>65091.840000000004</v>
      </c>
      <c r="AJ343" s="287">
        <f t="shared" si="153"/>
        <v>0</v>
      </c>
      <c r="AK343" s="287">
        <f t="shared" si="154"/>
        <v>0</v>
      </c>
      <c r="AL343" s="287">
        <f t="shared" si="155"/>
        <v>14.861150684931506</v>
      </c>
      <c r="AM343" s="287">
        <f t="shared" si="156"/>
        <v>14.861150684931506</v>
      </c>
      <c r="AN343" s="287">
        <f t="shared" si="157"/>
        <v>14.861150684931506</v>
      </c>
      <c r="AO343" s="287">
        <f t="shared" si="158"/>
        <v>14.861150684931506</v>
      </c>
      <c r="AP343" s="287">
        <f t="shared" si="159"/>
        <v>28524</v>
      </c>
      <c r="AQ343" s="287">
        <f t="shared" si="160"/>
        <v>28524</v>
      </c>
      <c r="AR343" s="287">
        <f t="shared" si="161"/>
        <v>0</v>
      </c>
      <c r="AS343" s="289" t="e">
        <f>IF(J343='2027 Avoided Costs'!#REF!,3,5)</f>
        <v>#REF!</v>
      </c>
      <c r="AT343" s="290" cm="1">
        <f t="array" ref="AT343">IFERROR(IF($J343="Baseload",IF($O343=1,0,NPV('2027 Avoided Costs'!$D$6,_xlfn._xlws.FILTER('2027 Avoided Costs'!$C$14:$C$47,('2027 Avoided Costs'!$B$14:$B$47&gt;=$B343+1)*('2027 Avoided Costs'!$B$14:$B$47&lt;$B343+ROUND($O343,0)))))+_xlfn.XLOOKUP($B343,'2027 Avoided Costs'!$B$13:$B$47,'2027 Avoided Costs'!$C$13:$C$47),IF($O343=1,0,NPV('2027 Avoided Costs'!$D$6,_xlfn._xlws.FILTER('2027 Avoided Costs'!$E$14:$E$47,('2027 Avoided Costs'!$B$14:$B$47&gt;=$B343+1)*('2027 Avoided Costs'!$B$14:$B$47&lt;$B343+ROUND($O343,0)))))+_xlfn.XLOOKUP($B343,'2027 Avoided Costs'!$B$13:$B$47,'2027 Avoided Costs'!$E$13:$E$47))*IF($AE343&gt;0,$AE343*(1+$W343),0),0)</f>
        <v>211146.30674099564</v>
      </c>
      <c r="AU343" s="290" cm="1">
        <f t="array" ref="AU343">IFERROR((IF($O343=1,0,NPV('2027 Avoided Costs'!$D$6,_xlfn._xlws.FILTER('2027 Avoided Costs'!$M$14:$M$47,('2027 Avoided Costs'!$B$14:$B$47&gt;=$B343+1)*('2027 Avoided Costs'!$B$14:$B$47&lt;$B343+ROUND($O343,0)))))+_xlfn.XLOOKUP($B343,'2027 Avoided Costs'!$B$13:$B$47,'2027 Avoided Costs'!$M$13:$M$47))*IF($AK343&gt;0,$AK343*(1+$W343),0),0)</f>
        <v>0</v>
      </c>
      <c r="AV343" s="291" cm="1">
        <f t="array" ref="AV343">IFERROR((IF($O343=1,0,NPV('2027 Avoided Costs'!$D$6,_xlfn._xlws.FILTER('2027 Avoided Costs'!$Q$14:$Q$47,('2027 Avoided Costs'!$B$14:$B$47&gt;=$B343+1)*('2027 Avoided Costs'!$B$14:$B$47&lt;$B343+ROUND($O343,0)))))+_xlfn.XLOOKUP($B343,'2027 Avoided Costs'!$B$13:$B$47,'2027 Avoided Costs'!$Q$13:$Q$47))*IF($AI343&gt;0,$AI343*(1+$W343),0),0)</f>
        <v>48631.136459285299</v>
      </c>
      <c r="AW343" s="291" cm="1">
        <f t="array" ref="AW343">IFERROR((IF($O343=1,0,NPV('2027 Avoided Costs'!$D$6,_xlfn._xlws.FILTER('2027 Avoided Costs'!$W$14:$W$47,('2027 Avoided Costs'!$B$14:$B$47&gt;=$B343+1)*('2027 Avoided Costs'!$B$14:$B$47&lt;$B343+ROUND($O343,0)))))+_xlfn.XLOOKUP($B343,'2027 Avoided Costs'!$B$13:$B$47,'2027 Avoided Costs'!$W$13:$W$47))*IF($AM343&gt;0,$AM343*(1+$W343),0),0)</f>
        <v>79178.432242577357</v>
      </c>
      <c r="AX343" s="291" cm="1">
        <f t="array" ref="AX343">IFERROR((IF($O343=1,0,NPV('2027 Avoided Costs'!$D$6,_xlfn._xlws.FILTER('2027 Avoided Costs'!$AC$14:$AC$47,('2027 Avoided Costs'!$B$14:$B$47&gt;=$B343+1)*('2027 Avoided Costs'!$B$14:$B$47&lt;$B343+ROUND($O343,0)))))+_xlfn.XLOOKUP($B343,'2027 Avoided Costs'!$B$13:$B$47,'2027 Avoided Costs'!$AC$13:$AC$47))*IF($AO343&gt;0,$AO343*(1+$W343),0),0)</f>
        <v>12489.000874017525</v>
      </c>
      <c r="AY343" s="291" cm="1">
        <f t="array" ref="AY343">IFERROR((IF($O343=1,0,NPV('2027 Avoided Costs'!$D$4,_xlfn._xlws.FILTER('2027 Avoided Costs'!$I$14:$I$47,('2027 Avoided Costs'!$B$14:$B$47&gt;=$B343+1)*('2027 Avoided Costs'!$B$14:$B$47&lt;$B343+ROUND($O343,0)))))+_xlfn.XLOOKUP($B343,'2027 Avoided Costs'!$B$13:$B$47,'2027 Avoided Costs'!$I$13:$I$47))*IF($X343="Residential",'2027 Avoided Costs'!$J$5,IF($X343="Large Volume",'2027 Avoided Costs'!$J$7,'2027 Avoided Costs'!$J$6))*IF($AE343&gt;0,$AE343,0),0)</f>
        <v>0</v>
      </c>
      <c r="AZ343" s="291" cm="1">
        <f t="array" ref="AZ343">IFERROR(IF($J343="Baseload",IF($O343=1,0,NPV('2027 Avoided Costs'!$D$6,_xlfn._xlws.FILTER('2027 Avoided Costs'!$C$14:$C$47,('2027 Avoided Costs'!$B$14:$B$47&gt;=$B343+1)*('2027 Avoided Costs'!$B$14:$B$47&lt;$B343+ROUND($O343,0)))))+_xlfn.XLOOKUP($B343,'2027 Avoided Costs'!$B$13:$B$47,'2027 Avoided Costs'!$C$13:$C$47),IF($O343=1,0,NPV('2027 Avoided Costs'!$D$6,_xlfn._xlws.FILTER('2027 Avoided Costs'!$E$14:$E$47,('2027 Avoided Costs'!$B$14:$B$47&gt;=$B343+1)*('2027 Avoided Costs'!$B$14:$B$47&lt;$B343+ROUND($O343,0)))))+_xlfn.XLOOKUP($B343,'2027 Avoided Costs'!$B$13:$B$47,'2027 Avoided Costs'!$E$13:$E$47))*IF($AE343&lt;0,$AE343*(-1),0),0)</f>
        <v>0</v>
      </c>
      <c r="BA343" s="291" cm="1">
        <f t="array" ref="BA343">IFERROR((IF($O343=1,0,NPV('2027 Avoided Costs'!$D$6,_xlfn._xlws.FILTER('2027 Avoided Costs'!$M$14:$M$47,('2027 Avoided Costs'!$B$14:$B$47&gt;=$B343+1)*('2027 Avoided Costs'!$B$14:$B$47&lt;$B343+ROUND($O343,0)))))+_xlfn.XLOOKUP($B343,'2027 Avoided Costs'!$B$13:$B$47,'2027 Avoided Costs'!$M$13:$M$47))*IF($AK343&lt;0,$AK343*(-1),0),0)</f>
        <v>0</v>
      </c>
      <c r="BB343" s="291" cm="1">
        <f t="array" ref="BB343">IFERROR((IF($O343=1,0,NPV('2027 Avoided Costs'!$D$6,_xlfn._xlws.FILTER('2027 Avoided Costs'!$S$14:$S$47,('2027 Avoided Costs'!$B$14:$B$47&gt;=$B343+1)*('2027 Avoided Costs'!$B$14:$B$47&lt;$B343+ROUND($O343,0)))))+_xlfn.XLOOKUP($B343,'2027 Avoided Costs'!$B$13:$B$47,'2027 Avoided Costs'!$S$13:$S$47))*IF($AI343&lt;0,$AI343*(-1),0),0)</f>
        <v>0</v>
      </c>
      <c r="BC343" s="291" cm="1">
        <f t="array" ref="BC343">IFERROR((IF($O343=1,0,NPV('2027 Avoided Costs'!$D$6,_xlfn._xlws.FILTER('2027 Avoided Costs'!$Y$14:$Y$47,('2027 Avoided Costs'!$B$14:$B$47&gt;=$B343+1)*('2027 Avoided Costs'!$B$14:$B$47&lt;$B343+ROUND($O343,0)))))+_xlfn.XLOOKUP($B343,'2027 Avoided Costs'!$B$13:$B$47,'2027 Avoided Costs'!$Y$13:$Y$47))*IF($AM343&lt;0,$AM343*(-1),0),0)</f>
        <v>0</v>
      </c>
      <c r="BD343" s="291" cm="1">
        <f t="array" ref="BD343">IFERROR((IF($O343=1,0,NPV('2027 Avoided Costs'!$D$6,_xlfn._xlws.FILTER('2027 Avoided Costs'!$AE$14:$AE$47,('2027 Avoided Costs'!$B$14:$B$47&gt;=$B343+1)*('2027 Avoided Costs'!$B$14:$B$47&lt;$B343+ROUND($O343,0)))))+_xlfn.XLOOKUP($B343,'2027 Avoided Costs'!$B$13:$B$47,'2027 Avoided Costs'!$AE$13:$AE$47))*IF($AO343&lt;0,$AO343*(-1),0),0)</f>
        <v>0</v>
      </c>
      <c r="BE343" s="291" cm="1">
        <f t="array" ref="BE343">IFERROR((IF($O343=1,0,NPV('2027 Avoided Costs'!$D$4,_xlfn._xlws.FILTER('2027 Avoided Costs'!$I$14:$I$47,('2027 Avoided Costs'!$B$14:$B$47&gt;=$B343+1)*('2027 Avoided Costs'!$B$14:$B$47&lt;$B343+ROUND($O343,0)))))+_xlfn.XLOOKUP($B343,'2027 Avoided Costs'!$B$13:$B$47,'2027 Avoided Costs'!$I$13:$I$47))*IF($X343="Residential",'2027 Avoided Costs'!$J$5,IF($X343="Large Volume",'2027 Avoided Costs'!$J$7,'2027 Avoided Costs'!$J$6))*IF($AE343&lt;0,$AE343*(-1),0),0)</f>
        <v>0</v>
      </c>
      <c r="BF343" s="291">
        <f t="shared" si="139"/>
        <v>351444.87631687586</v>
      </c>
      <c r="BG343" s="291">
        <f t="shared" si="140"/>
        <v>28524</v>
      </c>
      <c r="BH343" s="291">
        <f t="shared" si="141"/>
        <v>322920.87631687586</v>
      </c>
      <c r="BI343" s="292">
        <f t="shared" si="164"/>
        <v>12.321023570217216</v>
      </c>
      <c r="BJ343" s="196" cm="1">
        <f t="array" ref="BJ343">IFERROR(IF($J343="Baseload",IF($O343=1,0,NPV('2027 Avoided Costs'!$D$6,_xlfn._xlws.FILTER('2027 Avoided Costs'!$C$14:$C$47,('2027 Avoided Costs'!$B$14:$B$47&gt;=$B343+1)*('2027 Avoided Costs'!$B$14:$B$47&lt;$B343+ROUND($O343,0)))))+_xlfn.XLOOKUP($B343,'2027 Avoided Costs'!$B$13:$B$47,'2027 Avoided Costs'!$C$13:$C$47),IF($O343=1,0,NPV('2027 Avoided Costs'!$D$6,_xlfn._xlws.FILTER('2027 Avoided Costs'!$E$14:$E$47,('2027 Avoided Costs'!$B$14:$B$47&gt;=$B343+1)*('2027 Avoided Costs'!$B$14:$B$47&lt;$B343+ROUND($O343,0)))))+_xlfn.XLOOKUP($B343,'2027 Avoided Costs'!$B$13:$B$47,'2027 Avoided Costs'!$E$13:$E$47))*IF($AE343&gt;0,$AE343*(1+0),0),0)</f>
        <v>183605.48412260492</v>
      </c>
      <c r="BK343" s="293">
        <f t="shared" si="162"/>
        <v>6.4541030172943961</v>
      </c>
    </row>
    <row r="344" spans="1:63" s="56" customFormat="1" x14ac:dyDescent="0.25">
      <c r="A344" s="270" t="s">
        <v>207</v>
      </c>
      <c r="B344" s="271">
        <v>2030</v>
      </c>
      <c r="C344" s="272" t="s">
        <v>12</v>
      </c>
      <c r="D344" s="272" t="s">
        <v>21</v>
      </c>
      <c r="E344" s="272" t="s">
        <v>111</v>
      </c>
      <c r="F344" s="273">
        <v>5</v>
      </c>
      <c r="G344" s="274">
        <v>30000</v>
      </c>
      <c r="H344" s="275">
        <f t="shared" si="142"/>
        <v>0</v>
      </c>
      <c r="I344" s="274">
        <v>0</v>
      </c>
      <c r="J344" s="276" t="s">
        <v>263</v>
      </c>
      <c r="K344" s="277">
        <f t="shared" si="138"/>
        <v>1</v>
      </c>
      <c r="L344" s="278">
        <v>0</v>
      </c>
      <c r="M344" s="278">
        <v>0</v>
      </c>
      <c r="N344" s="278">
        <v>0</v>
      </c>
      <c r="O344" s="279">
        <v>0</v>
      </c>
      <c r="P344" s="280">
        <v>0</v>
      </c>
      <c r="Q344" s="281">
        <v>0</v>
      </c>
      <c r="R344" s="282">
        <v>0</v>
      </c>
      <c r="S344" s="282">
        <v>0</v>
      </c>
      <c r="T344" s="281">
        <v>0</v>
      </c>
      <c r="U344" s="283">
        <v>0</v>
      </c>
      <c r="V344" s="284">
        <v>0</v>
      </c>
      <c r="W344" s="285">
        <v>0.15</v>
      </c>
      <c r="X344" s="286" t="s">
        <v>255</v>
      </c>
      <c r="Y344" s="287">
        <f t="shared" si="143"/>
        <v>5</v>
      </c>
      <c r="Z344" s="288">
        <f t="shared" si="144"/>
        <v>150000</v>
      </c>
      <c r="AA344" s="288">
        <f t="shared" si="145"/>
        <v>0</v>
      </c>
      <c r="AB344" s="288">
        <f t="shared" si="146"/>
        <v>159181.19999999998</v>
      </c>
      <c r="AC344" s="288">
        <f t="shared" si="163"/>
        <v>0</v>
      </c>
      <c r="AD344" s="287">
        <f t="shared" si="147"/>
        <v>0</v>
      </c>
      <c r="AE344" s="287">
        <f t="shared" si="148"/>
        <v>0</v>
      </c>
      <c r="AF344" s="287">
        <f t="shared" si="149"/>
        <v>0</v>
      </c>
      <c r="AG344" s="287">
        <f t="shared" si="150"/>
        <v>0</v>
      </c>
      <c r="AH344" s="287">
        <f t="shared" si="151"/>
        <v>0</v>
      </c>
      <c r="AI344" s="287">
        <f t="shared" si="152"/>
        <v>0</v>
      </c>
      <c r="AJ344" s="287">
        <f t="shared" si="153"/>
        <v>0</v>
      </c>
      <c r="AK344" s="287">
        <f t="shared" si="154"/>
        <v>0</v>
      </c>
      <c r="AL344" s="287">
        <f t="shared" si="155"/>
        <v>0</v>
      </c>
      <c r="AM344" s="287">
        <f t="shared" si="156"/>
        <v>0</v>
      </c>
      <c r="AN344" s="287">
        <f t="shared" si="157"/>
        <v>0</v>
      </c>
      <c r="AO344" s="287">
        <f t="shared" si="158"/>
        <v>0</v>
      </c>
      <c r="AP344" s="287">
        <f t="shared" si="159"/>
        <v>0</v>
      </c>
      <c r="AQ344" s="287">
        <f t="shared" si="160"/>
        <v>0</v>
      </c>
      <c r="AR344" s="287">
        <f t="shared" si="161"/>
        <v>0</v>
      </c>
      <c r="AS344" s="289" t="e">
        <f>IF(J344='2027 Avoided Costs'!#REF!,3,5)</f>
        <v>#REF!</v>
      </c>
      <c r="AT344" s="290" cm="1">
        <f t="array" ref="AT344">IFERROR(IF($J344="Baseload",IF($O344=1,0,NPV('2027 Avoided Costs'!$D$6,_xlfn._xlws.FILTER('2027 Avoided Costs'!$C$14:$C$47,('2027 Avoided Costs'!$B$14:$B$47&gt;=$B344+1)*('2027 Avoided Costs'!$B$14:$B$47&lt;$B344+ROUND($O344,0)))))+_xlfn.XLOOKUP($B344,'2027 Avoided Costs'!$B$13:$B$47,'2027 Avoided Costs'!$C$13:$C$47),IF($O344=1,0,NPV('2027 Avoided Costs'!$D$6,_xlfn._xlws.FILTER('2027 Avoided Costs'!$E$14:$E$47,('2027 Avoided Costs'!$B$14:$B$47&gt;=$B344+1)*('2027 Avoided Costs'!$B$14:$B$47&lt;$B344+ROUND($O344,0)))))+_xlfn.XLOOKUP($B344,'2027 Avoided Costs'!$B$13:$B$47,'2027 Avoided Costs'!$E$13:$E$47))*IF($AE344&gt;0,$AE344*(1+$W344),0),0)</f>
        <v>0</v>
      </c>
      <c r="AU344" s="290" cm="1">
        <f t="array" ref="AU344">IFERROR((IF($O344=1,0,NPV('2027 Avoided Costs'!$D$6,_xlfn._xlws.FILTER('2027 Avoided Costs'!$M$14:$M$47,('2027 Avoided Costs'!$B$14:$B$47&gt;=$B344+1)*('2027 Avoided Costs'!$B$14:$B$47&lt;$B344+ROUND($O344,0)))))+_xlfn.XLOOKUP($B344,'2027 Avoided Costs'!$B$13:$B$47,'2027 Avoided Costs'!$M$13:$M$47))*IF($AK344&gt;0,$AK344*(1+$W344),0),0)</f>
        <v>0</v>
      </c>
      <c r="AV344" s="291" cm="1">
        <f t="array" ref="AV344">IFERROR((IF($O344=1,0,NPV('2027 Avoided Costs'!$D$6,_xlfn._xlws.FILTER('2027 Avoided Costs'!$Q$14:$Q$47,('2027 Avoided Costs'!$B$14:$B$47&gt;=$B344+1)*('2027 Avoided Costs'!$B$14:$B$47&lt;$B344+ROUND($O344,0)))))+_xlfn.XLOOKUP($B344,'2027 Avoided Costs'!$B$13:$B$47,'2027 Avoided Costs'!$Q$13:$Q$47))*IF($AI344&gt;0,$AI344*(1+$W344),0),0)</f>
        <v>0</v>
      </c>
      <c r="AW344" s="291" cm="1">
        <f t="array" ref="AW344">IFERROR((IF($O344=1,0,NPV('2027 Avoided Costs'!$D$6,_xlfn._xlws.FILTER('2027 Avoided Costs'!$W$14:$W$47,('2027 Avoided Costs'!$B$14:$B$47&gt;=$B344+1)*('2027 Avoided Costs'!$B$14:$B$47&lt;$B344+ROUND($O344,0)))))+_xlfn.XLOOKUP($B344,'2027 Avoided Costs'!$B$13:$B$47,'2027 Avoided Costs'!$W$13:$W$47))*IF($AM344&gt;0,$AM344*(1+$W344),0),0)</f>
        <v>0</v>
      </c>
      <c r="AX344" s="291" cm="1">
        <f t="array" ref="AX344">IFERROR((IF($O344=1,0,NPV('2027 Avoided Costs'!$D$6,_xlfn._xlws.FILTER('2027 Avoided Costs'!$AC$14:$AC$47,('2027 Avoided Costs'!$B$14:$B$47&gt;=$B344+1)*('2027 Avoided Costs'!$B$14:$B$47&lt;$B344+ROUND($O344,0)))))+_xlfn.XLOOKUP($B344,'2027 Avoided Costs'!$B$13:$B$47,'2027 Avoided Costs'!$AC$13:$AC$47))*IF($AO344&gt;0,$AO344*(1+$W344),0),0)</f>
        <v>0</v>
      </c>
      <c r="AY344" s="291" cm="1">
        <f t="array" ref="AY344">IFERROR((IF($O344=1,0,NPV('2027 Avoided Costs'!$D$4,_xlfn._xlws.FILTER('2027 Avoided Costs'!$I$14:$I$47,('2027 Avoided Costs'!$B$14:$B$47&gt;=$B344+1)*('2027 Avoided Costs'!$B$14:$B$47&lt;$B344+ROUND($O344,0)))))+_xlfn.XLOOKUP($B344,'2027 Avoided Costs'!$B$13:$B$47,'2027 Avoided Costs'!$I$13:$I$47))*IF($X344="Residential",'2027 Avoided Costs'!$J$5,IF($X344="Large Volume",'2027 Avoided Costs'!$J$7,'2027 Avoided Costs'!$J$6))*IF($AE344&gt;0,$AE344,0),0)</f>
        <v>0</v>
      </c>
      <c r="AZ344" s="291" cm="1">
        <f t="array" ref="AZ344">IFERROR(IF($J344="Baseload",IF($O344=1,0,NPV('2027 Avoided Costs'!$D$6,_xlfn._xlws.FILTER('2027 Avoided Costs'!$C$14:$C$47,('2027 Avoided Costs'!$B$14:$B$47&gt;=$B344+1)*('2027 Avoided Costs'!$B$14:$B$47&lt;$B344+ROUND($O344,0)))))+_xlfn.XLOOKUP($B344,'2027 Avoided Costs'!$B$13:$B$47,'2027 Avoided Costs'!$C$13:$C$47),IF($O344=1,0,NPV('2027 Avoided Costs'!$D$6,_xlfn._xlws.FILTER('2027 Avoided Costs'!$E$14:$E$47,('2027 Avoided Costs'!$B$14:$B$47&gt;=$B344+1)*('2027 Avoided Costs'!$B$14:$B$47&lt;$B344+ROUND($O344,0)))))+_xlfn.XLOOKUP($B344,'2027 Avoided Costs'!$B$13:$B$47,'2027 Avoided Costs'!$E$13:$E$47))*IF($AE344&lt;0,$AE344*(-1),0),0)</f>
        <v>0</v>
      </c>
      <c r="BA344" s="291" cm="1">
        <f t="array" ref="BA344">IFERROR((IF($O344=1,0,NPV('2027 Avoided Costs'!$D$6,_xlfn._xlws.FILTER('2027 Avoided Costs'!$M$14:$M$47,('2027 Avoided Costs'!$B$14:$B$47&gt;=$B344+1)*('2027 Avoided Costs'!$B$14:$B$47&lt;$B344+ROUND($O344,0)))))+_xlfn.XLOOKUP($B344,'2027 Avoided Costs'!$B$13:$B$47,'2027 Avoided Costs'!$M$13:$M$47))*IF($AK344&lt;0,$AK344*(-1),0),0)</f>
        <v>0</v>
      </c>
      <c r="BB344" s="291" cm="1">
        <f t="array" ref="BB344">IFERROR((IF($O344=1,0,NPV('2027 Avoided Costs'!$D$6,_xlfn._xlws.FILTER('2027 Avoided Costs'!$S$14:$S$47,('2027 Avoided Costs'!$B$14:$B$47&gt;=$B344+1)*('2027 Avoided Costs'!$B$14:$B$47&lt;$B344+ROUND($O344,0)))))+_xlfn.XLOOKUP($B344,'2027 Avoided Costs'!$B$13:$B$47,'2027 Avoided Costs'!$S$13:$S$47))*IF($AI344&lt;0,$AI344*(-1),0),0)</f>
        <v>0</v>
      </c>
      <c r="BC344" s="291" cm="1">
        <f t="array" ref="BC344">IFERROR((IF($O344=1,0,NPV('2027 Avoided Costs'!$D$6,_xlfn._xlws.FILTER('2027 Avoided Costs'!$Y$14:$Y$47,('2027 Avoided Costs'!$B$14:$B$47&gt;=$B344+1)*('2027 Avoided Costs'!$B$14:$B$47&lt;$B344+ROUND($O344,0)))))+_xlfn.XLOOKUP($B344,'2027 Avoided Costs'!$B$13:$B$47,'2027 Avoided Costs'!$Y$13:$Y$47))*IF($AM344&lt;0,$AM344*(-1),0),0)</f>
        <v>0</v>
      </c>
      <c r="BD344" s="291" cm="1">
        <f t="array" ref="BD344">IFERROR((IF($O344=1,0,NPV('2027 Avoided Costs'!$D$6,_xlfn._xlws.FILTER('2027 Avoided Costs'!$AE$14:$AE$47,('2027 Avoided Costs'!$B$14:$B$47&gt;=$B344+1)*('2027 Avoided Costs'!$B$14:$B$47&lt;$B344+ROUND($O344,0)))))+_xlfn.XLOOKUP($B344,'2027 Avoided Costs'!$B$13:$B$47,'2027 Avoided Costs'!$AE$13:$AE$47))*IF($AO344&lt;0,$AO344*(-1),0),0)</f>
        <v>0</v>
      </c>
      <c r="BE344" s="291" cm="1">
        <f t="array" ref="BE344">IFERROR((IF($O344=1,0,NPV('2027 Avoided Costs'!$D$4,_xlfn._xlws.FILTER('2027 Avoided Costs'!$I$14:$I$47,('2027 Avoided Costs'!$B$14:$B$47&gt;=$B344+1)*('2027 Avoided Costs'!$B$14:$B$47&lt;$B344+ROUND($O344,0)))))+_xlfn.XLOOKUP($B344,'2027 Avoided Costs'!$B$13:$B$47,'2027 Avoided Costs'!$I$13:$I$47))*IF($X344="Residential",'2027 Avoided Costs'!$J$5,IF($X344="Large Volume",'2027 Avoided Costs'!$J$7,'2027 Avoided Costs'!$J$6))*IF($AE344&lt;0,$AE344*(-1),0),0)</f>
        <v>0</v>
      </c>
      <c r="BF344" s="291">
        <f t="shared" si="139"/>
        <v>0</v>
      </c>
      <c r="BG344" s="291">
        <f t="shared" si="140"/>
        <v>0</v>
      </c>
      <c r="BH344" s="291">
        <f t="shared" si="141"/>
        <v>0</v>
      </c>
      <c r="BI344" s="292">
        <f t="shared" si="164"/>
        <v>0</v>
      </c>
      <c r="BJ344" s="196" cm="1">
        <f t="array" ref="BJ344">IFERROR(IF($J344="Baseload",IF($O344=1,0,NPV('2027 Avoided Costs'!$D$6,_xlfn._xlws.FILTER('2027 Avoided Costs'!$C$14:$C$47,('2027 Avoided Costs'!$B$14:$B$47&gt;=$B344+1)*('2027 Avoided Costs'!$B$14:$B$47&lt;$B344+ROUND($O344,0)))))+_xlfn.XLOOKUP($B344,'2027 Avoided Costs'!$B$13:$B$47,'2027 Avoided Costs'!$C$13:$C$47),IF($O344=1,0,NPV('2027 Avoided Costs'!$D$6,_xlfn._xlws.FILTER('2027 Avoided Costs'!$E$14:$E$47,('2027 Avoided Costs'!$B$14:$B$47&gt;=$B344+1)*('2027 Avoided Costs'!$B$14:$B$47&lt;$B344+ROUND($O344,0)))))+_xlfn.XLOOKUP($B344,'2027 Avoided Costs'!$B$13:$B$47,'2027 Avoided Costs'!$E$13:$E$47))*IF($AE344&gt;0,$AE344*(1+0),0),0)</f>
        <v>0</v>
      </c>
      <c r="BK344" s="293">
        <f t="shared" si="162"/>
        <v>0</v>
      </c>
    </row>
    <row r="345" spans="1:63" s="56" customFormat="1" x14ac:dyDescent="0.25">
      <c r="A345" s="270" t="s">
        <v>207</v>
      </c>
      <c r="B345" s="271">
        <v>2030</v>
      </c>
      <c r="C345" s="272" t="s">
        <v>12</v>
      </c>
      <c r="D345" s="272" t="s">
        <v>21</v>
      </c>
      <c r="E345" s="272" t="s">
        <v>117</v>
      </c>
      <c r="F345" s="273">
        <v>20</v>
      </c>
      <c r="G345" s="274">
        <v>16200.000000000002</v>
      </c>
      <c r="H345" s="275">
        <f t="shared" si="142"/>
        <v>0</v>
      </c>
      <c r="I345" s="274">
        <v>0</v>
      </c>
      <c r="J345" s="276" t="s">
        <v>263</v>
      </c>
      <c r="K345" s="277">
        <f t="shared" si="138"/>
        <v>1</v>
      </c>
      <c r="L345" s="278">
        <v>0</v>
      </c>
      <c r="M345" s="278">
        <v>0</v>
      </c>
      <c r="N345" s="278">
        <v>1</v>
      </c>
      <c r="O345" s="279">
        <v>0</v>
      </c>
      <c r="P345" s="280">
        <v>0</v>
      </c>
      <c r="Q345" s="281">
        <v>0</v>
      </c>
      <c r="R345" s="282">
        <v>0</v>
      </c>
      <c r="S345" s="282">
        <v>0</v>
      </c>
      <c r="T345" s="281">
        <v>0</v>
      </c>
      <c r="U345" s="283">
        <v>0</v>
      </c>
      <c r="V345" s="284">
        <v>0</v>
      </c>
      <c r="W345" s="285">
        <v>0.15</v>
      </c>
      <c r="X345" s="286" t="s">
        <v>255</v>
      </c>
      <c r="Y345" s="287">
        <f t="shared" si="143"/>
        <v>20</v>
      </c>
      <c r="Z345" s="288">
        <f t="shared" si="144"/>
        <v>324000.00000000006</v>
      </c>
      <c r="AA345" s="288">
        <f t="shared" si="145"/>
        <v>0</v>
      </c>
      <c r="AB345" s="288">
        <f t="shared" si="146"/>
        <v>343831.39200000005</v>
      </c>
      <c r="AC345" s="288">
        <f t="shared" si="163"/>
        <v>0</v>
      </c>
      <c r="AD345" s="287">
        <f t="shared" si="147"/>
        <v>0</v>
      </c>
      <c r="AE345" s="287">
        <f t="shared" si="148"/>
        <v>0</v>
      </c>
      <c r="AF345" s="287">
        <f t="shared" si="149"/>
        <v>0</v>
      </c>
      <c r="AG345" s="287">
        <f t="shared" si="150"/>
        <v>0</v>
      </c>
      <c r="AH345" s="287">
        <f t="shared" si="151"/>
        <v>0</v>
      </c>
      <c r="AI345" s="287">
        <f t="shared" si="152"/>
        <v>0</v>
      </c>
      <c r="AJ345" s="287">
        <f t="shared" si="153"/>
        <v>0</v>
      </c>
      <c r="AK345" s="287">
        <f t="shared" si="154"/>
        <v>0</v>
      </c>
      <c r="AL345" s="287">
        <f t="shared" si="155"/>
        <v>0</v>
      </c>
      <c r="AM345" s="287">
        <f t="shared" si="156"/>
        <v>0</v>
      </c>
      <c r="AN345" s="287">
        <f t="shared" si="157"/>
        <v>0</v>
      </c>
      <c r="AO345" s="287">
        <f t="shared" si="158"/>
        <v>0</v>
      </c>
      <c r="AP345" s="287">
        <f t="shared" si="159"/>
        <v>0</v>
      </c>
      <c r="AQ345" s="287">
        <f t="shared" si="160"/>
        <v>0</v>
      </c>
      <c r="AR345" s="287">
        <f t="shared" si="161"/>
        <v>0</v>
      </c>
      <c r="AS345" s="289" t="e">
        <f>IF(J345='2027 Avoided Costs'!#REF!,3,5)</f>
        <v>#REF!</v>
      </c>
      <c r="AT345" s="290" cm="1">
        <f t="array" ref="AT345">IFERROR(IF($J345="Baseload",IF($O345=1,0,NPV('2027 Avoided Costs'!$D$6,_xlfn._xlws.FILTER('2027 Avoided Costs'!$C$14:$C$47,('2027 Avoided Costs'!$B$14:$B$47&gt;=$B345+1)*('2027 Avoided Costs'!$B$14:$B$47&lt;$B345+ROUND($O345,0)))))+_xlfn.XLOOKUP($B345,'2027 Avoided Costs'!$B$13:$B$47,'2027 Avoided Costs'!$C$13:$C$47),IF($O345=1,0,NPV('2027 Avoided Costs'!$D$6,_xlfn._xlws.FILTER('2027 Avoided Costs'!$E$14:$E$47,('2027 Avoided Costs'!$B$14:$B$47&gt;=$B345+1)*('2027 Avoided Costs'!$B$14:$B$47&lt;$B345+ROUND($O345,0)))))+_xlfn.XLOOKUP($B345,'2027 Avoided Costs'!$B$13:$B$47,'2027 Avoided Costs'!$E$13:$E$47))*IF($AE345&gt;0,$AE345*(1+$W345),0),0)</f>
        <v>0</v>
      </c>
      <c r="AU345" s="290" cm="1">
        <f t="array" ref="AU345">IFERROR((IF($O345=1,0,NPV('2027 Avoided Costs'!$D$6,_xlfn._xlws.FILTER('2027 Avoided Costs'!$M$14:$M$47,('2027 Avoided Costs'!$B$14:$B$47&gt;=$B345+1)*('2027 Avoided Costs'!$B$14:$B$47&lt;$B345+ROUND($O345,0)))))+_xlfn.XLOOKUP($B345,'2027 Avoided Costs'!$B$13:$B$47,'2027 Avoided Costs'!$M$13:$M$47))*IF($AK345&gt;0,$AK345*(1+$W345),0),0)</f>
        <v>0</v>
      </c>
      <c r="AV345" s="291" cm="1">
        <f t="array" ref="AV345">IFERROR((IF($O345=1,0,NPV('2027 Avoided Costs'!$D$6,_xlfn._xlws.FILTER('2027 Avoided Costs'!$Q$14:$Q$47,('2027 Avoided Costs'!$B$14:$B$47&gt;=$B345+1)*('2027 Avoided Costs'!$B$14:$B$47&lt;$B345+ROUND($O345,0)))))+_xlfn.XLOOKUP($B345,'2027 Avoided Costs'!$B$13:$B$47,'2027 Avoided Costs'!$Q$13:$Q$47))*IF($AI345&gt;0,$AI345*(1+$W345),0),0)</f>
        <v>0</v>
      </c>
      <c r="AW345" s="291" cm="1">
        <f t="array" ref="AW345">IFERROR((IF($O345=1,0,NPV('2027 Avoided Costs'!$D$6,_xlfn._xlws.FILTER('2027 Avoided Costs'!$W$14:$W$47,('2027 Avoided Costs'!$B$14:$B$47&gt;=$B345+1)*('2027 Avoided Costs'!$B$14:$B$47&lt;$B345+ROUND($O345,0)))))+_xlfn.XLOOKUP($B345,'2027 Avoided Costs'!$B$13:$B$47,'2027 Avoided Costs'!$W$13:$W$47))*IF($AM345&gt;0,$AM345*(1+$W345),0),0)</f>
        <v>0</v>
      </c>
      <c r="AX345" s="291" cm="1">
        <f t="array" ref="AX345">IFERROR((IF($O345=1,0,NPV('2027 Avoided Costs'!$D$6,_xlfn._xlws.FILTER('2027 Avoided Costs'!$AC$14:$AC$47,('2027 Avoided Costs'!$B$14:$B$47&gt;=$B345+1)*('2027 Avoided Costs'!$B$14:$B$47&lt;$B345+ROUND($O345,0)))))+_xlfn.XLOOKUP($B345,'2027 Avoided Costs'!$B$13:$B$47,'2027 Avoided Costs'!$AC$13:$AC$47))*IF($AO345&gt;0,$AO345*(1+$W345),0),0)</f>
        <v>0</v>
      </c>
      <c r="AY345" s="291" cm="1">
        <f t="array" ref="AY345">IFERROR((IF($O345=1,0,NPV('2027 Avoided Costs'!$D$4,_xlfn._xlws.FILTER('2027 Avoided Costs'!$I$14:$I$47,('2027 Avoided Costs'!$B$14:$B$47&gt;=$B345+1)*('2027 Avoided Costs'!$B$14:$B$47&lt;$B345+ROUND($O345,0)))))+_xlfn.XLOOKUP($B345,'2027 Avoided Costs'!$B$13:$B$47,'2027 Avoided Costs'!$I$13:$I$47))*IF($X345="Residential",'2027 Avoided Costs'!$J$5,IF($X345="Large Volume",'2027 Avoided Costs'!$J$7,'2027 Avoided Costs'!$J$6))*IF($AE345&gt;0,$AE345,0),0)</f>
        <v>0</v>
      </c>
      <c r="AZ345" s="291" cm="1">
        <f t="array" ref="AZ345">IFERROR(IF($J345="Baseload",IF($O345=1,0,NPV('2027 Avoided Costs'!$D$6,_xlfn._xlws.FILTER('2027 Avoided Costs'!$C$14:$C$47,('2027 Avoided Costs'!$B$14:$B$47&gt;=$B345+1)*('2027 Avoided Costs'!$B$14:$B$47&lt;$B345+ROUND($O345,0)))))+_xlfn.XLOOKUP($B345,'2027 Avoided Costs'!$B$13:$B$47,'2027 Avoided Costs'!$C$13:$C$47),IF($O345=1,0,NPV('2027 Avoided Costs'!$D$6,_xlfn._xlws.FILTER('2027 Avoided Costs'!$E$14:$E$47,('2027 Avoided Costs'!$B$14:$B$47&gt;=$B345+1)*('2027 Avoided Costs'!$B$14:$B$47&lt;$B345+ROUND($O345,0)))))+_xlfn.XLOOKUP($B345,'2027 Avoided Costs'!$B$13:$B$47,'2027 Avoided Costs'!$E$13:$E$47))*IF($AE345&lt;0,$AE345*(-1),0),0)</f>
        <v>0</v>
      </c>
      <c r="BA345" s="291" cm="1">
        <f t="array" ref="BA345">IFERROR((IF($O345=1,0,NPV('2027 Avoided Costs'!$D$6,_xlfn._xlws.FILTER('2027 Avoided Costs'!$M$14:$M$47,('2027 Avoided Costs'!$B$14:$B$47&gt;=$B345+1)*('2027 Avoided Costs'!$B$14:$B$47&lt;$B345+ROUND($O345,0)))))+_xlfn.XLOOKUP($B345,'2027 Avoided Costs'!$B$13:$B$47,'2027 Avoided Costs'!$M$13:$M$47))*IF($AK345&lt;0,$AK345*(-1),0),0)</f>
        <v>0</v>
      </c>
      <c r="BB345" s="291" cm="1">
        <f t="array" ref="BB345">IFERROR((IF($O345=1,0,NPV('2027 Avoided Costs'!$D$6,_xlfn._xlws.FILTER('2027 Avoided Costs'!$S$14:$S$47,('2027 Avoided Costs'!$B$14:$B$47&gt;=$B345+1)*('2027 Avoided Costs'!$B$14:$B$47&lt;$B345+ROUND($O345,0)))))+_xlfn.XLOOKUP($B345,'2027 Avoided Costs'!$B$13:$B$47,'2027 Avoided Costs'!$S$13:$S$47))*IF($AI345&lt;0,$AI345*(-1),0),0)</f>
        <v>0</v>
      </c>
      <c r="BC345" s="291" cm="1">
        <f t="array" ref="BC345">IFERROR((IF($O345=1,0,NPV('2027 Avoided Costs'!$D$6,_xlfn._xlws.FILTER('2027 Avoided Costs'!$Y$14:$Y$47,('2027 Avoided Costs'!$B$14:$B$47&gt;=$B345+1)*('2027 Avoided Costs'!$B$14:$B$47&lt;$B345+ROUND($O345,0)))))+_xlfn.XLOOKUP($B345,'2027 Avoided Costs'!$B$13:$B$47,'2027 Avoided Costs'!$Y$13:$Y$47))*IF($AM345&lt;0,$AM345*(-1),0),0)</f>
        <v>0</v>
      </c>
      <c r="BD345" s="291" cm="1">
        <f t="array" ref="BD345">IFERROR((IF($O345=1,0,NPV('2027 Avoided Costs'!$D$6,_xlfn._xlws.FILTER('2027 Avoided Costs'!$AE$14:$AE$47,('2027 Avoided Costs'!$B$14:$B$47&gt;=$B345+1)*('2027 Avoided Costs'!$B$14:$B$47&lt;$B345+ROUND($O345,0)))))+_xlfn.XLOOKUP($B345,'2027 Avoided Costs'!$B$13:$B$47,'2027 Avoided Costs'!$AE$13:$AE$47))*IF($AO345&lt;0,$AO345*(-1),0),0)</f>
        <v>0</v>
      </c>
      <c r="BE345" s="291" cm="1">
        <f t="array" ref="BE345">IFERROR((IF($O345=1,0,NPV('2027 Avoided Costs'!$D$4,_xlfn._xlws.FILTER('2027 Avoided Costs'!$I$14:$I$47,('2027 Avoided Costs'!$B$14:$B$47&gt;=$B345+1)*('2027 Avoided Costs'!$B$14:$B$47&lt;$B345+ROUND($O345,0)))))+_xlfn.XLOOKUP($B345,'2027 Avoided Costs'!$B$13:$B$47,'2027 Avoided Costs'!$I$13:$I$47))*IF($X345="Residential",'2027 Avoided Costs'!$J$5,IF($X345="Large Volume",'2027 Avoided Costs'!$J$7,'2027 Avoided Costs'!$J$6))*IF($AE345&lt;0,$AE345*(-1),0),0)</f>
        <v>0</v>
      </c>
      <c r="BF345" s="291">
        <f t="shared" si="139"/>
        <v>0</v>
      </c>
      <c r="BG345" s="291">
        <f t="shared" si="140"/>
        <v>0</v>
      </c>
      <c r="BH345" s="291">
        <f t="shared" si="141"/>
        <v>0</v>
      </c>
      <c r="BI345" s="292">
        <f t="shared" si="164"/>
        <v>0</v>
      </c>
      <c r="BJ345" s="196" cm="1">
        <f t="array" ref="BJ345">IFERROR(IF($J345="Baseload",IF($O345=1,0,NPV('2027 Avoided Costs'!$D$6,_xlfn._xlws.FILTER('2027 Avoided Costs'!$C$14:$C$47,('2027 Avoided Costs'!$B$14:$B$47&gt;=$B345+1)*('2027 Avoided Costs'!$B$14:$B$47&lt;$B345+ROUND($O345,0)))))+_xlfn.XLOOKUP($B345,'2027 Avoided Costs'!$B$13:$B$47,'2027 Avoided Costs'!$C$13:$C$47),IF($O345=1,0,NPV('2027 Avoided Costs'!$D$6,_xlfn._xlws.FILTER('2027 Avoided Costs'!$E$14:$E$47,('2027 Avoided Costs'!$B$14:$B$47&gt;=$B345+1)*('2027 Avoided Costs'!$B$14:$B$47&lt;$B345+ROUND($O345,0)))))+_xlfn.XLOOKUP($B345,'2027 Avoided Costs'!$B$13:$B$47,'2027 Avoided Costs'!$E$13:$E$47))*IF($AE345&gt;0,$AE345*(1+0),0),0)</f>
        <v>0</v>
      </c>
      <c r="BK345" s="293">
        <f t="shared" si="162"/>
        <v>0</v>
      </c>
    </row>
    <row r="346" spans="1:63" s="56" customFormat="1" x14ac:dyDescent="0.25">
      <c r="A346" s="270" t="s">
        <v>207</v>
      </c>
      <c r="B346" s="271">
        <v>2030</v>
      </c>
      <c r="C346" s="272" t="s">
        <v>12</v>
      </c>
      <c r="D346" s="272" t="s">
        <v>21</v>
      </c>
      <c r="E346" s="272" t="s">
        <v>112</v>
      </c>
      <c r="F346" s="273">
        <v>9</v>
      </c>
      <c r="G346" s="274">
        <v>112619</v>
      </c>
      <c r="H346" s="275">
        <f t="shared" si="142"/>
        <v>3.25</v>
      </c>
      <c r="I346" s="274">
        <v>0</v>
      </c>
      <c r="J346" s="276" t="s">
        <v>264</v>
      </c>
      <c r="K346" s="277">
        <f t="shared" si="138"/>
        <v>1</v>
      </c>
      <c r="L346" s="278">
        <v>0</v>
      </c>
      <c r="M346" s="278">
        <v>0</v>
      </c>
      <c r="N346" s="278">
        <v>0.97609999999999997</v>
      </c>
      <c r="O346" s="279">
        <v>15</v>
      </c>
      <c r="P346" s="280">
        <v>34652</v>
      </c>
      <c r="Q346" s="281">
        <v>-90946</v>
      </c>
      <c r="R346" s="282">
        <v>0</v>
      </c>
      <c r="S346" s="282">
        <v>-28.2895</v>
      </c>
      <c r="T346" s="281">
        <v>0</v>
      </c>
      <c r="U346" s="283">
        <v>0</v>
      </c>
      <c r="V346" s="284">
        <v>399813</v>
      </c>
      <c r="W346" s="285">
        <v>0.15</v>
      </c>
      <c r="X346" s="286" t="s">
        <v>255</v>
      </c>
      <c r="Y346" s="287">
        <f t="shared" si="143"/>
        <v>9</v>
      </c>
      <c r="Z346" s="288">
        <f t="shared" si="144"/>
        <v>1013571</v>
      </c>
      <c r="AA346" s="288">
        <f t="shared" si="145"/>
        <v>0</v>
      </c>
      <c r="AB346" s="288">
        <f t="shared" si="146"/>
        <v>1075609.653768</v>
      </c>
      <c r="AC346" s="288">
        <f t="shared" si="163"/>
        <v>0</v>
      </c>
      <c r="AD346" s="287">
        <f t="shared" si="147"/>
        <v>304414.35479999997</v>
      </c>
      <c r="AE346" s="287">
        <f t="shared" si="148"/>
        <v>304414.35479999997</v>
      </c>
      <c r="AF346" s="287">
        <f t="shared" si="149"/>
        <v>4566215.3219999997</v>
      </c>
      <c r="AG346" s="287">
        <f t="shared" si="150"/>
        <v>4566215.3219999997</v>
      </c>
      <c r="AH346" s="287">
        <f t="shared" si="151"/>
        <v>-856476.02450880012</v>
      </c>
      <c r="AI346" s="287">
        <f t="shared" si="152"/>
        <v>-856476.02450880012</v>
      </c>
      <c r="AJ346" s="287">
        <f t="shared" si="153"/>
        <v>0</v>
      </c>
      <c r="AK346" s="287">
        <f t="shared" si="154"/>
        <v>0</v>
      </c>
      <c r="AL346" s="287">
        <f t="shared" si="155"/>
        <v>0</v>
      </c>
      <c r="AM346" s="287">
        <f t="shared" si="156"/>
        <v>0</v>
      </c>
      <c r="AN346" s="287">
        <f t="shared" si="157"/>
        <v>-266.41389940560003</v>
      </c>
      <c r="AO346" s="287">
        <f t="shared" si="158"/>
        <v>-266.41389940560003</v>
      </c>
      <c r="AP346" s="287">
        <f t="shared" si="159"/>
        <v>3598317</v>
      </c>
      <c r="AQ346" s="287">
        <f t="shared" si="160"/>
        <v>3598317</v>
      </c>
      <c r="AR346" s="287">
        <f t="shared" si="161"/>
        <v>0</v>
      </c>
      <c r="AS346" s="289" t="e">
        <f>IF(J346='2027 Avoided Costs'!#REF!,3,5)</f>
        <v>#REF!</v>
      </c>
      <c r="AT346" s="290" cm="1">
        <f t="array" ref="AT346">IFERROR(IF($J346="Baseload",IF($O346=1,0,NPV('2027 Avoided Costs'!$D$6,_xlfn._xlws.FILTER('2027 Avoided Costs'!$C$14:$C$47,('2027 Avoided Costs'!$B$14:$B$47&gt;=$B346+1)*('2027 Avoided Costs'!$B$14:$B$47&lt;$B346+ROUND($O346,0)))))+_xlfn.XLOOKUP($B346,'2027 Avoided Costs'!$B$13:$B$47,'2027 Avoided Costs'!$C$13:$C$47),IF($O346=1,0,NPV('2027 Avoided Costs'!$D$6,_xlfn._xlws.FILTER('2027 Avoided Costs'!$E$14:$E$47,('2027 Avoided Costs'!$B$14:$B$47&gt;=$B346+1)*('2027 Avoided Costs'!$B$14:$B$47&lt;$B346+ROUND($O346,0)))))+_xlfn.XLOOKUP($B346,'2027 Avoided Costs'!$B$13:$B$47,'2027 Avoided Costs'!$E$13:$E$47))*IF($AE346&gt;0,$AE346*(1+$W346),0),0)</f>
        <v>1334860.6038400107</v>
      </c>
      <c r="AU346" s="290" cm="1">
        <f t="array" ref="AU346">IFERROR((IF($O346=1,0,NPV('2027 Avoided Costs'!$D$6,_xlfn._xlws.FILTER('2027 Avoided Costs'!$M$14:$M$47,('2027 Avoided Costs'!$B$14:$B$47&gt;=$B346+1)*('2027 Avoided Costs'!$B$14:$B$47&lt;$B346+ROUND($O346,0)))))+_xlfn.XLOOKUP($B346,'2027 Avoided Costs'!$B$13:$B$47,'2027 Avoided Costs'!$M$13:$M$47))*IF($AK346&gt;0,$AK346*(1+$W346),0),0)</f>
        <v>0</v>
      </c>
      <c r="AV346" s="291" cm="1">
        <f t="array" ref="AV346">IFERROR((IF($O346=1,0,NPV('2027 Avoided Costs'!$D$6,_xlfn._xlws.FILTER('2027 Avoided Costs'!$Q$14:$Q$47,('2027 Avoided Costs'!$B$14:$B$47&gt;=$B346+1)*('2027 Avoided Costs'!$B$14:$B$47&lt;$B346+ROUND($O346,0)))))+_xlfn.XLOOKUP($B346,'2027 Avoided Costs'!$B$13:$B$47,'2027 Avoided Costs'!$Q$13:$Q$47))*IF($AI346&gt;0,$AI346*(1+$W346),0),0)</f>
        <v>0</v>
      </c>
      <c r="AW346" s="291" cm="1">
        <f t="array" ref="AW346">IFERROR((IF($O346=1,0,NPV('2027 Avoided Costs'!$D$6,_xlfn._xlws.FILTER('2027 Avoided Costs'!$W$14:$W$47,('2027 Avoided Costs'!$B$14:$B$47&gt;=$B346+1)*('2027 Avoided Costs'!$B$14:$B$47&lt;$B346+ROUND($O346,0)))))+_xlfn.XLOOKUP($B346,'2027 Avoided Costs'!$B$13:$B$47,'2027 Avoided Costs'!$W$13:$W$47))*IF($AM346&gt;0,$AM346*(1+$W346),0),0)</f>
        <v>0</v>
      </c>
      <c r="AX346" s="291" cm="1">
        <f t="array" ref="AX346">IFERROR((IF($O346=1,0,NPV('2027 Avoided Costs'!$D$6,_xlfn._xlws.FILTER('2027 Avoided Costs'!$AC$14:$AC$47,('2027 Avoided Costs'!$B$14:$B$47&gt;=$B346+1)*('2027 Avoided Costs'!$B$14:$B$47&lt;$B346+ROUND($O346,0)))))+_xlfn.XLOOKUP($B346,'2027 Avoided Costs'!$B$13:$B$47,'2027 Avoided Costs'!$AC$13:$AC$47))*IF($AO346&gt;0,$AO346*(1+$W346),0),0)</f>
        <v>0</v>
      </c>
      <c r="AY346" s="291" cm="1">
        <f t="array" ref="AY346">IFERROR((IF($O346=1,0,NPV('2027 Avoided Costs'!$D$4,_xlfn._xlws.FILTER('2027 Avoided Costs'!$I$14:$I$47,('2027 Avoided Costs'!$B$14:$B$47&gt;=$B346+1)*('2027 Avoided Costs'!$B$14:$B$47&lt;$B346+ROUND($O346,0)))))+_xlfn.XLOOKUP($B346,'2027 Avoided Costs'!$B$13:$B$47,'2027 Avoided Costs'!$I$13:$I$47))*IF($X346="Residential",'2027 Avoided Costs'!$J$5,IF($X346="Large Volume",'2027 Avoided Costs'!$J$7,'2027 Avoided Costs'!$J$6))*IF($AE346&gt;0,$AE346,0),0)</f>
        <v>0</v>
      </c>
      <c r="AZ346" s="291" cm="1">
        <f t="array" ref="AZ346">IFERROR(IF($J346="Baseload",IF($O346=1,0,NPV('2027 Avoided Costs'!$D$6,_xlfn._xlws.FILTER('2027 Avoided Costs'!$C$14:$C$47,('2027 Avoided Costs'!$B$14:$B$47&gt;=$B346+1)*('2027 Avoided Costs'!$B$14:$B$47&lt;$B346+ROUND($O346,0)))))+_xlfn.XLOOKUP($B346,'2027 Avoided Costs'!$B$13:$B$47,'2027 Avoided Costs'!$C$13:$C$47),IF($O346=1,0,NPV('2027 Avoided Costs'!$D$6,_xlfn._xlws.FILTER('2027 Avoided Costs'!$E$14:$E$47,('2027 Avoided Costs'!$B$14:$B$47&gt;=$B346+1)*('2027 Avoided Costs'!$B$14:$B$47&lt;$B346+ROUND($O346,0)))))+_xlfn.XLOOKUP($B346,'2027 Avoided Costs'!$B$13:$B$47,'2027 Avoided Costs'!$E$13:$E$47))*IF($AE346&lt;0,$AE346*(-1),0),0)</f>
        <v>0</v>
      </c>
      <c r="BA346" s="291" cm="1">
        <f t="array" ref="BA346">IFERROR((IF($O346=1,0,NPV('2027 Avoided Costs'!$D$6,_xlfn._xlws.FILTER('2027 Avoided Costs'!$M$14:$M$47,('2027 Avoided Costs'!$B$14:$B$47&gt;=$B346+1)*('2027 Avoided Costs'!$B$14:$B$47&lt;$B346+ROUND($O346,0)))))+_xlfn.XLOOKUP($B346,'2027 Avoided Costs'!$B$13:$B$47,'2027 Avoided Costs'!$M$13:$M$47))*IF($AK346&lt;0,$AK346*(-1),0),0)</f>
        <v>0</v>
      </c>
      <c r="BB346" s="291" cm="1">
        <f t="array" ref="BB346">IFERROR((IF($O346=1,0,NPV('2027 Avoided Costs'!$D$6,_xlfn._xlws.FILTER('2027 Avoided Costs'!$S$14:$S$47,('2027 Avoided Costs'!$B$14:$B$47&gt;=$B346+1)*('2027 Avoided Costs'!$B$14:$B$47&lt;$B346+ROUND($O346,0)))))+_xlfn.XLOOKUP($B346,'2027 Avoided Costs'!$B$13:$B$47,'2027 Avoided Costs'!$S$13:$S$47))*IF($AI346&lt;0,$AI346*(-1),0),0)</f>
        <v>477278.20812228892</v>
      </c>
      <c r="BC346" s="291" cm="1">
        <f t="array" ref="BC346">IFERROR((IF($O346=1,0,NPV('2027 Avoided Costs'!$D$6,_xlfn._xlws.FILTER('2027 Avoided Costs'!$Y$14:$Y$47,('2027 Avoided Costs'!$B$14:$B$47&gt;=$B346+1)*('2027 Avoided Costs'!$B$14:$B$47&lt;$B346+ROUND($O346,0)))))+_xlfn.XLOOKUP($B346,'2027 Avoided Costs'!$B$13:$B$47,'2027 Avoided Costs'!$Y$13:$Y$47))*IF($AM346&lt;0,$AM346*(-1),0),0)</f>
        <v>0</v>
      </c>
      <c r="BD346" s="291" cm="1">
        <f t="array" ref="BD346">IFERROR((IF($O346=1,0,NPV('2027 Avoided Costs'!$D$6,_xlfn._xlws.FILTER('2027 Avoided Costs'!$AE$14:$AE$47,('2027 Avoided Costs'!$B$14:$B$47&gt;=$B346+1)*('2027 Avoided Costs'!$B$14:$B$47&lt;$B346+ROUND($O346,0)))))+_xlfn.XLOOKUP($B346,'2027 Avoided Costs'!$B$13:$B$47,'2027 Avoided Costs'!$AE$13:$AE$47))*IF($AO346&lt;0,$AO346*(-1),0),0)</f>
        <v>194685.80942100682</v>
      </c>
      <c r="BE346" s="291" cm="1">
        <f t="array" ref="BE346">IFERROR((IF($O346=1,0,NPV('2027 Avoided Costs'!$D$4,_xlfn._xlws.FILTER('2027 Avoided Costs'!$I$14:$I$47,('2027 Avoided Costs'!$B$14:$B$47&gt;=$B346+1)*('2027 Avoided Costs'!$B$14:$B$47&lt;$B346+ROUND($O346,0)))))+_xlfn.XLOOKUP($B346,'2027 Avoided Costs'!$B$13:$B$47,'2027 Avoided Costs'!$I$13:$I$47))*IF($X346="Residential",'2027 Avoided Costs'!$J$5,IF($X346="Large Volume",'2027 Avoided Costs'!$J$7,'2027 Avoided Costs'!$J$6))*IF($AE346&lt;0,$AE346*(-1),0),0)</f>
        <v>0</v>
      </c>
      <c r="BF346" s="291">
        <f t="shared" si="139"/>
        <v>1334860.6038400107</v>
      </c>
      <c r="BG346" s="291">
        <f t="shared" si="140"/>
        <v>4270281.0175432954</v>
      </c>
      <c r="BH346" s="291">
        <f t="shared" si="141"/>
        <v>-2935420.4137032847</v>
      </c>
      <c r="BI346" s="292">
        <f t="shared" si="164"/>
        <v>0.31259315214996314</v>
      </c>
      <c r="BJ346" s="196" cm="1">
        <f t="array" ref="BJ346">IFERROR(IF($J346="Baseload",IF($O346=1,0,NPV('2027 Avoided Costs'!$D$6,_xlfn._xlws.FILTER('2027 Avoided Costs'!$C$14:$C$47,('2027 Avoided Costs'!$B$14:$B$47&gt;=$B346+1)*('2027 Avoided Costs'!$B$14:$B$47&lt;$B346+ROUND($O346,0)))))+_xlfn.XLOOKUP($B346,'2027 Avoided Costs'!$B$13:$B$47,'2027 Avoided Costs'!$C$13:$C$47),IF($O346=1,0,NPV('2027 Avoided Costs'!$D$6,_xlfn._xlws.FILTER('2027 Avoided Costs'!$E$14:$E$47,('2027 Avoided Costs'!$B$14:$B$47&gt;=$B346+1)*('2027 Avoided Costs'!$B$14:$B$47&lt;$B346+ROUND($O346,0)))))+_xlfn.XLOOKUP($B346,'2027 Avoided Costs'!$B$13:$B$47,'2027 Avoided Costs'!$E$13:$E$47))*IF($AE346&gt;0,$AE346*(1+0),0),0)</f>
        <v>1160748.3511652267</v>
      </c>
      <c r="BK346" s="293">
        <f t="shared" si="162"/>
        <v>1.0791538985346356</v>
      </c>
    </row>
    <row r="347" spans="1:63" s="56" customFormat="1" x14ac:dyDescent="0.25">
      <c r="A347" s="270" t="s">
        <v>207</v>
      </c>
      <c r="B347" s="271">
        <v>2030</v>
      </c>
      <c r="C347" s="272" t="s">
        <v>12</v>
      </c>
      <c r="D347" s="272" t="s">
        <v>21</v>
      </c>
      <c r="E347" s="272" t="s">
        <v>347</v>
      </c>
      <c r="F347" s="273">
        <v>20</v>
      </c>
      <c r="G347" s="274">
        <v>6831.1100000000006</v>
      </c>
      <c r="H347" s="275">
        <f t="shared" si="142"/>
        <v>1.87</v>
      </c>
      <c r="I347" s="274">
        <v>0</v>
      </c>
      <c r="J347" s="276" t="s">
        <v>264</v>
      </c>
      <c r="K347" s="277">
        <f t="shared" si="138"/>
        <v>1</v>
      </c>
      <c r="L347" s="278">
        <v>0</v>
      </c>
      <c r="M347" s="278">
        <v>0</v>
      </c>
      <c r="N347" s="278">
        <v>0.97609999999999997</v>
      </c>
      <c r="O347" s="279">
        <v>5</v>
      </c>
      <c r="P347" s="280">
        <v>3653</v>
      </c>
      <c r="Q347" s="281">
        <v>0</v>
      </c>
      <c r="R347" s="282">
        <v>0</v>
      </c>
      <c r="S347" s="282">
        <v>0</v>
      </c>
      <c r="T347" s="281">
        <v>0</v>
      </c>
      <c r="U347" s="283">
        <v>0</v>
      </c>
      <c r="V347" s="284">
        <v>5000</v>
      </c>
      <c r="W347" s="285">
        <v>0.15</v>
      </c>
      <c r="X347" s="286" t="s">
        <v>255</v>
      </c>
      <c r="Y347" s="287">
        <f t="shared" si="143"/>
        <v>20</v>
      </c>
      <c r="Z347" s="288">
        <f t="shared" si="144"/>
        <v>136622.20000000001</v>
      </c>
      <c r="AA347" s="288">
        <f t="shared" si="145"/>
        <v>0</v>
      </c>
      <c r="AB347" s="288">
        <f t="shared" si="146"/>
        <v>144984.57161760001</v>
      </c>
      <c r="AC347" s="288">
        <f t="shared" si="163"/>
        <v>0</v>
      </c>
      <c r="AD347" s="287">
        <f t="shared" si="147"/>
        <v>71313.865999999995</v>
      </c>
      <c r="AE347" s="287">
        <f t="shared" si="148"/>
        <v>71313.865999999995</v>
      </c>
      <c r="AF347" s="287">
        <f t="shared" si="149"/>
        <v>356569.32999999996</v>
      </c>
      <c r="AG347" s="287">
        <f t="shared" si="150"/>
        <v>356569.32999999996</v>
      </c>
      <c r="AH347" s="287">
        <f t="shared" si="151"/>
        <v>0</v>
      </c>
      <c r="AI347" s="287">
        <f t="shared" si="152"/>
        <v>0</v>
      </c>
      <c r="AJ347" s="287">
        <f t="shared" si="153"/>
        <v>0</v>
      </c>
      <c r="AK347" s="287">
        <f t="shared" si="154"/>
        <v>0</v>
      </c>
      <c r="AL347" s="287">
        <f t="shared" si="155"/>
        <v>0</v>
      </c>
      <c r="AM347" s="287">
        <f t="shared" si="156"/>
        <v>0</v>
      </c>
      <c r="AN347" s="287">
        <f t="shared" si="157"/>
        <v>0</v>
      </c>
      <c r="AO347" s="287">
        <f t="shared" si="158"/>
        <v>0</v>
      </c>
      <c r="AP347" s="287">
        <f t="shared" si="159"/>
        <v>100000</v>
      </c>
      <c r="AQ347" s="287">
        <f t="shared" si="160"/>
        <v>100000</v>
      </c>
      <c r="AR347" s="287">
        <f t="shared" si="161"/>
        <v>0</v>
      </c>
      <c r="AS347" s="289" t="e">
        <f>IF(J347='2027 Avoided Costs'!#REF!,3,5)</f>
        <v>#REF!</v>
      </c>
      <c r="AT347" s="290" cm="1">
        <f t="array" ref="AT347">IFERROR(IF($J347="Baseload",IF($O347=1,0,NPV('2027 Avoided Costs'!$D$6,_xlfn._xlws.FILTER('2027 Avoided Costs'!$C$14:$C$47,('2027 Avoided Costs'!$B$14:$B$47&gt;=$B347+1)*('2027 Avoided Costs'!$B$14:$B$47&lt;$B347+ROUND($O347,0)))))+_xlfn.XLOOKUP($B347,'2027 Avoided Costs'!$B$13:$B$47,'2027 Avoided Costs'!$C$13:$C$47),IF($O347=1,0,NPV('2027 Avoided Costs'!$D$6,_xlfn._xlws.FILTER('2027 Avoided Costs'!$E$14:$E$47,('2027 Avoided Costs'!$B$14:$B$47&gt;=$B347+1)*('2027 Avoided Costs'!$B$14:$B$47&lt;$B347+ROUND($O347,0)))))+_xlfn.XLOOKUP($B347,'2027 Avoided Costs'!$B$13:$B$47,'2027 Avoided Costs'!$E$13:$E$47))*IF($AE347&gt;0,$AE347*(1+$W347),0),0)</f>
        <v>123108.47102754554</v>
      </c>
      <c r="AU347" s="290" cm="1">
        <f t="array" ref="AU347">IFERROR((IF($O347=1,0,NPV('2027 Avoided Costs'!$D$6,_xlfn._xlws.FILTER('2027 Avoided Costs'!$M$14:$M$47,('2027 Avoided Costs'!$B$14:$B$47&gt;=$B347+1)*('2027 Avoided Costs'!$B$14:$B$47&lt;$B347+ROUND($O347,0)))))+_xlfn.XLOOKUP($B347,'2027 Avoided Costs'!$B$13:$B$47,'2027 Avoided Costs'!$M$13:$M$47))*IF($AK347&gt;0,$AK347*(1+$W347),0),0)</f>
        <v>0</v>
      </c>
      <c r="AV347" s="291" cm="1">
        <f t="array" ref="AV347">IFERROR((IF($O347=1,0,NPV('2027 Avoided Costs'!$D$6,_xlfn._xlws.FILTER('2027 Avoided Costs'!$Q$14:$Q$47,('2027 Avoided Costs'!$B$14:$B$47&gt;=$B347+1)*('2027 Avoided Costs'!$B$14:$B$47&lt;$B347+ROUND($O347,0)))))+_xlfn.XLOOKUP($B347,'2027 Avoided Costs'!$B$13:$B$47,'2027 Avoided Costs'!$Q$13:$Q$47))*IF($AI347&gt;0,$AI347*(1+$W347),0),0)</f>
        <v>0</v>
      </c>
      <c r="AW347" s="291" cm="1">
        <f t="array" ref="AW347">IFERROR((IF($O347=1,0,NPV('2027 Avoided Costs'!$D$6,_xlfn._xlws.FILTER('2027 Avoided Costs'!$W$14:$W$47,('2027 Avoided Costs'!$B$14:$B$47&gt;=$B347+1)*('2027 Avoided Costs'!$B$14:$B$47&lt;$B347+ROUND($O347,0)))))+_xlfn.XLOOKUP($B347,'2027 Avoided Costs'!$B$13:$B$47,'2027 Avoided Costs'!$W$13:$W$47))*IF($AM347&gt;0,$AM347*(1+$W347),0),0)</f>
        <v>0</v>
      </c>
      <c r="AX347" s="291" cm="1">
        <f t="array" ref="AX347">IFERROR((IF($O347=1,0,NPV('2027 Avoided Costs'!$D$6,_xlfn._xlws.FILTER('2027 Avoided Costs'!$AC$14:$AC$47,('2027 Avoided Costs'!$B$14:$B$47&gt;=$B347+1)*('2027 Avoided Costs'!$B$14:$B$47&lt;$B347+ROUND($O347,0)))))+_xlfn.XLOOKUP($B347,'2027 Avoided Costs'!$B$13:$B$47,'2027 Avoided Costs'!$AC$13:$AC$47))*IF($AO347&gt;0,$AO347*(1+$W347),0),0)</f>
        <v>0</v>
      </c>
      <c r="AY347" s="291" cm="1">
        <f t="array" ref="AY347">IFERROR((IF($O347=1,0,NPV('2027 Avoided Costs'!$D$4,_xlfn._xlws.FILTER('2027 Avoided Costs'!$I$14:$I$47,('2027 Avoided Costs'!$B$14:$B$47&gt;=$B347+1)*('2027 Avoided Costs'!$B$14:$B$47&lt;$B347+ROUND($O347,0)))))+_xlfn.XLOOKUP($B347,'2027 Avoided Costs'!$B$13:$B$47,'2027 Avoided Costs'!$I$13:$I$47))*IF($X347="Residential",'2027 Avoided Costs'!$J$5,IF($X347="Large Volume",'2027 Avoided Costs'!$J$7,'2027 Avoided Costs'!$J$6))*IF($AE347&gt;0,$AE347,0),0)</f>
        <v>0</v>
      </c>
      <c r="AZ347" s="291" cm="1">
        <f t="array" ref="AZ347">IFERROR(IF($J347="Baseload",IF($O347=1,0,NPV('2027 Avoided Costs'!$D$6,_xlfn._xlws.FILTER('2027 Avoided Costs'!$C$14:$C$47,('2027 Avoided Costs'!$B$14:$B$47&gt;=$B347+1)*('2027 Avoided Costs'!$B$14:$B$47&lt;$B347+ROUND($O347,0)))))+_xlfn.XLOOKUP($B347,'2027 Avoided Costs'!$B$13:$B$47,'2027 Avoided Costs'!$C$13:$C$47),IF($O347=1,0,NPV('2027 Avoided Costs'!$D$6,_xlfn._xlws.FILTER('2027 Avoided Costs'!$E$14:$E$47,('2027 Avoided Costs'!$B$14:$B$47&gt;=$B347+1)*('2027 Avoided Costs'!$B$14:$B$47&lt;$B347+ROUND($O347,0)))))+_xlfn.XLOOKUP($B347,'2027 Avoided Costs'!$B$13:$B$47,'2027 Avoided Costs'!$E$13:$E$47))*IF($AE347&lt;0,$AE347*(-1),0),0)</f>
        <v>0</v>
      </c>
      <c r="BA347" s="291" cm="1">
        <f t="array" ref="BA347">IFERROR((IF($O347=1,0,NPV('2027 Avoided Costs'!$D$6,_xlfn._xlws.FILTER('2027 Avoided Costs'!$M$14:$M$47,('2027 Avoided Costs'!$B$14:$B$47&gt;=$B347+1)*('2027 Avoided Costs'!$B$14:$B$47&lt;$B347+ROUND($O347,0)))))+_xlfn.XLOOKUP($B347,'2027 Avoided Costs'!$B$13:$B$47,'2027 Avoided Costs'!$M$13:$M$47))*IF($AK347&lt;0,$AK347*(-1),0),0)</f>
        <v>0</v>
      </c>
      <c r="BB347" s="291" cm="1">
        <f t="array" ref="BB347">IFERROR((IF($O347=1,0,NPV('2027 Avoided Costs'!$D$6,_xlfn._xlws.FILTER('2027 Avoided Costs'!$S$14:$S$47,('2027 Avoided Costs'!$B$14:$B$47&gt;=$B347+1)*('2027 Avoided Costs'!$B$14:$B$47&lt;$B347+ROUND($O347,0)))))+_xlfn.XLOOKUP($B347,'2027 Avoided Costs'!$B$13:$B$47,'2027 Avoided Costs'!$S$13:$S$47))*IF($AI347&lt;0,$AI347*(-1),0),0)</f>
        <v>0</v>
      </c>
      <c r="BC347" s="291" cm="1">
        <f t="array" ref="BC347">IFERROR((IF($O347=1,0,NPV('2027 Avoided Costs'!$D$6,_xlfn._xlws.FILTER('2027 Avoided Costs'!$Y$14:$Y$47,('2027 Avoided Costs'!$B$14:$B$47&gt;=$B347+1)*('2027 Avoided Costs'!$B$14:$B$47&lt;$B347+ROUND($O347,0)))))+_xlfn.XLOOKUP($B347,'2027 Avoided Costs'!$B$13:$B$47,'2027 Avoided Costs'!$Y$13:$Y$47))*IF($AM347&lt;0,$AM347*(-1),0),0)</f>
        <v>0</v>
      </c>
      <c r="BD347" s="291" cm="1">
        <f t="array" ref="BD347">IFERROR((IF($O347=1,0,NPV('2027 Avoided Costs'!$D$6,_xlfn._xlws.FILTER('2027 Avoided Costs'!$AE$14:$AE$47,('2027 Avoided Costs'!$B$14:$B$47&gt;=$B347+1)*('2027 Avoided Costs'!$B$14:$B$47&lt;$B347+ROUND($O347,0)))))+_xlfn.XLOOKUP($B347,'2027 Avoided Costs'!$B$13:$B$47,'2027 Avoided Costs'!$AE$13:$AE$47))*IF($AO347&lt;0,$AO347*(-1),0),0)</f>
        <v>0</v>
      </c>
      <c r="BE347" s="291" cm="1">
        <f t="array" ref="BE347">IFERROR((IF($O347=1,0,NPV('2027 Avoided Costs'!$D$4,_xlfn._xlws.FILTER('2027 Avoided Costs'!$I$14:$I$47,('2027 Avoided Costs'!$B$14:$B$47&gt;=$B347+1)*('2027 Avoided Costs'!$B$14:$B$47&lt;$B347+ROUND($O347,0)))))+_xlfn.XLOOKUP($B347,'2027 Avoided Costs'!$B$13:$B$47,'2027 Avoided Costs'!$I$13:$I$47))*IF($X347="Residential",'2027 Avoided Costs'!$J$5,IF($X347="Large Volume",'2027 Avoided Costs'!$J$7,'2027 Avoided Costs'!$J$6))*IF($AE347&lt;0,$AE347*(-1),0),0)</f>
        <v>0</v>
      </c>
      <c r="BF347" s="291">
        <f t="shared" si="139"/>
        <v>123108.47102754554</v>
      </c>
      <c r="BG347" s="291">
        <f t="shared" si="140"/>
        <v>100000</v>
      </c>
      <c r="BH347" s="291">
        <f t="shared" si="141"/>
        <v>23108.471027545544</v>
      </c>
      <c r="BI347" s="292">
        <f t="shared" si="164"/>
        <v>1.2310847102754554</v>
      </c>
      <c r="BJ347" s="196" cm="1">
        <f t="array" ref="BJ347">IFERROR(IF($J347="Baseload",IF($O347=1,0,NPV('2027 Avoided Costs'!$D$6,_xlfn._xlws.FILTER('2027 Avoided Costs'!$C$14:$C$47,('2027 Avoided Costs'!$B$14:$B$47&gt;=$B347+1)*('2027 Avoided Costs'!$B$14:$B$47&lt;$B347+ROUND($O347,0)))))+_xlfn.XLOOKUP($B347,'2027 Avoided Costs'!$B$13:$B$47,'2027 Avoided Costs'!$C$13:$C$47),IF($O347=1,0,NPV('2027 Avoided Costs'!$D$6,_xlfn._xlws.FILTER('2027 Avoided Costs'!$E$14:$E$47,('2027 Avoided Costs'!$B$14:$B$47&gt;=$B347+1)*('2027 Avoided Costs'!$B$14:$B$47&lt;$B347+ROUND($O347,0)))))+_xlfn.XLOOKUP($B347,'2027 Avoided Costs'!$B$13:$B$47,'2027 Avoided Costs'!$E$13:$E$47))*IF($AE347&gt;0,$AE347*(1+0),0),0)</f>
        <v>107050.84437177873</v>
      </c>
      <c r="BK347" s="293">
        <f t="shared" si="162"/>
        <v>0.73836024880031847</v>
      </c>
    </row>
    <row r="348" spans="1:63" s="56" customFormat="1" x14ac:dyDescent="0.25">
      <c r="A348" s="270" t="s">
        <v>133</v>
      </c>
      <c r="B348" s="271">
        <v>2027</v>
      </c>
      <c r="C348" s="272" t="s">
        <v>11</v>
      </c>
      <c r="D348" s="272" t="s">
        <v>159</v>
      </c>
      <c r="E348" s="272" t="s">
        <v>120</v>
      </c>
      <c r="F348" s="273">
        <v>10000</v>
      </c>
      <c r="G348" s="274">
        <v>2297.94</v>
      </c>
      <c r="H348" s="275">
        <f t="shared" si="142"/>
        <v>4.5194115564646191</v>
      </c>
      <c r="I348" s="274">
        <v>100</v>
      </c>
      <c r="J348" s="276" t="s">
        <v>264</v>
      </c>
      <c r="K348" s="277">
        <f t="shared" si="138"/>
        <v>0.9</v>
      </c>
      <c r="L348" s="278">
        <v>0.2</v>
      </c>
      <c r="M348" s="278">
        <v>0.1</v>
      </c>
      <c r="N348" s="278">
        <v>1</v>
      </c>
      <c r="O348" s="279">
        <v>25</v>
      </c>
      <c r="P348" s="280">
        <v>508.46</v>
      </c>
      <c r="Q348" s="281">
        <v>30</v>
      </c>
      <c r="R348" s="282">
        <v>3.887383704789743E-3</v>
      </c>
      <c r="S348" s="282">
        <v>3.887383704789743E-3</v>
      </c>
      <c r="T348" s="281">
        <v>0</v>
      </c>
      <c r="U348" s="283">
        <v>0</v>
      </c>
      <c r="V348" s="284">
        <v>4878.22</v>
      </c>
      <c r="W348" s="285">
        <v>0.15</v>
      </c>
      <c r="X348" s="286" t="s">
        <v>11</v>
      </c>
      <c r="Y348" s="287">
        <f t="shared" si="143"/>
        <v>10000</v>
      </c>
      <c r="Z348" s="288">
        <f t="shared" si="144"/>
        <v>22979400</v>
      </c>
      <c r="AA348" s="288">
        <f t="shared" si="145"/>
        <v>1000000</v>
      </c>
      <c r="AB348" s="288">
        <f t="shared" si="146"/>
        <v>22979400</v>
      </c>
      <c r="AC348" s="288">
        <f t="shared" si="163"/>
        <v>1000000</v>
      </c>
      <c r="AD348" s="287">
        <f t="shared" si="147"/>
        <v>5084600</v>
      </c>
      <c r="AE348" s="287">
        <f t="shared" si="148"/>
        <v>4576140</v>
      </c>
      <c r="AF348" s="287">
        <f t="shared" si="149"/>
        <v>127115000</v>
      </c>
      <c r="AG348" s="287">
        <f t="shared" si="150"/>
        <v>114403500</v>
      </c>
      <c r="AH348" s="287">
        <f t="shared" si="151"/>
        <v>321600</v>
      </c>
      <c r="AI348" s="287">
        <f t="shared" si="152"/>
        <v>289440</v>
      </c>
      <c r="AJ348" s="287">
        <f t="shared" si="153"/>
        <v>0</v>
      </c>
      <c r="AK348" s="287">
        <f t="shared" si="154"/>
        <v>0</v>
      </c>
      <c r="AL348" s="287">
        <f t="shared" si="155"/>
        <v>41.67275331534605</v>
      </c>
      <c r="AM348" s="287">
        <f t="shared" si="156"/>
        <v>37.505477983811438</v>
      </c>
      <c r="AN348" s="287">
        <f t="shared" si="157"/>
        <v>41.67275331534605</v>
      </c>
      <c r="AO348" s="287">
        <f t="shared" si="158"/>
        <v>37.505477983811438</v>
      </c>
      <c r="AP348" s="287">
        <f t="shared" si="159"/>
        <v>48782200</v>
      </c>
      <c r="AQ348" s="287">
        <f t="shared" si="160"/>
        <v>43903980</v>
      </c>
      <c r="AR348" s="287">
        <f t="shared" si="161"/>
        <v>0</v>
      </c>
      <c r="AS348" s="289" t="e">
        <f>IF(J348='2027 Avoided Costs'!#REF!,3,5)</f>
        <v>#REF!</v>
      </c>
      <c r="AT348" s="290" cm="1">
        <f t="array" ref="AT348">IFERROR(IF($J348="Baseload",IF($O348=1,0,NPV('2027 Avoided Costs'!$D$6,_xlfn._xlws.FILTER('2027 Avoided Costs'!$C$14:$C$47,('2027 Avoided Costs'!$B$14:$B$47&gt;=$B348+1)*('2027 Avoided Costs'!$B$14:$B$47&lt;$B348+ROUND($O348,0)))))+_xlfn.XLOOKUP($B348,'2027 Avoided Costs'!$B$13:$B$47,'2027 Avoided Costs'!$C$13:$C$47),IF($O348=1,0,NPV('2027 Avoided Costs'!$D$6,_xlfn._xlws.FILTER('2027 Avoided Costs'!$E$14:$E$47,('2027 Avoided Costs'!$B$14:$B$47&gt;=$B348+1)*('2027 Avoided Costs'!$B$14:$B$47&lt;$B348+ROUND($O348,0)))))+_xlfn.XLOOKUP($B348,'2027 Avoided Costs'!$B$13:$B$47,'2027 Avoided Costs'!$E$13:$E$47))*IF($AE348&gt;0,$AE348*(1+$W348),0),0)</f>
        <v>26642165.394210752</v>
      </c>
      <c r="AU348" s="290" cm="1">
        <f t="array" ref="AU348">IFERROR((IF($O348=1,0,NPV('2027 Avoided Costs'!$D$6,_xlfn._xlws.FILTER('2027 Avoided Costs'!$M$14:$M$47,('2027 Avoided Costs'!$B$14:$B$47&gt;=$B348+1)*('2027 Avoided Costs'!$B$14:$B$47&lt;$B348+ROUND($O348,0)))))+_xlfn.XLOOKUP($B348,'2027 Avoided Costs'!$B$13:$B$47,'2027 Avoided Costs'!$M$13:$M$47))*IF($AK348&gt;0,$AK348*(1+$W348),0),0)</f>
        <v>0</v>
      </c>
      <c r="AV348" s="291" cm="1">
        <f t="array" ref="AV348">IFERROR((IF($O348=1,0,NPV('2027 Avoided Costs'!$D$6,_xlfn._xlws.FILTER('2027 Avoided Costs'!$Q$14:$Q$47,('2027 Avoided Costs'!$B$14:$B$47&gt;=$B348+1)*('2027 Avoided Costs'!$B$14:$B$47&lt;$B348+ROUND($O348,0)))))+_xlfn.XLOOKUP($B348,'2027 Avoided Costs'!$B$13:$B$47,'2027 Avoided Costs'!$Q$13:$Q$47))*IF($AI348&gt;0,$AI348*(1+$W348),0),0)</f>
        <v>251063.44638781826</v>
      </c>
      <c r="AW348" s="291" cm="1">
        <f t="array" ref="AW348">IFERROR((IF($O348=1,0,NPV('2027 Avoided Costs'!$D$6,_xlfn._xlws.FILTER('2027 Avoided Costs'!$W$14:$W$47,('2027 Avoided Costs'!$B$14:$B$47&gt;=$B348+1)*('2027 Avoided Costs'!$B$14:$B$47&lt;$B348+ROUND($O348,0)))))+_xlfn.XLOOKUP($B348,'2027 Avoided Costs'!$B$13:$B$47,'2027 Avoided Costs'!$W$13:$W$47))*IF($AM348&gt;0,$AM348*(1+$W348),0),0)</f>
        <v>212481.27937288475</v>
      </c>
      <c r="AX348" s="291" cm="1">
        <f t="array" ref="AX348">IFERROR((IF($O348=1,0,NPV('2027 Avoided Costs'!$D$6,_xlfn._xlws.FILTER('2027 Avoided Costs'!$AC$14:$AC$47,('2027 Avoided Costs'!$B$14:$B$47&gt;=$B348+1)*('2027 Avoided Costs'!$B$14:$B$47&lt;$B348+ROUND($O348,0)))))+_xlfn.XLOOKUP($B348,'2027 Avoided Costs'!$B$13:$B$47,'2027 Avoided Costs'!$AC$13:$AC$47))*IF($AO348&gt;0,$AO348*(1+$W348),0),0)</f>
        <v>26403.982103836526</v>
      </c>
      <c r="AY348" s="291" cm="1">
        <f t="array" ref="AY348">IFERROR((IF($O348=1,0,NPV('2027 Avoided Costs'!$D$4,_xlfn._xlws.FILTER('2027 Avoided Costs'!$I$14:$I$47,('2027 Avoided Costs'!$B$14:$B$47&gt;=$B348+1)*('2027 Avoided Costs'!$B$14:$B$47&lt;$B348+ROUND($O348,0)))))+_xlfn.XLOOKUP($B348,'2027 Avoided Costs'!$B$13:$B$47,'2027 Avoided Costs'!$I$13:$I$47))*IF($X348="Residential",'2027 Avoided Costs'!$J$5,IF($X348="Large Volume",'2027 Avoided Costs'!$J$7,'2027 Avoided Costs'!$J$6))*IF($AE348&gt;0,$AE348,0),0)</f>
        <v>0</v>
      </c>
      <c r="AZ348" s="291" cm="1">
        <f t="array" ref="AZ348">IFERROR(IF($J348="Baseload",IF($O348=1,0,NPV('2027 Avoided Costs'!$D$6,_xlfn._xlws.FILTER('2027 Avoided Costs'!$C$14:$C$47,('2027 Avoided Costs'!$B$14:$B$47&gt;=$B348+1)*('2027 Avoided Costs'!$B$14:$B$47&lt;$B348+ROUND($O348,0)))))+_xlfn.XLOOKUP($B348,'2027 Avoided Costs'!$B$13:$B$47,'2027 Avoided Costs'!$C$13:$C$47),IF($O348=1,0,NPV('2027 Avoided Costs'!$D$6,_xlfn._xlws.FILTER('2027 Avoided Costs'!$E$14:$E$47,('2027 Avoided Costs'!$B$14:$B$47&gt;=$B348+1)*('2027 Avoided Costs'!$B$14:$B$47&lt;$B348+ROUND($O348,0)))))+_xlfn.XLOOKUP($B348,'2027 Avoided Costs'!$B$13:$B$47,'2027 Avoided Costs'!$E$13:$E$47))*IF($AE348&lt;0,$AE348*(-1),0),0)</f>
        <v>0</v>
      </c>
      <c r="BA348" s="291" cm="1">
        <f t="array" ref="BA348">IFERROR((IF($O348=1,0,NPV('2027 Avoided Costs'!$D$6,_xlfn._xlws.FILTER('2027 Avoided Costs'!$M$14:$M$47,('2027 Avoided Costs'!$B$14:$B$47&gt;=$B348+1)*('2027 Avoided Costs'!$B$14:$B$47&lt;$B348+ROUND($O348,0)))))+_xlfn.XLOOKUP($B348,'2027 Avoided Costs'!$B$13:$B$47,'2027 Avoided Costs'!$M$13:$M$47))*IF($AK348&lt;0,$AK348*(-1),0),0)</f>
        <v>0</v>
      </c>
      <c r="BB348" s="291" cm="1">
        <f t="array" ref="BB348">IFERROR((IF($O348=1,0,NPV('2027 Avoided Costs'!$D$6,_xlfn._xlws.FILTER('2027 Avoided Costs'!$S$14:$S$47,('2027 Avoided Costs'!$B$14:$B$47&gt;=$B348+1)*('2027 Avoided Costs'!$B$14:$B$47&lt;$B348+ROUND($O348,0)))))+_xlfn.XLOOKUP($B348,'2027 Avoided Costs'!$B$13:$B$47,'2027 Avoided Costs'!$S$13:$S$47))*IF($AI348&lt;0,$AI348*(-1),0),0)</f>
        <v>0</v>
      </c>
      <c r="BC348" s="291" cm="1">
        <f t="array" ref="BC348">IFERROR((IF($O348=1,0,NPV('2027 Avoided Costs'!$D$6,_xlfn._xlws.FILTER('2027 Avoided Costs'!$Y$14:$Y$47,('2027 Avoided Costs'!$B$14:$B$47&gt;=$B348+1)*('2027 Avoided Costs'!$B$14:$B$47&lt;$B348+ROUND($O348,0)))))+_xlfn.XLOOKUP($B348,'2027 Avoided Costs'!$B$13:$B$47,'2027 Avoided Costs'!$Y$13:$Y$47))*IF($AM348&lt;0,$AM348*(-1),0),0)</f>
        <v>0</v>
      </c>
      <c r="BD348" s="291" cm="1">
        <f t="array" ref="BD348">IFERROR((IF($O348=1,0,NPV('2027 Avoided Costs'!$D$6,_xlfn._xlws.FILTER('2027 Avoided Costs'!$AE$14:$AE$47,('2027 Avoided Costs'!$B$14:$B$47&gt;=$B348+1)*('2027 Avoided Costs'!$B$14:$B$47&lt;$B348+ROUND($O348,0)))))+_xlfn.XLOOKUP($B348,'2027 Avoided Costs'!$B$13:$B$47,'2027 Avoided Costs'!$AE$13:$AE$47))*IF($AO348&lt;0,$AO348*(-1),0),0)</f>
        <v>0</v>
      </c>
      <c r="BE348" s="291" cm="1">
        <f t="array" ref="BE348">IFERROR((IF($O348=1,0,NPV('2027 Avoided Costs'!$D$4,_xlfn._xlws.FILTER('2027 Avoided Costs'!$I$14:$I$47,('2027 Avoided Costs'!$B$14:$B$47&gt;=$B348+1)*('2027 Avoided Costs'!$B$14:$B$47&lt;$B348+ROUND($O348,0)))))+_xlfn.XLOOKUP($B348,'2027 Avoided Costs'!$B$13:$B$47,'2027 Avoided Costs'!$I$13:$I$47))*IF($X348="Residential",'2027 Avoided Costs'!$J$5,IF($X348="Large Volume",'2027 Avoided Costs'!$J$7,'2027 Avoided Costs'!$J$6))*IF($AE348&lt;0,$AE348*(-1),0),0)</f>
        <v>0</v>
      </c>
      <c r="BF348" s="291">
        <f t="shared" si="139"/>
        <v>27132114.102075294</v>
      </c>
      <c r="BG348" s="291">
        <f t="shared" si="140"/>
        <v>43903980</v>
      </c>
      <c r="BH348" s="291">
        <f t="shared" si="141"/>
        <v>-16771865.897924706</v>
      </c>
      <c r="BI348" s="292">
        <f t="shared" si="164"/>
        <v>0.617987574294524</v>
      </c>
      <c r="BJ348" s="196" cm="1">
        <f t="array" ref="BJ348">IFERROR(IF($J348="Baseload",IF($O348=1,0,NPV('2027 Avoided Costs'!$D$6,_xlfn._xlws.FILTER('2027 Avoided Costs'!$C$14:$C$47,('2027 Avoided Costs'!$B$14:$B$47&gt;=$B348+1)*('2027 Avoided Costs'!$B$14:$B$47&lt;$B348+ROUND($O348,0)))))+_xlfn.XLOOKUP($B348,'2027 Avoided Costs'!$B$13:$B$47,'2027 Avoided Costs'!$C$13:$C$47),IF($O348=1,0,NPV('2027 Avoided Costs'!$D$6,_xlfn._xlws.FILTER('2027 Avoided Costs'!$E$14:$E$47,('2027 Avoided Costs'!$B$14:$B$47&gt;=$B348+1)*('2027 Avoided Costs'!$B$14:$B$47&lt;$B348+ROUND($O348,0)))))+_xlfn.XLOOKUP($B348,'2027 Avoided Costs'!$B$13:$B$47,'2027 Avoided Costs'!$E$13:$E$47))*IF($AE348&gt;0,$AE348*(1+0),0),0)</f>
        <v>23167100.34279196</v>
      </c>
      <c r="BK348" s="293">
        <f t="shared" si="162"/>
        <v>0.96612510499812165</v>
      </c>
    </row>
    <row r="349" spans="1:63" s="56" customFormat="1" x14ac:dyDescent="0.25">
      <c r="A349" s="270" t="s">
        <v>133</v>
      </c>
      <c r="B349" s="271">
        <v>2028</v>
      </c>
      <c r="C349" s="272" t="s">
        <v>11</v>
      </c>
      <c r="D349" s="272" t="s">
        <v>159</v>
      </c>
      <c r="E349" s="272" t="s">
        <v>120</v>
      </c>
      <c r="F349" s="273">
        <v>9000</v>
      </c>
      <c r="G349" s="274">
        <v>2297.94</v>
      </c>
      <c r="H349" s="275">
        <f t="shared" si="142"/>
        <v>4.5194115564646191</v>
      </c>
      <c r="I349" s="274">
        <v>100</v>
      </c>
      <c r="J349" s="276" t="s">
        <v>264</v>
      </c>
      <c r="K349" s="277">
        <f t="shared" si="138"/>
        <v>0.9</v>
      </c>
      <c r="L349" s="278">
        <v>0.2</v>
      </c>
      <c r="M349" s="278">
        <v>0.1</v>
      </c>
      <c r="N349" s="278">
        <v>1</v>
      </c>
      <c r="O349" s="279">
        <v>25</v>
      </c>
      <c r="P349" s="280">
        <v>508.46</v>
      </c>
      <c r="Q349" s="281">
        <v>30</v>
      </c>
      <c r="R349" s="282">
        <v>3.887383704789743E-3</v>
      </c>
      <c r="S349" s="282">
        <v>3.887383704789743E-3</v>
      </c>
      <c r="T349" s="281">
        <v>0</v>
      </c>
      <c r="U349" s="283">
        <v>0</v>
      </c>
      <c r="V349" s="284">
        <v>4878.22</v>
      </c>
      <c r="W349" s="285">
        <v>0.15</v>
      </c>
      <c r="X349" s="286" t="s">
        <v>11</v>
      </c>
      <c r="Y349" s="287">
        <f t="shared" si="143"/>
        <v>9000</v>
      </c>
      <c r="Z349" s="288">
        <f t="shared" si="144"/>
        <v>20681460</v>
      </c>
      <c r="AA349" s="288">
        <f t="shared" si="145"/>
        <v>900000</v>
      </c>
      <c r="AB349" s="288">
        <f t="shared" si="146"/>
        <v>21095089.199999999</v>
      </c>
      <c r="AC349" s="288">
        <f t="shared" si="163"/>
        <v>915480.00000000012</v>
      </c>
      <c r="AD349" s="287">
        <f t="shared" si="147"/>
        <v>4576140</v>
      </c>
      <c r="AE349" s="287">
        <f t="shared" si="148"/>
        <v>4118526</v>
      </c>
      <c r="AF349" s="287">
        <f t="shared" si="149"/>
        <v>114403500</v>
      </c>
      <c r="AG349" s="287">
        <f t="shared" si="150"/>
        <v>102963150</v>
      </c>
      <c r="AH349" s="287">
        <f t="shared" si="151"/>
        <v>289440</v>
      </c>
      <c r="AI349" s="287">
        <f t="shared" si="152"/>
        <v>260496.00000000003</v>
      </c>
      <c r="AJ349" s="287">
        <f t="shared" si="153"/>
        <v>0</v>
      </c>
      <c r="AK349" s="287">
        <f t="shared" si="154"/>
        <v>0</v>
      </c>
      <c r="AL349" s="287">
        <f t="shared" si="155"/>
        <v>37.505477983811438</v>
      </c>
      <c r="AM349" s="287">
        <f t="shared" si="156"/>
        <v>33.754930185430297</v>
      </c>
      <c r="AN349" s="287">
        <f t="shared" si="157"/>
        <v>37.505477983811438</v>
      </c>
      <c r="AO349" s="287">
        <f t="shared" si="158"/>
        <v>33.754930185430297</v>
      </c>
      <c r="AP349" s="287">
        <f t="shared" si="159"/>
        <v>43903980</v>
      </c>
      <c r="AQ349" s="287">
        <f t="shared" si="160"/>
        <v>39513582</v>
      </c>
      <c r="AR349" s="287">
        <f t="shared" si="161"/>
        <v>0</v>
      </c>
      <c r="AS349" s="289" t="e">
        <f>IF(J349='2027 Avoided Costs'!#REF!,3,5)</f>
        <v>#REF!</v>
      </c>
      <c r="AT349" s="290" cm="1">
        <f t="array" ref="AT349">IFERROR(IF($J349="Baseload",IF($O349=1,0,NPV('2027 Avoided Costs'!$D$6,_xlfn._xlws.FILTER('2027 Avoided Costs'!$C$14:$C$47,('2027 Avoided Costs'!$B$14:$B$47&gt;=$B349+1)*('2027 Avoided Costs'!$B$14:$B$47&lt;$B349+ROUND($O349,0)))))+_xlfn.XLOOKUP($B349,'2027 Avoided Costs'!$B$13:$B$47,'2027 Avoided Costs'!$C$13:$C$47),IF($O349=1,0,NPV('2027 Avoided Costs'!$D$6,_xlfn._xlws.FILTER('2027 Avoided Costs'!$E$14:$E$47,('2027 Avoided Costs'!$B$14:$B$47&gt;=$B349+1)*('2027 Avoided Costs'!$B$14:$B$47&lt;$B349+ROUND($O349,0)))))+_xlfn.XLOOKUP($B349,'2027 Avoided Costs'!$B$13:$B$47,'2027 Avoided Costs'!$E$13:$E$47))*IF($AE349&gt;0,$AE349*(1+$W349),0),0)</f>
        <v>24909268.021760479</v>
      </c>
      <c r="AU349" s="290" cm="1">
        <f t="array" ref="AU349">IFERROR((IF($O349=1,0,NPV('2027 Avoided Costs'!$D$6,_xlfn._xlws.FILTER('2027 Avoided Costs'!$M$14:$M$47,('2027 Avoided Costs'!$B$14:$B$47&gt;=$B349+1)*('2027 Avoided Costs'!$B$14:$B$47&lt;$B349+ROUND($O349,0)))))+_xlfn.XLOOKUP($B349,'2027 Avoided Costs'!$B$13:$B$47,'2027 Avoided Costs'!$M$13:$M$47))*IF($AK349&gt;0,$AK349*(1+$W349),0),0)</f>
        <v>0</v>
      </c>
      <c r="AV349" s="291" cm="1">
        <f t="array" ref="AV349">IFERROR((IF($O349=1,0,NPV('2027 Avoided Costs'!$D$6,_xlfn._xlws.FILTER('2027 Avoided Costs'!$Q$14:$Q$47,('2027 Avoided Costs'!$B$14:$B$47&gt;=$B349+1)*('2027 Avoided Costs'!$B$14:$B$47&lt;$B349+ROUND($O349,0)))))+_xlfn.XLOOKUP($B349,'2027 Avoided Costs'!$B$13:$B$47,'2027 Avoided Costs'!$Q$13:$Q$47))*IF($AI349&gt;0,$AI349*(1+$W349),0),0)</f>
        <v>221277.2390062715</v>
      </c>
      <c r="AW349" s="291" cm="1">
        <f t="array" ref="AW349">IFERROR((IF($O349=1,0,NPV('2027 Avoided Costs'!$D$6,_xlfn._xlws.FILTER('2027 Avoided Costs'!$W$14:$W$47,('2027 Avoided Costs'!$B$14:$B$47&gt;=$B349+1)*('2027 Avoided Costs'!$B$14:$B$47&lt;$B349+ROUND($O349,0)))))+_xlfn.XLOOKUP($B349,'2027 Avoided Costs'!$B$13:$B$47,'2027 Avoided Costs'!$W$13:$W$47))*IF($AM349&gt;0,$AM349*(1+$W349),0),0)</f>
        <v>201386.45215856397</v>
      </c>
      <c r="AX349" s="291" cm="1">
        <f t="array" ref="AX349">IFERROR((IF($O349=1,0,NPV('2027 Avoided Costs'!$D$6,_xlfn._xlws.FILTER('2027 Avoided Costs'!$AC$14:$AC$47,('2027 Avoided Costs'!$B$14:$B$47&gt;=$B349+1)*('2027 Avoided Costs'!$B$14:$B$47&lt;$B349+ROUND($O349,0)))))+_xlfn.XLOOKUP($B349,'2027 Avoided Costs'!$B$13:$B$47,'2027 Avoided Costs'!$AC$13:$AC$47))*IF($AO349&gt;0,$AO349*(1+$W349),0),0)</f>
        <v>25208.409794174804</v>
      </c>
      <c r="AY349" s="291" cm="1">
        <f t="array" ref="AY349">IFERROR((IF($O349=1,0,NPV('2027 Avoided Costs'!$D$4,_xlfn._xlws.FILTER('2027 Avoided Costs'!$I$14:$I$47,('2027 Avoided Costs'!$B$14:$B$47&gt;=$B349+1)*('2027 Avoided Costs'!$B$14:$B$47&lt;$B349+ROUND($O349,0)))))+_xlfn.XLOOKUP($B349,'2027 Avoided Costs'!$B$13:$B$47,'2027 Avoided Costs'!$I$13:$I$47))*IF($X349="Residential",'2027 Avoided Costs'!$J$5,IF($X349="Large Volume",'2027 Avoided Costs'!$J$7,'2027 Avoided Costs'!$J$6))*IF($AE349&gt;0,$AE349,0),0)</f>
        <v>0</v>
      </c>
      <c r="AZ349" s="291" cm="1">
        <f t="array" ref="AZ349">IFERROR(IF($J349="Baseload",IF($O349=1,0,NPV('2027 Avoided Costs'!$D$6,_xlfn._xlws.FILTER('2027 Avoided Costs'!$C$14:$C$47,('2027 Avoided Costs'!$B$14:$B$47&gt;=$B349+1)*('2027 Avoided Costs'!$B$14:$B$47&lt;$B349+ROUND($O349,0)))))+_xlfn.XLOOKUP($B349,'2027 Avoided Costs'!$B$13:$B$47,'2027 Avoided Costs'!$C$13:$C$47),IF($O349=1,0,NPV('2027 Avoided Costs'!$D$6,_xlfn._xlws.FILTER('2027 Avoided Costs'!$E$14:$E$47,('2027 Avoided Costs'!$B$14:$B$47&gt;=$B349+1)*('2027 Avoided Costs'!$B$14:$B$47&lt;$B349+ROUND($O349,0)))))+_xlfn.XLOOKUP($B349,'2027 Avoided Costs'!$B$13:$B$47,'2027 Avoided Costs'!$E$13:$E$47))*IF($AE349&lt;0,$AE349*(-1),0),0)</f>
        <v>0</v>
      </c>
      <c r="BA349" s="291" cm="1">
        <f t="array" ref="BA349">IFERROR((IF($O349=1,0,NPV('2027 Avoided Costs'!$D$6,_xlfn._xlws.FILTER('2027 Avoided Costs'!$M$14:$M$47,('2027 Avoided Costs'!$B$14:$B$47&gt;=$B349+1)*('2027 Avoided Costs'!$B$14:$B$47&lt;$B349+ROUND($O349,0)))))+_xlfn.XLOOKUP($B349,'2027 Avoided Costs'!$B$13:$B$47,'2027 Avoided Costs'!$M$13:$M$47))*IF($AK349&lt;0,$AK349*(-1),0),0)</f>
        <v>0</v>
      </c>
      <c r="BB349" s="291" cm="1">
        <f t="array" ref="BB349">IFERROR((IF($O349=1,0,NPV('2027 Avoided Costs'!$D$6,_xlfn._xlws.FILTER('2027 Avoided Costs'!$S$14:$S$47,('2027 Avoided Costs'!$B$14:$B$47&gt;=$B349+1)*('2027 Avoided Costs'!$B$14:$B$47&lt;$B349+ROUND($O349,0)))))+_xlfn.XLOOKUP($B349,'2027 Avoided Costs'!$B$13:$B$47,'2027 Avoided Costs'!$S$13:$S$47))*IF($AI349&lt;0,$AI349*(-1),0),0)</f>
        <v>0</v>
      </c>
      <c r="BC349" s="291" cm="1">
        <f t="array" ref="BC349">IFERROR((IF($O349=1,0,NPV('2027 Avoided Costs'!$D$6,_xlfn._xlws.FILTER('2027 Avoided Costs'!$Y$14:$Y$47,('2027 Avoided Costs'!$B$14:$B$47&gt;=$B349+1)*('2027 Avoided Costs'!$B$14:$B$47&lt;$B349+ROUND($O349,0)))))+_xlfn.XLOOKUP($B349,'2027 Avoided Costs'!$B$13:$B$47,'2027 Avoided Costs'!$Y$13:$Y$47))*IF($AM349&lt;0,$AM349*(-1),0),0)</f>
        <v>0</v>
      </c>
      <c r="BD349" s="291" cm="1">
        <f t="array" ref="BD349">IFERROR((IF($O349=1,0,NPV('2027 Avoided Costs'!$D$6,_xlfn._xlws.FILTER('2027 Avoided Costs'!$AE$14:$AE$47,('2027 Avoided Costs'!$B$14:$B$47&gt;=$B349+1)*('2027 Avoided Costs'!$B$14:$B$47&lt;$B349+ROUND($O349,0)))))+_xlfn.XLOOKUP($B349,'2027 Avoided Costs'!$B$13:$B$47,'2027 Avoided Costs'!$AE$13:$AE$47))*IF($AO349&lt;0,$AO349*(-1),0),0)</f>
        <v>0</v>
      </c>
      <c r="BE349" s="291" cm="1">
        <f t="array" ref="BE349">IFERROR((IF($O349=1,0,NPV('2027 Avoided Costs'!$D$4,_xlfn._xlws.FILTER('2027 Avoided Costs'!$I$14:$I$47,('2027 Avoided Costs'!$B$14:$B$47&gt;=$B349+1)*('2027 Avoided Costs'!$B$14:$B$47&lt;$B349+ROUND($O349,0)))))+_xlfn.XLOOKUP($B349,'2027 Avoided Costs'!$B$13:$B$47,'2027 Avoided Costs'!$I$13:$I$47))*IF($X349="Residential",'2027 Avoided Costs'!$J$5,IF($X349="Large Volume",'2027 Avoided Costs'!$J$7,'2027 Avoided Costs'!$J$6))*IF($AE349&lt;0,$AE349*(-1),0),0)</f>
        <v>0</v>
      </c>
      <c r="BF349" s="291">
        <f t="shared" si="139"/>
        <v>25357140.122719485</v>
      </c>
      <c r="BG349" s="291">
        <f t="shared" si="140"/>
        <v>39513582</v>
      </c>
      <c r="BH349" s="291">
        <f t="shared" si="141"/>
        <v>-14156441.877280515</v>
      </c>
      <c r="BI349" s="292">
        <f t="shared" si="164"/>
        <v>0.64173225608145279</v>
      </c>
      <c r="BJ349" s="196" cm="1">
        <f t="array" ref="BJ349">IFERROR(IF($J349="Baseload",IF($O349=1,0,NPV('2027 Avoided Costs'!$D$6,_xlfn._xlws.FILTER('2027 Avoided Costs'!$C$14:$C$47,('2027 Avoided Costs'!$B$14:$B$47&gt;=$B349+1)*('2027 Avoided Costs'!$B$14:$B$47&lt;$B349+ROUND($O349,0)))))+_xlfn.XLOOKUP($B349,'2027 Avoided Costs'!$B$13:$B$47,'2027 Avoided Costs'!$C$13:$C$47),IF($O349=1,0,NPV('2027 Avoided Costs'!$D$6,_xlfn._xlws.FILTER('2027 Avoided Costs'!$E$14:$E$47,('2027 Avoided Costs'!$B$14:$B$47&gt;=$B349+1)*('2027 Avoided Costs'!$B$14:$B$47&lt;$B349+ROUND($O349,0)))))+_xlfn.XLOOKUP($B349,'2027 Avoided Costs'!$B$13:$B$47,'2027 Avoided Costs'!$E$13:$E$47))*IF($AE349&gt;0,$AE349*(1+0),0),0)</f>
        <v>21660233.062400419</v>
      </c>
      <c r="BK349" s="293">
        <f t="shared" si="162"/>
        <v>0.98408327679233398</v>
      </c>
    </row>
    <row r="350" spans="1:63" s="56" customFormat="1" x14ac:dyDescent="0.25">
      <c r="A350" s="270" t="s">
        <v>133</v>
      </c>
      <c r="B350" s="271">
        <v>2029</v>
      </c>
      <c r="C350" s="272" t="s">
        <v>11</v>
      </c>
      <c r="D350" s="272" t="s">
        <v>159</v>
      </c>
      <c r="E350" s="272" t="s">
        <v>120</v>
      </c>
      <c r="F350" s="273">
        <v>8200</v>
      </c>
      <c r="G350" s="274">
        <v>2297.94</v>
      </c>
      <c r="H350" s="275">
        <f t="shared" si="142"/>
        <v>4.5194115564646191</v>
      </c>
      <c r="I350" s="274">
        <v>100</v>
      </c>
      <c r="J350" s="276" t="s">
        <v>264</v>
      </c>
      <c r="K350" s="277">
        <f t="shared" si="138"/>
        <v>0.9</v>
      </c>
      <c r="L350" s="278">
        <v>0.2</v>
      </c>
      <c r="M350" s="278">
        <v>0.1</v>
      </c>
      <c r="N350" s="278">
        <v>1</v>
      </c>
      <c r="O350" s="279">
        <v>25</v>
      </c>
      <c r="P350" s="280">
        <v>508.46</v>
      </c>
      <c r="Q350" s="281">
        <v>30</v>
      </c>
      <c r="R350" s="282">
        <v>3.887383704789743E-3</v>
      </c>
      <c r="S350" s="282">
        <v>3.887383704789743E-3</v>
      </c>
      <c r="T350" s="281">
        <v>0</v>
      </c>
      <c r="U350" s="283">
        <v>0</v>
      </c>
      <c r="V350" s="284">
        <v>4878.22</v>
      </c>
      <c r="W350" s="285">
        <v>0.15</v>
      </c>
      <c r="X350" s="286" t="s">
        <v>11</v>
      </c>
      <c r="Y350" s="287">
        <f t="shared" si="143"/>
        <v>8200</v>
      </c>
      <c r="Z350" s="288">
        <f t="shared" si="144"/>
        <v>18843108</v>
      </c>
      <c r="AA350" s="288">
        <f t="shared" si="145"/>
        <v>820000</v>
      </c>
      <c r="AB350" s="288">
        <f t="shared" si="146"/>
        <v>19604369.563200001</v>
      </c>
      <c r="AC350" s="288">
        <f t="shared" si="163"/>
        <v>848450.58880000014</v>
      </c>
      <c r="AD350" s="287">
        <f t="shared" si="147"/>
        <v>4169372</v>
      </c>
      <c r="AE350" s="287">
        <f t="shared" si="148"/>
        <v>3752434.8000000003</v>
      </c>
      <c r="AF350" s="287">
        <f t="shared" si="149"/>
        <v>104234300</v>
      </c>
      <c r="AG350" s="287">
        <f t="shared" si="150"/>
        <v>93810870</v>
      </c>
      <c r="AH350" s="287">
        <f t="shared" si="151"/>
        <v>263712</v>
      </c>
      <c r="AI350" s="287">
        <f t="shared" si="152"/>
        <v>237340.80000000002</v>
      </c>
      <c r="AJ350" s="287">
        <f t="shared" si="153"/>
        <v>0</v>
      </c>
      <c r="AK350" s="287">
        <f t="shared" si="154"/>
        <v>0</v>
      </c>
      <c r="AL350" s="287">
        <f t="shared" si="155"/>
        <v>34.171657718583759</v>
      </c>
      <c r="AM350" s="287">
        <f t="shared" si="156"/>
        <v>30.754491946725384</v>
      </c>
      <c r="AN350" s="287">
        <f t="shared" si="157"/>
        <v>34.171657718583759</v>
      </c>
      <c r="AO350" s="287">
        <f t="shared" si="158"/>
        <v>30.754491946725384</v>
      </c>
      <c r="AP350" s="287">
        <f t="shared" si="159"/>
        <v>40001404</v>
      </c>
      <c r="AQ350" s="287">
        <f t="shared" si="160"/>
        <v>36001263.600000001</v>
      </c>
      <c r="AR350" s="287">
        <f t="shared" si="161"/>
        <v>0</v>
      </c>
      <c r="AS350" s="289" t="e">
        <f>IF(J350='2027 Avoided Costs'!#REF!,3,5)</f>
        <v>#REF!</v>
      </c>
      <c r="AT350" s="290" cm="1">
        <f t="array" ref="AT350">IFERROR(IF($J350="Baseload",IF($O350=1,0,NPV('2027 Avoided Costs'!$D$6,_xlfn._xlws.FILTER('2027 Avoided Costs'!$C$14:$C$47,('2027 Avoided Costs'!$B$14:$B$47&gt;=$B350+1)*('2027 Avoided Costs'!$B$14:$B$47&lt;$B350+ROUND($O350,0)))))+_xlfn.XLOOKUP($B350,'2027 Avoided Costs'!$B$13:$B$47,'2027 Avoided Costs'!$C$13:$C$47),IF($O350=1,0,NPV('2027 Avoided Costs'!$D$6,_xlfn._xlws.FILTER('2027 Avoided Costs'!$E$14:$E$47,('2027 Avoided Costs'!$B$14:$B$47&gt;=$B350+1)*('2027 Avoided Costs'!$B$14:$B$47&lt;$B350+ROUND($O350,0)))))+_xlfn.XLOOKUP($B350,'2027 Avoided Costs'!$B$13:$B$47,'2027 Avoided Costs'!$E$13:$E$47))*IF($AE350&gt;0,$AE350*(1+$W350),0),0)</f>
        <v>23507613.323524244</v>
      </c>
      <c r="AU350" s="290" cm="1">
        <f t="array" ref="AU350">IFERROR((IF($O350=1,0,NPV('2027 Avoided Costs'!$D$6,_xlfn._xlws.FILTER('2027 Avoided Costs'!$M$14:$M$47,('2027 Avoided Costs'!$B$14:$B$47&gt;=$B350+1)*('2027 Avoided Costs'!$B$14:$B$47&lt;$B350+ROUND($O350,0)))))+_xlfn.XLOOKUP($B350,'2027 Avoided Costs'!$B$13:$B$47,'2027 Avoided Costs'!$M$13:$M$47))*IF($AK350&gt;0,$AK350*(1+$W350),0),0)</f>
        <v>0</v>
      </c>
      <c r="AV350" s="291" cm="1">
        <f t="array" ref="AV350">IFERROR((IF($O350=1,0,NPV('2027 Avoided Costs'!$D$6,_xlfn._xlws.FILTER('2027 Avoided Costs'!$Q$14:$Q$47,('2027 Avoided Costs'!$B$14:$B$47&gt;=$B350+1)*('2027 Avoided Costs'!$B$14:$B$47&lt;$B350+ROUND($O350,0)))))+_xlfn.XLOOKUP($B350,'2027 Avoided Costs'!$B$13:$B$47,'2027 Avoided Costs'!$Q$13:$Q$47))*IF($AI350&gt;0,$AI350*(1+$W350),0),0)</f>
        <v>197534.63288223496</v>
      </c>
      <c r="AW350" s="291" cm="1">
        <f t="array" ref="AW350">IFERROR((IF($O350=1,0,NPV('2027 Avoided Costs'!$D$6,_xlfn._xlws.FILTER('2027 Avoided Costs'!$W$14:$W$47,('2027 Avoided Costs'!$B$14:$B$47&gt;=$B350+1)*('2027 Avoided Costs'!$B$14:$B$47&lt;$B350+ROUND($O350,0)))))+_xlfn.XLOOKUP($B350,'2027 Avoided Costs'!$B$13:$B$47,'2027 Avoided Costs'!$W$13:$W$47))*IF($AM350&gt;0,$AM350*(1+$W350),0),0)</f>
        <v>192231.20093487011</v>
      </c>
      <c r="AX350" s="291" cm="1">
        <f t="array" ref="AX350">IFERROR((IF($O350=1,0,NPV('2027 Avoided Costs'!$D$6,_xlfn._xlws.FILTER('2027 Avoided Costs'!$AC$14:$AC$47,('2027 Avoided Costs'!$B$14:$B$47&gt;=$B350+1)*('2027 Avoided Costs'!$B$14:$B$47&lt;$B350+ROUND($O350,0)))))+_xlfn.XLOOKUP($B350,'2027 Avoided Costs'!$B$13:$B$47,'2027 Avoided Costs'!$AC$13:$AC$47))*IF($AO350&gt;0,$AO350*(1+$W350),0),0)</f>
        <v>24364.096122135248</v>
      </c>
      <c r="AY350" s="291" cm="1">
        <f t="array" ref="AY350">IFERROR((IF($O350=1,0,NPV('2027 Avoided Costs'!$D$4,_xlfn._xlws.FILTER('2027 Avoided Costs'!$I$14:$I$47,('2027 Avoided Costs'!$B$14:$B$47&gt;=$B350+1)*('2027 Avoided Costs'!$B$14:$B$47&lt;$B350+ROUND($O350,0)))))+_xlfn.XLOOKUP($B350,'2027 Avoided Costs'!$B$13:$B$47,'2027 Avoided Costs'!$I$13:$I$47))*IF($X350="Residential",'2027 Avoided Costs'!$J$5,IF($X350="Large Volume",'2027 Avoided Costs'!$J$7,'2027 Avoided Costs'!$J$6))*IF($AE350&gt;0,$AE350,0),0)</f>
        <v>0</v>
      </c>
      <c r="AZ350" s="291" cm="1">
        <f t="array" ref="AZ350">IFERROR(IF($J350="Baseload",IF($O350=1,0,NPV('2027 Avoided Costs'!$D$6,_xlfn._xlws.FILTER('2027 Avoided Costs'!$C$14:$C$47,('2027 Avoided Costs'!$B$14:$B$47&gt;=$B350+1)*('2027 Avoided Costs'!$B$14:$B$47&lt;$B350+ROUND($O350,0)))))+_xlfn.XLOOKUP($B350,'2027 Avoided Costs'!$B$13:$B$47,'2027 Avoided Costs'!$C$13:$C$47),IF($O350=1,0,NPV('2027 Avoided Costs'!$D$6,_xlfn._xlws.FILTER('2027 Avoided Costs'!$E$14:$E$47,('2027 Avoided Costs'!$B$14:$B$47&gt;=$B350+1)*('2027 Avoided Costs'!$B$14:$B$47&lt;$B350+ROUND($O350,0)))))+_xlfn.XLOOKUP($B350,'2027 Avoided Costs'!$B$13:$B$47,'2027 Avoided Costs'!$E$13:$E$47))*IF($AE350&lt;0,$AE350*(-1),0),0)</f>
        <v>0</v>
      </c>
      <c r="BA350" s="291" cm="1">
        <f t="array" ref="BA350">IFERROR((IF($O350=1,0,NPV('2027 Avoided Costs'!$D$6,_xlfn._xlws.FILTER('2027 Avoided Costs'!$M$14:$M$47,('2027 Avoided Costs'!$B$14:$B$47&gt;=$B350+1)*('2027 Avoided Costs'!$B$14:$B$47&lt;$B350+ROUND($O350,0)))))+_xlfn.XLOOKUP($B350,'2027 Avoided Costs'!$B$13:$B$47,'2027 Avoided Costs'!$M$13:$M$47))*IF($AK350&lt;0,$AK350*(-1),0),0)</f>
        <v>0</v>
      </c>
      <c r="BB350" s="291" cm="1">
        <f t="array" ref="BB350">IFERROR((IF($O350=1,0,NPV('2027 Avoided Costs'!$D$6,_xlfn._xlws.FILTER('2027 Avoided Costs'!$S$14:$S$47,('2027 Avoided Costs'!$B$14:$B$47&gt;=$B350+1)*('2027 Avoided Costs'!$B$14:$B$47&lt;$B350+ROUND($O350,0)))))+_xlfn.XLOOKUP($B350,'2027 Avoided Costs'!$B$13:$B$47,'2027 Avoided Costs'!$S$13:$S$47))*IF($AI350&lt;0,$AI350*(-1),0),0)</f>
        <v>0</v>
      </c>
      <c r="BC350" s="291" cm="1">
        <f t="array" ref="BC350">IFERROR((IF($O350=1,0,NPV('2027 Avoided Costs'!$D$6,_xlfn._xlws.FILTER('2027 Avoided Costs'!$Y$14:$Y$47,('2027 Avoided Costs'!$B$14:$B$47&gt;=$B350+1)*('2027 Avoided Costs'!$B$14:$B$47&lt;$B350+ROUND($O350,0)))))+_xlfn.XLOOKUP($B350,'2027 Avoided Costs'!$B$13:$B$47,'2027 Avoided Costs'!$Y$13:$Y$47))*IF($AM350&lt;0,$AM350*(-1),0),0)</f>
        <v>0</v>
      </c>
      <c r="BD350" s="291" cm="1">
        <f t="array" ref="BD350">IFERROR((IF($O350=1,0,NPV('2027 Avoided Costs'!$D$6,_xlfn._xlws.FILTER('2027 Avoided Costs'!$AE$14:$AE$47,('2027 Avoided Costs'!$B$14:$B$47&gt;=$B350+1)*('2027 Avoided Costs'!$B$14:$B$47&lt;$B350+ROUND($O350,0)))))+_xlfn.XLOOKUP($B350,'2027 Avoided Costs'!$B$13:$B$47,'2027 Avoided Costs'!$AE$13:$AE$47))*IF($AO350&lt;0,$AO350*(-1),0),0)</f>
        <v>0</v>
      </c>
      <c r="BE350" s="291" cm="1">
        <f t="array" ref="BE350">IFERROR((IF($O350=1,0,NPV('2027 Avoided Costs'!$D$4,_xlfn._xlws.FILTER('2027 Avoided Costs'!$I$14:$I$47,('2027 Avoided Costs'!$B$14:$B$47&gt;=$B350+1)*('2027 Avoided Costs'!$B$14:$B$47&lt;$B350+ROUND($O350,0)))))+_xlfn.XLOOKUP($B350,'2027 Avoided Costs'!$B$13:$B$47,'2027 Avoided Costs'!$I$13:$I$47))*IF($X350="Residential",'2027 Avoided Costs'!$J$5,IF($X350="Large Volume",'2027 Avoided Costs'!$J$7,'2027 Avoided Costs'!$J$6))*IF($AE350&lt;0,$AE350*(-1),0),0)</f>
        <v>0</v>
      </c>
      <c r="BF350" s="291">
        <f t="shared" si="139"/>
        <v>23921743.253463481</v>
      </c>
      <c r="BG350" s="291">
        <f t="shared" si="140"/>
        <v>36001263.600000001</v>
      </c>
      <c r="BH350" s="291">
        <f t="shared" si="141"/>
        <v>-12079520.346536521</v>
      </c>
      <c r="BI350" s="292">
        <f t="shared" si="164"/>
        <v>0.66446954527072433</v>
      </c>
      <c r="BJ350" s="196" cm="1">
        <f t="array" ref="BJ350">IFERROR(IF($J350="Baseload",IF($O350=1,0,NPV('2027 Avoided Costs'!$D$6,_xlfn._xlws.FILTER('2027 Avoided Costs'!$C$14:$C$47,('2027 Avoided Costs'!$B$14:$B$47&gt;=$B350+1)*('2027 Avoided Costs'!$B$14:$B$47&lt;$B350+ROUND($O350,0)))))+_xlfn.XLOOKUP($B350,'2027 Avoided Costs'!$B$13:$B$47,'2027 Avoided Costs'!$C$13:$C$47),IF($O350=1,0,NPV('2027 Avoided Costs'!$D$6,_xlfn._xlws.FILTER('2027 Avoided Costs'!$E$14:$E$47,('2027 Avoided Costs'!$B$14:$B$47&gt;=$B350+1)*('2027 Avoided Costs'!$B$14:$B$47&lt;$B350+ROUND($O350,0)))))+_xlfn.XLOOKUP($B350,'2027 Avoided Costs'!$B$13:$B$47,'2027 Avoided Costs'!$E$13:$E$47))*IF($AE350&gt;0,$AE350*(1+0),0),0)</f>
        <v>20441402.890021086</v>
      </c>
      <c r="BK350" s="293">
        <f t="shared" si="162"/>
        <v>0.99944177566252146</v>
      </c>
    </row>
    <row r="351" spans="1:63" s="56" customFormat="1" x14ac:dyDescent="0.25">
      <c r="A351" s="270" t="s">
        <v>133</v>
      </c>
      <c r="B351" s="271">
        <v>2030</v>
      </c>
      <c r="C351" s="272" t="s">
        <v>11</v>
      </c>
      <c r="D351" s="272" t="s">
        <v>159</v>
      </c>
      <c r="E351" s="272" t="s">
        <v>120</v>
      </c>
      <c r="F351" s="273">
        <v>7625</v>
      </c>
      <c r="G351" s="274">
        <v>2297.94</v>
      </c>
      <c r="H351" s="275">
        <f t="shared" si="142"/>
        <v>4.5194115564646191</v>
      </c>
      <c r="I351" s="274">
        <v>100</v>
      </c>
      <c r="J351" s="276" t="s">
        <v>264</v>
      </c>
      <c r="K351" s="277">
        <f t="shared" si="138"/>
        <v>0.9</v>
      </c>
      <c r="L351" s="278">
        <v>0.2</v>
      </c>
      <c r="M351" s="278">
        <v>0.1</v>
      </c>
      <c r="N351" s="278">
        <v>1</v>
      </c>
      <c r="O351" s="279">
        <v>25</v>
      </c>
      <c r="P351" s="280">
        <v>508.46</v>
      </c>
      <c r="Q351" s="281">
        <v>30</v>
      </c>
      <c r="R351" s="282">
        <v>3.887383704789743E-3</v>
      </c>
      <c r="S351" s="282">
        <v>3.887383704789743E-3</v>
      </c>
      <c r="T351" s="281">
        <v>0</v>
      </c>
      <c r="U351" s="283">
        <v>0</v>
      </c>
      <c r="V351" s="284">
        <v>4878.22</v>
      </c>
      <c r="W351" s="285">
        <v>0.15</v>
      </c>
      <c r="X351" s="286" t="s">
        <v>11</v>
      </c>
      <c r="Y351" s="287">
        <f t="shared" si="143"/>
        <v>7625</v>
      </c>
      <c r="Z351" s="288">
        <f t="shared" si="144"/>
        <v>17521792.5</v>
      </c>
      <c r="AA351" s="288">
        <f t="shared" si="145"/>
        <v>762500</v>
      </c>
      <c r="AB351" s="288">
        <f t="shared" si="146"/>
        <v>18594266.37534</v>
      </c>
      <c r="AC351" s="288">
        <f t="shared" si="163"/>
        <v>802525.6139416002</v>
      </c>
      <c r="AD351" s="287">
        <f t="shared" si="147"/>
        <v>3877007.5</v>
      </c>
      <c r="AE351" s="287">
        <f t="shared" si="148"/>
        <v>3489306.75</v>
      </c>
      <c r="AF351" s="287">
        <f t="shared" si="149"/>
        <v>96925187.5</v>
      </c>
      <c r="AG351" s="287">
        <f t="shared" si="150"/>
        <v>87232668.75</v>
      </c>
      <c r="AH351" s="287">
        <f t="shared" si="151"/>
        <v>245220.00000000003</v>
      </c>
      <c r="AI351" s="287">
        <f t="shared" si="152"/>
        <v>220698</v>
      </c>
      <c r="AJ351" s="287">
        <f t="shared" si="153"/>
        <v>0</v>
      </c>
      <c r="AK351" s="287">
        <f t="shared" si="154"/>
        <v>0</v>
      </c>
      <c r="AL351" s="287">
        <f t="shared" si="155"/>
        <v>31.775474402951364</v>
      </c>
      <c r="AM351" s="287">
        <f t="shared" si="156"/>
        <v>28.597926962656224</v>
      </c>
      <c r="AN351" s="287">
        <f t="shared" si="157"/>
        <v>31.775474402951364</v>
      </c>
      <c r="AO351" s="287">
        <f t="shared" si="158"/>
        <v>28.597926962656224</v>
      </c>
      <c r="AP351" s="287">
        <f t="shared" si="159"/>
        <v>37196427.5</v>
      </c>
      <c r="AQ351" s="287">
        <f t="shared" si="160"/>
        <v>33476784.75</v>
      </c>
      <c r="AR351" s="287">
        <f t="shared" si="161"/>
        <v>0</v>
      </c>
      <c r="AS351" s="289" t="e">
        <f>IF(J351='2027 Avoided Costs'!#REF!,3,5)</f>
        <v>#REF!</v>
      </c>
      <c r="AT351" s="290" cm="1">
        <f t="array" ref="AT351">IFERROR(IF($J351="Baseload",IF($O351=1,0,NPV('2027 Avoided Costs'!$D$6,_xlfn._xlws.FILTER('2027 Avoided Costs'!$C$14:$C$47,('2027 Avoided Costs'!$B$14:$B$47&gt;=$B351+1)*('2027 Avoided Costs'!$B$14:$B$47&lt;$B351+ROUND($O351,0)))))+_xlfn.XLOOKUP($B351,'2027 Avoided Costs'!$B$13:$B$47,'2027 Avoided Costs'!$C$13:$C$47),IF($O351=1,0,NPV('2027 Avoided Costs'!$D$6,_xlfn._xlws.FILTER('2027 Avoided Costs'!$E$14:$E$47,('2027 Avoided Costs'!$B$14:$B$47&gt;=$B351+1)*('2027 Avoided Costs'!$B$14:$B$47&lt;$B351+ROUND($O351,0)))))+_xlfn.XLOOKUP($B351,'2027 Avoided Costs'!$B$13:$B$47,'2027 Avoided Costs'!$E$13:$E$47))*IF($AE351&gt;0,$AE351*(1+$W351),0),0)</f>
        <v>22568225.366605081</v>
      </c>
      <c r="AU351" s="290" cm="1">
        <f t="array" ref="AU351">IFERROR((IF($O351=1,0,NPV('2027 Avoided Costs'!$D$6,_xlfn._xlws.FILTER('2027 Avoided Costs'!$M$14:$M$47,('2027 Avoided Costs'!$B$14:$B$47&gt;=$B351+1)*('2027 Avoided Costs'!$B$14:$B$47&lt;$B351+ROUND($O351,0)))))+_xlfn.XLOOKUP($B351,'2027 Avoided Costs'!$B$13:$B$47,'2027 Avoided Costs'!$M$13:$M$47))*IF($AK351&gt;0,$AK351*(1+$W351),0),0)</f>
        <v>0</v>
      </c>
      <c r="AV351" s="291" cm="1">
        <f t="array" ref="AV351">IFERROR((IF($O351=1,0,NPV('2027 Avoided Costs'!$D$6,_xlfn._xlws.FILTER('2027 Avoided Costs'!$Q$14:$Q$47,('2027 Avoided Costs'!$B$14:$B$47&gt;=$B351+1)*('2027 Avoided Costs'!$B$14:$B$47&lt;$B351+ROUND($O351,0)))))+_xlfn.XLOOKUP($B351,'2027 Avoided Costs'!$B$13:$B$47,'2027 Avoided Costs'!$Q$13:$Q$47))*IF($AI351&gt;0,$AI351*(1+$W351),0),0)</f>
        <v>177780.39114745273</v>
      </c>
      <c r="AW351" s="291" cm="1">
        <f t="array" ref="AW351">IFERROR((IF($O351=1,0,NPV('2027 Avoided Costs'!$D$6,_xlfn._xlws.FILTER('2027 Avoided Costs'!$W$14:$W$47,('2027 Avoided Costs'!$B$14:$B$47&gt;=$B351+1)*('2027 Avoided Costs'!$B$14:$B$47&lt;$B351+ROUND($O351,0)))))+_xlfn.XLOOKUP($B351,'2027 Avoided Costs'!$B$13:$B$47,'2027 Avoided Costs'!$W$13:$W$47))*IF($AM351&gt;0,$AM351*(1+$W351),0),0)</f>
        <v>186782.09576156727</v>
      </c>
      <c r="AX351" s="291" cm="1">
        <f t="array" ref="AX351">IFERROR((IF($O351=1,0,NPV('2027 Avoided Costs'!$D$6,_xlfn._xlws.FILTER('2027 Avoided Costs'!$AC$14:$AC$47,('2027 Avoided Costs'!$B$14:$B$47&gt;=$B351+1)*('2027 Avoided Costs'!$B$14:$B$47&lt;$B351+ROUND($O351,0)))))+_xlfn.XLOOKUP($B351,'2027 Avoided Costs'!$B$13:$B$47,'2027 Avoided Costs'!$AC$13:$AC$47))*IF($AO351&gt;0,$AO351*(1+$W351),0),0)</f>
        <v>24033.100962622335</v>
      </c>
      <c r="AY351" s="291" cm="1">
        <f t="array" ref="AY351">IFERROR((IF($O351=1,0,NPV('2027 Avoided Costs'!$D$4,_xlfn._xlws.FILTER('2027 Avoided Costs'!$I$14:$I$47,('2027 Avoided Costs'!$B$14:$B$47&gt;=$B351+1)*('2027 Avoided Costs'!$B$14:$B$47&lt;$B351+ROUND($O351,0)))))+_xlfn.XLOOKUP($B351,'2027 Avoided Costs'!$B$13:$B$47,'2027 Avoided Costs'!$I$13:$I$47))*IF($X351="Residential",'2027 Avoided Costs'!$J$5,IF($X351="Large Volume",'2027 Avoided Costs'!$J$7,'2027 Avoided Costs'!$J$6))*IF($AE351&gt;0,$AE351,0),0)</f>
        <v>0</v>
      </c>
      <c r="AZ351" s="291" cm="1">
        <f t="array" ref="AZ351">IFERROR(IF($J351="Baseload",IF($O351=1,0,NPV('2027 Avoided Costs'!$D$6,_xlfn._xlws.FILTER('2027 Avoided Costs'!$C$14:$C$47,('2027 Avoided Costs'!$B$14:$B$47&gt;=$B351+1)*('2027 Avoided Costs'!$B$14:$B$47&lt;$B351+ROUND($O351,0)))))+_xlfn.XLOOKUP($B351,'2027 Avoided Costs'!$B$13:$B$47,'2027 Avoided Costs'!$C$13:$C$47),IF($O351=1,0,NPV('2027 Avoided Costs'!$D$6,_xlfn._xlws.FILTER('2027 Avoided Costs'!$E$14:$E$47,('2027 Avoided Costs'!$B$14:$B$47&gt;=$B351+1)*('2027 Avoided Costs'!$B$14:$B$47&lt;$B351+ROUND($O351,0)))))+_xlfn.XLOOKUP($B351,'2027 Avoided Costs'!$B$13:$B$47,'2027 Avoided Costs'!$E$13:$E$47))*IF($AE351&lt;0,$AE351*(-1),0),0)</f>
        <v>0</v>
      </c>
      <c r="BA351" s="291" cm="1">
        <f t="array" ref="BA351">IFERROR((IF($O351=1,0,NPV('2027 Avoided Costs'!$D$6,_xlfn._xlws.FILTER('2027 Avoided Costs'!$M$14:$M$47,('2027 Avoided Costs'!$B$14:$B$47&gt;=$B351+1)*('2027 Avoided Costs'!$B$14:$B$47&lt;$B351+ROUND($O351,0)))))+_xlfn.XLOOKUP($B351,'2027 Avoided Costs'!$B$13:$B$47,'2027 Avoided Costs'!$M$13:$M$47))*IF($AK351&lt;0,$AK351*(-1),0),0)</f>
        <v>0</v>
      </c>
      <c r="BB351" s="291" cm="1">
        <f t="array" ref="BB351">IFERROR((IF($O351=1,0,NPV('2027 Avoided Costs'!$D$6,_xlfn._xlws.FILTER('2027 Avoided Costs'!$S$14:$S$47,('2027 Avoided Costs'!$B$14:$B$47&gt;=$B351+1)*('2027 Avoided Costs'!$B$14:$B$47&lt;$B351+ROUND($O351,0)))))+_xlfn.XLOOKUP($B351,'2027 Avoided Costs'!$B$13:$B$47,'2027 Avoided Costs'!$S$13:$S$47))*IF($AI351&lt;0,$AI351*(-1),0),0)</f>
        <v>0</v>
      </c>
      <c r="BC351" s="291" cm="1">
        <f t="array" ref="BC351">IFERROR((IF($O351=1,0,NPV('2027 Avoided Costs'!$D$6,_xlfn._xlws.FILTER('2027 Avoided Costs'!$Y$14:$Y$47,('2027 Avoided Costs'!$B$14:$B$47&gt;=$B351+1)*('2027 Avoided Costs'!$B$14:$B$47&lt;$B351+ROUND($O351,0)))))+_xlfn.XLOOKUP($B351,'2027 Avoided Costs'!$B$13:$B$47,'2027 Avoided Costs'!$Y$13:$Y$47))*IF($AM351&lt;0,$AM351*(-1),0),0)</f>
        <v>0</v>
      </c>
      <c r="BD351" s="291" cm="1">
        <f t="array" ref="BD351">IFERROR((IF($O351=1,0,NPV('2027 Avoided Costs'!$D$6,_xlfn._xlws.FILTER('2027 Avoided Costs'!$AE$14:$AE$47,('2027 Avoided Costs'!$B$14:$B$47&gt;=$B351+1)*('2027 Avoided Costs'!$B$14:$B$47&lt;$B351+ROUND($O351,0)))))+_xlfn.XLOOKUP($B351,'2027 Avoided Costs'!$B$13:$B$47,'2027 Avoided Costs'!$AE$13:$AE$47))*IF($AO351&lt;0,$AO351*(-1),0),0)</f>
        <v>0</v>
      </c>
      <c r="BE351" s="291" cm="1">
        <f t="array" ref="BE351">IFERROR((IF($O351=1,0,NPV('2027 Avoided Costs'!$D$4,_xlfn._xlws.FILTER('2027 Avoided Costs'!$I$14:$I$47,('2027 Avoided Costs'!$B$14:$B$47&gt;=$B351+1)*('2027 Avoided Costs'!$B$14:$B$47&lt;$B351+ROUND($O351,0)))))+_xlfn.XLOOKUP($B351,'2027 Avoided Costs'!$B$13:$B$47,'2027 Avoided Costs'!$I$13:$I$47))*IF($X351="Residential",'2027 Avoided Costs'!$J$5,IF($X351="Large Volume",'2027 Avoided Costs'!$J$7,'2027 Avoided Costs'!$J$6))*IF($AE351&lt;0,$AE351*(-1),0),0)</f>
        <v>0</v>
      </c>
      <c r="BF351" s="291">
        <f t="shared" si="139"/>
        <v>22956820.954476725</v>
      </c>
      <c r="BG351" s="291">
        <f t="shared" si="140"/>
        <v>33476784.75</v>
      </c>
      <c r="BH351" s="291">
        <f t="shared" si="141"/>
        <v>-10519963.795523275</v>
      </c>
      <c r="BI351" s="292">
        <f t="shared" si="164"/>
        <v>0.68575345947692079</v>
      </c>
      <c r="BJ351" s="196" cm="1">
        <f t="array" ref="BJ351">IFERROR(IF($J351="Baseload",IF($O351=1,0,NPV('2027 Avoided Costs'!$D$6,_xlfn._xlws.FILTER('2027 Avoided Costs'!$C$14:$C$47,('2027 Avoided Costs'!$B$14:$B$47&gt;=$B351+1)*('2027 Avoided Costs'!$B$14:$B$47&lt;$B351+ROUND($O351,0)))))+_xlfn.XLOOKUP($B351,'2027 Avoided Costs'!$B$13:$B$47,'2027 Avoided Costs'!$C$13:$C$47),IF($O351=1,0,NPV('2027 Avoided Costs'!$D$6,_xlfn._xlws.FILTER('2027 Avoided Costs'!$E$14:$E$47,('2027 Avoided Costs'!$B$14:$B$47&gt;=$B351+1)*('2027 Avoided Costs'!$B$14:$B$47&lt;$B351+ROUND($O351,0)))))+_xlfn.XLOOKUP($B351,'2027 Avoided Costs'!$B$13:$B$47,'2027 Avoided Costs'!$E$13:$E$47))*IF($AE351&gt;0,$AE351*(1+0),0),0)</f>
        <v>19624543.797047898</v>
      </c>
      <c r="BK351" s="293">
        <f t="shared" si="162"/>
        <v>1.0117417255333847</v>
      </c>
    </row>
  </sheetData>
  <sheetProtection autoFilter="0"/>
  <autoFilter ref="F8:BK351" xr:uid="{8664E570-7AE4-4259-AF30-556723B77C66}"/>
  <dataValidations count="1">
    <dataValidation type="list" allowBlank="1" showInputMessage="1" showErrorMessage="1" sqref="O27:O51" xr:uid="{746049B3-103D-4C59-9A0F-A40A188A6D41}">
      <formula1>#REF!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CD767-B57D-4409-991C-3776A0E22637}">
  <sheetPr codeName="Sheet4"/>
  <dimension ref="A1:E289"/>
  <sheetViews>
    <sheetView showGridLines="0" workbookViewId="0"/>
  </sheetViews>
  <sheetFormatPr defaultRowHeight="15" x14ac:dyDescent="0.25"/>
  <cols>
    <col min="1" max="1" width="13.140625" style="400" bestFit="1" customWidth="1"/>
    <col min="2" max="2" width="21.85546875" style="85" bestFit="1" customWidth="1"/>
    <col min="3" max="3" width="41.140625" style="85" bestFit="1" customWidth="1"/>
    <col min="4" max="4" width="14.7109375" style="85" customWidth="1"/>
    <col min="5" max="5" width="30.28515625" style="401" bestFit="1" customWidth="1"/>
    <col min="6" max="16384" width="9.140625" style="85"/>
  </cols>
  <sheetData>
    <row r="1" spans="1:5" x14ac:dyDescent="0.25">
      <c r="A1" s="399" t="s">
        <v>40</v>
      </c>
      <c r="B1" s="399" t="s">
        <v>10</v>
      </c>
      <c r="C1" s="399" t="s">
        <v>0</v>
      </c>
      <c r="D1" s="399" t="s">
        <v>16</v>
      </c>
      <c r="E1" s="402" t="s">
        <v>344</v>
      </c>
    </row>
    <row r="2" spans="1:5" x14ac:dyDescent="0.25">
      <c r="A2" s="400">
        <v>2027</v>
      </c>
      <c r="B2" s="85" t="s">
        <v>13</v>
      </c>
      <c r="C2" s="85" t="s">
        <v>166</v>
      </c>
      <c r="D2" s="85" t="s">
        <v>128</v>
      </c>
      <c r="E2" s="401">
        <v>226000</v>
      </c>
    </row>
    <row r="3" spans="1:5" x14ac:dyDescent="0.25">
      <c r="A3" s="400">
        <v>2027</v>
      </c>
      <c r="B3" s="85" t="s">
        <v>13</v>
      </c>
      <c r="C3" s="85" t="s">
        <v>166</v>
      </c>
      <c r="D3" s="85" t="s">
        <v>126</v>
      </c>
      <c r="E3" s="401">
        <v>246930</v>
      </c>
    </row>
    <row r="4" spans="1:5" x14ac:dyDescent="0.25">
      <c r="A4" s="400">
        <v>2027</v>
      </c>
      <c r="B4" s="85" t="s">
        <v>13</v>
      </c>
      <c r="C4" s="85" t="s">
        <v>166</v>
      </c>
      <c r="D4" s="85" t="s">
        <v>127</v>
      </c>
      <c r="E4" s="401">
        <v>100000</v>
      </c>
    </row>
    <row r="5" spans="1:5" x14ac:dyDescent="0.25">
      <c r="A5" s="400">
        <v>2027</v>
      </c>
      <c r="B5" s="85" t="s">
        <v>13</v>
      </c>
      <c r="C5" s="85" t="s">
        <v>164</v>
      </c>
      <c r="D5" s="85" t="s">
        <v>128</v>
      </c>
      <c r="E5" s="401">
        <v>516800</v>
      </c>
    </row>
    <row r="6" spans="1:5" x14ac:dyDescent="0.25">
      <c r="A6" s="400">
        <v>2027</v>
      </c>
      <c r="B6" s="85" t="s">
        <v>13</v>
      </c>
      <c r="C6" s="85" t="s">
        <v>164</v>
      </c>
      <c r="D6" s="85" t="s">
        <v>126</v>
      </c>
      <c r="E6" s="401">
        <v>10023833</v>
      </c>
    </row>
    <row r="7" spans="1:5" x14ac:dyDescent="0.25">
      <c r="A7" s="400">
        <v>2027</v>
      </c>
      <c r="B7" s="85" t="s">
        <v>13</v>
      </c>
      <c r="C7" s="85" t="s">
        <v>164</v>
      </c>
      <c r="D7" s="85" t="s">
        <v>127</v>
      </c>
      <c r="E7" s="401">
        <v>411500</v>
      </c>
    </row>
    <row r="8" spans="1:5" x14ac:dyDescent="0.25">
      <c r="A8" s="400">
        <v>2027</v>
      </c>
      <c r="B8" s="85" t="s">
        <v>13</v>
      </c>
      <c r="C8" s="85" t="s">
        <v>163</v>
      </c>
      <c r="D8" s="85" t="s">
        <v>128</v>
      </c>
      <c r="E8" s="401">
        <v>455600</v>
      </c>
    </row>
    <row r="9" spans="1:5" x14ac:dyDescent="0.25">
      <c r="A9" s="400">
        <v>2027</v>
      </c>
      <c r="B9" s="85" t="s">
        <v>13</v>
      </c>
      <c r="C9" s="85" t="s">
        <v>163</v>
      </c>
      <c r="D9" s="85" t="s">
        <v>126</v>
      </c>
      <c r="E9" s="401">
        <v>3934086</v>
      </c>
    </row>
    <row r="10" spans="1:5" x14ac:dyDescent="0.25">
      <c r="A10" s="400">
        <v>2027</v>
      </c>
      <c r="B10" s="85" t="s">
        <v>13</v>
      </c>
      <c r="C10" s="85" t="s">
        <v>163</v>
      </c>
      <c r="D10" s="85" t="s">
        <v>127</v>
      </c>
      <c r="E10" s="401">
        <v>463500</v>
      </c>
    </row>
    <row r="11" spans="1:5" x14ac:dyDescent="0.25">
      <c r="A11" s="400">
        <v>2027</v>
      </c>
      <c r="B11" s="85" t="s">
        <v>13</v>
      </c>
      <c r="C11" s="85" t="s">
        <v>165</v>
      </c>
      <c r="D11" s="85" t="s">
        <v>128</v>
      </c>
      <c r="E11" s="401">
        <v>875500</v>
      </c>
    </row>
    <row r="12" spans="1:5" x14ac:dyDescent="0.25">
      <c r="A12" s="400">
        <v>2027</v>
      </c>
      <c r="B12" s="85" t="s">
        <v>13</v>
      </c>
      <c r="C12" s="85" t="s">
        <v>165</v>
      </c>
      <c r="D12" s="85" t="s">
        <v>126</v>
      </c>
      <c r="E12" s="401">
        <v>2114178</v>
      </c>
    </row>
    <row r="13" spans="1:5" x14ac:dyDescent="0.25">
      <c r="A13" s="400">
        <v>2027</v>
      </c>
      <c r="B13" s="85" t="s">
        <v>13</v>
      </c>
      <c r="C13" s="85" t="s">
        <v>165</v>
      </c>
      <c r="D13" s="85" t="s">
        <v>127</v>
      </c>
      <c r="E13" s="401">
        <v>367500</v>
      </c>
    </row>
    <row r="14" spans="1:5" x14ac:dyDescent="0.25">
      <c r="A14" s="400">
        <v>2027</v>
      </c>
      <c r="B14" s="85" t="s">
        <v>13</v>
      </c>
      <c r="C14" s="85" t="s">
        <v>9</v>
      </c>
      <c r="D14" s="85" t="s">
        <v>128</v>
      </c>
      <c r="E14" s="401">
        <v>276500</v>
      </c>
    </row>
    <row r="15" spans="1:5" x14ac:dyDescent="0.25">
      <c r="A15" s="400">
        <v>2027</v>
      </c>
      <c r="B15" s="85" t="s">
        <v>13</v>
      </c>
      <c r="C15" s="85" t="s">
        <v>9</v>
      </c>
      <c r="D15" s="85" t="s">
        <v>126</v>
      </c>
      <c r="E15" s="401">
        <v>13883782</v>
      </c>
    </row>
    <row r="16" spans="1:5" x14ac:dyDescent="0.25">
      <c r="A16" s="400">
        <v>2027</v>
      </c>
      <c r="B16" s="85" t="s">
        <v>13</v>
      </c>
      <c r="C16" s="85" t="s">
        <v>9</v>
      </c>
      <c r="D16" s="85" t="s">
        <v>127</v>
      </c>
      <c r="E16" s="401">
        <v>639500</v>
      </c>
    </row>
    <row r="17" spans="1:5" x14ac:dyDescent="0.25">
      <c r="A17" s="400">
        <v>2027</v>
      </c>
      <c r="B17" s="85" t="s">
        <v>13</v>
      </c>
      <c r="C17" s="85" t="s">
        <v>18</v>
      </c>
      <c r="D17" s="85" t="s">
        <v>128</v>
      </c>
      <c r="E17" s="401">
        <v>160000</v>
      </c>
    </row>
    <row r="18" spans="1:5" x14ac:dyDescent="0.25">
      <c r="A18" s="400">
        <v>2027</v>
      </c>
      <c r="B18" s="85" t="s">
        <v>13</v>
      </c>
      <c r="C18" s="85" t="s">
        <v>18</v>
      </c>
      <c r="D18" s="85" t="s">
        <v>126</v>
      </c>
      <c r="E18" s="401">
        <v>1800000</v>
      </c>
    </row>
    <row r="19" spans="1:5" x14ac:dyDescent="0.25">
      <c r="A19" s="400">
        <v>2027</v>
      </c>
      <c r="B19" s="85" t="s">
        <v>13</v>
      </c>
      <c r="C19" s="85" t="s">
        <v>18</v>
      </c>
      <c r="D19" s="85" t="s">
        <v>127</v>
      </c>
      <c r="E19" s="401">
        <v>40000</v>
      </c>
    </row>
    <row r="20" spans="1:5" x14ac:dyDescent="0.25">
      <c r="A20" s="400">
        <v>2027</v>
      </c>
      <c r="B20" s="85" t="s">
        <v>13</v>
      </c>
      <c r="C20" s="85" t="s">
        <v>167</v>
      </c>
      <c r="D20" s="85" t="s">
        <v>128</v>
      </c>
      <c r="E20" s="401">
        <v>52806</v>
      </c>
    </row>
    <row r="21" spans="1:5" x14ac:dyDescent="0.25">
      <c r="A21" s="400">
        <v>2027</v>
      </c>
      <c r="B21" s="85" t="s">
        <v>13</v>
      </c>
      <c r="C21" s="85" t="s">
        <v>167</v>
      </c>
      <c r="D21" s="85" t="s">
        <v>126</v>
      </c>
      <c r="E21" s="401">
        <v>77869</v>
      </c>
    </row>
    <row r="22" spans="1:5" x14ac:dyDescent="0.25">
      <c r="A22" s="400">
        <v>2027</v>
      </c>
      <c r="B22" s="85" t="s">
        <v>13</v>
      </c>
      <c r="C22" s="85" t="s">
        <v>167</v>
      </c>
      <c r="D22" s="85" t="s">
        <v>127</v>
      </c>
      <c r="E22" s="401">
        <v>75000</v>
      </c>
    </row>
    <row r="23" spans="1:5" x14ac:dyDescent="0.25">
      <c r="A23" s="400">
        <v>2027</v>
      </c>
      <c r="B23" s="85" t="s">
        <v>13</v>
      </c>
      <c r="C23" s="85" t="s">
        <v>19</v>
      </c>
      <c r="D23" s="85" t="s">
        <v>129</v>
      </c>
      <c r="E23" s="401">
        <v>5527149</v>
      </c>
    </row>
    <row r="24" spans="1:5" x14ac:dyDescent="0.25">
      <c r="A24" s="400">
        <v>2027</v>
      </c>
      <c r="B24" s="85" t="s">
        <v>13</v>
      </c>
      <c r="C24" s="85" t="s">
        <v>168</v>
      </c>
      <c r="D24" s="85" t="s">
        <v>128</v>
      </c>
      <c r="E24" s="401">
        <v>250000</v>
      </c>
    </row>
    <row r="25" spans="1:5" x14ac:dyDescent="0.25">
      <c r="A25" s="400">
        <v>2027</v>
      </c>
      <c r="B25" s="85" t="s">
        <v>13</v>
      </c>
      <c r="C25" s="85" t="s">
        <v>168</v>
      </c>
      <c r="D25" s="85" t="s">
        <v>126</v>
      </c>
      <c r="E25" s="401">
        <v>500000</v>
      </c>
    </row>
    <row r="26" spans="1:5" x14ac:dyDescent="0.25">
      <c r="A26" s="400">
        <v>2027</v>
      </c>
      <c r="B26" s="85" t="s">
        <v>13</v>
      </c>
      <c r="C26" s="85" t="s">
        <v>168</v>
      </c>
      <c r="D26" s="85" t="s">
        <v>127</v>
      </c>
      <c r="E26" s="401">
        <v>30000</v>
      </c>
    </row>
    <row r="27" spans="1:5" x14ac:dyDescent="0.25">
      <c r="A27" s="400">
        <v>2027</v>
      </c>
      <c r="B27" s="85" t="s">
        <v>12</v>
      </c>
      <c r="C27" s="85" t="s">
        <v>21</v>
      </c>
      <c r="D27" s="85" t="s">
        <v>128</v>
      </c>
      <c r="E27" s="401">
        <v>250000</v>
      </c>
    </row>
    <row r="28" spans="1:5" x14ac:dyDescent="0.25">
      <c r="A28" s="400">
        <v>2027</v>
      </c>
      <c r="B28" s="85" t="s">
        <v>12</v>
      </c>
      <c r="C28" s="85" t="s">
        <v>21</v>
      </c>
      <c r="D28" s="85" t="s">
        <v>126</v>
      </c>
      <c r="E28" s="401">
        <v>7452689</v>
      </c>
    </row>
    <row r="29" spans="1:5" x14ac:dyDescent="0.25">
      <c r="A29" s="400">
        <v>2027</v>
      </c>
      <c r="B29" s="85" t="s">
        <v>12</v>
      </c>
      <c r="C29" s="85" t="s">
        <v>21</v>
      </c>
      <c r="D29" s="85" t="s">
        <v>127</v>
      </c>
      <c r="E29" s="401">
        <v>1020000</v>
      </c>
    </row>
    <row r="30" spans="1:5" x14ac:dyDescent="0.25">
      <c r="A30" s="400">
        <v>2027</v>
      </c>
      <c r="B30" s="85" t="s">
        <v>12</v>
      </c>
      <c r="C30" s="85" t="s">
        <v>22</v>
      </c>
      <c r="D30" s="85" t="s">
        <v>128</v>
      </c>
      <c r="E30" s="401">
        <v>2058820</v>
      </c>
    </row>
    <row r="31" spans="1:5" x14ac:dyDescent="0.25">
      <c r="A31" s="400">
        <v>2027</v>
      </c>
      <c r="B31" s="85" t="s">
        <v>12</v>
      </c>
      <c r="C31" s="85" t="s">
        <v>22</v>
      </c>
      <c r="D31" s="85" t="s">
        <v>126</v>
      </c>
      <c r="E31" s="401">
        <v>12971618</v>
      </c>
    </row>
    <row r="32" spans="1:5" x14ac:dyDescent="0.25">
      <c r="A32" s="400">
        <v>2027</v>
      </c>
      <c r="B32" s="85" t="s">
        <v>12</v>
      </c>
      <c r="C32" s="85" t="s">
        <v>22</v>
      </c>
      <c r="D32" s="85" t="s">
        <v>127</v>
      </c>
      <c r="E32" s="401">
        <v>1744900</v>
      </c>
    </row>
    <row r="33" spans="1:5" x14ac:dyDescent="0.25">
      <c r="A33" s="400">
        <v>2027</v>
      </c>
      <c r="B33" s="85" t="s">
        <v>12</v>
      </c>
      <c r="C33" s="85" t="s">
        <v>23</v>
      </c>
      <c r="D33" s="85" t="s">
        <v>129</v>
      </c>
      <c r="E33" s="401">
        <v>1838341</v>
      </c>
    </row>
    <row r="34" spans="1:5" x14ac:dyDescent="0.25">
      <c r="A34" s="400">
        <v>2027</v>
      </c>
      <c r="B34" s="85" t="s">
        <v>14</v>
      </c>
      <c r="C34" s="85" t="s">
        <v>8</v>
      </c>
      <c r="D34" s="85" t="s">
        <v>128</v>
      </c>
      <c r="E34" s="401">
        <v>100000</v>
      </c>
    </row>
    <row r="35" spans="1:5" x14ac:dyDescent="0.25">
      <c r="A35" s="400">
        <v>2027</v>
      </c>
      <c r="B35" s="85" t="s">
        <v>14</v>
      </c>
      <c r="C35" s="85" t="s">
        <v>8</v>
      </c>
      <c r="D35" s="85" t="s">
        <v>126</v>
      </c>
      <c r="E35" s="401">
        <v>18321597</v>
      </c>
    </row>
    <row r="36" spans="1:5" x14ac:dyDescent="0.25">
      <c r="A36" s="400">
        <v>2027</v>
      </c>
      <c r="B36" s="85" t="s">
        <v>14</v>
      </c>
      <c r="C36" s="85" t="s">
        <v>8</v>
      </c>
      <c r="D36" s="85" t="s">
        <v>127</v>
      </c>
      <c r="E36" s="401">
        <v>870000</v>
      </c>
    </row>
    <row r="37" spans="1:5" x14ac:dyDescent="0.25">
      <c r="A37" s="400">
        <v>2027</v>
      </c>
      <c r="B37" s="85" t="s">
        <v>14</v>
      </c>
      <c r="C37" s="85" t="s">
        <v>24</v>
      </c>
      <c r="D37" s="85" t="s">
        <v>128</v>
      </c>
      <c r="E37" s="401">
        <v>160000</v>
      </c>
    </row>
    <row r="38" spans="1:5" x14ac:dyDescent="0.25">
      <c r="A38" s="400">
        <v>2027</v>
      </c>
      <c r="B38" s="85" t="s">
        <v>14</v>
      </c>
      <c r="C38" s="85" t="s">
        <v>24</v>
      </c>
      <c r="D38" s="85" t="s">
        <v>126</v>
      </c>
      <c r="E38" s="401">
        <v>1800000</v>
      </c>
    </row>
    <row r="39" spans="1:5" x14ac:dyDescent="0.25">
      <c r="A39" s="400">
        <v>2027</v>
      </c>
      <c r="B39" s="85" t="s">
        <v>14</v>
      </c>
      <c r="C39" s="85" t="s">
        <v>24</v>
      </c>
      <c r="D39" s="85" t="s">
        <v>127</v>
      </c>
      <c r="E39" s="401">
        <v>40000</v>
      </c>
    </row>
    <row r="40" spans="1:5" x14ac:dyDescent="0.25">
      <c r="A40" s="400">
        <v>2027</v>
      </c>
      <c r="B40" s="85" t="s">
        <v>14</v>
      </c>
      <c r="C40" s="85" t="s">
        <v>25</v>
      </c>
      <c r="D40" s="85" t="s">
        <v>129</v>
      </c>
      <c r="E40" s="401">
        <v>4814162</v>
      </c>
    </row>
    <row r="41" spans="1:5" x14ac:dyDescent="0.25">
      <c r="A41" s="400">
        <v>2027</v>
      </c>
      <c r="B41" s="85" t="s">
        <v>14</v>
      </c>
      <c r="C41" s="85" t="s">
        <v>171</v>
      </c>
      <c r="D41" s="85" t="s">
        <v>128</v>
      </c>
      <c r="E41" s="401">
        <v>250000</v>
      </c>
    </row>
    <row r="42" spans="1:5" x14ac:dyDescent="0.25">
      <c r="A42" s="400">
        <v>2027</v>
      </c>
      <c r="B42" s="85" t="s">
        <v>14</v>
      </c>
      <c r="C42" s="85" t="s">
        <v>171</v>
      </c>
      <c r="D42" s="85" t="s">
        <v>126</v>
      </c>
      <c r="E42" s="401">
        <v>500000</v>
      </c>
    </row>
    <row r="43" spans="1:5" x14ac:dyDescent="0.25">
      <c r="A43" s="400">
        <v>2027</v>
      </c>
      <c r="B43" s="85" t="s">
        <v>14</v>
      </c>
      <c r="C43" s="85" t="s">
        <v>171</v>
      </c>
      <c r="D43" s="85" t="s">
        <v>127</v>
      </c>
      <c r="E43" s="401">
        <v>30000</v>
      </c>
    </row>
    <row r="44" spans="1:5" x14ac:dyDescent="0.25">
      <c r="A44" s="400">
        <v>2027</v>
      </c>
      <c r="B44" s="85" t="s">
        <v>15</v>
      </c>
      <c r="C44" s="85" t="s">
        <v>27</v>
      </c>
      <c r="D44" s="85" t="s">
        <v>128</v>
      </c>
      <c r="E44" s="401">
        <v>0</v>
      </c>
    </row>
    <row r="45" spans="1:5" x14ac:dyDescent="0.25">
      <c r="A45" s="400">
        <v>2027</v>
      </c>
      <c r="B45" s="85" t="s">
        <v>15</v>
      </c>
      <c r="C45" s="85" t="s">
        <v>27</v>
      </c>
      <c r="D45" s="85" t="s">
        <v>126</v>
      </c>
      <c r="E45" s="401">
        <v>3178709</v>
      </c>
    </row>
    <row r="46" spans="1:5" x14ac:dyDescent="0.25">
      <c r="A46" s="400">
        <v>2027</v>
      </c>
      <c r="B46" s="85" t="s">
        <v>15</v>
      </c>
      <c r="C46" s="85" t="s">
        <v>27</v>
      </c>
      <c r="D46" s="85" t="s">
        <v>127</v>
      </c>
      <c r="E46" s="401">
        <v>25000</v>
      </c>
    </row>
    <row r="47" spans="1:5" x14ac:dyDescent="0.25">
      <c r="A47" s="400">
        <v>2027</v>
      </c>
      <c r="B47" s="85" t="s">
        <v>15</v>
      </c>
      <c r="C47" s="85" t="s">
        <v>28</v>
      </c>
      <c r="D47" s="85" t="s">
        <v>129</v>
      </c>
      <c r="E47" s="401">
        <v>275945</v>
      </c>
    </row>
    <row r="48" spans="1:5" x14ac:dyDescent="0.25">
      <c r="A48" s="400">
        <v>2027</v>
      </c>
      <c r="B48" s="85" t="s">
        <v>29</v>
      </c>
      <c r="C48" s="85" t="s">
        <v>177</v>
      </c>
      <c r="D48" s="85" t="s">
        <v>129</v>
      </c>
      <c r="E48" s="401">
        <v>610000</v>
      </c>
    </row>
    <row r="49" spans="1:5" x14ac:dyDescent="0.25">
      <c r="A49" s="400">
        <v>2027</v>
      </c>
      <c r="B49" s="85" t="s">
        <v>29</v>
      </c>
      <c r="C49" s="85" t="s">
        <v>30</v>
      </c>
      <c r="D49" s="85" t="s">
        <v>129</v>
      </c>
      <c r="E49" s="401">
        <v>7703652</v>
      </c>
    </row>
    <row r="50" spans="1:5" x14ac:dyDescent="0.25">
      <c r="A50" s="400">
        <v>2027</v>
      </c>
      <c r="B50" s="85" t="s">
        <v>29</v>
      </c>
      <c r="C50" s="85" t="s">
        <v>32</v>
      </c>
      <c r="D50" s="85" t="s">
        <v>129</v>
      </c>
      <c r="E50" s="401">
        <v>1583000</v>
      </c>
    </row>
    <row r="51" spans="1:5" x14ac:dyDescent="0.25">
      <c r="A51" s="400">
        <v>2027</v>
      </c>
      <c r="B51" s="85" t="s">
        <v>33</v>
      </c>
      <c r="C51" s="85" t="s">
        <v>34</v>
      </c>
      <c r="D51" s="85" t="s">
        <v>129</v>
      </c>
      <c r="E51" s="401">
        <v>3100000</v>
      </c>
    </row>
    <row r="52" spans="1:5" x14ac:dyDescent="0.25">
      <c r="A52" s="400">
        <v>2027</v>
      </c>
      <c r="B52" s="85" t="s">
        <v>33</v>
      </c>
      <c r="C52" s="85" t="s">
        <v>35</v>
      </c>
      <c r="D52" s="85" t="s">
        <v>129</v>
      </c>
      <c r="E52" s="401">
        <v>590000</v>
      </c>
    </row>
    <row r="53" spans="1:5" x14ac:dyDescent="0.25">
      <c r="A53" s="400">
        <v>2027</v>
      </c>
      <c r="B53" s="85" t="s">
        <v>33</v>
      </c>
      <c r="C53" s="85" t="s">
        <v>36</v>
      </c>
      <c r="D53" s="85" t="s">
        <v>129</v>
      </c>
      <c r="E53" s="401">
        <v>828000</v>
      </c>
    </row>
    <row r="54" spans="1:5" x14ac:dyDescent="0.25">
      <c r="A54" s="400">
        <v>2027</v>
      </c>
      <c r="B54" s="85" t="s">
        <v>37</v>
      </c>
      <c r="C54" s="85" t="s">
        <v>38</v>
      </c>
      <c r="D54" s="85" t="s">
        <v>129</v>
      </c>
      <c r="E54" s="401">
        <v>3223200</v>
      </c>
    </row>
    <row r="55" spans="1:5" x14ac:dyDescent="0.25">
      <c r="A55" s="400">
        <v>2027</v>
      </c>
      <c r="B55" s="85" t="s">
        <v>11</v>
      </c>
      <c r="C55" s="85" t="s">
        <v>162</v>
      </c>
      <c r="D55" s="85" t="s">
        <v>128</v>
      </c>
      <c r="E55" s="401">
        <v>2360000</v>
      </c>
    </row>
    <row r="56" spans="1:5" x14ac:dyDescent="0.25">
      <c r="A56" s="400">
        <v>2027</v>
      </c>
      <c r="B56" s="85" t="s">
        <v>11</v>
      </c>
      <c r="C56" s="85" t="s">
        <v>162</v>
      </c>
      <c r="D56" s="85" t="s">
        <v>126</v>
      </c>
      <c r="E56" s="401">
        <v>0</v>
      </c>
    </row>
    <row r="57" spans="1:5" x14ac:dyDescent="0.25">
      <c r="A57" s="400">
        <v>2027</v>
      </c>
      <c r="B57" s="85" t="s">
        <v>11</v>
      </c>
      <c r="C57" s="85" t="s">
        <v>162</v>
      </c>
      <c r="D57" s="85" t="s">
        <v>127</v>
      </c>
      <c r="E57" s="401">
        <v>100000</v>
      </c>
    </row>
    <row r="58" spans="1:5" x14ac:dyDescent="0.25">
      <c r="A58" s="400">
        <v>2027</v>
      </c>
      <c r="B58" s="85" t="s">
        <v>11</v>
      </c>
      <c r="C58" s="85" t="s">
        <v>161</v>
      </c>
      <c r="D58" s="85" t="s">
        <v>128</v>
      </c>
      <c r="E58" s="401">
        <v>425000</v>
      </c>
    </row>
    <row r="59" spans="1:5" x14ac:dyDescent="0.25">
      <c r="A59" s="400">
        <v>2027</v>
      </c>
      <c r="B59" s="85" t="s">
        <v>11</v>
      </c>
      <c r="C59" s="85" t="s">
        <v>161</v>
      </c>
      <c r="D59" s="85" t="s">
        <v>126</v>
      </c>
      <c r="E59" s="401">
        <v>10150000</v>
      </c>
    </row>
    <row r="60" spans="1:5" x14ac:dyDescent="0.25">
      <c r="A60" s="400">
        <v>2027</v>
      </c>
      <c r="B60" s="85" t="s">
        <v>11</v>
      </c>
      <c r="C60" s="85" t="s">
        <v>161</v>
      </c>
      <c r="D60" s="85" t="s">
        <v>127</v>
      </c>
      <c r="E60" s="401">
        <v>300000</v>
      </c>
    </row>
    <row r="61" spans="1:5" x14ac:dyDescent="0.25">
      <c r="A61" s="400">
        <v>2027</v>
      </c>
      <c r="B61" s="85" t="s">
        <v>11</v>
      </c>
      <c r="C61" s="85" t="s">
        <v>333</v>
      </c>
      <c r="D61" s="85" t="s">
        <v>128</v>
      </c>
      <c r="E61" s="401">
        <v>783000</v>
      </c>
    </row>
    <row r="62" spans="1:5" x14ac:dyDescent="0.25">
      <c r="A62" s="400">
        <v>2027</v>
      </c>
      <c r="B62" s="85" t="s">
        <v>11</v>
      </c>
      <c r="C62" s="85" t="s">
        <v>333</v>
      </c>
      <c r="D62" s="85" t="s">
        <v>126</v>
      </c>
      <c r="E62" s="401">
        <v>7650000</v>
      </c>
    </row>
    <row r="63" spans="1:5" x14ac:dyDescent="0.25">
      <c r="A63" s="400">
        <v>2027</v>
      </c>
      <c r="B63" s="85" t="s">
        <v>11</v>
      </c>
      <c r="C63" s="85" t="s">
        <v>333</v>
      </c>
      <c r="D63" s="85" t="s">
        <v>127</v>
      </c>
      <c r="E63" s="401">
        <v>871600</v>
      </c>
    </row>
    <row r="64" spans="1:5" x14ac:dyDescent="0.25">
      <c r="A64" s="400">
        <v>2027</v>
      </c>
      <c r="B64" s="85" t="s">
        <v>11</v>
      </c>
      <c r="C64" s="85" t="s">
        <v>17</v>
      </c>
      <c r="D64" s="85" t="s">
        <v>129</v>
      </c>
      <c r="E64" s="401">
        <v>2573738</v>
      </c>
    </row>
    <row r="65" spans="1:5" x14ac:dyDescent="0.25">
      <c r="A65" s="400">
        <v>2027</v>
      </c>
      <c r="B65" s="85" t="s">
        <v>11</v>
      </c>
      <c r="C65" s="85" t="s">
        <v>130</v>
      </c>
      <c r="D65" s="85" t="s">
        <v>128</v>
      </c>
      <c r="E65" s="401">
        <v>661875</v>
      </c>
    </row>
    <row r="66" spans="1:5" x14ac:dyDescent="0.25">
      <c r="A66" s="400">
        <v>2027</v>
      </c>
      <c r="B66" s="85" t="s">
        <v>11</v>
      </c>
      <c r="C66" s="85" t="s">
        <v>130</v>
      </c>
      <c r="D66" s="85" t="s">
        <v>126</v>
      </c>
      <c r="E66" s="401">
        <v>13591250</v>
      </c>
    </row>
    <row r="67" spans="1:5" x14ac:dyDescent="0.25">
      <c r="A67" s="400">
        <v>2027</v>
      </c>
      <c r="B67" s="85" t="s">
        <v>11</v>
      </c>
      <c r="C67" s="85" t="s">
        <v>130</v>
      </c>
      <c r="D67" s="85" t="s">
        <v>127</v>
      </c>
      <c r="E67" s="401">
        <v>1307400</v>
      </c>
    </row>
    <row r="68" spans="1:5" x14ac:dyDescent="0.25">
      <c r="A68" s="400">
        <v>2027</v>
      </c>
      <c r="B68" s="85" t="s">
        <v>11</v>
      </c>
      <c r="C68" s="85" t="s">
        <v>160</v>
      </c>
      <c r="D68" s="85" t="s">
        <v>128</v>
      </c>
      <c r="E68" s="401">
        <v>624593</v>
      </c>
    </row>
    <row r="69" spans="1:5" x14ac:dyDescent="0.25">
      <c r="A69" s="400">
        <v>2027</v>
      </c>
      <c r="B69" s="85" t="s">
        <v>11</v>
      </c>
      <c r="C69" s="85" t="s">
        <v>160</v>
      </c>
      <c r="D69" s="85" t="s">
        <v>126</v>
      </c>
      <c r="E69" s="401">
        <v>3089600</v>
      </c>
    </row>
    <row r="70" spans="1:5" x14ac:dyDescent="0.25">
      <c r="A70" s="400">
        <v>2027</v>
      </c>
      <c r="B70" s="85" t="s">
        <v>11</v>
      </c>
      <c r="C70" s="85" t="s">
        <v>160</v>
      </c>
      <c r="D70" s="85" t="s">
        <v>127</v>
      </c>
      <c r="E70" s="401">
        <v>2369800</v>
      </c>
    </row>
    <row r="71" spans="1:5" x14ac:dyDescent="0.25">
      <c r="A71" s="400">
        <v>2027</v>
      </c>
      <c r="B71" s="85" t="s">
        <v>11</v>
      </c>
      <c r="C71" s="85" t="s">
        <v>159</v>
      </c>
      <c r="D71" s="85" t="s">
        <v>128</v>
      </c>
      <c r="E71" s="401">
        <v>1270000</v>
      </c>
    </row>
    <row r="72" spans="1:5" x14ac:dyDescent="0.25">
      <c r="A72" s="400">
        <v>2027</v>
      </c>
      <c r="B72" s="85" t="s">
        <v>11</v>
      </c>
      <c r="C72" s="85" t="s">
        <v>159</v>
      </c>
      <c r="D72" s="85" t="s">
        <v>126</v>
      </c>
      <c r="E72" s="401">
        <v>23499400</v>
      </c>
    </row>
    <row r="73" spans="1:5" x14ac:dyDescent="0.25">
      <c r="A73" s="400">
        <v>2027</v>
      </c>
      <c r="B73" s="85" t="s">
        <v>11</v>
      </c>
      <c r="C73" s="85" t="s">
        <v>159</v>
      </c>
      <c r="D73" s="85" t="s">
        <v>127</v>
      </c>
      <c r="E73" s="401">
        <v>1160000</v>
      </c>
    </row>
    <row r="74" spans="1:5" x14ac:dyDescent="0.25">
      <c r="A74" s="400">
        <v>2028</v>
      </c>
      <c r="B74" s="85" t="s">
        <v>13</v>
      </c>
      <c r="C74" s="85" t="s">
        <v>166</v>
      </c>
      <c r="D74" s="85" t="s">
        <v>128</v>
      </c>
      <c r="E74" s="401">
        <v>247180</v>
      </c>
    </row>
    <row r="75" spans="1:5" x14ac:dyDescent="0.25">
      <c r="A75" s="400">
        <v>2028</v>
      </c>
      <c r="B75" s="85" t="s">
        <v>13</v>
      </c>
      <c r="C75" s="85" t="s">
        <v>166</v>
      </c>
      <c r="D75" s="85" t="s">
        <v>126</v>
      </c>
      <c r="E75" s="401">
        <v>374254</v>
      </c>
    </row>
    <row r="76" spans="1:5" x14ac:dyDescent="0.25">
      <c r="A76" s="400">
        <v>2028</v>
      </c>
      <c r="B76" s="85" t="s">
        <v>13</v>
      </c>
      <c r="C76" s="85" t="s">
        <v>166</v>
      </c>
      <c r="D76" s="85" t="s">
        <v>127</v>
      </c>
      <c r="E76" s="401">
        <v>101720</v>
      </c>
    </row>
    <row r="77" spans="1:5" x14ac:dyDescent="0.25">
      <c r="A77" s="400">
        <v>2028</v>
      </c>
      <c r="B77" s="85" t="s">
        <v>13</v>
      </c>
      <c r="C77" s="85" t="s">
        <v>164</v>
      </c>
      <c r="D77" s="85" t="s">
        <v>128</v>
      </c>
      <c r="E77" s="401">
        <v>607675</v>
      </c>
    </row>
    <row r="78" spans="1:5" x14ac:dyDescent="0.25">
      <c r="A78" s="400">
        <v>2028</v>
      </c>
      <c r="B78" s="85" t="s">
        <v>13</v>
      </c>
      <c r="C78" s="85" t="s">
        <v>164</v>
      </c>
      <c r="D78" s="85" t="s">
        <v>126</v>
      </c>
      <c r="E78" s="401">
        <v>11328015</v>
      </c>
    </row>
    <row r="79" spans="1:5" x14ac:dyDescent="0.25">
      <c r="A79" s="400">
        <v>2028</v>
      </c>
      <c r="B79" s="85" t="s">
        <v>13</v>
      </c>
      <c r="C79" s="85" t="s">
        <v>164</v>
      </c>
      <c r="D79" s="85" t="s">
        <v>127</v>
      </c>
      <c r="E79" s="401">
        <v>418578</v>
      </c>
    </row>
    <row r="80" spans="1:5" x14ac:dyDescent="0.25">
      <c r="A80" s="400">
        <v>2028</v>
      </c>
      <c r="B80" s="85" t="s">
        <v>13</v>
      </c>
      <c r="C80" s="85" t="s">
        <v>163</v>
      </c>
      <c r="D80" s="85" t="s">
        <v>128</v>
      </c>
      <c r="E80" s="401">
        <v>514296</v>
      </c>
    </row>
    <row r="81" spans="1:5" x14ac:dyDescent="0.25">
      <c r="A81" s="400">
        <v>2028</v>
      </c>
      <c r="B81" s="85" t="s">
        <v>13</v>
      </c>
      <c r="C81" s="85" t="s">
        <v>163</v>
      </c>
      <c r="D81" s="85" t="s">
        <v>126</v>
      </c>
      <c r="E81" s="401">
        <v>4432296</v>
      </c>
    </row>
    <row r="82" spans="1:5" x14ac:dyDescent="0.25">
      <c r="A82" s="400">
        <v>2028</v>
      </c>
      <c r="B82" s="85" t="s">
        <v>13</v>
      </c>
      <c r="C82" s="85" t="s">
        <v>163</v>
      </c>
      <c r="D82" s="85" t="s">
        <v>127</v>
      </c>
      <c r="E82" s="401">
        <v>471472</v>
      </c>
    </row>
    <row r="83" spans="1:5" x14ac:dyDescent="0.25">
      <c r="A83" s="400">
        <v>2028</v>
      </c>
      <c r="B83" s="85" t="s">
        <v>13</v>
      </c>
      <c r="C83" s="85" t="s">
        <v>165</v>
      </c>
      <c r="D83" s="85" t="s">
        <v>128</v>
      </c>
      <c r="E83" s="401">
        <v>1056362</v>
      </c>
    </row>
    <row r="84" spans="1:5" x14ac:dyDescent="0.25">
      <c r="A84" s="400">
        <v>2028</v>
      </c>
      <c r="B84" s="85" t="s">
        <v>13</v>
      </c>
      <c r="C84" s="85" t="s">
        <v>165</v>
      </c>
      <c r="D84" s="85" t="s">
        <v>126</v>
      </c>
      <c r="E84" s="401">
        <v>2480745</v>
      </c>
    </row>
    <row r="85" spans="1:5" x14ac:dyDescent="0.25">
      <c r="A85" s="400">
        <v>2028</v>
      </c>
      <c r="B85" s="85" t="s">
        <v>13</v>
      </c>
      <c r="C85" s="85" t="s">
        <v>165</v>
      </c>
      <c r="D85" s="85" t="s">
        <v>127</v>
      </c>
      <c r="E85" s="401">
        <v>373821</v>
      </c>
    </row>
    <row r="86" spans="1:5" x14ac:dyDescent="0.25">
      <c r="A86" s="400">
        <v>2028</v>
      </c>
      <c r="B86" s="85" t="s">
        <v>13</v>
      </c>
      <c r="C86" s="85" t="s">
        <v>9</v>
      </c>
      <c r="D86" s="85" t="s">
        <v>128</v>
      </c>
      <c r="E86" s="401">
        <v>334405</v>
      </c>
    </row>
    <row r="87" spans="1:5" x14ac:dyDescent="0.25">
      <c r="A87" s="400">
        <v>2028</v>
      </c>
      <c r="B87" s="85" t="s">
        <v>13</v>
      </c>
      <c r="C87" s="85" t="s">
        <v>9</v>
      </c>
      <c r="D87" s="85" t="s">
        <v>126</v>
      </c>
      <c r="E87" s="401">
        <v>16367318</v>
      </c>
    </row>
    <row r="88" spans="1:5" x14ac:dyDescent="0.25">
      <c r="A88" s="400">
        <v>2028</v>
      </c>
      <c r="B88" s="85" t="s">
        <v>13</v>
      </c>
      <c r="C88" s="85" t="s">
        <v>9</v>
      </c>
      <c r="D88" s="85" t="s">
        <v>127</v>
      </c>
      <c r="E88" s="401">
        <v>650499</v>
      </c>
    </row>
    <row r="89" spans="1:5" x14ac:dyDescent="0.25">
      <c r="A89" s="400">
        <v>2028</v>
      </c>
      <c r="B89" s="85" t="s">
        <v>13</v>
      </c>
      <c r="C89" s="85" t="s">
        <v>18</v>
      </c>
      <c r="D89" s="85" t="s">
        <v>128</v>
      </c>
      <c r="E89" s="401">
        <v>162752</v>
      </c>
    </row>
    <row r="90" spans="1:5" x14ac:dyDescent="0.25">
      <c r="A90" s="400">
        <v>2028</v>
      </c>
      <c r="B90" s="85" t="s">
        <v>13</v>
      </c>
      <c r="C90" s="85" t="s">
        <v>18</v>
      </c>
      <c r="D90" s="85" t="s">
        <v>126</v>
      </c>
      <c r="E90" s="401">
        <v>1836000</v>
      </c>
    </row>
    <row r="91" spans="1:5" x14ac:dyDescent="0.25">
      <c r="A91" s="400">
        <v>2028</v>
      </c>
      <c r="B91" s="85" t="s">
        <v>13</v>
      </c>
      <c r="C91" s="85" t="s">
        <v>18</v>
      </c>
      <c r="D91" s="85" t="s">
        <v>127</v>
      </c>
      <c r="E91" s="401">
        <v>40688</v>
      </c>
    </row>
    <row r="92" spans="1:5" x14ac:dyDescent="0.25">
      <c r="A92" s="400">
        <v>2028</v>
      </c>
      <c r="B92" s="85" t="s">
        <v>13</v>
      </c>
      <c r="C92" s="85" t="s">
        <v>167</v>
      </c>
      <c r="D92" s="85" t="s">
        <v>128</v>
      </c>
      <c r="E92" s="401">
        <v>60106</v>
      </c>
    </row>
    <row r="93" spans="1:5" x14ac:dyDescent="0.25">
      <c r="A93" s="400">
        <v>2028</v>
      </c>
      <c r="B93" s="85" t="s">
        <v>13</v>
      </c>
      <c r="C93" s="85" t="s">
        <v>167</v>
      </c>
      <c r="D93" s="85" t="s">
        <v>126</v>
      </c>
      <c r="E93" s="401">
        <v>116826</v>
      </c>
    </row>
    <row r="94" spans="1:5" x14ac:dyDescent="0.25">
      <c r="A94" s="400">
        <v>2028</v>
      </c>
      <c r="B94" s="85" t="s">
        <v>13</v>
      </c>
      <c r="C94" s="85" t="s">
        <v>167</v>
      </c>
      <c r="D94" s="85" t="s">
        <v>127</v>
      </c>
      <c r="E94" s="401">
        <v>76290</v>
      </c>
    </row>
    <row r="95" spans="1:5" x14ac:dyDescent="0.25">
      <c r="A95" s="400">
        <v>2028</v>
      </c>
      <c r="B95" s="85" t="s">
        <v>13</v>
      </c>
      <c r="C95" s="85" t="s">
        <v>19</v>
      </c>
      <c r="D95" s="85" t="s">
        <v>129</v>
      </c>
      <c r="E95" s="401">
        <v>5622215</v>
      </c>
    </row>
    <row r="96" spans="1:5" x14ac:dyDescent="0.25">
      <c r="A96" s="400">
        <v>2028</v>
      </c>
      <c r="B96" s="85" t="s">
        <v>13</v>
      </c>
      <c r="C96" s="85" t="s">
        <v>168</v>
      </c>
      <c r="D96" s="85" t="s">
        <v>128</v>
      </c>
      <c r="E96" s="401">
        <v>254300</v>
      </c>
    </row>
    <row r="97" spans="1:5" x14ac:dyDescent="0.25">
      <c r="A97" s="400">
        <v>2028</v>
      </c>
      <c r="B97" s="85" t="s">
        <v>13</v>
      </c>
      <c r="C97" s="85" t="s">
        <v>168</v>
      </c>
      <c r="D97" s="85" t="s">
        <v>126</v>
      </c>
      <c r="E97" s="401">
        <v>510000</v>
      </c>
    </row>
    <row r="98" spans="1:5" x14ac:dyDescent="0.25">
      <c r="A98" s="400">
        <v>2028</v>
      </c>
      <c r="B98" s="85" t="s">
        <v>13</v>
      </c>
      <c r="C98" s="85" t="s">
        <v>168</v>
      </c>
      <c r="D98" s="85" t="s">
        <v>127</v>
      </c>
      <c r="E98" s="401">
        <v>30516</v>
      </c>
    </row>
    <row r="99" spans="1:5" x14ac:dyDescent="0.25">
      <c r="A99" s="400">
        <v>2028</v>
      </c>
      <c r="B99" s="85" t="s">
        <v>12</v>
      </c>
      <c r="C99" s="85" t="s">
        <v>21</v>
      </c>
      <c r="D99" s="85" t="s">
        <v>128</v>
      </c>
      <c r="E99" s="401">
        <v>279730</v>
      </c>
    </row>
    <row r="100" spans="1:5" x14ac:dyDescent="0.25">
      <c r="A100" s="400">
        <v>2028</v>
      </c>
      <c r="B100" s="85" t="s">
        <v>12</v>
      </c>
      <c r="C100" s="85" t="s">
        <v>21</v>
      </c>
      <c r="D100" s="85" t="s">
        <v>126</v>
      </c>
      <c r="E100" s="401">
        <v>7961043</v>
      </c>
    </row>
    <row r="101" spans="1:5" x14ac:dyDescent="0.25">
      <c r="A101" s="400">
        <v>2028</v>
      </c>
      <c r="B101" s="85" t="s">
        <v>12</v>
      </c>
      <c r="C101" s="85" t="s">
        <v>21</v>
      </c>
      <c r="D101" s="85" t="s">
        <v>127</v>
      </c>
      <c r="E101" s="401">
        <v>1088404</v>
      </c>
    </row>
    <row r="102" spans="1:5" x14ac:dyDescent="0.25">
      <c r="A102" s="400">
        <v>2028</v>
      </c>
      <c r="B102" s="85" t="s">
        <v>12</v>
      </c>
      <c r="C102" s="85" t="s">
        <v>22</v>
      </c>
      <c r="D102" s="85" t="s">
        <v>128</v>
      </c>
      <c r="E102" s="401">
        <v>2179697</v>
      </c>
    </row>
    <row r="103" spans="1:5" x14ac:dyDescent="0.25">
      <c r="A103" s="400">
        <v>2028</v>
      </c>
      <c r="B103" s="85" t="s">
        <v>12</v>
      </c>
      <c r="C103" s="85" t="s">
        <v>22</v>
      </c>
      <c r="D103" s="85" t="s">
        <v>126</v>
      </c>
      <c r="E103" s="401">
        <v>14558778</v>
      </c>
    </row>
    <row r="104" spans="1:5" x14ac:dyDescent="0.25">
      <c r="A104" s="400">
        <v>2028</v>
      </c>
      <c r="B104" s="85" t="s">
        <v>12</v>
      </c>
      <c r="C104" s="85" t="s">
        <v>22</v>
      </c>
      <c r="D104" s="85" t="s">
        <v>127</v>
      </c>
      <c r="E104" s="401">
        <v>1852728</v>
      </c>
    </row>
    <row r="105" spans="1:5" x14ac:dyDescent="0.25">
      <c r="A105" s="400">
        <v>2028</v>
      </c>
      <c r="B105" s="85" t="s">
        <v>12</v>
      </c>
      <c r="C105" s="85" t="s">
        <v>23</v>
      </c>
      <c r="D105" s="85" t="s">
        <v>129</v>
      </c>
      <c r="E105" s="401">
        <v>1869961</v>
      </c>
    </row>
    <row r="106" spans="1:5" x14ac:dyDescent="0.25">
      <c r="A106" s="400">
        <v>2028</v>
      </c>
      <c r="B106" s="85" t="s">
        <v>14</v>
      </c>
      <c r="C106" s="85" t="s">
        <v>8</v>
      </c>
      <c r="D106" s="85" t="s">
        <v>128</v>
      </c>
      <c r="E106" s="401">
        <v>101720</v>
      </c>
    </row>
    <row r="107" spans="1:5" x14ac:dyDescent="0.25">
      <c r="A107" s="400">
        <v>2028</v>
      </c>
      <c r="B107" s="85" t="s">
        <v>14</v>
      </c>
      <c r="C107" s="85" t="s">
        <v>8</v>
      </c>
      <c r="D107" s="85" t="s">
        <v>126</v>
      </c>
      <c r="E107" s="401">
        <v>19991787</v>
      </c>
    </row>
    <row r="108" spans="1:5" x14ac:dyDescent="0.25">
      <c r="A108" s="400">
        <v>2028</v>
      </c>
      <c r="B108" s="85" t="s">
        <v>14</v>
      </c>
      <c r="C108" s="85" t="s">
        <v>8</v>
      </c>
      <c r="D108" s="85" t="s">
        <v>127</v>
      </c>
      <c r="E108" s="401">
        <v>884964</v>
      </c>
    </row>
    <row r="109" spans="1:5" x14ac:dyDescent="0.25">
      <c r="A109" s="400">
        <v>2028</v>
      </c>
      <c r="B109" s="85" t="s">
        <v>14</v>
      </c>
      <c r="C109" s="85" t="s">
        <v>24</v>
      </c>
      <c r="D109" s="85" t="s">
        <v>128</v>
      </c>
      <c r="E109" s="401">
        <v>162752</v>
      </c>
    </row>
    <row r="110" spans="1:5" x14ac:dyDescent="0.25">
      <c r="A110" s="400">
        <v>2028</v>
      </c>
      <c r="B110" s="85" t="s">
        <v>14</v>
      </c>
      <c r="C110" s="85" t="s">
        <v>24</v>
      </c>
      <c r="D110" s="85" t="s">
        <v>126</v>
      </c>
      <c r="E110" s="401">
        <v>1836000</v>
      </c>
    </row>
    <row r="111" spans="1:5" x14ac:dyDescent="0.25">
      <c r="A111" s="400">
        <v>2028</v>
      </c>
      <c r="B111" s="85" t="s">
        <v>14</v>
      </c>
      <c r="C111" s="85" t="s">
        <v>24</v>
      </c>
      <c r="D111" s="85" t="s">
        <v>127</v>
      </c>
      <c r="E111" s="401">
        <v>40688</v>
      </c>
    </row>
    <row r="112" spans="1:5" x14ac:dyDescent="0.25">
      <c r="A112" s="400">
        <v>2028</v>
      </c>
      <c r="B112" s="85" t="s">
        <v>14</v>
      </c>
      <c r="C112" s="85" t="s">
        <v>25</v>
      </c>
      <c r="D112" s="85" t="s">
        <v>129</v>
      </c>
      <c r="E112" s="401">
        <v>4896966</v>
      </c>
    </row>
    <row r="113" spans="1:5" x14ac:dyDescent="0.25">
      <c r="A113" s="400">
        <v>2028</v>
      </c>
      <c r="B113" s="85" t="s">
        <v>14</v>
      </c>
      <c r="C113" s="85" t="s">
        <v>171</v>
      </c>
      <c r="D113" s="85" t="s">
        <v>128</v>
      </c>
      <c r="E113" s="401">
        <v>254300</v>
      </c>
    </row>
    <row r="114" spans="1:5" x14ac:dyDescent="0.25">
      <c r="A114" s="400">
        <v>2028</v>
      </c>
      <c r="B114" s="85" t="s">
        <v>14</v>
      </c>
      <c r="C114" s="85" t="s">
        <v>171</v>
      </c>
      <c r="D114" s="85" t="s">
        <v>126</v>
      </c>
      <c r="E114" s="401">
        <v>510000</v>
      </c>
    </row>
    <row r="115" spans="1:5" x14ac:dyDescent="0.25">
      <c r="A115" s="400">
        <v>2028</v>
      </c>
      <c r="B115" s="85" t="s">
        <v>14</v>
      </c>
      <c r="C115" s="85" t="s">
        <v>171</v>
      </c>
      <c r="D115" s="85" t="s">
        <v>127</v>
      </c>
      <c r="E115" s="401">
        <v>30516</v>
      </c>
    </row>
    <row r="116" spans="1:5" x14ac:dyDescent="0.25">
      <c r="A116" s="400">
        <v>2028</v>
      </c>
      <c r="B116" s="85" t="s">
        <v>15</v>
      </c>
      <c r="C116" s="85" t="s">
        <v>27</v>
      </c>
      <c r="D116" s="85" t="s">
        <v>128</v>
      </c>
      <c r="E116" s="401">
        <v>0</v>
      </c>
    </row>
    <row r="117" spans="1:5" x14ac:dyDescent="0.25">
      <c r="A117" s="400">
        <v>2028</v>
      </c>
      <c r="B117" s="85" t="s">
        <v>15</v>
      </c>
      <c r="C117" s="85" t="s">
        <v>27</v>
      </c>
      <c r="D117" s="85" t="s">
        <v>126</v>
      </c>
      <c r="E117" s="401">
        <v>3307129</v>
      </c>
    </row>
    <row r="118" spans="1:5" x14ac:dyDescent="0.25">
      <c r="A118" s="400">
        <v>2028</v>
      </c>
      <c r="B118" s="85" t="s">
        <v>15</v>
      </c>
      <c r="C118" s="85" t="s">
        <v>27</v>
      </c>
      <c r="D118" s="85" t="s">
        <v>127</v>
      </c>
      <c r="E118" s="401">
        <v>25430</v>
      </c>
    </row>
    <row r="119" spans="1:5" x14ac:dyDescent="0.25">
      <c r="A119" s="400">
        <v>2028</v>
      </c>
      <c r="B119" s="85" t="s">
        <v>15</v>
      </c>
      <c r="C119" s="85" t="s">
        <v>28</v>
      </c>
      <c r="D119" s="85" t="s">
        <v>129</v>
      </c>
      <c r="E119" s="401">
        <v>280691</v>
      </c>
    </row>
    <row r="120" spans="1:5" x14ac:dyDescent="0.25">
      <c r="A120" s="400">
        <v>2028</v>
      </c>
      <c r="B120" s="85" t="s">
        <v>29</v>
      </c>
      <c r="C120" s="85" t="s">
        <v>177</v>
      </c>
      <c r="D120" s="85" t="s">
        <v>129</v>
      </c>
      <c r="E120" s="401">
        <v>620492</v>
      </c>
    </row>
    <row r="121" spans="1:5" x14ac:dyDescent="0.25">
      <c r="A121" s="400">
        <v>2028</v>
      </c>
      <c r="B121" s="85" t="s">
        <v>29</v>
      </c>
      <c r="C121" s="85" t="s">
        <v>30</v>
      </c>
      <c r="D121" s="85" t="s">
        <v>129</v>
      </c>
      <c r="E121" s="401">
        <v>7836155</v>
      </c>
    </row>
    <row r="122" spans="1:5" x14ac:dyDescent="0.25">
      <c r="A122" s="400">
        <v>2028</v>
      </c>
      <c r="B122" s="85" t="s">
        <v>29</v>
      </c>
      <c r="C122" s="85" t="s">
        <v>32</v>
      </c>
      <c r="D122" s="85" t="s">
        <v>129</v>
      </c>
      <c r="E122" s="401">
        <v>1406788</v>
      </c>
    </row>
    <row r="123" spans="1:5" x14ac:dyDescent="0.25">
      <c r="A123" s="400">
        <v>2028</v>
      </c>
      <c r="B123" s="85" t="s">
        <v>33</v>
      </c>
      <c r="C123" s="85" t="s">
        <v>34</v>
      </c>
      <c r="D123" s="85" t="s">
        <v>129</v>
      </c>
      <c r="E123" s="401">
        <v>3153320</v>
      </c>
    </row>
    <row r="124" spans="1:5" x14ac:dyDescent="0.25">
      <c r="A124" s="400">
        <v>2028</v>
      </c>
      <c r="B124" s="85" t="s">
        <v>33</v>
      </c>
      <c r="C124" s="85" t="s">
        <v>35</v>
      </c>
      <c r="D124" s="85" t="s">
        <v>129</v>
      </c>
      <c r="E124" s="401">
        <v>600148</v>
      </c>
    </row>
    <row r="125" spans="1:5" x14ac:dyDescent="0.25">
      <c r="A125" s="400">
        <v>2028</v>
      </c>
      <c r="B125" s="85" t="s">
        <v>33</v>
      </c>
      <c r="C125" s="85" t="s">
        <v>36</v>
      </c>
      <c r="D125" s="85" t="s">
        <v>129</v>
      </c>
      <c r="E125" s="401">
        <v>842242</v>
      </c>
    </row>
    <row r="126" spans="1:5" x14ac:dyDescent="0.25">
      <c r="A126" s="400">
        <v>2028</v>
      </c>
      <c r="B126" s="85" t="s">
        <v>37</v>
      </c>
      <c r="C126" s="85" t="s">
        <v>38</v>
      </c>
      <c r="D126" s="85" t="s">
        <v>129</v>
      </c>
      <c r="E126" s="401">
        <v>3278639</v>
      </c>
    </row>
    <row r="127" spans="1:5" x14ac:dyDescent="0.25">
      <c r="A127" s="400">
        <v>2028</v>
      </c>
      <c r="B127" s="85" t="s">
        <v>11</v>
      </c>
      <c r="C127" s="85" t="s">
        <v>162</v>
      </c>
      <c r="D127" s="85" t="s">
        <v>128</v>
      </c>
      <c r="E127" s="401">
        <v>2593860</v>
      </c>
    </row>
    <row r="128" spans="1:5" x14ac:dyDescent="0.25">
      <c r="A128" s="400">
        <v>2028</v>
      </c>
      <c r="B128" s="85" t="s">
        <v>11</v>
      </c>
      <c r="C128" s="85" t="s">
        <v>162</v>
      </c>
      <c r="D128" s="85" t="s">
        <v>126</v>
      </c>
      <c r="E128" s="401">
        <v>0</v>
      </c>
    </row>
    <row r="129" spans="1:5" x14ac:dyDescent="0.25">
      <c r="A129" s="400">
        <v>2028</v>
      </c>
      <c r="B129" s="85" t="s">
        <v>11</v>
      </c>
      <c r="C129" s="85" t="s">
        <v>162</v>
      </c>
      <c r="D129" s="85" t="s">
        <v>127</v>
      </c>
      <c r="E129" s="401">
        <v>50860</v>
      </c>
    </row>
    <row r="130" spans="1:5" x14ac:dyDescent="0.25">
      <c r="A130" s="400">
        <v>2028</v>
      </c>
      <c r="B130" s="85" t="s">
        <v>11</v>
      </c>
      <c r="C130" s="85" t="s">
        <v>161</v>
      </c>
      <c r="D130" s="85" t="s">
        <v>128</v>
      </c>
      <c r="E130" s="401">
        <v>483170</v>
      </c>
    </row>
    <row r="131" spans="1:5" x14ac:dyDescent="0.25">
      <c r="A131" s="400">
        <v>2028</v>
      </c>
      <c r="B131" s="85" t="s">
        <v>11</v>
      </c>
      <c r="C131" s="85" t="s">
        <v>161</v>
      </c>
      <c r="D131" s="85" t="s">
        <v>126</v>
      </c>
      <c r="E131" s="401">
        <v>11770800</v>
      </c>
    </row>
    <row r="132" spans="1:5" x14ac:dyDescent="0.25">
      <c r="A132" s="400">
        <v>2028</v>
      </c>
      <c r="B132" s="85" t="s">
        <v>11</v>
      </c>
      <c r="C132" s="85" t="s">
        <v>161</v>
      </c>
      <c r="D132" s="85" t="s">
        <v>127</v>
      </c>
      <c r="E132" s="401">
        <v>508600</v>
      </c>
    </row>
    <row r="133" spans="1:5" x14ac:dyDescent="0.25">
      <c r="A133" s="400">
        <v>2028</v>
      </c>
      <c r="B133" s="85" t="s">
        <v>11</v>
      </c>
      <c r="C133" s="85" t="s">
        <v>333</v>
      </c>
      <c r="D133" s="85" t="s">
        <v>128</v>
      </c>
      <c r="E133" s="401">
        <v>305160</v>
      </c>
    </row>
    <row r="134" spans="1:5" x14ac:dyDescent="0.25">
      <c r="A134" s="400">
        <v>2028</v>
      </c>
      <c r="B134" s="85" t="s">
        <v>11</v>
      </c>
      <c r="C134" s="85" t="s">
        <v>333</v>
      </c>
      <c r="D134" s="85" t="s">
        <v>126</v>
      </c>
      <c r="E134" s="401">
        <v>7813200</v>
      </c>
    </row>
    <row r="135" spans="1:5" x14ac:dyDescent="0.25">
      <c r="A135" s="400">
        <v>2028</v>
      </c>
      <c r="B135" s="85" t="s">
        <v>11</v>
      </c>
      <c r="C135" s="85" t="s">
        <v>333</v>
      </c>
      <c r="D135" s="85" t="s">
        <v>127</v>
      </c>
      <c r="E135" s="401">
        <v>879919</v>
      </c>
    </row>
    <row r="136" spans="1:5" x14ac:dyDescent="0.25">
      <c r="A136" s="400">
        <v>2028</v>
      </c>
      <c r="B136" s="85" t="s">
        <v>11</v>
      </c>
      <c r="C136" s="85" t="s">
        <v>17</v>
      </c>
      <c r="D136" s="85" t="s">
        <v>129</v>
      </c>
      <c r="E136" s="401">
        <v>2618006</v>
      </c>
    </row>
    <row r="137" spans="1:5" x14ac:dyDescent="0.25">
      <c r="A137" s="400">
        <v>2028</v>
      </c>
      <c r="B137" s="85" t="s">
        <v>11</v>
      </c>
      <c r="C137" s="85" t="s">
        <v>130</v>
      </c>
      <c r="D137" s="85" t="s">
        <v>128</v>
      </c>
      <c r="E137" s="401">
        <v>694239</v>
      </c>
    </row>
    <row r="138" spans="1:5" x14ac:dyDescent="0.25">
      <c r="A138" s="400">
        <v>2028</v>
      </c>
      <c r="B138" s="85" t="s">
        <v>11</v>
      </c>
      <c r="C138" s="85" t="s">
        <v>130</v>
      </c>
      <c r="D138" s="85" t="s">
        <v>126</v>
      </c>
      <c r="E138" s="401">
        <v>16822350</v>
      </c>
    </row>
    <row r="139" spans="1:5" x14ac:dyDescent="0.25">
      <c r="A139" s="400">
        <v>2028</v>
      </c>
      <c r="B139" s="85" t="s">
        <v>11</v>
      </c>
      <c r="C139" s="85" t="s">
        <v>130</v>
      </c>
      <c r="D139" s="85" t="s">
        <v>127</v>
      </c>
      <c r="E139" s="401">
        <v>1319878</v>
      </c>
    </row>
    <row r="140" spans="1:5" x14ac:dyDescent="0.25">
      <c r="A140" s="400">
        <v>2028</v>
      </c>
      <c r="B140" s="85" t="s">
        <v>11</v>
      </c>
      <c r="C140" s="85" t="s">
        <v>160</v>
      </c>
      <c r="D140" s="85" t="s">
        <v>128</v>
      </c>
      <c r="E140" s="401">
        <v>635335</v>
      </c>
    </row>
    <row r="141" spans="1:5" x14ac:dyDescent="0.25">
      <c r="A141" s="400">
        <v>2028</v>
      </c>
      <c r="B141" s="85" t="s">
        <v>11</v>
      </c>
      <c r="C141" s="85" t="s">
        <v>160</v>
      </c>
      <c r="D141" s="85" t="s">
        <v>126</v>
      </c>
      <c r="E141" s="401">
        <v>3165902</v>
      </c>
    </row>
    <row r="142" spans="1:5" x14ac:dyDescent="0.25">
      <c r="A142" s="400">
        <v>2028</v>
      </c>
      <c r="B142" s="85" t="s">
        <v>11</v>
      </c>
      <c r="C142" s="85" t="s">
        <v>160</v>
      </c>
      <c r="D142" s="85" t="s">
        <v>127</v>
      </c>
      <c r="E142" s="401">
        <v>2322064</v>
      </c>
    </row>
    <row r="143" spans="1:5" x14ac:dyDescent="0.25">
      <c r="A143" s="400">
        <v>2028</v>
      </c>
      <c r="B143" s="85" t="s">
        <v>11</v>
      </c>
      <c r="C143" s="85" t="s">
        <v>159</v>
      </c>
      <c r="D143" s="85" t="s">
        <v>128</v>
      </c>
      <c r="E143" s="401">
        <v>1068060</v>
      </c>
    </row>
    <row r="144" spans="1:5" x14ac:dyDescent="0.25">
      <c r="A144" s="400">
        <v>2028</v>
      </c>
      <c r="B144" s="85" t="s">
        <v>11</v>
      </c>
      <c r="C144" s="85" t="s">
        <v>159</v>
      </c>
      <c r="D144" s="85" t="s">
        <v>126</v>
      </c>
      <c r="E144" s="401">
        <v>21572449</v>
      </c>
    </row>
    <row r="145" spans="1:5" x14ac:dyDescent="0.25">
      <c r="A145" s="400">
        <v>2028</v>
      </c>
      <c r="B145" s="85" t="s">
        <v>11</v>
      </c>
      <c r="C145" s="85" t="s">
        <v>159</v>
      </c>
      <c r="D145" s="85" t="s">
        <v>127</v>
      </c>
      <c r="E145" s="401">
        <v>1068060</v>
      </c>
    </row>
    <row r="146" spans="1:5" x14ac:dyDescent="0.25">
      <c r="A146" s="400">
        <v>2029</v>
      </c>
      <c r="B146" s="85" t="s">
        <v>13</v>
      </c>
      <c r="C146" s="85" t="s">
        <v>166</v>
      </c>
      <c r="D146" s="85" t="s">
        <v>128</v>
      </c>
      <c r="E146" s="401">
        <v>239325</v>
      </c>
    </row>
    <row r="147" spans="1:5" x14ac:dyDescent="0.25">
      <c r="A147" s="400">
        <v>2029</v>
      </c>
      <c r="B147" s="85" t="s">
        <v>13</v>
      </c>
      <c r="C147" s="85" t="s">
        <v>166</v>
      </c>
      <c r="D147" s="85" t="s">
        <v>126</v>
      </c>
      <c r="E147" s="401">
        <v>403278</v>
      </c>
    </row>
    <row r="148" spans="1:5" x14ac:dyDescent="0.25">
      <c r="A148" s="400">
        <v>2029</v>
      </c>
      <c r="B148" s="85" t="s">
        <v>13</v>
      </c>
      <c r="C148" s="85" t="s">
        <v>166</v>
      </c>
      <c r="D148" s="85" t="s">
        <v>127</v>
      </c>
      <c r="E148" s="401">
        <v>103470</v>
      </c>
    </row>
    <row r="149" spans="1:5" x14ac:dyDescent="0.25">
      <c r="A149" s="400">
        <v>2029</v>
      </c>
      <c r="B149" s="85" t="s">
        <v>13</v>
      </c>
      <c r="C149" s="85" t="s">
        <v>164</v>
      </c>
      <c r="D149" s="85" t="s">
        <v>128</v>
      </c>
      <c r="E149" s="401">
        <v>654756</v>
      </c>
    </row>
    <row r="150" spans="1:5" x14ac:dyDescent="0.25">
      <c r="A150" s="400">
        <v>2029</v>
      </c>
      <c r="B150" s="85" t="s">
        <v>13</v>
      </c>
      <c r="C150" s="85" t="s">
        <v>164</v>
      </c>
      <c r="D150" s="85" t="s">
        <v>126</v>
      </c>
      <c r="E150" s="401">
        <v>12166684</v>
      </c>
    </row>
    <row r="151" spans="1:5" x14ac:dyDescent="0.25">
      <c r="A151" s="400">
        <v>2029</v>
      </c>
      <c r="B151" s="85" t="s">
        <v>13</v>
      </c>
      <c r="C151" s="85" t="s">
        <v>164</v>
      </c>
      <c r="D151" s="85" t="s">
        <v>127</v>
      </c>
      <c r="E151" s="401">
        <v>425778</v>
      </c>
    </row>
    <row r="152" spans="1:5" x14ac:dyDescent="0.25">
      <c r="A152" s="400">
        <v>2029</v>
      </c>
      <c r="B152" s="85" t="s">
        <v>13</v>
      </c>
      <c r="C152" s="85" t="s">
        <v>163</v>
      </c>
      <c r="D152" s="85" t="s">
        <v>128</v>
      </c>
      <c r="E152" s="401">
        <v>575291</v>
      </c>
    </row>
    <row r="153" spans="1:5" x14ac:dyDescent="0.25">
      <c r="A153" s="400">
        <v>2029</v>
      </c>
      <c r="B153" s="85" t="s">
        <v>13</v>
      </c>
      <c r="C153" s="85" t="s">
        <v>163</v>
      </c>
      <c r="D153" s="85" t="s">
        <v>126</v>
      </c>
      <c r="E153" s="401">
        <v>4969196</v>
      </c>
    </row>
    <row r="154" spans="1:5" x14ac:dyDescent="0.25">
      <c r="A154" s="400">
        <v>2029</v>
      </c>
      <c r="B154" s="85" t="s">
        <v>13</v>
      </c>
      <c r="C154" s="85" t="s">
        <v>163</v>
      </c>
      <c r="D154" s="85" t="s">
        <v>127</v>
      </c>
      <c r="E154" s="401">
        <v>479582</v>
      </c>
    </row>
    <row r="155" spans="1:5" x14ac:dyDescent="0.25">
      <c r="A155" s="400">
        <v>2029</v>
      </c>
      <c r="B155" s="85" t="s">
        <v>13</v>
      </c>
      <c r="C155" s="85" t="s">
        <v>165</v>
      </c>
      <c r="D155" s="85" t="s">
        <v>128</v>
      </c>
      <c r="E155" s="401">
        <v>1157824</v>
      </c>
    </row>
    <row r="156" spans="1:5" x14ac:dyDescent="0.25">
      <c r="A156" s="400">
        <v>2029</v>
      </c>
      <c r="B156" s="85" t="s">
        <v>13</v>
      </c>
      <c r="C156" s="85" t="s">
        <v>165</v>
      </c>
      <c r="D156" s="85" t="s">
        <v>126</v>
      </c>
      <c r="E156" s="401">
        <v>2783877</v>
      </c>
    </row>
    <row r="157" spans="1:5" x14ac:dyDescent="0.25">
      <c r="A157" s="400">
        <v>2029</v>
      </c>
      <c r="B157" s="85" t="s">
        <v>13</v>
      </c>
      <c r="C157" s="85" t="s">
        <v>165</v>
      </c>
      <c r="D157" s="85" t="s">
        <v>127</v>
      </c>
      <c r="E157" s="401">
        <v>380250</v>
      </c>
    </row>
    <row r="158" spans="1:5" x14ac:dyDescent="0.25">
      <c r="A158" s="400">
        <v>2029</v>
      </c>
      <c r="B158" s="85" t="s">
        <v>13</v>
      </c>
      <c r="C158" s="85" t="s">
        <v>9</v>
      </c>
      <c r="D158" s="85" t="s">
        <v>128</v>
      </c>
      <c r="E158" s="401">
        <v>380768</v>
      </c>
    </row>
    <row r="159" spans="1:5" x14ac:dyDescent="0.25">
      <c r="A159" s="400">
        <v>2029</v>
      </c>
      <c r="B159" s="85" t="s">
        <v>13</v>
      </c>
      <c r="C159" s="85" t="s">
        <v>9</v>
      </c>
      <c r="D159" s="85" t="s">
        <v>126</v>
      </c>
      <c r="E159" s="401">
        <v>18081220</v>
      </c>
    </row>
    <row r="160" spans="1:5" x14ac:dyDescent="0.25">
      <c r="A160" s="400">
        <v>2029</v>
      </c>
      <c r="B160" s="85" t="s">
        <v>13</v>
      </c>
      <c r="C160" s="85" t="s">
        <v>9</v>
      </c>
      <c r="D160" s="85" t="s">
        <v>127</v>
      </c>
      <c r="E160" s="401">
        <v>661688</v>
      </c>
    </row>
    <row r="161" spans="1:5" x14ac:dyDescent="0.25">
      <c r="A161" s="400">
        <v>2029</v>
      </c>
      <c r="B161" s="85" t="s">
        <v>13</v>
      </c>
      <c r="C161" s="85" t="s">
        <v>18</v>
      </c>
      <c r="D161" s="85" t="s">
        <v>128</v>
      </c>
      <c r="E161" s="401">
        <v>165551</v>
      </c>
    </row>
    <row r="162" spans="1:5" x14ac:dyDescent="0.25">
      <c r="A162" s="400">
        <v>2029</v>
      </c>
      <c r="B162" s="85" t="s">
        <v>13</v>
      </c>
      <c r="C162" s="85" t="s">
        <v>18</v>
      </c>
      <c r="D162" s="85" t="s">
        <v>126</v>
      </c>
      <c r="E162" s="401">
        <v>1872720</v>
      </c>
    </row>
    <row r="163" spans="1:5" x14ac:dyDescent="0.25">
      <c r="A163" s="400">
        <v>2029</v>
      </c>
      <c r="B163" s="85" t="s">
        <v>13</v>
      </c>
      <c r="C163" s="85" t="s">
        <v>18</v>
      </c>
      <c r="D163" s="85" t="s">
        <v>127</v>
      </c>
      <c r="E163" s="401">
        <v>41388</v>
      </c>
    </row>
    <row r="164" spans="1:5" x14ac:dyDescent="0.25">
      <c r="A164" s="400">
        <v>2029</v>
      </c>
      <c r="B164" s="85" t="s">
        <v>13</v>
      </c>
      <c r="C164" s="85" t="s">
        <v>167</v>
      </c>
      <c r="D164" s="85" t="s">
        <v>128</v>
      </c>
      <c r="E164" s="401">
        <v>66510</v>
      </c>
    </row>
    <row r="165" spans="1:5" x14ac:dyDescent="0.25">
      <c r="A165" s="400">
        <v>2029</v>
      </c>
      <c r="B165" s="85" t="s">
        <v>13</v>
      </c>
      <c r="C165" s="85" t="s">
        <v>167</v>
      </c>
      <c r="D165" s="85" t="s">
        <v>126</v>
      </c>
      <c r="E165" s="401">
        <v>238324</v>
      </c>
    </row>
    <row r="166" spans="1:5" x14ac:dyDescent="0.25">
      <c r="A166" s="400">
        <v>2029</v>
      </c>
      <c r="B166" s="85" t="s">
        <v>13</v>
      </c>
      <c r="C166" s="85" t="s">
        <v>167</v>
      </c>
      <c r="D166" s="85" t="s">
        <v>127</v>
      </c>
      <c r="E166" s="401">
        <v>77602</v>
      </c>
    </row>
    <row r="167" spans="1:5" x14ac:dyDescent="0.25">
      <c r="A167" s="400">
        <v>2029</v>
      </c>
      <c r="B167" s="85" t="s">
        <v>13</v>
      </c>
      <c r="C167" s="85" t="s">
        <v>19</v>
      </c>
      <c r="D167" s="85" t="s">
        <v>129</v>
      </c>
      <c r="E167" s="401">
        <v>5718918</v>
      </c>
    </row>
    <row r="168" spans="1:5" x14ac:dyDescent="0.25">
      <c r="A168" s="400">
        <v>2029</v>
      </c>
      <c r="B168" s="85" t="s">
        <v>13</v>
      </c>
      <c r="C168" s="85" t="s">
        <v>168</v>
      </c>
      <c r="D168" s="85" t="s">
        <v>128</v>
      </c>
      <c r="E168" s="401">
        <v>258674</v>
      </c>
    </row>
    <row r="169" spans="1:5" x14ac:dyDescent="0.25">
      <c r="A169" s="400">
        <v>2029</v>
      </c>
      <c r="B169" s="85" t="s">
        <v>13</v>
      </c>
      <c r="C169" s="85" t="s">
        <v>168</v>
      </c>
      <c r="D169" s="85" t="s">
        <v>126</v>
      </c>
      <c r="E169" s="401">
        <v>520200</v>
      </c>
    </row>
    <row r="170" spans="1:5" x14ac:dyDescent="0.25">
      <c r="A170" s="400">
        <v>2029</v>
      </c>
      <c r="B170" s="85" t="s">
        <v>13</v>
      </c>
      <c r="C170" s="85" t="s">
        <v>168</v>
      </c>
      <c r="D170" s="85" t="s">
        <v>127</v>
      </c>
      <c r="E170" s="401">
        <v>31041</v>
      </c>
    </row>
    <row r="171" spans="1:5" x14ac:dyDescent="0.25">
      <c r="A171" s="400">
        <v>2029</v>
      </c>
      <c r="B171" s="85" t="s">
        <v>12</v>
      </c>
      <c r="C171" s="85" t="s">
        <v>21</v>
      </c>
      <c r="D171" s="85" t="s">
        <v>128</v>
      </c>
      <c r="E171" s="401">
        <v>310409</v>
      </c>
    </row>
    <row r="172" spans="1:5" x14ac:dyDescent="0.25">
      <c r="A172" s="400">
        <v>2029</v>
      </c>
      <c r="B172" s="85" t="s">
        <v>12</v>
      </c>
      <c r="C172" s="85" t="s">
        <v>21</v>
      </c>
      <c r="D172" s="85" t="s">
        <v>126</v>
      </c>
      <c r="E172" s="401">
        <v>8815092</v>
      </c>
    </row>
    <row r="173" spans="1:5" x14ac:dyDescent="0.25">
      <c r="A173" s="400">
        <v>2029</v>
      </c>
      <c r="B173" s="85" t="s">
        <v>12</v>
      </c>
      <c r="C173" s="85" t="s">
        <v>21</v>
      </c>
      <c r="D173" s="85" t="s">
        <v>127</v>
      </c>
      <c r="E173" s="401">
        <v>1148512</v>
      </c>
    </row>
    <row r="174" spans="1:5" x14ac:dyDescent="0.25">
      <c r="A174" s="400">
        <v>2029</v>
      </c>
      <c r="B174" s="85" t="s">
        <v>12</v>
      </c>
      <c r="C174" s="85" t="s">
        <v>22</v>
      </c>
      <c r="D174" s="85" t="s">
        <v>128</v>
      </c>
      <c r="E174" s="401">
        <v>2273082</v>
      </c>
    </row>
    <row r="175" spans="1:5" x14ac:dyDescent="0.25">
      <c r="A175" s="400">
        <v>2029</v>
      </c>
      <c r="B175" s="85" t="s">
        <v>12</v>
      </c>
      <c r="C175" s="85" t="s">
        <v>22</v>
      </c>
      <c r="D175" s="85" t="s">
        <v>126</v>
      </c>
      <c r="E175" s="401">
        <v>16491888</v>
      </c>
    </row>
    <row r="176" spans="1:5" x14ac:dyDescent="0.25">
      <c r="A176" s="400">
        <v>2029</v>
      </c>
      <c r="B176" s="85" t="s">
        <v>12</v>
      </c>
      <c r="C176" s="85" t="s">
        <v>22</v>
      </c>
      <c r="D176" s="85" t="s">
        <v>127</v>
      </c>
      <c r="E176" s="401">
        <v>1938399</v>
      </c>
    </row>
    <row r="177" spans="1:5" x14ac:dyDescent="0.25">
      <c r="A177" s="400">
        <v>2029</v>
      </c>
      <c r="B177" s="85" t="s">
        <v>12</v>
      </c>
      <c r="C177" s="85" t="s">
        <v>23</v>
      </c>
      <c r="D177" s="85" t="s">
        <v>129</v>
      </c>
      <c r="E177" s="401">
        <v>1902125</v>
      </c>
    </row>
    <row r="178" spans="1:5" x14ac:dyDescent="0.25">
      <c r="A178" s="400">
        <v>2029</v>
      </c>
      <c r="B178" s="85" t="s">
        <v>14</v>
      </c>
      <c r="C178" s="85" t="s">
        <v>8</v>
      </c>
      <c r="D178" s="85" t="s">
        <v>128</v>
      </c>
      <c r="E178" s="401">
        <v>103470</v>
      </c>
    </row>
    <row r="179" spans="1:5" x14ac:dyDescent="0.25">
      <c r="A179" s="400">
        <v>2029</v>
      </c>
      <c r="B179" s="85" t="s">
        <v>14</v>
      </c>
      <c r="C179" s="85" t="s">
        <v>8</v>
      </c>
      <c r="D179" s="85" t="s">
        <v>126</v>
      </c>
      <c r="E179" s="401">
        <v>21096999</v>
      </c>
    </row>
    <row r="180" spans="1:5" x14ac:dyDescent="0.25">
      <c r="A180" s="400">
        <v>2029</v>
      </c>
      <c r="B180" s="85" t="s">
        <v>14</v>
      </c>
      <c r="C180" s="85" t="s">
        <v>8</v>
      </c>
      <c r="D180" s="85" t="s">
        <v>127</v>
      </c>
      <c r="E180" s="401">
        <v>900185</v>
      </c>
    </row>
    <row r="181" spans="1:5" x14ac:dyDescent="0.25">
      <c r="A181" s="400">
        <v>2029</v>
      </c>
      <c r="B181" s="85" t="s">
        <v>14</v>
      </c>
      <c r="C181" s="85" t="s">
        <v>24</v>
      </c>
      <c r="D181" s="85" t="s">
        <v>128</v>
      </c>
      <c r="E181" s="401">
        <v>165551</v>
      </c>
    </row>
    <row r="182" spans="1:5" x14ac:dyDescent="0.25">
      <c r="A182" s="400">
        <v>2029</v>
      </c>
      <c r="B182" s="85" t="s">
        <v>14</v>
      </c>
      <c r="C182" s="85" t="s">
        <v>24</v>
      </c>
      <c r="D182" s="85" t="s">
        <v>126</v>
      </c>
      <c r="E182" s="401">
        <v>1872720</v>
      </c>
    </row>
    <row r="183" spans="1:5" x14ac:dyDescent="0.25">
      <c r="A183" s="400">
        <v>2029</v>
      </c>
      <c r="B183" s="85" t="s">
        <v>14</v>
      </c>
      <c r="C183" s="85" t="s">
        <v>24</v>
      </c>
      <c r="D183" s="85" t="s">
        <v>127</v>
      </c>
      <c r="E183" s="401">
        <v>41388</v>
      </c>
    </row>
    <row r="184" spans="1:5" x14ac:dyDescent="0.25">
      <c r="A184" s="400">
        <v>2029</v>
      </c>
      <c r="B184" s="85" t="s">
        <v>14</v>
      </c>
      <c r="C184" s="85" t="s">
        <v>25</v>
      </c>
      <c r="D184" s="85" t="s">
        <v>129</v>
      </c>
      <c r="E184" s="401">
        <v>4981193</v>
      </c>
    </row>
    <row r="185" spans="1:5" x14ac:dyDescent="0.25">
      <c r="A185" s="400">
        <v>2029</v>
      </c>
      <c r="B185" s="85" t="s">
        <v>14</v>
      </c>
      <c r="C185" s="85" t="s">
        <v>171</v>
      </c>
      <c r="D185" s="85" t="s">
        <v>128</v>
      </c>
      <c r="E185" s="401">
        <v>258674</v>
      </c>
    </row>
    <row r="186" spans="1:5" x14ac:dyDescent="0.25">
      <c r="A186" s="400">
        <v>2029</v>
      </c>
      <c r="B186" s="85" t="s">
        <v>14</v>
      </c>
      <c r="C186" s="85" t="s">
        <v>171</v>
      </c>
      <c r="D186" s="85" t="s">
        <v>126</v>
      </c>
      <c r="E186" s="401">
        <v>520200</v>
      </c>
    </row>
    <row r="187" spans="1:5" x14ac:dyDescent="0.25">
      <c r="A187" s="400">
        <v>2029</v>
      </c>
      <c r="B187" s="85" t="s">
        <v>14</v>
      </c>
      <c r="C187" s="85" t="s">
        <v>171</v>
      </c>
      <c r="D187" s="85" t="s">
        <v>127</v>
      </c>
      <c r="E187" s="401">
        <v>31041</v>
      </c>
    </row>
    <row r="188" spans="1:5" x14ac:dyDescent="0.25">
      <c r="A188" s="400">
        <v>2029</v>
      </c>
      <c r="B188" s="85" t="s">
        <v>15</v>
      </c>
      <c r="C188" s="85" t="s">
        <v>27</v>
      </c>
      <c r="D188" s="85" t="s">
        <v>128</v>
      </c>
      <c r="E188" s="401">
        <v>0</v>
      </c>
    </row>
    <row r="189" spans="1:5" x14ac:dyDescent="0.25">
      <c r="A189" s="400">
        <v>2029</v>
      </c>
      <c r="B189" s="85" t="s">
        <v>15</v>
      </c>
      <c r="C189" s="85" t="s">
        <v>27</v>
      </c>
      <c r="D189" s="85" t="s">
        <v>126</v>
      </c>
      <c r="E189" s="401">
        <v>3440737</v>
      </c>
    </row>
    <row r="190" spans="1:5" x14ac:dyDescent="0.25">
      <c r="A190" s="400">
        <v>2029</v>
      </c>
      <c r="B190" s="85" t="s">
        <v>15</v>
      </c>
      <c r="C190" s="85" t="s">
        <v>27</v>
      </c>
      <c r="D190" s="85" t="s">
        <v>127</v>
      </c>
      <c r="E190" s="401">
        <v>25867</v>
      </c>
    </row>
    <row r="191" spans="1:5" x14ac:dyDescent="0.25">
      <c r="A191" s="400">
        <v>2029</v>
      </c>
      <c r="B191" s="85" t="s">
        <v>15</v>
      </c>
      <c r="C191" s="85" t="s">
        <v>28</v>
      </c>
      <c r="D191" s="85" t="s">
        <v>129</v>
      </c>
      <c r="E191" s="401">
        <v>285519</v>
      </c>
    </row>
    <row r="192" spans="1:5" x14ac:dyDescent="0.25">
      <c r="A192" s="400">
        <v>2029</v>
      </c>
      <c r="B192" s="85" t="s">
        <v>29</v>
      </c>
      <c r="C192" s="85" t="s">
        <v>177</v>
      </c>
      <c r="D192" s="85" t="s">
        <v>129</v>
      </c>
      <c r="E192" s="401">
        <v>631164</v>
      </c>
    </row>
    <row r="193" spans="1:5" x14ac:dyDescent="0.25">
      <c r="A193" s="400">
        <v>2029</v>
      </c>
      <c r="B193" s="85" t="s">
        <v>29</v>
      </c>
      <c r="C193" s="85" t="s">
        <v>30</v>
      </c>
      <c r="D193" s="85" t="s">
        <v>129</v>
      </c>
      <c r="E193" s="401">
        <v>7970936</v>
      </c>
    </row>
    <row r="194" spans="1:5" x14ac:dyDescent="0.25">
      <c r="A194" s="400">
        <v>2029</v>
      </c>
      <c r="B194" s="85" t="s">
        <v>29</v>
      </c>
      <c r="C194" s="85" t="s">
        <v>32</v>
      </c>
      <c r="D194" s="85" t="s">
        <v>129</v>
      </c>
      <c r="E194" s="401">
        <v>1430985</v>
      </c>
    </row>
    <row r="195" spans="1:5" x14ac:dyDescent="0.25">
      <c r="A195" s="400">
        <v>2029</v>
      </c>
      <c r="B195" s="85" t="s">
        <v>33</v>
      </c>
      <c r="C195" s="85" t="s">
        <v>34</v>
      </c>
      <c r="D195" s="85" t="s">
        <v>129</v>
      </c>
      <c r="E195" s="401">
        <v>3207557</v>
      </c>
    </row>
    <row r="196" spans="1:5" x14ac:dyDescent="0.25">
      <c r="A196" s="400">
        <v>2029</v>
      </c>
      <c r="B196" s="85" t="s">
        <v>33</v>
      </c>
      <c r="C196" s="85" t="s">
        <v>35</v>
      </c>
      <c r="D196" s="85" t="s">
        <v>129</v>
      </c>
      <c r="E196" s="401">
        <v>610471</v>
      </c>
    </row>
    <row r="197" spans="1:5" x14ac:dyDescent="0.25">
      <c r="A197" s="400">
        <v>2029</v>
      </c>
      <c r="B197" s="85" t="s">
        <v>33</v>
      </c>
      <c r="C197" s="85" t="s">
        <v>36</v>
      </c>
      <c r="D197" s="85" t="s">
        <v>129</v>
      </c>
      <c r="E197" s="401">
        <v>856728</v>
      </c>
    </row>
    <row r="198" spans="1:5" x14ac:dyDescent="0.25">
      <c r="A198" s="400">
        <v>2029</v>
      </c>
      <c r="B198" s="85" t="s">
        <v>37</v>
      </c>
      <c r="C198" s="85" t="s">
        <v>38</v>
      </c>
      <c r="D198" s="85" t="s">
        <v>129</v>
      </c>
      <c r="E198" s="401">
        <v>3335032</v>
      </c>
    </row>
    <row r="199" spans="1:5" x14ac:dyDescent="0.25">
      <c r="A199" s="400">
        <v>2029</v>
      </c>
      <c r="B199" s="85" t="s">
        <v>11</v>
      </c>
      <c r="C199" s="85" t="s">
        <v>162</v>
      </c>
      <c r="D199" s="85" t="s">
        <v>128</v>
      </c>
      <c r="E199" s="401">
        <v>2948883</v>
      </c>
    </row>
    <row r="200" spans="1:5" x14ac:dyDescent="0.25">
      <c r="A200" s="400">
        <v>2029</v>
      </c>
      <c r="B200" s="85" t="s">
        <v>11</v>
      </c>
      <c r="C200" s="85" t="s">
        <v>162</v>
      </c>
      <c r="D200" s="85" t="s">
        <v>126</v>
      </c>
      <c r="E200" s="401">
        <v>0</v>
      </c>
    </row>
    <row r="201" spans="1:5" x14ac:dyDescent="0.25">
      <c r="A201" s="400">
        <v>2029</v>
      </c>
      <c r="B201" s="85" t="s">
        <v>11</v>
      </c>
      <c r="C201" s="85" t="s">
        <v>162</v>
      </c>
      <c r="D201" s="85" t="s">
        <v>127</v>
      </c>
      <c r="E201" s="401">
        <v>51735</v>
      </c>
    </row>
    <row r="202" spans="1:5" x14ac:dyDescent="0.25">
      <c r="A202" s="400">
        <v>2029</v>
      </c>
      <c r="B202" s="85" t="s">
        <v>11</v>
      </c>
      <c r="C202" s="85" t="s">
        <v>161</v>
      </c>
      <c r="D202" s="85" t="s">
        <v>128</v>
      </c>
      <c r="E202" s="401">
        <v>543215</v>
      </c>
    </row>
    <row r="203" spans="1:5" x14ac:dyDescent="0.25">
      <c r="A203" s="400">
        <v>2029</v>
      </c>
      <c r="B203" s="85" t="s">
        <v>11</v>
      </c>
      <c r="C203" s="85" t="s">
        <v>161</v>
      </c>
      <c r="D203" s="85" t="s">
        <v>126</v>
      </c>
      <c r="E203" s="401">
        <v>13452372</v>
      </c>
    </row>
    <row r="204" spans="1:5" x14ac:dyDescent="0.25">
      <c r="A204" s="400">
        <v>2029</v>
      </c>
      <c r="B204" s="85" t="s">
        <v>11</v>
      </c>
      <c r="C204" s="85" t="s">
        <v>161</v>
      </c>
      <c r="D204" s="85" t="s">
        <v>127</v>
      </c>
      <c r="E204" s="401">
        <v>517348</v>
      </c>
    </row>
    <row r="205" spans="1:5" x14ac:dyDescent="0.25">
      <c r="A205" s="400">
        <v>2029</v>
      </c>
      <c r="B205" s="85" t="s">
        <v>11</v>
      </c>
      <c r="C205" s="85" t="s">
        <v>333</v>
      </c>
      <c r="D205" s="85" t="s">
        <v>128</v>
      </c>
      <c r="E205" s="401">
        <v>310409</v>
      </c>
    </row>
    <row r="206" spans="1:5" x14ac:dyDescent="0.25">
      <c r="A206" s="400">
        <v>2029</v>
      </c>
      <c r="B206" s="85" t="s">
        <v>11</v>
      </c>
      <c r="C206" s="85" t="s">
        <v>333</v>
      </c>
      <c r="D206" s="85" t="s">
        <v>126</v>
      </c>
      <c r="E206" s="401">
        <v>7985070</v>
      </c>
    </row>
    <row r="207" spans="1:5" x14ac:dyDescent="0.25">
      <c r="A207" s="400">
        <v>2029</v>
      </c>
      <c r="B207" s="85" t="s">
        <v>11</v>
      </c>
      <c r="C207" s="85" t="s">
        <v>333</v>
      </c>
      <c r="D207" s="85" t="s">
        <v>127</v>
      </c>
      <c r="E207" s="401">
        <v>929881</v>
      </c>
    </row>
    <row r="208" spans="1:5" x14ac:dyDescent="0.25">
      <c r="A208" s="400">
        <v>2029</v>
      </c>
      <c r="B208" s="85" t="s">
        <v>11</v>
      </c>
      <c r="C208" s="85" t="s">
        <v>17</v>
      </c>
      <c r="D208" s="85" t="s">
        <v>129</v>
      </c>
      <c r="E208" s="401">
        <v>2663036</v>
      </c>
    </row>
    <row r="209" spans="1:5" x14ac:dyDescent="0.25">
      <c r="A209" s="400">
        <v>2029</v>
      </c>
      <c r="B209" s="85" t="s">
        <v>11</v>
      </c>
      <c r="C209" s="85" t="s">
        <v>130</v>
      </c>
      <c r="D209" s="85" t="s">
        <v>128</v>
      </c>
      <c r="E209" s="401">
        <v>717820</v>
      </c>
    </row>
    <row r="210" spans="1:5" x14ac:dyDescent="0.25">
      <c r="A210" s="400">
        <v>2029</v>
      </c>
      <c r="B210" s="85" t="s">
        <v>11</v>
      </c>
      <c r="C210" s="85" t="s">
        <v>130</v>
      </c>
      <c r="D210" s="85" t="s">
        <v>126</v>
      </c>
      <c r="E210" s="401">
        <v>18805230</v>
      </c>
    </row>
    <row r="211" spans="1:5" x14ac:dyDescent="0.25">
      <c r="A211" s="400">
        <v>2029</v>
      </c>
      <c r="B211" s="85" t="s">
        <v>11</v>
      </c>
      <c r="C211" s="85" t="s">
        <v>130</v>
      </c>
      <c r="D211" s="85" t="s">
        <v>127</v>
      </c>
      <c r="E211" s="401">
        <v>1394822</v>
      </c>
    </row>
    <row r="212" spans="1:5" x14ac:dyDescent="0.25">
      <c r="A212" s="400">
        <v>2029</v>
      </c>
      <c r="B212" s="85" t="s">
        <v>11</v>
      </c>
      <c r="C212" s="85" t="s">
        <v>160</v>
      </c>
      <c r="D212" s="85" t="s">
        <v>128</v>
      </c>
      <c r="E212" s="401">
        <v>646272</v>
      </c>
    </row>
    <row r="213" spans="1:5" x14ac:dyDescent="0.25">
      <c r="A213" s="400">
        <v>2029</v>
      </c>
      <c r="B213" s="85" t="s">
        <v>11</v>
      </c>
      <c r="C213" s="85" t="s">
        <v>160</v>
      </c>
      <c r="D213" s="85" t="s">
        <v>126</v>
      </c>
      <c r="E213" s="401">
        <v>3266180</v>
      </c>
    </row>
    <row r="214" spans="1:5" x14ac:dyDescent="0.25">
      <c r="A214" s="400">
        <v>2029</v>
      </c>
      <c r="B214" s="85" t="s">
        <v>11</v>
      </c>
      <c r="C214" s="85" t="s">
        <v>160</v>
      </c>
      <c r="D214" s="85" t="s">
        <v>127</v>
      </c>
      <c r="E214" s="401">
        <v>2355795</v>
      </c>
    </row>
    <row r="215" spans="1:5" x14ac:dyDescent="0.25">
      <c r="A215" s="400">
        <v>2029</v>
      </c>
      <c r="B215" s="85" t="s">
        <v>11</v>
      </c>
      <c r="C215" s="85" t="s">
        <v>159</v>
      </c>
      <c r="D215" s="85" t="s">
        <v>128</v>
      </c>
      <c r="E215" s="401">
        <v>1003655</v>
      </c>
    </row>
    <row r="216" spans="1:5" x14ac:dyDescent="0.25">
      <c r="A216" s="400">
        <v>2029</v>
      </c>
      <c r="B216" s="85" t="s">
        <v>11</v>
      </c>
      <c r="C216" s="85" t="s">
        <v>159</v>
      </c>
      <c r="D216" s="85" t="s">
        <v>126</v>
      </c>
      <c r="E216" s="401">
        <v>20047996</v>
      </c>
    </row>
    <row r="217" spans="1:5" x14ac:dyDescent="0.25">
      <c r="A217" s="400">
        <v>2029</v>
      </c>
      <c r="B217" s="85" t="s">
        <v>11</v>
      </c>
      <c r="C217" s="85" t="s">
        <v>159</v>
      </c>
      <c r="D217" s="85" t="s">
        <v>127</v>
      </c>
      <c r="E217" s="401">
        <v>915706</v>
      </c>
    </row>
    <row r="218" spans="1:5" x14ac:dyDescent="0.25">
      <c r="A218" s="400">
        <v>2030</v>
      </c>
      <c r="B218" s="85" t="s">
        <v>13</v>
      </c>
      <c r="C218" s="85" t="s">
        <v>166</v>
      </c>
      <c r="D218" s="85" t="s">
        <v>128</v>
      </c>
      <c r="E218" s="401">
        <v>238564</v>
      </c>
    </row>
    <row r="219" spans="1:5" x14ac:dyDescent="0.25">
      <c r="A219" s="400">
        <v>2030</v>
      </c>
      <c r="B219" s="85" t="s">
        <v>13</v>
      </c>
      <c r="C219" s="85" t="s">
        <v>166</v>
      </c>
      <c r="D219" s="85" t="s">
        <v>126</v>
      </c>
      <c r="E219" s="401">
        <v>452477</v>
      </c>
    </row>
    <row r="220" spans="1:5" x14ac:dyDescent="0.25">
      <c r="A220" s="400">
        <v>2030</v>
      </c>
      <c r="B220" s="85" t="s">
        <v>13</v>
      </c>
      <c r="C220" s="85" t="s">
        <v>166</v>
      </c>
      <c r="D220" s="85" t="s">
        <v>127</v>
      </c>
      <c r="E220" s="401">
        <v>105250</v>
      </c>
    </row>
    <row r="221" spans="1:5" x14ac:dyDescent="0.25">
      <c r="A221" s="400">
        <v>2030</v>
      </c>
      <c r="B221" s="85" t="s">
        <v>13</v>
      </c>
      <c r="C221" s="85" t="s">
        <v>164</v>
      </c>
      <c r="D221" s="85" t="s">
        <v>128</v>
      </c>
      <c r="E221" s="401">
        <v>691067</v>
      </c>
    </row>
    <row r="222" spans="1:5" x14ac:dyDescent="0.25">
      <c r="A222" s="400">
        <v>2030</v>
      </c>
      <c r="B222" s="85" t="s">
        <v>13</v>
      </c>
      <c r="C222" s="85" t="s">
        <v>164</v>
      </c>
      <c r="D222" s="85" t="s">
        <v>126</v>
      </c>
      <c r="E222" s="401">
        <v>12756070</v>
      </c>
    </row>
    <row r="223" spans="1:5" x14ac:dyDescent="0.25">
      <c r="A223" s="400">
        <v>2030</v>
      </c>
      <c r="B223" s="85" t="s">
        <v>13</v>
      </c>
      <c r="C223" s="85" t="s">
        <v>164</v>
      </c>
      <c r="D223" s="85" t="s">
        <v>127</v>
      </c>
      <c r="E223" s="401">
        <v>433101</v>
      </c>
    </row>
    <row r="224" spans="1:5" x14ac:dyDescent="0.25">
      <c r="A224" s="400">
        <v>2030</v>
      </c>
      <c r="B224" s="85" t="s">
        <v>13</v>
      </c>
      <c r="C224" s="85" t="s">
        <v>163</v>
      </c>
      <c r="D224" s="85" t="s">
        <v>128</v>
      </c>
      <c r="E224" s="401">
        <v>614445</v>
      </c>
    </row>
    <row r="225" spans="1:5" x14ac:dyDescent="0.25">
      <c r="A225" s="400">
        <v>2030</v>
      </c>
      <c r="B225" s="85" t="s">
        <v>13</v>
      </c>
      <c r="C225" s="85" t="s">
        <v>163</v>
      </c>
      <c r="D225" s="85" t="s">
        <v>126</v>
      </c>
      <c r="E225" s="401">
        <v>5320426</v>
      </c>
    </row>
    <row r="226" spans="1:5" x14ac:dyDescent="0.25">
      <c r="A226" s="400">
        <v>2030</v>
      </c>
      <c r="B226" s="85" t="s">
        <v>13</v>
      </c>
      <c r="C226" s="85" t="s">
        <v>163</v>
      </c>
      <c r="D226" s="85" t="s">
        <v>127</v>
      </c>
      <c r="E226" s="401">
        <v>487830</v>
      </c>
    </row>
    <row r="227" spans="1:5" x14ac:dyDescent="0.25">
      <c r="A227" s="400">
        <v>2030</v>
      </c>
      <c r="B227" s="85" t="s">
        <v>13</v>
      </c>
      <c r="C227" s="85" t="s">
        <v>165</v>
      </c>
      <c r="D227" s="85" t="s">
        <v>128</v>
      </c>
      <c r="E227" s="401">
        <v>1241120</v>
      </c>
    </row>
    <row r="228" spans="1:5" x14ac:dyDescent="0.25">
      <c r="A228" s="400">
        <v>2030</v>
      </c>
      <c r="B228" s="85" t="s">
        <v>13</v>
      </c>
      <c r="C228" s="85" t="s">
        <v>165</v>
      </c>
      <c r="D228" s="85" t="s">
        <v>126</v>
      </c>
      <c r="E228" s="401">
        <v>2980583</v>
      </c>
    </row>
    <row r="229" spans="1:5" x14ac:dyDescent="0.25">
      <c r="A229" s="400">
        <v>2030</v>
      </c>
      <c r="B229" s="85" t="s">
        <v>13</v>
      </c>
      <c r="C229" s="85" t="s">
        <v>165</v>
      </c>
      <c r="D229" s="85" t="s">
        <v>127</v>
      </c>
      <c r="E229" s="401">
        <v>386791</v>
      </c>
    </row>
    <row r="230" spans="1:5" x14ac:dyDescent="0.25">
      <c r="A230" s="400">
        <v>2030</v>
      </c>
      <c r="B230" s="85" t="s">
        <v>13</v>
      </c>
      <c r="C230" s="85" t="s">
        <v>9</v>
      </c>
      <c r="D230" s="85" t="s">
        <v>128</v>
      </c>
      <c r="E230" s="401">
        <v>421260</v>
      </c>
    </row>
    <row r="231" spans="1:5" x14ac:dyDescent="0.25">
      <c r="A231" s="400">
        <v>2030</v>
      </c>
      <c r="B231" s="85" t="s">
        <v>13</v>
      </c>
      <c r="C231" s="85" t="s">
        <v>9</v>
      </c>
      <c r="D231" s="85" t="s">
        <v>126</v>
      </c>
      <c r="E231" s="401">
        <v>19689958</v>
      </c>
    </row>
    <row r="232" spans="1:5" x14ac:dyDescent="0.25">
      <c r="A232" s="400">
        <v>2030</v>
      </c>
      <c r="B232" s="85" t="s">
        <v>13</v>
      </c>
      <c r="C232" s="85" t="s">
        <v>9</v>
      </c>
      <c r="D232" s="85" t="s">
        <v>127</v>
      </c>
      <c r="E232" s="401">
        <v>673069</v>
      </c>
    </row>
    <row r="233" spans="1:5" x14ac:dyDescent="0.25">
      <c r="A233" s="400">
        <v>2030</v>
      </c>
      <c r="B233" s="85" t="s">
        <v>13</v>
      </c>
      <c r="C233" s="85" t="s">
        <v>18</v>
      </c>
      <c r="D233" s="85" t="s">
        <v>128</v>
      </c>
      <c r="E233" s="401">
        <v>168399</v>
      </c>
    </row>
    <row r="234" spans="1:5" x14ac:dyDescent="0.25">
      <c r="A234" s="400">
        <v>2030</v>
      </c>
      <c r="B234" s="85" t="s">
        <v>13</v>
      </c>
      <c r="C234" s="85" t="s">
        <v>18</v>
      </c>
      <c r="D234" s="85" t="s">
        <v>126</v>
      </c>
      <c r="E234" s="401">
        <v>1910174</v>
      </c>
    </row>
    <row r="235" spans="1:5" x14ac:dyDescent="0.25">
      <c r="A235" s="400">
        <v>2030</v>
      </c>
      <c r="B235" s="85" t="s">
        <v>13</v>
      </c>
      <c r="C235" s="85" t="s">
        <v>18</v>
      </c>
      <c r="D235" s="85" t="s">
        <v>127</v>
      </c>
      <c r="E235" s="401">
        <v>42100</v>
      </c>
    </row>
    <row r="236" spans="1:5" x14ac:dyDescent="0.25">
      <c r="A236" s="400">
        <v>2030</v>
      </c>
      <c r="B236" s="85" t="s">
        <v>13</v>
      </c>
      <c r="C236" s="85" t="s">
        <v>167</v>
      </c>
      <c r="D236" s="85" t="s">
        <v>128</v>
      </c>
      <c r="E236" s="401">
        <v>75352</v>
      </c>
    </row>
    <row r="237" spans="1:5" x14ac:dyDescent="0.25">
      <c r="A237" s="400">
        <v>2030</v>
      </c>
      <c r="B237" s="85" t="s">
        <v>13</v>
      </c>
      <c r="C237" s="85" t="s">
        <v>167</v>
      </c>
      <c r="D237" s="85" t="s">
        <v>126</v>
      </c>
      <c r="E237" s="401">
        <v>427856</v>
      </c>
    </row>
    <row r="238" spans="1:5" x14ac:dyDescent="0.25">
      <c r="A238" s="400">
        <v>2030</v>
      </c>
      <c r="B238" s="85" t="s">
        <v>13</v>
      </c>
      <c r="C238" s="85" t="s">
        <v>167</v>
      </c>
      <c r="D238" s="85" t="s">
        <v>127</v>
      </c>
      <c r="E238" s="401">
        <v>78937</v>
      </c>
    </row>
    <row r="239" spans="1:5" x14ac:dyDescent="0.25">
      <c r="A239" s="400">
        <v>2030</v>
      </c>
      <c r="B239" s="85" t="s">
        <v>13</v>
      </c>
      <c r="C239" s="85" t="s">
        <v>19</v>
      </c>
      <c r="D239" s="85" t="s">
        <v>129</v>
      </c>
      <c r="E239" s="401">
        <v>5817283</v>
      </c>
    </row>
    <row r="240" spans="1:5" x14ac:dyDescent="0.25">
      <c r="A240" s="400">
        <v>2030</v>
      </c>
      <c r="B240" s="85" t="s">
        <v>13</v>
      </c>
      <c r="C240" s="85" t="s">
        <v>168</v>
      </c>
      <c r="D240" s="85" t="s">
        <v>128</v>
      </c>
      <c r="E240" s="401">
        <v>263123</v>
      </c>
    </row>
    <row r="241" spans="1:5" x14ac:dyDescent="0.25">
      <c r="A241" s="400">
        <v>2030</v>
      </c>
      <c r="B241" s="85" t="s">
        <v>13</v>
      </c>
      <c r="C241" s="85" t="s">
        <v>168</v>
      </c>
      <c r="D241" s="85" t="s">
        <v>126</v>
      </c>
      <c r="E241" s="401">
        <v>530604</v>
      </c>
    </row>
    <row r="242" spans="1:5" x14ac:dyDescent="0.25">
      <c r="A242" s="400">
        <v>2030</v>
      </c>
      <c r="B242" s="85" t="s">
        <v>13</v>
      </c>
      <c r="C242" s="85" t="s">
        <v>168</v>
      </c>
      <c r="D242" s="85" t="s">
        <v>127</v>
      </c>
      <c r="E242" s="401">
        <v>31575</v>
      </c>
    </row>
    <row r="243" spans="1:5" x14ac:dyDescent="0.25">
      <c r="A243" s="400">
        <v>2030</v>
      </c>
      <c r="B243" s="85" t="s">
        <v>12</v>
      </c>
      <c r="C243" s="85" t="s">
        <v>21</v>
      </c>
      <c r="D243" s="85" t="s">
        <v>128</v>
      </c>
      <c r="E243" s="401">
        <v>315748</v>
      </c>
    </row>
    <row r="244" spans="1:5" x14ac:dyDescent="0.25">
      <c r="A244" s="400">
        <v>2030</v>
      </c>
      <c r="B244" s="85" t="s">
        <v>12</v>
      </c>
      <c r="C244" s="85" t="s">
        <v>21</v>
      </c>
      <c r="D244" s="85" t="s">
        <v>126</v>
      </c>
      <c r="E244" s="401">
        <v>9302589</v>
      </c>
    </row>
    <row r="245" spans="1:5" x14ac:dyDescent="0.25">
      <c r="A245" s="400">
        <v>2030</v>
      </c>
      <c r="B245" s="85" t="s">
        <v>12</v>
      </c>
      <c r="C245" s="85" t="s">
        <v>21</v>
      </c>
      <c r="D245" s="85" t="s">
        <v>127</v>
      </c>
      <c r="E245" s="401">
        <v>1199842</v>
      </c>
    </row>
    <row r="246" spans="1:5" x14ac:dyDescent="0.25">
      <c r="A246" s="400">
        <v>2030</v>
      </c>
      <c r="B246" s="85" t="s">
        <v>12</v>
      </c>
      <c r="C246" s="85" t="s">
        <v>22</v>
      </c>
      <c r="D246" s="85" t="s">
        <v>128</v>
      </c>
      <c r="E246" s="401">
        <v>2390399</v>
      </c>
    </row>
    <row r="247" spans="1:5" x14ac:dyDescent="0.25">
      <c r="A247" s="400">
        <v>2030</v>
      </c>
      <c r="B247" s="85" t="s">
        <v>12</v>
      </c>
      <c r="C247" s="85" t="s">
        <v>22</v>
      </c>
      <c r="D247" s="85" t="s">
        <v>126</v>
      </c>
      <c r="E247" s="401">
        <v>18400631</v>
      </c>
    </row>
    <row r="248" spans="1:5" x14ac:dyDescent="0.25">
      <c r="A248" s="400">
        <v>2030</v>
      </c>
      <c r="B248" s="85" t="s">
        <v>12</v>
      </c>
      <c r="C248" s="85" t="s">
        <v>22</v>
      </c>
      <c r="D248" s="85" t="s">
        <v>127</v>
      </c>
      <c r="E248" s="401">
        <v>2112773</v>
      </c>
    </row>
    <row r="249" spans="1:5" x14ac:dyDescent="0.25">
      <c r="A249" s="400">
        <v>2030</v>
      </c>
      <c r="B249" s="85" t="s">
        <v>12</v>
      </c>
      <c r="C249" s="85" t="s">
        <v>23</v>
      </c>
      <c r="D249" s="85" t="s">
        <v>129</v>
      </c>
      <c r="E249" s="401">
        <v>1934841</v>
      </c>
    </row>
    <row r="250" spans="1:5" x14ac:dyDescent="0.25">
      <c r="A250" s="400">
        <v>2030</v>
      </c>
      <c r="B250" s="85" t="s">
        <v>14</v>
      </c>
      <c r="C250" s="85" t="s">
        <v>8</v>
      </c>
      <c r="D250" s="85" t="s">
        <v>128</v>
      </c>
      <c r="E250" s="401">
        <v>105249</v>
      </c>
    </row>
    <row r="251" spans="1:5" x14ac:dyDescent="0.25">
      <c r="A251" s="400">
        <v>2030</v>
      </c>
      <c r="B251" s="85" t="s">
        <v>14</v>
      </c>
      <c r="C251" s="85" t="s">
        <v>8</v>
      </c>
      <c r="D251" s="85" t="s">
        <v>126</v>
      </c>
      <c r="E251" s="401">
        <v>22410897</v>
      </c>
    </row>
    <row r="252" spans="1:5" x14ac:dyDescent="0.25">
      <c r="A252" s="400">
        <v>2030</v>
      </c>
      <c r="B252" s="85" t="s">
        <v>14</v>
      </c>
      <c r="C252" s="85" t="s">
        <v>8</v>
      </c>
      <c r="D252" s="85" t="s">
        <v>127</v>
      </c>
      <c r="E252" s="401">
        <v>915670</v>
      </c>
    </row>
    <row r="253" spans="1:5" x14ac:dyDescent="0.25">
      <c r="A253" s="400">
        <v>2030</v>
      </c>
      <c r="B253" s="85" t="s">
        <v>14</v>
      </c>
      <c r="C253" s="85" t="s">
        <v>24</v>
      </c>
      <c r="D253" s="85" t="s">
        <v>128</v>
      </c>
      <c r="E253" s="401">
        <v>168399</v>
      </c>
    </row>
    <row r="254" spans="1:5" x14ac:dyDescent="0.25">
      <c r="A254" s="400">
        <v>2030</v>
      </c>
      <c r="B254" s="85" t="s">
        <v>14</v>
      </c>
      <c r="C254" s="85" t="s">
        <v>24</v>
      </c>
      <c r="D254" s="85" t="s">
        <v>126</v>
      </c>
      <c r="E254" s="401">
        <v>1910174</v>
      </c>
    </row>
    <row r="255" spans="1:5" x14ac:dyDescent="0.25">
      <c r="A255" s="400">
        <v>2030</v>
      </c>
      <c r="B255" s="85" t="s">
        <v>14</v>
      </c>
      <c r="C255" s="85" t="s">
        <v>24</v>
      </c>
      <c r="D255" s="85" t="s">
        <v>127</v>
      </c>
      <c r="E255" s="401">
        <v>42100</v>
      </c>
    </row>
    <row r="256" spans="1:5" x14ac:dyDescent="0.25">
      <c r="A256" s="400">
        <v>2030</v>
      </c>
      <c r="B256" s="85" t="s">
        <v>14</v>
      </c>
      <c r="C256" s="85" t="s">
        <v>25</v>
      </c>
      <c r="D256" s="85" t="s">
        <v>129</v>
      </c>
      <c r="E256" s="401">
        <v>5066870</v>
      </c>
    </row>
    <row r="257" spans="1:5" x14ac:dyDescent="0.25">
      <c r="A257" s="400">
        <v>2030</v>
      </c>
      <c r="B257" s="85" t="s">
        <v>14</v>
      </c>
      <c r="C257" s="85" t="s">
        <v>171</v>
      </c>
      <c r="D257" s="85" t="s">
        <v>128</v>
      </c>
      <c r="E257" s="401">
        <v>263123</v>
      </c>
    </row>
    <row r="258" spans="1:5" x14ac:dyDescent="0.25">
      <c r="A258" s="400">
        <v>2030</v>
      </c>
      <c r="B258" s="85" t="s">
        <v>14</v>
      </c>
      <c r="C258" s="85" t="s">
        <v>171</v>
      </c>
      <c r="D258" s="85" t="s">
        <v>126</v>
      </c>
      <c r="E258" s="401">
        <v>530604</v>
      </c>
    </row>
    <row r="259" spans="1:5" x14ac:dyDescent="0.25">
      <c r="A259" s="400">
        <v>2030</v>
      </c>
      <c r="B259" s="85" t="s">
        <v>14</v>
      </c>
      <c r="C259" s="85" t="s">
        <v>171</v>
      </c>
      <c r="D259" s="85" t="s">
        <v>127</v>
      </c>
      <c r="E259" s="401">
        <v>31575</v>
      </c>
    </row>
    <row r="260" spans="1:5" x14ac:dyDescent="0.25">
      <c r="A260" s="400">
        <v>2030</v>
      </c>
      <c r="B260" s="85" t="s">
        <v>15</v>
      </c>
      <c r="C260" s="85" t="s">
        <v>27</v>
      </c>
      <c r="D260" s="85" t="s">
        <v>128</v>
      </c>
      <c r="E260" s="401">
        <v>0</v>
      </c>
    </row>
    <row r="261" spans="1:5" x14ac:dyDescent="0.25">
      <c r="A261" s="400">
        <v>2030</v>
      </c>
      <c r="B261" s="85" t="s">
        <v>15</v>
      </c>
      <c r="C261" s="85" t="s">
        <v>27</v>
      </c>
      <c r="D261" s="85" t="s">
        <v>126</v>
      </c>
      <c r="E261" s="401">
        <v>3579743</v>
      </c>
    </row>
    <row r="262" spans="1:5" x14ac:dyDescent="0.25">
      <c r="A262" s="400">
        <v>2030</v>
      </c>
      <c r="B262" s="85" t="s">
        <v>15</v>
      </c>
      <c r="C262" s="85" t="s">
        <v>27</v>
      </c>
      <c r="D262" s="85" t="s">
        <v>127</v>
      </c>
      <c r="E262" s="401">
        <v>26312</v>
      </c>
    </row>
    <row r="263" spans="1:5" x14ac:dyDescent="0.25">
      <c r="A263" s="400">
        <v>2030</v>
      </c>
      <c r="B263" s="85" t="s">
        <v>15</v>
      </c>
      <c r="C263" s="85" t="s">
        <v>28</v>
      </c>
      <c r="D263" s="85" t="s">
        <v>129</v>
      </c>
      <c r="E263" s="401">
        <v>290430</v>
      </c>
    </row>
    <row r="264" spans="1:5" x14ac:dyDescent="0.25">
      <c r="A264" s="400">
        <v>2030</v>
      </c>
      <c r="B264" s="85" t="s">
        <v>29</v>
      </c>
      <c r="C264" s="85" t="s">
        <v>177</v>
      </c>
      <c r="D264" s="85" t="s">
        <v>129</v>
      </c>
      <c r="E264" s="401">
        <v>642020</v>
      </c>
    </row>
    <row r="265" spans="1:5" x14ac:dyDescent="0.25">
      <c r="A265" s="400">
        <v>2030</v>
      </c>
      <c r="B265" s="85" t="s">
        <v>29</v>
      </c>
      <c r="C265" s="85" t="s">
        <v>30</v>
      </c>
      <c r="D265" s="85" t="s">
        <v>129</v>
      </c>
      <c r="E265" s="401">
        <v>8108038</v>
      </c>
    </row>
    <row r="266" spans="1:5" x14ac:dyDescent="0.25">
      <c r="A266" s="400">
        <v>2030</v>
      </c>
      <c r="B266" s="85" t="s">
        <v>29</v>
      </c>
      <c r="C266" s="85" t="s">
        <v>32</v>
      </c>
      <c r="D266" s="85" t="s">
        <v>129</v>
      </c>
      <c r="E266" s="401">
        <v>1455596</v>
      </c>
    </row>
    <row r="267" spans="1:5" x14ac:dyDescent="0.25">
      <c r="A267" s="400">
        <v>2030</v>
      </c>
      <c r="B267" s="85" t="s">
        <v>33</v>
      </c>
      <c r="C267" s="85" t="s">
        <v>34</v>
      </c>
      <c r="D267" s="85" t="s">
        <v>129</v>
      </c>
      <c r="E267" s="401">
        <v>3262727</v>
      </c>
    </row>
    <row r="268" spans="1:5" x14ac:dyDescent="0.25">
      <c r="A268" s="400">
        <v>2030</v>
      </c>
      <c r="B268" s="85" t="s">
        <v>33</v>
      </c>
      <c r="C268" s="85" t="s">
        <v>35</v>
      </c>
      <c r="D268" s="85" t="s">
        <v>129</v>
      </c>
      <c r="E268" s="401">
        <v>620971</v>
      </c>
    </row>
    <row r="269" spans="1:5" x14ac:dyDescent="0.25">
      <c r="A269" s="400">
        <v>2030</v>
      </c>
      <c r="B269" s="85" t="s">
        <v>33</v>
      </c>
      <c r="C269" s="85" t="s">
        <v>36</v>
      </c>
      <c r="D269" s="85" t="s">
        <v>129</v>
      </c>
      <c r="E269" s="401">
        <v>871464</v>
      </c>
    </row>
    <row r="270" spans="1:5" x14ac:dyDescent="0.25">
      <c r="A270" s="400">
        <v>2030</v>
      </c>
      <c r="B270" s="85" t="s">
        <v>37</v>
      </c>
      <c r="C270" s="85" t="s">
        <v>38</v>
      </c>
      <c r="D270" s="85" t="s">
        <v>129</v>
      </c>
      <c r="E270" s="401">
        <v>3392393</v>
      </c>
    </row>
    <row r="271" spans="1:5" x14ac:dyDescent="0.25">
      <c r="A271" s="400">
        <v>2030</v>
      </c>
      <c r="B271" s="85" t="s">
        <v>11</v>
      </c>
      <c r="C271" s="85" t="s">
        <v>162</v>
      </c>
      <c r="D271" s="85" t="s">
        <v>128</v>
      </c>
      <c r="E271" s="401">
        <v>3315352</v>
      </c>
    </row>
    <row r="272" spans="1:5" x14ac:dyDescent="0.25">
      <c r="A272" s="400">
        <v>2030</v>
      </c>
      <c r="B272" s="85" t="s">
        <v>11</v>
      </c>
      <c r="C272" s="85" t="s">
        <v>162</v>
      </c>
      <c r="D272" s="85" t="s">
        <v>126</v>
      </c>
      <c r="E272" s="401">
        <v>0</v>
      </c>
    </row>
    <row r="273" spans="1:5" x14ac:dyDescent="0.25">
      <c r="A273" s="400">
        <v>2030</v>
      </c>
      <c r="B273" s="85" t="s">
        <v>11</v>
      </c>
      <c r="C273" s="85" t="s">
        <v>162</v>
      </c>
      <c r="D273" s="85" t="s">
        <v>127</v>
      </c>
      <c r="E273" s="401">
        <v>52625</v>
      </c>
    </row>
    <row r="274" spans="1:5" x14ac:dyDescent="0.25">
      <c r="A274" s="400">
        <v>2030</v>
      </c>
      <c r="B274" s="85" t="s">
        <v>11</v>
      </c>
      <c r="C274" s="85" t="s">
        <v>161</v>
      </c>
      <c r="D274" s="85" t="s">
        <v>128</v>
      </c>
      <c r="E274" s="401">
        <v>605183</v>
      </c>
    </row>
    <row r="275" spans="1:5" x14ac:dyDescent="0.25">
      <c r="A275" s="400">
        <v>2030</v>
      </c>
      <c r="B275" s="85" t="s">
        <v>11</v>
      </c>
      <c r="C275" s="85" t="s">
        <v>161</v>
      </c>
      <c r="D275" s="85" t="s">
        <v>126</v>
      </c>
      <c r="E275" s="401">
        <v>15196499</v>
      </c>
    </row>
    <row r="276" spans="1:5" x14ac:dyDescent="0.25">
      <c r="A276" s="400">
        <v>2030</v>
      </c>
      <c r="B276" s="85" t="s">
        <v>11</v>
      </c>
      <c r="C276" s="85" t="s">
        <v>161</v>
      </c>
      <c r="D276" s="85" t="s">
        <v>127</v>
      </c>
      <c r="E276" s="401">
        <v>526246</v>
      </c>
    </row>
    <row r="277" spans="1:5" x14ac:dyDescent="0.25">
      <c r="A277" s="400">
        <v>2030</v>
      </c>
      <c r="B277" s="85" t="s">
        <v>11</v>
      </c>
      <c r="C277" s="85" t="s">
        <v>333</v>
      </c>
      <c r="D277" s="85" t="s">
        <v>128</v>
      </c>
      <c r="E277" s="401">
        <v>315748</v>
      </c>
    </row>
    <row r="278" spans="1:5" x14ac:dyDescent="0.25">
      <c r="A278" s="400">
        <v>2030</v>
      </c>
      <c r="B278" s="85" t="s">
        <v>11</v>
      </c>
      <c r="C278" s="85" t="s">
        <v>333</v>
      </c>
      <c r="D278" s="85" t="s">
        <v>126</v>
      </c>
      <c r="E278" s="401">
        <v>8150077</v>
      </c>
    </row>
    <row r="279" spans="1:5" x14ac:dyDescent="0.25">
      <c r="A279" s="400">
        <v>2030</v>
      </c>
      <c r="B279" s="85" t="s">
        <v>11</v>
      </c>
      <c r="C279" s="85" t="s">
        <v>333</v>
      </c>
      <c r="D279" s="85" t="s">
        <v>127</v>
      </c>
      <c r="E279" s="401">
        <v>987785</v>
      </c>
    </row>
    <row r="280" spans="1:5" x14ac:dyDescent="0.25">
      <c r="A280" s="400">
        <v>2030</v>
      </c>
      <c r="B280" s="85" t="s">
        <v>11</v>
      </c>
      <c r="C280" s="85" t="s">
        <v>17</v>
      </c>
      <c r="D280" s="85" t="s">
        <v>129</v>
      </c>
      <c r="E280" s="401">
        <v>2708841</v>
      </c>
    </row>
    <row r="281" spans="1:5" x14ac:dyDescent="0.25">
      <c r="A281" s="400">
        <v>2030</v>
      </c>
      <c r="B281" s="85" t="s">
        <v>11</v>
      </c>
      <c r="C281" s="85" t="s">
        <v>130</v>
      </c>
      <c r="D281" s="85" t="s">
        <v>128</v>
      </c>
      <c r="E281" s="401">
        <v>738061</v>
      </c>
    </row>
    <row r="282" spans="1:5" x14ac:dyDescent="0.25">
      <c r="A282" s="400">
        <v>2030</v>
      </c>
      <c r="B282" s="85" t="s">
        <v>11</v>
      </c>
      <c r="C282" s="85" t="s">
        <v>130</v>
      </c>
      <c r="D282" s="85" t="s">
        <v>126</v>
      </c>
      <c r="E282" s="401">
        <v>20300909</v>
      </c>
    </row>
    <row r="283" spans="1:5" x14ac:dyDescent="0.25">
      <c r="A283" s="400">
        <v>2030</v>
      </c>
      <c r="B283" s="85" t="s">
        <v>11</v>
      </c>
      <c r="C283" s="85" t="s">
        <v>130</v>
      </c>
      <c r="D283" s="85" t="s">
        <v>127</v>
      </c>
      <c r="E283" s="401">
        <v>1481678</v>
      </c>
    </row>
    <row r="284" spans="1:5" x14ac:dyDescent="0.25">
      <c r="A284" s="400">
        <v>2030</v>
      </c>
      <c r="B284" s="85" t="s">
        <v>11</v>
      </c>
      <c r="C284" s="85" t="s">
        <v>160</v>
      </c>
      <c r="D284" s="85" t="s">
        <v>128</v>
      </c>
      <c r="E284" s="401">
        <v>657379</v>
      </c>
    </row>
    <row r="285" spans="1:5" x14ac:dyDescent="0.25">
      <c r="A285" s="400">
        <v>2030</v>
      </c>
      <c r="B285" s="85" t="s">
        <v>11</v>
      </c>
      <c r="C285" s="85" t="s">
        <v>160</v>
      </c>
      <c r="D285" s="85" t="s">
        <v>126</v>
      </c>
      <c r="E285" s="401">
        <v>3369229</v>
      </c>
    </row>
    <row r="286" spans="1:5" x14ac:dyDescent="0.25">
      <c r="A286" s="400">
        <v>2030</v>
      </c>
      <c r="B286" s="85" t="s">
        <v>11</v>
      </c>
      <c r="C286" s="85" t="s">
        <v>160</v>
      </c>
      <c r="D286" s="85" t="s">
        <v>127</v>
      </c>
      <c r="E286" s="401">
        <v>2371055</v>
      </c>
    </row>
    <row r="287" spans="1:5" x14ac:dyDescent="0.25">
      <c r="A287" s="400">
        <v>2030</v>
      </c>
      <c r="B287" s="85" t="s">
        <v>11</v>
      </c>
      <c r="C287" s="85" t="s">
        <v>159</v>
      </c>
      <c r="D287" s="85" t="s">
        <v>128</v>
      </c>
      <c r="E287" s="401">
        <v>960400</v>
      </c>
    </row>
    <row r="288" spans="1:5" x14ac:dyDescent="0.25">
      <c r="A288" s="400">
        <v>2030</v>
      </c>
      <c r="B288" s="85" t="s">
        <v>11</v>
      </c>
      <c r="C288" s="85" t="s">
        <v>159</v>
      </c>
      <c r="D288" s="85" t="s">
        <v>126</v>
      </c>
      <c r="E288" s="401">
        <v>19015035</v>
      </c>
    </row>
    <row r="289" spans="1:5" x14ac:dyDescent="0.25">
      <c r="A289" s="400">
        <v>2030</v>
      </c>
      <c r="B289" s="85" t="s">
        <v>11</v>
      </c>
      <c r="C289" s="85" t="s">
        <v>159</v>
      </c>
      <c r="D289" s="85" t="s">
        <v>127</v>
      </c>
      <c r="E289" s="401">
        <v>784107</v>
      </c>
    </row>
  </sheetData>
  <autoFilter ref="A1:E289" xr:uid="{984EE8DA-01E0-40ED-9F71-1EFFEB6D7FF5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9474F-5F52-42D2-A2CC-198C6ADFC9E8}">
  <sheetPr codeName="Sheet2"/>
  <dimension ref="A1:X167"/>
  <sheetViews>
    <sheetView showGridLines="0" zoomScaleNormal="100" workbookViewId="0"/>
  </sheetViews>
  <sheetFormatPr defaultRowHeight="12.75" x14ac:dyDescent="0.25"/>
  <cols>
    <col min="1" max="1" width="7.140625" style="156" customWidth="1"/>
    <col min="2" max="2" width="16.7109375" style="247" customWidth="1"/>
    <col min="3" max="3" width="41.140625" style="247" customWidth="1"/>
    <col min="4" max="4" width="36.85546875" style="247" customWidth="1"/>
    <col min="5" max="5" width="12.7109375" style="156" customWidth="1"/>
    <col min="6" max="6" width="14.7109375" style="250" customWidth="1"/>
    <col min="7" max="16" width="15.7109375" style="251" customWidth="1"/>
    <col min="17" max="17" width="12.7109375" style="156" customWidth="1"/>
    <col min="18" max="24" width="14.7109375" style="190" customWidth="1"/>
    <col min="25" max="16384" width="9.140625" style="136"/>
  </cols>
  <sheetData>
    <row r="1" spans="1:24" customFormat="1" ht="15" x14ac:dyDescent="0.25"/>
    <row r="2" spans="1:24" s="254" customFormat="1" ht="15" x14ac:dyDescent="0.25">
      <c r="A2" s="252"/>
      <c r="B2" s="253"/>
      <c r="C2" s="253"/>
      <c r="D2" s="305" t="s">
        <v>373</v>
      </c>
      <c r="E2" s="308">
        <v>2027</v>
      </c>
      <c r="F2" s="309">
        <f>SUMIFS(Summary[Number of Projects/Units],Summary[Year],$E2)</f>
        <v>231875</v>
      </c>
      <c r="G2" s="309">
        <f>SUMIFS(Summary[Gas Gross Annual Savings (m3) ],Summary[Year],$E2)</f>
        <v>219119822.36651927</v>
      </c>
      <c r="H2" s="309">
        <f>SUMIFS(Summary[Gas Net Annual Savings (m3) ],Summary[Year],$E2)</f>
        <v>126168056.46601328</v>
      </c>
      <c r="I2" s="309">
        <f>SUMIFS(Summary[Electric Annual Gross Savings (kWh) ],Summary[Year],$E2)</f>
        <v>-4818645.1682768986</v>
      </c>
      <c r="J2" s="309">
        <f>SUMIFS(Summary[Electric Annual Net Savings (kWh) ],Summary[Year],$E2)</f>
        <v>-4291320.5529841045</v>
      </c>
      <c r="K2" s="309">
        <f>SUMIFS(Summary[Electric Demand Annual Gross Savings at Summer Peak (kW) ],Summary[Year],$E2)</f>
        <v>7961.1775401851892</v>
      </c>
      <c r="L2" s="309">
        <f>SUMIFS(Summary[Electric Demand Annual Net Savings at Summer Peak (kW) ],Summary[Year],$E2)</f>
        <v>7556.7984025333853</v>
      </c>
      <c r="M2" s="309">
        <f>SUMIFS(Summary[Water Annual Gross Savings (m3) ],Summary[Year],$E2)</f>
        <v>290957.45811358345</v>
      </c>
      <c r="N2" s="309">
        <f>SUMIFS(Summary[Water Annual Net Savings (m3) ],Summary[Year],$E2)</f>
        <v>171819.40601479574</v>
      </c>
      <c r="O2" s="309">
        <f>SUMIFS(Summary[Gas Gross Cumulative Savings (m3)],Summary[Year],$E2)</f>
        <v>3140480992.3356314</v>
      </c>
      <c r="P2" s="309">
        <f>SUMIFS(Summary[Gas Net Cumulative Savings (m3)],Summary[Year],$E2)</f>
        <v>1946071773.2831001</v>
      </c>
      <c r="Q2" s="306"/>
      <c r="R2" s="310">
        <f>SUMIFS(Summary[Incentives],Summary[Year],$E2)</f>
        <v>134785541</v>
      </c>
      <c r="S2" s="310">
        <f>SUMIFS(Summary[Promo],Summary[Year],$E2)</f>
        <v>11965700</v>
      </c>
      <c r="T2" s="310">
        <f>SUMIFS(Summary[Delivery],Summary[Year],$E2)</f>
        <v>11756494</v>
      </c>
      <c r="U2" s="310">
        <f>SUMIFS(Summary[Admin],Summary[Year],$E2)</f>
        <v>32667187</v>
      </c>
      <c r="V2" s="310">
        <f>SUMIFS(Summary[Promo/Delivery Costs ],Summary[Year],$E2)</f>
        <v>23722194</v>
      </c>
      <c r="W2" s="310">
        <f>SUMIFS(Summary[Program Costs (w/o Incentives)],Summary[Year],$E2)</f>
        <v>56389381</v>
      </c>
      <c r="X2" s="310">
        <f>SUMIFS(Summary[Total Cost],Summary[Year],$E2)</f>
        <v>191174922</v>
      </c>
    </row>
    <row r="3" spans="1:24" s="254" customFormat="1" ht="15" x14ac:dyDescent="0.25">
      <c r="A3" s="252"/>
      <c r="B3" s="253"/>
      <c r="C3" s="253"/>
      <c r="D3" s="307"/>
      <c r="E3" s="308">
        <v>2028</v>
      </c>
      <c r="F3" s="309">
        <f>SUMIFS(Summary[Number of Projects/Units],Summary[Year],$E3)</f>
        <v>274719</v>
      </c>
      <c r="G3" s="309">
        <f>SUMIFS(Summary[Gas Gross Annual Savings (m3) ],Summary[Year],$E3)</f>
        <v>240309059.30630171</v>
      </c>
      <c r="H3" s="309">
        <f>SUMIFS(Summary[Gas Net Annual Savings (m3) ],Summary[Year],$E3)</f>
        <v>138296213.28900367</v>
      </c>
      <c r="I3" s="309">
        <f>SUMIFS(Summary[Electric Annual Gross Savings (kWh) ],Summary[Year],$E3)</f>
        <v>-3816498.3998870072</v>
      </c>
      <c r="J3" s="309">
        <f>SUMIFS(Summary[Electric Annual Net Savings (kWh) ],Summary[Year],$E3)</f>
        <v>-3342155.6129059452</v>
      </c>
      <c r="K3" s="309">
        <f>SUMIFS(Summary[Electric Demand Annual Gross Savings at Summer Peak (kW) ],Summary[Year],$E3)</f>
        <v>8607.1200658381567</v>
      </c>
      <c r="L3" s="309">
        <f>SUMIFS(Summary[Electric Demand Annual Net Savings at Summer Peak (kW) ],Summary[Year],$E3)</f>
        <v>8179.8591034733836</v>
      </c>
      <c r="M3" s="309">
        <f>SUMIFS(Summary[Water Annual Gross Savings (m3) ],Summary[Year],$E3)</f>
        <v>329125.18745613401</v>
      </c>
      <c r="N3" s="309">
        <f>SUMIFS(Summary[Water Annual Net Savings (m3) ],Summary[Year],$E3)</f>
        <v>195780.76031252535</v>
      </c>
      <c r="O3" s="309">
        <f>SUMIFS(Summary[Gas Gross Cumulative Savings (m3)],Summary[Year],$E3)</f>
        <v>3416951244.6628537</v>
      </c>
      <c r="P3" s="309">
        <f>SUMIFS(Summary[Gas Net Cumulative Savings (m3)],Summary[Year],$E3)</f>
        <v>2107179375.7834311</v>
      </c>
      <c r="Q3" s="306"/>
      <c r="R3" s="310">
        <f>SUMIFS(Summary[Incentives],Summary[Year],$E3)</f>
        <v>146754892</v>
      </c>
      <c r="S3" s="310">
        <f>SUMIFS(Summary[Promo],Summary[Year],$E3)</f>
        <v>12235695</v>
      </c>
      <c r="T3" s="310">
        <f>SUMIFS(Summary[Delivery],Summary[Year],$E3)</f>
        <v>11995099</v>
      </c>
      <c r="U3" s="310">
        <f>SUMIFS(Summary[Admin],Summary[Year],$E3)</f>
        <v>33025623</v>
      </c>
      <c r="V3" s="310">
        <f>SUMIFS(Summary[Promo/Delivery Costs ],Summary[Year],$E3)</f>
        <v>24230794</v>
      </c>
      <c r="W3" s="310">
        <f>SUMIFS(Summary[Program Costs (w/o Incentives)],Summary[Year],$E3)</f>
        <v>57256417</v>
      </c>
      <c r="X3" s="310">
        <f>SUMIFS(Summary[Total Cost],Summary[Year],$E3)</f>
        <v>204011309</v>
      </c>
    </row>
    <row r="4" spans="1:24" s="254" customFormat="1" ht="15" x14ac:dyDescent="0.25">
      <c r="A4" s="252"/>
      <c r="B4" s="253"/>
      <c r="C4" s="253"/>
      <c r="D4" s="307"/>
      <c r="E4" s="308">
        <v>2029</v>
      </c>
      <c r="F4" s="309">
        <f>SUMIFS(Summary[Number of Projects/Units],Summary[Year],$E4)</f>
        <v>316085</v>
      </c>
      <c r="G4" s="309">
        <f>SUMIFS(Summary[Gas Gross Annual Savings (m3) ],Summary[Year],$E4)</f>
        <v>253401917.53538322</v>
      </c>
      <c r="H4" s="309">
        <f>SUMIFS(Summary[Gas Net Annual Savings (m3) ],Summary[Year],$E4)</f>
        <v>145928374.49926478</v>
      </c>
      <c r="I4" s="309">
        <f>SUMIFS(Summary[Electric Annual Gross Savings (kWh) ],Summary[Year],$E4)</f>
        <v>-2187981.5740071237</v>
      </c>
      <c r="J4" s="309">
        <f>SUMIFS(Summary[Electric Annual Net Savings (kWh) ],Summary[Year],$E4)</f>
        <v>-1861492.3448558263</v>
      </c>
      <c r="K4" s="309">
        <f>SUMIFS(Summary[Electric Demand Annual Gross Savings at Summer Peak (kW) ],Summary[Year],$E4)</f>
        <v>9037.7960965793154</v>
      </c>
      <c r="L4" s="309">
        <f>SUMIFS(Summary[Electric Demand Annual Net Savings at Summer Peak (kW) ],Summary[Year],$E4)</f>
        <v>8625.1235130201258</v>
      </c>
      <c r="M4" s="309">
        <f>SUMIFS(Summary[Water Annual Gross Savings (m3) ],Summary[Year],$E4)</f>
        <v>356062.30579935532</v>
      </c>
      <c r="N4" s="309">
        <f>SUMIFS(Summary[Water Annual Net Savings (m3) ],Summary[Year],$E4)</f>
        <v>213649.65608509901</v>
      </c>
      <c r="O4" s="309">
        <f>SUMIFS(Summary[Gas Gross Cumulative Savings (m3)],Summary[Year],$E4)</f>
        <v>3588510407.0307007</v>
      </c>
      <c r="P4" s="309">
        <f>SUMIFS(Summary[Gas Net Cumulative Savings (m3)],Summary[Year],$E4)</f>
        <v>2209044715.6195755</v>
      </c>
      <c r="Q4" s="306"/>
      <c r="R4" s="310">
        <f>SUMIFS(Summary[Incentives],Summary[Year],$E4)</f>
        <v>156829983</v>
      </c>
      <c r="S4" s="310">
        <f>SUMIFS(Summary[Promo],Summary[Year],$E4)</f>
        <v>12451478</v>
      </c>
      <c r="T4" s="310">
        <f>SUMIFS(Summary[Delivery],Summary[Year],$E4)</f>
        <v>12780139</v>
      </c>
      <c r="U4" s="310">
        <f>SUMIFS(Summary[Admin],Summary[Year],$E4)</f>
        <v>33593664</v>
      </c>
      <c r="V4" s="310">
        <f>SUMIFS(Summary[Promo/Delivery Costs ],Summary[Year],$E4)</f>
        <v>25231617</v>
      </c>
      <c r="W4" s="310">
        <f>SUMIFS(Summary[Program Costs (w/o Incentives)],Summary[Year],$E4)</f>
        <v>58825281</v>
      </c>
      <c r="X4" s="310">
        <f>SUMIFS(Summary[Total Cost],Summary[Year],$E4)</f>
        <v>215655264</v>
      </c>
    </row>
    <row r="5" spans="1:24" s="254" customFormat="1" ht="15" x14ac:dyDescent="0.25">
      <c r="A5" s="252"/>
      <c r="B5" s="253"/>
      <c r="C5" s="253"/>
      <c r="D5" s="307"/>
      <c r="E5" s="308">
        <v>2030</v>
      </c>
      <c r="F5" s="309">
        <f>SUMIFS(Summary[Number of Projects/Units],Summary[Year],$E5)</f>
        <v>356198</v>
      </c>
      <c r="G5" s="309">
        <f>SUMIFS(Summary[Gas Gross Annual Savings (m3) ],Summary[Year],$E5)</f>
        <v>262055545.90155905</v>
      </c>
      <c r="H5" s="309">
        <f>SUMIFS(Summary[Gas Net Annual Savings (m3) ],Summary[Year],$E5)</f>
        <v>151966195.6830284</v>
      </c>
      <c r="I5" s="309">
        <f>SUMIFS(Summary[Electric Annual Gross Savings (kWh) ],Summary[Year],$E5)</f>
        <v>-2152301.2024318292</v>
      </c>
      <c r="J5" s="309">
        <f>SUMIFS(Summary[Electric Annual Net Savings (kWh) ],Summary[Year],$E5)</f>
        <v>-1593175.4359505512</v>
      </c>
      <c r="K5" s="309">
        <f>SUMIFS(Summary[Electric Demand Annual Gross Savings at Summer Peak (kW) ],Summary[Year],$E5)</f>
        <v>9417.3865401441708</v>
      </c>
      <c r="L5" s="309">
        <f>SUMIFS(Summary[Electric Demand Annual Net Savings at Summer Peak (kW) ],Summary[Year],$E5)</f>
        <v>9008.4491846164346</v>
      </c>
      <c r="M5" s="309">
        <f>SUMIFS(Summary[Water Annual Gross Savings (m3) ],Summary[Year],$E5)</f>
        <v>370103.21756091446</v>
      </c>
      <c r="N5" s="309">
        <f>SUMIFS(Summary[Water Annual Net Savings (m3) ],Summary[Year],$E5)</f>
        <v>224004.03368848425</v>
      </c>
      <c r="O5" s="309">
        <f>SUMIFS(Summary[Gas Gross Cumulative Savings (m3)],Summary[Year],$E5)</f>
        <v>3709950042.7046728</v>
      </c>
      <c r="P5" s="309">
        <f>SUMIFS(Summary[Gas Net Cumulative Savings (m3)],Summary[Year],$E5)</f>
        <v>2292597210.9748874</v>
      </c>
      <c r="Q5" s="306"/>
      <c r="R5" s="310">
        <f>SUMIFS(Summary[Incentives],Summary[Year],$E5)</f>
        <v>166234535</v>
      </c>
      <c r="S5" s="310">
        <f>SUMIFS(Summary[Promo],Summary[Year],$E5)</f>
        <v>12770421</v>
      </c>
      <c r="T5" s="310">
        <f>SUMIFS(Summary[Delivery],Summary[Year],$E5)</f>
        <v>13548371</v>
      </c>
      <c r="U5" s="310">
        <f>SUMIFS(Summary[Admin],Summary[Year],$E5)</f>
        <v>34171474</v>
      </c>
      <c r="V5" s="310">
        <f>SUMIFS(Summary[Promo/Delivery Costs ],Summary[Year],$E5)</f>
        <v>26318792</v>
      </c>
      <c r="W5" s="310">
        <f>SUMIFS(Summary[Program Costs (w/o Incentives)],Summary[Year],$E5)</f>
        <v>60490266</v>
      </c>
      <c r="X5" s="310">
        <f>SUMIFS(Summary[Total Cost],Summary[Year],$E5)</f>
        <v>226724801</v>
      </c>
    </row>
    <row r="7" spans="1:24" s="246" customFormat="1" ht="72.75" customHeight="1" x14ac:dyDescent="0.25">
      <c r="A7" s="245" t="s">
        <v>40</v>
      </c>
      <c r="B7" s="248" t="s">
        <v>10</v>
      </c>
      <c r="C7" s="248" t="s">
        <v>0</v>
      </c>
      <c r="D7" s="248" t="s">
        <v>39</v>
      </c>
      <c r="E7" s="245" t="s">
        <v>146</v>
      </c>
      <c r="F7" s="255" t="s">
        <v>147</v>
      </c>
      <c r="G7" s="256" t="s">
        <v>376</v>
      </c>
      <c r="H7" s="256" t="s">
        <v>377</v>
      </c>
      <c r="I7" s="256" t="s">
        <v>148</v>
      </c>
      <c r="J7" s="256" t="s">
        <v>149</v>
      </c>
      <c r="K7" s="256" t="s">
        <v>150</v>
      </c>
      <c r="L7" s="256" t="s">
        <v>151</v>
      </c>
      <c r="M7" s="256" t="s">
        <v>152</v>
      </c>
      <c r="N7" s="256" t="s">
        <v>153</v>
      </c>
      <c r="O7" s="256" t="s">
        <v>375</v>
      </c>
      <c r="P7" s="256" t="s">
        <v>374</v>
      </c>
      <c r="Q7" s="245" t="s">
        <v>154</v>
      </c>
      <c r="R7" s="257" t="s">
        <v>126</v>
      </c>
      <c r="S7" s="257" t="s">
        <v>127</v>
      </c>
      <c r="T7" s="257" t="s">
        <v>128</v>
      </c>
      <c r="U7" s="257" t="s">
        <v>129</v>
      </c>
      <c r="V7" s="257" t="s">
        <v>156</v>
      </c>
      <c r="W7" s="257" t="s">
        <v>157</v>
      </c>
      <c r="X7" s="257" t="s">
        <v>158</v>
      </c>
    </row>
    <row r="8" spans="1:24" x14ac:dyDescent="0.25">
      <c r="A8" s="156">
        <v>2027</v>
      </c>
      <c r="B8" s="247" t="s">
        <v>11</v>
      </c>
      <c r="C8" s="247" t="s">
        <v>159</v>
      </c>
      <c r="D8" s="247" t="s">
        <v>133</v>
      </c>
      <c r="E8" s="249">
        <v>1</v>
      </c>
      <c r="F8" s="250">
        <f>SUMIFS('All Measure &amp; TRC+ Calc'!F:F,'All Measure &amp; TRC+ Calc'!$D:$D,$C8,'All Measure &amp; TRC+ Calc'!$B:$B,$A8)*$E8</f>
        <v>10000</v>
      </c>
      <c r="G8" s="250">
        <f>SUMIFS('All Measure &amp; TRC+ Calc'!AD:AD,'All Measure &amp; TRC+ Calc'!$D:$D,$C8,'All Measure &amp; TRC+ Calc'!$B:$B,$A8)*$E8</f>
        <v>5084600</v>
      </c>
      <c r="H8" s="250">
        <f>SUMIFS('All Measure &amp; TRC+ Calc'!AE:AE,'All Measure &amp; TRC+ Calc'!$D:$D,$C8,'All Measure &amp; TRC+ Calc'!$B:$B,$A8)*$E8</f>
        <v>4576140</v>
      </c>
      <c r="I8" s="250">
        <f>SUMIFS('All Measure &amp; TRC+ Calc'!AH:AH,'All Measure &amp; TRC+ Calc'!$D:$D,$C8,'All Measure &amp; TRC+ Calc'!$B:$B,$A8)*$E8</f>
        <v>321600</v>
      </c>
      <c r="J8" s="250">
        <f>SUMIFS('All Measure &amp; TRC+ Calc'!AI:AI,'All Measure &amp; TRC+ Calc'!$D:$D,$C8,'All Measure &amp; TRC+ Calc'!$B:$B,$A8)*$E8</f>
        <v>289440</v>
      </c>
      <c r="K8" s="250">
        <f>SUMIFS('All Measure &amp; TRC+ Calc'!AL:AL,'All Measure &amp; TRC+ Calc'!$D:$D,$C8,'All Measure &amp; TRC+ Calc'!$B:$B,$A8)*$E8</f>
        <v>41.67275331534605</v>
      </c>
      <c r="L8" s="250">
        <f>SUMIFS('All Measure &amp; TRC+ Calc'!AM:AM,'All Measure &amp; TRC+ Calc'!$D:$D,$C8,'All Measure &amp; TRC+ Calc'!$B:$B,$A8)*$E8</f>
        <v>37.505477983811438</v>
      </c>
      <c r="M8" s="250">
        <f>SUMIFS('All Measure &amp; TRC+ Calc'!AJ:AJ,'All Measure &amp; TRC+ Calc'!$D:$D,$C8,'All Measure &amp; TRC+ Calc'!$B:$B,$A8)*$E8</f>
        <v>0</v>
      </c>
      <c r="N8" s="250">
        <f>SUMIFS('All Measure &amp; TRC+ Calc'!AK:AK,'All Measure &amp; TRC+ Calc'!$D:$D,$C8,'All Measure &amp; TRC+ Calc'!$B:$B,$A8)*$E8</f>
        <v>0</v>
      </c>
      <c r="O8" s="250">
        <f>SUMIFS('All Measure &amp; TRC+ Calc'!AF:AF,'All Measure &amp; TRC+ Calc'!$D:$D,$C8,'All Measure &amp; TRC+ Calc'!$B:$B,$A8)*$E8</f>
        <v>127115000</v>
      </c>
      <c r="P8" s="250">
        <f>SUMIFS('All Measure &amp; TRC+ Calc'!AG:AG,'All Measure &amp; TRC+ Calc'!$D:$D,$C8,'All Measure &amp; TRC+ Calc'!$B:$B,$A8)*$E8</f>
        <v>114403500</v>
      </c>
      <c r="Q8" s="249">
        <v>1</v>
      </c>
      <c r="R8" s="190">
        <f>SUMIFS(Budget!$E:$E,Budget!$A:$A,$A8,Budget!$C:$C,$C8,Budget!$D:$D,R$7)*Summary[[#This Row],[Budget %  Adjustment]]</f>
        <v>23499400</v>
      </c>
      <c r="S8" s="190">
        <f>SUMIFS(Budget!$E:$E,Budget!$A:$A,$A8,Budget!$C:$C,$C8,Budget!$D:$D,S$7)*Summary[[#This Row],[Budget %  Adjustment]]</f>
        <v>1160000</v>
      </c>
      <c r="T8" s="190">
        <f>SUMIFS(Budget!$E:$E,Budget!$A:$A,$A8,Budget!$C:$C,$C8,Budget!$D:$D,T$7)*Summary[[#This Row],[Budget %  Adjustment]]</f>
        <v>1270000</v>
      </c>
      <c r="U8" s="190">
        <f>SUMIFS(Budget!$E:$E,Budget!$A:$A,$A8,Budget!$C:$C,$C8,Budget!$D:$D,U$7)*Summary[[#This Row],[Budget %  Adjustment]]</f>
        <v>0</v>
      </c>
      <c r="V8" s="190">
        <f>Summary[[#This Row],[Promo]]+Summary[[#This Row],[Delivery]]</f>
        <v>2430000</v>
      </c>
      <c r="W8" s="190">
        <f t="shared" ref="W8:W39" si="0">SUM(S8:U8)</f>
        <v>2430000</v>
      </c>
      <c r="X8" s="190">
        <f t="shared" ref="X8:X39" si="1">SUM(R8:U8)</f>
        <v>25929400</v>
      </c>
    </row>
    <row r="9" spans="1:24" x14ac:dyDescent="0.25">
      <c r="A9" s="156">
        <v>2027</v>
      </c>
      <c r="B9" s="247" t="s">
        <v>11</v>
      </c>
      <c r="C9" s="247" t="s">
        <v>130</v>
      </c>
      <c r="D9" s="247" t="s">
        <v>133</v>
      </c>
      <c r="E9" s="249">
        <v>1</v>
      </c>
      <c r="F9" s="250">
        <f>SUMIFS('All Measure &amp; TRC+ Calc'!F:F,'All Measure &amp; TRC+ Calc'!$D:$D,$C9,'All Measure &amp; TRC+ Calc'!$B:$B,$A9)*$E9</f>
        <v>12250</v>
      </c>
      <c r="G9" s="250">
        <f>SUMIFS('All Measure &amp; TRC+ Calc'!AD:AD,'All Measure &amp; TRC+ Calc'!$D:$D,$C9,'All Measure &amp; TRC+ Calc'!$B:$B,$A9)*$E9</f>
        <v>3529500</v>
      </c>
      <c r="H9" s="250">
        <f>SUMIFS('All Measure &amp; TRC+ Calc'!AE:AE,'All Measure &amp; TRC+ Calc'!$D:$D,$C9,'All Measure &amp; TRC+ Calc'!$B:$B,$A9)*$E9</f>
        <v>3141255</v>
      </c>
      <c r="I9" s="250">
        <f>SUMIFS('All Measure &amp; TRC+ Calc'!AH:AH,'All Measure &amp; TRC+ Calc'!$D:$D,$C9,'All Measure &amp; TRC+ Calc'!$B:$B,$A9)*$E9</f>
        <v>971714.4</v>
      </c>
      <c r="J9" s="250">
        <f>SUMIFS('All Measure &amp; TRC+ Calc'!AI:AI,'All Measure &amp; TRC+ Calc'!$D:$D,$C9,'All Measure &amp; TRC+ Calc'!$B:$B,$A9)*$E9</f>
        <v>864825.81600000011</v>
      </c>
      <c r="K9" s="250">
        <f>SUMIFS('All Measure &amp; TRC+ Calc'!AL:AL,'All Measure &amp; TRC+ Calc'!$D:$D,$C9,'All Measure &amp; TRC+ Calc'!$B:$B,$A9)*$E9</f>
        <v>619.57585645123152</v>
      </c>
      <c r="L9" s="250">
        <f>SUMIFS('All Measure &amp; TRC+ Calc'!AM:AM,'All Measure &amp; TRC+ Calc'!$D:$D,$C9,'All Measure &amp; TRC+ Calc'!$B:$B,$A9)*$E9</f>
        <v>551.42251224159611</v>
      </c>
      <c r="M9" s="250">
        <f>SUMIFS('All Measure &amp; TRC+ Calc'!AJ:AJ,'All Measure &amp; TRC+ Calc'!$D:$D,$C9,'All Measure &amp; TRC+ Calc'!$B:$B,$A9)*$E9</f>
        <v>0</v>
      </c>
      <c r="N9" s="250">
        <f>SUMIFS('All Measure &amp; TRC+ Calc'!AK:AK,'All Measure &amp; TRC+ Calc'!$D:$D,$C9,'All Measure &amp; TRC+ Calc'!$B:$B,$A9)*$E9</f>
        <v>0</v>
      </c>
      <c r="O9" s="250">
        <f>SUMIFS('All Measure &amp; TRC+ Calc'!AF:AF,'All Measure &amp; TRC+ Calc'!$D:$D,$C9,'All Measure &amp; TRC+ Calc'!$B:$B,$A9)*$E9</f>
        <v>105885000</v>
      </c>
      <c r="P9" s="250">
        <f>SUMIFS('All Measure &amp; TRC+ Calc'!AG:AG,'All Measure &amp; TRC+ Calc'!$D:$D,$C9,'All Measure &amp; TRC+ Calc'!$B:$B,$A9)*$E9</f>
        <v>94237650</v>
      </c>
      <c r="Q9" s="249">
        <v>1</v>
      </c>
      <c r="R9" s="190">
        <f>SUMIFS(Budget!$E:$E,Budget!$A:$A,$A9,Budget!$C:$C,$C9,Budget!$D:$D,R$7)*Summary[[#This Row],[Budget %  Adjustment]]</f>
        <v>13591250</v>
      </c>
      <c r="S9" s="190">
        <f>SUMIFS(Budget!$E:$E,Budget!$A:$A,$A9,Budget!$C:$C,$C9,Budget!$D:$D,S$7)*Summary[[#This Row],[Budget %  Adjustment]]</f>
        <v>1307400</v>
      </c>
      <c r="T9" s="190">
        <f>SUMIFS(Budget!$E:$E,Budget!$A:$A,$A9,Budget!$C:$C,$C9,Budget!$D:$D,T$7)*Summary[[#This Row],[Budget %  Adjustment]]</f>
        <v>661875</v>
      </c>
      <c r="U9" s="190">
        <f>SUMIFS(Budget!$E:$E,Budget!$A:$A,$A9,Budget!$C:$C,$C9,Budget!$D:$D,U$7)*Summary[[#This Row],[Budget %  Adjustment]]</f>
        <v>0</v>
      </c>
      <c r="V9" s="190">
        <f>Summary[[#This Row],[Promo]]+Summary[[#This Row],[Delivery]]</f>
        <v>1969275</v>
      </c>
      <c r="W9" s="190">
        <f t="shared" si="0"/>
        <v>1969275</v>
      </c>
      <c r="X9" s="190">
        <f t="shared" si="1"/>
        <v>15560525</v>
      </c>
    </row>
    <row r="10" spans="1:24" x14ac:dyDescent="0.25">
      <c r="A10" s="156">
        <v>2027</v>
      </c>
      <c r="B10" s="247" t="s">
        <v>11</v>
      </c>
      <c r="C10" s="247" t="s">
        <v>333</v>
      </c>
      <c r="D10" s="247" t="s">
        <v>133</v>
      </c>
      <c r="E10" s="249">
        <v>1</v>
      </c>
      <c r="F10" s="250">
        <f>SUMIFS('All Measure &amp; TRC+ Calc'!F:F,'All Measure &amp; TRC+ Calc'!$D:$D,$C10,'All Measure &amp; TRC+ Calc'!$B:$B,$A10)*$E10</f>
        <v>6150</v>
      </c>
      <c r="G10" s="250">
        <f>SUMIFS('All Measure &amp; TRC+ Calc'!AD:AD,'All Measure &amp; TRC+ Calc'!$D:$D,$C10,'All Measure &amp; TRC+ Calc'!$B:$B,$A10)*$E10</f>
        <v>5117760</v>
      </c>
      <c r="H10" s="250">
        <f>SUMIFS('All Measure &amp; TRC+ Calc'!AE:AE,'All Measure &amp; TRC+ Calc'!$D:$D,$C10,'All Measure &amp; TRC+ Calc'!$B:$B,$A10)*$E10</f>
        <v>4647327.5999999996</v>
      </c>
      <c r="I10" s="250">
        <f>SUMIFS('All Measure &amp; TRC+ Calc'!AH:AH,'All Measure &amp; TRC+ Calc'!$D:$D,$C10,'All Measure &amp; TRC+ Calc'!$B:$B,$A10)*$E10</f>
        <v>-17854958.640000001</v>
      </c>
      <c r="J10" s="250">
        <f>SUMIFS('All Measure &amp; TRC+ Calc'!AI:AI,'All Measure &amp; TRC+ Calc'!$D:$D,$C10,'All Measure &amp; TRC+ Calc'!$B:$B,$A10)*$E10</f>
        <v>-16224575.762400001</v>
      </c>
      <c r="K10" s="250">
        <f>SUMIFS('All Measure &amp; TRC+ Calc'!AL:AL,'All Measure &amp; TRC+ Calc'!$D:$D,$C10,'All Measure &amp; TRC+ Calc'!$B:$B,$A10)*$E10</f>
        <v>1409.1225600000002</v>
      </c>
      <c r="L10" s="250">
        <f>SUMIFS('All Measure &amp; TRC+ Calc'!AM:AM,'All Measure &amp; TRC+ Calc'!$D:$D,$C10,'All Measure &amp; TRC+ Calc'!$B:$B,$A10)*$E10</f>
        <v>1284.9901055999999</v>
      </c>
      <c r="M10" s="250">
        <f>SUMIFS('All Measure &amp; TRC+ Calc'!AJ:AJ,'All Measure &amp; TRC+ Calc'!$D:$D,$C10,'All Measure &amp; TRC+ Calc'!$B:$B,$A10)*$E10</f>
        <v>0</v>
      </c>
      <c r="N10" s="250">
        <f>SUMIFS('All Measure &amp; TRC+ Calc'!AK:AK,'All Measure &amp; TRC+ Calc'!$D:$D,$C10,'All Measure &amp; TRC+ Calc'!$B:$B,$A10)*$E10</f>
        <v>0</v>
      </c>
      <c r="O10" s="250">
        <f>SUMIFS('All Measure &amp; TRC+ Calc'!AF:AF,'All Measure &amp; TRC+ Calc'!$D:$D,$C10,'All Measure &amp; TRC+ Calc'!$B:$B,$A10)*$E10</f>
        <v>81794760</v>
      </c>
      <c r="P10" s="250">
        <f>SUMIFS('All Measure &amp; TRC+ Calc'!AG:AG,'All Measure &amp; TRC+ Calc'!$D:$D,$C10,'All Measure &amp; TRC+ Calc'!$B:$B,$A10)*$E10</f>
        <v>74285721.599999994</v>
      </c>
      <c r="Q10" s="249">
        <v>1</v>
      </c>
      <c r="R10" s="190">
        <f>SUMIFS(Budget!$E:$E,Budget!$A:$A,$A10,Budget!$C:$C,$C10,Budget!$D:$D,R$7)*Summary[[#This Row],[Budget %  Adjustment]]</f>
        <v>7650000</v>
      </c>
      <c r="S10" s="190">
        <f>SUMIFS(Budget!$E:$E,Budget!$A:$A,$A10,Budget!$C:$C,$C10,Budget!$D:$D,S$7)*Summary[[#This Row],[Budget %  Adjustment]]</f>
        <v>871600</v>
      </c>
      <c r="T10" s="190">
        <f>SUMIFS(Budget!$E:$E,Budget!$A:$A,$A10,Budget!$C:$C,$C10,Budget!$D:$D,T$7)*Summary[[#This Row],[Budget %  Adjustment]]</f>
        <v>783000</v>
      </c>
      <c r="U10" s="190">
        <f>SUMIFS(Budget!$E:$E,Budget!$A:$A,$A10,Budget!$C:$C,$C10,Budget!$D:$D,U$7)*Summary[[#This Row],[Budget %  Adjustment]]</f>
        <v>0</v>
      </c>
      <c r="V10" s="190">
        <f>Summary[[#This Row],[Promo]]+Summary[[#This Row],[Delivery]]</f>
        <v>1654600</v>
      </c>
      <c r="W10" s="190">
        <f t="shared" si="0"/>
        <v>1654600</v>
      </c>
      <c r="X10" s="190">
        <f t="shared" si="1"/>
        <v>9304600</v>
      </c>
    </row>
    <row r="11" spans="1:24" x14ac:dyDescent="0.25">
      <c r="A11" s="156">
        <v>2027</v>
      </c>
      <c r="B11" s="247" t="s">
        <v>11</v>
      </c>
      <c r="C11" s="247" t="s">
        <v>160</v>
      </c>
      <c r="D11" s="247" t="s">
        <v>133</v>
      </c>
      <c r="E11" s="249">
        <v>1</v>
      </c>
      <c r="F11" s="250">
        <f>SUMIFS('All Measure &amp; TRC+ Calc'!F:F,'All Measure &amp; TRC+ Calc'!$D:$D,$C11,'All Measure &amp; TRC+ Calc'!$B:$B,$A11)*$E11</f>
        <v>28160</v>
      </c>
      <c r="G11" s="250">
        <f>SUMIFS('All Measure &amp; TRC+ Calc'!AD:AD,'All Measure &amp; TRC+ Calc'!$D:$D,$C11,'All Measure &amp; TRC+ Calc'!$B:$B,$A11)*$E11</f>
        <v>3663200</v>
      </c>
      <c r="H11" s="250">
        <f>SUMIFS('All Measure &amp; TRC+ Calc'!AE:AE,'All Measure &amp; TRC+ Calc'!$D:$D,$C11,'All Measure &amp; TRC+ Calc'!$B:$B,$A11)*$E11</f>
        <v>3150352</v>
      </c>
      <c r="I11" s="250">
        <f>SUMIFS('All Measure &amp; TRC+ Calc'!AH:AH,'All Measure &amp; TRC+ Calc'!$D:$D,$C11,'All Measure &amp; TRC+ Calc'!$B:$B,$A11)*$E11</f>
        <v>5500131.8400000008</v>
      </c>
      <c r="J11" s="250">
        <f>SUMIFS('All Measure &amp; TRC+ Calc'!AI:AI,'All Measure &amp; TRC+ Calc'!$D:$D,$C11,'All Measure &amp; TRC+ Calc'!$B:$B,$A11)*$E11</f>
        <v>4730113.3824000014</v>
      </c>
      <c r="K11" s="250">
        <f>SUMIFS('All Measure &amp; TRC+ Calc'!AL:AL,'All Measure &amp; TRC+ Calc'!$D:$D,$C11,'All Measure &amp; TRC+ Calc'!$B:$B,$A11)*$E11</f>
        <v>2516.8603299840001</v>
      </c>
      <c r="L11" s="250">
        <f>SUMIFS('All Measure &amp; TRC+ Calc'!AM:AM,'All Measure &amp; TRC+ Calc'!$D:$D,$C11,'All Measure &amp; TRC+ Calc'!$B:$B,$A11)*$E11</f>
        <v>2164.4998837862399</v>
      </c>
      <c r="M11" s="250">
        <f>SUMIFS('All Measure &amp; TRC+ Calc'!AJ:AJ,'All Measure &amp; TRC+ Calc'!$D:$D,$C11,'All Measure &amp; TRC+ Calc'!$B:$B,$A11)*$E11</f>
        <v>0</v>
      </c>
      <c r="N11" s="250">
        <f>SUMIFS('All Measure &amp; TRC+ Calc'!AK:AK,'All Measure &amp; TRC+ Calc'!$D:$D,$C11,'All Measure &amp; TRC+ Calc'!$B:$B,$A11)*$E11</f>
        <v>0</v>
      </c>
      <c r="O11" s="250">
        <f>SUMIFS('All Measure &amp; TRC+ Calc'!AF:AF,'All Measure &amp; TRC+ Calc'!$D:$D,$C11,'All Measure &amp; TRC+ Calc'!$B:$B,$A11)*$E11</f>
        <v>36632000</v>
      </c>
      <c r="P11" s="250">
        <f>SUMIFS('All Measure &amp; TRC+ Calc'!AG:AG,'All Measure &amp; TRC+ Calc'!$D:$D,$C11,'All Measure &amp; TRC+ Calc'!$B:$B,$A11)*$E11</f>
        <v>31503520</v>
      </c>
      <c r="Q11" s="249">
        <v>1</v>
      </c>
      <c r="R11" s="190">
        <f>SUMIFS(Budget!$E:$E,Budget!$A:$A,$A11,Budget!$C:$C,$C11,Budget!$D:$D,R$7)*Summary[[#This Row],[Budget %  Adjustment]]</f>
        <v>3089600</v>
      </c>
      <c r="S11" s="190">
        <f>SUMIFS(Budget!$E:$E,Budget!$A:$A,$A11,Budget!$C:$C,$C11,Budget!$D:$D,S$7)*Summary[[#This Row],[Budget %  Adjustment]]</f>
        <v>2369800</v>
      </c>
      <c r="T11" s="190">
        <f>SUMIFS(Budget!$E:$E,Budget!$A:$A,$A11,Budget!$C:$C,$C11,Budget!$D:$D,T$7)*Summary[[#This Row],[Budget %  Adjustment]]</f>
        <v>624593</v>
      </c>
      <c r="U11" s="190">
        <f>SUMIFS(Budget!$E:$E,Budget!$A:$A,$A11,Budget!$C:$C,$C11,Budget!$D:$D,U$7)*Summary[[#This Row],[Budget %  Adjustment]]</f>
        <v>0</v>
      </c>
      <c r="V11" s="190">
        <f>Summary[[#This Row],[Promo]]+Summary[[#This Row],[Delivery]]</f>
        <v>2994393</v>
      </c>
      <c r="W11" s="190">
        <f t="shared" si="0"/>
        <v>2994393</v>
      </c>
      <c r="X11" s="190">
        <f t="shared" si="1"/>
        <v>6083993</v>
      </c>
    </row>
    <row r="12" spans="1:24" x14ac:dyDescent="0.25">
      <c r="A12" s="156">
        <v>2027</v>
      </c>
      <c r="B12" s="247" t="s">
        <v>11</v>
      </c>
      <c r="C12" s="247" t="s">
        <v>161</v>
      </c>
      <c r="D12" s="247" t="s">
        <v>133</v>
      </c>
      <c r="E12" s="249">
        <v>1</v>
      </c>
      <c r="F12" s="250">
        <f>SUMIFS('All Measure &amp; TRC+ Calc'!F:F,'All Measure &amp; TRC+ Calc'!$D:$D,$C12,'All Measure &amp; TRC+ Calc'!$B:$B,$A12)*$E12</f>
        <v>8500</v>
      </c>
      <c r="G12" s="250">
        <f>SUMIFS('All Measure &amp; TRC+ Calc'!AD:AD,'All Measure &amp; TRC+ Calc'!$D:$D,$C12,'All Measure &amp; TRC+ Calc'!$B:$B,$A12)*$E12</f>
        <v>2127500</v>
      </c>
      <c r="H12" s="250">
        <f>SUMIFS('All Measure &amp; TRC+ Calc'!AE:AE,'All Measure &amp; TRC+ Calc'!$D:$D,$C12,'All Measure &amp; TRC+ Calc'!$B:$B,$A12)*$E12</f>
        <v>1869025</v>
      </c>
      <c r="I12" s="250">
        <f>SUMIFS('All Measure &amp; TRC+ Calc'!AH:AH,'All Measure &amp; TRC+ Calc'!$D:$D,$C12,'All Measure &amp; TRC+ Calc'!$B:$B,$A12)*$E12</f>
        <v>1542822.4</v>
      </c>
      <c r="J12" s="250">
        <f>SUMIFS('All Measure &amp; TRC+ Calc'!AI:AI,'All Measure &amp; TRC+ Calc'!$D:$D,$C12,'All Measure &amp; TRC+ Calc'!$B:$B,$A12)*$E12</f>
        <v>1338218.3360000001</v>
      </c>
      <c r="K12" s="250">
        <f>SUMIFS('All Measure &amp; TRC+ Calc'!AL:AL,'All Measure &amp; TRC+ Calc'!$D:$D,$C12,'All Measure &amp; TRC+ Calc'!$B:$B,$A12)*$E12</f>
        <v>774.34616481595924</v>
      </c>
      <c r="L12" s="250">
        <f>SUMIFS('All Measure &amp; TRC+ Calc'!AM:AM,'All Measure &amp; TRC+ Calc'!$D:$D,$C12,'All Measure &amp; TRC+ Calc'!$B:$B,$A12)*$E12</f>
        <v>673.20077532620382</v>
      </c>
      <c r="M12" s="250">
        <f>SUMIFS('All Measure &amp; TRC+ Calc'!AJ:AJ,'All Measure &amp; TRC+ Calc'!$D:$D,$C12,'All Measure &amp; TRC+ Calc'!$B:$B,$A12)*$E12</f>
        <v>0</v>
      </c>
      <c r="N12" s="250">
        <f>SUMIFS('All Measure &amp; TRC+ Calc'!AK:AK,'All Measure &amp; TRC+ Calc'!$D:$D,$C12,'All Measure &amp; TRC+ Calc'!$B:$B,$A12)*$E12</f>
        <v>0</v>
      </c>
      <c r="O12" s="250">
        <f>SUMIFS('All Measure &amp; TRC+ Calc'!AF:AF,'All Measure &amp; TRC+ Calc'!$D:$D,$C12,'All Measure &amp; TRC+ Calc'!$B:$B,$A12)*$E12</f>
        <v>47525000</v>
      </c>
      <c r="P12" s="250">
        <f>SUMIFS('All Measure &amp; TRC+ Calc'!AG:AG,'All Measure &amp; TRC+ Calc'!$D:$D,$C12,'All Measure &amp; TRC+ Calc'!$B:$B,$A12)*$E12</f>
        <v>42052750</v>
      </c>
      <c r="Q12" s="249">
        <v>1</v>
      </c>
      <c r="R12" s="190">
        <f>SUMIFS(Budget!$E:$E,Budget!$A:$A,$A12,Budget!$C:$C,$C12,Budget!$D:$D,R$7)*Summary[[#This Row],[Budget %  Adjustment]]</f>
        <v>10150000</v>
      </c>
      <c r="S12" s="190">
        <f>SUMIFS(Budget!$E:$E,Budget!$A:$A,$A12,Budget!$C:$C,$C12,Budget!$D:$D,S$7)*Summary[[#This Row],[Budget %  Adjustment]]</f>
        <v>300000</v>
      </c>
      <c r="T12" s="190">
        <f>SUMIFS(Budget!$E:$E,Budget!$A:$A,$A12,Budget!$C:$C,$C12,Budget!$D:$D,T$7)*Summary[[#This Row],[Budget %  Adjustment]]</f>
        <v>425000</v>
      </c>
      <c r="U12" s="190">
        <f>SUMIFS(Budget!$E:$E,Budget!$A:$A,$A12,Budget!$C:$C,$C12,Budget!$D:$D,U$7)*Summary[[#This Row],[Budget %  Adjustment]]</f>
        <v>0</v>
      </c>
      <c r="V12" s="190">
        <f>Summary[[#This Row],[Promo]]+Summary[[#This Row],[Delivery]]</f>
        <v>725000</v>
      </c>
      <c r="W12" s="190">
        <f t="shared" si="0"/>
        <v>725000</v>
      </c>
      <c r="X12" s="190">
        <f t="shared" si="1"/>
        <v>10875000</v>
      </c>
    </row>
    <row r="13" spans="1:24" x14ac:dyDescent="0.25">
      <c r="A13" s="156">
        <v>2027</v>
      </c>
      <c r="B13" s="247" t="s">
        <v>11</v>
      </c>
      <c r="C13" s="247" t="s">
        <v>162</v>
      </c>
      <c r="D13" s="247" t="s">
        <v>133</v>
      </c>
      <c r="E13" s="249">
        <v>1</v>
      </c>
      <c r="F13" s="250">
        <f>SUMIFS('All Measure &amp; TRC+ Calc'!F:F,'All Measure &amp; TRC+ Calc'!$D:$D,$C13,'All Measure &amp; TRC+ Calc'!$B:$B,$A13)*$E13</f>
        <v>150000</v>
      </c>
      <c r="G13" s="250">
        <f>SUMIFS('All Measure &amp; TRC+ Calc'!AD:AD,'All Measure &amp; TRC+ Calc'!$D:$D,$C13,'All Measure &amp; TRC+ Calc'!$B:$B,$A13)*$E13</f>
        <v>2527500</v>
      </c>
      <c r="H13" s="250">
        <f>SUMIFS('All Measure &amp; TRC+ Calc'!AE:AE,'All Measure &amp; TRC+ Calc'!$D:$D,$C13,'All Measure &amp; TRC+ Calc'!$B:$B,$A13)*$E13</f>
        <v>2527500</v>
      </c>
      <c r="I13" s="250">
        <f>SUMIFS('All Measure &amp; TRC+ Calc'!AH:AH,'All Measure &amp; TRC+ Calc'!$D:$D,$C13,'All Measure &amp; TRC+ Calc'!$B:$B,$A13)*$E13</f>
        <v>2186880</v>
      </c>
      <c r="J13" s="250">
        <f>SUMIFS('All Measure &amp; TRC+ Calc'!AI:AI,'All Measure &amp; TRC+ Calc'!$D:$D,$C13,'All Measure &amp; TRC+ Calc'!$B:$B,$A13)*$E13</f>
        <v>2186880</v>
      </c>
      <c r="K13" s="250">
        <f>SUMIFS('All Measure &amp; TRC+ Calc'!AL:AL,'All Measure &amp; TRC+ Calc'!$D:$D,$C13,'All Measure &amp; TRC+ Calc'!$B:$B,$A13)*$E13</f>
        <v>283.37472254435312</v>
      </c>
      <c r="L13" s="250">
        <f>SUMIFS('All Measure &amp; TRC+ Calc'!AM:AM,'All Measure &amp; TRC+ Calc'!$D:$D,$C13,'All Measure &amp; TRC+ Calc'!$B:$B,$A13)*$E13</f>
        <v>283.37472254435312</v>
      </c>
      <c r="M13" s="250">
        <f>SUMIFS('All Measure &amp; TRC+ Calc'!AJ:AJ,'All Measure &amp; TRC+ Calc'!$D:$D,$C13,'All Measure &amp; TRC+ Calc'!$B:$B,$A13)*$E13</f>
        <v>0</v>
      </c>
      <c r="N13" s="250">
        <f>SUMIFS('All Measure &amp; TRC+ Calc'!AK:AK,'All Measure &amp; TRC+ Calc'!$D:$D,$C13,'All Measure &amp; TRC+ Calc'!$B:$B,$A13)*$E13</f>
        <v>0</v>
      </c>
      <c r="O13" s="250">
        <f>SUMIFS('All Measure &amp; TRC+ Calc'!AF:AF,'All Measure &amp; TRC+ Calc'!$D:$D,$C13,'All Measure &amp; TRC+ Calc'!$B:$B,$A13)*$E13</f>
        <v>2527500</v>
      </c>
      <c r="P13" s="250">
        <f>SUMIFS('All Measure &amp; TRC+ Calc'!AG:AG,'All Measure &amp; TRC+ Calc'!$D:$D,$C13,'All Measure &amp; TRC+ Calc'!$B:$B,$A13)*$E13</f>
        <v>2527500</v>
      </c>
      <c r="Q13" s="249">
        <v>1</v>
      </c>
      <c r="R13" s="190">
        <f>SUMIFS(Budget!$E:$E,Budget!$A:$A,$A13,Budget!$C:$C,$C13,Budget!$D:$D,R$7)*Summary[[#This Row],[Budget %  Adjustment]]</f>
        <v>0</v>
      </c>
      <c r="S13" s="190">
        <f>SUMIFS(Budget!$E:$E,Budget!$A:$A,$A13,Budget!$C:$C,$C13,Budget!$D:$D,S$7)*Summary[[#This Row],[Budget %  Adjustment]]</f>
        <v>100000</v>
      </c>
      <c r="T13" s="190">
        <f>SUMIFS(Budget!$E:$E,Budget!$A:$A,$A13,Budget!$C:$C,$C13,Budget!$D:$D,T$7)*Summary[[#This Row],[Budget %  Adjustment]]</f>
        <v>2360000</v>
      </c>
      <c r="U13" s="190">
        <f>SUMIFS(Budget!$E:$E,Budget!$A:$A,$A13,Budget!$C:$C,$C13,Budget!$D:$D,U$7)*Summary[[#This Row],[Budget %  Adjustment]]</f>
        <v>0</v>
      </c>
      <c r="V13" s="190">
        <f>Summary[[#This Row],[Promo]]+Summary[[#This Row],[Delivery]]</f>
        <v>2460000</v>
      </c>
      <c r="W13" s="190">
        <f t="shared" si="0"/>
        <v>2460000</v>
      </c>
      <c r="X13" s="190">
        <f t="shared" si="1"/>
        <v>2460000</v>
      </c>
    </row>
    <row r="14" spans="1:24" x14ac:dyDescent="0.25">
      <c r="A14" s="156">
        <v>2027</v>
      </c>
      <c r="B14" s="247" t="s">
        <v>11</v>
      </c>
      <c r="C14" s="247" t="s">
        <v>17</v>
      </c>
      <c r="D14" s="247" t="s">
        <v>17</v>
      </c>
      <c r="E14" s="249">
        <v>1</v>
      </c>
      <c r="F14" s="250">
        <f>SUMIFS('All Measure &amp; TRC+ Calc'!F:F,'All Measure &amp; TRC+ Calc'!$D:$D,$C14,'All Measure &amp; TRC+ Calc'!$B:$B,$A14)*$E14</f>
        <v>0</v>
      </c>
      <c r="G14" s="250">
        <f>SUMIFS('All Measure &amp; TRC+ Calc'!AD:AD,'All Measure &amp; TRC+ Calc'!$D:$D,$C14,'All Measure &amp; TRC+ Calc'!$B:$B,$A14)*$E14</f>
        <v>0</v>
      </c>
      <c r="H14" s="250">
        <f>SUMIFS('All Measure &amp; TRC+ Calc'!AE:AE,'All Measure &amp; TRC+ Calc'!$D:$D,$C14,'All Measure &amp; TRC+ Calc'!$B:$B,$A14)*$E14</f>
        <v>0</v>
      </c>
      <c r="I14" s="250">
        <f>SUMIFS('All Measure &amp; TRC+ Calc'!AH:AH,'All Measure &amp; TRC+ Calc'!$D:$D,$C14,'All Measure &amp; TRC+ Calc'!$B:$B,$A14)*$E14</f>
        <v>0</v>
      </c>
      <c r="J14" s="250">
        <f>SUMIFS('All Measure &amp; TRC+ Calc'!AI:AI,'All Measure &amp; TRC+ Calc'!$D:$D,$C14,'All Measure &amp; TRC+ Calc'!$B:$B,$A14)*$E14</f>
        <v>0</v>
      </c>
      <c r="K14" s="250">
        <f>SUMIFS('All Measure &amp; TRC+ Calc'!AL:AL,'All Measure &amp; TRC+ Calc'!$D:$D,$C14,'All Measure &amp; TRC+ Calc'!$B:$B,$A14)*$E14</f>
        <v>0</v>
      </c>
      <c r="L14" s="250">
        <f>SUMIFS('All Measure &amp; TRC+ Calc'!AM:AM,'All Measure &amp; TRC+ Calc'!$D:$D,$C14,'All Measure &amp; TRC+ Calc'!$B:$B,$A14)*$E14</f>
        <v>0</v>
      </c>
      <c r="M14" s="250">
        <f>SUMIFS('All Measure &amp; TRC+ Calc'!AJ:AJ,'All Measure &amp; TRC+ Calc'!$D:$D,$C14,'All Measure &amp; TRC+ Calc'!$B:$B,$A14)*$E14</f>
        <v>0</v>
      </c>
      <c r="N14" s="250">
        <f>SUMIFS('All Measure &amp; TRC+ Calc'!AK:AK,'All Measure &amp; TRC+ Calc'!$D:$D,$C14,'All Measure &amp; TRC+ Calc'!$B:$B,$A14)*$E14</f>
        <v>0</v>
      </c>
      <c r="O14" s="250">
        <f>SUMIFS('All Measure &amp; TRC+ Calc'!AF:AF,'All Measure &amp; TRC+ Calc'!$D:$D,$C14,'All Measure &amp; TRC+ Calc'!$B:$B,$A14)*$E14</f>
        <v>0</v>
      </c>
      <c r="P14" s="250">
        <f>SUMIFS('All Measure &amp; TRC+ Calc'!AG:AG,'All Measure &amp; TRC+ Calc'!$D:$D,$C14,'All Measure &amp; TRC+ Calc'!$B:$B,$A14)*$E14</f>
        <v>0</v>
      </c>
      <c r="Q14" s="249">
        <v>1</v>
      </c>
      <c r="R14" s="190">
        <f>SUMIFS(Budget!$E:$E,Budget!$A:$A,$A14,Budget!$C:$C,$C14,Budget!$D:$D,R$7)*Summary[[#This Row],[Budget %  Adjustment]]</f>
        <v>0</v>
      </c>
      <c r="S14" s="190">
        <f>SUMIFS(Budget!$E:$E,Budget!$A:$A,$A14,Budget!$C:$C,$C14,Budget!$D:$D,S$7)*Summary[[#This Row],[Budget %  Adjustment]]</f>
        <v>0</v>
      </c>
      <c r="T14" s="190">
        <f>SUMIFS(Budget!$E:$E,Budget!$A:$A,$A14,Budget!$C:$C,$C14,Budget!$D:$D,T$7)*Summary[[#This Row],[Budget %  Adjustment]]</f>
        <v>0</v>
      </c>
      <c r="U14" s="190">
        <f>SUMIFS(Budget!$E:$E,Budget!$A:$A,$A14,Budget!$C:$C,$C14,Budget!$D:$D,U$7)*Summary[[#This Row],[Budget %  Adjustment]]</f>
        <v>2573738</v>
      </c>
      <c r="V14" s="190">
        <f>Summary[[#This Row],[Promo]]+Summary[[#This Row],[Delivery]]</f>
        <v>0</v>
      </c>
      <c r="W14" s="190">
        <f t="shared" si="0"/>
        <v>2573738</v>
      </c>
      <c r="X14" s="190">
        <f t="shared" si="1"/>
        <v>2573738</v>
      </c>
    </row>
    <row r="15" spans="1:24" x14ac:dyDescent="0.25">
      <c r="A15" s="156">
        <v>2027</v>
      </c>
      <c r="B15" s="247" t="s">
        <v>13</v>
      </c>
      <c r="C15" s="247" t="s">
        <v>9</v>
      </c>
      <c r="D15" s="247" t="s">
        <v>133</v>
      </c>
      <c r="E15" s="249">
        <v>1</v>
      </c>
      <c r="F15" s="250">
        <f>SUMIFS('All Measure &amp; TRC+ Calc'!F:F,'All Measure &amp; TRC+ Calc'!$D:$D,$C15,'All Measure &amp; TRC+ Calc'!$B:$B,$A15)*$E15</f>
        <v>1107</v>
      </c>
      <c r="G15" s="250">
        <f>SUMIFS('All Measure &amp; TRC+ Calc'!AD:AD,'All Measure &amp; TRC+ Calc'!$D:$D,$C15,'All Measure &amp; TRC+ Calc'!$B:$B,$A15)*$E15</f>
        <v>23329735.973343756</v>
      </c>
      <c r="H15" s="250">
        <f>SUMIFS('All Measure &amp; TRC+ Calc'!AE:AE,'All Measure &amp; TRC+ Calc'!$D:$D,$C15,'All Measure &amp; TRC+ Calc'!$B:$B,$A15)*$E15</f>
        <v>17612901.980007812</v>
      </c>
      <c r="I15" s="250">
        <f>SUMIFS('All Measure &amp; TRC+ Calc'!AH:AH,'All Measure &amp; TRC+ Calc'!$D:$D,$C15,'All Measure &amp; TRC+ Calc'!$B:$B,$A15)*$E15</f>
        <v>-6933003.2180943713</v>
      </c>
      <c r="J15" s="250">
        <f>SUMIFS('All Measure &amp; TRC+ Calc'!AI:AI,'All Measure &amp; TRC+ Calc'!$D:$D,$C15,'All Measure &amp; TRC+ Calc'!$B:$B,$A15)*$E15</f>
        <v>-5199752.4135707775</v>
      </c>
      <c r="K15" s="250">
        <f>SUMIFS('All Measure &amp; TRC+ Calc'!AL:AL,'All Measure &amp; TRC+ Calc'!$D:$D,$C15,'All Measure &amp; TRC+ Calc'!$B:$B,$A15)*$E15</f>
        <v>568.12564867080948</v>
      </c>
      <c r="L15" s="250">
        <f>SUMIFS('All Measure &amp; TRC+ Calc'!AM:AM,'All Measure &amp; TRC+ Calc'!$D:$D,$C15,'All Measure &amp; TRC+ Calc'!$B:$B,$A15)*$E15</f>
        <v>426.09423650310708</v>
      </c>
      <c r="M15" s="250">
        <f>SUMIFS('All Measure &amp; TRC+ Calc'!AJ:AJ,'All Measure &amp; TRC+ Calc'!$D:$D,$C15,'All Measure &amp; TRC+ Calc'!$B:$B,$A15)*$E15</f>
        <v>20264.406372549023</v>
      </c>
      <c r="N15" s="250">
        <f>SUMIFS('All Measure &amp; TRC+ Calc'!AK:AK,'All Measure &amp; TRC+ Calc'!$D:$D,$C15,'All Measure &amp; TRC+ Calc'!$B:$B,$A15)*$E15</f>
        <v>15198.304779411765</v>
      </c>
      <c r="O15" s="250">
        <f>SUMIFS('All Measure &amp; TRC+ Calc'!AF:AF,'All Measure &amp; TRC+ Calc'!$D:$D,$C15,'All Measure &amp; TRC+ Calc'!$B:$B,$A15)*$E15</f>
        <v>357500851.15557814</v>
      </c>
      <c r="P15" s="250">
        <f>SUMIFS('All Measure &amp; TRC+ Calc'!AG:AG,'All Measure &amp; TRC+ Calc'!$D:$D,$C15,'All Measure &amp; TRC+ Calc'!$B:$B,$A15)*$E15</f>
        <v>269281638.3666836</v>
      </c>
      <c r="Q15" s="249">
        <v>1</v>
      </c>
      <c r="R15" s="190">
        <f>SUMIFS(Budget!$E:$E,Budget!$A:$A,$A15,Budget!$C:$C,$C15,Budget!$D:$D,R$7)*Summary[[#This Row],[Budget %  Adjustment]]</f>
        <v>13883782</v>
      </c>
      <c r="S15" s="190">
        <f>SUMIFS(Budget!$E:$E,Budget!$A:$A,$A15,Budget!$C:$C,$C15,Budget!$D:$D,S$7)*Summary[[#This Row],[Budget %  Adjustment]]</f>
        <v>639500</v>
      </c>
      <c r="T15" s="190">
        <f>SUMIFS(Budget!$E:$E,Budget!$A:$A,$A15,Budget!$C:$C,$C15,Budget!$D:$D,T$7)*Summary[[#This Row],[Budget %  Adjustment]]</f>
        <v>276500</v>
      </c>
      <c r="U15" s="190">
        <f>SUMIFS(Budget!$E:$E,Budget!$A:$A,$A15,Budget!$C:$C,$C15,Budget!$D:$D,U$7)*Summary[[#This Row],[Budget %  Adjustment]]</f>
        <v>0</v>
      </c>
      <c r="V15" s="190">
        <f>Summary[[#This Row],[Promo]]+Summary[[#This Row],[Delivery]]</f>
        <v>916000</v>
      </c>
      <c r="W15" s="190">
        <f t="shared" si="0"/>
        <v>916000</v>
      </c>
      <c r="X15" s="190">
        <f t="shared" si="1"/>
        <v>14799782</v>
      </c>
    </row>
    <row r="16" spans="1:24" x14ac:dyDescent="0.25">
      <c r="A16" s="156">
        <v>2027</v>
      </c>
      <c r="B16" s="247" t="s">
        <v>13</v>
      </c>
      <c r="C16" s="247" t="s">
        <v>163</v>
      </c>
      <c r="D16" s="247" t="s">
        <v>133</v>
      </c>
      <c r="E16" s="249">
        <v>1</v>
      </c>
      <c r="F16" s="250">
        <f>SUMIFS('All Measure &amp; TRC+ Calc'!F:F,'All Measure &amp; TRC+ Calc'!$D:$D,$C16,'All Measure &amp; TRC+ Calc'!$B:$B,$A16)*$E16</f>
        <v>2278</v>
      </c>
      <c r="G16" s="250">
        <f>SUMIFS('All Measure &amp; TRC+ Calc'!AD:AD,'All Measure &amp; TRC+ Calc'!$D:$D,$C16,'All Measure &amp; TRC+ Calc'!$B:$B,$A16)*$E16</f>
        <v>5549731.6166091571</v>
      </c>
      <c r="H16" s="250">
        <f>SUMIFS('All Measure &amp; TRC+ Calc'!AE:AE,'All Measure &amp; TRC+ Calc'!$D:$D,$C16,'All Measure &amp; TRC+ Calc'!$B:$B,$A16)*$E16</f>
        <v>3145180.8974258802</v>
      </c>
      <c r="I16" s="250">
        <f>SUMIFS('All Measure &amp; TRC+ Calc'!AH:AH,'All Measure &amp; TRC+ Calc'!$D:$D,$C16,'All Measure &amp; TRC+ Calc'!$B:$B,$A16)*$E16</f>
        <v>-227166.08311242249</v>
      </c>
      <c r="J16" s="250">
        <f>SUMIFS('All Measure &amp; TRC+ Calc'!AI:AI,'All Measure &amp; TRC+ Calc'!$D:$D,$C16,'All Measure &amp; TRC+ Calc'!$B:$B,$A16)*$E16</f>
        <v>436377.63292146998</v>
      </c>
      <c r="K16" s="250">
        <f>SUMIFS('All Measure &amp; TRC+ Calc'!AL:AL,'All Measure &amp; TRC+ Calc'!$D:$D,$C16,'All Measure &amp; TRC+ Calc'!$B:$B,$A16)*$E16</f>
        <v>-962.61210393989029</v>
      </c>
      <c r="L16" s="250">
        <f>SUMIFS('All Measure &amp; TRC+ Calc'!AM:AM,'All Measure &amp; TRC+ Calc'!$D:$D,$C16,'All Measure &amp; TRC+ Calc'!$B:$B,$A16)*$E16</f>
        <v>-253.16164456605335</v>
      </c>
      <c r="M16" s="250">
        <f>SUMIFS('All Measure &amp; TRC+ Calc'!AJ:AJ,'All Measure &amp; TRC+ Calc'!$D:$D,$C16,'All Measure &amp; TRC+ Calc'!$B:$B,$A16)*$E16</f>
        <v>13468.014000000001</v>
      </c>
      <c r="N16" s="250">
        <f>SUMIFS('All Measure &amp; TRC+ Calc'!AK:AK,'All Measure &amp; TRC+ Calc'!$D:$D,$C16,'All Measure &amp; TRC+ Calc'!$B:$B,$A16)*$E16</f>
        <v>12390.572880000003</v>
      </c>
      <c r="O16" s="250">
        <f>SUMIFS('All Measure &amp; TRC+ Calc'!AF:AF,'All Measure &amp; TRC+ Calc'!$D:$D,$C16,'All Measure &amp; TRC+ Calc'!$B:$B,$A16)*$E16</f>
        <v>74516559.472649634</v>
      </c>
      <c r="P16" s="250">
        <f>SUMIFS('All Measure &amp; TRC+ Calc'!AG:AG,'All Measure &amp; TRC+ Calc'!$D:$D,$C16,'All Measure &amp; TRC+ Calc'!$B:$B,$A16)*$E16</f>
        <v>43435618.150065243</v>
      </c>
      <c r="Q16" s="249">
        <v>1</v>
      </c>
      <c r="R16" s="190">
        <f>SUMIFS(Budget!$E:$E,Budget!$A:$A,$A16,Budget!$C:$C,$C16,Budget!$D:$D,R$7)*Summary[[#This Row],[Budget %  Adjustment]]</f>
        <v>3934086</v>
      </c>
      <c r="S16" s="190">
        <f>SUMIFS(Budget!$E:$E,Budget!$A:$A,$A16,Budget!$C:$C,$C16,Budget!$D:$D,S$7)*Summary[[#This Row],[Budget %  Adjustment]]</f>
        <v>463500</v>
      </c>
      <c r="T16" s="190">
        <f>SUMIFS(Budget!$E:$E,Budget!$A:$A,$A16,Budget!$C:$C,$C16,Budget!$D:$D,T$7)*Summary[[#This Row],[Budget %  Adjustment]]</f>
        <v>455600</v>
      </c>
      <c r="U16" s="190">
        <f>SUMIFS(Budget!$E:$E,Budget!$A:$A,$A16,Budget!$C:$C,$C16,Budget!$D:$D,U$7)*Summary[[#This Row],[Budget %  Adjustment]]</f>
        <v>0</v>
      </c>
      <c r="V16" s="190">
        <f>Summary[[#This Row],[Promo]]+Summary[[#This Row],[Delivery]]</f>
        <v>919100</v>
      </c>
      <c r="W16" s="190">
        <f t="shared" si="0"/>
        <v>919100</v>
      </c>
      <c r="X16" s="190">
        <f t="shared" si="1"/>
        <v>4853186</v>
      </c>
    </row>
    <row r="17" spans="1:24" x14ac:dyDescent="0.25">
      <c r="A17" s="156">
        <v>2027</v>
      </c>
      <c r="B17" s="247" t="s">
        <v>13</v>
      </c>
      <c r="C17" s="247" t="s">
        <v>164</v>
      </c>
      <c r="D17" s="247" t="s">
        <v>133</v>
      </c>
      <c r="E17" s="249">
        <v>1</v>
      </c>
      <c r="F17" s="250">
        <f>SUMIFS('All Measure &amp; TRC+ Calc'!F:F,'All Measure &amp; TRC+ Calc'!$D:$D,$C17,'All Measure &amp; TRC+ Calc'!$B:$B,$A17)*$E17</f>
        <v>2584</v>
      </c>
      <c r="G17" s="250">
        <f>SUMIFS('All Measure &amp; TRC+ Calc'!AD:AD,'All Measure &amp; TRC+ Calc'!$D:$D,$C17,'All Measure &amp; TRC+ Calc'!$B:$B,$A17)*$E17</f>
        <v>6544554.4488903023</v>
      </c>
      <c r="H17" s="250">
        <f>SUMIFS('All Measure &amp; TRC+ Calc'!AE:AE,'All Measure &amp; TRC+ Calc'!$D:$D,$C17,'All Measure &amp; TRC+ Calc'!$B:$B,$A17)*$E17</f>
        <v>6227205.2764457874</v>
      </c>
      <c r="I17" s="250">
        <f>SUMIFS('All Measure &amp; TRC+ Calc'!AH:AH,'All Measure &amp; TRC+ Calc'!$D:$D,$C17,'All Measure &amp; TRC+ Calc'!$B:$B,$A17)*$E17</f>
        <v>3791198.929151258</v>
      </c>
      <c r="J17" s="250">
        <f>SUMIFS('All Measure &amp; TRC+ Calc'!AI:AI,'All Measure &amp; TRC+ Calc'!$D:$D,$C17,'All Measure &amp; TRC+ Calc'!$B:$B,$A17)*$E17</f>
        <v>3619406.9538936955</v>
      </c>
      <c r="K17" s="250">
        <f>SUMIFS('All Measure &amp; TRC+ Calc'!AL:AL,'All Measure &amp; TRC+ Calc'!$D:$D,$C17,'All Measure &amp; TRC+ Calc'!$B:$B,$A17)*$E17</f>
        <v>1400.3480886474752</v>
      </c>
      <c r="L17" s="250">
        <f>SUMIFS('All Measure &amp; TRC+ Calc'!AM:AM,'All Measure &amp; TRC+ Calc'!$D:$D,$C17,'All Measure &amp; TRC+ Calc'!$B:$B,$A17)*$E17</f>
        <v>1338.9675467313068</v>
      </c>
      <c r="M17" s="250">
        <f>SUMIFS('All Measure &amp; TRC+ Calc'!AJ:AJ,'All Measure &amp; TRC+ Calc'!$D:$D,$C17,'All Measure &amp; TRC+ Calc'!$B:$B,$A17)*$E17</f>
        <v>0</v>
      </c>
      <c r="N17" s="250">
        <f>SUMIFS('All Measure &amp; TRC+ Calc'!AK:AK,'All Measure &amp; TRC+ Calc'!$D:$D,$C17,'All Measure &amp; TRC+ Calc'!$B:$B,$A17)*$E17</f>
        <v>0</v>
      </c>
      <c r="O17" s="250">
        <f>SUMIFS('All Measure &amp; TRC+ Calc'!AF:AF,'All Measure &amp; TRC+ Calc'!$D:$D,$C17,'All Measure &amp; TRC+ Calc'!$B:$B,$A17)*$E17</f>
        <v>79232586.465754882</v>
      </c>
      <c r="P17" s="250">
        <f>SUMIFS('All Measure &amp; TRC+ Calc'!AG:AG,'All Measure &amp; TRC+ Calc'!$D:$D,$C17,'All Measure &amp; TRC+ Calc'!$B:$B,$A17)*$E17</f>
        <v>75400468.342467129</v>
      </c>
      <c r="Q17" s="249">
        <v>1</v>
      </c>
      <c r="R17" s="190">
        <f>SUMIFS(Budget!$E:$E,Budget!$A:$A,$A17,Budget!$C:$C,$C17,Budget!$D:$D,R$7)*Summary[[#This Row],[Budget %  Adjustment]]</f>
        <v>10023833</v>
      </c>
      <c r="S17" s="190">
        <f>SUMIFS(Budget!$E:$E,Budget!$A:$A,$A17,Budget!$C:$C,$C17,Budget!$D:$D,S$7)*Summary[[#This Row],[Budget %  Adjustment]]</f>
        <v>411500</v>
      </c>
      <c r="T17" s="190">
        <f>SUMIFS(Budget!$E:$E,Budget!$A:$A,$A17,Budget!$C:$C,$C17,Budget!$D:$D,T$7)*Summary[[#This Row],[Budget %  Adjustment]]</f>
        <v>516800</v>
      </c>
      <c r="U17" s="190">
        <f>SUMIFS(Budget!$E:$E,Budget!$A:$A,$A17,Budget!$C:$C,$C17,Budget!$D:$D,U$7)*Summary[[#This Row],[Budget %  Adjustment]]</f>
        <v>0</v>
      </c>
      <c r="V17" s="190">
        <f>Summary[[#This Row],[Promo]]+Summary[[#This Row],[Delivery]]</f>
        <v>928300</v>
      </c>
      <c r="W17" s="190">
        <f t="shared" si="0"/>
        <v>928300</v>
      </c>
      <c r="X17" s="190">
        <f t="shared" si="1"/>
        <v>10952133</v>
      </c>
    </row>
    <row r="18" spans="1:24" x14ac:dyDescent="0.25">
      <c r="A18" s="156">
        <v>2027</v>
      </c>
      <c r="B18" s="247" t="s">
        <v>13</v>
      </c>
      <c r="C18" s="247" t="s">
        <v>165</v>
      </c>
      <c r="D18" s="247" t="s">
        <v>133</v>
      </c>
      <c r="E18" s="249">
        <v>1</v>
      </c>
      <c r="F18" s="250">
        <f>SUMIFS('All Measure &amp; TRC+ Calc'!F:F,'All Measure &amp; TRC+ Calc'!$D:$D,$C18,'All Measure &amp; TRC+ Calc'!$B:$B,$A18)*$E18</f>
        <v>1716</v>
      </c>
      <c r="G18" s="250">
        <f>SUMIFS('All Measure &amp; TRC+ Calc'!AD:AD,'All Measure &amp; TRC+ Calc'!$D:$D,$C18,'All Measure &amp; TRC+ Calc'!$B:$B,$A18)*$E18</f>
        <v>2371944.8436538475</v>
      </c>
      <c r="H18" s="250">
        <f>SUMIFS('All Measure &amp; TRC+ Calc'!AE:AE,'All Measure &amp; TRC+ Calc'!$D:$D,$C18,'All Measure &amp; TRC+ Calc'!$B:$B,$A18)*$E18</f>
        <v>1897555.8749230783</v>
      </c>
      <c r="I18" s="250">
        <f>SUMIFS('All Measure &amp; TRC+ Calc'!AH:AH,'All Measure &amp; TRC+ Calc'!$D:$D,$C18,'All Measure &amp; TRC+ Calc'!$B:$B,$A18)*$E18</f>
        <v>3021927.1568</v>
      </c>
      <c r="J18" s="250">
        <f>SUMIFS('All Measure &amp; TRC+ Calc'!AI:AI,'All Measure &amp; TRC+ Calc'!$D:$D,$C18,'All Measure &amp; TRC+ Calc'!$B:$B,$A18)*$E18</f>
        <v>2417541.7254400006</v>
      </c>
      <c r="K18" s="250">
        <f>SUMIFS('All Measure &amp; TRC+ Calc'!AL:AL,'All Measure &amp; TRC+ Calc'!$D:$D,$C18,'All Measure &amp; TRC+ Calc'!$B:$B,$A18)*$E18</f>
        <v>344.96885351597859</v>
      </c>
      <c r="L18" s="250">
        <f>SUMIFS('All Measure &amp; TRC+ Calc'!AM:AM,'All Measure &amp; TRC+ Calc'!$D:$D,$C18,'All Measure &amp; TRC+ Calc'!$B:$B,$A18)*$E18</f>
        <v>275.97508281278294</v>
      </c>
      <c r="M18" s="250">
        <f>SUMIFS('All Measure &amp; TRC+ Calc'!AJ:AJ,'All Measure &amp; TRC+ Calc'!$D:$D,$C18,'All Measure &amp; TRC+ Calc'!$B:$B,$A18)*$E18</f>
        <v>130857.4202249739</v>
      </c>
      <c r="N18" s="250">
        <f>SUMIFS('All Measure &amp; TRC+ Calc'!AK:AK,'All Measure &amp; TRC+ Calc'!$D:$D,$C18,'All Measure &amp; TRC+ Calc'!$B:$B,$A18)*$E18</f>
        <v>104685.93617997914</v>
      </c>
      <c r="O18" s="250">
        <f>SUMIFS('All Measure &amp; TRC+ Calc'!AF:AF,'All Measure &amp; TRC+ Calc'!$D:$D,$C18,'All Measure &amp; TRC+ Calc'!$B:$B,$A18)*$E18</f>
        <v>29774452.123846173</v>
      </c>
      <c r="P18" s="250">
        <f>SUMIFS('All Measure &amp; TRC+ Calc'!AG:AG,'All Measure &amp; TRC+ Calc'!$D:$D,$C18,'All Measure &amp; TRC+ Calc'!$B:$B,$A18)*$E18</f>
        <v>23819561.699076939</v>
      </c>
      <c r="Q18" s="249">
        <v>1</v>
      </c>
      <c r="R18" s="190">
        <f>SUMIFS(Budget!$E:$E,Budget!$A:$A,$A18,Budget!$C:$C,$C18,Budget!$D:$D,R$7)*Summary[[#This Row],[Budget %  Adjustment]]</f>
        <v>2114178</v>
      </c>
      <c r="S18" s="190">
        <f>SUMIFS(Budget!$E:$E,Budget!$A:$A,$A18,Budget!$C:$C,$C18,Budget!$D:$D,S$7)*Summary[[#This Row],[Budget %  Adjustment]]</f>
        <v>367500</v>
      </c>
      <c r="T18" s="190">
        <f>SUMIFS(Budget!$E:$E,Budget!$A:$A,$A18,Budget!$C:$C,$C18,Budget!$D:$D,T$7)*Summary[[#This Row],[Budget %  Adjustment]]</f>
        <v>875500</v>
      </c>
      <c r="U18" s="190">
        <f>SUMIFS(Budget!$E:$E,Budget!$A:$A,$A18,Budget!$C:$C,$C18,Budget!$D:$D,U$7)*Summary[[#This Row],[Budget %  Adjustment]]</f>
        <v>0</v>
      </c>
      <c r="V18" s="190">
        <f>Summary[[#This Row],[Promo]]+Summary[[#This Row],[Delivery]]</f>
        <v>1243000</v>
      </c>
      <c r="W18" s="190">
        <f t="shared" si="0"/>
        <v>1243000</v>
      </c>
      <c r="X18" s="190">
        <f t="shared" si="1"/>
        <v>3357178</v>
      </c>
    </row>
    <row r="19" spans="1:24" x14ac:dyDescent="0.25">
      <c r="A19" s="156">
        <v>2027</v>
      </c>
      <c r="B19" s="247" t="s">
        <v>13</v>
      </c>
      <c r="C19" s="247" t="s">
        <v>166</v>
      </c>
      <c r="D19" s="247" t="s">
        <v>133</v>
      </c>
      <c r="E19" s="249">
        <v>1</v>
      </c>
      <c r="F19" s="250">
        <f>SUMIFS('All Measure &amp; TRC+ Calc'!F:F,'All Measure &amp; TRC+ Calc'!$D:$D,$C19,'All Measure &amp; TRC+ Calc'!$B:$B,$A19)*$E19</f>
        <v>72</v>
      </c>
      <c r="G19" s="250">
        <f>SUMIFS('All Measure &amp; TRC+ Calc'!AD:AD,'All Measure &amp; TRC+ Calc'!$D:$D,$C19,'All Measure &amp; TRC+ Calc'!$B:$B,$A19)*$E19</f>
        <v>262120.6067670926</v>
      </c>
      <c r="H19" s="250">
        <f>SUMIFS('All Measure &amp; TRC+ Calc'!AE:AE,'All Measure &amp; TRC+ Calc'!$D:$D,$C19,'All Measure &amp; TRC+ Calc'!$B:$B,$A19)*$E19</f>
        <v>196590.45507531945</v>
      </c>
      <c r="I19" s="250">
        <f>SUMIFS('All Measure &amp; TRC+ Calc'!AH:AH,'All Measure &amp; TRC+ Calc'!$D:$D,$C19,'All Measure &amp; TRC+ Calc'!$B:$B,$A19)*$E19</f>
        <v>0</v>
      </c>
      <c r="J19" s="250">
        <f>SUMIFS('All Measure &amp; TRC+ Calc'!AI:AI,'All Measure &amp; TRC+ Calc'!$D:$D,$C19,'All Measure &amp; TRC+ Calc'!$B:$B,$A19)*$E19</f>
        <v>0</v>
      </c>
      <c r="K19" s="250">
        <f>SUMIFS('All Measure &amp; TRC+ Calc'!AL:AL,'All Measure &amp; TRC+ Calc'!$D:$D,$C19,'All Measure &amp; TRC+ Calc'!$B:$B,$A19)*$E19</f>
        <v>0</v>
      </c>
      <c r="L19" s="250">
        <f>SUMIFS('All Measure &amp; TRC+ Calc'!AM:AM,'All Measure &amp; TRC+ Calc'!$D:$D,$C19,'All Measure &amp; TRC+ Calc'!$B:$B,$A19)*$E19</f>
        <v>0</v>
      </c>
      <c r="M19" s="250">
        <f>SUMIFS('All Measure &amp; TRC+ Calc'!AJ:AJ,'All Measure &amp; TRC+ Calc'!$D:$D,$C19,'All Measure &amp; TRC+ Calc'!$B:$B,$A19)*$E19</f>
        <v>0</v>
      </c>
      <c r="N19" s="250">
        <f>SUMIFS('All Measure &amp; TRC+ Calc'!AK:AK,'All Measure &amp; TRC+ Calc'!$D:$D,$C19,'All Measure &amp; TRC+ Calc'!$B:$B,$A19)*$E19</f>
        <v>0</v>
      </c>
      <c r="O19" s="250">
        <f>SUMIFS('All Measure &amp; TRC+ Calc'!AF:AF,'All Measure &amp; TRC+ Calc'!$D:$D,$C19,'All Measure &amp; TRC+ Calc'!$B:$B,$A19)*$E19</f>
        <v>1310603.033835463</v>
      </c>
      <c r="P19" s="250">
        <f>SUMIFS('All Measure &amp; TRC+ Calc'!AG:AG,'All Measure &amp; TRC+ Calc'!$D:$D,$C19,'All Measure &amp; TRC+ Calc'!$B:$B,$A19)*$E19</f>
        <v>982952.27537659719</v>
      </c>
      <c r="Q19" s="249">
        <v>1</v>
      </c>
      <c r="R19" s="190">
        <f>SUMIFS(Budget!$E:$E,Budget!$A:$A,$A19,Budget!$C:$C,$C19,Budget!$D:$D,R$7)*Summary[[#This Row],[Budget %  Adjustment]]</f>
        <v>246930</v>
      </c>
      <c r="S19" s="190">
        <f>SUMIFS(Budget!$E:$E,Budget!$A:$A,$A19,Budget!$C:$C,$C19,Budget!$D:$D,S$7)*Summary[[#This Row],[Budget %  Adjustment]]</f>
        <v>100000</v>
      </c>
      <c r="T19" s="190">
        <f>SUMIFS(Budget!$E:$E,Budget!$A:$A,$A19,Budget!$C:$C,$C19,Budget!$D:$D,T$7)*Summary[[#This Row],[Budget %  Adjustment]]</f>
        <v>226000</v>
      </c>
      <c r="U19" s="190">
        <f>SUMIFS(Budget!$E:$E,Budget!$A:$A,$A19,Budget!$C:$C,$C19,Budget!$D:$D,U$7)*Summary[[#This Row],[Budget %  Adjustment]]</f>
        <v>0</v>
      </c>
      <c r="V19" s="190">
        <f>Summary[[#This Row],[Promo]]+Summary[[#This Row],[Delivery]]</f>
        <v>326000</v>
      </c>
      <c r="W19" s="190">
        <f t="shared" si="0"/>
        <v>326000</v>
      </c>
      <c r="X19" s="190">
        <f t="shared" si="1"/>
        <v>572930</v>
      </c>
    </row>
    <row r="20" spans="1:24" x14ac:dyDescent="0.25">
      <c r="A20" s="156">
        <v>2027</v>
      </c>
      <c r="B20" s="247" t="s">
        <v>13</v>
      </c>
      <c r="C20" s="247" t="s">
        <v>167</v>
      </c>
      <c r="D20" s="247" t="s">
        <v>133</v>
      </c>
      <c r="E20" s="249">
        <v>1</v>
      </c>
      <c r="F20" s="250">
        <f>SUMIFS('All Measure &amp; TRC+ Calc'!F:F,'All Measure &amp; TRC+ Calc'!$D:$D,$C20,'All Measure &amp; TRC+ Calc'!$B:$B,$A20)*$E20</f>
        <v>68</v>
      </c>
      <c r="G20" s="250">
        <f>SUMIFS('All Measure &amp; TRC+ Calc'!AD:AD,'All Measure &amp; TRC+ Calc'!$D:$D,$C20,'All Measure &amp; TRC+ Calc'!$B:$B,$A20)*$E20</f>
        <v>44047</v>
      </c>
      <c r="H20" s="250">
        <f>SUMIFS('All Measure &amp; TRC+ Calc'!AE:AE,'All Measure &amp; TRC+ Calc'!$D:$D,$C20,'All Measure &amp; TRC+ Calc'!$B:$B,$A20)*$E20</f>
        <v>35237.600000000006</v>
      </c>
      <c r="I20" s="250">
        <f>SUMIFS('All Measure &amp; TRC+ Calc'!AH:AH,'All Measure &amp; TRC+ Calc'!$D:$D,$C20,'All Measure &amp; TRC+ Calc'!$B:$B,$A20)*$E20</f>
        <v>-122800.81599999999</v>
      </c>
      <c r="J20" s="250">
        <f>SUMIFS('All Measure &amp; TRC+ Calc'!AI:AI,'All Measure &amp; TRC+ Calc'!$D:$D,$C20,'All Measure &amp; TRC+ Calc'!$B:$B,$A20)*$E20</f>
        <v>-98240.652800000025</v>
      </c>
      <c r="K20" s="250">
        <f>SUMIFS('All Measure &amp; TRC+ Calc'!AL:AL,'All Measure &amp; TRC+ Calc'!$D:$D,$C20,'All Measure &amp; TRC+ Calc'!$B:$B,$A20)*$E20</f>
        <v>2.0890891448227142</v>
      </c>
      <c r="L20" s="250">
        <f>SUMIFS('All Measure &amp; TRC+ Calc'!AM:AM,'All Measure &amp; TRC+ Calc'!$D:$D,$C20,'All Measure &amp; TRC+ Calc'!$B:$B,$A20)*$E20</f>
        <v>1.6712713158581716</v>
      </c>
      <c r="M20" s="250">
        <f>SUMIFS('All Measure &amp; TRC+ Calc'!AJ:AJ,'All Measure &amp; TRC+ Calc'!$D:$D,$C20,'All Measure &amp; TRC+ Calc'!$B:$B,$A20)*$E20</f>
        <v>0</v>
      </c>
      <c r="N20" s="250">
        <f>SUMIFS('All Measure &amp; TRC+ Calc'!AK:AK,'All Measure &amp; TRC+ Calc'!$D:$D,$C20,'All Measure &amp; TRC+ Calc'!$B:$B,$A20)*$E20</f>
        <v>0</v>
      </c>
      <c r="O20" s="250">
        <f>SUMIFS('All Measure &amp; TRC+ Calc'!AF:AF,'All Measure &amp; TRC+ Calc'!$D:$D,$C20,'All Measure &amp; TRC+ Calc'!$B:$B,$A20)*$E20</f>
        <v>766678</v>
      </c>
      <c r="P20" s="250">
        <f>SUMIFS('All Measure &amp; TRC+ Calc'!AG:AG,'All Measure &amp; TRC+ Calc'!$D:$D,$C20,'All Measure &amp; TRC+ Calc'!$B:$B,$A20)*$E20</f>
        <v>613342.4</v>
      </c>
      <c r="Q20" s="249">
        <v>1</v>
      </c>
      <c r="R20" s="190">
        <f>SUMIFS(Budget!$E:$E,Budget!$A:$A,$A20,Budget!$C:$C,$C20,Budget!$D:$D,R$7)*Summary[[#This Row],[Budget %  Adjustment]]</f>
        <v>77869</v>
      </c>
      <c r="S20" s="190">
        <f>SUMIFS(Budget!$E:$E,Budget!$A:$A,$A20,Budget!$C:$C,$C20,Budget!$D:$D,S$7)*Summary[[#This Row],[Budget %  Adjustment]]</f>
        <v>75000</v>
      </c>
      <c r="T20" s="190">
        <f>SUMIFS(Budget!$E:$E,Budget!$A:$A,$A20,Budget!$C:$C,$C20,Budget!$D:$D,T$7)*Summary[[#This Row],[Budget %  Adjustment]]</f>
        <v>52806</v>
      </c>
      <c r="U20" s="190">
        <f>SUMIFS(Budget!$E:$E,Budget!$A:$A,$A20,Budget!$C:$C,$C20,Budget!$D:$D,U$7)*Summary[[#This Row],[Budget %  Adjustment]]</f>
        <v>0</v>
      </c>
      <c r="V20" s="190">
        <f>Summary[[#This Row],[Promo]]+Summary[[#This Row],[Delivery]]</f>
        <v>127806</v>
      </c>
      <c r="W20" s="190">
        <f t="shared" si="0"/>
        <v>127806</v>
      </c>
      <c r="X20" s="190">
        <f t="shared" si="1"/>
        <v>205675</v>
      </c>
    </row>
    <row r="21" spans="1:24" x14ac:dyDescent="0.25">
      <c r="A21" s="156">
        <v>2027</v>
      </c>
      <c r="B21" s="247" t="s">
        <v>13</v>
      </c>
      <c r="C21" s="247" t="s">
        <v>168</v>
      </c>
      <c r="D21" s="247" t="s">
        <v>256</v>
      </c>
      <c r="E21" s="249">
        <v>1</v>
      </c>
      <c r="F21" s="250">
        <f>SUMIFS('All Measure &amp; TRC+ Calc'!F:F,'All Measure &amp; TRC+ Calc'!$D:$D,$C21,'All Measure &amp; TRC+ Calc'!$B:$B,$A21)*$E21</f>
        <v>0</v>
      </c>
      <c r="G21" s="250">
        <f>SUMIFS('All Measure &amp; TRC+ Calc'!AD:AD,'All Measure &amp; TRC+ Calc'!$D:$D,$C21,'All Measure &amp; TRC+ Calc'!$B:$B,$A21)*$E21</f>
        <v>0</v>
      </c>
      <c r="H21" s="250">
        <f>SUMIFS('All Measure &amp; TRC+ Calc'!AE:AE,'All Measure &amp; TRC+ Calc'!$D:$D,$C21,'All Measure &amp; TRC+ Calc'!$B:$B,$A21)*$E21</f>
        <v>0</v>
      </c>
      <c r="I21" s="250">
        <f>SUMIFS('All Measure &amp; TRC+ Calc'!AH:AH,'All Measure &amp; TRC+ Calc'!$D:$D,$C21,'All Measure &amp; TRC+ Calc'!$B:$B,$A21)*$E21</f>
        <v>0</v>
      </c>
      <c r="J21" s="250">
        <f>SUMIFS('All Measure &amp; TRC+ Calc'!AI:AI,'All Measure &amp; TRC+ Calc'!$D:$D,$C21,'All Measure &amp; TRC+ Calc'!$B:$B,$A21)*$E21</f>
        <v>0</v>
      </c>
      <c r="K21" s="250">
        <f>SUMIFS('All Measure &amp; TRC+ Calc'!AL:AL,'All Measure &amp; TRC+ Calc'!$D:$D,$C21,'All Measure &amp; TRC+ Calc'!$B:$B,$A21)*$E21</f>
        <v>0</v>
      </c>
      <c r="L21" s="250">
        <f>SUMIFS('All Measure &amp; TRC+ Calc'!AM:AM,'All Measure &amp; TRC+ Calc'!$D:$D,$C21,'All Measure &amp; TRC+ Calc'!$B:$B,$A21)*$E21</f>
        <v>0</v>
      </c>
      <c r="M21" s="250">
        <f>SUMIFS('All Measure &amp; TRC+ Calc'!AJ:AJ,'All Measure &amp; TRC+ Calc'!$D:$D,$C21,'All Measure &amp; TRC+ Calc'!$B:$B,$A21)*$E21</f>
        <v>0</v>
      </c>
      <c r="N21" s="250">
        <f>SUMIFS('All Measure &amp; TRC+ Calc'!AK:AK,'All Measure &amp; TRC+ Calc'!$D:$D,$C21,'All Measure &amp; TRC+ Calc'!$B:$B,$A21)*$E21</f>
        <v>0</v>
      </c>
      <c r="O21" s="250">
        <f>SUMIFS('All Measure &amp; TRC+ Calc'!AF:AF,'All Measure &amp; TRC+ Calc'!$D:$D,$C21,'All Measure &amp; TRC+ Calc'!$B:$B,$A21)*$E21</f>
        <v>0</v>
      </c>
      <c r="P21" s="250">
        <f>SUMIFS('All Measure &amp; TRC+ Calc'!AG:AG,'All Measure &amp; TRC+ Calc'!$D:$D,$C21,'All Measure &amp; TRC+ Calc'!$B:$B,$A21)*$E21</f>
        <v>0</v>
      </c>
      <c r="Q21" s="249">
        <v>1</v>
      </c>
      <c r="R21" s="190">
        <f>SUMIFS(Budget!$E:$E,Budget!$A:$A,$A21,Budget!$C:$C,$C21,Budget!$D:$D,R$7)*Summary[[#This Row],[Budget %  Adjustment]]</f>
        <v>500000</v>
      </c>
      <c r="S21" s="190">
        <f>SUMIFS(Budget!$E:$E,Budget!$A:$A,$A21,Budget!$C:$C,$C21,Budget!$D:$D,S$7)*Summary[[#This Row],[Budget %  Adjustment]]</f>
        <v>30000</v>
      </c>
      <c r="T21" s="190">
        <f>SUMIFS(Budget!$E:$E,Budget!$A:$A,$A21,Budget!$C:$C,$C21,Budget!$D:$D,T$7)*Summary[[#This Row],[Budget %  Adjustment]]</f>
        <v>250000</v>
      </c>
      <c r="U21" s="190">
        <f>SUMIFS(Budget!$E:$E,Budget!$A:$A,$A21,Budget!$C:$C,$C21,Budget!$D:$D,U$7)*Summary[[#This Row],[Budget %  Adjustment]]</f>
        <v>0</v>
      </c>
      <c r="V21" s="190">
        <f>Summary[[#This Row],[Promo]]+Summary[[#This Row],[Delivery]]</f>
        <v>280000</v>
      </c>
      <c r="W21" s="190">
        <f t="shared" si="0"/>
        <v>280000</v>
      </c>
      <c r="X21" s="190">
        <f t="shared" si="1"/>
        <v>780000</v>
      </c>
    </row>
    <row r="22" spans="1:24" x14ac:dyDescent="0.25">
      <c r="A22" s="156">
        <v>2027</v>
      </c>
      <c r="B22" s="247" t="s">
        <v>13</v>
      </c>
      <c r="C22" s="247" t="s">
        <v>18</v>
      </c>
      <c r="D22" s="247" t="s">
        <v>256</v>
      </c>
      <c r="E22" s="249">
        <v>1</v>
      </c>
      <c r="F22" s="250">
        <f>SUMIFS('All Measure &amp; TRC+ Calc'!F:F,'All Measure &amp; TRC+ Calc'!$D:$D,$C22,'All Measure &amp; TRC+ Calc'!$B:$B,$A22)*$E22</f>
        <v>0</v>
      </c>
      <c r="G22" s="250">
        <f>SUMIFS('All Measure &amp; TRC+ Calc'!AD:AD,'All Measure &amp; TRC+ Calc'!$D:$D,$C22,'All Measure &amp; TRC+ Calc'!$B:$B,$A22)*$E22</f>
        <v>0</v>
      </c>
      <c r="H22" s="250">
        <f>SUMIFS('All Measure &amp; TRC+ Calc'!AE:AE,'All Measure &amp; TRC+ Calc'!$D:$D,$C22,'All Measure &amp; TRC+ Calc'!$B:$B,$A22)*$E22</f>
        <v>0</v>
      </c>
      <c r="I22" s="250">
        <f>SUMIFS('All Measure &amp; TRC+ Calc'!AH:AH,'All Measure &amp; TRC+ Calc'!$D:$D,$C22,'All Measure &amp; TRC+ Calc'!$B:$B,$A22)*$E22</f>
        <v>0</v>
      </c>
      <c r="J22" s="250">
        <f>SUMIFS('All Measure &amp; TRC+ Calc'!AI:AI,'All Measure &amp; TRC+ Calc'!$D:$D,$C22,'All Measure &amp; TRC+ Calc'!$B:$B,$A22)*$E22</f>
        <v>0</v>
      </c>
      <c r="K22" s="250">
        <f>SUMIFS('All Measure &amp; TRC+ Calc'!AL:AL,'All Measure &amp; TRC+ Calc'!$D:$D,$C22,'All Measure &amp; TRC+ Calc'!$B:$B,$A22)*$E22</f>
        <v>0</v>
      </c>
      <c r="L22" s="250">
        <f>SUMIFS('All Measure &amp; TRC+ Calc'!AM:AM,'All Measure &amp; TRC+ Calc'!$D:$D,$C22,'All Measure &amp; TRC+ Calc'!$B:$B,$A22)*$E22</f>
        <v>0</v>
      </c>
      <c r="M22" s="250">
        <f>SUMIFS('All Measure &amp; TRC+ Calc'!AJ:AJ,'All Measure &amp; TRC+ Calc'!$D:$D,$C22,'All Measure &amp; TRC+ Calc'!$B:$B,$A22)*$E22</f>
        <v>0</v>
      </c>
      <c r="N22" s="250">
        <f>SUMIFS('All Measure &amp; TRC+ Calc'!AK:AK,'All Measure &amp; TRC+ Calc'!$D:$D,$C22,'All Measure &amp; TRC+ Calc'!$B:$B,$A22)*$E22</f>
        <v>0</v>
      </c>
      <c r="O22" s="250">
        <f>SUMIFS('All Measure &amp; TRC+ Calc'!AF:AF,'All Measure &amp; TRC+ Calc'!$D:$D,$C22,'All Measure &amp; TRC+ Calc'!$B:$B,$A22)*$E22</f>
        <v>0</v>
      </c>
      <c r="P22" s="250">
        <f>SUMIFS('All Measure &amp; TRC+ Calc'!AG:AG,'All Measure &amp; TRC+ Calc'!$D:$D,$C22,'All Measure &amp; TRC+ Calc'!$B:$B,$A22)*$E22</f>
        <v>0</v>
      </c>
      <c r="Q22" s="249">
        <v>1</v>
      </c>
      <c r="R22" s="190">
        <f>SUMIFS(Budget!$E:$E,Budget!$A:$A,$A22,Budget!$C:$C,$C22,Budget!$D:$D,R$7)*Summary[[#This Row],[Budget %  Adjustment]]</f>
        <v>1800000</v>
      </c>
      <c r="S22" s="190">
        <f>SUMIFS(Budget!$E:$E,Budget!$A:$A,$A22,Budget!$C:$C,$C22,Budget!$D:$D,S$7)*Summary[[#This Row],[Budget %  Adjustment]]</f>
        <v>40000</v>
      </c>
      <c r="T22" s="190">
        <f>SUMIFS(Budget!$E:$E,Budget!$A:$A,$A22,Budget!$C:$C,$C22,Budget!$D:$D,T$7)*Summary[[#This Row],[Budget %  Adjustment]]</f>
        <v>160000</v>
      </c>
      <c r="U22" s="190">
        <f>SUMIFS(Budget!$E:$E,Budget!$A:$A,$A22,Budget!$C:$C,$C22,Budget!$D:$D,U$7)*Summary[[#This Row],[Budget %  Adjustment]]</f>
        <v>0</v>
      </c>
      <c r="V22" s="190">
        <f>Summary[[#This Row],[Promo]]+Summary[[#This Row],[Delivery]]</f>
        <v>200000</v>
      </c>
      <c r="W22" s="190">
        <f t="shared" si="0"/>
        <v>200000</v>
      </c>
      <c r="X22" s="190">
        <f t="shared" si="1"/>
        <v>2000000</v>
      </c>
    </row>
    <row r="23" spans="1:24" x14ac:dyDescent="0.25">
      <c r="A23" s="156">
        <v>2027</v>
      </c>
      <c r="B23" s="247" t="s">
        <v>13</v>
      </c>
      <c r="C23" s="247" t="s">
        <v>19</v>
      </c>
      <c r="D23" s="247" t="s">
        <v>19</v>
      </c>
      <c r="E23" s="249">
        <v>1</v>
      </c>
      <c r="F23" s="250">
        <f>SUMIFS('All Measure &amp; TRC+ Calc'!F:F,'All Measure &amp; TRC+ Calc'!$D:$D,$C23,'All Measure &amp; TRC+ Calc'!$B:$B,$A23)*$E23</f>
        <v>0</v>
      </c>
      <c r="G23" s="250">
        <f>SUMIFS('All Measure &amp; TRC+ Calc'!AD:AD,'All Measure &amp; TRC+ Calc'!$D:$D,$C23,'All Measure &amp; TRC+ Calc'!$B:$B,$A23)*$E23</f>
        <v>0</v>
      </c>
      <c r="H23" s="250">
        <f>SUMIFS('All Measure &amp; TRC+ Calc'!AE:AE,'All Measure &amp; TRC+ Calc'!$D:$D,$C23,'All Measure &amp; TRC+ Calc'!$B:$B,$A23)*$E23</f>
        <v>0</v>
      </c>
      <c r="I23" s="250">
        <f>SUMIFS('All Measure &amp; TRC+ Calc'!AH:AH,'All Measure &amp; TRC+ Calc'!$D:$D,$C23,'All Measure &amp; TRC+ Calc'!$B:$B,$A23)*$E23</f>
        <v>0</v>
      </c>
      <c r="J23" s="250">
        <f>SUMIFS('All Measure &amp; TRC+ Calc'!AI:AI,'All Measure &amp; TRC+ Calc'!$D:$D,$C23,'All Measure &amp; TRC+ Calc'!$B:$B,$A23)*$E23</f>
        <v>0</v>
      </c>
      <c r="K23" s="250">
        <f>SUMIFS('All Measure &amp; TRC+ Calc'!AL:AL,'All Measure &amp; TRC+ Calc'!$D:$D,$C23,'All Measure &amp; TRC+ Calc'!$B:$B,$A23)*$E23</f>
        <v>0</v>
      </c>
      <c r="L23" s="250">
        <f>SUMIFS('All Measure &amp; TRC+ Calc'!AM:AM,'All Measure &amp; TRC+ Calc'!$D:$D,$C23,'All Measure &amp; TRC+ Calc'!$B:$B,$A23)*$E23</f>
        <v>0</v>
      </c>
      <c r="M23" s="250">
        <f>SUMIFS('All Measure &amp; TRC+ Calc'!AJ:AJ,'All Measure &amp; TRC+ Calc'!$D:$D,$C23,'All Measure &amp; TRC+ Calc'!$B:$B,$A23)*$E23</f>
        <v>0</v>
      </c>
      <c r="N23" s="250">
        <f>SUMIFS('All Measure &amp; TRC+ Calc'!AK:AK,'All Measure &amp; TRC+ Calc'!$D:$D,$C23,'All Measure &amp; TRC+ Calc'!$B:$B,$A23)*$E23</f>
        <v>0</v>
      </c>
      <c r="O23" s="250">
        <f>SUMIFS('All Measure &amp; TRC+ Calc'!AF:AF,'All Measure &amp; TRC+ Calc'!$D:$D,$C23,'All Measure &amp; TRC+ Calc'!$B:$B,$A23)*$E23</f>
        <v>0</v>
      </c>
      <c r="P23" s="250">
        <f>SUMIFS('All Measure &amp; TRC+ Calc'!AG:AG,'All Measure &amp; TRC+ Calc'!$D:$D,$C23,'All Measure &amp; TRC+ Calc'!$B:$B,$A23)*$E23</f>
        <v>0</v>
      </c>
      <c r="Q23" s="249">
        <v>1</v>
      </c>
      <c r="R23" s="190">
        <f>SUMIFS(Budget!$E:$E,Budget!$A:$A,$A23,Budget!$C:$C,$C23,Budget!$D:$D,R$7)*Summary[[#This Row],[Budget %  Adjustment]]</f>
        <v>0</v>
      </c>
      <c r="S23" s="190">
        <f>SUMIFS(Budget!$E:$E,Budget!$A:$A,$A23,Budget!$C:$C,$C23,Budget!$D:$D,S$7)*Summary[[#This Row],[Budget %  Adjustment]]</f>
        <v>0</v>
      </c>
      <c r="T23" s="190">
        <f>SUMIFS(Budget!$E:$E,Budget!$A:$A,$A23,Budget!$C:$C,$C23,Budget!$D:$D,T$7)*Summary[[#This Row],[Budget %  Adjustment]]</f>
        <v>0</v>
      </c>
      <c r="U23" s="190">
        <f>SUMIFS(Budget!$E:$E,Budget!$A:$A,$A23,Budget!$C:$C,$C23,Budget!$D:$D,U$7)*Summary[[#This Row],[Budget %  Adjustment]]</f>
        <v>5527149</v>
      </c>
      <c r="V23" s="190">
        <f>Summary[[#This Row],[Promo]]+Summary[[#This Row],[Delivery]]</f>
        <v>0</v>
      </c>
      <c r="W23" s="190">
        <f t="shared" si="0"/>
        <v>5527149</v>
      </c>
      <c r="X23" s="190">
        <f t="shared" si="1"/>
        <v>5527149</v>
      </c>
    </row>
    <row r="24" spans="1:24" x14ac:dyDescent="0.25">
      <c r="A24" s="156">
        <v>2027</v>
      </c>
      <c r="B24" s="247" t="s">
        <v>14</v>
      </c>
      <c r="C24" s="247" t="s">
        <v>8</v>
      </c>
      <c r="D24" s="247" t="s">
        <v>133</v>
      </c>
      <c r="E24" s="249">
        <v>1</v>
      </c>
      <c r="F24" s="250">
        <f>SUMIFS('All Measure &amp; TRC+ Calc'!F:F,'All Measure &amp; TRC+ Calc'!$D:$D,$C24,'All Measure &amp; TRC+ Calc'!$B:$B,$A24)*$E24</f>
        <v>284</v>
      </c>
      <c r="G24" s="250">
        <f>SUMIFS('All Measure &amp; TRC+ Calc'!AD:AD,'All Measure &amp; TRC+ Calc'!$D:$D,$C24,'All Measure &amp; TRC+ Calc'!$B:$B,$A24)*$E24</f>
        <v>77449853.227206796</v>
      </c>
      <c r="H24" s="250">
        <f>SUMIFS('All Measure &amp; TRC+ Calc'!AE:AE,'All Measure &amp; TRC+ Calc'!$D:$D,$C24,'All Measure &amp; TRC+ Calc'!$B:$B,$A24)*$E24</f>
        <v>54214897.259044752</v>
      </c>
      <c r="I24" s="250">
        <f>SUMIFS('All Measure &amp; TRC+ Calc'!AH:AH,'All Measure &amp; TRC+ Calc'!$D:$D,$C24,'All Measure &amp; TRC+ Calc'!$B:$B,$A24)*$E24</f>
        <v>180576.4185152</v>
      </c>
      <c r="J24" s="250">
        <f>SUMIFS('All Measure &amp; TRC+ Calc'!AI:AI,'All Measure &amp; TRC+ Calc'!$D:$D,$C24,'All Measure &amp; TRC+ Calc'!$B:$B,$A24)*$E24</f>
        <v>126403.49296064</v>
      </c>
      <c r="K24" s="250">
        <f>SUMIFS('All Measure &amp; TRC+ Calc'!AL:AL,'All Measure &amp; TRC+ Calc'!$D:$D,$C24,'All Measure &amp; TRC+ Calc'!$B:$B,$A24)*$E24</f>
        <v>35.457184166030665</v>
      </c>
      <c r="L24" s="250">
        <f>SUMIFS('All Measure &amp; TRC+ Calc'!AM:AM,'All Measure &amp; TRC+ Calc'!$D:$D,$C24,'All Measure &amp; TRC+ Calc'!$B:$B,$A24)*$E24</f>
        <v>24.82002891622146</v>
      </c>
      <c r="M24" s="250">
        <f>SUMIFS('All Measure &amp; TRC+ Calc'!AJ:AJ,'All Measure &amp; TRC+ Calc'!$D:$D,$C24,'All Measure &amp; TRC+ Calc'!$B:$B,$A24)*$E24</f>
        <v>3185.7421893360001</v>
      </c>
      <c r="N24" s="250">
        <f>SUMIFS('All Measure &amp; TRC+ Calc'!AK:AK,'All Measure &amp; TRC+ Calc'!$D:$D,$C24,'All Measure &amp; TRC+ Calc'!$B:$B,$A24)*$E24</f>
        <v>2230.0195325352001</v>
      </c>
      <c r="O24" s="250">
        <f>SUMIFS('All Measure &amp; TRC+ Calc'!AF:AF,'All Measure &amp; TRC+ Calc'!$D:$D,$C24,'All Measure &amp; TRC+ Calc'!$B:$B,$A24)*$E24</f>
        <v>1259575644.126673</v>
      </c>
      <c r="P24" s="250">
        <f>SUMIFS('All Measure &amp; TRC+ Calc'!AG:AG,'All Measure &amp; TRC+ Calc'!$D:$D,$C24,'All Measure &amp; TRC+ Calc'!$B:$B,$A24)*$E24</f>
        <v>881702950.88867092</v>
      </c>
      <c r="Q24" s="249">
        <v>1</v>
      </c>
      <c r="R24" s="190">
        <f>SUMIFS(Budget!$E:$E,Budget!$A:$A,$A24,Budget!$C:$C,$C24,Budget!$D:$D,R$7)*Summary[[#This Row],[Budget %  Adjustment]]</f>
        <v>18321597</v>
      </c>
      <c r="S24" s="190">
        <f>SUMIFS(Budget!$E:$E,Budget!$A:$A,$A24,Budget!$C:$C,$C24,Budget!$D:$D,S$7)*Summary[[#This Row],[Budget %  Adjustment]]</f>
        <v>870000</v>
      </c>
      <c r="T24" s="190">
        <f>SUMIFS(Budget!$E:$E,Budget!$A:$A,$A24,Budget!$C:$C,$C24,Budget!$D:$D,T$7)*Summary[[#This Row],[Budget %  Adjustment]]</f>
        <v>100000</v>
      </c>
      <c r="U24" s="190">
        <f>SUMIFS(Budget!$E:$E,Budget!$A:$A,$A24,Budget!$C:$C,$C24,Budget!$D:$D,U$7)*Summary[[#This Row],[Budget %  Adjustment]]</f>
        <v>0</v>
      </c>
      <c r="V24" s="190">
        <f>Summary[[#This Row],[Promo]]+Summary[[#This Row],[Delivery]]</f>
        <v>970000</v>
      </c>
      <c r="W24" s="190">
        <f t="shared" si="0"/>
        <v>970000</v>
      </c>
      <c r="X24" s="190">
        <f t="shared" si="1"/>
        <v>19291597</v>
      </c>
    </row>
    <row r="25" spans="1:24" x14ac:dyDescent="0.25">
      <c r="A25" s="156">
        <v>2027</v>
      </c>
      <c r="B25" s="247" t="s">
        <v>14</v>
      </c>
      <c r="C25" s="247" t="s">
        <v>169</v>
      </c>
      <c r="D25" s="247" t="s">
        <v>133</v>
      </c>
      <c r="E25" s="249">
        <v>1</v>
      </c>
      <c r="F25" s="250">
        <f>SUMIFS('All Measure &amp; TRC+ Calc'!F:F,'All Measure &amp; TRC+ Calc'!$D:$D,$C25,'All Measure &amp; TRC+ Calc'!$B:$B,$A25)*$E25</f>
        <v>0</v>
      </c>
      <c r="G25" s="250">
        <f>SUMIFS('All Measure &amp; TRC+ Calc'!AD:AD,'All Measure &amp; TRC+ Calc'!$D:$D,$C25,'All Measure &amp; TRC+ Calc'!$B:$B,$A25)*$E25</f>
        <v>0</v>
      </c>
      <c r="H25" s="250">
        <f>SUMIFS('All Measure &amp; TRC+ Calc'!AE:AE,'All Measure &amp; TRC+ Calc'!$D:$D,$C25,'All Measure &amp; TRC+ Calc'!$B:$B,$A25)*$E25</f>
        <v>0</v>
      </c>
      <c r="I25" s="250">
        <f>SUMIFS('All Measure &amp; TRC+ Calc'!AH:AH,'All Measure &amp; TRC+ Calc'!$D:$D,$C25,'All Measure &amp; TRC+ Calc'!$B:$B,$A25)*$E25</f>
        <v>0</v>
      </c>
      <c r="J25" s="250">
        <f>SUMIFS('All Measure &amp; TRC+ Calc'!AI:AI,'All Measure &amp; TRC+ Calc'!$D:$D,$C25,'All Measure &amp; TRC+ Calc'!$B:$B,$A25)*$E25</f>
        <v>0</v>
      </c>
      <c r="K25" s="250">
        <f>SUMIFS('All Measure &amp; TRC+ Calc'!AL:AL,'All Measure &amp; TRC+ Calc'!$D:$D,$C25,'All Measure &amp; TRC+ Calc'!$B:$B,$A25)*$E25</f>
        <v>0</v>
      </c>
      <c r="L25" s="250">
        <f>SUMIFS('All Measure &amp; TRC+ Calc'!AM:AM,'All Measure &amp; TRC+ Calc'!$D:$D,$C25,'All Measure &amp; TRC+ Calc'!$B:$B,$A25)*$E25</f>
        <v>0</v>
      </c>
      <c r="M25" s="250">
        <f>SUMIFS('All Measure &amp; TRC+ Calc'!AJ:AJ,'All Measure &amp; TRC+ Calc'!$D:$D,$C25,'All Measure &amp; TRC+ Calc'!$B:$B,$A25)*$E25</f>
        <v>0</v>
      </c>
      <c r="N25" s="250">
        <f>SUMIFS('All Measure &amp; TRC+ Calc'!AK:AK,'All Measure &amp; TRC+ Calc'!$D:$D,$C25,'All Measure &amp; TRC+ Calc'!$B:$B,$A25)*$E25</f>
        <v>0</v>
      </c>
      <c r="O25" s="250">
        <f>SUMIFS('All Measure &amp; TRC+ Calc'!AF:AF,'All Measure &amp; TRC+ Calc'!$D:$D,$C25,'All Measure &amp; TRC+ Calc'!$B:$B,$A25)*$E25</f>
        <v>0</v>
      </c>
      <c r="P25" s="250">
        <f>SUMIFS('All Measure &amp; TRC+ Calc'!AG:AG,'All Measure &amp; TRC+ Calc'!$D:$D,$C25,'All Measure &amp; TRC+ Calc'!$B:$B,$A25)*$E25</f>
        <v>0</v>
      </c>
      <c r="Q25" s="249">
        <v>1</v>
      </c>
      <c r="R25" s="190">
        <f>SUMIFS(Budget!$E:$E,Budget!$A:$A,$A25,Budget!$C:$C,$C25,Budget!$D:$D,R$7)*Summary[[#This Row],[Budget %  Adjustment]]</f>
        <v>0</v>
      </c>
      <c r="S25" s="190">
        <f>SUMIFS(Budget!$E:$E,Budget!$A:$A,$A25,Budget!$C:$C,$C25,Budget!$D:$D,S$7)*Summary[[#This Row],[Budget %  Adjustment]]</f>
        <v>0</v>
      </c>
      <c r="T25" s="190">
        <f>SUMIFS(Budget!$E:$E,Budget!$A:$A,$A25,Budget!$C:$C,$C25,Budget!$D:$D,T$7)*Summary[[#This Row],[Budget %  Adjustment]]</f>
        <v>0</v>
      </c>
      <c r="U25" s="190">
        <f>SUMIFS(Budget!$E:$E,Budget!$A:$A,$A25,Budget!$C:$C,$C25,Budget!$D:$D,U$7)*Summary[[#This Row],[Budget %  Adjustment]]</f>
        <v>0</v>
      </c>
      <c r="V25" s="190">
        <f>Summary[[#This Row],[Promo]]+Summary[[#This Row],[Delivery]]</f>
        <v>0</v>
      </c>
      <c r="W25" s="190">
        <f t="shared" si="0"/>
        <v>0</v>
      </c>
      <c r="X25" s="190">
        <f t="shared" si="1"/>
        <v>0</v>
      </c>
    </row>
    <row r="26" spans="1:24" x14ac:dyDescent="0.25">
      <c r="A26" s="156">
        <v>2027</v>
      </c>
      <c r="B26" s="247" t="s">
        <v>14</v>
      </c>
      <c r="C26" s="247" t="s">
        <v>170</v>
      </c>
      <c r="D26" s="247" t="s">
        <v>133</v>
      </c>
      <c r="E26" s="249">
        <v>1</v>
      </c>
      <c r="F26" s="250">
        <f>SUMIFS('All Measure &amp; TRC+ Calc'!F:F,'All Measure &amp; TRC+ Calc'!$D:$D,$C26,'All Measure &amp; TRC+ Calc'!$B:$B,$A26)*$E26</f>
        <v>0</v>
      </c>
      <c r="G26" s="250">
        <f>SUMIFS('All Measure &amp; TRC+ Calc'!AD:AD,'All Measure &amp; TRC+ Calc'!$D:$D,$C26,'All Measure &amp; TRC+ Calc'!$B:$B,$A26)*$E26</f>
        <v>0</v>
      </c>
      <c r="H26" s="250">
        <f>SUMIFS('All Measure &amp; TRC+ Calc'!AE:AE,'All Measure &amp; TRC+ Calc'!$D:$D,$C26,'All Measure &amp; TRC+ Calc'!$B:$B,$A26)*$E26</f>
        <v>0</v>
      </c>
      <c r="I26" s="250">
        <f>SUMIFS('All Measure &amp; TRC+ Calc'!AH:AH,'All Measure &amp; TRC+ Calc'!$D:$D,$C26,'All Measure &amp; TRC+ Calc'!$B:$B,$A26)*$E26</f>
        <v>0</v>
      </c>
      <c r="J26" s="250">
        <f>SUMIFS('All Measure &amp; TRC+ Calc'!AI:AI,'All Measure &amp; TRC+ Calc'!$D:$D,$C26,'All Measure &amp; TRC+ Calc'!$B:$B,$A26)*$E26</f>
        <v>0</v>
      </c>
      <c r="K26" s="250">
        <f>SUMIFS('All Measure &amp; TRC+ Calc'!AL:AL,'All Measure &amp; TRC+ Calc'!$D:$D,$C26,'All Measure &amp; TRC+ Calc'!$B:$B,$A26)*$E26</f>
        <v>0</v>
      </c>
      <c r="L26" s="250">
        <f>SUMIFS('All Measure &amp; TRC+ Calc'!AM:AM,'All Measure &amp; TRC+ Calc'!$D:$D,$C26,'All Measure &amp; TRC+ Calc'!$B:$B,$A26)*$E26</f>
        <v>0</v>
      </c>
      <c r="M26" s="250">
        <f>SUMIFS('All Measure &amp; TRC+ Calc'!AJ:AJ,'All Measure &amp; TRC+ Calc'!$D:$D,$C26,'All Measure &amp; TRC+ Calc'!$B:$B,$A26)*$E26</f>
        <v>0</v>
      </c>
      <c r="N26" s="250">
        <f>SUMIFS('All Measure &amp; TRC+ Calc'!AK:AK,'All Measure &amp; TRC+ Calc'!$D:$D,$C26,'All Measure &amp; TRC+ Calc'!$B:$B,$A26)*$E26</f>
        <v>0</v>
      </c>
      <c r="O26" s="250">
        <f>SUMIFS('All Measure &amp; TRC+ Calc'!AF:AF,'All Measure &amp; TRC+ Calc'!$D:$D,$C26,'All Measure &amp; TRC+ Calc'!$B:$B,$A26)*$E26</f>
        <v>0</v>
      </c>
      <c r="P26" s="250">
        <f>SUMIFS('All Measure &amp; TRC+ Calc'!AG:AG,'All Measure &amp; TRC+ Calc'!$D:$D,$C26,'All Measure &amp; TRC+ Calc'!$B:$B,$A26)*$E26</f>
        <v>0</v>
      </c>
      <c r="Q26" s="249">
        <v>1</v>
      </c>
      <c r="R26" s="190">
        <f>SUMIFS(Budget!$E:$E,Budget!$A:$A,$A26,Budget!$C:$C,$C26,Budget!$D:$D,R$7)*Summary[[#This Row],[Budget %  Adjustment]]</f>
        <v>0</v>
      </c>
      <c r="S26" s="190">
        <f>SUMIFS(Budget!$E:$E,Budget!$A:$A,$A26,Budget!$C:$C,$C26,Budget!$D:$D,S$7)*Summary[[#This Row],[Budget %  Adjustment]]</f>
        <v>0</v>
      </c>
      <c r="T26" s="190">
        <f>SUMIFS(Budget!$E:$E,Budget!$A:$A,$A26,Budget!$C:$C,$C26,Budget!$D:$D,T$7)*Summary[[#This Row],[Budget %  Adjustment]]</f>
        <v>0</v>
      </c>
      <c r="U26" s="190">
        <f>SUMIFS(Budget!$E:$E,Budget!$A:$A,$A26,Budget!$C:$C,$C26,Budget!$D:$D,U$7)*Summary[[#This Row],[Budget %  Adjustment]]</f>
        <v>0</v>
      </c>
      <c r="V26" s="190">
        <f>Summary[[#This Row],[Promo]]+Summary[[#This Row],[Delivery]]</f>
        <v>0</v>
      </c>
      <c r="W26" s="190">
        <f t="shared" si="0"/>
        <v>0</v>
      </c>
      <c r="X26" s="190">
        <f t="shared" si="1"/>
        <v>0</v>
      </c>
    </row>
    <row r="27" spans="1:24" x14ac:dyDescent="0.25">
      <c r="A27" s="156">
        <v>2027</v>
      </c>
      <c r="B27" s="247" t="s">
        <v>14</v>
      </c>
      <c r="C27" s="247" t="s">
        <v>171</v>
      </c>
      <c r="D27" s="247" t="s">
        <v>256</v>
      </c>
      <c r="E27" s="249">
        <v>1</v>
      </c>
      <c r="F27" s="250">
        <f>SUMIFS('All Measure &amp; TRC+ Calc'!F:F,'All Measure &amp; TRC+ Calc'!$D:$D,$C27,'All Measure &amp; TRC+ Calc'!$B:$B,$A27)*$E27</f>
        <v>0</v>
      </c>
      <c r="G27" s="250">
        <f>SUMIFS('All Measure &amp; TRC+ Calc'!AD:AD,'All Measure &amp; TRC+ Calc'!$D:$D,$C27,'All Measure &amp; TRC+ Calc'!$B:$B,$A27)*$E27</f>
        <v>0</v>
      </c>
      <c r="H27" s="250">
        <f>SUMIFS('All Measure &amp; TRC+ Calc'!AE:AE,'All Measure &amp; TRC+ Calc'!$D:$D,$C27,'All Measure &amp; TRC+ Calc'!$B:$B,$A27)*$E27</f>
        <v>0</v>
      </c>
      <c r="I27" s="250">
        <f>SUMIFS('All Measure &amp; TRC+ Calc'!AH:AH,'All Measure &amp; TRC+ Calc'!$D:$D,$C27,'All Measure &amp; TRC+ Calc'!$B:$B,$A27)*$E27</f>
        <v>0</v>
      </c>
      <c r="J27" s="250">
        <f>SUMIFS('All Measure &amp; TRC+ Calc'!AI:AI,'All Measure &amp; TRC+ Calc'!$D:$D,$C27,'All Measure &amp; TRC+ Calc'!$B:$B,$A27)*$E27</f>
        <v>0</v>
      </c>
      <c r="K27" s="250">
        <f>SUMIFS('All Measure &amp; TRC+ Calc'!AL:AL,'All Measure &amp; TRC+ Calc'!$D:$D,$C27,'All Measure &amp; TRC+ Calc'!$B:$B,$A27)*$E27</f>
        <v>0</v>
      </c>
      <c r="L27" s="250">
        <f>SUMIFS('All Measure &amp; TRC+ Calc'!AM:AM,'All Measure &amp; TRC+ Calc'!$D:$D,$C27,'All Measure &amp; TRC+ Calc'!$B:$B,$A27)*$E27</f>
        <v>0</v>
      </c>
      <c r="M27" s="250">
        <f>SUMIFS('All Measure &amp; TRC+ Calc'!AJ:AJ,'All Measure &amp; TRC+ Calc'!$D:$D,$C27,'All Measure &amp; TRC+ Calc'!$B:$B,$A27)*$E27</f>
        <v>0</v>
      </c>
      <c r="N27" s="250">
        <f>SUMIFS('All Measure &amp; TRC+ Calc'!AK:AK,'All Measure &amp; TRC+ Calc'!$D:$D,$C27,'All Measure &amp; TRC+ Calc'!$B:$B,$A27)*$E27</f>
        <v>0</v>
      </c>
      <c r="O27" s="250">
        <f>SUMIFS('All Measure &amp; TRC+ Calc'!AF:AF,'All Measure &amp; TRC+ Calc'!$D:$D,$C27,'All Measure &amp; TRC+ Calc'!$B:$B,$A27)*$E27</f>
        <v>0</v>
      </c>
      <c r="P27" s="250">
        <f>SUMIFS('All Measure &amp; TRC+ Calc'!AG:AG,'All Measure &amp; TRC+ Calc'!$D:$D,$C27,'All Measure &amp; TRC+ Calc'!$B:$B,$A27)*$E27</f>
        <v>0</v>
      </c>
      <c r="Q27" s="249">
        <v>1</v>
      </c>
      <c r="R27" s="190">
        <f>SUMIFS(Budget!$E:$E,Budget!$A:$A,$A27,Budget!$C:$C,$C27,Budget!$D:$D,R$7)*Summary[[#This Row],[Budget %  Adjustment]]</f>
        <v>500000</v>
      </c>
      <c r="S27" s="190">
        <f>SUMIFS(Budget!$E:$E,Budget!$A:$A,$A27,Budget!$C:$C,$C27,Budget!$D:$D,S$7)*Summary[[#This Row],[Budget %  Adjustment]]</f>
        <v>30000</v>
      </c>
      <c r="T27" s="190">
        <f>SUMIFS(Budget!$E:$E,Budget!$A:$A,$A27,Budget!$C:$C,$C27,Budget!$D:$D,T$7)*Summary[[#This Row],[Budget %  Adjustment]]</f>
        <v>250000</v>
      </c>
      <c r="U27" s="190">
        <f>SUMIFS(Budget!$E:$E,Budget!$A:$A,$A27,Budget!$C:$C,$C27,Budget!$D:$D,U$7)*Summary[[#This Row],[Budget %  Adjustment]]</f>
        <v>0</v>
      </c>
      <c r="V27" s="190">
        <f>Summary[[#This Row],[Promo]]+Summary[[#This Row],[Delivery]]</f>
        <v>280000</v>
      </c>
      <c r="W27" s="190">
        <f t="shared" si="0"/>
        <v>280000</v>
      </c>
      <c r="X27" s="190">
        <f t="shared" si="1"/>
        <v>780000</v>
      </c>
    </row>
    <row r="28" spans="1:24" x14ac:dyDescent="0.25">
      <c r="A28" s="156">
        <v>2027</v>
      </c>
      <c r="B28" s="247" t="s">
        <v>14</v>
      </c>
      <c r="C28" s="247" t="s">
        <v>24</v>
      </c>
      <c r="D28" s="247" t="s">
        <v>256</v>
      </c>
      <c r="E28" s="249">
        <v>1</v>
      </c>
      <c r="F28" s="250">
        <f>SUMIFS('All Measure &amp; TRC+ Calc'!F:F,'All Measure &amp; TRC+ Calc'!$D:$D,$C28,'All Measure &amp; TRC+ Calc'!$B:$B,$A28)*$E28</f>
        <v>0</v>
      </c>
      <c r="G28" s="250">
        <f>SUMIFS('All Measure &amp; TRC+ Calc'!AD:AD,'All Measure &amp; TRC+ Calc'!$D:$D,$C28,'All Measure &amp; TRC+ Calc'!$B:$B,$A28)*$E28</f>
        <v>0</v>
      </c>
      <c r="H28" s="250">
        <f>SUMIFS('All Measure &amp; TRC+ Calc'!AE:AE,'All Measure &amp; TRC+ Calc'!$D:$D,$C28,'All Measure &amp; TRC+ Calc'!$B:$B,$A28)*$E28</f>
        <v>0</v>
      </c>
      <c r="I28" s="250">
        <f>SUMIFS('All Measure &amp; TRC+ Calc'!AH:AH,'All Measure &amp; TRC+ Calc'!$D:$D,$C28,'All Measure &amp; TRC+ Calc'!$B:$B,$A28)*$E28</f>
        <v>0</v>
      </c>
      <c r="J28" s="250">
        <f>SUMIFS('All Measure &amp; TRC+ Calc'!AI:AI,'All Measure &amp; TRC+ Calc'!$D:$D,$C28,'All Measure &amp; TRC+ Calc'!$B:$B,$A28)*$E28</f>
        <v>0</v>
      </c>
      <c r="K28" s="250">
        <f>SUMIFS('All Measure &amp; TRC+ Calc'!AL:AL,'All Measure &amp; TRC+ Calc'!$D:$D,$C28,'All Measure &amp; TRC+ Calc'!$B:$B,$A28)*$E28</f>
        <v>0</v>
      </c>
      <c r="L28" s="250">
        <f>SUMIFS('All Measure &amp; TRC+ Calc'!AM:AM,'All Measure &amp; TRC+ Calc'!$D:$D,$C28,'All Measure &amp; TRC+ Calc'!$B:$B,$A28)*$E28</f>
        <v>0</v>
      </c>
      <c r="M28" s="250">
        <f>SUMIFS('All Measure &amp; TRC+ Calc'!AJ:AJ,'All Measure &amp; TRC+ Calc'!$D:$D,$C28,'All Measure &amp; TRC+ Calc'!$B:$B,$A28)*$E28</f>
        <v>0</v>
      </c>
      <c r="N28" s="250">
        <f>SUMIFS('All Measure &amp; TRC+ Calc'!AK:AK,'All Measure &amp; TRC+ Calc'!$D:$D,$C28,'All Measure &amp; TRC+ Calc'!$B:$B,$A28)*$E28</f>
        <v>0</v>
      </c>
      <c r="O28" s="250">
        <f>SUMIFS('All Measure &amp; TRC+ Calc'!AF:AF,'All Measure &amp; TRC+ Calc'!$D:$D,$C28,'All Measure &amp; TRC+ Calc'!$B:$B,$A28)*$E28</f>
        <v>0</v>
      </c>
      <c r="P28" s="250">
        <f>SUMIFS('All Measure &amp; TRC+ Calc'!AG:AG,'All Measure &amp; TRC+ Calc'!$D:$D,$C28,'All Measure &amp; TRC+ Calc'!$B:$B,$A28)*$E28</f>
        <v>0</v>
      </c>
      <c r="Q28" s="249">
        <v>1</v>
      </c>
      <c r="R28" s="190">
        <f>SUMIFS(Budget!$E:$E,Budget!$A:$A,$A28,Budget!$C:$C,$C28,Budget!$D:$D,R$7)*Summary[[#This Row],[Budget %  Adjustment]]</f>
        <v>1800000</v>
      </c>
      <c r="S28" s="190">
        <f>SUMIFS(Budget!$E:$E,Budget!$A:$A,$A28,Budget!$C:$C,$C28,Budget!$D:$D,S$7)*Summary[[#This Row],[Budget %  Adjustment]]</f>
        <v>40000</v>
      </c>
      <c r="T28" s="190">
        <f>SUMIFS(Budget!$E:$E,Budget!$A:$A,$A28,Budget!$C:$C,$C28,Budget!$D:$D,T$7)*Summary[[#This Row],[Budget %  Adjustment]]</f>
        <v>160000</v>
      </c>
      <c r="U28" s="190">
        <f>SUMIFS(Budget!$E:$E,Budget!$A:$A,$A28,Budget!$C:$C,$C28,Budget!$D:$D,U$7)*Summary[[#This Row],[Budget %  Adjustment]]</f>
        <v>0</v>
      </c>
      <c r="V28" s="190">
        <f>Summary[[#This Row],[Promo]]+Summary[[#This Row],[Delivery]]</f>
        <v>200000</v>
      </c>
      <c r="W28" s="190">
        <f t="shared" si="0"/>
        <v>200000</v>
      </c>
      <c r="X28" s="190">
        <f t="shared" si="1"/>
        <v>2000000</v>
      </c>
    </row>
    <row r="29" spans="1:24" x14ac:dyDescent="0.25">
      <c r="A29" s="156">
        <v>2027</v>
      </c>
      <c r="B29" s="247" t="s">
        <v>14</v>
      </c>
      <c r="C29" s="247" t="s">
        <v>25</v>
      </c>
      <c r="D29" s="247" t="s">
        <v>25</v>
      </c>
      <c r="E29" s="249">
        <v>1</v>
      </c>
      <c r="F29" s="250">
        <f>SUMIFS('All Measure &amp; TRC+ Calc'!F:F,'All Measure &amp; TRC+ Calc'!$D:$D,$C29,'All Measure &amp; TRC+ Calc'!$B:$B,$A29)*$E29</f>
        <v>0</v>
      </c>
      <c r="G29" s="250">
        <f>SUMIFS('All Measure &amp; TRC+ Calc'!AD:AD,'All Measure &amp; TRC+ Calc'!$D:$D,$C29,'All Measure &amp; TRC+ Calc'!$B:$B,$A29)*$E29</f>
        <v>0</v>
      </c>
      <c r="H29" s="250">
        <f>SUMIFS('All Measure &amp; TRC+ Calc'!AE:AE,'All Measure &amp; TRC+ Calc'!$D:$D,$C29,'All Measure &amp; TRC+ Calc'!$B:$B,$A29)*$E29</f>
        <v>0</v>
      </c>
      <c r="I29" s="250">
        <f>SUMIFS('All Measure &amp; TRC+ Calc'!AH:AH,'All Measure &amp; TRC+ Calc'!$D:$D,$C29,'All Measure &amp; TRC+ Calc'!$B:$B,$A29)*$E29</f>
        <v>0</v>
      </c>
      <c r="J29" s="250">
        <f>SUMIFS('All Measure &amp; TRC+ Calc'!AI:AI,'All Measure &amp; TRC+ Calc'!$D:$D,$C29,'All Measure &amp; TRC+ Calc'!$B:$B,$A29)*$E29</f>
        <v>0</v>
      </c>
      <c r="K29" s="250">
        <f>SUMIFS('All Measure &amp; TRC+ Calc'!AL:AL,'All Measure &amp; TRC+ Calc'!$D:$D,$C29,'All Measure &amp; TRC+ Calc'!$B:$B,$A29)*$E29</f>
        <v>0</v>
      </c>
      <c r="L29" s="250">
        <f>SUMIFS('All Measure &amp; TRC+ Calc'!AM:AM,'All Measure &amp; TRC+ Calc'!$D:$D,$C29,'All Measure &amp; TRC+ Calc'!$B:$B,$A29)*$E29</f>
        <v>0</v>
      </c>
      <c r="M29" s="250">
        <f>SUMIFS('All Measure &amp; TRC+ Calc'!AJ:AJ,'All Measure &amp; TRC+ Calc'!$D:$D,$C29,'All Measure &amp; TRC+ Calc'!$B:$B,$A29)*$E29</f>
        <v>0</v>
      </c>
      <c r="N29" s="250">
        <f>SUMIFS('All Measure &amp; TRC+ Calc'!AK:AK,'All Measure &amp; TRC+ Calc'!$D:$D,$C29,'All Measure &amp; TRC+ Calc'!$B:$B,$A29)*$E29</f>
        <v>0</v>
      </c>
      <c r="O29" s="250">
        <f>SUMIFS('All Measure &amp; TRC+ Calc'!AF:AF,'All Measure &amp; TRC+ Calc'!$D:$D,$C29,'All Measure &amp; TRC+ Calc'!$B:$B,$A29)*$E29</f>
        <v>0</v>
      </c>
      <c r="P29" s="250">
        <f>SUMIFS('All Measure &amp; TRC+ Calc'!AG:AG,'All Measure &amp; TRC+ Calc'!$D:$D,$C29,'All Measure &amp; TRC+ Calc'!$B:$B,$A29)*$E29</f>
        <v>0</v>
      </c>
      <c r="Q29" s="249">
        <v>1</v>
      </c>
      <c r="R29" s="190">
        <f>SUMIFS(Budget!$E:$E,Budget!$A:$A,$A29,Budget!$C:$C,$C29,Budget!$D:$D,R$7)*Summary[[#This Row],[Budget %  Adjustment]]</f>
        <v>0</v>
      </c>
      <c r="S29" s="190">
        <f>SUMIFS(Budget!$E:$E,Budget!$A:$A,$A29,Budget!$C:$C,$C29,Budget!$D:$D,S$7)*Summary[[#This Row],[Budget %  Adjustment]]</f>
        <v>0</v>
      </c>
      <c r="T29" s="190">
        <f>SUMIFS(Budget!$E:$E,Budget!$A:$A,$A29,Budget!$C:$C,$C29,Budget!$D:$D,T$7)*Summary[[#This Row],[Budget %  Adjustment]]</f>
        <v>0</v>
      </c>
      <c r="U29" s="190">
        <f>SUMIFS(Budget!$E:$E,Budget!$A:$A,$A29,Budget!$C:$C,$C29,Budget!$D:$D,U$7)*Summary[[#This Row],[Budget %  Adjustment]]</f>
        <v>4814162</v>
      </c>
      <c r="V29" s="190">
        <f>Summary[[#This Row],[Promo]]+Summary[[#This Row],[Delivery]]</f>
        <v>0</v>
      </c>
      <c r="W29" s="190">
        <f t="shared" si="0"/>
        <v>4814162</v>
      </c>
      <c r="X29" s="190">
        <f t="shared" si="1"/>
        <v>4814162</v>
      </c>
    </row>
    <row r="30" spans="1:24" x14ac:dyDescent="0.25">
      <c r="A30" s="156">
        <v>2027</v>
      </c>
      <c r="B30" s="247" t="s">
        <v>12</v>
      </c>
      <c r="C30" s="247" t="s">
        <v>22</v>
      </c>
      <c r="D30" s="247" t="s">
        <v>206</v>
      </c>
      <c r="E30" s="249">
        <v>1</v>
      </c>
      <c r="F30" s="250">
        <f>SUMIFS('All Measure &amp; TRC+ Calc'!F:F,'All Measure &amp; TRC+ Calc'!$D:$D,$C30,'All Measure &amp; TRC+ Calc'!$B:$B,$A30)*$E30</f>
        <v>8400</v>
      </c>
      <c r="G30" s="250">
        <f>SUMIFS('All Measure &amp; TRC+ Calc'!AD:AD,'All Measure &amp; TRC+ Calc'!$D:$D,$C30,'All Measure &amp; TRC+ Calc'!$B:$B,$A30)*$E30</f>
        <v>2224164.6831628536</v>
      </c>
      <c r="H30" s="250">
        <f>SUMIFS('All Measure &amp; TRC+ Calc'!AE:AE,'All Measure &amp; TRC+ Calc'!$D:$D,$C30,'All Measure &amp; TRC+ Calc'!$B:$B,$A30)*$E30</f>
        <v>2224164.6831628536</v>
      </c>
      <c r="I30" s="250">
        <f>SUMIFS('All Measure &amp; TRC+ Calc'!AH:AH,'All Measure &amp; TRC+ Calc'!$D:$D,$C30,'All Measure &amp; TRC+ Calc'!$B:$B,$A30)*$E30</f>
        <v>510842.304</v>
      </c>
      <c r="J30" s="250">
        <f>SUMIFS('All Measure &amp; TRC+ Calc'!AI:AI,'All Measure &amp; TRC+ Calc'!$D:$D,$C30,'All Measure &amp; TRC+ Calc'!$B:$B,$A30)*$E30</f>
        <v>510842.304</v>
      </c>
      <c r="K30" s="250">
        <f>SUMIFS('All Measure &amp; TRC+ Calc'!AL:AL,'All Measure &amp; TRC+ Calc'!$D:$D,$C30,'All Measure &amp; TRC+ Calc'!$B:$B,$A30)*$E30</f>
        <v>233.76143831040002</v>
      </c>
      <c r="L30" s="250">
        <f>SUMIFS('All Measure &amp; TRC+ Calc'!AM:AM,'All Measure &amp; TRC+ Calc'!$D:$D,$C30,'All Measure &amp; TRC+ Calc'!$B:$B,$A30)*$E30</f>
        <v>233.76143831040002</v>
      </c>
      <c r="M30" s="250">
        <f>SUMIFS('All Measure &amp; TRC+ Calc'!AJ:AJ,'All Measure &amp; TRC+ Calc'!$D:$D,$C30,'All Measure &amp; TRC+ Calc'!$B:$B,$A30)*$E30</f>
        <v>10569.019347898431</v>
      </c>
      <c r="N30" s="250">
        <f>SUMIFS('All Measure &amp; TRC+ Calc'!AK:AK,'All Measure &amp; TRC+ Calc'!$D:$D,$C30,'All Measure &amp; TRC+ Calc'!$B:$B,$A30)*$E30</f>
        <v>10569.019347898431</v>
      </c>
      <c r="O30" s="250">
        <f>SUMIFS('All Measure &amp; TRC+ Calc'!AF:AF,'All Measure &amp; TRC+ Calc'!$D:$D,$C30,'All Measure &amp; TRC+ Calc'!$B:$B,$A30)*$E30</f>
        <v>49714160.197954245</v>
      </c>
      <c r="P30" s="250">
        <f>SUMIFS('All Measure &amp; TRC+ Calc'!AG:AG,'All Measure &amp; TRC+ Calc'!$D:$D,$C30,'All Measure &amp; TRC+ Calc'!$B:$B,$A30)*$E30</f>
        <v>49714160.197954245</v>
      </c>
      <c r="Q30" s="249">
        <v>1</v>
      </c>
      <c r="R30" s="190">
        <f>SUMIFS(Budget!$E:$E,Budget!$A:$A,$A30,Budget!$C:$C,$C30,Budget!$D:$D,R$7)*Summary[[#This Row],[Budget %  Adjustment]]</f>
        <v>12971618</v>
      </c>
      <c r="S30" s="190">
        <f>SUMIFS(Budget!$E:$E,Budget!$A:$A,$A30,Budget!$C:$C,$C30,Budget!$D:$D,S$7)*Summary[[#This Row],[Budget %  Adjustment]]</f>
        <v>1744900</v>
      </c>
      <c r="T30" s="190">
        <f>SUMIFS(Budget!$E:$E,Budget!$A:$A,$A30,Budget!$C:$C,$C30,Budget!$D:$D,T$7)*Summary[[#This Row],[Budget %  Adjustment]]</f>
        <v>2058820</v>
      </c>
      <c r="U30" s="190">
        <f>SUMIFS(Budget!$E:$E,Budget!$A:$A,$A30,Budget!$C:$C,$C30,Budget!$D:$D,U$7)*Summary[[#This Row],[Budget %  Adjustment]]</f>
        <v>0</v>
      </c>
      <c r="V30" s="190">
        <f>Summary[[#This Row],[Promo]]+Summary[[#This Row],[Delivery]]</f>
        <v>3803720</v>
      </c>
      <c r="W30" s="190">
        <f t="shared" si="0"/>
        <v>3803720</v>
      </c>
      <c r="X30" s="190">
        <f t="shared" si="1"/>
        <v>16775338</v>
      </c>
    </row>
    <row r="31" spans="1:24" x14ac:dyDescent="0.25">
      <c r="A31" s="156">
        <v>2027</v>
      </c>
      <c r="B31" s="247" t="s">
        <v>12</v>
      </c>
      <c r="C31" s="247" t="s">
        <v>172</v>
      </c>
      <c r="D31" s="247" t="s">
        <v>206</v>
      </c>
      <c r="E31" s="249">
        <v>1</v>
      </c>
      <c r="F31" s="250">
        <f>SUMIFS('All Measure &amp; TRC+ Calc'!F:F,'All Measure &amp; TRC+ Calc'!$D:$D,$C31,'All Measure &amp; TRC+ Calc'!$B:$B,$A31)*$E31</f>
        <v>0</v>
      </c>
      <c r="G31" s="250">
        <f>SUMIFS('All Measure &amp; TRC+ Calc'!AD:AD,'All Measure &amp; TRC+ Calc'!$D:$D,$C31,'All Measure &amp; TRC+ Calc'!$B:$B,$A31)*$E31</f>
        <v>0</v>
      </c>
      <c r="H31" s="250">
        <f>SUMIFS('All Measure &amp; TRC+ Calc'!AE:AE,'All Measure &amp; TRC+ Calc'!$D:$D,$C31,'All Measure &amp; TRC+ Calc'!$B:$B,$A31)*$E31</f>
        <v>0</v>
      </c>
      <c r="I31" s="250">
        <f>SUMIFS('All Measure &amp; TRC+ Calc'!AH:AH,'All Measure &amp; TRC+ Calc'!$D:$D,$C31,'All Measure &amp; TRC+ Calc'!$B:$B,$A31)*$E31</f>
        <v>0</v>
      </c>
      <c r="J31" s="250">
        <f>SUMIFS('All Measure &amp; TRC+ Calc'!AI:AI,'All Measure &amp; TRC+ Calc'!$D:$D,$C31,'All Measure &amp; TRC+ Calc'!$B:$B,$A31)*$E31</f>
        <v>0</v>
      </c>
      <c r="K31" s="250">
        <f>SUMIFS('All Measure &amp; TRC+ Calc'!AL:AL,'All Measure &amp; TRC+ Calc'!$D:$D,$C31,'All Measure &amp; TRC+ Calc'!$B:$B,$A31)*$E31</f>
        <v>0</v>
      </c>
      <c r="L31" s="250">
        <f>SUMIFS('All Measure &amp; TRC+ Calc'!AM:AM,'All Measure &amp; TRC+ Calc'!$D:$D,$C31,'All Measure &amp; TRC+ Calc'!$B:$B,$A31)*$E31</f>
        <v>0</v>
      </c>
      <c r="M31" s="250">
        <f>SUMIFS('All Measure &amp; TRC+ Calc'!AJ:AJ,'All Measure &amp; TRC+ Calc'!$D:$D,$C31,'All Measure &amp; TRC+ Calc'!$B:$B,$A31)*$E31</f>
        <v>0</v>
      </c>
      <c r="N31" s="250">
        <f>SUMIFS('All Measure &amp; TRC+ Calc'!AK:AK,'All Measure &amp; TRC+ Calc'!$D:$D,$C31,'All Measure &amp; TRC+ Calc'!$B:$B,$A31)*$E31</f>
        <v>0</v>
      </c>
      <c r="O31" s="250">
        <f>SUMIFS('All Measure &amp; TRC+ Calc'!AF:AF,'All Measure &amp; TRC+ Calc'!$D:$D,$C31,'All Measure &amp; TRC+ Calc'!$B:$B,$A31)*$E31</f>
        <v>0</v>
      </c>
      <c r="P31" s="250">
        <f>SUMIFS('All Measure &amp; TRC+ Calc'!AG:AG,'All Measure &amp; TRC+ Calc'!$D:$D,$C31,'All Measure &amp; TRC+ Calc'!$B:$B,$A31)*$E31</f>
        <v>0</v>
      </c>
      <c r="Q31" s="249">
        <v>1</v>
      </c>
      <c r="R31" s="190">
        <f>SUMIFS(Budget!$E:$E,Budget!$A:$A,$A31,Budget!$C:$C,$C31,Budget!$D:$D,R$7)*Summary[[#This Row],[Budget %  Adjustment]]</f>
        <v>0</v>
      </c>
      <c r="S31" s="190">
        <f>SUMIFS(Budget!$E:$E,Budget!$A:$A,$A31,Budget!$C:$C,$C31,Budget!$D:$D,S$7)*Summary[[#This Row],[Budget %  Adjustment]]</f>
        <v>0</v>
      </c>
      <c r="T31" s="190">
        <f>SUMIFS(Budget!$E:$E,Budget!$A:$A,$A31,Budget!$C:$C,$C31,Budget!$D:$D,T$7)*Summary[[#This Row],[Budget %  Adjustment]]</f>
        <v>0</v>
      </c>
      <c r="U31" s="190">
        <f>SUMIFS(Budget!$E:$E,Budget!$A:$A,$A31,Budget!$C:$C,$C31,Budget!$D:$D,U$7)*Summary[[#This Row],[Budget %  Adjustment]]</f>
        <v>0</v>
      </c>
      <c r="V31" s="190">
        <f>Summary[[#This Row],[Promo]]+Summary[[#This Row],[Delivery]]</f>
        <v>0</v>
      </c>
      <c r="W31" s="190">
        <f t="shared" si="0"/>
        <v>0</v>
      </c>
      <c r="X31" s="190">
        <f t="shared" si="1"/>
        <v>0</v>
      </c>
    </row>
    <row r="32" spans="1:24" x14ac:dyDescent="0.25">
      <c r="A32" s="156">
        <v>2027</v>
      </c>
      <c r="B32" s="247" t="s">
        <v>12</v>
      </c>
      <c r="C32" s="247" t="s">
        <v>21</v>
      </c>
      <c r="D32" s="247" t="s">
        <v>207</v>
      </c>
      <c r="E32" s="249">
        <v>1</v>
      </c>
      <c r="F32" s="250">
        <f>SUMIFS('All Measure &amp; TRC+ Calc'!F:F,'All Measure &amp; TRC+ Calc'!$D:$D,$C32,'All Measure &amp; TRC+ Calc'!$B:$B,$A32)*$E32</f>
        <v>239</v>
      </c>
      <c r="G32" s="250">
        <f>SUMIFS('All Measure &amp; TRC+ Calc'!AD:AD,'All Measure &amp; TRC+ Calc'!$D:$D,$C32,'All Measure &amp; TRC+ Calc'!$B:$B,$A32)*$E32</f>
        <v>2453102.2594000003</v>
      </c>
      <c r="H32" s="250">
        <f>SUMIFS('All Measure &amp; TRC+ Calc'!AE:AE,'All Measure &amp; TRC+ Calc'!$D:$D,$C32,'All Measure &amp; TRC+ Calc'!$B:$B,$A32)*$E32</f>
        <v>2453102.2594000003</v>
      </c>
      <c r="I32" s="250">
        <f>SUMIFS('All Measure &amp; TRC+ Calc'!AH:AH,'All Measure &amp; TRC+ Calc'!$D:$D,$C32,'All Measure &amp; TRC+ Calc'!$B:$B,$A32)*$E32</f>
        <v>218945.53942399984</v>
      </c>
      <c r="J32" s="250">
        <f>SUMIFS('All Measure &amp; TRC+ Calc'!AI:AI,'All Measure &amp; TRC+ Calc'!$D:$D,$C32,'All Measure &amp; TRC+ Calc'!$B:$B,$A32)*$E32</f>
        <v>218945.53942399984</v>
      </c>
      <c r="K32" s="250">
        <f>SUMIFS('All Measure &amp; TRC+ Calc'!AL:AL,'All Measure &amp; TRC+ Calc'!$D:$D,$C32,'All Measure &amp; TRC+ Calc'!$B:$B,$A32)*$E32</f>
        <v>457.48368959983446</v>
      </c>
      <c r="L32" s="250">
        <f>SUMIFS('All Measure &amp; TRC+ Calc'!AM:AM,'All Measure &amp; TRC+ Calc'!$D:$D,$C32,'All Measure &amp; TRC+ Calc'!$B:$B,$A32)*$E32</f>
        <v>457.48368959983446</v>
      </c>
      <c r="M32" s="250">
        <f>SUMIFS('All Measure &amp; TRC+ Calc'!AJ:AJ,'All Measure &amp; TRC+ Calc'!$D:$D,$C32,'All Measure &amp; TRC+ Calc'!$B:$B,$A32)*$E32</f>
        <v>0</v>
      </c>
      <c r="N32" s="250">
        <f>SUMIFS('All Measure &amp; TRC+ Calc'!AK:AK,'All Measure &amp; TRC+ Calc'!$D:$D,$C32,'All Measure &amp; TRC+ Calc'!$B:$B,$A32)*$E32</f>
        <v>0</v>
      </c>
      <c r="O32" s="250">
        <f>SUMIFS('All Measure &amp; TRC+ Calc'!AF:AF,'All Measure &amp; TRC+ Calc'!$D:$D,$C32,'All Measure &amp; TRC+ Calc'!$B:$B,$A32)*$E32</f>
        <v>41364612.976999998</v>
      </c>
      <c r="P32" s="250">
        <f>SUMIFS('All Measure &amp; TRC+ Calc'!AG:AG,'All Measure &amp; TRC+ Calc'!$D:$D,$C32,'All Measure &amp; TRC+ Calc'!$B:$B,$A32)*$E32</f>
        <v>41364612.976999998</v>
      </c>
      <c r="Q32" s="249">
        <v>1</v>
      </c>
      <c r="R32" s="190">
        <f>SUMIFS(Budget!$E:$E,Budget!$A:$A,$A32,Budget!$C:$C,$C32,Budget!$D:$D,R$7)*Summary[[#This Row],[Budget %  Adjustment]]</f>
        <v>7452689</v>
      </c>
      <c r="S32" s="190">
        <f>SUMIFS(Budget!$E:$E,Budget!$A:$A,$A32,Budget!$C:$C,$C32,Budget!$D:$D,S$7)*Summary[[#This Row],[Budget %  Adjustment]]</f>
        <v>1020000</v>
      </c>
      <c r="T32" s="190">
        <f>SUMIFS(Budget!$E:$E,Budget!$A:$A,$A32,Budget!$C:$C,$C32,Budget!$D:$D,T$7)*Summary[[#This Row],[Budget %  Adjustment]]</f>
        <v>250000</v>
      </c>
      <c r="U32" s="190">
        <f>SUMIFS(Budget!$E:$E,Budget!$A:$A,$A32,Budget!$C:$C,$C32,Budget!$D:$D,U$7)*Summary[[#This Row],[Budget %  Adjustment]]</f>
        <v>0</v>
      </c>
      <c r="V32" s="190">
        <f>Summary[[#This Row],[Promo]]+Summary[[#This Row],[Delivery]]</f>
        <v>1270000</v>
      </c>
      <c r="W32" s="190">
        <f t="shared" si="0"/>
        <v>1270000</v>
      </c>
      <c r="X32" s="190">
        <f t="shared" si="1"/>
        <v>8722689</v>
      </c>
    </row>
    <row r="33" spans="1:24" x14ac:dyDescent="0.25">
      <c r="A33" s="156">
        <v>2027</v>
      </c>
      <c r="B33" s="247" t="s">
        <v>12</v>
      </c>
      <c r="C33" s="247" t="s">
        <v>173</v>
      </c>
      <c r="D33" s="247" t="s">
        <v>256</v>
      </c>
      <c r="E33" s="249">
        <v>1</v>
      </c>
      <c r="F33" s="250">
        <f>SUMIFS('All Measure &amp; TRC+ Calc'!F:F,'All Measure &amp; TRC+ Calc'!$D:$D,$C33,'All Measure &amp; TRC+ Calc'!$B:$B,$A33)*$E33</f>
        <v>0</v>
      </c>
      <c r="G33" s="250">
        <f>SUMIFS('All Measure &amp; TRC+ Calc'!AD:AD,'All Measure &amp; TRC+ Calc'!$D:$D,$C33,'All Measure &amp; TRC+ Calc'!$B:$B,$A33)*$E33</f>
        <v>0</v>
      </c>
      <c r="H33" s="250">
        <f>SUMIFS('All Measure &amp; TRC+ Calc'!AE:AE,'All Measure &amp; TRC+ Calc'!$D:$D,$C33,'All Measure &amp; TRC+ Calc'!$B:$B,$A33)*$E33</f>
        <v>0</v>
      </c>
      <c r="I33" s="250">
        <f>SUMIFS('All Measure &amp; TRC+ Calc'!AH:AH,'All Measure &amp; TRC+ Calc'!$D:$D,$C33,'All Measure &amp; TRC+ Calc'!$B:$B,$A33)*$E33</f>
        <v>0</v>
      </c>
      <c r="J33" s="250">
        <f>SUMIFS('All Measure &amp; TRC+ Calc'!AI:AI,'All Measure &amp; TRC+ Calc'!$D:$D,$C33,'All Measure &amp; TRC+ Calc'!$B:$B,$A33)*$E33</f>
        <v>0</v>
      </c>
      <c r="K33" s="250">
        <f>SUMIFS('All Measure &amp; TRC+ Calc'!AL:AL,'All Measure &amp; TRC+ Calc'!$D:$D,$C33,'All Measure &amp; TRC+ Calc'!$B:$B,$A33)*$E33</f>
        <v>0</v>
      </c>
      <c r="L33" s="250">
        <f>SUMIFS('All Measure &amp; TRC+ Calc'!AM:AM,'All Measure &amp; TRC+ Calc'!$D:$D,$C33,'All Measure &amp; TRC+ Calc'!$B:$B,$A33)*$E33</f>
        <v>0</v>
      </c>
      <c r="M33" s="250">
        <f>SUMIFS('All Measure &amp; TRC+ Calc'!AJ:AJ,'All Measure &amp; TRC+ Calc'!$D:$D,$C33,'All Measure &amp; TRC+ Calc'!$B:$B,$A33)*$E33</f>
        <v>0</v>
      </c>
      <c r="N33" s="250">
        <f>SUMIFS('All Measure &amp; TRC+ Calc'!AK:AK,'All Measure &amp; TRC+ Calc'!$D:$D,$C33,'All Measure &amp; TRC+ Calc'!$B:$B,$A33)*$E33</f>
        <v>0</v>
      </c>
      <c r="O33" s="250">
        <f>SUMIFS('All Measure &amp; TRC+ Calc'!AF:AF,'All Measure &amp; TRC+ Calc'!$D:$D,$C33,'All Measure &amp; TRC+ Calc'!$B:$B,$A33)*$E33</f>
        <v>0</v>
      </c>
      <c r="P33" s="250">
        <f>SUMIFS('All Measure &amp; TRC+ Calc'!AG:AG,'All Measure &amp; TRC+ Calc'!$D:$D,$C33,'All Measure &amp; TRC+ Calc'!$B:$B,$A33)*$E33</f>
        <v>0</v>
      </c>
      <c r="Q33" s="249">
        <v>1</v>
      </c>
      <c r="R33" s="190">
        <f>SUMIFS(Budget!$E:$E,Budget!$A:$A,$A33,Budget!$C:$C,$C33,Budget!$D:$D,R$7)*Summary[[#This Row],[Budget %  Adjustment]]</f>
        <v>0</v>
      </c>
      <c r="S33" s="190">
        <f>SUMIFS(Budget!$E:$E,Budget!$A:$A,$A33,Budget!$C:$C,$C33,Budget!$D:$D,S$7)*Summary[[#This Row],[Budget %  Adjustment]]</f>
        <v>0</v>
      </c>
      <c r="T33" s="190">
        <f>SUMIFS(Budget!$E:$E,Budget!$A:$A,$A33,Budget!$C:$C,$C33,Budget!$D:$D,T$7)*Summary[[#This Row],[Budget %  Adjustment]]</f>
        <v>0</v>
      </c>
      <c r="U33" s="190">
        <f>SUMIFS(Budget!$E:$E,Budget!$A:$A,$A33,Budget!$C:$C,$C33,Budget!$D:$D,U$7)*Summary[[#This Row],[Budget %  Adjustment]]</f>
        <v>0</v>
      </c>
      <c r="V33" s="190">
        <f>Summary[[#This Row],[Promo]]+Summary[[#This Row],[Delivery]]</f>
        <v>0</v>
      </c>
      <c r="W33" s="190">
        <f t="shared" si="0"/>
        <v>0</v>
      </c>
      <c r="X33" s="190">
        <f t="shared" si="1"/>
        <v>0</v>
      </c>
    </row>
    <row r="34" spans="1:24" x14ac:dyDescent="0.25">
      <c r="A34" s="156">
        <v>2027</v>
      </c>
      <c r="B34" s="247" t="s">
        <v>12</v>
      </c>
      <c r="C34" s="247" t="s">
        <v>23</v>
      </c>
      <c r="D34" s="247" t="s">
        <v>23</v>
      </c>
      <c r="E34" s="249">
        <v>1</v>
      </c>
      <c r="F34" s="250">
        <f>SUMIFS('All Measure &amp; TRC+ Calc'!F:F,'All Measure &amp; TRC+ Calc'!$D:$D,$C34,'All Measure &amp; TRC+ Calc'!$B:$B,$A34)*$E34</f>
        <v>0</v>
      </c>
      <c r="G34" s="250">
        <f>SUMIFS('All Measure &amp; TRC+ Calc'!AD:AD,'All Measure &amp; TRC+ Calc'!$D:$D,$C34,'All Measure &amp; TRC+ Calc'!$B:$B,$A34)*$E34</f>
        <v>0</v>
      </c>
      <c r="H34" s="250">
        <f>SUMIFS('All Measure &amp; TRC+ Calc'!AE:AE,'All Measure &amp; TRC+ Calc'!$D:$D,$C34,'All Measure &amp; TRC+ Calc'!$B:$B,$A34)*$E34</f>
        <v>0</v>
      </c>
      <c r="I34" s="250">
        <f>SUMIFS('All Measure &amp; TRC+ Calc'!AH:AH,'All Measure &amp; TRC+ Calc'!$D:$D,$C34,'All Measure &amp; TRC+ Calc'!$B:$B,$A34)*$E34</f>
        <v>0</v>
      </c>
      <c r="J34" s="250">
        <f>SUMIFS('All Measure &amp; TRC+ Calc'!AI:AI,'All Measure &amp; TRC+ Calc'!$D:$D,$C34,'All Measure &amp; TRC+ Calc'!$B:$B,$A34)*$E34</f>
        <v>0</v>
      </c>
      <c r="K34" s="250">
        <f>SUMIFS('All Measure &amp; TRC+ Calc'!AL:AL,'All Measure &amp; TRC+ Calc'!$D:$D,$C34,'All Measure &amp; TRC+ Calc'!$B:$B,$A34)*$E34</f>
        <v>0</v>
      </c>
      <c r="L34" s="250">
        <f>SUMIFS('All Measure &amp; TRC+ Calc'!AM:AM,'All Measure &amp; TRC+ Calc'!$D:$D,$C34,'All Measure &amp; TRC+ Calc'!$B:$B,$A34)*$E34</f>
        <v>0</v>
      </c>
      <c r="M34" s="250">
        <f>SUMIFS('All Measure &amp; TRC+ Calc'!AJ:AJ,'All Measure &amp; TRC+ Calc'!$D:$D,$C34,'All Measure &amp; TRC+ Calc'!$B:$B,$A34)*$E34</f>
        <v>0</v>
      </c>
      <c r="N34" s="250">
        <f>SUMIFS('All Measure &amp; TRC+ Calc'!AK:AK,'All Measure &amp; TRC+ Calc'!$D:$D,$C34,'All Measure &amp; TRC+ Calc'!$B:$B,$A34)*$E34</f>
        <v>0</v>
      </c>
      <c r="O34" s="250">
        <f>SUMIFS('All Measure &amp; TRC+ Calc'!AF:AF,'All Measure &amp; TRC+ Calc'!$D:$D,$C34,'All Measure &amp; TRC+ Calc'!$B:$B,$A34)*$E34</f>
        <v>0</v>
      </c>
      <c r="P34" s="250">
        <f>SUMIFS('All Measure &amp; TRC+ Calc'!AG:AG,'All Measure &amp; TRC+ Calc'!$D:$D,$C34,'All Measure &amp; TRC+ Calc'!$B:$B,$A34)*$E34</f>
        <v>0</v>
      </c>
      <c r="Q34" s="249">
        <v>1</v>
      </c>
      <c r="R34" s="190">
        <f>SUMIFS(Budget!$E:$E,Budget!$A:$A,$A34,Budget!$C:$C,$C34,Budget!$D:$D,R$7)*Summary[[#This Row],[Budget %  Adjustment]]</f>
        <v>0</v>
      </c>
      <c r="S34" s="190">
        <f>SUMIFS(Budget!$E:$E,Budget!$A:$A,$A34,Budget!$C:$C,$C34,Budget!$D:$D,S$7)*Summary[[#This Row],[Budget %  Adjustment]]</f>
        <v>0</v>
      </c>
      <c r="T34" s="190">
        <f>SUMIFS(Budget!$E:$E,Budget!$A:$A,$A34,Budget!$C:$C,$C34,Budget!$D:$D,T$7)*Summary[[#This Row],[Budget %  Adjustment]]</f>
        <v>0</v>
      </c>
      <c r="U34" s="190">
        <f>SUMIFS(Budget!$E:$E,Budget!$A:$A,$A34,Budget!$C:$C,$C34,Budget!$D:$D,U$7)*Summary[[#This Row],[Budget %  Adjustment]]</f>
        <v>1838341</v>
      </c>
      <c r="V34" s="190">
        <f>Summary[[#This Row],[Promo]]+Summary[[#This Row],[Delivery]]</f>
        <v>0</v>
      </c>
      <c r="W34" s="190">
        <f t="shared" si="0"/>
        <v>1838341</v>
      </c>
      <c r="X34" s="190">
        <f t="shared" si="1"/>
        <v>1838341</v>
      </c>
    </row>
    <row r="35" spans="1:24" x14ac:dyDescent="0.25">
      <c r="A35" s="156">
        <v>2027</v>
      </c>
      <c r="B35" s="247" t="s">
        <v>15</v>
      </c>
      <c r="C35" s="247" t="s">
        <v>27</v>
      </c>
      <c r="D35" s="247" t="s">
        <v>133</v>
      </c>
      <c r="E35" s="249">
        <v>1</v>
      </c>
      <c r="F35" s="250">
        <f>SUMIFS('All Measure &amp; TRC+ Calc'!F:F,'All Measure &amp; TRC+ Calc'!$D:$D,$C35,'All Measure &amp; TRC+ Calc'!$B:$B,$A35)*$E35</f>
        <v>67</v>
      </c>
      <c r="G35" s="250">
        <f>SUMIFS('All Measure &amp; TRC+ Calc'!AD:AD,'All Measure &amp; TRC+ Calc'!$D:$D,$C35,'All Measure &amp; TRC+ Calc'!$B:$B,$A35)*$E35</f>
        <v>76840507.707485452</v>
      </c>
      <c r="H35" s="250">
        <f>SUMIFS('All Measure &amp; TRC+ Calc'!AE:AE,'All Measure &amp; TRC+ Calc'!$D:$D,$C35,'All Measure &amp; TRC+ Calc'!$B:$B,$A35)*$E35</f>
        <v>18249620.580527794</v>
      </c>
      <c r="I35" s="250">
        <f>SUMIFS('All Measure &amp; TRC+ Calc'!AH:AH,'All Measure &amp; TRC+ Calc'!$D:$D,$C35,'All Measure &amp; TRC+ Calc'!$B:$B,$A35)*$E35</f>
        <v>2072644.6010394355</v>
      </c>
      <c r="J35" s="250">
        <f>SUMIFS('All Measure &amp; TRC+ Calc'!AI:AI,'All Measure &amp; TRC+ Calc'!$D:$D,$C35,'All Measure &amp; TRC+ Calc'!$B:$B,$A35)*$E35</f>
        <v>492253.09274686582</v>
      </c>
      <c r="K35" s="250">
        <f>SUMIFS('All Measure &amp; TRC+ Calc'!AL:AL,'All Measure &amp; TRC+ Calc'!$D:$D,$C35,'All Measure &amp; TRC+ Calc'!$B:$B,$A35)*$E35</f>
        <v>236.60326495883749</v>
      </c>
      <c r="L35" s="250">
        <f>SUMIFS('All Measure &amp; TRC+ Calc'!AM:AM,'All Measure &amp; TRC+ Calc'!$D:$D,$C35,'All Measure &amp; TRC+ Calc'!$B:$B,$A35)*$E35</f>
        <v>56.19327542772389</v>
      </c>
      <c r="M35" s="250">
        <f>SUMIFS('All Measure &amp; TRC+ Calc'!AJ:AJ,'All Measure &amp; TRC+ Calc'!$D:$D,$C35,'All Measure &amp; TRC+ Calc'!$B:$B,$A35)*$E35</f>
        <v>112612.85597882612</v>
      </c>
      <c r="N35" s="250">
        <f>SUMIFS('All Measure &amp; TRC+ Calc'!AK:AK,'All Measure &amp; TRC+ Calc'!$D:$D,$C35,'All Measure &amp; TRC+ Calc'!$B:$B,$A35)*$E35</f>
        <v>26745.5532949712</v>
      </c>
      <c r="O35" s="250">
        <f>SUMIFS('All Measure &amp; TRC+ Calc'!AF:AF,'All Measure &amp; TRC+ Calc'!$D:$D,$C35,'All Measure &amp; TRC+ Calc'!$B:$B,$A35)*$E35</f>
        <v>845245584.78233993</v>
      </c>
      <c r="P35" s="250">
        <f>SUMIFS('All Measure &amp; TRC+ Calc'!AG:AG,'All Measure &amp; TRC+ Calc'!$D:$D,$C35,'All Measure &amp; TRC+ Calc'!$B:$B,$A35)*$E35</f>
        <v>200745826.38580573</v>
      </c>
      <c r="Q35" s="249">
        <v>1</v>
      </c>
      <c r="R35" s="190">
        <f>SUMIFS(Budget!$E:$E,Budget!$A:$A,$A35,Budget!$C:$C,$C35,Budget!$D:$D,R$7)*Summary[[#This Row],[Budget %  Adjustment]]</f>
        <v>3178709</v>
      </c>
      <c r="S35" s="190">
        <f>SUMIFS(Budget!$E:$E,Budget!$A:$A,$A35,Budget!$C:$C,$C35,Budget!$D:$D,S$7)*Summary[[#This Row],[Budget %  Adjustment]]</f>
        <v>25000</v>
      </c>
      <c r="T35" s="190">
        <f>SUMIFS(Budget!$E:$E,Budget!$A:$A,$A35,Budget!$C:$C,$C35,Budget!$D:$D,T$7)*Summary[[#This Row],[Budget %  Adjustment]]</f>
        <v>0</v>
      </c>
      <c r="U35" s="190">
        <f>SUMIFS(Budget!$E:$E,Budget!$A:$A,$A35,Budget!$C:$C,$C35,Budget!$D:$D,U$7)*Summary[[#This Row],[Budget %  Adjustment]]</f>
        <v>0</v>
      </c>
      <c r="V35" s="190">
        <f>Summary[[#This Row],[Promo]]+Summary[[#This Row],[Delivery]]</f>
        <v>25000</v>
      </c>
      <c r="W35" s="190">
        <f t="shared" si="0"/>
        <v>25000</v>
      </c>
      <c r="X35" s="190">
        <f t="shared" si="1"/>
        <v>3203709</v>
      </c>
    </row>
    <row r="36" spans="1:24" x14ac:dyDescent="0.25">
      <c r="A36" s="156">
        <v>2027</v>
      </c>
      <c r="B36" s="247" t="s">
        <v>15</v>
      </c>
      <c r="C36" s="247" t="s">
        <v>28</v>
      </c>
      <c r="D36" s="247" t="s">
        <v>28</v>
      </c>
      <c r="E36" s="249">
        <v>1</v>
      </c>
      <c r="F36" s="250">
        <f>SUMIFS('All Measure &amp; TRC+ Calc'!F:F,'All Measure &amp; TRC+ Calc'!$D:$D,$C36,'All Measure &amp; TRC+ Calc'!$B:$B,$A36)*$E36</f>
        <v>0</v>
      </c>
      <c r="G36" s="250">
        <f>SUMIFS('All Measure &amp; TRC+ Calc'!AD:AD,'All Measure &amp; TRC+ Calc'!$D:$D,$C36,'All Measure &amp; TRC+ Calc'!$B:$B,$A36)*$E36</f>
        <v>0</v>
      </c>
      <c r="H36" s="250">
        <f>SUMIFS('All Measure &amp; TRC+ Calc'!AE:AE,'All Measure &amp; TRC+ Calc'!$D:$D,$C36,'All Measure &amp; TRC+ Calc'!$B:$B,$A36)*$E36</f>
        <v>0</v>
      </c>
      <c r="I36" s="250">
        <f>SUMIFS('All Measure &amp; TRC+ Calc'!AH:AH,'All Measure &amp; TRC+ Calc'!$D:$D,$C36,'All Measure &amp; TRC+ Calc'!$B:$B,$A36)*$E36</f>
        <v>0</v>
      </c>
      <c r="J36" s="250">
        <f>SUMIFS('All Measure &amp; TRC+ Calc'!AI:AI,'All Measure &amp; TRC+ Calc'!$D:$D,$C36,'All Measure &amp; TRC+ Calc'!$B:$B,$A36)*$E36</f>
        <v>0</v>
      </c>
      <c r="K36" s="250">
        <f>SUMIFS('All Measure &amp; TRC+ Calc'!AL:AL,'All Measure &amp; TRC+ Calc'!$D:$D,$C36,'All Measure &amp; TRC+ Calc'!$B:$B,$A36)*$E36</f>
        <v>0</v>
      </c>
      <c r="L36" s="250">
        <f>SUMIFS('All Measure &amp; TRC+ Calc'!AM:AM,'All Measure &amp; TRC+ Calc'!$D:$D,$C36,'All Measure &amp; TRC+ Calc'!$B:$B,$A36)*$E36</f>
        <v>0</v>
      </c>
      <c r="M36" s="250">
        <f>SUMIFS('All Measure &amp; TRC+ Calc'!AJ:AJ,'All Measure &amp; TRC+ Calc'!$D:$D,$C36,'All Measure &amp; TRC+ Calc'!$B:$B,$A36)*$E36</f>
        <v>0</v>
      </c>
      <c r="N36" s="250">
        <f>SUMIFS('All Measure &amp; TRC+ Calc'!AK:AK,'All Measure &amp; TRC+ Calc'!$D:$D,$C36,'All Measure &amp; TRC+ Calc'!$B:$B,$A36)*$E36</f>
        <v>0</v>
      </c>
      <c r="O36" s="250">
        <f>SUMIFS('All Measure &amp; TRC+ Calc'!AF:AF,'All Measure &amp; TRC+ Calc'!$D:$D,$C36,'All Measure &amp; TRC+ Calc'!$B:$B,$A36)*$E36</f>
        <v>0</v>
      </c>
      <c r="P36" s="250">
        <f>SUMIFS('All Measure &amp; TRC+ Calc'!AG:AG,'All Measure &amp; TRC+ Calc'!$D:$D,$C36,'All Measure &amp; TRC+ Calc'!$B:$B,$A36)*$E36</f>
        <v>0</v>
      </c>
      <c r="Q36" s="249">
        <v>1</v>
      </c>
      <c r="R36" s="190">
        <f>SUMIFS(Budget!$E:$E,Budget!$A:$A,$A36,Budget!$C:$C,$C36,Budget!$D:$D,R$7)*Summary[[#This Row],[Budget %  Adjustment]]</f>
        <v>0</v>
      </c>
      <c r="S36" s="190">
        <f>SUMIFS(Budget!$E:$E,Budget!$A:$A,$A36,Budget!$C:$C,$C36,Budget!$D:$D,S$7)*Summary[[#This Row],[Budget %  Adjustment]]</f>
        <v>0</v>
      </c>
      <c r="T36" s="190">
        <f>SUMIFS(Budget!$E:$E,Budget!$A:$A,$A36,Budget!$C:$C,$C36,Budget!$D:$D,T$7)*Summary[[#This Row],[Budget %  Adjustment]]</f>
        <v>0</v>
      </c>
      <c r="U36" s="190">
        <f>SUMIFS(Budget!$E:$E,Budget!$A:$A,$A36,Budget!$C:$C,$C36,Budget!$D:$D,U$7)*Summary[[#This Row],[Budget %  Adjustment]]</f>
        <v>275945</v>
      </c>
      <c r="V36" s="190">
        <f>Summary[[#This Row],[Promo]]+Summary[[#This Row],[Delivery]]</f>
        <v>0</v>
      </c>
      <c r="W36" s="190">
        <f t="shared" si="0"/>
        <v>275945</v>
      </c>
      <c r="X36" s="190">
        <f t="shared" si="1"/>
        <v>275945</v>
      </c>
    </row>
    <row r="37" spans="1:24" x14ac:dyDescent="0.25">
      <c r="A37" s="156">
        <v>2027</v>
      </c>
      <c r="B37" s="247" t="s">
        <v>254</v>
      </c>
      <c r="C37" s="247" t="s">
        <v>174</v>
      </c>
      <c r="D37" s="247" t="s">
        <v>174</v>
      </c>
      <c r="E37" s="249">
        <v>1</v>
      </c>
      <c r="F37" s="250">
        <f>SUMIFS('All Measure &amp; TRC+ Calc'!F:F,'All Measure &amp; TRC+ Calc'!$D:$D,$C37,'All Measure &amp; TRC+ Calc'!$B:$B,$A37)*$E37</f>
        <v>0</v>
      </c>
      <c r="G37" s="250">
        <f>SUMIFS('All Measure &amp; TRC+ Calc'!AD:AD,'All Measure &amp; TRC+ Calc'!$D:$D,$C37,'All Measure &amp; TRC+ Calc'!$B:$B,$A37)*$E37</f>
        <v>0</v>
      </c>
      <c r="H37" s="250">
        <f>SUMIFS('All Measure &amp; TRC+ Calc'!AE:AE,'All Measure &amp; TRC+ Calc'!$D:$D,$C37,'All Measure &amp; TRC+ Calc'!$B:$B,$A37)*$E37</f>
        <v>0</v>
      </c>
      <c r="I37" s="250">
        <f>SUMIFS('All Measure &amp; TRC+ Calc'!AH:AH,'All Measure &amp; TRC+ Calc'!$D:$D,$C37,'All Measure &amp; TRC+ Calc'!$B:$B,$A37)*$E37</f>
        <v>0</v>
      </c>
      <c r="J37" s="250">
        <f>SUMIFS('All Measure &amp; TRC+ Calc'!AI:AI,'All Measure &amp; TRC+ Calc'!$D:$D,$C37,'All Measure &amp; TRC+ Calc'!$B:$B,$A37)*$E37</f>
        <v>0</v>
      </c>
      <c r="K37" s="250">
        <f>SUMIFS('All Measure &amp; TRC+ Calc'!AL:AL,'All Measure &amp; TRC+ Calc'!$D:$D,$C37,'All Measure &amp; TRC+ Calc'!$B:$B,$A37)*$E37</f>
        <v>0</v>
      </c>
      <c r="L37" s="250">
        <f>SUMIFS('All Measure &amp; TRC+ Calc'!AM:AM,'All Measure &amp; TRC+ Calc'!$D:$D,$C37,'All Measure &amp; TRC+ Calc'!$B:$B,$A37)*$E37</f>
        <v>0</v>
      </c>
      <c r="M37" s="250">
        <f>SUMIFS('All Measure &amp; TRC+ Calc'!AJ:AJ,'All Measure &amp; TRC+ Calc'!$D:$D,$C37,'All Measure &amp; TRC+ Calc'!$B:$B,$A37)*$E37</f>
        <v>0</v>
      </c>
      <c r="N37" s="250">
        <f>SUMIFS('All Measure &amp; TRC+ Calc'!AK:AK,'All Measure &amp; TRC+ Calc'!$D:$D,$C37,'All Measure &amp; TRC+ Calc'!$B:$B,$A37)*$E37</f>
        <v>0</v>
      </c>
      <c r="O37" s="250">
        <f>SUMIFS('All Measure &amp; TRC+ Calc'!AF:AF,'All Measure &amp; TRC+ Calc'!$D:$D,$C37,'All Measure &amp; TRC+ Calc'!$B:$B,$A37)*$E37</f>
        <v>0</v>
      </c>
      <c r="P37" s="250">
        <f>SUMIFS('All Measure &amp; TRC+ Calc'!AG:AG,'All Measure &amp; TRC+ Calc'!$D:$D,$C37,'All Measure &amp; TRC+ Calc'!$B:$B,$A37)*$E37</f>
        <v>0</v>
      </c>
      <c r="Q37" s="249">
        <v>1</v>
      </c>
      <c r="R37" s="190">
        <f>SUMIFS(Budget!$E:$E,Budget!$A:$A,$A37,Budget!$C:$C,$C37,Budget!$D:$D,R$7)*Summary[[#This Row],[Budget %  Adjustment]]</f>
        <v>0</v>
      </c>
      <c r="S37" s="190">
        <f>SUMIFS(Budget!$E:$E,Budget!$A:$A,$A37,Budget!$C:$C,$C37,Budget!$D:$D,S$7)*Summary[[#This Row],[Budget %  Adjustment]]</f>
        <v>0</v>
      </c>
      <c r="T37" s="190">
        <f>SUMIFS(Budget!$E:$E,Budget!$A:$A,$A37,Budget!$C:$C,$C37,Budget!$D:$D,T$7)*Summary[[#This Row],[Budget %  Adjustment]]</f>
        <v>0</v>
      </c>
      <c r="U37" s="190">
        <f>SUMIFS(Budget!$E:$E,Budget!$A:$A,$A37,Budget!$C:$C,$C37,Budget!$D:$D,U$7)*Summary[[#This Row],[Budget %  Adjustment]]</f>
        <v>0</v>
      </c>
      <c r="V37" s="190">
        <f>Summary[[#This Row],[Promo]]+Summary[[#This Row],[Delivery]]</f>
        <v>0</v>
      </c>
      <c r="W37" s="190">
        <f t="shared" si="0"/>
        <v>0</v>
      </c>
      <c r="X37" s="190">
        <f t="shared" si="1"/>
        <v>0</v>
      </c>
    </row>
    <row r="38" spans="1:24" x14ac:dyDescent="0.25">
      <c r="A38" s="156">
        <v>2027</v>
      </c>
      <c r="B38" s="247" t="s">
        <v>253</v>
      </c>
      <c r="C38" s="247" t="s">
        <v>175</v>
      </c>
      <c r="D38" s="247" t="s">
        <v>257</v>
      </c>
      <c r="E38" s="249">
        <v>1</v>
      </c>
      <c r="F38" s="250">
        <f>SUMIFS('All Measure &amp; TRC+ Calc'!F:F,'All Measure &amp; TRC+ Calc'!$D:$D,$C38,'All Measure &amp; TRC+ Calc'!$B:$B,$A38)*$E38</f>
        <v>0</v>
      </c>
      <c r="G38" s="250">
        <f>SUMIFS('All Measure &amp; TRC+ Calc'!AD:AD,'All Measure &amp; TRC+ Calc'!$D:$D,$C38,'All Measure &amp; TRC+ Calc'!$B:$B,$A38)*$E38</f>
        <v>0</v>
      </c>
      <c r="H38" s="250">
        <f>SUMIFS('All Measure &amp; TRC+ Calc'!AE:AE,'All Measure &amp; TRC+ Calc'!$D:$D,$C38,'All Measure &amp; TRC+ Calc'!$B:$B,$A38)*$E38</f>
        <v>0</v>
      </c>
      <c r="I38" s="250">
        <f>SUMIFS('All Measure &amp; TRC+ Calc'!AH:AH,'All Measure &amp; TRC+ Calc'!$D:$D,$C38,'All Measure &amp; TRC+ Calc'!$B:$B,$A38)*$E38</f>
        <v>0</v>
      </c>
      <c r="J38" s="250">
        <f>SUMIFS('All Measure &amp; TRC+ Calc'!AI:AI,'All Measure &amp; TRC+ Calc'!$D:$D,$C38,'All Measure &amp; TRC+ Calc'!$B:$B,$A38)*$E38</f>
        <v>0</v>
      </c>
      <c r="K38" s="250">
        <f>SUMIFS('All Measure &amp; TRC+ Calc'!AL:AL,'All Measure &amp; TRC+ Calc'!$D:$D,$C38,'All Measure &amp; TRC+ Calc'!$B:$B,$A38)*$E38</f>
        <v>0</v>
      </c>
      <c r="L38" s="250">
        <f>SUMIFS('All Measure &amp; TRC+ Calc'!AM:AM,'All Measure &amp; TRC+ Calc'!$D:$D,$C38,'All Measure &amp; TRC+ Calc'!$B:$B,$A38)*$E38</f>
        <v>0</v>
      </c>
      <c r="M38" s="250">
        <f>SUMIFS('All Measure &amp; TRC+ Calc'!AJ:AJ,'All Measure &amp; TRC+ Calc'!$D:$D,$C38,'All Measure &amp; TRC+ Calc'!$B:$B,$A38)*$E38</f>
        <v>0</v>
      </c>
      <c r="N38" s="250">
        <f>SUMIFS('All Measure &amp; TRC+ Calc'!AK:AK,'All Measure &amp; TRC+ Calc'!$D:$D,$C38,'All Measure &amp; TRC+ Calc'!$B:$B,$A38)*$E38</f>
        <v>0</v>
      </c>
      <c r="O38" s="250">
        <f>SUMIFS('All Measure &amp; TRC+ Calc'!AF:AF,'All Measure &amp; TRC+ Calc'!$D:$D,$C38,'All Measure &amp; TRC+ Calc'!$B:$B,$A38)*$E38</f>
        <v>0</v>
      </c>
      <c r="P38" s="250">
        <f>SUMIFS('All Measure &amp; TRC+ Calc'!AG:AG,'All Measure &amp; TRC+ Calc'!$D:$D,$C38,'All Measure &amp; TRC+ Calc'!$B:$B,$A38)*$E38</f>
        <v>0</v>
      </c>
      <c r="Q38" s="249">
        <v>1</v>
      </c>
      <c r="R38" s="190">
        <f>SUMIFS(Budget!$E:$E,Budget!$A:$A,$A38,Budget!$C:$C,$C38,Budget!$D:$D,R$7)*Summary[[#This Row],[Budget %  Adjustment]]</f>
        <v>0</v>
      </c>
      <c r="S38" s="190">
        <f>SUMIFS(Budget!$E:$E,Budget!$A:$A,$A38,Budget!$C:$C,$C38,Budget!$D:$D,S$7)*Summary[[#This Row],[Budget %  Adjustment]]</f>
        <v>0</v>
      </c>
      <c r="T38" s="190">
        <f>SUMIFS(Budget!$E:$E,Budget!$A:$A,$A38,Budget!$C:$C,$C38,Budget!$D:$D,T$7)*Summary[[#This Row],[Budget %  Adjustment]]</f>
        <v>0</v>
      </c>
      <c r="U38" s="190">
        <f>SUMIFS(Budget!$E:$E,Budget!$A:$A,$A38,Budget!$C:$C,$C38,Budget!$D:$D,U$7)*Summary[[#This Row],[Budget %  Adjustment]]</f>
        <v>0</v>
      </c>
      <c r="V38" s="190">
        <f>Summary[[#This Row],[Promo]]+Summary[[#This Row],[Delivery]]</f>
        <v>0</v>
      </c>
      <c r="W38" s="190">
        <f t="shared" si="0"/>
        <v>0</v>
      </c>
      <c r="X38" s="190">
        <f t="shared" si="1"/>
        <v>0</v>
      </c>
    </row>
    <row r="39" spans="1:24" x14ac:dyDescent="0.25">
      <c r="A39" s="156">
        <v>2027</v>
      </c>
      <c r="B39" s="247" t="s">
        <v>253</v>
      </c>
      <c r="C39" s="247" t="s">
        <v>176</v>
      </c>
      <c r="D39" s="247" t="s">
        <v>176</v>
      </c>
      <c r="E39" s="249">
        <v>1</v>
      </c>
      <c r="F39" s="250">
        <f>SUMIFS('All Measure &amp; TRC+ Calc'!F:F,'All Measure &amp; TRC+ Calc'!$D:$D,$C39,'All Measure &amp; TRC+ Calc'!$B:$B,$A39)*$E39</f>
        <v>0</v>
      </c>
      <c r="G39" s="250">
        <f>SUMIFS('All Measure &amp; TRC+ Calc'!AD:AD,'All Measure &amp; TRC+ Calc'!$D:$D,$C39,'All Measure &amp; TRC+ Calc'!$B:$B,$A39)*$E39</f>
        <v>0</v>
      </c>
      <c r="H39" s="250">
        <f>SUMIFS('All Measure &amp; TRC+ Calc'!AE:AE,'All Measure &amp; TRC+ Calc'!$D:$D,$C39,'All Measure &amp; TRC+ Calc'!$B:$B,$A39)*$E39</f>
        <v>0</v>
      </c>
      <c r="I39" s="250">
        <f>SUMIFS('All Measure &amp; TRC+ Calc'!AH:AH,'All Measure &amp; TRC+ Calc'!$D:$D,$C39,'All Measure &amp; TRC+ Calc'!$B:$B,$A39)*$E39</f>
        <v>0</v>
      </c>
      <c r="J39" s="250">
        <f>SUMIFS('All Measure &amp; TRC+ Calc'!AI:AI,'All Measure &amp; TRC+ Calc'!$D:$D,$C39,'All Measure &amp; TRC+ Calc'!$B:$B,$A39)*$E39</f>
        <v>0</v>
      </c>
      <c r="K39" s="250">
        <f>SUMIFS('All Measure &amp; TRC+ Calc'!AL:AL,'All Measure &amp; TRC+ Calc'!$D:$D,$C39,'All Measure &amp; TRC+ Calc'!$B:$B,$A39)*$E39</f>
        <v>0</v>
      </c>
      <c r="L39" s="250">
        <f>SUMIFS('All Measure &amp; TRC+ Calc'!AM:AM,'All Measure &amp; TRC+ Calc'!$D:$D,$C39,'All Measure &amp; TRC+ Calc'!$B:$B,$A39)*$E39</f>
        <v>0</v>
      </c>
      <c r="M39" s="250">
        <f>SUMIFS('All Measure &amp; TRC+ Calc'!AJ:AJ,'All Measure &amp; TRC+ Calc'!$D:$D,$C39,'All Measure &amp; TRC+ Calc'!$B:$B,$A39)*$E39</f>
        <v>0</v>
      </c>
      <c r="N39" s="250">
        <f>SUMIFS('All Measure &amp; TRC+ Calc'!AK:AK,'All Measure &amp; TRC+ Calc'!$D:$D,$C39,'All Measure &amp; TRC+ Calc'!$B:$B,$A39)*$E39</f>
        <v>0</v>
      </c>
      <c r="O39" s="250">
        <f>SUMIFS('All Measure &amp; TRC+ Calc'!AF:AF,'All Measure &amp; TRC+ Calc'!$D:$D,$C39,'All Measure &amp; TRC+ Calc'!$B:$B,$A39)*$E39</f>
        <v>0</v>
      </c>
      <c r="P39" s="250">
        <f>SUMIFS('All Measure &amp; TRC+ Calc'!AG:AG,'All Measure &amp; TRC+ Calc'!$D:$D,$C39,'All Measure &amp; TRC+ Calc'!$B:$B,$A39)*$E39</f>
        <v>0</v>
      </c>
      <c r="Q39" s="249">
        <v>1</v>
      </c>
      <c r="R39" s="190">
        <f>SUMIFS(Budget!$E:$E,Budget!$A:$A,$A39,Budget!$C:$C,$C39,Budget!$D:$D,R$7)*Summary[[#This Row],[Budget %  Adjustment]]</f>
        <v>0</v>
      </c>
      <c r="S39" s="190">
        <f>SUMIFS(Budget!$E:$E,Budget!$A:$A,$A39,Budget!$C:$C,$C39,Budget!$D:$D,S$7)*Summary[[#This Row],[Budget %  Adjustment]]</f>
        <v>0</v>
      </c>
      <c r="T39" s="190">
        <f>SUMIFS(Budget!$E:$E,Budget!$A:$A,$A39,Budget!$C:$C,$C39,Budget!$D:$D,T$7)*Summary[[#This Row],[Budget %  Adjustment]]</f>
        <v>0</v>
      </c>
      <c r="U39" s="190">
        <f>SUMIFS(Budget!$E:$E,Budget!$A:$A,$A39,Budget!$C:$C,$C39,Budget!$D:$D,U$7)*Summary[[#This Row],[Budget %  Adjustment]]</f>
        <v>0</v>
      </c>
      <c r="V39" s="190">
        <f>Summary[[#This Row],[Promo]]+Summary[[#This Row],[Delivery]]</f>
        <v>0</v>
      </c>
      <c r="W39" s="190">
        <f t="shared" si="0"/>
        <v>0</v>
      </c>
      <c r="X39" s="190">
        <f t="shared" si="1"/>
        <v>0</v>
      </c>
    </row>
    <row r="40" spans="1:24" x14ac:dyDescent="0.25">
      <c r="A40" s="156">
        <v>2027</v>
      </c>
      <c r="B40" s="247" t="s">
        <v>29</v>
      </c>
      <c r="C40" s="247" t="s">
        <v>30</v>
      </c>
      <c r="D40" s="247" t="s">
        <v>258</v>
      </c>
      <c r="E40" s="249">
        <v>1</v>
      </c>
      <c r="F40" s="250">
        <f>SUMIFS('All Measure &amp; TRC+ Calc'!F:F,'All Measure &amp; TRC+ Calc'!$D:$D,$C40,'All Measure &amp; TRC+ Calc'!$B:$B,$A40)*$E40</f>
        <v>0</v>
      </c>
      <c r="G40" s="250">
        <f>SUMIFS('All Measure &amp; TRC+ Calc'!AD:AD,'All Measure &amp; TRC+ Calc'!$D:$D,$C40,'All Measure &amp; TRC+ Calc'!$B:$B,$A40)*$E40</f>
        <v>0</v>
      </c>
      <c r="H40" s="250">
        <f>SUMIFS('All Measure &amp; TRC+ Calc'!AE:AE,'All Measure &amp; TRC+ Calc'!$D:$D,$C40,'All Measure &amp; TRC+ Calc'!$B:$B,$A40)*$E40</f>
        <v>0</v>
      </c>
      <c r="I40" s="250">
        <f>SUMIFS('All Measure &amp; TRC+ Calc'!AH:AH,'All Measure &amp; TRC+ Calc'!$D:$D,$C40,'All Measure &amp; TRC+ Calc'!$B:$B,$A40)*$E40</f>
        <v>0</v>
      </c>
      <c r="J40" s="250">
        <f>SUMIFS('All Measure &amp; TRC+ Calc'!AI:AI,'All Measure &amp; TRC+ Calc'!$D:$D,$C40,'All Measure &amp; TRC+ Calc'!$B:$B,$A40)*$E40</f>
        <v>0</v>
      </c>
      <c r="K40" s="250">
        <f>SUMIFS('All Measure &amp; TRC+ Calc'!AL:AL,'All Measure &amp; TRC+ Calc'!$D:$D,$C40,'All Measure &amp; TRC+ Calc'!$B:$B,$A40)*$E40</f>
        <v>0</v>
      </c>
      <c r="L40" s="250">
        <f>SUMIFS('All Measure &amp; TRC+ Calc'!AM:AM,'All Measure &amp; TRC+ Calc'!$D:$D,$C40,'All Measure &amp; TRC+ Calc'!$B:$B,$A40)*$E40</f>
        <v>0</v>
      </c>
      <c r="M40" s="250">
        <f>SUMIFS('All Measure &amp; TRC+ Calc'!AJ:AJ,'All Measure &amp; TRC+ Calc'!$D:$D,$C40,'All Measure &amp; TRC+ Calc'!$B:$B,$A40)*$E40</f>
        <v>0</v>
      </c>
      <c r="N40" s="250">
        <f>SUMIFS('All Measure &amp; TRC+ Calc'!AK:AK,'All Measure &amp; TRC+ Calc'!$D:$D,$C40,'All Measure &amp; TRC+ Calc'!$B:$B,$A40)*$E40</f>
        <v>0</v>
      </c>
      <c r="O40" s="250">
        <f>SUMIFS('All Measure &amp; TRC+ Calc'!AF:AF,'All Measure &amp; TRC+ Calc'!$D:$D,$C40,'All Measure &amp; TRC+ Calc'!$B:$B,$A40)*$E40</f>
        <v>0</v>
      </c>
      <c r="P40" s="250">
        <f>SUMIFS('All Measure &amp; TRC+ Calc'!AG:AG,'All Measure &amp; TRC+ Calc'!$D:$D,$C40,'All Measure &amp; TRC+ Calc'!$B:$B,$A40)*$E40</f>
        <v>0</v>
      </c>
      <c r="Q40" s="249">
        <v>1</v>
      </c>
      <c r="R40" s="190">
        <f>SUMIFS(Budget!$E:$E,Budget!$A:$A,$A40,Budget!$C:$C,$C40,Budget!$D:$D,R$7)*Summary[[#This Row],[Budget %  Adjustment]]</f>
        <v>0</v>
      </c>
      <c r="S40" s="190">
        <f>SUMIFS(Budget!$E:$E,Budget!$A:$A,$A40,Budget!$C:$C,$C40,Budget!$D:$D,S$7)*Summary[[#This Row],[Budget %  Adjustment]]</f>
        <v>0</v>
      </c>
      <c r="T40" s="190">
        <f>SUMIFS(Budget!$E:$E,Budget!$A:$A,$A40,Budget!$C:$C,$C40,Budget!$D:$D,T$7)*Summary[[#This Row],[Budget %  Adjustment]]</f>
        <v>0</v>
      </c>
      <c r="U40" s="190">
        <f>SUMIFS(Budget!$E:$E,Budget!$A:$A,$A40,Budget!$C:$C,$C40,Budget!$D:$D,U$7)*Summary[[#This Row],[Budget %  Adjustment]]</f>
        <v>7703652</v>
      </c>
      <c r="V40" s="190">
        <f>Summary[[#This Row],[Promo]]+Summary[[#This Row],[Delivery]]</f>
        <v>0</v>
      </c>
      <c r="W40" s="190">
        <f t="shared" ref="W40:W71" si="2">SUM(S40:U40)</f>
        <v>7703652</v>
      </c>
      <c r="X40" s="190">
        <f t="shared" ref="X40:X71" si="3">SUM(R40:U40)</f>
        <v>7703652</v>
      </c>
    </row>
    <row r="41" spans="1:24" x14ac:dyDescent="0.25">
      <c r="A41" s="156">
        <v>2027</v>
      </c>
      <c r="B41" s="247" t="s">
        <v>29</v>
      </c>
      <c r="C41" s="247" t="s">
        <v>32</v>
      </c>
      <c r="D41" s="247" t="s">
        <v>32</v>
      </c>
      <c r="E41" s="249">
        <v>1</v>
      </c>
      <c r="F41" s="250">
        <f>SUMIFS('All Measure &amp; TRC+ Calc'!F:F,'All Measure &amp; TRC+ Calc'!$D:$D,$C41,'All Measure &amp; TRC+ Calc'!$B:$B,$A41)*$E41</f>
        <v>0</v>
      </c>
      <c r="G41" s="250">
        <f>SUMIFS('All Measure &amp; TRC+ Calc'!AD:AD,'All Measure &amp; TRC+ Calc'!$D:$D,$C41,'All Measure &amp; TRC+ Calc'!$B:$B,$A41)*$E41</f>
        <v>0</v>
      </c>
      <c r="H41" s="250">
        <f>SUMIFS('All Measure &amp; TRC+ Calc'!AE:AE,'All Measure &amp; TRC+ Calc'!$D:$D,$C41,'All Measure &amp; TRC+ Calc'!$B:$B,$A41)*$E41</f>
        <v>0</v>
      </c>
      <c r="I41" s="250">
        <f>SUMIFS('All Measure &amp; TRC+ Calc'!AH:AH,'All Measure &amp; TRC+ Calc'!$D:$D,$C41,'All Measure &amp; TRC+ Calc'!$B:$B,$A41)*$E41</f>
        <v>0</v>
      </c>
      <c r="J41" s="250">
        <f>SUMIFS('All Measure &amp; TRC+ Calc'!AI:AI,'All Measure &amp; TRC+ Calc'!$D:$D,$C41,'All Measure &amp; TRC+ Calc'!$B:$B,$A41)*$E41</f>
        <v>0</v>
      </c>
      <c r="K41" s="250">
        <f>SUMIFS('All Measure &amp; TRC+ Calc'!AL:AL,'All Measure &amp; TRC+ Calc'!$D:$D,$C41,'All Measure &amp; TRC+ Calc'!$B:$B,$A41)*$E41</f>
        <v>0</v>
      </c>
      <c r="L41" s="250">
        <f>SUMIFS('All Measure &amp; TRC+ Calc'!AM:AM,'All Measure &amp; TRC+ Calc'!$D:$D,$C41,'All Measure &amp; TRC+ Calc'!$B:$B,$A41)*$E41</f>
        <v>0</v>
      </c>
      <c r="M41" s="250">
        <f>SUMIFS('All Measure &amp; TRC+ Calc'!AJ:AJ,'All Measure &amp; TRC+ Calc'!$D:$D,$C41,'All Measure &amp; TRC+ Calc'!$B:$B,$A41)*$E41</f>
        <v>0</v>
      </c>
      <c r="N41" s="250">
        <f>SUMIFS('All Measure &amp; TRC+ Calc'!AK:AK,'All Measure &amp; TRC+ Calc'!$D:$D,$C41,'All Measure &amp; TRC+ Calc'!$B:$B,$A41)*$E41</f>
        <v>0</v>
      </c>
      <c r="O41" s="250">
        <f>SUMIFS('All Measure &amp; TRC+ Calc'!AF:AF,'All Measure &amp; TRC+ Calc'!$D:$D,$C41,'All Measure &amp; TRC+ Calc'!$B:$B,$A41)*$E41</f>
        <v>0</v>
      </c>
      <c r="P41" s="250">
        <f>SUMIFS('All Measure &amp; TRC+ Calc'!AG:AG,'All Measure &amp; TRC+ Calc'!$D:$D,$C41,'All Measure &amp; TRC+ Calc'!$B:$B,$A41)*$E41</f>
        <v>0</v>
      </c>
      <c r="Q41" s="249">
        <v>1</v>
      </c>
      <c r="R41" s="190">
        <f>SUMIFS(Budget!$E:$E,Budget!$A:$A,$A41,Budget!$C:$C,$C41,Budget!$D:$D,R$7)*Summary[[#This Row],[Budget %  Adjustment]]</f>
        <v>0</v>
      </c>
      <c r="S41" s="190">
        <f>SUMIFS(Budget!$E:$E,Budget!$A:$A,$A41,Budget!$C:$C,$C41,Budget!$D:$D,S$7)*Summary[[#This Row],[Budget %  Adjustment]]</f>
        <v>0</v>
      </c>
      <c r="T41" s="190">
        <f>SUMIFS(Budget!$E:$E,Budget!$A:$A,$A41,Budget!$C:$C,$C41,Budget!$D:$D,T$7)*Summary[[#This Row],[Budget %  Adjustment]]</f>
        <v>0</v>
      </c>
      <c r="U41" s="190">
        <f>SUMIFS(Budget!$E:$E,Budget!$A:$A,$A41,Budget!$C:$C,$C41,Budget!$D:$D,U$7)*Summary[[#This Row],[Budget %  Adjustment]]</f>
        <v>1583000</v>
      </c>
      <c r="V41" s="190">
        <f>Summary[[#This Row],[Promo]]+Summary[[#This Row],[Delivery]]</f>
        <v>0</v>
      </c>
      <c r="W41" s="190">
        <f t="shared" si="2"/>
        <v>1583000</v>
      </c>
      <c r="X41" s="190">
        <f t="shared" si="3"/>
        <v>1583000</v>
      </c>
    </row>
    <row r="42" spans="1:24" x14ac:dyDescent="0.25">
      <c r="A42" s="156">
        <v>2027</v>
      </c>
      <c r="B42" s="247" t="s">
        <v>29</v>
      </c>
      <c r="C42" s="247" t="s">
        <v>177</v>
      </c>
      <c r="D42" s="247" t="s">
        <v>177</v>
      </c>
      <c r="E42" s="249">
        <v>1</v>
      </c>
      <c r="F42" s="250">
        <f>SUMIFS('All Measure &amp; TRC+ Calc'!F:F,'All Measure &amp; TRC+ Calc'!$D:$D,$C42,'All Measure &amp; TRC+ Calc'!$B:$B,$A42)*$E42</f>
        <v>0</v>
      </c>
      <c r="G42" s="250">
        <f>SUMIFS('All Measure &amp; TRC+ Calc'!AD:AD,'All Measure &amp; TRC+ Calc'!$D:$D,$C42,'All Measure &amp; TRC+ Calc'!$B:$B,$A42)*$E42</f>
        <v>0</v>
      </c>
      <c r="H42" s="250">
        <f>SUMIFS('All Measure &amp; TRC+ Calc'!AE:AE,'All Measure &amp; TRC+ Calc'!$D:$D,$C42,'All Measure &amp; TRC+ Calc'!$B:$B,$A42)*$E42</f>
        <v>0</v>
      </c>
      <c r="I42" s="250">
        <f>SUMIFS('All Measure &amp; TRC+ Calc'!AH:AH,'All Measure &amp; TRC+ Calc'!$D:$D,$C42,'All Measure &amp; TRC+ Calc'!$B:$B,$A42)*$E42</f>
        <v>0</v>
      </c>
      <c r="J42" s="250">
        <f>SUMIFS('All Measure &amp; TRC+ Calc'!AI:AI,'All Measure &amp; TRC+ Calc'!$D:$D,$C42,'All Measure &amp; TRC+ Calc'!$B:$B,$A42)*$E42</f>
        <v>0</v>
      </c>
      <c r="K42" s="250">
        <f>SUMIFS('All Measure &amp; TRC+ Calc'!AL:AL,'All Measure &amp; TRC+ Calc'!$D:$D,$C42,'All Measure &amp; TRC+ Calc'!$B:$B,$A42)*$E42</f>
        <v>0</v>
      </c>
      <c r="L42" s="250">
        <f>SUMIFS('All Measure &amp; TRC+ Calc'!AM:AM,'All Measure &amp; TRC+ Calc'!$D:$D,$C42,'All Measure &amp; TRC+ Calc'!$B:$B,$A42)*$E42</f>
        <v>0</v>
      </c>
      <c r="M42" s="250">
        <f>SUMIFS('All Measure &amp; TRC+ Calc'!AJ:AJ,'All Measure &amp; TRC+ Calc'!$D:$D,$C42,'All Measure &amp; TRC+ Calc'!$B:$B,$A42)*$E42</f>
        <v>0</v>
      </c>
      <c r="N42" s="250">
        <f>SUMIFS('All Measure &amp; TRC+ Calc'!AK:AK,'All Measure &amp; TRC+ Calc'!$D:$D,$C42,'All Measure &amp; TRC+ Calc'!$B:$B,$A42)*$E42</f>
        <v>0</v>
      </c>
      <c r="O42" s="250">
        <f>SUMIFS('All Measure &amp; TRC+ Calc'!AF:AF,'All Measure &amp; TRC+ Calc'!$D:$D,$C42,'All Measure &amp; TRC+ Calc'!$B:$B,$A42)*$E42</f>
        <v>0</v>
      </c>
      <c r="P42" s="250">
        <f>SUMIFS('All Measure &amp; TRC+ Calc'!AG:AG,'All Measure &amp; TRC+ Calc'!$D:$D,$C42,'All Measure &amp; TRC+ Calc'!$B:$B,$A42)*$E42</f>
        <v>0</v>
      </c>
      <c r="Q42" s="249">
        <v>1</v>
      </c>
      <c r="R42" s="190">
        <f>SUMIFS(Budget!$E:$E,Budget!$A:$A,$A42,Budget!$C:$C,$C42,Budget!$D:$D,R$7)*Summary[[#This Row],[Budget %  Adjustment]]</f>
        <v>0</v>
      </c>
      <c r="S42" s="190">
        <f>SUMIFS(Budget!$E:$E,Budget!$A:$A,$A42,Budget!$C:$C,$C42,Budget!$D:$D,S$7)*Summary[[#This Row],[Budget %  Adjustment]]</f>
        <v>0</v>
      </c>
      <c r="T42" s="190">
        <f>SUMIFS(Budget!$E:$E,Budget!$A:$A,$A42,Budget!$C:$C,$C42,Budget!$D:$D,T$7)*Summary[[#This Row],[Budget %  Adjustment]]</f>
        <v>0</v>
      </c>
      <c r="U42" s="190">
        <f>SUMIFS(Budget!$E:$E,Budget!$A:$A,$A42,Budget!$C:$C,$C42,Budget!$D:$D,U$7)*Summary[[#This Row],[Budget %  Adjustment]]</f>
        <v>610000</v>
      </c>
      <c r="V42" s="190">
        <f>Summary[[#This Row],[Promo]]+Summary[[#This Row],[Delivery]]</f>
        <v>0</v>
      </c>
      <c r="W42" s="190">
        <f t="shared" si="2"/>
        <v>610000</v>
      </c>
      <c r="X42" s="190">
        <f t="shared" si="3"/>
        <v>610000</v>
      </c>
    </row>
    <row r="43" spans="1:24" x14ac:dyDescent="0.25">
      <c r="A43" s="156">
        <v>2027</v>
      </c>
      <c r="B43" s="247" t="s">
        <v>33</v>
      </c>
      <c r="C43" s="247" t="s">
        <v>34</v>
      </c>
      <c r="D43" s="247" t="s">
        <v>34</v>
      </c>
      <c r="E43" s="249">
        <v>1</v>
      </c>
      <c r="F43" s="250">
        <f>SUMIFS('All Measure &amp; TRC+ Calc'!F:F,'All Measure &amp; TRC+ Calc'!$D:$D,$C43,'All Measure &amp; TRC+ Calc'!$B:$B,$A43)*$E43</f>
        <v>0</v>
      </c>
      <c r="G43" s="250">
        <f>SUMIFS('All Measure &amp; TRC+ Calc'!AD:AD,'All Measure &amp; TRC+ Calc'!$D:$D,$C43,'All Measure &amp; TRC+ Calc'!$B:$B,$A43)*$E43</f>
        <v>0</v>
      </c>
      <c r="H43" s="250">
        <f>SUMIFS('All Measure &amp; TRC+ Calc'!AE:AE,'All Measure &amp; TRC+ Calc'!$D:$D,$C43,'All Measure &amp; TRC+ Calc'!$B:$B,$A43)*$E43</f>
        <v>0</v>
      </c>
      <c r="I43" s="250">
        <f>SUMIFS('All Measure &amp; TRC+ Calc'!AH:AH,'All Measure &amp; TRC+ Calc'!$D:$D,$C43,'All Measure &amp; TRC+ Calc'!$B:$B,$A43)*$E43</f>
        <v>0</v>
      </c>
      <c r="J43" s="250">
        <f>SUMIFS('All Measure &amp; TRC+ Calc'!AI:AI,'All Measure &amp; TRC+ Calc'!$D:$D,$C43,'All Measure &amp; TRC+ Calc'!$B:$B,$A43)*$E43</f>
        <v>0</v>
      </c>
      <c r="K43" s="250">
        <f>SUMIFS('All Measure &amp; TRC+ Calc'!AL:AL,'All Measure &amp; TRC+ Calc'!$D:$D,$C43,'All Measure &amp; TRC+ Calc'!$B:$B,$A43)*$E43</f>
        <v>0</v>
      </c>
      <c r="L43" s="250">
        <f>SUMIFS('All Measure &amp; TRC+ Calc'!AM:AM,'All Measure &amp; TRC+ Calc'!$D:$D,$C43,'All Measure &amp; TRC+ Calc'!$B:$B,$A43)*$E43</f>
        <v>0</v>
      </c>
      <c r="M43" s="250">
        <f>SUMIFS('All Measure &amp; TRC+ Calc'!AJ:AJ,'All Measure &amp; TRC+ Calc'!$D:$D,$C43,'All Measure &amp; TRC+ Calc'!$B:$B,$A43)*$E43</f>
        <v>0</v>
      </c>
      <c r="N43" s="250">
        <f>SUMIFS('All Measure &amp; TRC+ Calc'!AK:AK,'All Measure &amp; TRC+ Calc'!$D:$D,$C43,'All Measure &amp; TRC+ Calc'!$B:$B,$A43)*$E43</f>
        <v>0</v>
      </c>
      <c r="O43" s="250">
        <f>SUMIFS('All Measure &amp; TRC+ Calc'!AF:AF,'All Measure &amp; TRC+ Calc'!$D:$D,$C43,'All Measure &amp; TRC+ Calc'!$B:$B,$A43)*$E43</f>
        <v>0</v>
      </c>
      <c r="P43" s="250">
        <f>SUMIFS('All Measure &amp; TRC+ Calc'!AG:AG,'All Measure &amp; TRC+ Calc'!$D:$D,$C43,'All Measure &amp; TRC+ Calc'!$B:$B,$A43)*$E43</f>
        <v>0</v>
      </c>
      <c r="Q43" s="249">
        <v>1</v>
      </c>
      <c r="R43" s="190">
        <f>SUMIFS(Budget!$E:$E,Budget!$A:$A,$A43,Budget!$C:$C,$C43,Budget!$D:$D,R$7)*Summary[[#This Row],[Budget %  Adjustment]]</f>
        <v>0</v>
      </c>
      <c r="S43" s="190">
        <f>SUMIFS(Budget!$E:$E,Budget!$A:$A,$A43,Budget!$C:$C,$C43,Budget!$D:$D,S$7)*Summary[[#This Row],[Budget %  Adjustment]]</f>
        <v>0</v>
      </c>
      <c r="T43" s="190">
        <f>SUMIFS(Budget!$E:$E,Budget!$A:$A,$A43,Budget!$C:$C,$C43,Budget!$D:$D,T$7)*Summary[[#This Row],[Budget %  Adjustment]]</f>
        <v>0</v>
      </c>
      <c r="U43" s="190">
        <f>SUMIFS(Budget!$E:$E,Budget!$A:$A,$A43,Budget!$C:$C,$C43,Budget!$D:$D,U$7)*Summary[[#This Row],[Budget %  Adjustment]]</f>
        <v>3100000</v>
      </c>
      <c r="V43" s="190">
        <f>Summary[[#This Row],[Promo]]+Summary[[#This Row],[Delivery]]</f>
        <v>0</v>
      </c>
      <c r="W43" s="190">
        <f t="shared" si="2"/>
        <v>3100000</v>
      </c>
      <c r="X43" s="190">
        <f t="shared" si="3"/>
        <v>3100000</v>
      </c>
    </row>
    <row r="44" spans="1:24" x14ac:dyDescent="0.25">
      <c r="A44" s="156">
        <v>2027</v>
      </c>
      <c r="B44" s="247" t="s">
        <v>33</v>
      </c>
      <c r="C44" s="247" t="s">
        <v>36</v>
      </c>
      <c r="D44" s="247" t="s">
        <v>36</v>
      </c>
      <c r="E44" s="249">
        <v>1</v>
      </c>
      <c r="F44" s="250">
        <f>SUMIFS('All Measure &amp; TRC+ Calc'!F:F,'All Measure &amp; TRC+ Calc'!$D:$D,$C44,'All Measure &amp; TRC+ Calc'!$B:$B,$A44)*$E44</f>
        <v>0</v>
      </c>
      <c r="G44" s="250">
        <f>SUMIFS('All Measure &amp; TRC+ Calc'!AD:AD,'All Measure &amp; TRC+ Calc'!$D:$D,$C44,'All Measure &amp; TRC+ Calc'!$B:$B,$A44)*$E44</f>
        <v>0</v>
      </c>
      <c r="H44" s="250">
        <f>SUMIFS('All Measure &amp; TRC+ Calc'!AE:AE,'All Measure &amp; TRC+ Calc'!$D:$D,$C44,'All Measure &amp; TRC+ Calc'!$B:$B,$A44)*$E44</f>
        <v>0</v>
      </c>
      <c r="I44" s="250">
        <f>SUMIFS('All Measure &amp; TRC+ Calc'!AH:AH,'All Measure &amp; TRC+ Calc'!$D:$D,$C44,'All Measure &amp; TRC+ Calc'!$B:$B,$A44)*$E44</f>
        <v>0</v>
      </c>
      <c r="J44" s="250">
        <f>SUMIFS('All Measure &amp; TRC+ Calc'!AI:AI,'All Measure &amp; TRC+ Calc'!$D:$D,$C44,'All Measure &amp; TRC+ Calc'!$B:$B,$A44)*$E44</f>
        <v>0</v>
      </c>
      <c r="K44" s="250">
        <f>SUMIFS('All Measure &amp; TRC+ Calc'!AL:AL,'All Measure &amp; TRC+ Calc'!$D:$D,$C44,'All Measure &amp; TRC+ Calc'!$B:$B,$A44)*$E44</f>
        <v>0</v>
      </c>
      <c r="L44" s="250">
        <f>SUMIFS('All Measure &amp; TRC+ Calc'!AM:AM,'All Measure &amp; TRC+ Calc'!$D:$D,$C44,'All Measure &amp; TRC+ Calc'!$B:$B,$A44)*$E44</f>
        <v>0</v>
      </c>
      <c r="M44" s="250">
        <f>SUMIFS('All Measure &amp; TRC+ Calc'!AJ:AJ,'All Measure &amp; TRC+ Calc'!$D:$D,$C44,'All Measure &amp; TRC+ Calc'!$B:$B,$A44)*$E44</f>
        <v>0</v>
      </c>
      <c r="N44" s="250">
        <f>SUMIFS('All Measure &amp; TRC+ Calc'!AK:AK,'All Measure &amp; TRC+ Calc'!$D:$D,$C44,'All Measure &amp; TRC+ Calc'!$B:$B,$A44)*$E44</f>
        <v>0</v>
      </c>
      <c r="O44" s="250">
        <f>SUMIFS('All Measure &amp; TRC+ Calc'!AF:AF,'All Measure &amp; TRC+ Calc'!$D:$D,$C44,'All Measure &amp; TRC+ Calc'!$B:$B,$A44)*$E44</f>
        <v>0</v>
      </c>
      <c r="P44" s="250">
        <f>SUMIFS('All Measure &amp; TRC+ Calc'!AG:AG,'All Measure &amp; TRC+ Calc'!$D:$D,$C44,'All Measure &amp; TRC+ Calc'!$B:$B,$A44)*$E44</f>
        <v>0</v>
      </c>
      <c r="Q44" s="249">
        <v>1</v>
      </c>
      <c r="R44" s="190">
        <f>SUMIFS(Budget!$E:$E,Budget!$A:$A,$A44,Budget!$C:$C,$C44,Budget!$D:$D,R$7)*Summary[[#This Row],[Budget %  Adjustment]]</f>
        <v>0</v>
      </c>
      <c r="S44" s="190">
        <f>SUMIFS(Budget!$E:$E,Budget!$A:$A,$A44,Budget!$C:$C,$C44,Budget!$D:$D,S$7)*Summary[[#This Row],[Budget %  Adjustment]]</f>
        <v>0</v>
      </c>
      <c r="T44" s="190">
        <f>SUMIFS(Budget!$E:$E,Budget!$A:$A,$A44,Budget!$C:$C,$C44,Budget!$D:$D,T$7)*Summary[[#This Row],[Budget %  Adjustment]]</f>
        <v>0</v>
      </c>
      <c r="U44" s="190">
        <f>SUMIFS(Budget!$E:$E,Budget!$A:$A,$A44,Budget!$C:$C,$C44,Budget!$D:$D,U$7)*Summary[[#This Row],[Budget %  Adjustment]]</f>
        <v>828000</v>
      </c>
      <c r="V44" s="190">
        <f>Summary[[#This Row],[Promo]]+Summary[[#This Row],[Delivery]]</f>
        <v>0</v>
      </c>
      <c r="W44" s="190">
        <f t="shared" si="2"/>
        <v>828000</v>
      </c>
      <c r="X44" s="190">
        <f t="shared" si="3"/>
        <v>828000</v>
      </c>
    </row>
    <row r="45" spans="1:24" x14ac:dyDescent="0.25">
      <c r="A45" s="156">
        <v>2027</v>
      </c>
      <c r="B45" s="247" t="s">
        <v>33</v>
      </c>
      <c r="C45" s="247" t="s">
        <v>35</v>
      </c>
      <c r="D45" s="247" t="s">
        <v>35</v>
      </c>
      <c r="E45" s="249">
        <v>1</v>
      </c>
      <c r="F45" s="250">
        <f>SUMIFS('All Measure &amp; TRC+ Calc'!F:F,'All Measure &amp; TRC+ Calc'!$D:$D,$C45,'All Measure &amp; TRC+ Calc'!$B:$B,$A45)*$E45</f>
        <v>0</v>
      </c>
      <c r="G45" s="250">
        <f>SUMIFS('All Measure &amp; TRC+ Calc'!AD:AD,'All Measure &amp; TRC+ Calc'!$D:$D,$C45,'All Measure &amp; TRC+ Calc'!$B:$B,$A45)*$E45</f>
        <v>0</v>
      </c>
      <c r="H45" s="250">
        <f>SUMIFS('All Measure &amp; TRC+ Calc'!AE:AE,'All Measure &amp; TRC+ Calc'!$D:$D,$C45,'All Measure &amp; TRC+ Calc'!$B:$B,$A45)*$E45</f>
        <v>0</v>
      </c>
      <c r="I45" s="250">
        <f>SUMIFS('All Measure &amp; TRC+ Calc'!AH:AH,'All Measure &amp; TRC+ Calc'!$D:$D,$C45,'All Measure &amp; TRC+ Calc'!$B:$B,$A45)*$E45</f>
        <v>0</v>
      </c>
      <c r="J45" s="250">
        <f>SUMIFS('All Measure &amp; TRC+ Calc'!AI:AI,'All Measure &amp; TRC+ Calc'!$D:$D,$C45,'All Measure &amp; TRC+ Calc'!$B:$B,$A45)*$E45</f>
        <v>0</v>
      </c>
      <c r="K45" s="250">
        <f>SUMIFS('All Measure &amp; TRC+ Calc'!AL:AL,'All Measure &amp; TRC+ Calc'!$D:$D,$C45,'All Measure &amp; TRC+ Calc'!$B:$B,$A45)*$E45</f>
        <v>0</v>
      </c>
      <c r="L45" s="250">
        <f>SUMIFS('All Measure &amp; TRC+ Calc'!AM:AM,'All Measure &amp; TRC+ Calc'!$D:$D,$C45,'All Measure &amp; TRC+ Calc'!$B:$B,$A45)*$E45</f>
        <v>0</v>
      </c>
      <c r="M45" s="250">
        <f>SUMIFS('All Measure &amp; TRC+ Calc'!AJ:AJ,'All Measure &amp; TRC+ Calc'!$D:$D,$C45,'All Measure &amp; TRC+ Calc'!$B:$B,$A45)*$E45</f>
        <v>0</v>
      </c>
      <c r="N45" s="250">
        <f>SUMIFS('All Measure &amp; TRC+ Calc'!AK:AK,'All Measure &amp; TRC+ Calc'!$D:$D,$C45,'All Measure &amp; TRC+ Calc'!$B:$B,$A45)*$E45</f>
        <v>0</v>
      </c>
      <c r="O45" s="250">
        <f>SUMIFS('All Measure &amp; TRC+ Calc'!AF:AF,'All Measure &amp; TRC+ Calc'!$D:$D,$C45,'All Measure &amp; TRC+ Calc'!$B:$B,$A45)*$E45</f>
        <v>0</v>
      </c>
      <c r="P45" s="250">
        <f>SUMIFS('All Measure &amp; TRC+ Calc'!AG:AG,'All Measure &amp; TRC+ Calc'!$D:$D,$C45,'All Measure &amp; TRC+ Calc'!$B:$B,$A45)*$E45</f>
        <v>0</v>
      </c>
      <c r="Q45" s="249">
        <v>1</v>
      </c>
      <c r="R45" s="190">
        <f>SUMIFS(Budget!$E:$E,Budget!$A:$A,$A45,Budget!$C:$C,$C45,Budget!$D:$D,R$7)*Summary[[#This Row],[Budget %  Adjustment]]</f>
        <v>0</v>
      </c>
      <c r="S45" s="190">
        <f>SUMIFS(Budget!$E:$E,Budget!$A:$A,$A45,Budget!$C:$C,$C45,Budget!$D:$D,S$7)*Summary[[#This Row],[Budget %  Adjustment]]</f>
        <v>0</v>
      </c>
      <c r="T45" s="190">
        <f>SUMIFS(Budget!$E:$E,Budget!$A:$A,$A45,Budget!$C:$C,$C45,Budget!$D:$D,T$7)*Summary[[#This Row],[Budget %  Adjustment]]</f>
        <v>0</v>
      </c>
      <c r="U45" s="190">
        <f>SUMIFS(Budget!$E:$E,Budget!$A:$A,$A45,Budget!$C:$C,$C45,Budget!$D:$D,U$7)*Summary[[#This Row],[Budget %  Adjustment]]</f>
        <v>590000</v>
      </c>
      <c r="V45" s="190">
        <f>Summary[[#This Row],[Promo]]+Summary[[#This Row],[Delivery]]</f>
        <v>0</v>
      </c>
      <c r="W45" s="190">
        <f t="shared" si="2"/>
        <v>590000</v>
      </c>
      <c r="X45" s="190">
        <f t="shared" si="3"/>
        <v>590000</v>
      </c>
    </row>
    <row r="46" spans="1:24" x14ac:dyDescent="0.25">
      <c r="A46" s="156">
        <v>2027</v>
      </c>
      <c r="B46" s="247" t="s">
        <v>37</v>
      </c>
      <c r="C46" s="247" t="s">
        <v>38</v>
      </c>
      <c r="D46" s="247" t="s">
        <v>38</v>
      </c>
      <c r="E46" s="249">
        <v>1</v>
      </c>
      <c r="F46" s="250">
        <f>SUMIFS('All Measure &amp; TRC+ Calc'!F:F,'All Measure &amp; TRC+ Calc'!$D:$D,$C46,'All Measure &amp; TRC+ Calc'!$B:$B,$A46)*$E46</f>
        <v>0</v>
      </c>
      <c r="G46" s="250">
        <f>SUMIFS('All Measure &amp; TRC+ Calc'!AD:AD,'All Measure &amp; TRC+ Calc'!$D:$D,$C46,'All Measure &amp; TRC+ Calc'!$B:$B,$A46)*$E46</f>
        <v>0</v>
      </c>
      <c r="H46" s="250">
        <f>SUMIFS('All Measure &amp; TRC+ Calc'!AE:AE,'All Measure &amp; TRC+ Calc'!$D:$D,$C46,'All Measure &amp; TRC+ Calc'!$B:$B,$A46)*$E46</f>
        <v>0</v>
      </c>
      <c r="I46" s="250">
        <f>SUMIFS('All Measure &amp; TRC+ Calc'!AH:AH,'All Measure &amp; TRC+ Calc'!$D:$D,$C46,'All Measure &amp; TRC+ Calc'!$B:$B,$A46)*$E46</f>
        <v>0</v>
      </c>
      <c r="J46" s="250">
        <f>SUMIFS('All Measure &amp; TRC+ Calc'!AI:AI,'All Measure &amp; TRC+ Calc'!$D:$D,$C46,'All Measure &amp; TRC+ Calc'!$B:$B,$A46)*$E46</f>
        <v>0</v>
      </c>
      <c r="K46" s="250">
        <f>SUMIFS('All Measure &amp; TRC+ Calc'!AL:AL,'All Measure &amp; TRC+ Calc'!$D:$D,$C46,'All Measure &amp; TRC+ Calc'!$B:$B,$A46)*$E46</f>
        <v>0</v>
      </c>
      <c r="L46" s="250">
        <f>SUMIFS('All Measure &amp; TRC+ Calc'!AM:AM,'All Measure &amp; TRC+ Calc'!$D:$D,$C46,'All Measure &amp; TRC+ Calc'!$B:$B,$A46)*$E46</f>
        <v>0</v>
      </c>
      <c r="M46" s="250">
        <f>SUMIFS('All Measure &amp; TRC+ Calc'!AJ:AJ,'All Measure &amp; TRC+ Calc'!$D:$D,$C46,'All Measure &amp; TRC+ Calc'!$B:$B,$A46)*$E46</f>
        <v>0</v>
      </c>
      <c r="N46" s="250">
        <f>SUMIFS('All Measure &amp; TRC+ Calc'!AK:AK,'All Measure &amp; TRC+ Calc'!$D:$D,$C46,'All Measure &amp; TRC+ Calc'!$B:$B,$A46)*$E46</f>
        <v>0</v>
      </c>
      <c r="O46" s="250">
        <f>SUMIFS('All Measure &amp; TRC+ Calc'!AF:AF,'All Measure &amp; TRC+ Calc'!$D:$D,$C46,'All Measure &amp; TRC+ Calc'!$B:$B,$A46)*$E46</f>
        <v>0</v>
      </c>
      <c r="P46" s="250">
        <f>SUMIFS('All Measure &amp; TRC+ Calc'!AG:AG,'All Measure &amp; TRC+ Calc'!$D:$D,$C46,'All Measure &amp; TRC+ Calc'!$B:$B,$A46)*$E46</f>
        <v>0</v>
      </c>
      <c r="Q46" s="249">
        <v>1</v>
      </c>
      <c r="R46" s="190">
        <f>SUMIFS(Budget!$E:$E,Budget!$A:$A,$A46,Budget!$C:$C,$C46,Budget!$D:$D,R$7)*Summary[[#This Row],[Budget %  Adjustment]]</f>
        <v>0</v>
      </c>
      <c r="S46" s="190">
        <f>SUMIFS(Budget!$E:$E,Budget!$A:$A,$A46,Budget!$C:$C,$C46,Budget!$D:$D,S$7)*Summary[[#This Row],[Budget %  Adjustment]]</f>
        <v>0</v>
      </c>
      <c r="T46" s="190">
        <f>SUMIFS(Budget!$E:$E,Budget!$A:$A,$A46,Budget!$C:$C,$C46,Budget!$D:$D,T$7)*Summary[[#This Row],[Budget %  Adjustment]]</f>
        <v>0</v>
      </c>
      <c r="U46" s="190">
        <f>SUMIFS(Budget!$E:$E,Budget!$A:$A,$A46,Budget!$C:$C,$C46,Budget!$D:$D,U$7)*Summary[[#This Row],[Budget %  Adjustment]]</f>
        <v>3223200</v>
      </c>
      <c r="V46" s="190">
        <f>Summary[[#This Row],[Promo]]+Summary[[#This Row],[Delivery]]</f>
        <v>0</v>
      </c>
      <c r="W46" s="190">
        <f t="shared" si="2"/>
        <v>3223200</v>
      </c>
      <c r="X46" s="190">
        <f t="shared" si="3"/>
        <v>3223200</v>
      </c>
    </row>
    <row r="47" spans="1:24" x14ac:dyDescent="0.25">
      <c r="A47" s="156">
        <v>2027</v>
      </c>
      <c r="B47" s="247" t="s">
        <v>37</v>
      </c>
      <c r="C47" s="247" t="s">
        <v>178</v>
      </c>
      <c r="D47" s="247" t="s">
        <v>178</v>
      </c>
      <c r="E47" s="249">
        <v>1</v>
      </c>
      <c r="F47" s="250">
        <f>SUMIFS('All Measure &amp; TRC+ Calc'!F:F,'All Measure &amp; TRC+ Calc'!$D:$D,$C47,'All Measure &amp; TRC+ Calc'!$B:$B,$A47)*$E47</f>
        <v>0</v>
      </c>
      <c r="G47" s="250">
        <f>SUMIFS('All Measure &amp; TRC+ Calc'!AD:AD,'All Measure &amp; TRC+ Calc'!$D:$D,$C47,'All Measure &amp; TRC+ Calc'!$B:$B,$A47)*$E47</f>
        <v>0</v>
      </c>
      <c r="H47" s="250">
        <f>SUMIFS('All Measure &amp; TRC+ Calc'!AE:AE,'All Measure &amp; TRC+ Calc'!$D:$D,$C47,'All Measure &amp; TRC+ Calc'!$B:$B,$A47)*$E47</f>
        <v>0</v>
      </c>
      <c r="I47" s="250">
        <f>SUMIFS('All Measure &amp; TRC+ Calc'!AH:AH,'All Measure &amp; TRC+ Calc'!$D:$D,$C47,'All Measure &amp; TRC+ Calc'!$B:$B,$A47)*$E47</f>
        <v>0</v>
      </c>
      <c r="J47" s="250">
        <f>SUMIFS('All Measure &amp; TRC+ Calc'!AI:AI,'All Measure &amp; TRC+ Calc'!$D:$D,$C47,'All Measure &amp; TRC+ Calc'!$B:$B,$A47)*$E47</f>
        <v>0</v>
      </c>
      <c r="K47" s="250">
        <f>SUMIFS('All Measure &amp; TRC+ Calc'!AL:AL,'All Measure &amp; TRC+ Calc'!$D:$D,$C47,'All Measure &amp; TRC+ Calc'!$B:$B,$A47)*$E47</f>
        <v>0</v>
      </c>
      <c r="L47" s="250">
        <f>SUMIFS('All Measure &amp; TRC+ Calc'!AM:AM,'All Measure &amp; TRC+ Calc'!$D:$D,$C47,'All Measure &amp; TRC+ Calc'!$B:$B,$A47)*$E47</f>
        <v>0</v>
      </c>
      <c r="M47" s="250">
        <f>SUMIFS('All Measure &amp; TRC+ Calc'!AJ:AJ,'All Measure &amp; TRC+ Calc'!$D:$D,$C47,'All Measure &amp; TRC+ Calc'!$B:$B,$A47)*$E47</f>
        <v>0</v>
      </c>
      <c r="N47" s="250">
        <f>SUMIFS('All Measure &amp; TRC+ Calc'!AK:AK,'All Measure &amp; TRC+ Calc'!$D:$D,$C47,'All Measure &amp; TRC+ Calc'!$B:$B,$A47)*$E47</f>
        <v>0</v>
      </c>
      <c r="O47" s="250">
        <f>SUMIFS('All Measure &amp; TRC+ Calc'!AF:AF,'All Measure &amp; TRC+ Calc'!$D:$D,$C47,'All Measure &amp; TRC+ Calc'!$B:$B,$A47)*$E47</f>
        <v>0</v>
      </c>
      <c r="P47" s="250">
        <f>SUMIFS('All Measure &amp; TRC+ Calc'!AG:AG,'All Measure &amp; TRC+ Calc'!$D:$D,$C47,'All Measure &amp; TRC+ Calc'!$B:$B,$A47)*$E47</f>
        <v>0</v>
      </c>
      <c r="Q47" s="249">
        <v>1</v>
      </c>
      <c r="R47" s="190">
        <f>SUMIFS(Budget!$E:$E,Budget!$A:$A,$A47,Budget!$C:$C,$C47,Budget!$D:$D,R$7)*Summary[[#This Row],[Budget %  Adjustment]]</f>
        <v>0</v>
      </c>
      <c r="S47" s="190">
        <f>SUMIFS(Budget!$E:$E,Budget!$A:$A,$A47,Budget!$C:$C,$C47,Budget!$D:$D,S$7)*Summary[[#This Row],[Budget %  Adjustment]]</f>
        <v>0</v>
      </c>
      <c r="T47" s="190">
        <f>SUMIFS(Budget!$E:$E,Budget!$A:$A,$A47,Budget!$C:$C,$C47,Budget!$D:$D,T$7)*Summary[[#This Row],[Budget %  Adjustment]]</f>
        <v>0</v>
      </c>
      <c r="U47" s="190">
        <f>SUMIFS(Budget!$E:$E,Budget!$A:$A,$A47,Budget!$C:$C,$C47,Budget!$D:$D,U$7)*Summary[[#This Row],[Budget %  Adjustment]]</f>
        <v>0</v>
      </c>
      <c r="V47" s="190">
        <f>Summary[[#This Row],[Promo]]+Summary[[#This Row],[Delivery]]</f>
        <v>0</v>
      </c>
      <c r="W47" s="190">
        <f t="shared" si="2"/>
        <v>0</v>
      </c>
      <c r="X47" s="190">
        <f t="shared" si="3"/>
        <v>0</v>
      </c>
    </row>
    <row r="48" spans="1:24" x14ac:dyDescent="0.25">
      <c r="A48" s="156">
        <v>2028</v>
      </c>
      <c r="B48" s="247" t="s">
        <v>11</v>
      </c>
      <c r="C48" s="247" t="s">
        <v>159</v>
      </c>
      <c r="D48" s="247" t="s">
        <v>133</v>
      </c>
      <c r="E48" s="249">
        <v>1</v>
      </c>
      <c r="F48" s="250">
        <f>SUMIFS('All Measure &amp; TRC+ Calc'!F:F,'All Measure &amp; TRC+ Calc'!$D:$D,$C48,'All Measure &amp; TRC+ Calc'!$B:$B,$A48)*$E48</f>
        <v>9000</v>
      </c>
      <c r="G48" s="250">
        <f>SUMIFS('All Measure &amp; TRC+ Calc'!AD:AD,'All Measure &amp; TRC+ Calc'!$D:$D,$C48,'All Measure &amp; TRC+ Calc'!$B:$B,$A48)*$E48</f>
        <v>4576140</v>
      </c>
      <c r="H48" s="250">
        <f>SUMIFS('All Measure &amp; TRC+ Calc'!AE:AE,'All Measure &amp; TRC+ Calc'!$D:$D,$C48,'All Measure &amp; TRC+ Calc'!$B:$B,$A48)*$E48</f>
        <v>4118526</v>
      </c>
      <c r="I48" s="250">
        <f>SUMIFS('All Measure &amp; TRC+ Calc'!AH:AH,'All Measure &amp; TRC+ Calc'!$D:$D,$C48,'All Measure &amp; TRC+ Calc'!$B:$B,$A48)*$E48</f>
        <v>289440</v>
      </c>
      <c r="J48" s="250">
        <f>SUMIFS('All Measure &amp; TRC+ Calc'!AI:AI,'All Measure &amp; TRC+ Calc'!$D:$D,$C48,'All Measure &amp; TRC+ Calc'!$B:$B,$A48)*$E48</f>
        <v>260496.00000000003</v>
      </c>
      <c r="K48" s="250">
        <f>SUMIFS('All Measure &amp; TRC+ Calc'!AL:AL,'All Measure &amp; TRC+ Calc'!$D:$D,$C48,'All Measure &amp; TRC+ Calc'!$B:$B,$A48)*$E48</f>
        <v>37.505477983811438</v>
      </c>
      <c r="L48" s="250">
        <f>SUMIFS('All Measure &amp; TRC+ Calc'!AM:AM,'All Measure &amp; TRC+ Calc'!$D:$D,$C48,'All Measure &amp; TRC+ Calc'!$B:$B,$A48)*$E48</f>
        <v>33.754930185430297</v>
      </c>
      <c r="M48" s="250">
        <f>SUMIFS('All Measure &amp; TRC+ Calc'!AJ:AJ,'All Measure &amp; TRC+ Calc'!$D:$D,$C48,'All Measure &amp; TRC+ Calc'!$B:$B,$A48)*$E48</f>
        <v>0</v>
      </c>
      <c r="N48" s="250">
        <f>SUMIFS('All Measure &amp; TRC+ Calc'!AK:AK,'All Measure &amp; TRC+ Calc'!$D:$D,$C48,'All Measure &amp; TRC+ Calc'!$B:$B,$A48)*$E48</f>
        <v>0</v>
      </c>
      <c r="O48" s="250">
        <f>SUMIFS('All Measure &amp; TRC+ Calc'!AF:AF,'All Measure &amp; TRC+ Calc'!$D:$D,$C48,'All Measure &amp; TRC+ Calc'!$B:$B,$A48)*$E48</f>
        <v>114403500</v>
      </c>
      <c r="P48" s="250">
        <f>SUMIFS('All Measure &amp; TRC+ Calc'!AG:AG,'All Measure &amp; TRC+ Calc'!$D:$D,$C48,'All Measure &amp; TRC+ Calc'!$B:$B,$A48)*$E48</f>
        <v>102963150</v>
      </c>
      <c r="Q48" s="249">
        <v>1</v>
      </c>
      <c r="R48" s="190">
        <f>SUMIFS(Budget!$E:$E,Budget!$A:$A,$A48,Budget!$C:$C,$C48,Budget!$D:$D,R$7)*Summary[[#This Row],[Budget %  Adjustment]]</f>
        <v>21572449</v>
      </c>
      <c r="S48" s="190">
        <f>SUMIFS(Budget!$E:$E,Budget!$A:$A,$A48,Budget!$C:$C,$C48,Budget!$D:$D,S$7)*Summary[[#This Row],[Budget %  Adjustment]]</f>
        <v>1068060</v>
      </c>
      <c r="T48" s="190">
        <f>SUMIFS(Budget!$E:$E,Budget!$A:$A,$A48,Budget!$C:$C,$C48,Budget!$D:$D,T$7)*Summary[[#This Row],[Budget %  Adjustment]]</f>
        <v>1068060</v>
      </c>
      <c r="U48" s="190">
        <f>SUMIFS(Budget!$E:$E,Budget!$A:$A,$A48,Budget!$C:$C,$C48,Budget!$D:$D,U$7)*Summary[[#This Row],[Budget %  Adjustment]]</f>
        <v>0</v>
      </c>
      <c r="V48" s="190">
        <f>Summary[[#This Row],[Promo]]+Summary[[#This Row],[Delivery]]</f>
        <v>2136120</v>
      </c>
      <c r="W48" s="190">
        <f t="shared" si="2"/>
        <v>2136120</v>
      </c>
      <c r="X48" s="190">
        <f t="shared" si="3"/>
        <v>23708569</v>
      </c>
    </row>
    <row r="49" spans="1:24" x14ac:dyDescent="0.25">
      <c r="A49" s="156">
        <v>2028</v>
      </c>
      <c r="B49" s="247" t="s">
        <v>11</v>
      </c>
      <c r="C49" s="247" t="s">
        <v>130</v>
      </c>
      <c r="D49" s="247" t="s">
        <v>133</v>
      </c>
      <c r="E49" s="249">
        <v>1</v>
      </c>
      <c r="F49" s="250">
        <f>SUMIFS('All Measure &amp; TRC+ Calc'!F:F,'All Measure &amp; TRC+ Calc'!$D:$D,$C49,'All Measure &amp; TRC+ Calc'!$B:$B,$A49)*$E49</f>
        <v>15000</v>
      </c>
      <c r="G49" s="250">
        <f>SUMIFS('All Measure &amp; TRC+ Calc'!AD:AD,'All Measure &amp; TRC+ Calc'!$D:$D,$C49,'All Measure &amp; TRC+ Calc'!$B:$B,$A49)*$E49</f>
        <v>4288500</v>
      </c>
      <c r="H49" s="250">
        <f>SUMIFS('All Measure &amp; TRC+ Calc'!AE:AE,'All Measure &amp; TRC+ Calc'!$D:$D,$C49,'All Measure &amp; TRC+ Calc'!$B:$B,$A49)*$E49</f>
        <v>3816765</v>
      </c>
      <c r="I49" s="250">
        <f>SUMIFS('All Measure &amp; TRC+ Calc'!AH:AH,'All Measure &amp; TRC+ Calc'!$D:$D,$C49,'All Measure &amp; TRC+ Calc'!$B:$B,$A49)*$E49</f>
        <v>1178664</v>
      </c>
      <c r="J49" s="250">
        <f>SUMIFS('All Measure &amp; TRC+ Calc'!AI:AI,'All Measure &amp; TRC+ Calc'!$D:$D,$C49,'All Measure &amp; TRC+ Calc'!$B:$B,$A49)*$E49</f>
        <v>1049010.96</v>
      </c>
      <c r="K49" s="250">
        <f>SUMIFS('All Measure &amp; TRC+ Calc'!AL:AL,'All Measure &amp; TRC+ Calc'!$D:$D,$C49,'All Measure &amp; TRC+ Calc'!$B:$B,$A49)*$E49</f>
        <v>751.52921194564408</v>
      </c>
      <c r="L49" s="250">
        <f>SUMIFS('All Measure &amp; TRC+ Calc'!AM:AM,'All Measure &amp; TRC+ Calc'!$D:$D,$C49,'All Measure &amp; TRC+ Calc'!$B:$B,$A49)*$E49</f>
        <v>668.86099863162326</v>
      </c>
      <c r="M49" s="250">
        <f>SUMIFS('All Measure &amp; TRC+ Calc'!AJ:AJ,'All Measure &amp; TRC+ Calc'!$D:$D,$C49,'All Measure &amp; TRC+ Calc'!$B:$B,$A49)*$E49</f>
        <v>0</v>
      </c>
      <c r="N49" s="250">
        <f>SUMIFS('All Measure &amp; TRC+ Calc'!AK:AK,'All Measure &amp; TRC+ Calc'!$D:$D,$C49,'All Measure &amp; TRC+ Calc'!$B:$B,$A49)*$E49</f>
        <v>0</v>
      </c>
      <c r="O49" s="250">
        <f>SUMIFS('All Measure &amp; TRC+ Calc'!AF:AF,'All Measure &amp; TRC+ Calc'!$D:$D,$C49,'All Measure &amp; TRC+ Calc'!$B:$B,$A49)*$E49</f>
        <v>128655000</v>
      </c>
      <c r="P49" s="250">
        <f>SUMIFS('All Measure &amp; TRC+ Calc'!AG:AG,'All Measure &amp; TRC+ Calc'!$D:$D,$C49,'All Measure &amp; TRC+ Calc'!$B:$B,$A49)*$E49</f>
        <v>114502950</v>
      </c>
      <c r="Q49" s="249">
        <v>1</v>
      </c>
      <c r="R49" s="190">
        <f>SUMIFS(Budget!$E:$E,Budget!$A:$A,$A49,Budget!$C:$C,$C49,Budget!$D:$D,R$7)*Summary[[#This Row],[Budget %  Adjustment]]</f>
        <v>16822350</v>
      </c>
      <c r="S49" s="190">
        <f>SUMIFS(Budget!$E:$E,Budget!$A:$A,$A49,Budget!$C:$C,$C49,Budget!$D:$D,S$7)*Summary[[#This Row],[Budget %  Adjustment]]</f>
        <v>1319878</v>
      </c>
      <c r="T49" s="190">
        <f>SUMIFS(Budget!$E:$E,Budget!$A:$A,$A49,Budget!$C:$C,$C49,Budget!$D:$D,T$7)*Summary[[#This Row],[Budget %  Adjustment]]</f>
        <v>694239</v>
      </c>
      <c r="U49" s="190">
        <f>SUMIFS(Budget!$E:$E,Budget!$A:$A,$A49,Budget!$C:$C,$C49,Budget!$D:$D,U$7)*Summary[[#This Row],[Budget %  Adjustment]]</f>
        <v>0</v>
      </c>
      <c r="V49" s="190">
        <f>Summary[[#This Row],[Promo]]+Summary[[#This Row],[Delivery]]</f>
        <v>2014117</v>
      </c>
      <c r="W49" s="190">
        <f t="shared" si="2"/>
        <v>2014117</v>
      </c>
      <c r="X49" s="190">
        <f t="shared" si="3"/>
        <v>18836467</v>
      </c>
    </row>
    <row r="50" spans="1:24" x14ac:dyDescent="0.25">
      <c r="A50" s="156">
        <v>2028</v>
      </c>
      <c r="B50" s="247" t="s">
        <v>11</v>
      </c>
      <c r="C50" s="247" t="s">
        <v>333</v>
      </c>
      <c r="D50" s="247" t="s">
        <v>133</v>
      </c>
      <c r="E50" s="249">
        <v>1</v>
      </c>
      <c r="F50" s="250">
        <f>SUMIFS('All Measure &amp; TRC+ Calc'!F:F,'All Measure &amp; TRC+ Calc'!$D:$D,$C50,'All Measure &amp; TRC+ Calc'!$B:$B,$A50)*$E50</f>
        <v>6160</v>
      </c>
      <c r="G50" s="250">
        <f>SUMIFS('All Measure &amp; TRC+ Calc'!AD:AD,'All Measure &amp; TRC+ Calc'!$D:$D,$C50,'All Measure &amp; TRC+ Calc'!$B:$B,$A50)*$E50</f>
        <v>5123720</v>
      </c>
      <c r="H50" s="250">
        <f>SUMIFS('All Measure &amp; TRC+ Calc'!AE:AE,'All Measure &amp; TRC+ Calc'!$D:$D,$C50,'All Measure &amp; TRC+ Calc'!$B:$B,$A50)*$E50</f>
        <v>4652095.5999999996</v>
      </c>
      <c r="I50" s="250">
        <f>SUMIFS('All Measure &amp; TRC+ Calc'!AH:AH,'All Measure &amp; TRC+ Calc'!$D:$D,$C50,'All Measure &amp; TRC+ Calc'!$B:$B,$A50)*$E50</f>
        <v>-17869162.640000001</v>
      </c>
      <c r="J50" s="250">
        <f>SUMIFS('All Measure &amp; TRC+ Calc'!AI:AI,'All Measure &amp; TRC+ Calc'!$D:$D,$C50,'All Measure &amp; TRC+ Calc'!$B:$B,$A50)*$E50</f>
        <v>-16235938.962400001</v>
      </c>
      <c r="K50" s="250">
        <f>SUMIFS('All Measure &amp; TRC+ Calc'!AL:AL,'All Measure &amp; TRC+ Calc'!$D:$D,$C50,'All Measure &amp; TRC+ Calc'!$B:$B,$A50)*$E50</f>
        <v>1407.4931200000001</v>
      </c>
      <c r="L50" s="250">
        <f>SUMIFS('All Measure &amp; TRC+ Calc'!AM:AM,'All Measure &amp; TRC+ Calc'!$D:$D,$C50,'All Measure &amp; TRC+ Calc'!$B:$B,$A50)*$E50</f>
        <v>1283.6865536</v>
      </c>
      <c r="M50" s="250">
        <f>SUMIFS('All Measure &amp; TRC+ Calc'!AJ:AJ,'All Measure &amp; TRC+ Calc'!$D:$D,$C50,'All Measure &amp; TRC+ Calc'!$B:$B,$A50)*$E50</f>
        <v>0</v>
      </c>
      <c r="N50" s="250">
        <f>SUMIFS('All Measure &amp; TRC+ Calc'!AK:AK,'All Measure &amp; TRC+ Calc'!$D:$D,$C50,'All Measure &amp; TRC+ Calc'!$B:$B,$A50)*$E50</f>
        <v>0</v>
      </c>
      <c r="O50" s="250">
        <f>SUMIFS('All Measure &amp; TRC+ Calc'!AF:AF,'All Measure &amp; TRC+ Calc'!$D:$D,$C50,'All Measure &amp; TRC+ Calc'!$B:$B,$A50)*$E50</f>
        <v>81884160</v>
      </c>
      <c r="P50" s="250">
        <f>SUMIFS('All Measure &amp; TRC+ Calc'!AG:AG,'All Measure &amp; TRC+ Calc'!$D:$D,$C50,'All Measure &amp; TRC+ Calc'!$B:$B,$A50)*$E50</f>
        <v>74357241.599999994</v>
      </c>
      <c r="Q50" s="249">
        <v>1</v>
      </c>
      <c r="R50" s="190">
        <f>SUMIFS(Budget!$E:$E,Budget!$A:$A,$A50,Budget!$C:$C,$C50,Budget!$D:$D,R$7)*Summary[[#This Row],[Budget %  Adjustment]]</f>
        <v>7813200</v>
      </c>
      <c r="S50" s="190">
        <f>SUMIFS(Budget!$E:$E,Budget!$A:$A,$A50,Budget!$C:$C,$C50,Budget!$D:$D,S$7)*Summary[[#This Row],[Budget %  Adjustment]]</f>
        <v>879919</v>
      </c>
      <c r="T50" s="190">
        <f>SUMIFS(Budget!$E:$E,Budget!$A:$A,$A50,Budget!$C:$C,$C50,Budget!$D:$D,T$7)*Summary[[#This Row],[Budget %  Adjustment]]</f>
        <v>305160</v>
      </c>
      <c r="U50" s="190">
        <f>SUMIFS(Budget!$E:$E,Budget!$A:$A,$A50,Budget!$C:$C,$C50,Budget!$D:$D,U$7)*Summary[[#This Row],[Budget %  Adjustment]]</f>
        <v>0</v>
      </c>
      <c r="V50" s="190">
        <f>Summary[[#This Row],[Promo]]+Summary[[#This Row],[Delivery]]</f>
        <v>1185079</v>
      </c>
      <c r="W50" s="190">
        <f t="shared" si="2"/>
        <v>1185079</v>
      </c>
      <c r="X50" s="190">
        <f t="shared" si="3"/>
        <v>8998279</v>
      </c>
    </row>
    <row r="51" spans="1:24" x14ac:dyDescent="0.25">
      <c r="A51" s="156">
        <v>2028</v>
      </c>
      <c r="B51" s="247" t="s">
        <v>11</v>
      </c>
      <c r="C51" s="247" t="s">
        <v>160</v>
      </c>
      <c r="D51" s="247" t="s">
        <v>133</v>
      </c>
      <c r="E51" s="249">
        <v>1</v>
      </c>
      <c r="F51" s="250">
        <f>SUMIFS('All Measure &amp; TRC+ Calc'!F:F,'All Measure &amp; TRC+ Calc'!$D:$D,$C51,'All Measure &amp; TRC+ Calc'!$B:$B,$A51)*$E51</f>
        <v>28160</v>
      </c>
      <c r="G51" s="250">
        <f>SUMIFS('All Measure &amp; TRC+ Calc'!AD:AD,'All Measure &amp; TRC+ Calc'!$D:$D,$C51,'All Measure &amp; TRC+ Calc'!$B:$B,$A51)*$E51</f>
        <v>3663200</v>
      </c>
      <c r="H51" s="250">
        <f>SUMIFS('All Measure &amp; TRC+ Calc'!AE:AE,'All Measure &amp; TRC+ Calc'!$D:$D,$C51,'All Measure &amp; TRC+ Calc'!$B:$B,$A51)*$E51</f>
        <v>3150352.0000000005</v>
      </c>
      <c r="I51" s="250">
        <f>SUMIFS('All Measure &amp; TRC+ Calc'!AH:AH,'All Measure &amp; TRC+ Calc'!$D:$D,$C51,'All Measure &amp; TRC+ Calc'!$B:$B,$A51)*$E51</f>
        <v>5500131.8399999999</v>
      </c>
      <c r="J51" s="250">
        <f>SUMIFS('All Measure &amp; TRC+ Calc'!AI:AI,'All Measure &amp; TRC+ Calc'!$D:$D,$C51,'All Measure &amp; TRC+ Calc'!$B:$B,$A51)*$E51</f>
        <v>4730113.3824000005</v>
      </c>
      <c r="K51" s="250">
        <f>SUMIFS('All Measure &amp; TRC+ Calc'!AL:AL,'All Measure &amp; TRC+ Calc'!$D:$D,$C51,'All Measure &amp; TRC+ Calc'!$B:$B,$A51)*$E51</f>
        <v>2516.8603299840006</v>
      </c>
      <c r="L51" s="250">
        <f>SUMIFS('All Measure &amp; TRC+ Calc'!AM:AM,'All Measure &amp; TRC+ Calc'!$D:$D,$C51,'All Measure &amp; TRC+ Calc'!$B:$B,$A51)*$E51</f>
        <v>2164.4998837862404</v>
      </c>
      <c r="M51" s="250">
        <f>SUMIFS('All Measure &amp; TRC+ Calc'!AJ:AJ,'All Measure &amp; TRC+ Calc'!$D:$D,$C51,'All Measure &amp; TRC+ Calc'!$B:$B,$A51)*$E51</f>
        <v>0</v>
      </c>
      <c r="N51" s="250">
        <f>SUMIFS('All Measure &amp; TRC+ Calc'!AK:AK,'All Measure &amp; TRC+ Calc'!$D:$D,$C51,'All Measure &amp; TRC+ Calc'!$B:$B,$A51)*$E51</f>
        <v>0</v>
      </c>
      <c r="O51" s="250">
        <f>SUMIFS('All Measure &amp; TRC+ Calc'!AF:AF,'All Measure &amp; TRC+ Calc'!$D:$D,$C51,'All Measure &amp; TRC+ Calc'!$B:$B,$A51)*$E51</f>
        <v>36632000</v>
      </c>
      <c r="P51" s="250">
        <f>SUMIFS('All Measure &amp; TRC+ Calc'!AG:AG,'All Measure &amp; TRC+ Calc'!$D:$D,$C51,'All Measure &amp; TRC+ Calc'!$B:$B,$A51)*$E51</f>
        <v>31503520</v>
      </c>
      <c r="Q51" s="249">
        <v>1</v>
      </c>
      <c r="R51" s="190">
        <f>SUMIFS(Budget!$E:$E,Budget!$A:$A,$A51,Budget!$C:$C,$C51,Budget!$D:$D,R$7)*Summary[[#This Row],[Budget %  Adjustment]]</f>
        <v>3165902</v>
      </c>
      <c r="S51" s="190">
        <f>SUMIFS(Budget!$E:$E,Budget!$A:$A,$A51,Budget!$C:$C,$C51,Budget!$D:$D,S$7)*Summary[[#This Row],[Budget %  Adjustment]]</f>
        <v>2322064</v>
      </c>
      <c r="T51" s="190">
        <f>SUMIFS(Budget!$E:$E,Budget!$A:$A,$A51,Budget!$C:$C,$C51,Budget!$D:$D,T$7)*Summary[[#This Row],[Budget %  Adjustment]]</f>
        <v>635335</v>
      </c>
      <c r="U51" s="190">
        <f>SUMIFS(Budget!$E:$E,Budget!$A:$A,$A51,Budget!$C:$C,$C51,Budget!$D:$D,U$7)*Summary[[#This Row],[Budget %  Adjustment]]</f>
        <v>0</v>
      </c>
      <c r="V51" s="190">
        <f>Summary[[#This Row],[Promo]]+Summary[[#This Row],[Delivery]]</f>
        <v>2957399</v>
      </c>
      <c r="W51" s="190">
        <f t="shared" si="2"/>
        <v>2957399</v>
      </c>
      <c r="X51" s="190">
        <f t="shared" si="3"/>
        <v>6123301</v>
      </c>
    </row>
    <row r="52" spans="1:24" x14ac:dyDescent="0.25">
      <c r="A52" s="156">
        <v>2028</v>
      </c>
      <c r="B52" s="247" t="s">
        <v>11</v>
      </c>
      <c r="C52" s="247" t="s">
        <v>161</v>
      </c>
      <c r="D52" s="247" t="s">
        <v>133</v>
      </c>
      <c r="E52" s="249">
        <v>1</v>
      </c>
      <c r="F52" s="250">
        <f>SUMIFS('All Measure &amp; TRC+ Calc'!F:F,'All Measure &amp; TRC+ Calc'!$D:$D,$C52,'All Measure &amp; TRC+ Calc'!$B:$B,$A52)*$E52</f>
        <v>9500</v>
      </c>
      <c r="G52" s="250">
        <f>SUMIFS('All Measure &amp; TRC+ Calc'!AD:AD,'All Measure &amp; TRC+ Calc'!$D:$D,$C52,'All Measure &amp; TRC+ Calc'!$B:$B,$A52)*$E52</f>
        <v>2396500</v>
      </c>
      <c r="H52" s="250">
        <f>SUMIFS('All Measure &amp; TRC+ Calc'!AE:AE,'All Measure &amp; TRC+ Calc'!$D:$D,$C52,'All Measure &amp; TRC+ Calc'!$B:$B,$A52)*$E52</f>
        <v>2105990</v>
      </c>
      <c r="I52" s="250">
        <f>SUMIFS('All Measure &amp; TRC+ Calc'!AH:AH,'All Measure &amp; TRC+ Calc'!$D:$D,$C52,'All Measure &amp; TRC+ Calc'!$B:$B,$A52)*$E52</f>
        <v>1713377.6</v>
      </c>
      <c r="J52" s="250">
        <f>SUMIFS('All Measure &amp; TRC+ Calc'!AI:AI,'All Measure &amp; TRC+ Calc'!$D:$D,$C52,'All Measure &amp; TRC+ Calc'!$B:$B,$A52)*$E52</f>
        <v>1486523.1040000003</v>
      </c>
      <c r="K52" s="250">
        <f>SUMIFS('All Measure &amp; TRC+ Calc'!AL:AL,'All Measure &amp; TRC+ Calc'!$D:$D,$C52,'All Measure &amp; TRC+ Calc'!$B:$B,$A52)*$E52</f>
        <v>862.15660070395347</v>
      </c>
      <c r="L52" s="250">
        <f>SUMIFS('All Measure &amp; TRC+ Calc'!AM:AM,'All Measure &amp; TRC+ Calc'!$D:$D,$C52,'All Measure &amp; TRC+ Calc'!$B:$B,$A52)*$E52</f>
        <v>749.75533213051858</v>
      </c>
      <c r="M52" s="250">
        <f>SUMIFS('All Measure &amp; TRC+ Calc'!AJ:AJ,'All Measure &amp; TRC+ Calc'!$D:$D,$C52,'All Measure &amp; TRC+ Calc'!$B:$B,$A52)*$E52</f>
        <v>0</v>
      </c>
      <c r="N52" s="250">
        <f>SUMIFS('All Measure &amp; TRC+ Calc'!AK:AK,'All Measure &amp; TRC+ Calc'!$D:$D,$C52,'All Measure &amp; TRC+ Calc'!$B:$B,$A52)*$E52</f>
        <v>0</v>
      </c>
      <c r="O52" s="250">
        <f>SUMIFS('All Measure &amp; TRC+ Calc'!AF:AF,'All Measure &amp; TRC+ Calc'!$D:$D,$C52,'All Measure &amp; TRC+ Calc'!$B:$B,$A52)*$E52</f>
        <v>53965000</v>
      </c>
      <c r="P52" s="250">
        <f>SUMIFS('All Measure &amp; TRC+ Calc'!AG:AG,'All Measure &amp; TRC+ Calc'!$D:$D,$C52,'All Measure &amp; TRC+ Calc'!$B:$B,$A52)*$E52</f>
        <v>47759900</v>
      </c>
      <c r="Q52" s="249">
        <v>1</v>
      </c>
      <c r="R52" s="190">
        <f>SUMIFS(Budget!$E:$E,Budget!$A:$A,$A52,Budget!$C:$C,$C52,Budget!$D:$D,R$7)*Summary[[#This Row],[Budget %  Adjustment]]</f>
        <v>11770800</v>
      </c>
      <c r="S52" s="190">
        <f>SUMIFS(Budget!$E:$E,Budget!$A:$A,$A52,Budget!$C:$C,$C52,Budget!$D:$D,S$7)*Summary[[#This Row],[Budget %  Adjustment]]</f>
        <v>508600</v>
      </c>
      <c r="T52" s="190">
        <f>SUMIFS(Budget!$E:$E,Budget!$A:$A,$A52,Budget!$C:$C,$C52,Budget!$D:$D,T$7)*Summary[[#This Row],[Budget %  Adjustment]]</f>
        <v>483170</v>
      </c>
      <c r="U52" s="190">
        <f>SUMIFS(Budget!$E:$E,Budget!$A:$A,$A52,Budget!$C:$C,$C52,Budget!$D:$D,U$7)*Summary[[#This Row],[Budget %  Adjustment]]</f>
        <v>0</v>
      </c>
      <c r="V52" s="190">
        <f>Summary[[#This Row],[Promo]]+Summary[[#This Row],[Delivery]]</f>
        <v>991770</v>
      </c>
      <c r="W52" s="190">
        <f t="shared" si="2"/>
        <v>991770</v>
      </c>
      <c r="X52" s="190">
        <f t="shared" si="3"/>
        <v>12762570</v>
      </c>
    </row>
    <row r="53" spans="1:24" x14ac:dyDescent="0.25">
      <c r="A53" s="156">
        <v>2028</v>
      </c>
      <c r="B53" s="247" t="s">
        <v>11</v>
      </c>
      <c r="C53" s="247" t="s">
        <v>162</v>
      </c>
      <c r="D53" s="247" t="s">
        <v>133</v>
      </c>
      <c r="E53" s="249">
        <v>1</v>
      </c>
      <c r="F53" s="250">
        <f>SUMIFS('All Measure &amp; TRC+ Calc'!F:F,'All Measure &amp; TRC+ Calc'!$D:$D,$C53,'All Measure &amp; TRC+ Calc'!$B:$B,$A53)*$E53</f>
        <v>188000</v>
      </c>
      <c r="G53" s="250">
        <f>SUMIFS('All Measure &amp; TRC+ Calc'!AD:AD,'All Measure &amp; TRC+ Calc'!$D:$D,$C53,'All Measure &amp; TRC+ Calc'!$B:$B,$A53)*$E53</f>
        <v>4557000</v>
      </c>
      <c r="H53" s="250">
        <f>SUMIFS('All Measure &amp; TRC+ Calc'!AE:AE,'All Measure &amp; TRC+ Calc'!$D:$D,$C53,'All Measure &amp; TRC+ Calc'!$B:$B,$A53)*$E53</f>
        <v>4557000</v>
      </c>
      <c r="I53" s="250">
        <f>SUMIFS('All Measure &amp; TRC+ Calc'!AH:AH,'All Measure &amp; TRC+ Calc'!$D:$D,$C53,'All Measure &amp; TRC+ Calc'!$B:$B,$A53)*$E53</f>
        <v>2446762.9392971252</v>
      </c>
      <c r="J53" s="250">
        <f>SUMIFS('All Measure &amp; TRC+ Calc'!AI:AI,'All Measure &amp; TRC+ Calc'!$D:$D,$C53,'All Measure &amp; TRC+ Calc'!$B:$B,$A53)*$E53</f>
        <v>2446762.9392971252</v>
      </c>
      <c r="K53" s="250">
        <f>SUMIFS('All Measure &amp; TRC+ Calc'!AL:AL,'All Measure &amp; TRC+ Calc'!$D:$D,$C53,'All Measure &amp; TRC+ Calc'!$B:$B,$A53)*$E53</f>
        <v>317.05021265690328</v>
      </c>
      <c r="L53" s="250">
        <f>SUMIFS('All Measure &amp; TRC+ Calc'!AM:AM,'All Measure &amp; TRC+ Calc'!$D:$D,$C53,'All Measure &amp; TRC+ Calc'!$B:$B,$A53)*$E53</f>
        <v>317.05021265690328</v>
      </c>
      <c r="M53" s="250">
        <f>SUMIFS('All Measure &amp; TRC+ Calc'!AJ:AJ,'All Measure &amp; TRC+ Calc'!$D:$D,$C53,'All Measure &amp; TRC+ Calc'!$B:$B,$A53)*$E53</f>
        <v>0</v>
      </c>
      <c r="N53" s="250">
        <f>SUMIFS('All Measure &amp; TRC+ Calc'!AK:AK,'All Measure &amp; TRC+ Calc'!$D:$D,$C53,'All Measure &amp; TRC+ Calc'!$B:$B,$A53)*$E53</f>
        <v>0</v>
      </c>
      <c r="O53" s="250">
        <f>SUMIFS('All Measure &amp; TRC+ Calc'!AF:AF,'All Measure &amp; TRC+ Calc'!$D:$D,$C53,'All Measure &amp; TRC+ Calc'!$B:$B,$A53)*$E53</f>
        <v>4557000</v>
      </c>
      <c r="P53" s="250">
        <f>SUMIFS('All Measure &amp; TRC+ Calc'!AG:AG,'All Measure &amp; TRC+ Calc'!$D:$D,$C53,'All Measure &amp; TRC+ Calc'!$B:$B,$A53)*$E53</f>
        <v>4557000</v>
      </c>
      <c r="Q53" s="249">
        <v>1</v>
      </c>
      <c r="R53" s="190">
        <f>SUMIFS(Budget!$E:$E,Budget!$A:$A,$A53,Budget!$C:$C,$C53,Budget!$D:$D,R$7)*Summary[[#This Row],[Budget %  Adjustment]]</f>
        <v>0</v>
      </c>
      <c r="S53" s="190">
        <f>SUMIFS(Budget!$E:$E,Budget!$A:$A,$A53,Budget!$C:$C,$C53,Budget!$D:$D,S$7)*Summary[[#This Row],[Budget %  Adjustment]]</f>
        <v>50860</v>
      </c>
      <c r="T53" s="190">
        <f>SUMIFS(Budget!$E:$E,Budget!$A:$A,$A53,Budget!$C:$C,$C53,Budget!$D:$D,T$7)*Summary[[#This Row],[Budget %  Adjustment]]</f>
        <v>2593860</v>
      </c>
      <c r="U53" s="190">
        <f>SUMIFS(Budget!$E:$E,Budget!$A:$A,$A53,Budget!$C:$C,$C53,Budget!$D:$D,U$7)*Summary[[#This Row],[Budget %  Adjustment]]</f>
        <v>0</v>
      </c>
      <c r="V53" s="190">
        <f>Summary[[#This Row],[Promo]]+Summary[[#This Row],[Delivery]]</f>
        <v>2644720</v>
      </c>
      <c r="W53" s="190">
        <f t="shared" si="2"/>
        <v>2644720</v>
      </c>
      <c r="X53" s="190">
        <f t="shared" si="3"/>
        <v>2644720</v>
      </c>
    </row>
    <row r="54" spans="1:24" x14ac:dyDescent="0.25">
      <c r="A54" s="156">
        <v>2028</v>
      </c>
      <c r="B54" s="247" t="s">
        <v>11</v>
      </c>
      <c r="C54" s="247" t="s">
        <v>17</v>
      </c>
      <c r="D54" s="247" t="s">
        <v>17</v>
      </c>
      <c r="E54" s="249">
        <v>1</v>
      </c>
      <c r="F54" s="250">
        <f>SUMIFS('All Measure &amp; TRC+ Calc'!F:F,'All Measure &amp; TRC+ Calc'!$D:$D,$C54,'All Measure &amp; TRC+ Calc'!$B:$B,$A54)*$E54</f>
        <v>0</v>
      </c>
      <c r="G54" s="250">
        <f>SUMIFS('All Measure &amp; TRC+ Calc'!AD:AD,'All Measure &amp; TRC+ Calc'!$D:$D,$C54,'All Measure &amp; TRC+ Calc'!$B:$B,$A54)*$E54</f>
        <v>0</v>
      </c>
      <c r="H54" s="250">
        <f>SUMIFS('All Measure &amp; TRC+ Calc'!AE:AE,'All Measure &amp; TRC+ Calc'!$D:$D,$C54,'All Measure &amp; TRC+ Calc'!$B:$B,$A54)*$E54</f>
        <v>0</v>
      </c>
      <c r="I54" s="250">
        <f>SUMIFS('All Measure &amp; TRC+ Calc'!AH:AH,'All Measure &amp; TRC+ Calc'!$D:$D,$C54,'All Measure &amp; TRC+ Calc'!$B:$B,$A54)*$E54</f>
        <v>0</v>
      </c>
      <c r="J54" s="250">
        <f>SUMIFS('All Measure &amp; TRC+ Calc'!AI:AI,'All Measure &amp; TRC+ Calc'!$D:$D,$C54,'All Measure &amp; TRC+ Calc'!$B:$B,$A54)*$E54</f>
        <v>0</v>
      </c>
      <c r="K54" s="250">
        <f>SUMIFS('All Measure &amp; TRC+ Calc'!AL:AL,'All Measure &amp; TRC+ Calc'!$D:$D,$C54,'All Measure &amp; TRC+ Calc'!$B:$B,$A54)*$E54</f>
        <v>0</v>
      </c>
      <c r="L54" s="250">
        <f>SUMIFS('All Measure &amp; TRC+ Calc'!AM:AM,'All Measure &amp; TRC+ Calc'!$D:$D,$C54,'All Measure &amp; TRC+ Calc'!$B:$B,$A54)*$E54</f>
        <v>0</v>
      </c>
      <c r="M54" s="250">
        <f>SUMIFS('All Measure &amp; TRC+ Calc'!AJ:AJ,'All Measure &amp; TRC+ Calc'!$D:$D,$C54,'All Measure &amp; TRC+ Calc'!$B:$B,$A54)*$E54</f>
        <v>0</v>
      </c>
      <c r="N54" s="250">
        <f>SUMIFS('All Measure &amp; TRC+ Calc'!AK:AK,'All Measure &amp; TRC+ Calc'!$D:$D,$C54,'All Measure &amp; TRC+ Calc'!$B:$B,$A54)*$E54</f>
        <v>0</v>
      </c>
      <c r="O54" s="250">
        <f>SUMIFS('All Measure &amp; TRC+ Calc'!AF:AF,'All Measure &amp; TRC+ Calc'!$D:$D,$C54,'All Measure &amp; TRC+ Calc'!$B:$B,$A54)*$E54</f>
        <v>0</v>
      </c>
      <c r="P54" s="250">
        <f>SUMIFS('All Measure &amp; TRC+ Calc'!AG:AG,'All Measure &amp; TRC+ Calc'!$D:$D,$C54,'All Measure &amp; TRC+ Calc'!$B:$B,$A54)*$E54</f>
        <v>0</v>
      </c>
      <c r="Q54" s="249">
        <v>1</v>
      </c>
      <c r="R54" s="190">
        <f>SUMIFS(Budget!$E:$E,Budget!$A:$A,$A54,Budget!$C:$C,$C54,Budget!$D:$D,R$7)*Summary[[#This Row],[Budget %  Adjustment]]</f>
        <v>0</v>
      </c>
      <c r="S54" s="190">
        <f>SUMIFS(Budget!$E:$E,Budget!$A:$A,$A54,Budget!$C:$C,$C54,Budget!$D:$D,S$7)*Summary[[#This Row],[Budget %  Adjustment]]</f>
        <v>0</v>
      </c>
      <c r="T54" s="190">
        <f>SUMIFS(Budget!$E:$E,Budget!$A:$A,$A54,Budget!$C:$C,$C54,Budget!$D:$D,T$7)*Summary[[#This Row],[Budget %  Adjustment]]</f>
        <v>0</v>
      </c>
      <c r="U54" s="190">
        <f>SUMIFS(Budget!$E:$E,Budget!$A:$A,$A54,Budget!$C:$C,$C54,Budget!$D:$D,U$7)*Summary[[#This Row],[Budget %  Adjustment]]</f>
        <v>2618006</v>
      </c>
      <c r="V54" s="190">
        <f>Summary[[#This Row],[Promo]]+Summary[[#This Row],[Delivery]]</f>
        <v>0</v>
      </c>
      <c r="W54" s="190">
        <f t="shared" si="2"/>
        <v>2618006</v>
      </c>
      <c r="X54" s="190">
        <f t="shared" si="3"/>
        <v>2618006</v>
      </c>
    </row>
    <row r="55" spans="1:24" x14ac:dyDescent="0.25">
      <c r="A55" s="156">
        <v>2028</v>
      </c>
      <c r="B55" s="247" t="s">
        <v>13</v>
      </c>
      <c r="C55" s="247" t="s">
        <v>9</v>
      </c>
      <c r="D55" s="247" t="s">
        <v>133</v>
      </c>
      <c r="E55" s="249">
        <v>1</v>
      </c>
      <c r="F55" s="250">
        <f>SUMIFS('All Measure &amp; TRC+ Calc'!F:F,'All Measure &amp; TRC+ Calc'!$D:$D,$C55,'All Measure &amp; TRC+ Calc'!$B:$B,$A55)*$E55</f>
        <v>1316</v>
      </c>
      <c r="G55" s="250">
        <f>SUMIFS('All Measure &amp; TRC+ Calc'!AD:AD,'All Measure &amp; TRC+ Calc'!$D:$D,$C55,'All Measure &amp; TRC+ Calc'!$B:$B,$A55)*$E55</f>
        <v>26538579.762826458</v>
      </c>
      <c r="H55" s="250">
        <f>SUMIFS('All Measure &amp; TRC+ Calc'!AE:AE,'All Measure &amp; TRC+ Calc'!$D:$D,$C55,'All Measure &amp; TRC+ Calc'!$B:$B,$A55)*$E55</f>
        <v>19948799.822119839</v>
      </c>
      <c r="I55" s="250">
        <f>SUMIFS('All Measure &amp; TRC+ Calc'!AH:AH,'All Measure &amp; TRC+ Calc'!$D:$D,$C55,'All Measure &amp; TRC+ Calc'!$B:$B,$A55)*$E55</f>
        <v>-7700117.9813314173</v>
      </c>
      <c r="J55" s="250">
        <f>SUMIFS('All Measure &amp; TRC+ Calc'!AI:AI,'All Measure &amp; TRC+ Calc'!$D:$D,$C55,'All Measure &amp; TRC+ Calc'!$B:$B,$A55)*$E55</f>
        <v>-5775088.4859985644</v>
      </c>
      <c r="K55" s="250">
        <f>SUMIFS('All Measure &amp; TRC+ Calc'!AL:AL,'All Measure &amp; TRC+ Calc'!$D:$D,$C55,'All Measure &amp; TRC+ Calc'!$B:$B,$A55)*$E55</f>
        <v>686.80943497523947</v>
      </c>
      <c r="L55" s="250">
        <f>SUMIFS('All Measure &amp; TRC+ Calc'!AM:AM,'All Measure &amp; TRC+ Calc'!$D:$D,$C55,'All Measure &amp; TRC+ Calc'!$B:$B,$A55)*$E55</f>
        <v>515.10707623142935</v>
      </c>
      <c r="M55" s="250">
        <f>SUMIFS('All Measure &amp; TRC+ Calc'!AJ:AJ,'All Measure &amp; TRC+ Calc'!$D:$D,$C55,'All Measure &amp; TRC+ Calc'!$B:$B,$A55)*$E55</f>
        <v>24317.287647058823</v>
      </c>
      <c r="N55" s="250">
        <f>SUMIFS('All Measure &amp; TRC+ Calc'!AK:AK,'All Measure &amp; TRC+ Calc'!$D:$D,$C55,'All Measure &amp; TRC+ Calc'!$B:$B,$A55)*$E55</f>
        <v>18237.965735294118</v>
      </c>
      <c r="O55" s="250">
        <f>SUMIFS('All Measure &amp; TRC+ Calc'!AF:AF,'All Measure &amp; TRC+ Calc'!$D:$D,$C55,'All Measure &amp; TRC+ Calc'!$B:$B,$A55)*$E55</f>
        <v>408227739.33581644</v>
      </c>
      <c r="P55" s="250">
        <f>SUMIFS('All Measure &amp; TRC+ Calc'!AG:AG,'All Measure &amp; TRC+ Calc'!$D:$D,$C55,'All Measure &amp; TRC+ Calc'!$B:$B,$A55)*$E55</f>
        <v>306619454.50186235</v>
      </c>
      <c r="Q55" s="249">
        <v>1</v>
      </c>
      <c r="R55" s="190">
        <f>SUMIFS(Budget!$E:$E,Budget!$A:$A,$A55,Budget!$C:$C,$C55,Budget!$D:$D,R$7)*Summary[[#This Row],[Budget %  Adjustment]]</f>
        <v>16367318</v>
      </c>
      <c r="S55" s="190">
        <f>SUMIFS(Budget!$E:$E,Budget!$A:$A,$A55,Budget!$C:$C,$C55,Budget!$D:$D,S$7)*Summary[[#This Row],[Budget %  Adjustment]]</f>
        <v>650499</v>
      </c>
      <c r="T55" s="190">
        <f>SUMIFS(Budget!$E:$E,Budget!$A:$A,$A55,Budget!$C:$C,$C55,Budget!$D:$D,T$7)*Summary[[#This Row],[Budget %  Adjustment]]</f>
        <v>334405</v>
      </c>
      <c r="U55" s="190">
        <f>SUMIFS(Budget!$E:$E,Budget!$A:$A,$A55,Budget!$C:$C,$C55,Budget!$D:$D,U$7)*Summary[[#This Row],[Budget %  Adjustment]]</f>
        <v>0</v>
      </c>
      <c r="V55" s="190">
        <f>Summary[[#This Row],[Promo]]+Summary[[#This Row],[Delivery]]</f>
        <v>984904</v>
      </c>
      <c r="W55" s="190">
        <f t="shared" si="2"/>
        <v>984904</v>
      </c>
      <c r="X55" s="190">
        <f t="shared" si="3"/>
        <v>17352222</v>
      </c>
    </row>
    <row r="56" spans="1:24" x14ac:dyDescent="0.25">
      <c r="A56" s="156">
        <v>2028</v>
      </c>
      <c r="B56" s="247" t="s">
        <v>13</v>
      </c>
      <c r="C56" s="247" t="s">
        <v>163</v>
      </c>
      <c r="D56" s="247" t="s">
        <v>133</v>
      </c>
      <c r="E56" s="249">
        <v>1</v>
      </c>
      <c r="F56" s="250">
        <f>SUMIFS('All Measure &amp; TRC+ Calc'!F:F,'All Measure &amp; TRC+ Calc'!$D:$D,$C56,'All Measure &amp; TRC+ Calc'!$B:$B,$A56)*$E56</f>
        <v>2528</v>
      </c>
      <c r="G56" s="250">
        <f>SUMIFS('All Measure &amp; TRC+ Calc'!AD:AD,'All Measure &amp; TRC+ Calc'!$D:$D,$C56,'All Measure &amp; TRC+ Calc'!$B:$B,$A56)*$E56</f>
        <v>6121170.1727049975</v>
      </c>
      <c r="H56" s="250">
        <f>SUMIFS('All Measure &amp; TRC+ Calc'!AE:AE,'All Measure &amp; TRC+ Calc'!$D:$D,$C56,'All Measure &amp; TRC+ Calc'!$B:$B,$A56)*$E56</f>
        <v>3474427.4432333936</v>
      </c>
      <c r="I56" s="250">
        <f>SUMIFS('All Measure &amp; TRC+ Calc'!AH:AH,'All Measure &amp; TRC+ Calc'!$D:$D,$C56,'All Measure &amp; TRC+ Calc'!$B:$B,$A56)*$E56</f>
        <v>-242241.33277352687</v>
      </c>
      <c r="J56" s="250">
        <f>SUMIFS('All Measure &amp; TRC+ Calc'!AI:AI,'All Measure &amp; TRC+ Calc'!$D:$D,$C56,'All Measure &amp; TRC+ Calc'!$B:$B,$A56)*$E56</f>
        <v>486129.79299235618</v>
      </c>
      <c r="K56" s="250">
        <f>SUMIFS('All Measure &amp; TRC+ Calc'!AL:AL,'All Measure &amp; TRC+ Calc'!$D:$D,$C56,'All Measure &amp; TRC+ Calc'!$B:$B,$A56)*$E56</f>
        <v>-1056.8566626040104</v>
      </c>
      <c r="L56" s="250">
        <f>SUMIFS('All Measure &amp; TRC+ Calc'!AM:AM,'All Measure &amp; TRC+ Calc'!$D:$D,$C56,'All Measure &amp; TRC+ Calc'!$B:$B,$A56)*$E56</f>
        <v>-276.58323377170507</v>
      </c>
      <c r="M56" s="250">
        <f>SUMIFS('All Measure &amp; TRC+ Calc'!AJ:AJ,'All Measure &amp; TRC+ Calc'!$D:$D,$C56,'All Measure &amp; TRC+ Calc'!$B:$B,$A56)*$E56</f>
        <v>14750.682000000001</v>
      </c>
      <c r="N56" s="250">
        <f>SUMIFS('All Measure &amp; TRC+ Calc'!AK:AK,'All Measure &amp; TRC+ Calc'!$D:$D,$C56,'All Measure &amp; TRC+ Calc'!$B:$B,$A56)*$E56</f>
        <v>13570.627440000004</v>
      </c>
      <c r="O56" s="250">
        <f>SUMIFS('All Measure &amp; TRC+ Calc'!AF:AF,'All Measure &amp; TRC+ Calc'!$D:$D,$C56,'All Measure &amp; TRC+ Calc'!$B:$B,$A56)*$E56</f>
        <v>82225531.748674691</v>
      </c>
      <c r="P56" s="250">
        <f>SUMIFS('All Measure &amp; TRC+ Calc'!AG:AG,'All Measure &amp; TRC+ Calc'!$D:$D,$C56,'All Measure &amp; TRC+ Calc'!$B:$B,$A56)*$E56</f>
        <v>48012042.131662019</v>
      </c>
      <c r="Q56" s="249">
        <v>1</v>
      </c>
      <c r="R56" s="190">
        <f>SUMIFS(Budget!$E:$E,Budget!$A:$A,$A56,Budget!$C:$C,$C56,Budget!$D:$D,R$7)*Summary[[#This Row],[Budget %  Adjustment]]</f>
        <v>4432296</v>
      </c>
      <c r="S56" s="190">
        <f>SUMIFS(Budget!$E:$E,Budget!$A:$A,$A56,Budget!$C:$C,$C56,Budget!$D:$D,S$7)*Summary[[#This Row],[Budget %  Adjustment]]</f>
        <v>471472</v>
      </c>
      <c r="T56" s="190">
        <f>SUMIFS(Budget!$E:$E,Budget!$A:$A,$A56,Budget!$C:$C,$C56,Budget!$D:$D,T$7)*Summary[[#This Row],[Budget %  Adjustment]]</f>
        <v>514296</v>
      </c>
      <c r="U56" s="190">
        <f>SUMIFS(Budget!$E:$E,Budget!$A:$A,$A56,Budget!$C:$C,$C56,Budget!$D:$D,U$7)*Summary[[#This Row],[Budget %  Adjustment]]</f>
        <v>0</v>
      </c>
      <c r="V56" s="190">
        <f>Summary[[#This Row],[Promo]]+Summary[[#This Row],[Delivery]]</f>
        <v>985768</v>
      </c>
      <c r="W56" s="190">
        <f t="shared" si="2"/>
        <v>985768</v>
      </c>
      <c r="X56" s="190">
        <f t="shared" si="3"/>
        <v>5418064</v>
      </c>
    </row>
    <row r="57" spans="1:24" x14ac:dyDescent="0.25">
      <c r="A57" s="156">
        <v>2028</v>
      </c>
      <c r="B57" s="247" t="s">
        <v>13</v>
      </c>
      <c r="C57" s="247" t="s">
        <v>164</v>
      </c>
      <c r="D57" s="247" t="s">
        <v>133</v>
      </c>
      <c r="E57" s="249">
        <v>1</v>
      </c>
      <c r="F57" s="250">
        <f>SUMIFS('All Measure &amp; TRC+ Calc'!F:F,'All Measure &amp; TRC+ Calc'!$D:$D,$C57,'All Measure &amp; TRC+ Calc'!$B:$B,$A57)*$E57</f>
        <v>2987</v>
      </c>
      <c r="G57" s="250">
        <f>SUMIFS('All Measure &amp; TRC+ Calc'!AD:AD,'All Measure &amp; TRC+ Calc'!$D:$D,$C57,'All Measure &amp; TRC+ Calc'!$B:$B,$A57)*$E57</f>
        <v>7253907.2785976818</v>
      </c>
      <c r="H57" s="250">
        <f>SUMIFS('All Measure &amp; TRC+ Calc'!AE:AE,'All Measure &amp; TRC+ Calc'!$D:$D,$C57,'All Measure &amp; TRC+ Calc'!$B:$B,$A57)*$E57</f>
        <v>6903154.7146677971</v>
      </c>
      <c r="I57" s="250">
        <f>SUMIFS('All Measure &amp; TRC+ Calc'!AH:AH,'All Measure &amp; TRC+ Calc'!$D:$D,$C57,'All Measure &amp; TRC+ Calc'!$B:$B,$A57)*$E57</f>
        <v>4321223.8552852701</v>
      </c>
      <c r="J57" s="250">
        <f>SUMIFS('All Measure &amp; TRC+ Calc'!AI:AI,'All Measure &amp; TRC+ Calc'!$D:$D,$C57,'All Measure &amp; TRC+ Calc'!$B:$B,$A57)*$E57</f>
        <v>4127769.7489210065</v>
      </c>
      <c r="K57" s="250">
        <f>SUMIFS('All Measure &amp; TRC+ Calc'!AL:AL,'All Measure &amp; TRC+ Calc'!$D:$D,$C57,'All Measure &amp; TRC+ Calc'!$B:$B,$A57)*$E57</f>
        <v>1633.7180826778972</v>
      </c>
      <c r="L57" s="250">
        <f>SUMIFS('All Measure &amp; TRC+ Calc'!AM:AM,'All Measure &amp; TRC+ Calc'!$D:$D,$C57,'All Measure &amp; TRC+ Calc'!$B:$B,$A57)*$E57</f>
        <v>1563.4078726174835</v>
      </c>
      <c r="M57" s="250">
        <f>SUMIFS('All Measure &amp; TRC+ Calc'!AJ:AJ,'All Measure &amp; TRC+ Calc'!$D:$D,$C57,'All Measure &amp; TRC+ Calc'!$B:$B,$A57)*$E57</f>
        <v>0</v>
      </c>
      <c r="N57" s="250">
        <f>SUMIFS('All Measure &amp; TRC+ Calc'!AK:AK,'All Measure &amp; TRC+ Calc'!$D:$D,$C57,'All Measure &amp; TRC+ Calc'!$B:$B,$A57)*$E57</f>
        <v>0</v>
      </c>
      <c r="O57" s="250">
        <f>SUMIFS('All Measure &amp; TRC+ Calc'!AF:AF,'All Measure &amp; TRC+ Calc'!$D:$D,$C57,'All Measure &amp; TRC+ Calc'!$B:$B,$A57)*$E57</f>
        <v>87697760.915606454</v>
      </c>
      <c r="P57" s="250">
        <f>SUMIFS('All Measure &amp; TRC+ Calc'!AG:AG,'All Measure &amp; TRC+ Calc'!$D:$D,$C57,'All Measure &amp; TRC+ Calc'!$B:$B,$A57)*$E57</f>
        <v>83465972.869826123</v>
      </c>
      <c r="Q57" s="249">
        <v>1</v>
      </c>
      <c r="R57" s="190">
        <f>SUMIFS(Budget!$E:$E,Budget!$A:$A,$A57,Budget!$C:$C,$C57,Budget!$D:$D,R$7)*Summary[[#This Row],[Budget %  Adjustment]]</f>
        <v>11328015</v>
      </c>
      <c r="S57" s="190">
        <f>SUMIFS(Budget!$E:$E,Budget!$A:$A,$A57,Budget!$C:$C,$C57,Budget!$D:$D,S$7)*Summary[[#This Row],[Budget %  Adjustment]]</f>
        <v>418578</v>
      </c>
      <c r="T57" s="190">
        <f>SUMIFS(Budget!$E:$E,Budget!$A:$A,$A57,Budget!$C:$C,$C57,Budget!$D:$D,T$7)*Summary[[#This Row],[Budget %  Adjustment]]</f>
        <v>607675</v>
      </c>
      <c r="U57" s="190">
        <f>SUMIFS(Budget!$E:$E,Budget!$A:$A,$A57,Budget!$C:$C,$C57,Budget!$D:$D,U$7)*Summary[[#This Row],[Budget %  Adjustment]]</f>
        <v>0</v>
      </c>
      <c r="V57" s="190">
        <f>Summary[[#This Row],[Promo]]+Summary[[#This Row],[Delivery]]</f>
        <v>1026253</v>
      </c>
      <c r="W57" s="190">
        <f t="shared" si="2"/>
        <v>1026253</v>
      </c>
      <c r="X57" s="190">
        <f t="shared" si="3"/>
        <v>12354268</v>
      </c>
    </row>
    <row r="58" spans="1:24" x14ac:dyDescent="0.25">
      <c r="A58" s="156">
        <v>2028</v>
      </c>
      <c r="B58" s="247" t="s">
        <v>13</v>
      </c>
      <c r="C58" s="247" t="s">
        <v>165</v>
      </c>
      <c r="D58" s="247" t="s">
        <v>133</v>
      </c>
      <c r="E58" s="249">
        <v>1</v>
      </c>
      <c r="F58" s="250">
        <f>SUMIFS('All Measure &amp; TRC+ Calc'!F:F,'All Measure &amp; TRC+ Calc'!$D:$D,$C58,'All Measure &amp; TRC+ Calc'!$B:$B,$A58)*$E58</f>
        <v>1974</v>
      </c>
      <c r="G58" s="250">
        <f>SUMIFS('All Measure &amp; TRC+ Calc'!AD:AD,'All Measure &amp; TRC+ Calc'!$D:$D,$C58,'All Measure &amp; TRC+ Calc'!$B:$B,$A58)*$E58</f>
        <v>2732552.0374935945</v>
      </c>
      <c r="H58" s="250">
        <f>SUMIFS('All Measure &amp; TRC+ Calc'!AE:AE,'All Measure &amp; TRC+ Calc'!$D:$D,$C58,'All Measure &amp; TRC+ Calc'!$B:$B,$A58)*$E58</f>
        <v>2186041.6299948758</v>
      </c>
      <c r="I58" s="250">
        <f>SUMIFS('All Measure &amp; TRC+ Calc'!AH:AH,'All Measure &amp; TRC+ Calc'!$D:$D,$C58,'All Measure &amp; TRC+ Calc'!$B:$B,$A58)*$E58</f>
        <v>3476145.3684097566</v>
      </c>
      <c r="J58" s="250">
        <f>SUMIFS('All Measure &amp; TRC+ Calc'!AI:AI,'All Measure &amp; TRC+ Calc'!$D:$D,$C58,'All Measure &amp; TRC+ Calc'!$B:$B,$A58)*$E58</f>
        <v>2780916.2947278055</v>
      </c>
      <c r="K58" s="250">
        <f>SUMIFS('All Measure &amp; TRC+ Calc'!AL:AL,'All Measure &amp; TRC+ Calc'!$D:$D,$C58,'All Measure &amp; TRC+ Calc'!$B:$B,$A58)*$E58</f>
        <v>396.82024753535666</v>
      </c>
      <c r="L58" s="250">
        <f>SUMIFS('All Measure &amp; TRC+ Calc'!AM:AM,'All Measure &amp; TRC+ Calc'!$D:$D,$C58,'All Measure &amp; TRC+ Calc'!$B:$B,$A58)*$E58</f>
        <v>317.45619802828537</v>
      </c>
      <c r="M58" s="250">
        <f>SUMIFS('All Measure &amp; TRC+ Calc'!AJ:AJ,'All Measure &amp; TRC+ Calc'!$D:$D,$C58,'All Measure &amp; TRC+ Calc'!$B:$B,$A58)*$E58</f>
        <v>150998.96698807349</v>
      </c>
      <c r="N58" s="250">
        <f>SUMIFS('All Measure &amp; TRC+ Calc'!AK:AK,'All Measure &amp; TRC+ Calc'!$D:$D,$C58,'All Measure &amp; TRC+ Calc'!$B:$B,$A58)*$E58</f>
        <v>120799.1735904588</v>
      </c>
      <c r="O58" s="250">
        <f>SUMIFS('All Measure &amp; TRC+ Calc'!AF:AF,'All Measure &amp; TRC+ Calc'!$D:$D,$C58,'All Measure &amp; TRC+ Calc'!$B:$B,$A58)*$E58</f>
        <v>34298177.132849969</v>
      </c>
      <c r="P58" s="250">
        <f>SUMIFS('All Measure &amp; TRC+ Calc'!AG:AG,'All Measure &amp; TRC+ Calc'!$D:$D,$C58,'All Measure &amp; TRC+ Calc'!$B:$B,$A58)*$E58</f>
        <v>27438541.706279971</v>
      </c>
      <c r="Q58" s="249">
        <v>1</v>
      </c>
      <c r="R58" s="190">
        <f>SUMIFS(Budget!$E:$E,Budget!$A:$A,$A58,Budget!$C:$C,$C58,Budget!$D:$D,R$7)*Summary[[#This Row],[Budget %  Adjustment]]</f>
        <v>2480745</v>
      </c>
      <c r="S58" s="190">
        <f>SUMIFS(Budget!$E:$E,Budget!$A:$A,$A58,Budget!$C:$C,$C58,Budget!$D:$D,S$7)*Summary[[#This Row],[Budget %  Adjustment]]</f>
        <v>373821</v>
      </c>
      <c r="T58" s="190">
        <f>SUMIFS(Budget!$E:$E,Budget!$A:$A,$A58,Budget!$C:$C,$C58,Budget!$D:$D,T$7)*Summary[[#This Row],[Budget %  Adjustment]]</f>
        <v>1056362</v>
      </c>
      <c r="U58" s="190">
        <f>SUMIFS(Budget!$E:$E,Budget!$A:$A,$A58,Budget!$C:$C,$C58,Budget!$D:$D,U$7)*Summary[[#This Row],[Budget %  Adjustment]]</f>
        <v>0</v>
      </c>
      <c r="V58" s="190">
        <f>Summary[[#This Row],[Promo]]+Summary[[#This Row],[Delivery]]</f>
        <v>1430183</v>
      </c>
      <c r="W58" s="190">
        <f t="shared" si="2"/>
        <v>1430183</v>
      </c>
      <c r="X58" s="190">
        <f t="shared" si="3"/>
        <v>3910928</v>
      </c>
    </row>
    <row r="59" spans="1:24" x14ac:dyDescent="0.25">
      <c r="A59" s="156">
        <v>2028</v>
      </c>
      <c r="B59" s="247" t="s">
        <v>13</v>
      </c>
      <c r="C59" s="247" t="s">
        <v>166</v>
      </c>
      <c r="D59" s="247" t="s">
        <v>133</v>
      </c>
      <c r="E59" s="249">
        <v>1</v>
      </c>
      <c r="F59" s="250">
        <f>SUMIFS('All Measure &amp; TRC+ Calc'!F:F,'All Measure &amp; TRC+ Calc'!$D:$D,$C59,'All Measure &amp; TRC+ Calc'!$B:$B,$A59)*$E59</f>
        <v>105</v>
      </c>
      <c r="G59" s="250">
        <f>SUMIFS('All Measure &amp; TRC+ Calc'!AD:AD,'All Measure &amp; TRC+ Calc'!$D:$D,$C59,'All Measure &amp; TRC+ Calc'!$B:$B,$A59)*$E59</f>
        <v>392665.55764499994</v>
      </c>
      <c r="H59" s="250">
        <f>SUMIFS('All Measure &amp; TRC+ Calc'!AE:AE,'All Measure &amp; TRC+ Calc'!$D:$D,$C59,'All Measure &amp; TRC+ Calc'!$B:$B,$A59)*$E59</f>
        <v>294499.16823374992</v>
      </c>
      <c r="I59" s="250">
        <f>SUMIFS('All Measure &amp; TRC+ Calc'!AH:AH,'All Measure &amp; TRC+ Calc'!$D:$D,$C59,'All Measure &amp; TRC+ Calc'!$B:$B,$A59)*$E59</f>
        <v>0</v>
      </c>
      <c r="J59" s="250">
        <f>SUMIFS('All Measure &amp; TRC+ Calc'!AI:AI,'All Measure &amp; TRC+ Calc'!$D:$D,$C59,'All Measure &amp; TRC+ Calc'!$B:$B,$A59)*$E59</f>
        <v>0</v>
      </c>
      <c r="K59" s="250">
        <f>SUMIFS('All Measure &amp; TRC+ Calc'!AL:AL,'All Measure &amp; TRC+ Calc'!$D:$D,$C59,'All Measure &amp; TRC+ Calc'!$B:$B,$A59)*$E59</f>
        <v>0</v>
      </c>
      <c r="L59" s="250">
        <f>SUMIFS('All Measure &amp; TRC+ Calc'!AM:AM,'All Measure &amp; TRC+ Calc'!$D:$D,$C59,'All Measure &amp; TRC+ Calc'!$B:$B,$A59)*$E59</f>
        <v>0</v>
      </c>
      <c r="M59" s="250">
        <f>SUMIFS('All Measure &amp; TRC+ Calc'!AJ:AJ,'All Measure &amp; TRC+ Calc'!$D:$D,$C59,'All Measure &amp; TRC+ Calc'!$B:$B,$A59)*$E59</f>
        <v>0</v>
      </c>
      <c r="N59" s="250">
        <f>SUMIFS('All Measure &amp; TRC+ Calc'!AK:AK,'All Measure &amp; TRC+ Calc'!$D:$D,$C59,'All Measure &amp; TRC+ Calc'!$B:$B,$A59)*$E59</f>
        <v>0</v>
      </c>
      <c r="O59" s="250">
        <f>SUMIFS('All Measure &amp; TRC+ Calc'!AF:AF,'All Measure &amp; TRC+ Calc'!$D:$D,$C59,'All Measure &amp; TRC+ Calc'!$B:$B,$A59)*$E59</f>
        <v>1963327.7882249996</v>
      </c>
      <c r="P59" s="250">
        <f>SUMIFS('All Measure &amp; TRC+ Calc'!AG:AG,'All Measure &amp; TRC+ Calc'!$D:$D,$C59,'All Measure &amp; TRC+ Calc'!$B:$B,$A59)*$E59</f>
        <v>1472495.8411687496</v>
      </c>
      <c r="Q59" s="249">
        <v>1</v>
      </c>
      <c r="R59" s="190">
        <f>SUMIFS(Budget!$E:$E,Budget!$A:$A,$A59,Budget!$C:$C,$C59,Budget!$D:$D,R$7)*Summary[[#This Row],[Budget %  Adjustment]]</f>
        <v>374254</v>
      </c>
      <c r="S59" s="190">
        <f>SUMIFS(Budget!$E:$E,Budget!$A:$A,$A59,Budget!$C:$C,$C59,Budget!$D:$D,S$7)*Summary[[#This Row],[Budget %  Adjustment]]</f>
        <v>101720</v>
      </c>
      <c r="T59" s="190">
        <f>SUMIFS(Budget!$E:$E,Budget!$A:$A,$A59,Budget!$C:$C,$C59,Budget!$D:$D,T$7)*Summary[[#This Row],[Budget %  Adjustment]]</f>
        <v>247180</v>
      </c>
      <c r="U59" s="190">
        <f>SUMIFS(Budget!$E:$E,Budget!$A:$A,$A59,Budget!$C:$C,$C59,Budget!$D:$D,U$7)*Summary[[#This Row],[Budget %  Adjustment]]</f>
        <v>0</v>
      </c>
      <c r="V59" s="190">
        <f>Summary[[#This Row],[Promo]]+Summary[[#This Row],[Delivery]]</f>
        <v>348900</v>
      </c>
      <c r="W59" s="190">
        <f t="shared" si="2"/>
        <v>348900</v>
      </c>
      <c r="X59" s="190">
        <f t="shared" si="3"/>
        <v>723154</v>
      </c>
    </row>
    <row r="60" spans="1:24" x14ac:dyDescent="0.25">
      <c r="A60" s="156">
        <v>2028</v>
      </c>
      <c r="B60" s="247" t="s">
        <v>13</v>
      </c>
      <c r="C60" s="247" t="s">
        <v>167</v>
      </c>
      <c r="D60" s="247" t="s">
        <v>133</v>
      </c>
      <c r="E60" s="249">
        <v>1</v>
      </c>
      <c r="F60" s="250">
        <f>SUMIFS('All Measure &amp; TRC+ Calc'!F:F,'All Measure &amp; TRC+ Calc'!$D:$D,$C60,'All Measure &amp; TRC+ Calc'!$B:$B,$A60)*$E60</f>
        <v>100</v>
      </c>
      <c r="G60" s="250">
        <f>SUMIFS('All Measure &amp; TRC+ Calc'!AD:AD,'All Measure &amp; TRC+ Calc'!$D:$D,$C60,'All Measure &amp; TRC+ Calc'!$B:$B,$A60)*$E60</f>
        <v>63965</v>
      </c>
      <c r="H60" s="250">
        <f>SUMIFS('All Measure &amp; TRC+ Calc'!AE:AE,'All Measure &amp; TRC+ Calc'!$D:$D,$C60,'All Measure &amp; TRC+ Calc'!$B:$B,$A60)*$E60</f>
        <v>51172</v>
      </c>
      <c r="I60" s="250">
        <f>SUMIFS('All Measure &amp; TRC+ Calc'!AH:AH,'All Measure &amp; TRC+ Calc'!$D:$D,$C60,'All Measure &amp; TRC+ Calc'!$B:$B,$A60)*$E60</f>
        <v>-176145.68000000002</v>
      </c>
      <c r="J60" s="250">
        <f>SUMIFS('All Measure &amp; TRC+ Calc'!AI:AI,'All Measure &amp; TRC+ Calc'!$D:$D,$C60,'All Measure &amp; TRC+ Calc'!$B:$B,$A60)*$E60</f>
        <v>-140916.54400000002</v>
      </c>
      <c r="K60" s="250">
        <f>SUMIFS('All Measure &amp; TRC+ Calc'!AL:AL,'All Measure &amp; TRC+ Calc'!$D:$D,$C60,'All Measure &amp; TRC+ Calc'!$B:$B,$A60)*$E60</f>
        <v>2.906720620682413</v>
      </c>
      <c r="L60" s="250">
        <f>SUMIFS('All Measure &amp; TRC+ Calc'!AM:AM,'All Measure &amp; TRC+ Calc'!$D:$D,$C60,'All Measure &amp; TRC+ Calc'!$B:$B,$A60)*$E60</f>
        <v>2.3253764965459305</v>
      </c>
      <c r="M60" s="250">
        <f>SUMIFS('All Measure &amp; TRC+ Calc'!AJ:AJ,'All Measure &amp; TRC+ Calc'!$D:$D,$C60,'All Measure &amp; TRC+ Calc'!$B:$B,$A60)*$E60</f>
        <v>0</v>
      </c>
      <c r="N60" s="250">
        <f>SUMIFS('All Measure &amp; TRC+ Calc'!AK:AK,'All Measure &amp; TRC+ Calc'!$D:$D,$C60,'All Measure &amp; TRC+ Calc'!$B:$B,$A60)*$E60</f>
        <v>0</v>
      </c>
      <c r="O60" s="250">
        <f>SUMIFS('All Measure &amp; TRC+ Calc'!AF:AF,'All Measure &amp; TRC+ Calc'!$D:$D,$C60,'All Measure &amp; TRC+ Calc'!$B:$B,$A60)*$E60</f>
        <v>1115170</v>
      </c>
      <c r="P60" s="250">
        <f>SUMIFS('All Measure &amp; TRC+ Calc'!AG:AG,'All Measure &amp; TRC+ Calc'!$D:$D,$C60,'All Measure &amp; TRC+ Calc'!$B:$B,$A60)*$E60</f>
        <v>892136</v>
      </c>
      <c r="Q60" s="249">
        <v>1</v>
      </c>
      <c r="R60" s="190">
        <f>SUMIFS(Budget!$E:$E,Budget!$A:$A,$A60,Budget!$C:$C,$C60,Budget!$D:$D,R$7)*Summary[[#This Row],[Budget %  Adjustment]]</f>
        <v>116826</v>
      </c>
      <c r="S60" s="190">
        <f>SUMIFS(Budget!$E:$E,Budget!$A:$A,$A60,Budget!$C:$C,$C60,Budget!$D:$D,S$7)*Summary[[#This Row],[Budget %  Adjustment]]</f>
        <v>76290</v>
      </c>
      <c r="T60" s="190">
        <f>SUMIFS(Budget!$E:$E,Budget!$A:$A,$A60,Budget!$C:$C,$C60,Budget!$D:$D,T$7)*Summary[[#This Row],[Budget %  Adjustment]]</f>
        <v>60106</v>
      </c>
      <c r="U60" s="190">
        <f>SUMIFS(Budget!$E:$E,Budget!$A:$A,$A60,Budget!$C:$C,$C60,Budget!$D:$D,U$7)*Summary[[#This Row],[Budget %  Adjustment]]</f>
        <v>0</v>
      </c>
      <c r="V60" s="190">
        <f>Summary[[#This Row],[Promo]]+Summary[[#This Row],[Delivery]]</f>
        <v>136396</v>
      </c>
      <c r="W60" s="190">
        <f t="shared" si="2"/>
        <v>136396</v>
      </c>
      <c r="X60" s="190">
        <f t="shared" si="3"/>
        <v>253222</v>
      </c>
    </row>
    <row r="61" spans="1:24" x14ac:dyDescent="0.25">
      <c r="A61" s="156">
        <v>2028</v>
      </c>
      <c r="B61" s="247" t="s">
        <v>13</v>
      </c>
      <c r="C61" s="247" t="s">
        <v>168</v>
      </c>
      <c r="D61" s="247" t="s">
        <v>256</v>
      </c>
      <c r="E61" s="249">
        <v>1</v>
      </c>
      <c r="F61" s="250">
        <f>SUMIFS('All Measure &amp; TRC+ Calc'!F:F,'All Measure &amp; TRC+ Calc'!$D:$D,$C61,'All Measure &amp; TRC+ Calc'!$B:$B,$A61)*$E61</f>
        <v>0</v>
      </c>
      <c r="G61" s="250">
        <f>SUMIFS('All Measure &amp; TRC+ Calc'!AD:AD,'All Measure &amp; TRC+ Calc'!$D:$D,$C61,'All Measure &amp; TRC+ Calc'!$B:$B,$A61)*$E61</f>
        <v>0</v>
      </c>
      <c r="H61" s="250">
        <f>SUMIFS('All Measure &amp; TRC+ Calc'!AE:AE,'All Measure &amp; TRC+ Calc'!$D:$D,$C61,'All Measure &amp; TRC+ Calc'!$B:$B,$A61)*$E61</f>
        <v>0</v>
      </c>
      <c r="I61" s="250">
        <f>SUMIFS('All Measure &amp; TRC+ Calc'!AH:AH,'All Measure &amp; TRC+ Calc'!$D:$D,$C61,'All Measure &amp; TRC+ Calc'!$B:$B,$A61)*$E61</f>
        <v>0</v>
      </c>
      <c r="J61" s="250">
        <f>SUMIFS('All Measure &amp; TRC+ Calc'!AI:AI,'All Measure &amp; TRC+ Calc'!$D:$D,$C61,'All Measure &amp; TRC+ Calc'!$B:$B,$A61)*$E61</f>
        <v>0</v>
      </c>
      <c r="K61" s="250">
        <f>SUMIFS('All Measure &amp; TRC+ Calc'!AL:AL,'All Measure &amp; TRC+ Calc'!$D:$D,$C61,'All Measure &amp; TRC+ Calc'!$B:$B,$A61)*$E61</f>
        <v>0</v>
      </c>
      <c r="L61" s="250">
        <f>SUMIFS('All Measure &amp; TRC+ Calc'!AM:AM,'All Measure &amp; TRC+ Calc'!$D:$D,$C61,'All Measure &amp; TRC+ Calc'!$B:$B,$A61)*$E61</f>
        <v>0</v>
      </c>
      <c r="M61" s="250">
        <f>SUMIFS('All Measure &amp; TRC+ Calc'!AJ:AJ,'All Measure &amp; TRC+ Calc'!$D:$D,$C61,'All Measure &amp; TRC+ Calc'!$B:$B,$A61)*$E61</f>
        <v>0</v>
      </c>
      <c r="N61" s="250">
        <f>SUMIFS('All Measure &amp; TRC+ Calc'!AK:AK,'All Measure &amp; TRC+ Calc'!$D:$D,$C61,'All Measure &amp; TRC+ Calc'!$B:$B,$A61)*$E61</f>
        <v>0</v>
      </c>
      <c r="O61" s="250">
        <f>SUMIFS('All Measure &amp; TRC+ Calc'!AF:AF,'All Measure &amp; TRC+ Calc'!$D:$D,$C61,'All Measure &amp; TRC+ Calc'!$B:$B,$A61)*$E61</f>
        <v>0</v>
      </c>
      <c r="P61" s="250">
        <f>SUMIFS('All Measure &amp; TRC+ Calc'!AG:AG,'All Measure &amp; TRC+ Calc'!$D:$D,$C61,'All Measure &amp; TRC+ Calc'!$B:$B,$A61)*$E61</f>
        <v>0</v>
      </c>
      <c r="Q61" s="249">
        <v>1</v>
      </c>
      <c r="R61" s="190">
        <f>SUMIFS(Budget!$E:$E,Budget!$A:$A,$A61,Budget!$C:$C,$C61,Budget!$D:$D,R$7)*Summary[[#This Row],[Budget %  Adjustment]]</f>
        <v>510000</v>
      </c>
      <c r="S61" s="190">
        <f>SUMIFS(Budget!$E:$E,Budget!$A:$A,$A61,Budget!$C:$C,$C61,Budget!$D:$D,S$7)*Summary[[#This Row],[Budget %  Adjustment]]</f>
        <v>30516</v>
      </c>
      <c r="T61" s="190">
        <f>SUMIFS(Budget!$E:$E,Budget!$A:$A,$A61,Budget!$C:$C,$C61,Budget!$D:$D,T$7)*Summary[[#This Row],[Budget %  Adjustment]]</f>
        <v>254300</v>
      </c>
      <c r="U61" s="190">
        <f>SUMIFS(Budget!$E:$E,Budget!$A:$A,$A61,Budget!$C:$C,$C61,Budget!$D:$D,U$7)*Summary[[#This Row],[Budget %  Adjustment]]</f>
        <v>0</v>
      </c>
      <c r="V61" s="190">
        <f>Summary[[#This Row],[Promo]]+Summary[[#This Row],[Delivery]]</f>
        <v>284816</v>
      </c>
      <c r="W61" s="190">
        <f t="shared" si="2"/>
        <v>284816</v>
      </c>
      <c r="X61" s="190">
        <f t="shared" si="3"/>
        <v>794816</v>
      </c>
    </row>
    <row r="62" spans="1:24" x14ac:dyDescent="0.25">
      <c r="A62" s="156">
        <v>2028</v>
      </c>
      <c r="B62" s="247" t="s">
        <v>13</v>
      </c>
      <c r="C62" s="247" t="s">
        <v>18</v>
      </c>
      <c r="D62" s="247" t="s">
        <v>256</v>
      </c>
      <c r="E62" s="249">
        <v>1</v>
      </c>
      <c r="F62" s="250">
        <f>SUMIFS('All Measure &amp; TRC+ Calc'!F:F,'All Measure &amp; TRC+ Calc'!$D:$D,$C62,'All Measure &amp; TRC+ Calc'!$B:$B,$A62)*$E62</f>
        <v>0</v>
      </c>
      <c r="G62" s="250">
        <f>SUMIFS('All Measure &amp; TRC+ Calc'!AD:AD,'All Measure &amp; TRC+ Calc'!$D:$D,$C62,'All Measure &amp; TRC+ Calc'!$B:$B,$A62)*$E62</f>
        <v>0</v>
      </c>
      <c r="H62" s="250">
        <f>SUMIFS('All Measure &amp; TRC+ Calc'!AE:AE,'All Measure &amp; TRC+ Calc'!$D:$D,$C62,'All Measure &amp; TRC+ Calc'!$B:$B,$A62)*$E62</f>
        <v>0</v>
      </c>
      <c r="I62" s="250">
        <f>SUMIFS('All Measure &amp; TRC+ Calc'!AH:AH,'All Measure &amp; TRC+ Calc'!$D:$D,$C62,'All Measure &amp; TRC+ Calc'!$B:$B,$A62)*$E62</f>
        <v>0</v>
      </c>
      <c r="J62" s="250">
        <f>SUMIFS('All Measure &amp; TRC+ Calc'!AI:AI,'All Measure &amp; TRC+ Calc'!$D:$D,$C62,'All Measure &amp; TRC+ Calc'!$B:$B,$A62)*$E62</f>
        <v>0</v>
      </c>
      <c r="K62" s="250">
        <f>SUMIFS('All Measure &amp; TRC+ Calc'!AL:AL,'All Measure &amp; TRC+ Calc'!$D:$D,$C62,'All Measure &amp; TRC+ Calc'!$B:$B,$A62)*$E62</f>
        <v>0</v>
      </c>
      <c r="L62" s="250">
        <f>SUMIFS('All Measure &amp; TRC+ Calc'!AM:AM,'All Measure &amp; TRC+ Calc'!$D:$D,$C62,'All Measure &amp; TRC+ Calc'!$B:$B,$A62)*$E62</f>
        <v>0</v>
      </c>
      <c r="M62" s="250">
        <f>SUMIFS('All Measure &amp; TRC+ Calc'!AJ:AJ,'All Measure &amp; TRC+ Calc'!$D:$D,$C62,'All Measure &amp; TRC+ Calc'!$B:$B,$A62)*$E62</f>
        <v>0</v>
      </c>
      <c r="N62" s="250">
        <f>SUMIFS('All Measure &amp; TRC+ Calc'!AK:AK,'All Measure &amp; TRC+ Calc'!$D:$D,$C62,'All Measure &amp; TRC+ Calc'!$B:$B,$A62)*$E62</f>
        <v>0</v>
      </c>
      <c r="O62" s="250">
        <f>SUMIFS('All Measure &amp; TRC+ Calc'!AF:AF,'All Measure &amp; TRC+ Calc'!$D:$D,$C62,'All Measure &amp; TRC+ Calc'!$B:$B,$A62)*$E62</f>
        <v>0</v>
      </c>
      <c r="P62" s="250">
        <f>SUMIFS('All Measure &amp; TRC+ Calc'!AG:AG,'All Measure &amp; TRC+ Calc'!$D:$D,$C62,'All Measure &amp; TRC+ Calc'!$B:$B,$A62)*$E62</f>
        <v>0</v>
      </c>
      <c r="Q62" s="249">
        <v>1</v>
      </c>
      <c r="R62" s="190">
        <f>SUMIFS(Budget!$E:$E,Budget!$A:$A,$A62,Budget!$C:$C,$C62,Budget!$D:$D,R$7)*Summary[[#This Row],[Budget %  Adjustment]]</f>
        <v>1836000</v>
      </c>
      <c r="S62" s="190">
        <f>SUMIFS(Budget!$E:$E,Budget!$A:$A,$A62,Budget!$C:$C,$C62,Budget!$D:$D,S$7)*Summary[[#This Row],[Budget %  Adjustment]]</f>
        <v>40688</v>
      </c>
      <c r="T62" s="190">
        <f>SUMIFS(Budget!$E:$E,Budget!$A:$A,$A62,Budget!$C:$C,$C62,Budget!$D:$D,T$7)*Summary[[#This Row],[Budget %  Adjustment]]</f>
        <v>162752</v>
      </c>
      <c r="U62" s="190">
        <f>SUMIFS(Budget!$E:$E,Budget!$A:$A,$A62,Budget!$C:$C,$C62,Budget!$D:$D,U$7)*Summary[[#This Row],[Budget %  Adjustment]]</f>
        <v>0</v>
      </c>
      <c r="V62" s="190">
        <f>Summary[[#This Row],[Promo]]+Summary[[#This Row],[Delivery]]</f>
        <v>203440</v>
      </c>
      <c r="W62" s="190">
        <f t="shared" si="2"/>
        <v>203440</v>
      </c>
      <c r="X62" s="190">
        <f t="shared" si="3"/>
        <v>2039440</v>
      </c>
    </row>
    <row r="63" spans="1:24" x14ac:dyDescent="0.25">
      <c r="A63" s="156">
        <v>2028</v>
      </c>
      <c r="B63" s="247" t="s">
        <v>13</v>
      </c>
      <c r="C63" s="247" t="s">
        <v>19</v>
      </c>
      <c r="D63" s="247" t="s">
        <v>19</v>
      </c>
      <c r="E63" s="249">
        <v>1</v>
      </c>
      <c r="F63" s="250">
        <f>SUMIFS('All Measure &amp; TRC+ Calc'!F:F,'All Measure &amp; TRC+ Calc'!$D:$D,$C63,'All Measure &amp; TRC+ Calc'!$B:$B,$A63)*$E63</f>
        <v>0</v>
      </c>
      <c r="G63" s="250">
        <f>SUMIFS('All Measure &amp; TRC+ Calc'!AD:AD,'All Measure &amp; TRC+ Calc'!$D:$D,$C63,'All Measure &amp; TRC+ Calc'!$B:$B,$A63)*$E63</f>
        <v>0</v>
      </c>
      <c r="H63" s="250">
        <f>SUMIFS('All Measure &amp; TRC+ Calc'!AE:AE,'All Measure &amp; TRC+ Calc'!$D:$D,$C63,'All Measure &amp; TRC+ Calc'!$B:$B,$A63)*$E63</f>
        <v>0</v>
      </c>
      <c r="I63" s="250">
        <f>SUMIFS('All Measure &amp; TRC+ Calc'!AH:AH,'All Measure &amp; TRC+ Calc'!$D:$D,$C63,'All Measure &amp; TRC+ Calc'!$B:$B,$A63)*$E63</f>
        <v>0</v>
      </c>
      <c r="J63" s="250">
        <f>SUMIFS('All Measure &amp; TRC+ Calc'!AI:AI,'All Measure &amp; TRC+ Calc'!$D:$D,$C63,'All Measure &amp; TRC+ Calc'!$B:$B,$A63)*$E63</f>
        <v>0</v>
      </c>
      <c r="K63" s="250">
        <f>SUMIFS('All Measure &amp; TRC+ Calc'!AL:AL,'All Measure &amp; TRC+ Calc'!$D:$D,$C63,'All Measure &amp; TRC+ Calc'!$B:$B,$A63)*$E63</f>
        <v>0</v>
      </c>
      <c r="L63" s="250">
        <f>SUMIFS('All Measure &amp; TRC+ Calc'!AM:AM,'All Measure &amp; TRC+ Calc'!$D:$D,$C63,'All Measure &amp; TRC+ Calc'!$B:$B,$A63)*$E63</f>
        <v>0</v>
      </c>
      <c r="M63" s="250">
        <f>SUMIFS('All Measure &amp; TRC+ Calc'!AJ:AJ,'All Measure &amp; TRC+ Calc'!$D:$D,$C63,'All Measure &amp; TRC+ Calc'!$B:$B,$A63)*$E63</f>
        <v>0</v>
      </c>
      <c r="N63" s="250">
        <f>SUMIFS('All Measure &amp; TRC+ Calc'!AK:AK,'All Measure &amp; TRC+ Calc'!$D:$D,$C63,'All Measure &amp; TRC+ Calc'!$B:$B,$A63)*$E63</f>
        <v>0</v>
      </c>
      <c r="O63" s="250">
        <f>SUMIFS('All Measure &amp; TRC+ Calc'!AF:AF,'All Measure &amp; TRC+ Calc'!$D:$D,$C63,'All Measure &amp; TRC+ Calc'!$B:$B,$A63)*$E63</f>
        <v>0</v>
      </c>
      <c r="P63" s="250">
        <f>SUMIFS('All Measure &amp; TRC+ Calc'!AG:AG,'All Measure &amp; TRC+ Calc'!$D:$D,$C63,'All Measure &amp; TRC+ Calc'!$B:$B,$A63)*$E63</f>
        <v>0</v>
      </c>
      <c r="Q63" s="249">
        <v>1</v>
      </c>
      <c r="R63" s="190">
        <f>SUMIFS(Budget!$E:$E,Budget!$A:$A,$A63,Budget!$C:$C,$C63,Budget!$D:$D,R$7)*Summary[[#This Row],[Budget %  Adjustment]]</f>
        <v>0</v>
      </c>
      <c r="S63" s="190">
        <f>SUMIFS(Budget!$E:$E,Budget!$A:$A,$A63,Budget!$C:$C,$C63,Budget!$D:$D,S$7)*Summary[[#This Row],[Budget %  Adjustment]]</f>
        <v>0</v>
      </c>
      <c r="T63" s="190">
        <f>SUMIFS(Budget!$E:$E,Budget!$A:$A,$A63,Budget!$C:$C,$C63,Budget!$D:$D,T$7)*Summary[[#This Row],[Budget %  Adjustment]]</f>
        <v>0</v>
      </c>
      <c r="U63" s="190">
        <f>SUMIFS(Budget!$E:$E,Budget!$A:$A,$A63,Budget!$C:$C,$C63,Budget!$D:$D,U$7)*Summary[[#This Row],[Budget %  Adjustment]]</f>
        <v>5622215</v>
      </c>
      <c r="V63" s="190">
        <f>Summary[[#This Row],[Promo]]+Summary[[#This Row],[Delivery]]</f>
        <v>0</v>
      </c>
      <c r="W63" s="190">
        <f t="shared" si="2"/>
        <v>5622215</v>
      </c>
      <c r="X63" s="190">
        <f t="shared" si="3"/>
        <v>5622215</v>
      </c>
    </row>
    <row r="64" spans="1:24" x14ac:dyDescent="0.25">
      <c r="A64" s="156">
        <v>2028</v>
      </c>
      <c r="B64" s="247" t="s">
        <v>14</v>
      </c>
      <c r="C64" s="247" t="s">
        <v>8</v>
      </c>
      <c r="D64" s="247" t="s">
        <v>133</v>
      </c>
      <c r="E64" s="249">
        <v>1</v>
      </c>
      <c r="F64" s="250">
        <f>SUMIFS('All Measure &amp; TRC+ Calc'!F:F,'All Measure &amp; TRC+ Calc'!$D:$D,$C64,'All Measure &amp; TRC+ Calc'!$B:$B,$A64)*$E64</f>
        <v>306</v>
      </c>
      <c r="G64" s="250">
        <f>SUMIFS('All Measure &amp; TRC+ Calc'!AD:AD,'All Measure &amp; TRC+ Calc'!$D:$D,$C64,'All Measure &amp; TRC+ Calc'!$B:$B,$A64)*$E64</f>
        <v>82838154.969447315</v>
      </c>
      <c r="H64" s="250">
        <f>SUMIFS('All Measure &amp; TRC+ Calc'!AE:AE,'All Measure &amp; TRC+ Calc'!$D:$D,$C64,'All Measure &amp; TRC+ Calc'!$B:$B,$A64)*$E64</f>
        <v>57986708.478613123</v>
      </c>
      <c r="I64" s="250">
        <f>SUMIFS('All Measure &amp; TRC+ Calc'!AH:AH,'All Measure &amp; TRC+ Calc'!$D:$D,$C64,'All Measure &amp; TRC+ Calc'!$B:$B,$A64)*$E64</f>
        <v>192834.7835392</v>
      </c>
      <c r="J64" s="250">
        <f>SUMIFS('All Measure &amp; TRC+ Calc'!AI:AI,'All Measure &amp; TRC+ Calc'!$D:$D,$C64,'All Measure &amp; TRC+ Calc'!$B:$B,$A64)*$E64</f>
        <v>134984.34847743998</v>
      </c>
      <c r="K64" s="250">
        <f>SUMIFS('All Measure &amp; TRC+ Calc'!AL:AL,'All Measure &amp; TRC+ Calc'!$D:$D,$C64,'All Measure &amp; TRC+ Calc'!$B:$B,$A64)*$E64</f>
        <v>37.768640235161655</v>
      </c>
      <c r="L64" s="250">
        <f>SUMIFS('All Measure &amp; TRC+ Calc'!AM:AM,'All Measure &amp; TRC+ Calc'!$D:$D,$C64,'All Measure &amp; TRC+ Calc'!$B:$B,$A64)*$E64</f>
        <v>26.438048164613161</v>
      </c>
      <c r="M64" s="250">
        <f>SUMIFS('All Measure &amp; TRC+ Calc'!AJ:AJ,'All Measure &amp; TRC+ Calc'!$D:$D,$C64,'All Measure &amp; TRC+ Calc'!$B:$B,$A64)*$E64</f>
        <v>3489.146207368</v>
      </c>
      <c r="N64" s="250">
        <f>SUMIFS('All Measure &amp; TRC+ Calc'!AK:AK,'All Measure &amp; TRC+ Calc'!$D:$D,$C64,'All Measure &amp; TRC+ Calc'!$B:$B,$A64)*$E64</f>
        <v>2442.4023451575999</v>
      </c>
      <c r="O64" s="250">
        <f>SUMIFS('All Measure &amp; TRC+ Calc'!AF:AF,'All Measure &amp; TRC+ Calc'!$D:$D,$C64,'All Measure &amp; TRC+ Calc'!$B:$B,$A64)*$E64</f>
        <v>1352854508.5304847</v>
      </c>
      <c r="P64" s="250">
        <f>SUMIFS('All Measure &amp; TRC+ Calc'!AG:AG,'All Measure &amp; TRC+ Calc'!$D:$D,$C64,'All Measure &amp; TRC+ Calc'!$B:$B,$A64)*$E64</f>
        <v>946998155.97133923</v>
      </c>
      <c r="Q64" s="249">
        <v>1</v>
      </c>
      <c r="R64" s="190">
        <f>SUMIFS(Budget!$E:$E,Budget!$A:$A,$A64,Budget!$C:$C,$C64,Budget!$D:$D,R$7)*Summary[[#This Row],[Budget %  Adjustment]]</f>
        <v>19991787</v>
      </c>
      <c r="S64" s="190">
        <f>SUMIFS(Budget!$E:$E,Budget!$A:$A,$A64,Budget!$C:$C,$C64,Budget!$D:$D,S$7)*Summary[[#This Row],[Budget %  Adjustment]]</f>
        <v>884964</v>
      </c>
      <c r="T64" s="190">
        <f>SUMIFS(Budget!$E:$E,Budget!$A:$A,$A64,Budget!$C:$C,$C64,Budget!$D:$D,T$7)*Summary[[#This Row],[Budget %  Adjustment]]</f>
        <v>101720</v>
      </c>
      <c r="U64" s="190">
        <f>SUMIFS(Budget!$E:$E,Budget!$A:$A,$A64,Budget!$C:$C,$C64,Budget!$D:$D,U$7)*Summary[[#This Row],[Budget %  Adjustment]]</f>
        <v>0</v>
      </c>
      <c r="V64" s="190">
        <f>Summary[[#This Row],[Promo]]+Summary[[#This Row],[Delivery]]</f>
        <v>986684</v>
      </c>
      <c r="W64" s="190">
        <f t="shared" si="2"/>
        <v>986684</v>
      </c>
      <c r="X64" s="190">
        <f t="shared" si="3"/>
        <v>20978471</v>
      </c>
    </row>
    <row r="65" spans="1:24" x14ac:dyDescent="0.25">
      <c r="A65" s="156">
        <v>2028</v>
      </c>
      <c r="B65" s="247" t="s">
        <v>14</v>
      </c>
      <c r="C65" s="247" t="s">
        <v>169</v>
      </c>
      <c r="D65" s="247" t="s">
        <v>133</v>
      </c>
      <c r="E65" s="249">
        <v>1</v>
      </c>
      <c r="F65" s="250">
        <f>SUMIFS('All Measure &amp; TRC+ Calc'!F:F,'All Measure &amp; TRC+ Calc'!$D:$D,$C65,'All Measure &amp; TRC+ Calc'!$B:$B,$A65)*$E65</f>
        <v>0</v>
      </c>
      <c r="G65" s="250">
        <f>SUMIFS('All Measure &amp; TRC+ Calc'!AD:AD,'All Measure &amp; TRC+ Calc'!$D:$D,$C65,'All Measure &amp; TRC+ Calc'!$B:$B,$A65)*$E65</f>
        <v>0</v>
      </c>
      <c r="H65" s="250">
        <f>SUMIFS('All Measure &amp; TRC+ Calc'!AE:AE,'All Measure &amp; TRC+ Calc'!$D:$D,$C65,'All Measure &amp; TRC+ Calc'!$B:$B,$A65)*$E65</f>
        <v>0</v>
      </c>
      <c r="I65" s="250">
        <f>SUMIFS('All Measure &amp; TRC+ Calc'!AH:AH,'All Measure &amp; TRC+ Calc'!$D:$D,$C65,'All Measure &amp; TRC+ Calc'!$B:$B,$A65)*$E65</f>
        <v>0</v>
      </c>
      <c r="J65" s="250">
        <f>SUMIFS('All Measure &amp; TRC+ Calc'!AI:AI,'All Measure &amp; TRC+ Calc'!$D:$D,$C65,'All Measure &amp; TRC+ Calc'!$B:$B,$A65)*$E65</f>
        <v>0</v>
      </c>
      <c r="K65" s="250">
        <f>SUMIFS('All Measure &amp; TRC+ Calc'!AL:AL,'All Measure &amp; TRC+ Calc'!$D:$D,$C65,'All Measure &amp; TRC+ Calc'!$B:$B,$A65)*$E65</f>
        <v>0</v>
      </c>
      <c r="L65" s="250">
        <f>SUMIFS('All Measure &amp; TRC+ Calc'!AM:AM,'All Measure &amp; TRC+ Calc'!$D:$D,$C65,'All Measure &amp; TRC+ Calc'!$B:$B,$A65)*$E65</f>
        <v>0</v>
      </c>
      <c r="M65" s="250">
        <f>SUMIFS('All Measure &amp; TRC+ Calc'!AJ:AJ,'All Measure &amp; TRC+ Calc'!$D:$D,$C65,'All Measure &amp; TRC+ Calc'!$B:$B,$A65)*$E65</f>
        <v>0</v>
      </c>
      <c r="N65" s="250">
        <f>SUMIFS('All Measure &amp; TRC+ Calc'!AK:AK,'All Measure &amp; TRC+ Calc'!$D:$D,$C65,'All Measure &amp; TRC+ Calc'!$B:$B,$A65)*$E65</f>
        <v>0</v>
      </c>
      <c r="O65" s="250">
        <f>SUMIFS('All Measure &amp; TRC+ Calc'!AF:AF,'All Measure &amp; TRC+ Calc'!$D:$D,$C65,'All Measure &amp; TRC+ Calc'!$B:$B,$A65)*$E65</f>
        <v>0</v>
      </c>
      <c r="P65" s="250">
        <f>SUMIFS('All Measure &amp; TRC+ Calc'!AG:AG,'All Measure &amp; TRC+ Calc'!$D:$D,$C65,'All Measure &amp; TRC+ Calc'!$B:$B,$A65)*$E65</f>
        <v>0</v>
      </c>
      <c r="Q65" s="249">
        <v>1</v>
      </c>
      <c r="R65" s="190">
        <f>SUMIFS(Budget!$E:$E,Budget!$A:$A,$A65,Budget!$C:$C,$C65,Budget!$D:$D,R$7)*Summary[[#This Row],[Budget %  Adjustment]]</f>
        <v>0</v>
      </c>
      <c r="S65" s="190">
        <f>SUMIFS(Budget!$E:$E,Budget!$A:$A,$A65,Budget!$C:$C,$C65,Budget!$D:$D,S$7)*Summary[[#This Row],[Budget %  Adjustment]]</f>
        <v>0</v>
      </c>
      <c r="T65" s="190">
        <f>SUMIFS(Budget!$E:$E,Budget!$A:$A,$A65,Budget!$C:$C,$C65,Budget!$D:$D,T$7)*Summary[[#This Row],[Budget %  Adjustment]]</f>
        <v>0</v>
      </c>
      <c r="U65" s="190">
        <f>SUMIFS(Budget!$E:$E,Budget!$A:$A,$A65,Budget!$C:$C,$C65,Budget!$D:$D,U$7)*Summary[[#This Row],[Budget %  Adjustment]]</f>
        <v>0</v>
      </c>
      <c r="V65" s="190">
        <f>Summary[[#This Row],[Promo]]+Summary[[#This Row],[Delivery]]</f>
        <v>0</v>
      </c>
      <c r="W65" s="190">
        <f t="shared" si="2"/>
        <v>0</v>
      </c>
      <c r="X65" s="190">
        <f t="shared" si="3"/>
        <v>0</v>
      </c>
    </row>
    <row r="66" spans="1:24" x14ac:dyDescent="0.25">
      <c r="A66" s="156">
        <v>2028</v>
      </c>
      <c r="B66" s="247" t="s">
        <v>14</v>
      </c>
      <c r="C66" s="247" t="s">
        <v>170</v>
      </c>
      <c r="D66" s="247" t="s">
        <v>133</v>
      </c>
      <c r="E66" s="249">
        <v>1</v>
      </c>
      <c r="F66" s="250">
        <f>SUMIFS('All Measure &amp; TRC+ Calc'!F:F,'All Measure &amp; TRC+ Calc'!$D:$D,$C66,'All Measure &amp; TRC+ Calc'!$B:$B,$A66)*$E66</f>
        <v>0</v>
      </c>
      <c r="G66" s="250">
        <f>SUMIFS('All Measure &amp; TRC+ Calc'!AD:AD,'All Measure &amp; TRC+ Calc'!$D:$D,$C66,'All Measure &amp; TRC+ Calc'!$B:$B,$A66)*$E66</f>
        <v>0</v>
      </c>
      <c r="H66" s="250">
        <f>SUMIFS('All Measure &amp; TRC+ Calc'!AE:AE,'All Measure &amp; TRC+ Calc'!$D:$D,$C66,'All Measure &amp; TRC+ Calc'!$B:$B,$A66)*$E66</f>
        <v>0</v>
      </c>
      <c r="I66" s="250">
        <f>SUMIFS('All Measure &amp; TRC+ Calc'!AH:AH,'All Measure &amp; TRC+ Calc'!$D:$D,$C66,'All Measure &amp; TRC+ Calc'!$B:$B,$A66)*$E66</f>
        <v>0</v>
      </c>
      <c r="J66" s="250">
        <f>SUMIFS('All Measure &amp; TRC+ Calc'!AI:AI,'All Measure &amp; TRC+ Calc'!$D:$D,$C66,'All Measure &amp; TRC+ Calc'!$B:$B,$A66)*$E66</f>
        <v>0</v>
      </c>
      <c r="K66" s="250">
        <f>SUMIFS('All Measure &amp; TRC+ Calc'!AL:AL,'All Measure &amp; TRC+ Calc'!$D:$D,$C66,'All Measure &amp; TRC+ Calc'!$B:$B,$A66)*$E66</f>
        <v>0</v>
      </c>
      <c r="L66" s="250">
        <f>SUMIFS('All Measure &amp; TRC+ Calc'!AM:AM,'All Measure &amp; TRC+ Calc'!$D:$D,$C66,'All Measure &amp; TRC+ Calc'!$B:$B,$A66)*$E66</f>
        <v>0</v>
      </c>
      <c r="M66" s="250">
        <f>SUMIFS('All Measure &amp; TRC+ Calc'!AJ:AJ,'All Measure &amp; TRC+ Calc'!$D:$D,$C66,'All Measure &amp; TRC+ Calc'!$B:$B,$A66)*$E66</f>
        <v>0</v>
      </c>
      <c r="N66" s="250">
        <f>SUMIFS('All Measure &amp; TRC+ Calc'!AK:AK,'All Measure &amp; TRC+ Calc'!$D:$D,$C66,'All Measure &amp; TRC+ Calc'!$B:$B,$A66)*$E66</f>
        <v>0</v>
      </c>
      <c r="O66" s="250">
        <f>SUMIFS('All Measure &amp; TRC+ Calc'!AF:AF,'All Measure &amp; TRC+ Calc'!$D:$D,$C66,'All Measure &amp; TRC+ Calc'!$B:$B,$A66)*$E66</f>
        <v>0</v>
      </c>
      <c r="P66" s="250">
        <f>SUMIFS('All Measure &amp; TRC+ Calc'!AG:AG,'All Measure &amp; TRC+ Calc'!$D:$D,$C66,'All Measure &amp; TRC+ Calc'!$B:$B,$A66)*$E66</f>
        <v>0</v>
      </c>
      <c r="Q66" s="249">
        <v>1</v>
      </c>
      <c r="R66" s="190">
        <f>SUMIFS(Budget!$E:$E,Budget!$A:$A,$A66,Budget!$C:$C,$C66,Budget!$D:$D,R$7)*Summary[[#This Row],[Budget %  Adjustment]]</f>
        <v>0</v>
      </c>
      <c r="S66" s="190">
        <f>SUMIFS(Budget!$E:$E,Budget!$A:$A,$A66,Budget!$C:$C,$C66,Budget!$D:$D,S$7)*Summary[[#This Row],[Budget %  Adjustment]]</f>
        <v>0</v>
      </c>
      <c r="T66" s="190">
        <f>SUMIFS(Budget!$E:$E,Budget!$A:$A,$A66,Budget!$C:$C,$C66,Budget!$D:$D,T$7)*Summary[[#This Row],[Budget %  Adjustment]]</f>
        <v>0</v>
      </c>
      <c r="U66" s="190">
        <f>SUMIFS(Budget!$E:$E,Budget!$A:$A,$A66,Budget!$C:$C,$C66,Budget!$D:$D,U$7)*Summary[[#This Row],[Budget %  Adjustment]]</f>
        <v>0</v>
      </c>
      <c r="V66" s="190">
        <f>Summary[[#This Row],[Promo]]+Summary[[#This Row],[Delivery]]</f>
        <v>0</v>
      </c>
      <c r="W66" s="190">
        <f t="shared" si="2"/>
        <v>0</v>
      </c>
      <c r="X66" s="190">
        <f t="shared" si="3"/>
        <v>0</v>
      </c>
    </row>
    <row r="67" spans="1:24" x14ac:dyDescent="0.25">
      <c r="A67" s="156">
        <v>2028</v>
      </c>
      <c r="B67" s="247" t="s">
        <v>14</v>
      </c>
      <c r="C67" s="247" t="s">
        <v>171</v>
      </c>
      <c r="D67" s="247" t="s">
        <v>256</v>
      </c>
      <c r="E67" s="249">
        <v>1</v>
      </c>
      <c r="F67" s="250">
        <f>SUMIFS('All Measure &amp; TRC+ Calc'!F:F,'All Measure &amp; TRC+ Calc'!$D:$D,$C67,'All Measure &amp; TRC+ Calc'!$B:$B,$A67)*$E67</f>
        <v>0</v>
      </c>
      <c r="G67" s="250">
        <f>SUMIFS('All Measure &amp; TRC+ Calc'!AD:AD,'All Measure &amp; TRC+ Calc'!$D:$D,$C67,'All Measure &amp; TRC+ Calc'!$B:$B,$A67)*$E67</f>
        <v>0</v>
      </c>
      <c r="H67" s="250">
        <f>SUMIFS('All Measure &amp; TRC+ Calc'!AE:AE,'All Measure &amp; TRC+ Calc'!$D:$D,$C67,'All Measure &amp; TRC+ Calc'!$B:$B,$A67)*$E67</f>
        <v>0</v>
      </c>
      <c r="I67" s="250">
        <f>SUMIFS('All Measure &amp; TRC+ Calc'!AH:AH,'All Measure &amp; TRC+ Calc'!$D:$D,$C67,'All Measure &amp; TRC+ Calc'!$B:$B,$A67)*$E67</f>
        <v>0</v>
      </c>
      <c r="J67" s="250">
        <f>SUMIFS('All Measure &amp; TRC+ Calc'!AI:AI,'All Measure &amp; TRC+ Calc'!$D:$D,$C67,'All Measure &amp; TRC+ Calc'!$B:$B,$A67)*$E67</f>
        <v>0</v>
      </c>
      <c r="K67" s="250">
        <f>SUMIFS('All Measure &amp; TRC+ Calc'!AL:AL,'All Measure &amp; TRC+ Calc'!$D:$D,$C67,'All Measure &amp; TRC+ Calc'!$B:$B,$A67)*$E67</f>
        <v>0</v>
      </c>
      <c r="L67" s="250">
        <f>SUMIFS('All Measure &amp; TRC+ Calc'!AM:AM,'All Measure &amp; TRC+ Calc'!$D:$D,$C67,'All Measure &amp; TRC+ Calc'!$B:$B,$A67)*$E67</f>
        <v>0</v>
      </c>
      <c r="M67" s="250">
        <f>SUMIFS('All Measure &amp; TRC+ Calc'!AJ:AJ,'All Measure &amp; TRC+ Calc'!$D:$D,$C67,'All Measure &amp; TRC+ Calc'!$B:$B,$A67)*$E67</f>
        <v>0</v>
      </c>
      <c r="N67" s="250">
        <f>SUMIFS('All Measure &amp; TRC+ Calc'!AK:AK,'All Measure &amp; TRC+ Calc'!$D:$D,$C67,'All Measure &amp; TRC+ Calc'!$B:$B,$A67)*$E67</f>
        <v>0</v>
      </c>
      <c r="O67" s="250">
        <f>SUMIFS('All Measure &amp; TRC+ Calc'!AF:AF,'All Measure &amp; TRC+ Calc'!$D:$D,$C67,'All Measure &amp; TRC+ Calc'!$B:$B,$A67)*$E67</f>
        <v>0</v>
      </c>
      <c r="P67" s="250">
        <f>SUMIFS('All Measure &amp; TRC+ Calc'!AG:AG,'All Measure &amp; TRC+ Calc'!$D:$D,$C67,'All Measure &amp; TRC+ Calc'!$B:$B,$A67)*$E67</f>
        <v>0</v>
      </c>
      <c r="Q67" s="249">
        <v>1</v>
      </c>
      <c r="R67" s="190">
        <f>SUMIFS(Budget!$E:$E,Budget!$A:$A,$A67,Budget!$C:$C,$C67,Budget!$D:$D,R$7)*Summary[[#This Row],[Budget %  Adjustment]]</f>
        <v>510000</v>
      </c>
      <c r="S67" s="190">
        <f>SUMIFS(Budget!$E:$E,Budget!$A:$A,$A67,Budget!$C:$C,$C67,Budget!$D:$D,S$7)*Summary[[#This Row],[Budget %  Adjustment]]</f>
        <v>30516</v>
      </c>
      <c r="T67" s="190">
        <f>SUMIFS(Budget!$E:$E,Budget!$A:$A,$A67,Budget!$C:$C,$C67,Budget!$D:$D,T$7)*Summary[[#This Row],[Budget %  Adjustment]]</f>
        <v>254300</v>
      </c>
      <c r="U67" s="190">
        <f>SUMIFS(Budget!$E:$E,Budget!$A:$A,$A67,Budget!$C:$C,$C67,Budget!$D:$D,U$7)*Summary[[#This Row],[Budget %  Adjustment]]</f>
        <v>0</v>
      </c>
      <c r="V67" s="190">
        <f>Summary[[#This Row],[Promo]]+Summary[[#This Row],[Delivery]]</f>
        <v>284816</v>
      </c>
      <c r="W67" s="190">
        <f t="shared" si="2"/>
        <v>284816</v>
      </c>
      <c r="X67" s="190">
        <f t="shared" si="3"/>
        <v>794816</v>
      </c>
    </row>
    <row r="68" spans="1:24" x14ac:dyDescent="0.25">
      <c r="A68" s="156">
        <v>2028</v>
      </c>
      <c r="B68" s="247" t="s">
        <v>14</v>
      </c>
      <c r="C68" s="247" t="s">
        <v>24</v>
      </c>
      <c r="D68" s="247" t="s">
        <v>256</v>
      </c>
      <c r="E68" s="249">
        <v>1</v>
      </c>
      <c r="F68" s="250">
        <f>SUMIFS('All Measure &amp; TRC+ Calc'!F:F,'All Measure &amp; TRC+ Calc'!$D:$D,$C68,'All Measure &amp; TRC+ Calc'!$B:$B,$A68)*$E68</f>
        <v>0</v>
      </c>
      <c r="G68" s="250">
        <f>SUMIFS('All Measure &amp; TRC+ Calc'!AD:AD,'All Measure &amp; TRC+ Calc'!$D:$D,$C68,'All Measure &amp; TRC+ Calc'!$B:$B,$A68)*$E68</f>
        <v>0</v>
      </c>
      <c r="H68" s="250">
        <f>SUMIFS('All Measure &amp; TRC+ Calc'!AE:AE,'All Measure &amp; TRC+ Calc'!$D:$D,$C68,'All Measure &amp; TRC+ Calc'!$B:$B,$A68)*$E68</f>
        <v>0</v>
      </c>
      <c r="I68" s="250">
        <f>SUMIFS('All Measure &amp; TRC+ Calc'!AH:AH,'All Measure &amp; TRC+ Calc'!$D:$D,$C68,'All Measure &amp; TRC+ Calc'!$B:$B,$A68)*$E68</f>
        <v>0</v>
      </c>
      <c r="J68" s="250">
        <f>SUMIFS('All Measure &amp; TRC+ Calc'!AI:AI,'All Measure &amp; TRC+ Calc'!$D:$D,$C68,'All Measure &amp; TRC+ Calc'!$B:$B,$A68)*$E68</f>
        <v>0</v>
      </c>
      <c r="K68" s="250">
        <f>SUMIFS('All Measure &amp; TRC+ Calc'!AL:AL,'All Measure &amp; TRC+ Calc'!$D:$D,$C68,'All Measure &amp; TRC+ Calc'!$B:$B,$A68)*$E68</f>
        <v>0</v>
      </c>
      <c r="L68" s="250">
        <f>SUMIFS('All Measure &amp; TRC+ Calc'!AM:AM,'All Measure &amp; TRC+ Calc'!$D:$D,$C68,'All Measure &amp; TRC+ Calc'!$B:$B,$A68)*$E68</f>
        <v>0</v>
      </c>
      <c r="M68" s="250">
        <f>SUMIFS('All Measure &amp; TRC+ Calc'!AJ:AJ,'All Measure &amp; TRC+ Calc'!$D:$D,$C68,'All Measure &amp; TRC+ Calc'!$B:$B,$A68)*$E68</f>
        <v>0</v>
      </c>
      <c r="N68" s="250">
        <f>SUMIFS('All Measure &amp; TRC+ Calc'!AK:AK,'All Measure &amp; TRC+ Calc'!$D:$D,$C68,'All Measure &amp; TRC+ Calc'!$B:$B,$A68)*$E68</f>
        <v>0</v>
      </c>
      <c r="O68" s="250">
        <f>SUMIFS('All Measure &amp; TRC+ Calc'!AF:AF,'All Measure &amp; TRC+ Calc'!$D:$D,$C68,'All Measure &amp; TRC+ Calc'!$B:$B,$A68)*$E68</f>
        <v>0</v>
      </c>
      <c r="P68" s="250">
        <f>SUMIFS('All Measure &amp; TRC+ Calc'!AG:AG,'All Measure &amp; TRC+ Calc'!$D:$D,$C68,'All Measure &amp; TRC+ Calc'!$B:$B,$A68)*$E68</f>
        <v>0</v>
      </c>
      <c r="Q68" s="249">
        <v>1</v>
      </c>
      <c r="R68" s="190">
        <f>SUMIFS(Budget!$E:$E,Budget!$A:$A,$A68,Budget!$C:$C,$C68,Budget!$D:$D,R$7)*Summary[[#This Row],[Budget %  Adjustment]]</f>
        <v>1836000</v>
      </c>
      <c r="S68" s="190">
        <f>SUMIFS(Budget!$E:$E,Budget!$A:$A,$A68,Budget!$C:$C,$C68,Budget!$D:$D,S$7)*Summary[[#This Row],[Budget %  Adjustment]]</f>
        <v>40688</v>
      </c>
      <c r="T68" s="190">
        <f>SUMIFS(Budget!$E:$E,Budget!$A:$A,$A68,Budget!$C:$C,$C68,Budget!$D:$D,T$7)*Summary[[#This Row],[Budget %  Adjustment]]</f>
        <v>162752</v>
      </c>
      <c r="U68" s="190">
        <f>SUMIFS(Budget!$E:$E,Budget!$A:$A,$A68,Budget!$C:$C,$C68,Budget!$D:$D,U$7)*Summary[[#This Row],[Budget %  Adjustment]]</f>
        <v>0</v>
      </c>
      <c r="V68" s="190">
        <f>Summary[[#This Row],[Promo]]+Summary[[#This Row],[Delivery]]</f>
        <v>203440</v>
      </c>
      <c r="W68" s="190">
        <f t="shared" si="2"/>
        <v>203440</v>
      </c>
      <c r="X68" s="190">
        <f t="shared" si="3"/>
        <v>2039440</v>
      </c>
    </row>
    <row r="69" spans="1:24" x14ac:dyDescent="0.25">
      <c r="A69" s="156">
        <v>2028</v>
      </c>
      <c r="B69" s="247" t="s">
        <v>14</v>
      </c>
      <c r="C69" s="247" t="s">
        <v>25</v>
      </c>
      <c r="D69" s="247" t="s">
        <v>25</v>
      </c>
      <c r="E69" s="249">
        <v>1</v>
      </c>
      <c r="F69" s="250">
        <f>SUMIFS('All Measure &amp; TRC+ Calc'!F:F,'All Measure &amp; TRC+ Calc'!$D:$D,$C69,'All Measure &amp; TRC+ Calc'!$B:$B,$A69)*$E69</f>
        <v>0</v>
      </c>
      <c r="G69" s="250">
        <f>SUMIFS('All Measure &amp; TRC+ Calc'!AD:AD,'All Measure &amp; TRC+ Calc'!$D:$D,$C69,'All Measure &amp; TRC+ Calc'!$B:$B,$A69)*$E69</f>
        <v>0</v>
      </c>
      <c r="H69" s="250">
        <f>SUMIFS('All Measure &amp; TRC+ Calc'!AE:AE,'All Measure &amp; TRC+ Calc'!$D:$D,$C69,'All Measure &amp; TRC+ Calc'!$B:$B,$A69)*$E69</f>
        <v>0</v>
      </c>
      <c r="I69" s="250">
        <f>SUMIFS('All Measure &amp; TRC+ Calc'!AH:AH,'All Measure &amp; TRC+ Calc'!$D:$D,$C69,'All Measure &amp; TRC+ Calc'!$B:$B,$A69)*$E69</f>
        <v>0</v>
      </c>
      <c r="J69" s="250">
        <f>SUMIFS('All Measure &amp; TRC+ Calc'!AI:AI,'All Measure &amp; TRC+ Calc'!$D:$D,$C69,'All Measure &amp; TRC+ Calc'!$B:$B,$A69)*$E69</f>
        <v>0</v>
      </c>
      <c r="K69" s="250">
        <f>SUMIFS('All Measure &amp; TRC+ Calc'!AL:AL,'All Measure &amp; TRC+ Calc'!$D:$D,$C69,'All Measure &amp; TRC+ Calc'!$B:$B,$A69)*$E69</f>
        <v>0</v>
      </c>
      <c r="L69" s="250">
        <f>SUMIFS('All Measure &amp; TRC+ Calc'!AM:AM,'All Measure &amp; TRC+ Calc'!$D:$D,$C69,'All Measure &amp; TRC+ Calc'!$B:$B,$A69)*$E69</f>
        <v>0</v>
      </c>
      <c r="M69" s="250">
        <f>SUMIFS('All Measure &amp; TRC+ Calc'!AJ:AJ,'All Measure &amp; TRC+ Calc'!$D:$D,$C69,'All Measure &amp; TRC+ Calc'!$B:$B,$A69)*$E69</f>
        <v>0</v>
      </c>
      <c r="N69" s="250">
        <f>SUMIFS('All Measure &amp; TRC+ Calc'!AK:AK,'All Measure &amp; TRC+ Calc'!$D:$D,$C69,'All Measure &amp; TRC+ Calc'!$B:$B,$A69)*$E69</f>
        <v>0</v>
      </c>
      <c r="O69" s="250">
        <f>SUMIFS('All Measure &amp; TRC+ Calc'!AF:AF,'All Measure &amp; TRC+ Calc'!$D:$D,$C69,'All Measure &amp; TRC+ Calc'!$B:$B,$A69)*$E69</f>
        <v>0</v>
      </c>
      <c r="P69" s="250">
        <f>SUMIFS('All Measure &amp; TRC+ Calc'!AG:AG,'All Measure &amp; TRC+ Calc'!$D:$D,$C69,'All Measure &amp; TRC+ Calc'!$B:$B,$A69)*$E69</f>
        <v>0</v>
      </c>
      <c r="Q69" s="249">
        <v>1</v>
      </c>
      <c r="R69" s="190">
        <f>SUMIFS(Budget!$E:$E,Budget!$A:$A,$A69,Budget!$C:$C,$C69,Budget!$D:$D,R$7)*Summary[[#This Row],[Budget %  Adjustment]]</f>
        <v>0</v>
      </c>
      <c r="S69" s="190">
        <f>SUMIFS(Budget!$E:$E,Budget!$A:$A,$A69,Budget!$C:$C,$C69,Budget!$D:$D,S$7)*Summary[[#This Row],[Budget %  Adjustment]]</f>
        <v>0</v>
      </c>
      <c r="T69" s="190">
        <f>SUMIFS(Budget!$E:$E,Budget!$A:$A,$A69,Budget!$C:$C,$C69,Budget!$D:$D,T$7)*Summary[[#This Row],[Budget %  Adjustment]]</f>
        <v>0</v>
      </c>
      <c r="U69" s="190">
        <f>SUMIFS(Budget!$E:$E,Budget!$A:$A,$A69,Budget!$C:$C,$C69,Budget!$D:$D,U$7)*Summary[[#This Row],[Budget %  Adjustment]]</f>
        <v>4896966</v>
      </c>
      <c r="V69" s="190">
        <f>Summary[[#This Row],[Promo]]+Summary[[#This Row],[Delivery]]</f>
        <v>0</v>
      </c>
      <c r="W69" s="190">
        <f t="shared" si="2"/>
        <v>4896966</v>
      </c>
      <c r="X69" s="190">
        <f t="shared" si="3"/>
        <v>4896966</v>
      </c>
    </row>
    <row r="70" spans="1:24" x14ac:dyDescent="0.25">
      <c r="A70" s="156">
        <v>2028</v>
      </c>
      <c r="B70" s="247" t="s">
        <v>12</v>
      </c>
      <c r="C70" s="247" t="s">
        <v>22</v>
      </c>
      <c r="D70" s="247" t="s">
        <v>206</v>
      </c>
      <c r="E70" s="249">
        <v>1</v>
      </c>
      <c r="F70" s="250">
        <f>SUMIFS('All Measure &amp; TRC+ Calc'!F:F,'All Measure &amp; TRC+ Calc'!$D:$D,$C70,'All Measure &amp; TRC+ Calc'!$B:$B,$A70)*$E70</f>
        <v>9268</v>
      </c>
      <c r="G70" s="250">
        <f>SUMIFS('All Measure &amp; TRC+ Calc'!AD:AD,'All Measure &amp; TRC+ Calc'!$D:$D,$C70,'All Measure &amp; TRC+ Calc'!$B:$B,$A70)*$E70</f>
        <v>2415998.9586430215</v>
      </c>
      <c r="H70" s="250">
        <f>SUMIFS('All Measure &amp; TRC+ Calc'!AE:AE,'All Measure &amp; TRC+ Calc'!$D:$D,$C70,'All Measure &amp; TRC+ Calc'!$B:$B,$A70)*$E70</f>
        <v>2415998.9586430215</v>
      </c>
      <c r="I70" s="250">
        <f>SUMIFS('All Measure &amp; TRC+ Calc'!AH:AH,'All Measure &amp; TRC+ Calc'!$D:$D,$C70,'All Measure &amp; TRC+ Calc'!$B:$B,$A70)*$E70</f>
        <v>628550.04800000007</v>
      </c>
      <c r="J70" s="250">
        <f>SUMIFS('All Measure &amp; TRC+ Calc'!AI:AI,'All Measure &amp; TRC+ Calc'!$D:$D,$C70,'All Measure &amp; TRC+ Calc'!$B:$B,$A70)*$E70</f>
        <v>628550.04800000007</v>
      </c>
      <c r="K70" s="250">
        <f>SUMIFS('All Measure &amp; TRC+ Calc'!AL:AL,'All Measure &amp; TRC+ Calc'!$D:$D,$C70,'All Measure &amp; TRC+ Calc'!$B:$B,$A70)*$E70</f>
        <v>287.6245019648</v>
      </c>
      <c r="L70" s="250">
        <f>SUMIFS('All Measure &amp; TRC+ Calc'!AM:AM,'All Measure &amp; TRC+ Calc'!$D:$D,$C70,'All Measure &amp; TRC+ Calc'!$B:$B,$A70)*$E70</f>
        <v>287.6245019648</v>
      </c>
      <c r="M70" s="250">
        <f>SUMIFS('All Measure &amp; TRC+ Calc'!AJ:AJ,'All Measure &amp; TRC+ Calc'!$D:$D,$C70,'All Measure &amp; TRC+ Calc'!$B:$B,$A70)*$E70</f>
        <v>11190.726368363044</v>
      </c>
      <c r="N70" s="250">
        <f>SUMIFS('All Measure &amp; TRC+ Calc'!AK:AK,'All Measure &amp; TRC+ Calc'!$D:$D,$C70,'All Measure &amp; TRC+ Calc'!$B:$B,$A70)*$E70</f>
        <v>11190.726368363044</v>
      </c>
      <c r="O70" s="250">
        <f>SUMIFS('All Measure &amp; TRC+ Calc'!AF:AF,'All Measure &amp; TRC+ Calc'!$D:$D,$C70,'All Measure &amp; TRC+ Calc'!$B:$B,$A70)*$E70</f>
        <v>53242215.50371626</v>
      </c>
      <c r="P70" s="250">
        <f>SUMIFS('All Measure &amp; TRC+ Calc'!AG:AG,'All Measure &amp; TRC+ Calc'!$D:$D,$C70,'All Measure &amp; TRC+ Calc'!$B:$B,$A70)*$E70</f>
        <v>53242215.50371626</v>
      </c>
      <c r="Q70" s="249">
        <v>1</v>
      </c>
      <c r="R70" s="190">
        <f>SUMIFS(Budget!$E:$E,Budget!$A:$A,$A70,Budget!$C:$C,$C70,Budget!$D:$D,R$7)*Summary[[#This Row],[Budget %  Adjustment]]</f>
        <v>14558778</v>
      </c>
      <c r="S70" s="190">
        <f>SUMIFS(Budget!$E:$E,Budget!$A:$A,$A70,Budget!$C:$C,$C70,Budget!$D:$D,S$7)*Summary[[#This Row],[Budget %  Adjustment]]</f>
        <v>1852728</v>
      </c>
      <c r="T70" s="190">
        <f>SUMIFS(Budget!$E:$E,Budget!$A:$A,$A70,Budget!$C:$C,$C70,Budget!$D:$D,T$7)*Summary[[#This Row],[Budget %  Adjustment]]</f>
        <v>2179697</v>
      </c>
      <c r="U70" s="190">
        <f>SUMIFS(Budget!$E:$E,Budget!$A:$A,$A70,Budget!$C:$C,$C70,Budget!$D:$D,U$7)*Summary[[#This Row],[Budget %  Adjustment]]</f>
        <v>0</v>
      </c>
      <c r="V70" s="190">
        <f>Summary[[#This Row],[Promo]]+Summary[[#This Row],[Delivery]]</f>
        <v>4032425</v>
      </c>
      <c r="W70" s="190">
        <f t="shared" si="2"/>
        <v>4032425</v>
      </c>
      <c r="X70" s="190">
        <f t="shared" si="3"/>
        <v>18591203</v>
      </c>
    </row>
    <row r="71" spans="1:24" x14ac:dyDescent="0.25">
      <c r="A71" s="156">
        <v>2028</v>
      </c>
      <c r="B71" s="247" t="s">
        <v>12</v>
      </c>
      <c r="C71" s="247" t="s">
        <v>172</v>
      </c>
      <c r="D71" s="247" t="s">
        <v>206</v>
      </c>
      <c r="E71" s="249">
        <v>1</v>
      </c>
      <c r="F71" s="250">
        <f>SUMIFS('All Measure &amp; TRC+ Calc'!F:F,'All Measure &amp; TRC+ Calc'!$D:$D,$C71,'All Measure &amp; TRC+ Calc'!$B:$B,$A71)*$E71</f>
        <v>0</v>
      </c>
      <c r="G71" s="250">
        <f>SUMIFS('All Measure &amp; TRC+ Calc'!AD:AD,'All Measure &amp; TRC+ Calc'!$D:$D,$C71,'All Measure &amp; TRC+ Calc'!$B:$B,$A71)*$E71</f>
        <v>0</v>
      </c>
      <c r="H71" s="250">
        <f>SUMIFS('All Measure &amp; TRC+ Calc'!AE:AE,'All Measure &amp; TRC+ Calc'!$D:$D,$C71,'All Measure &amp; TRC+ Calc'!$B:$B,$A71)*$E71</f>
        <v>0</v>
      </c>
      <c r="I71" s="250">
        <f>SUMIFS('All Measure &amp; TRC+ Calc'!AH:AH,'All Measure &amp; TRC+ Calc'!$D:$D,$C71,'All Measure &amp; TRC+ Calc'!$B:$B,$A71)*$E71</f>
        <v>0</v>
      </c>
      <c r="J71" s="250">
        <f>SUMIFS('All Measure &amp; TRC+ Calc'!AI:AI,'All Measure &amp; TRC+ Calc'!$D:$D,$C71,'All Measure &amp; TRC+ Calc'!$B:$B,$A71)*$E71</f>
        <v>0</v>
      </c>
      <c r="K71" s="250">
        <f>SUMIFS('All Measure &amp; TRC+ Calc'!AL:AL,'All Measure &amp; TRC+ Calc'!$D:$D,$C71,'All Measure &amp; TRC+ Calc'!$B:$B,$A71)*$E71</f>
        <v>0</v>
      </c>
      <c r="L71" s="250">
        <f>SUMIFS('All Measure &amp; TRC+ Calc'!AM:AM,'All Measure &amp; TRC+ Calc'!$D:$D,$C71,'All Measure &amp; TRC+ Calc'!$B:$B,$A71)*$E71</f>
        <v>0</v>
      </c>
      <c r="M71" s="250">
        <f>SUMIFS('All Measure &amp; TRC+ Calc'!AJ:AJ,'All Measure &amp; TRC+ Calc'!$D:$D,$C71,'All Measure &amp; TRC+ Calc'!$B:$B,$A71)*$E71</f>
        <v>0</v>
      </c>
      <c r="N71" s="250">
        <f>SUMIFS('All Measure &amp; TRC+ Calc'!AK:AK,'All Measure &amp; TRC+ Calc'!$D:$D,$C71,'All Measure &amp; TRC+ Calc'!$B:$B,$A71)*$E71</f>
        <v>0</v>
      </c>
      <c r="O71" s="250">
        <f>SUMIFS('All Measure &amp; TRC+ Calc'!AF:AF,'All Measure &amp; TRC+ Calc'!$D:$D,$C71,'All Measure &amp; TRC+ Calc'!$B:$B,$A71)*$E71</f>
        <v>0</v>
      </c>
      <c r="P71" s="250">
        <f>SUMIFS('All Measure &amp; TRC+ Calc'!AG:AG,'All Measure &amp; TRC+ Calc'!$D:$D,$C71,'All Measure &amp; TRC+ Calc'!$B:$B,$A71)*$E71</f>
        <v>0</v>
      </c>
      <c r="Q71" s="249">
        <v>1</v>
      </c>
      <c r="R71" s="190">
        <f>SUMIFS(Budget!$E:$E,Budget!$A:$A,$A71,Budget!$C:$C,$C71,Budget!$D:$D,R$7)*Summary[[#This Row],[Budget %  Adjustment]]</f>
        <v>0</v>
      </c>
      <c r="S71" s="190">
        <f>SUMIFS(Budget!$E:$E,Budget!$A:$A,$A71,Budget!$C:$C,$C71,Budget!$D:$D,S$7)*Summary[[#This Row],[Budget %  Adjustment]]</f>
        <v>0</v>
      </c>
      <c r="T71" s="190">
        <f>SUMIFS(Budget!$E:$E,Budget!$A:$A,$A71,Budget!$C:$C,$C71,Budget!$D:$D,T$7)*Summary[[#This Row],[Budget %  Adjustment]]</f>
        <v>0</v>
      </c>
      <c r="U71" s="190">
        <f>SUMIFS(Budget!$E:$E,Budget!$A:$A,$A71,Budget!$C:$C,$C71,Budget!$D:$D,U$7)*Summary[[#This Row],[Budget %  Adjustment]]</f>
        <v>0</v>
      </c>
      <c r="V71" s="190">
        <f>Summary[[#This Row],[Promo]]+Summary[[#This Row],[Delivery]]</f>
        <v>0</v>
      </c>
      <c r="W71" s="190">
        <f t="shared" si="2"/>
        <v>0</v>
      </c>
      <c r="X71" s="190">
        <f t="shared" si="3"/>
        <v>0</v>
      </c>
    </row>
    <row r="72" spans="1:24" x14ac:dyDescent="0.25">
      <c r="A72" s="156">
        <v>2028</v>
      </c>
      <c r="B72" s="247" t="s">
        <v>12</v>
      </c>
      <c r="C72" s="247" t="s">
        <v>21</v>
      </c>
      <c r="D72" s="247" t="s">
        <v>207</v>
      </c>
      <c r="E72" s="249">
        <v>1</v>
      </c>
      <c r="F72" s="250">
        <f>SUMIFS('All Measure &amp; TRC+ Calc'!F:F,'All Measure &amp; TRC+ Calc'!$D:$D,$C72,'All Measure &amp; TRC+ Calc'!$B:$B,$A72)*$E72</f>
        <v>241</v>
      </c>
      <c r="G72" s="250">
        <f>SUMIFS('All Measure &amp; TRC+ Calc'!AD:AD,'All Measure &amp; TRC+ Calc'!$D:$D,$C72,'All Measure &amp; TRC+ Calc'!$B:$B,$A72)*$E72</f>
        <v>2478385.1158999996</v>
      </c>
      <c r="H72" s="250">
        <f>SUMIFS('All Measure &amp; TRC+ Calc'!AE:AE,'All Measure &amp; TRC+ Calc'!$D:$D,$C72,'All Measure &amp; TRC+ Calc'!$B:$B,$A72)*$E72</f>
        <v>2478385.1158999996</v>
      </c>
      <c r="I72" s="250">
        <f>SUMIFS('All Measure &amp; TRC+ Calc'!AH:AH,'All Measure &amp; TRC+ Calc'!$D:$D,$C72,'All Measure &amp; TRC+ Calc'!$B:$B,$A72)*$E72</f>
        <v>134849.24032960006</v>
      </c>
      <c r="J72" s="250">
        <f>SUMIFS('All Measure &amp; TRC+ Calc'!AI:AI,'All Measure &amp; TRC+ Calc'!$D:$D,$C72,'All Measure &amp; TRC+ Calc'!$B:$B,$A72)*$E72</f>
        <v>134849.24032960006</v>
      </c>
      <c r="K72" s="250">
        <f>SUMIFS('All Measure &amp; TRC+ Calc'!AL:AL,'All Measure &amp; TRC+ Calc'!$D:$D,$C72,'All Measure &amp; TRC+ Calc'!$B:$B,$A72)*$E72</f>
        <v>464.41113809969931</v>
      </c>
      <c r="L72" s="250">
        <f>SUMIFS('All Measure &amp; TRC+ Calc'!AM:AM,'All Measure &amp; TRC+ Calc'!$D:$D,$C72,'All Measure &amp; TRC+ Calc'!$B:$B,$A72)*$E72</f>
        <v>464.41113809969931</v>
      </c>
      <c r="M72" s="250">
        <f>SUMIFS('All Measure &amp; TRC+ Calc'!AJ:AJ,'All Measure &amp; TRC+ Calc'!$D:$D,$C72,'All Measure &amp; TRC+ Calc'!$B:$B,$A72)*$E72</f>
        <v>0</v>
      </c>
      <c r="N72" s="250">
        <f>SUMIFS('All Measure &amp; TRC+ Calc'!AK:AK,'All Measure &amp; TRC+ Calc'!$D:$D,$C72,'All Measure &amp; TRC+ Calc'!$B:$B,$A72)*$E72</f>
        <v>0</v>
      </c>
      <c r="O72" s="250">
        <f>SUMIFS('All Measure &amp; TRC+ Calc'!AF:AF,'All Measure &amp; TRC+ Calc'!$D:$D,$C72,'All Measure &amp; TRC+ Calc'!$B:$B,$A72)*$E72</f>
        <v>41675328.723999999</v>
      </c>
      <c r="P72" s="250">
        <f>SUMIFS('All Measure &amp; TRC+ Calc'!AG:AG,'All Measure &amp; TRC+ Calc'!$D:$D,$C72,'All Measure &amp; TRC+ Calc'!$B:$B,$A72)*$E72</f>
        <v>41675328.723999999</v>
      </c>
      <c r="Q72" s="249">
        <v>1</v>
      </c>
      <c r="R72" s="190">
        <f>SUMIFS(Budget!$E:$E,Budget!$A:$A,$A72,Budget!$C:$C,$C72,Budget!$D:$D,R$7)*Summary[[#This Row],[Budget %  Adjustment]]</f>
        <v>7961043</v>
      </c>
      <c r="S72" s="190">
        <f>SUMIFS(Budget!$E:$E,Budget!$A:$A,$A72,Budget!$C:$C,$C72,Budget!$D:$D,S$7)*Summary[[#This Row],[Budget %  Adjustment]]</f>
        <v>1088404</v>
      </c>
      <c r="T72" s="190">
        <f>SUMIFS(Budget!$E:$E,Budget!$A:$A,$A72,Budget!$C:$C,$C72,Budget!$D:$D,T$7)*Summary[[#This Row],[Budget %  Adjustment]]</f>
        <v>279730</v>
      </c>
      <c r="U72" s="190">
        <f>SUMIFS(Budget!$E:$E,Budget!$A:$A,$A72,Budget!$C:$C,$C72,Budget!$D:$D,U$7)*Summary[[#This Row],[Budget %  Adjustment]]</f>
        <v>0</v>
      </c>
      <c r="V72" s="190">
        <f>Summary[[#This Row],[Promo]]+Summary[[#This Row],[Delivery]]</f>
        <v>1368134</v>
      </c>
      <c r="W72" s="190">
        <f t="shared" ref="W72:W103" si="4">SUM(S72:U72)</f>
        <v>1368134</v>
      </c>
      <c r="X72" s="190">
        <f t="shared" ref="X72:X103" si="5">SUM(R72:U72)</f>
        <v>9329177</v>
      </c>
    </row>
    <row r="73" spans="1:24" x14ac:dyDescent="0.25">
      <c r="A73" s="156">
        <v>2028</v>
      </c>
      <c r="B73" s="247" t="s">
        <v>12</v>
      </c>
      <c r="C73" s="247" t="s">
        <v>173</v>
      </c>
      <c r="D73" s="247" t="s">
        <v>256</v>
      </c>
      <c r="E73" s="249">
        <v>1</v>
      </c>
      <c r="F73" s="250">
        <f>SUMIFS('All Measure &amp; TRC+ Calc'!F:F,'All Measure &amp; TRC+ Calc'!$D:$D,$C73,'All Measure &amp; TRC+ Calc'!$B:$B,$A73)*$E73</f>
        <v>0</v>
      </c>
      <c r="G73" s="250">
        <f>SUMIFS('All Measure &amp; TRC+ Calc'!AD:AD,'All Measure &amp; TRC+ Calc'!$D:$D,$C73,'All Measure &amp; TRC+ Calc'!$B:$B,$A73)*$E73</f>
        <v>0</v>
      </c>
      <c r="H73" s="250">
        <f>SUMIFS('All Measure &amp; TRC+ Calc'!AE:AE,'All Measure &amp; TRC+ Calc'!$D:$D,$C73,'All Measure &amp; TRC+ Calc'!$B:$B,$A73)*$E73</f>
        <v>0</v>
      </c>
      <c r="I73" s="250">
        <f>SUMIFS('All Measure &amp; TRC+ Calc'!AH:AH,'All Measure &amp; TRC+ Calc'!$D:$D,$C73,'All Measure &amp; TRC+ Calc'!$B:$B,$A73)*$E73</f>
        <v>0</v>
      </c>
      <c r="J73" s="250">
        <f>SUMIFS('All Measure &amp; TRC+ Calc'!AI:AI,'All Measure &amp; TRC+ Calc'!$D:$D,$C73,'All Measure &amp; TRC+ Calc'!$B:$B,$A73)*$E73</f>
        <v>0</v>
      </c>
      <c r="K73" s="250">
        <f>SUMIFS('All Measure &amp; TRC+ Calc'!AL:AL,'All Measure &amp; TRC+ Calc'!$D:$D,$C73,'All Measure &amp; TRC+ Calc'!$B:$B,$A73)*$E73</f>
        <v>0</v>
      </c>
      <c r="L73" s="250">
        <f>SUMIFS('All Measure &amp; TRC+ Calc'!AM:AM,'All Measure &amp; TRC+ Calc'!$D:$D,$C73,'All Measure &amp; TRC+ Calc'!$B:$B,$A73)*$E73</f>
        <v>0</v>
      </c>
      <c r="M73" s="250">
        <f>SUMIFS('All Measure &amp; TRC+ Calc'!AJ:AJ,'All Measure &amp; TRC+ Calc'!$D:$D,$C73,'All Measure &amp; TRC+ Calc'!$B:$B,$A73)*$E73</f>
        <v>0</v>
      </c>
      <c r="N73" s="250">
        <f>SUMIFS('All Measure &amp; TRC+ Calc'!AK:AK,'All Measure &amp; TRC+ Calc'!$D:$D,$C73,'All Measure &amp; TRC+ Calc'!$B:$B,$A73)*$E73</f>
        <v>0</v>
      </c>
      <c r="O73" s="250">
        <f>SUMIFS('All Measure &amp; TRC+ Calc'!AF:AF,'All Measure &amp; TRC+ Calc'!$D:$D,$C73,'All Measure &amp; TRC+ Calc'!$B:$B,$A73)*$E73</f>
        <v>0</v>
      </c>
      <c r="P73" s="250">
        <f>SUMIFS('All Measure &amp; TRC+ Calc'!AG:AG,'All Measure &amp; TRC+ Calc'!$D:$D,$C73,'All Measure &amp; TRC+ Calc'!$B:$B,$A73)*$E73</f>
        <v>0</v>
      </c>
      <c r="Q73" s="249">
        <v>1</v>
      </c>
      <c r="R73" s="190">
        <f>SUMIFS(Budget!$E:$E,Budget!$A:$A,$A73,Budget!$C:$C,$C73,Budget!$D:$D,R$7)*Summary[[#This Row],[Budget %  Adjustment]]</f>
        <v>0</v>
      </c>
      <c r="S73" s="190">
        <f>SUMIFS(Budget!$E:$E,Budget!$A:$A,$A73,Budget!$C:$C,$C73,Budget!$D:$D,S$7)*Summary[[#This Row],[Budget %  Adjustment]]</f>
        <v>0</v>
      </c>
      <c r="T73" s="190">
        <f>SUMIFS(Budget!$E:$E,Budget!$A:$A,$A73,Budget!$C:$C,$C73,Budget!$D:$D,T$7)*Summary[[#This Row],[Budget %  Adjustment]]</f>
        <v>0</v>
      </c>
      <c r="U73" s="190">
        <f>SUMIFS(Budget!$E:$E,Budget!$A:$A,$A73,Budget!$C:$C,$C73,Budget!$D:$D,U$7)*Summary[[#This Row],[Budget %  Adjustment]]</f>
        <v>0</v>
      </c>
      <c r="V73" s="190">
        <f>Summary[[#This Row],[Promo]]+Summary[[#This Row],[Delivery]]</f>
        <v>0</v>
      </c>
      <c r="W73" s="190">
        <f t="shared" si="4"/>
        <v>0</v>
      </c>
      <c r="X73" s="190">
        <f t="shared" si="5"/>
        <v>0</v>
      </c>
    </row>
    <row r="74" spans="1:24" x14ac:dyDescent="0.25">
      <c r="A74" s="156">
        <v>2028</v>
      </c>
      <c r="B74" s="247" t="s">
        <v>12</v>
      </c>
      <c r="C74" s="247" t="s">
        <v>23</v>
      </c>
      <c r="D74" s="247" t="s">
        <v>23</v>
      </c>
      <c r="E74" s="249">
        <v>1</v>
      </c>
      <c r="F74" s="250">
        <f>SUMIFS('All Measure &amp; TRC+ Calc'!F:F,'All Measure &amp; TRC+ Calc'!$D:$D,$C74,'All Measure &amp; TRC+ Calc'!$B:$B,$A74)*$E74</f>
        <v>0</v>
      </c>
      <c r="G74" s="250">
        <f>SUMIFS('All Measure &amp; TRC+ Calc'!AD:AD,'All Measure &amp; TRC+ Calc'!$D:$D,$C74,'All Measure &amp; TRC+ Calc'!$B:$B,$A74)*$E74</f>
        <v>0</v>
      </c>
      <c r="H74" s="250">
        <f>SUMIFS('All Measure &amp; TRC+ Calc'!AE:AE,'All Measure &amp; TRC+ Calc'!$D:$D,$C74,'All Measure &amp; TRC+ Calc'!$B:$B,$A74)*$E74</f>
        <v>0</v>
      </c>
      <c r="I74" s="250">
        <f>SUMIFS('All Measure &amp; TRC+ Calc'!AH:AH,'All Measure &amp; TRC+ Calc'!$D:$D,$C74,'All Measure &amp; TRC+ Calc'!$B:$B,$A74)*$E74</f>
        <v>0</v>
      </c>
      <c r="J74" s="250">
        <f>SUMIFS('All Measure &amp; TRC+ Calc'!AI:AI,'All Measure &amp; TRC+ Calc'!$D:$D,$C74,'All Measure &amp; TRC+ Calc'!$B:$B,$A74)*$E74</f>
        <v>0</v>
      </c>
      <c r="K74" s="250">
        <f>SUMIFS('All Measure &amp; TRC+ Calc'!AL:AL,'All Measure &amp; TRC+ Calc'!$D:$D,$C74,'All Measure &amp; TRC+ Calc'!$B:$B,$A74)*$E74</f>
        <v>0</v>
      </c>
      <c r="L74" s="250">
        <f>SUMIFS('All Measure &amp; TRC+ Calc'!AM:AM,'All Measure &amp; TRC+ Calc'!$D:$D,$C74,'All Measure &amp; TRC+ Calc'!$B:$B,$A74)*$E74</f>
        <v>0</v>
      </c>
      <c r="M74" s="250">
        <f>SUMIFS('All Measure &amp; TRC+ Calc'!AJ:AJ,'All Measure &amp; TRC+ Calc'!$D:$D,$C74,'All Measure &amp; TRC+ Calc'!$B:$B,$A74)*$E74</f>
        <v>0</v>
      </c>
      <c r="N74" s="250">
        <f>SUMIFS('All Measure &amp; TRC+ Calc'!AK:AK,'All Measure &amp; TRC+ Calc'!$D:$D,$C74,'All Measure &amp; TRC+ Calc'!$B:$B,$A74)*$E74</f>
        <v>0</v>
      </c>
      <c r="O74" s="250">
        <f>SUMIFS('All Measure &amp; TRC+ Calc'!AF:AF,'All Measure &amp; TRC+ Calc'!$D:$D,$C74,'All Measure &amp; TRC+ Calc'!$B:$B,$A74)*$E74</f>
        <v>0</v>
      </c>
      <c r="P74" s="250">
        <f>SUMIFS('All Measure &amp; TRC+ Calc'!AG:AG,'All Measure &amp; TRC+ Calc'!$D:$D,$C74,'All Measure &amp; TRC+ Calc'!$B:$B,$A74)*$E74</f>
        <v>0</v>
      </c>
      <c r="Q74" s="249">
        <v>1</v>
      </c>
      <c r="R74" s="190">
        <f>SUMIFS(Budget!$E:$E,Budget!$A:$A,$A74,Budget!$C:$C,$C74,Budget!$D:$D,R$7)*Summary[[#This Row],[Budget %  Adjustment]]</f>
        <v>0</v>
      </c>
      <c r="S74" s="190">
        <f>SUMIFS(Budget!$E:$E,Budget!$A:$A,$A74,Budget!$C:$C,$C74,Budget!$D:$D,S$7)*Summary[[#This Row],[Budget %  Adjustment]]</f>
        <v>0</v>
      </c>
      <c r="T74" s="190">
        <f>SUMIFS(Budget!$E:$E,Budget!$A:$A,$A74,Budget!$C:$C,$C74,Budget!$D:$D,T$7)*Summary[[#This Row],[Budget %  Adjustment]]</f>
        <v>0</v>
      </c>
      <c r="U74" s="190">
        <f>SUMIFS(Budget!$E:$E,Budget!$A:$A,$A74,Budget!$C:$C,$C74,Budget!$D:$D,U$7)*Summary[[#This Row],[Budget %  Adjustment]]</f>
        <v>1869961</v>
      </c>
      <c r="V74" s="190">
        <f>Summary[[#This Row],[Promo]]+Summary[[#This Row],[Delivery]]</f>
        <v>0</v>
      </c>
      <c r="W74" s="190">
        <f t="shared" si="4"/>
        <v>1869961</v>
      </c>
      <c r="X74" s="190">
        <f t="shared" si="5"/>
        <v>1869961</v>
      </c>
    </row>
    <row r="75" spans="1:24" x14ac:dyDescent="0.25">
      <c r="A75" s="156">
        <v>2028</v>
      </c>
      <c r="B75" s="247" t="s">
        <v>15</v>
      </c>
      <c r="C75" s="247" t="s">
        <v>27</v>
      </c>
      <c r="D75" s="247" t="s">
        <v>133</v>
      </c>
      <c r="E75" s="249">
        <v>1</v>
      </c>
      <c r="F75" s="250">
        <f>SUMIFS('All Measure &amp; TRC+ Calc'!F:F,'All Measure &amp; TRC+ Calc'!$D:$D,$C75,'All Measure &amp; TRC+ Calc'!$B:$B,$A75)*$E75</f>
        <v>74</v>
      </c>
      <c r="G75" s="250">
        <f>SUMIFS('All Measure &amp; TRC+ Calc'!AD:AD,'All Measure &amp; TRC+ Calc'!$D:$D,$C75,'All Measure &amp; TRC+ Calc'!$B:$B,$A75)*$E75</f>
        <v>84868620.45304364</v>
      </c>
      <c r="H75" s="250">
        <f>SUMIFS('All Measure &amp; TRC+ Calc'!AE:AE,'All Measure &amp; TRC+ Calc'!$D:$D,$C75,'All Measure &amp; TRC+ Calc'!$B:$B,$A75)*$E75</f>
        <v>20156297.357597861</v>
      </c>
      <c r="I75" s="250">
        <f>SUMIFS('All Measure &amp; TRC+ Calc'!AH:AH,'All Measure &amp; TRC+ Calc'!$D:$D,$C75,'All Measure &amp; TRC+ Calc'!$B:$B,$A75)*$E75</f>
        <v>2289189.5593569861</v>
      </c>
      <c r="J75" s="250">
        <f>SUMIFS('All Measure &amp; TRC+ Calc'!AI:AI,'All Measure &amp; TRC+ Calc'!$D:$D,$C75,'All Measure &amp; TRC+ Calc'!$B:$B,$A75)*$E75</f>
        <v>543682.52034728404</v>
      </c>
      <c r="K75" s="250">
        <f>SUMIFS('All Measure &amp; TRC+ Calc'!AL:AL,'All Measure &amp; TRC+ Calc'!$D:$D,$C75,'All Measure &amp; TRC+ Calc'!$B:$B,$A75)*$E75</f>
        <v>261.32300905901423</v>
      </c>
      <c r="L75" s="250">
        <f>SUMIFS('All Measure &amp; TRC+ Calc'!AM:AM,'All Measure &amp; TRC+ Calc'!$D:$D,$C75,'All Measure &amp; TRC+ Calc'!$B:$B,$A75)*$E75</f>
        <v>62.064214651515876</v>
      </c>
      <c r="M75" s="250">
        <f>SUMIFS('All Measure &amp; TRC+ Calc'!AJ:AJ,'All Measure &amp; TRC+ Calc'!$D:$D,$C75,'All Measure &amp; TRC+ Calc'!$B:$B,$A75)*$E75</f>
        <v>124378.37824527064</v>
      </c>
      <c r="N75" s="250">
        <f>SUMIFS('All Measure &amp; TRC+ Calc'!AK:AK,'All Measure &amp; TRC+ Calc'!$D:$D,$C75,'All Measure &amp; TRC+ Calc'!$B:$B,$A75)*$E75</f>
        <v>29539.86483325177</v>
      </c>
      <c r="O75" s="250">
        <f>SUMIFS('All Measure &amp; TRC+ Calc'!AF:AF,'All Measure &amp; TRC+ Calc'!$D:$D,$C75,'All Measure &amp; TRC+ Calc'!$B:$B,$A75)*$E75</f>
        <v>933554824.98347998</v>
      </c>
      <c r="P75" s="250">
        <f>SUMIFS('All Measure &amp; TRC+ Calc'!AG:AG,'All Measure &amp; TRC+ Calc'!$D:$D,$C75,'All Measure &amp; TRC+ Calc'!$B:$B,$A75)*$E75</f>
        <v>221719270.93357646</v>
      </c>
      <c r="Q75" s="249">
        <v>1</v>
      </c>
      <c r="R75" s="190">
        <f>SUMIFS(Budget!$E:$E,Budget!$A:$A,$A75,Budget!$C:$C,$C75,Budget!$D:$D,R$7)*Summary[[#This Row],[Budget %  Adjustment]]</f>
        <v>3307129</v>
      </c>
      <c r="S75" s="190">
        <f>SUMIFS(Budget!$E:$E,Budget!$A:$A,$A75,Budget!$C:$C,$C75,Budget!$D:$D,S$7)*Summary[[#This Row],[Budget %  Adjustment]]</f>
        <v>25430</v>
      </c>
      <c r="T75" s="190">
        <f>SUMIFS(Budget!$E:$E,Budget!$A:$A,$A75,Budget!$C:$C,$C75,Budget!$D:$D,T$7)*Summary[[#This Row],[Budget %  Adjustment]]</f>
        <v>0</v>
      </c>
      <c r="U75" s="190">
        <f>SUMIFS(Budget!$E:$E,Budget!$A:$A,$A75,Budget!$C:$C,$C75,Budget!$D:$D,U$7)*Summary[[#This Row],[Budget %  Adjustment]]</f>
        <v>0</v>
      </c>
      <c r="V75" s="190">
        <f>Summary[[#This Row],[Promo]]+Summary[[#This Row],[Delivery]]</f>
        <v>25430</v>
      </c>
      <c r="W75" s="190">
        <f t="shared" si="4"/>
        <v>25430</v>
      </c>
      <c r="X75" s="190">
        <f t="shared" si="5"/>
        <v>3332559</v>
      </c>
    </row>
    <row r="76" spans="1:24" x14ac:dyDescent="0.25">
      <c r="A76" s="156">
        <v>2028</v>
      </c>
      <c r="B76" s="247" t="s">
        <v>15</v>
      </c>
      <c r="C76" s="247" t="s">
        <v>28</v>
      </c>
      <c r="D76" s="247" t="s">
        <v>28</v>
      </c>
      <c r="E76" s="249">
        <v>1</v>
      </c>
      <c r="F76" s="250">
        <f>SUMIFS('All Measure &amp; TRC+ Calc'!F:F,'All Measure &amp; TRC+ Calc'!$D:$D,$C76,'All Measure &amp; TRC+ Calc'!$B:$B,$A76)*$E76</f>
        <v>0</v>
      </c>
      <c r="G76" s="250">
        <f>SUMIFS('All Measure &amp; TRC+ Calc'!AD:AD,'All Measure &amp; TRC+ Calc'!$D:$D,$C76,'All Measure &amp; TRC+ Calc'!$B:$B,$A76)*$E76</f>
        <v>0</v>
      </c>
      <c r="H76" s="250">
        <f>SUMIFS('All Measure &amp; TRC+ Calc'!AE:AE,'All Measure &amp; TRC+ Calc'!$D:$D,$C76,'All Measure &amp; TRC+ Calc'!$B:$B,$A76)*$E76</f>
        <v>0</v>
      </c>
      <c r="I76" s="250">
        <f>SUMIFS('All Measure &amp; TRC+ Calc'!AH:AH,'All Measure &amp; TRC+ Calc'!$D:$D,$C76,'All Measure &amp; TRC+ Calc'!$B:$B,$A76)*$E76</f>
        <v>0</v>
      </c>
      <c r="J76" s="250">
        <f>SUMIFS('All Measure &amp; TRC+ Calc'!AI:AI,'All Measure &amp; TRC+ Calc'!$D:$D,$C76,'All Measure &amp; TRC+ Calc'!$B:$B,$A76)*$E76</f>
        <v>0</v>
      </c>
      <c r="K76" s="250">
        <f>SUMIFS('All Measure &amp; TRC+ Calc'!AL:AL,'All Measure &amp; TRC+ Calc'!$D:$D,$C76,'All Measure &amp; TRC+ Calc'!$B:$B,$A76)*$E76</f>
        <v>0</v>
      </c>
      <c r="L76" s="250">
        <f>SUMIFS('All Measure &amp; TRC+ Calc'!AM:AM,'All Measure &amp; TRC+ Calc'!$D:$D,$C76,'All Measure &amp; TRC+ Calc'!$B:$B,$A76)*$E76</f>
        <v>0</v>
      </c>
      <c r="M76" s="250">
        <f>SUMIFS('All Measure &amp; TRC+ Calc'!AJ:AJ,'All Measure &amp; TRC+ Calc'!$D:$D,$C76,'All Measure &amp; TRC+ Calc'!$B:$B,$A76)*$E76</f>
        <v>0</v>
      </c>
      <c r="N76" s="250">
        <f>SUMIFS('All Measure &amp; TRC+ Calc'!AK:AK,'All Measure &amp; TRC+ Calc'!$D:$D,$C76,'All Measure &amp; TRC+ Calc'!$B:$B,$A76)*$E76</f>
        <v>0</v>
      </c>
      <c r="O76" s="250">
        <f>SUMIFS('All Measure &amp; TRC+ Calc'!AF:AF,'All Measure &amp; TRC+ Calc'!$D:$D,$C76,'All Measure &amp; TRC+ Calc'!$B:$B,$A76)*$E76</f>
        <v>0</v>
      </c>
      <c r="P76" s="250">
        <f>SUMIFS('All Measure &amp; TRC+ Calc'!AG:AG,'All Measure &amp; TRC+ Calc'!$D:$D,$C76,'All Measure &amp; TRC+ Calc'!$B:$B,$A76)*$E76</f>
        <v>0</v>
      </c>
      <c r="Q76" s="249">
        <v>1</v>
      </c>
      <c r="R76" s="190">
        <f>SUMIFS(Budget!$E:$E,Budget!$A:$A,$A76,Budget!$C:$C,$C76,Budget!$D:$D,R$7)*Summary[[#This Row],[Budget %  Adjustment]]</f>
        <v>0</v>
      </c>
      <c r="S76" s="190">
        <f>SUMIFS(Budget!$E:$E,Budget!$A:$A,$A76,Budget!$C:$C,$C76,Budget!$D:$D,S$7)*Summary[[#This Row],[Budget %  Adjustment]]</f>
        <v>0</v>
      </c>
      <c r="T76" s="190">
        <f>SUMIFS(Budget!$E:$E,Budget!$A:$A,$A76,Budget!$C:$C,$C76,Budget!$D:$D,T$7)*Summary[[#This Row],[Budget %  Adjustment]]</f>
        <v>0</v>
      </c>
      <c r="U76" s="190">
        <f>SUMIFS(Budget!$E:$E,Budget!$A:$A,$A76,Budget!$C:$C,$C76,Budget!$D:$D,U$7)*Summary[[#This Row],[Budget %  Adjustment]]</f>
        <v>280691</v>
      </c>
      <c r="V76" s="190">
        <f>Summary[[#This Row],[Promo]]+Summary[[#This Row],[Delivery]]</f>
        <v>0</v>
      </c>
      <c r="W76" s="190">
        <f t="shared" si="4"/>
        <v>280691</v>
      </c>
      <c r="X76" s="190">
        <f t="shared" si="5"/>
        <v>280691</v>
      </c>
    </row>
    <row r="77" spans="1:24" x14ac:dyDescent="0.25">
      <c r="A77" s="156">
        <v>2028</v>
      </c>
      <c r="B77" s="247" t="s">
        <v>254</v>
      </c>
      <c r="C77" s="247" t="s">
        <v>174</v>
      </c>
      <c r="D77" s="247" t="s">
        <v>174</v>
      </c>
      <c r="E77" s="249">
        <v>1</v>
      </c>
      <c r="F77" s="250">
        <f>SUMIFS('All Measure &amp; TRC+ Calc'!F:F,'All Measure &amp; TRC+ Calc'!$D:$D,$C77,'All Measure &amp; TRC+ Calc'!$B:$B,$A77)*$E77</f>
        <v>0</v>
      </c>
      <c r="G77" s="250">
        <f>SUMIFS('All Measure &amp; TRC+ Calc'!AD:AD,'All Measure &amp; TRC+ Calc'!$D:$D,$C77,'All Measure &amp; TRC+ Calc'!$B:$B,$A77)*$E77</f>
        <v>0</v>
      </c>
      <c r="H77" s="250">
        <f>SUMIFS('All Measure &amp; TRC+ Calc'!AE:AE,'All Measure &amp; TRC+ Calc'!$D:$D,$C77,'All Measure &amp; TRC+ Calc'!$B:$B,$A77)*$E77</f>
        <v>0</v>
      </c>
      <c r="I77" s="250">
        <f>SUMIFS('All Measure &amp; TRC+ Calc'!AH:AH,'All Measure &amp; TRC+ Calc'!$D:$D,$C77,'All Measure &amp; TRC+ Calc'!$B:$B,$A77)*$E77</f>
        <v>0</v>
      </c>
      <c r="J77" s="250">
        <f>SUMIFS('All Measure &amp; TRC+ Calc'!AI:AI,'All Measure &amp; TRC+ Calc'!$D:$D,$C77,'All Measure &amp; TRC+ Calc'!$B:$B,$A77)*$E77</f>
        <v>0</v>
      </c>
      <c r="K77" s="250">
        <f>SUMIFS('All Measure &amp; TRC+ Calc'!AL:AL,'All Measure &amp; TRC+ Calc'!$D:$D,$C77,'All Measure &amp; TRC+ Calc'!$B:$B,$A77)*$E77</f>
        <v>0</v>
      </c>
      <c r="L77" s="250">
        <f>SUMIFS('All Measure &amp; TRC+ Calc'!AM:AM,'All Measure &amp; TRC+ Calc'!$D:$D,$C77,'All Measure &amp; TRC+ Calc'!$B:$B,$A77)*$E77</f>
        <v>0</v>
      </c>
      <c r="M77" s="250">
        <f>SUMIFS('All Measure &amp; TRC+ Calc'!AJ:AJ,'All Measure &amp; TRC+ Calc'!$D:$D,$C77,'All Measure &amp; TRC+ Calc'!$B:$B,$A77)*$E77</f>
        <v>0</v>
      </c>
      <c r="N77" s="250">
        <f>SUMIFS('All Measure &amp; TRC+ Calc'!AK:AK,'All Measure &amp; TRC+ Calc'!$D:$D,$C77,'All Measure &amp; TRC+ Calc'!$B:$B,$A77)*$E77</f>
        <v>0</v>
      </c>
      <c r="O77" s="250">
        <f>SUMIFS('All Measure &amp; TRC+ Calc'!AF:AF,'All Measure &amp; TRC+ Calc'!$D:$D,$C77,'All Measure &amp; TRC+ Calc'!$B:$B,$A77)*$E77</f>
        <v>0</v>
      </c>
      <c r="P77" s="250">
        <f>SUMIFS('All Measure &amp; TRC+ Calc'!AG:AG,'All Measure &amp; TRC+ Calc'!$D:$D,$C77,'All Measure &amp; TRC+ Calc'!$B:$B,$A77)*$E77</f>
        <v>0</v>
      </c>
      <c r="Q77" s="249">
        <v>1</v>
      </c>
      <c r="R77" s="190">
        <f>SUMIFS(Budget!$E:$E,Budget!$A:$A,$A77,Budget!$C:$C,$C77,Budget!$D:$D,R$7)*Summary[[#This Row],[Budget %  Adjustment]]</f>
        <v>0</v>
      </c>
      <c r="S77" s="190">
        <f>SUMIFS(Budget!$E:$E,Budget!$A:$A,$A77,Budget!$C:$C,$C77,Budget!$D:$D,S$7)*Summary[[#This Row],[Budget %  Adjustment]]</f>
        <v>0</v>
      </c>
      <c r="T77" s="190">
        <f>SUMIFS(Budget!$E:$E,Budget!$A:$A,$A77,Budget!$C:$C,$C77,Budget!$D:$D,T$7)*Summary[[#This Row],[Budget %  Adjustment]]</f>
        <v>0</v>
      </c>
      <c r="U77" s="190">
        <f>SUMIFS(Budget!$E:$E,Budget!$A:$A,$A77,Budget!$C:$C,$C77,Budget!$D:$D,U$7)*Summary[[#This Row],[Budget %  Adjustment]]</f>
        <v>0</v>
      </c>
      <c r="V77" s="190">
        <f>Summary[[#This Row],[Promo]]+Summary[[#This Row],[Delivery]]</f>
        <v>0</v>
      </c>
      <c r="W77" s="190">
        <f t="shared" si="4"/>
        <v>0</v>
      </c>
      <c r="X77" s="190">
        <f t="shared" si="5"/>
        <v>0</v>
      </c>
    </row>
    <row r="78" spans="1:24" x14ac:dyDescent="0.25">
      <c r="A78" s="156">
        <v>2028</v>
      </c>
      <c r="B78" s="247" t="s">
        <v>253</v>
      </c>
      <c r="C78" s="247" t="s">
        <v>175</v>
      </c>
      <c r="D78" s="247" t="s">
        <v>257</v>
      </c>
      <c r="E78" s="249">
        <v>1</v>
      </c>
      <c r="F78" s="250">
        <f>SUMIFS('All Measure &amp; TRC+ Calc'!F:F,'All Measure &amp; TRC+ Calc'!$D:$D,$C78,'All Measure &amp; TRC+ Calc'!$B:$B,$A78)*$E78</f>
        <v>0</v>
      </c>
      <c r="G78" s="250">
        <f>SUMIFS('All Measure &amp; TRC+ Calc'!AD:AD,'All Measure &amp; TRC+ Calc'!$D:$D,$C78,'All Measure &amp; TRC+ Calc'!$B:$B,$A78)*$E78</f>
        <v>0</v>
      </c>
      <c r="H78" s="250">
        <f>SUMIFS('All Measure &amp; TRC+ Calc'!AE:AE,'All Measure &amp; TRC+ Calc'!$D:$D,$C78,'All Measure &amp; TRC+ Calc'!$B:$B,$A78)*$E78</f>
        <v>0</v>
      </c>
      <c r="I78" s="250">
        <f>SUMIFS('All Measure &amp; TRC+ Calc'!AH:AH,'All Measure &amp; TRC+ Calc'!$D:$D,$C78,'All Measure &amp; TRC+ Calc'!$B:$B,$A78)*$E78</f>
        <v>0</v>
      </c>
      <c r="J78" s="250">
        <f>SUMIFS('All Measure &amp; TRC+ Calc'!AI:AI,'All Measure &amp; TRC+ Calc'!$D:$D,$C78,'All Measure &amp; TRC+ Calc'!$B:$B,$A78)*$E78</f>
        <v>0</v>
      </c>
      <c r="K78" s="250">
        <f>SUMIFS('All Measure &amp; TRC+ Calc'!AL:AL,'All Measure &amp; TRC+ Calc'!$D:$D,$C78,'All Measure &amp; TRC+ Calc'!$B:$B,$A78)*$E78</f>
        <v>0</v>
      </c>
      <c r="L78" s="250">
        <f>SUMIFS('All Measure &amp; TRC+ Calc'!AM:AM,'All Measure &amp; TRC+ Calc'!$D:$D,$C78,'All Measure &amp; TRC+ Calc'!$B:$B,$A78)*$E78</f>
        <v>0</v>
      </c>
      <c r="M78" s="250">
        <f>SUMIFS('All Measure &amp; TRC+ Calc'!AJ:AJ,'All Measure &amp; TRC+ Calc'!$D:$D,$C78,'All Measure &amp; TRC+ Calc'!$B:$B,$A78)*$E78</f>
        <v>0</v>
      </c>
      <c r="N78" s="250">
        <f>SUMIFS('All Measure &amp; TRC+ Calc'!AK:AK,'All Measure &amp; TRC+ Calc'!$D:$D,$C78,'All Measure &amp; TRC+ Calc'!$B:$B,$A78)*$E78</f>
        <v>0</v>
      </c>
      <c r="O78" s="250">
        <f>SUMIFS('All Measure &amp; TRC+ Calc'!AF:AF,'All Measure &amp; TRC+ Calc'!$D:$D,$C78,'All Measure &amp; TRC+ Calc'!$B:$B,$A78)*$E78</f>
        <v>0</v>
      </c>
      <c r="P78" s="250">
        <f>SUMIFS('All Measure &amp; TRC+ Calc'!AG:AG,'All Measure &amp; TRC+ Calc'!$D:$D,$C78,'All Measure &amp; TRC+ Calc'!$B:$B,$A78)*$E78</f>
        <v>0</v>
      </c>
      <c r="Q78" s="249">
        <v>1</v>
      </c>
      <c r="R78" s="190">
        <f>SUMIFS(Budget!$E:$E,Budget!$A:$A,$A78,Budget!$C:$C,$C78,Budget!$D:$D,R$7)*Summary[[#This Row],[Budget %  Adjustment]]</f>
        <v>0</v>
      </c>
      <c r="S78" s="190">
        <f>SUMIFS(Budget!$E:$E,Budget!$A:$A,$A78,Budget!$C:$C,$C78,Budget!$D:$D,S$7)*Summary[[#This Row],[Budget %  Adjustment]]</f>
        <v>0</v>
      </c>
      <c r="T78" s="190">
        <f>SUMIFS(Budget!$E:$E,Budget!$A:$A,$A78,Budget!$C:$C,$C78,Budget!$D:$D,T$7)*Summary[[#This Row],[Budget %  Adjustment]]</f>
        <v>0</v>
      </c>
      <c r="U78" s="190">
        <f>SUMIFS(Budget!$E:$E,Budget!$A:$A,$A78,Budget!$C:$C,$C78,Budget!$D:$D,U$7)*Summary[[#This Row],[Budget %  Adjustment]]</f>
        <v>0</v>
      </c>
      <c r="V78" s="190">
        <f>Summary[[#This Row],[Promo]]+Summary[[#This Row],[Delivery]]</f>
        <v>0</v>
      </c>
      <c r="W78" s="190">
        <f t="shared" si="4"/>
        <v>0</v>
      </c>
      <c r="X78" s="190">
        <f t="shared" si="5"/>
        <v>0</v>
      </c>
    </row>
    <row r="79" spans="1:24" x14ac:dyDescent="0.25">
      <c r="A79" s="156">
        <v>2028</v>
      </c>
      <c r="B79" s="247" t="s">
        <v>253</v>
      </c>
      <c r="C79" s="247" t="s">
        <v>176</v>
      </c>
      <c r="D79" s="247" t="s">
        <v>176</v>
      </c>
      <c r="E79" s="249">
        <v>1</v>
      </c>
      <c r="F79" s="250">
        <f>SUMIFS('All Measure &amp; TRC+ Calc'!F:F,'All Measure &amp; TRC+ Calc'!$D:$D,$C79,'All Measure &amp; TRC+ Calc'!$B:$B,$A79)*$E79</f>
        <v>0</v>
      </c>
      <c r="G79" s="250">
        <f>SUMIFS('All Measure &amp; TRC+ Calc'!AD:AD,'All Measure &amp; TRC+ Calc'!$D:$D,$C79,'All Measure &amp; TRC+ Calc'!$B:$B,$A79)*$E79</f>
        <v>0</v>
      </c>
      <c r="H79" s="250">
        <f>SUMIFS('All Measure &amp; TRC+ Calc'!AE:AE,'All Measure &amp; TRC+ Calc'!$D:$D,$C79,'All Measure &amp; TRC+ Calc'!$B:$B,$A79)*$E79</f>
        <v>0</v>
      </c>
      <c r="I79" s="250">
        <f>SUMIFS('All Measure &amp; TRC+ Calc'!AH:AH,'All Measure &amp; TRC+ Calc'!$D:$D,$C79,'All Measure &amp; TRC+ Calc'!$B:$B,$A79)*$E79</f>
        <v>0</v>
      </c>
      <c r="J79" s="250">
        <f>SUMIFS('All Measure &amp; TRC+ Calc'!AI:AI,'All Measure &amp; TRC+ Calc'!$D:$D,$C79,'All Measure &amp; TRC+ Calc'!$B:$B,$A79)*$E79</f>
        <v>0</v>
      </c>
      <c r="K79" s="250">
        <f>SUMIFS('All Measure &amp; TRC+ Calc'!AL:AL,'All Measure &amp; TRC+ Calc'!$D:$D,$C79,'All Measure &amp; TRC+ Calc'!$B:$B,$A79)*$E79</f>
        <v>0</v>
      </c>
      <c r="L79" s="250">
        <f>SUMIFS('All Measure &amp; TRC+ Calc'!AM:AM,'All Measure &amp; TRC+ Calc'!$D:$D,$C79,'All Measure &amp; TRC+ Calc'!$B:$B,$A79)*$E79</f>
        <v>0</v>
      </c>
      <c r="M79" s="250">
        <f>SUMIFS('All Measure &amp; TRC+ Calc'!AJ:AJ,'All Measure &amp; TRC+ Calc'!$D:$D,$C79,'All Measure &amp; TRC+ Calc'!$B:$B,$A79)*$E79</f>
        <v>0</v>
      </c>
      <c r="N79" s="250">
        <f>SUMIFS('All Measure &amp; TRC+ Calc'!AK:AK,'All Measure &amp; TRC+ Calc'!$D:$D,$C79,'All Measure &amp; TRC+ Calc'!$B:$B,$A79)*$E79</f>
        <v>0</v>
      </c>
      <c r="O79" s="250">
        <f>SUMIFS('All Measure &amp; TRC+ Calc'!AF:AF,'All Measure &amp; TRC+ Calc'!$D:$D,$C79,'All Measure &amp; TRC+ Calc'!$B:$B,$A79)*$E79</f>
        <v>0</v>
      </c>
      <c r="P79" s="250">
        <f>SUMIFS('All Measure &amp; TRC+ Calc'!AG:AG,'All Measure &amp; TRC+ Calc'!$D:$D,$C79,'All Measure &amp; TRC+ Calc'!$B:$B,$A79)*$E79</f>
        <v>0</v>
      </c>
      <c r="Q79" s="249">
        <v>1</v>
      </c>
      <c r="R79" s="190">
        <f>SUMIFS(Budget!$E:$E,Budget!$A:$A,$A79,Budget!$C:$C,$C79,Budget!$D:$D,R$7)*Summary[[#This Row],[Budget %  Adjustment]]</f>
        <v>0</v>
      </c>
      <c r="S79" s="190">
        <f>SUMIFS(Budget!$E:$E,Budget!$A:$A,$A79,Budget!$C:$C,$C79,Budget!$D:$D,S$7)*Summary[[#This Row],[Budget %  Adjustment]]</f>
        <v>0</v>
      </c>
      <c r="T79" s="190">
        <f>SUMIFS(Budget!$E:$E,Budget!$A:$A,$A79,Budget!$C:$C,$C79,Budget!$D:$D,T$7)*Summary[[#This Row],[Budget %  Adjustment]]</f>
        <v>0</v>
      </c>
      <c r="U79" s="190">
        <f>SUMIFS(Budget!$E:$E,Budget!$A:$A,$A79,Budget!$C:$C,$C79,Budget!$D:$D,U$7)*Summary[[#This Row],[Budget %  Adjustment]]</f>
        <v>0</v>
      </c>
      <c r="V79" s="190">
        <f>Summary[[#This Row],[Promo]]+Summary[[#This Row],[Delivery]]</f>
        <v>0</v>
      </c>
      <c r="W79" s="190">
        <f t="shared" si="4"/>
        <v>0</v>
      </c>
      <c r="X79" s="190">
        <f t="shared" si="5"/>
        <v>0</v>
      </c>
    </row>
    <row r="80" spans="1:24" x14ac:dyDescent="0.25">
      <c r="A80" s="156">
        <v>2028</v>
      </c>
      <c r="B80" s="247" t="s">
        <v>29</v>
      </c>
      <c r="C80" s="247" t="s">
        <v>30</v>
      </c>
      <c r="D80" s="247" t="s">
        <v>258</v>
      </c>
      <c r="E80" s="249">
        <v>1</v>
      </c>
      <c r="F80" s="250">
        <f>SUMIFS('All Measure &amp; TRC+ Calc'!F:F,'All Measure &amp; TRC+ Calc'!$D:$D,$C80,'All Measure &amp; TRC+ Calc'!$B:$B,$A80)*$E80</f>
        <v>0</v>
      </c>
      <c r="G80" s="250">
        <f>SUMIFS('All Measure &amp; TRC+ Calc'!AD:AD,'All Measure &amp; TRC+ Calc'!$D:$D,$C80,'All Measure &amp; TRC+ Calc'!$B:$B,$A80)*$E80</f>
        <v>0</v>
      </c>
      <c r="H80" s="250">
        <f>SUMIFS('All Measure &amp; TRC+ Calc'!AE:AE,'All Measure &amp; TRC+ Calc'!$D:$D,$C80,'All Measure &amp; TRC+ Calc'!$B:$B,$A80)*$E80</f>
        <v>0</v>
      </c>
      <c r="I80" s="250">
        <f>SUMIFS('All Measure &amp; TRC+ Calc'!AH:AH,'All Measure &amp; TRC+ Calc'!$D:$D,$C80,'All Measure &amp; TRC+ Calc'!$B:$B,$A80)*$E80</f>
        <v>0</v>
      </c>
      <c r="J80" s="250">
        <f>SUMIFS('All Measure &amp; TRC+ Calc'!AI:AI,'All Measure &amp; TRC+ Calc'!$D:$D,$C80,'All Measure &amp; TRC+ Calc'!$B:$B,$A80)*$E80</f>
        <v>0</v>
      </c>
      <c r="K80" s="250">
        <f>SUMIFS('All Measure &amp; TRC+ Calc'!AL:AL,'All Measure &amp; TRC+ Calc'!$D:$D,$C80,'All Measure &amp; TRC+ Calc'!$B:$B,$A80)*$E80</f>
        <v>0</v>
      </c>
      <c r="L80" s="250">
        <f>SUMIFS('All Measure &amp; TRC+ Calc'!AM:AM,'All Measure &amp; TRC+ Calc'!$D:$D,$C80,'All Measure &amp; TRC+ Calc'!$B:$B,$A80)*$E80</f>
        <v>0</v>
      </c>
      <c r="M80" s="250">
        <f>SUMIFS('All Measure &amp; TRC+ Calc'!AJ:AJ,'All Measure &amp; TRC+ Calc'!$D:$D,$C80,'All Measure &amp; TRC+ Calc'!$B:$B,$A80)*$E80</f>
        <v>0</v>
      </c>
      <c r="N80" s="250">
        <f>SUMIFS('All Measure &amp; TRC+ Calc'!AK:AK,'All Measure &amp; TRC+ Calc'!$D:$D,$C80,'All Measure &amp; TRC+ Calc'!$B:$B,$A80)*$E80</f>
        <v>0</v>
      </c>
      <c r="O80" s="250">
        <f>SUMIFS('All Measure &amp; TRC+ Calc'!AF:AF,'All Measure &amp; TRC+ Calc'!$D:$D,$C80,'All Measure &amp; TRC+ Calc'!$B:$B,$A80)*$E80</f>
        <v>0</v>
      </c>
      <c r="P80" s="250">
        <f>SUMIFS('All Measure &amp; TRC+ Calc'!AG:AG,'All Measure &amp; TRC+ Calc'!$D:$D,$C80,'All Measure &amp; TRC+ Calc'!$B:$B,$A80)*$E80</f>
        <v>0</v>
      </c>
      <c r="Q80" s="249">
        <v>1</v>
      </c>
      <c r="R80" s="190">
        <f>SUMIFS(Budget!$E:$E,Budget!$A:$A,$A80,Budget!$C:$C,$C80,Budget!$D:$D,R$7)*Summary[[#This Row],[Budget %  Adjustment]]</f>
        <v>0</v>
      </c>
      <c r="S80" s="190">
        <f>SUMIFS(Budget!$E:$E,Budget!$A:$A,$A80,Budget!$C:$C,$C80,Budget!$D:$D,S$7)*Summary[[#This Row],[Budget %  Adjustment]]</f>
        <v>0</v>
      </c>
      <c r="T80" s="190">
        <f>SUMIFS(Budget!$E:$E,Budget!$A:$A,$A80,Budget!$C:$C,$C80,Budget!$D:$D,T$7)*Summary[[#This Row],[Budget %  Adjustment]]</f>
        <v>0</v>
      </c>
      <c r="U80" s="190">
        <f>SUMIFS(Budget!$E:$E,Budget!$A:$A,$A80,Budget!$C:$C,$C80,Budget!$D:$D,U$7)*Summary[[#This Row],[Budget %  Adjustment]]</f>
        <v>7836155</v>
      </c>
      <c r="V80" s="190">
        <f>Summary[[#This Row],[Promo]]+Summary[[#This Row],[Delivery]]</f>
        <v>0</v>
      </c>
      <c r="W80" s="190">
        <f t="shared" si="4"/>
        <v>7836155</v>
      </c>
      <c r="X80" s="190">
        <f t="shared" si="5"/>
        <v>7836155</v>
      </c>
    </row>
    <row r="81" spans="1:24" x14ac:dyDescent="0.25">
      <c r="A81" s="156">
        <v>2028</v>
      </c>
      <c r="B81" s="247" t="s">
        <v>29</v>
      </c>
      <c r="C81" s="247" t="s">
        <v>32</v>
      </c>
      <c r="D81" s="247" t="s">
        <v>32</v>
      </c>
      <c r="E81" s="249">
        <v>1</v>
      </c>
      <c r="F81" s="250">
        <f>SUMIFS('All Measure &amp; TRC+ Calc'!F:F,'All Measure &amp; TRC+ Calc'!$D:$D,$C81,'All Measure &amp; TRC+ Calc'!$B:$B,$A81)*$E81</f>
        <v>0</v>
      </c>
      <c r="G81" s="250">
        <f>SUMIFS('All Measure &amp; TRC+ Calc'!AD:AD,'All Measure &amp; TRC+ Calc'!$D:$D,$C81,'All Measure &amp; TRC+ Calc'!$B:$B,$A81)*$E81</f>
        <v>0</v>
      </c>
      <c r="H81" s="250">
        <f>SUMIFS('All Measure &amp; TRC+ Calc'!AE:AE,'All Measure &amp; TRC+ Calc'!$D:$D,$C81,'All Measure &amp; TRC+ Calc'!$B:$B,$A81)*$E81</f>
        <v>0</v>
      </c>
      <c r="I81" s="250">
        <f>SUMIFS('All Measure &amp; TRC+ Calc'!AH:AH,'All Measure &amp; TRC+ Calc'!$D:$D,$C81,'All Measure &amp; TRC+ Calc'!$B:$B,$A81)*$E81</f>
        <v>0</v>
      </c>
      <c r="J81" s="250">
        <f>SUMIFS('All Measure &amp; TRC+ Calc'!AI:AI,'All Measure &amp; TRC+ Calc'!$D:$D,$C81,'All Measure &amp; TRC+ Calc'!$B:$B,$A81)*$E81</f>
        <v>0</v>
      </c>
      <c r="K81" s="250">
        <f>SUMIFS('All Measure &amp; TRC+ Calc'!AL:AL,'All Measure &amp; TRC+ Calc'!$D:$D,$C81,'All Measure &amp; TRC+ Calc'!$B:$B,$A81)*$E81</f>
        <v>0</v>
      </c>
      <c r="L81" s="250">
        <f>SUMIFS('All Measure &amp; TRC+ Calc'!AM:AM,'All Measure &amp; TRC+ Calc'!$D:$D,$C81,'All Measure &amp; TRC+ Calc'!$B:$B,$A81)*$E81</f>
        <v>0</v>
      </c>
      <c r="M81" s="250">
        <f>SUMIFS('All Measure &amp; TRC+ Calc'!AJ:AJ,'All Measure &amp; TRC+ Calc'!$D:$D,$C81,'All Measure &amp; TRC+ Calc'!$B:$B,$A81)*$E81</f>
        <v>0</v>
      </c>
      <c r="N81" s="250">
        <f>SUMIFS('All Measure &amp; TRC+ Calc'!AK:AK,'All Measure &amp; TRC+ Calc'!$D:$D,$C81,'All Measure &amp; TRC+ Calc'!$B:$B,$A81)*$E81</f>
        <v>0</v>
      </c>
      <c r="O81" s="250">
        <f>SUMIFS('All Measure &amp; TRC+ Calc'!AF:AF,'All Measure &amp; TRC+ Calc'!$D:$D,$C81,'All Measure &amp; TRC+ Calc'!$B:$B,$A81)*$E81</f>
        <v>0</v>
      </c>
      <c r="P81" s="250">
        <f>SUMIFS('All Measure &amp; TRC+ Calc'!AG:AG,'All Measure &amp; TRC+ Calc'!$D:$D,$C81,'All Measure &amp; TRC+ Calc'!$B:$B,$A81)*$E81</f>
        <v>0</v>
      </c>
      <c r="Q81" s="249">
        <v>1</v>
      </c>
      <c r="R81" s="190">
        <f>SUMIFS(Budget!$E:$E,Budget!$A:$A,$A81,Budget!$C:$C,$C81,Budget!$D:$D,R$7)*Summary[[#This Row],[Budget %  Adjustment]]</f>
        <v>0</v>
      </c>
      <c r="S81" s="190">
        <f>SUMIFS(Budget!$E:$E,Budget!$A:$A,$A81,Budget!$C:$C,$C81,Budget!$D:$D,S$7)*Summary[[#This Row],[Budget %  Adjustment]]</f>
        <v>0</v>
      </c>
      <c r="T81" s="190">
        <f>SUMIFS(Budget!$E:$E,Budget!$A:$A,$A81,Budget!$C:$C,$C81,Budget!$D:$D,T$7)*Summary[[#This Row],[Budget %  Adjustment]]</f>
        <v>0</v>
      </c>
      <c r="U81" s="190">
        <f>SUMIFS(Budget!$E:$E,Budget!$A:$A,$A81,Budget!$C:$C,$C81,Budget!$D:$D,U$7)*Summary[[#This Row],[Budget %  Adjustment]]</f>
        <v>1406788</v>
      </c>
      <c r="V81" s="190">
        <f>Summary[[#This Row],[Promo]]+Summary[[#This Row],[Delivery]]</f>
        <v>0</v>
      </c>
      <c r="W81" s="190">
        <f t="shared" si="4"/>
        <v>1406788</v>
      </c>
      <c r="X81" s="190">
        <f t="shared" si="5"/>
        <v>1406788</v>
      </c>
    </row>
    <row r="82" spans="1:24" x14ac:dyDescent="0.25">
      <c r="A82" s="156">
        <v>2028</v>
      </c>
      <c r="B82" s="247" t="s">
        <v>29</v>
      </c>
      <c r="C82" s="247" t="s">
        <v>177</v>
      </c>
      <c r="D82" s="247" t="s">
        <v>177</v>
      </c>
      <c r="E82" s="249">
        <v>1</v>
      </c>
      <c r="F82" s="250">
        <f>SUMIFS('All Measure &amp; TRC+ Calc'!F:F,'All Measure &amp; TRC+ Calc'!$D:$D,$C82,'All Measure &amp; TRC+ Calc'!$B:$B,$A82)*$E82</f>
        <v>0</v>
      </c>
      <c r="G82" s="250">
        <f>SUMIFS('All Measure &amp; TRC+ Calc'!AD:AD,'All Measure &amp; TRC+ Calc'!$D:$D,$C82,'All Measure &amp; TRC+ Calc'!$B:$B,$A82)*$E82</f>
        <v>0</v>
      </c>
      <c r="H82" s="250">
        <f>SUMIFS('All Measure &amp; TRC+ Calc'!AE:AE,'All Measure &amp; TRC+ Calc'!$D:$D,$C82,'All Measure &amp; TRC+ Calc'!$B:$B,$A82)*$E82</f>
        <v>0</v>
      </c>
      <c r="I82" s="250">
        <f>SUMIFS('All Measure &amp; TRC+ Calc'!AH:AH,'All Measure &amp; TRC+ Calc'!$D:$D,$C82,'All Measure &amp; TRC+ Calc'!$B:$B,$A82)*$E82</f>
        <v>0</v>
      </c>
      <c r="J82" s="250">
        <f>SUMIFS('All Measure &amp; TRC+ Calc'!AI:AI,'All Measure &amp; TRC+ Calc'!$D:$D,$C82,'All Measure &amp; TRC+ Calc'!$B:$B,$A82)*$E82</f>
        <v>0</v>
      </c>
      <c r="K82" s="250">
        <f>SUMIFS('All Measure &amp; TRC+ Calc'!AL:AL,'All Measure &amp; TRC+ Calc'!$D:$D,$C82,'All Measure &amp; TRC+ Calc'!$B:$B,$A82)*$E82</f>
        <v>0</v>
      </c>
      <c r="L82" s="250">
        <f>SUMIFS('All Measure &amp; TRC+ Calc'!AM:AM,'All Measure &amp; TRC+ Calc'!$D:$D,$C82,'All Measure &amp; TRC+ Calc'!$B:$B,$A82)*$E82</f>
        <v>0</v>
      </c>
      <c r="M82" s="250">
        <f>SUMIFS('All Measure &amp; TRC+ Calc'!AJ:AJ,'All Measure &amp; TRC+ Calc'!$D:$D,$C82,'All Measure &amp; TRC+ Calc'!$B:$B,$A82)*$E82</f>
        <v>0</v>
      </c>
      <c r="N82" s="250">
        <f>SUMIFS('All Measure &amp; TRC+ Calc'!AK:AK,'All Measure &amp; TRC+ Calc'!$D:$D,$C82,'All Measure &amp; TRC+ Calc'!$B:$B,$A82)*$E82</f>
        <v>0</v>
      </c>
      <c r="O82" s="250">
        <f>SUMIFS('All Measure &amp; TRC+ Calc'!AF:AF,'All Measure &amp; TRC+ Calc'!$D:$D,$C82,'All Measure &amp; TRC+ Calc'!$B:$B,$A82)*$E82</f>
        <v>0</v>
      </c>
      <c r="P82" s="250">
        <f>SUMIFS('All Measure &amp; TRC+ Calc'!AG:AG,'All Measure &amp; TRC+ Calc'!$D:$D,$C82,'All Measure &amp; TRC+ Calc'!$B:$B,$A82)*$E82</f>
        <v>0</v>
      </c>
      <c r="Q82" s="249">
        <v>1</v>
      </c>
      <c r="R82" s="190">
        <f>SUMIFS(Budget!$E:$E,Budget!$A:$A,$A82,Budget!$C:$C,$C82,Budget!$D:$D,R$7)*Summary[[#This Row],[Budget %  Adjustment]]</f>
        <v>0</v>
      </c>
      <c r="S82" s="190">
        <f>SUMIFS(Budget!$E:$E,Budget!$A:$A,$A82,Budget!$C:$C,$C82,Budget!$D:$D,S$7)*Summary[[#This Row],[Budget %  Adjustment]]</f>
        <v>0</v>
      </c>
      <c r="T82" s="190">
        <f>SUMIFS(Budget!$E:$E,Budget!$A:$A,$A82,Budget!$C:$C,$C82,Budget!$D:$D,T$7)*Summary[[#This Row],[Budget %  Adjustment]]</f>
        <v>0</v>
      </c>
      <c r="U82" s="190">
        <f>SUMIFS(Budget!$E:$E,Budget!$A:$A,$A82,Budget!$C:$C,$C82,Budget!$D:$D,U$7)*Summary[[#This Row],[Budget %  Adjustment]]</f>
        <v>620492</v>
      </c>
      <c r="V82" s="190">
        <f>Summary[[#This Row],[Promo]]+Summary[[#This Row],[Delivery]]</f>
        <v>0</v>
      </c>
      <c r="W82" s="190">
        <f t="shared" si="4"/>
        <v>620492</v>
      </c>
      <c r="X82" s="190">
        <f t="shared" si="5"/>
        <v>620492</v>
      </c>
    </row>
    <row r="83" spans="1:24" x14ac:dyDescent="0.25">
      <c r="A83" s="156">
        <v>2028</v>
      </c>
      <c r="B83" s="247" t="s">
        <v>33</v>
      </c>
      <c r="C83" s="247" t="s">
        <v>34</v>
      </c>
      <c r="D83" s="247" t="s">
        <v>34</v>
      </c>
      <c r="E83" s="249">
        <v>1</v>
      </c>
      <c r="F83" s="250">
        <f>SUMIFS('All Measure &amp; TRC+ Calc'!F:F,'All Measure &amp; TRC+ Calc'!$D:$D,$C83,'All Measure &amp; TRC+ Calc'!$B:$B,$A83)*$E83</f>
        <v>0</v>
      </c>
      <c r="G83" s="250">
        <f>SUMIFS('All Measure &amp; TRC+ Calc'!AD:AD,'All Measure &amp; TRC+ Calc'!$D:$D,$C83,'All Measure &amp; TRC+ Calc'!$B:$B,$A83)*$E83</f>
        <v>0</v>
      </c>
      <c r="H83" s="250">
        <f>SUMIFS('All Measure &amp; TRC+ Calc'!AE:AE,'All Measure &amp; TRC+ Calc'!$D:$D,$C83,'All Measure &amp; TRC+ Calc'!$B:$B,$A83)*$E83</f>
        <v>0</v>
      </c>
      <c r="I83" s="250">
        <f>SUMIFS('All Measure &amp; TRC+ Calc'!AH:AH,'All Measure &amp; TRC+ Calc'!$D:$D,$C83,'All Measure &amp; TRC+ Calc'!$B:$B,$A83)*$E83</f>
        <v>0</v>
      </c>
      <c r="J83" s="250">
        <f>SUMIFS('All Measure &amp; TRC+ Calc'!AI:AI,'All Measure &amp; TRC+ Calc'!$D:$D,$C83,'All Measure &amp; TRC+ Calc'!$B:$B,$A83)*$E83</f>
        <v>0</v>
      </c>
      <c r="K83" s="250">
        <f>SUMIFS('All Measure &amp; TRC+ Calc'!AL:AL,'All Measure &amp; TRC+ Calc'!$D:$D,$C83,'All Measure &amp; TRC+ Calc'!$B:$B,$A83)*$E83</f>
        <v>0</v>
      </c>
      <c r="L83" s="250">
        <f>SUMIFS('All Measure &amp; TRC+ Calc'!AM:AM,'All Measure &amp; TRC+ Calc'!$D:$D,$C83,'All Measure &amp; TRC+ Calc'!$B:$B,$A83)*$E83</f>
        <v>0</v>
      </c>
      <c r="M83" s="250">
        <f>SUMIFS('All Measure &amp; TRC+ Calc'!AJ:AJ,'All Measure &amp; TRC+ Calc'!$D:$D,$C83,'All Measure &amp; TRC+ Calc'!$B:$B,$A83)*$E83</f>
        <v>0</v>
      </c>
      <c r="N83" s="250">
        <f>SUMIFS('All Measure &amp; TRC+ Calc'!AK:AK,'All Measure &amp; TRC+ Calc'!$D:$D,$C83,'All Measure &amp; TRC+ Calc'!$B:$B,$A83)*$E83</f>
        <v>0</v>
      </c>
      <c r="O83" s="250">
        <f>SUMIFS('All Measure &amp; TRC+ Calc'!AF:AF,'All Measure &amp; TRC+ Calc'!$D:$D,$C83,'All Measure &amp; TRC+ Calc'!$B:$B,$A83)*$E83</f>
        <v>0</v>
      </c>
      <c r="P83" s="250">
        <f>SUMIFS('All Measure &amp; TRC+ Calc'!AG:AG,'All Measure &amp; TRC+ Calc'!$D:$D,$C83,'All Measure &amp; TRC+ Calc'!$B:$B,$A83)*$E83</f>
        <v>0</v>
      </c>
      <c r="Q83" s="249">
        <v>1</v>
      </c>
      <c r="R83" s="190">
        <f>SUMIFS(Budget!$E:$E,Budget!$A:$A,$A83,Budget!$C:$C,$C83,Budget!$D:$D,R$7)*Summary[[#This Row],[Budget %  Adjustment]]</f>
        <v>0</v>
      </c>
      <c r="S83" s="190">
        <f>SUMIFS(Budget!$E:$E,Budget!$A:$A,$A83,Budget!$C:$C,$C83,Budget!$D:$D,S$7)*Summary[[#This Row],[Budget %  Adjustment]]</f>
        <v>0</v>
      </c>
      <c r="T83" s="190">
        <f>SUMIFS(Budget!$E:$E,Budget!$A:$A,$A83,Budget!$C:$C,$C83,Budget!$D:$D,T$7)*Summary[[#This Row],[Budget %  Adjustment]]</f>
        <v>0</v>
      </c>
      <c r="U83" s="190">
        <f>SUMIFS(Budget!$E:$E,Budget!$A:$A,$A83,Budget!$C:$C,$C83,Budget!$D:$D,U$7)*Summary[[#This Row],[Budget %  Adjustment]]</f>
        <v>3153320</v>
      </c>
      <c r="V83" s="190">
        <f>Summary[[#This Row],[Promo]]+Summary[[#This Row],[Delivery]]</f>
        <v>0</v>
      </c>
      <c r="W83" s="190">
        <f t="shared" si="4"/>
        <v>3153320</v>
      </c>
      <c r="X83" s="190">
        <f t="shared" si="5"/>
        <v>3153320</v>
      </c>
    </row>
    <row r="84" spans="1:24" x14ac:dyDescent="0.25">
      <c r="A84" s="156">
        <v>2028</v>
      </c>
      <c r="B84" s="247" t="s">
        <v>33</v>
      </c>
      <c r="C84" s="247" t="s">
        <v>36</v>
      </c>
      <c r="D84" s="247" t="s">
        <v>36</v>
      </c>
      <c r="E84" s="249">
        <v>1</v>
      </c>
      <c r="F84" s="250">
        <f>SUMIFS('All Measure &amp; TRC+ Calc'!F:F,'All Measure &amp; TRC+ Calc'!$D:$D,$C84,'All Measure &amp; TRC+ Calc'!$B:$B,$A84)*$E84</f>
        <v>0</v>
      </c>
      <c r="G84" s="250">
        <f>SUMIFS('All Measure &amp; TRC+ Calc'!AD:AD,'All Measure &amp; TRC+ Calc'!$D:$D,$C84,'All Measure &amp; TRC+ Calc'!$B:$B,$A84)*$E84</f>
        <v>0</v>
      </c>
      <c r="H84" s="250">
        <f>SUMIFS('All Measure &amp; TRC+ Calc'!AE:AE,'All Measure &amp; TRC+ Calc'!$D:$D,$C84,'All Measure &amp; TRC+ Calc'!$B:$B,$A84)*$E84</f>
        <v>0</v>
      </c>
      <c r="I84" s="250">
        <f>SUMIFS('All Measure &amp; TRC+ Calc'!AH:AH,'All Measure &amp; TRC+ Calc'!$D:$D,$C84,'All Measure &amp; TRC+ Calc'!$B:$B,$A84)*$E84</f>
        <v>0</v>
      </c>
      <c r="J84" s="250">
        <f>SUMIFS('All Measure &amp; TRC+ Calc'!AI:AI,'All Measure &amp; TRC+ Calc'!$D:$D,$C84,'All Measure &amp; TRC+ Calc'!$B:$B,$A84)*$E84</f>
        <v>0</v>
      </c>
      <c r="K84" s="250">
        <f>SUMIFS('All Measure &amp; TRC+ Calc'!AL:AL,'All Measure &amp; TRC+ Calc'!$D:$D,$C84,'All Measure &amp; TRC+ Calc'!$B:$B,$A84)*$E84</f>
        <v>0</v>
      </c>
      <c r="L84" s="250">
        <f>SUMIFS('All Measure &amp; TRC+ Calc'!AM:AM,'All Measure &amp; TRC+ Calc'!$D:$D,$C84,'All Measure &amp; TRC+ Calc'!$B:$B,$A84)*$E84</f>
        <v>0</v>
      </c>
      <c r="M84" s="250">
        <f>SUMIFS('All Measure &amp; TRC+ Calc'!AJ:AJ,'All Measure &amp; TRC+ Calc'!$D:$D,$C84,'All Measure &amp; TRC+ Calc'!$B:$B,$A84)*$E84</f>
        <v>0</v>
      </c>
      <c r="N84" s="250">
        <f>SUMIFS('All Measure &amp; TRC+ Calc'!AK:AK,'All Measure &amp; TRC+ Calc'!$D:$D,$C84,'All Measure &amp; TRC+ Calc'!$B:$B,$A84)*$E84</f>
        <v>0</v>
      </c>
      <c r="O84" s="250">
        <f>SUMIFS('All Measure &amp; TRC+ Calc'!AF:AF,'All Measure &amp; TRC+ Calc'!$D:$D,$C84,'All Measure &amp; TRC+ Calc'!$B:$B,$A84)*$E84</f>
        <v>0</v>
      </c>
      <c r="P84" s="250">
        <f>SUMIFS('All Measure &amp; TRC+ Calc'!AG:AG,'All Measure &amp; TRC+ Calc'!$D:$D,$C84,'All Measure &amp; TRC+ Calc'!$B:$B,$A84)*$E84</f>
        <v>0</v>
      </c>
      <c r="Q84" s="249">
        <v>1</v>
      </c>
      <c r="R84" s="190">
        <f>SUMIFS(Budget!$E:$E,Budget!$A:$A,$A84,Budget!$C:$C,$C84,Budget!$D:$D,R$7)*Summary[[#This Row],[Budget %  Adjustment]]</f>
        <v>0</v>
      </c>
      <c r="S84" s="190">
        <f>SUMIFS(Budget!$E:$E,Budget!$A:$A,$A84,Budget!$C:$C,$C84,Budget!$D:$D,S$7)*Summary[[#This Row],[Budget %  Adjustment]]</f>
        <v>0</v>
      </c>
      <c r="T84" s="190">
        <f>SUMIFS(Budget!$E:$E,Budget!$A:$A,$A84,Budget!$C:$C,$C84,Budget!$D:$D,T$7)*Summary[[#This Row],[Budget %  Adjustment]]</f>
        <v>0</v>
      </c>
      <c r="U84" s="190">
        <f>SUMIFS(Budget!$E:$E,Budget!$A:$A,$A84,Budget!$C:$C,$C84,Budget!$D:$D,U$7)*Summary[[#This Row],[Budget %  Adjustment]]</f>
        <v>842242</v>
      </c>
      <c r="V84" s="190">
        <f>Summary[[#This Row],[Promo]]+Summary[[#This Row],[Delivery]]</f>
        <v>0</v>
      </c>
      <c r="W84" s="190">
        <f t="shared" si="4"/>
        <v>842242</v>
      </c>
      <c r="X84" s="190">
        <f t="shared" si="5"/>
        <v>842242</v>
      </c>
    </row>
    <row r="85" spans="1:24" x14ac:dyDescent="0.25">
      <c r="A85" s="156">
        <v>2028</v>
      </c>
      <c r="B85" s="247" t="s">
        <v>33</v>
      </c>
      <c r="C85" s="247" t="s">
        <v>35</v>
      </c>
      <c r="D85" s="247" t="s">
        <v>35</v>
      </c>
      <c r="E85" s="249">
        <v>1</v>
      </c>
      <c r="F85" s="250">
        <f>SUMIFS('All Measure &amp; TRC+ Calc'!F:F,'All Measure &amp; TRC+ Calc'!$D:$D,$C85,'All Measure &amp; TRC+ Calc'!$B:$B,$A85)*$E85</f>
        <v>0</v>
      </c>
      <c r="G85" s="250">
        <f>SUMIFS('All Measure &amp; TRC+ Calc'!AD:AD,'All Measure &amp; TRC+ Calc'!$D:$D,$C85,'All Measure &amp; TRC+ Calc'!$B:$B,$A85)*$E85</f>
        <v>0</v>
      </c>
      <c r="H85" s="250">
        <f>SUMIFS('All Measure &amp; TRC+ Calc'!AE:AE,'All Measure &amp; TRC+ Calc'!$D:$D,$C85,'All Measure &amp; TRC+ Calc'!$B:$B,$A85)*$E85</f>
        <v>0</v>
      </c>
      <c r="I85" s="250">
        <f>SUMIFS('All Measure &amp; TRC+ Calc'!AH:AH,'All Measure &amp; TRC+ Calc'!$D:$D,$C85,'All Measure &amp; TRC+ Calc'!$B:$B,$A85)*$E85</f>
        <v>0</v>
      </c>
      <c r="J85" s="250">
        <f>SUMIFS('All Measure &amp; TRC+ Calc'!AI:AI,'All Measure &amp; TRC+ Calc'!$D:$D,$C85,'All Measure &amp; TRC+ Calc'!$B:$B,$A85)*$E85</f>
        <v>0</v>
      </c>
      <c r="K85" s="250">
        <f>SUMIFS('All Measure &amp; TRC+ Calc'!AL:AL,'All Measure &amp; TRC+ Calc'!$D:$D,$C85,'All Measure &amp; TRC+ Calc'!$B:$B,$A85)*$E85</f>
        <v>0</v>
      </c>
      <c r="L85" s="250">
        <f>SUMIFS('All Measure &amp; TRC+ Calc'!AM:AM,'All Measure &amp; TRC+ Calc'!$D:$D,$C85,'All Measure &amp; TRC+ Calc'!$B:$B,$A85)*$E85</f>
        <v>0</v>
      </c>
      <c r="M85" s="250">
        <f>SUMIFS('All Measure &amp; TRC+ Calc'!AJ:AJ,'All Measure &amp; TRC+ Calc'!$D:$D,$C85,'All Measure &amp; TRC+ Calc'!$B:$B,$A85)*$E85</f>
        <v>0</v>
      </c>
      <c r="N85" s="250">
        <f>SUMIFS('All Measure &amp; TRC+ Calc'!AK:AK,'All Measure &amp; TRC+ Calc'!$D:$D,$C85,'All Measure &amp; TRC+ Calc'!$B:$B,$A85)*$E85</f>
        <v>0</v>
      </c>
      <c r="O85" s="250">
        <f>SUMIFS('All Measure &amp; TRC+ Calc'!AF:AF,'All Measure &amp; TRC+ Calc'!$D:$D,$C85,'All Measure &amp; TRC+ Calc'!$B:$B,$A85)*$E85</f>
        <v>0</v>
      </c>
      <c r="P85" s="250">
        <f>SUMIFS('All Measure &amp; TRC+ Calc'!AG:AG,'All Measure &amp; TRC+ Calc'!$D:$D,$C85,'All Measure &amp; TRC+ Calc'!$B:$B,$A85)*$E85</f>
        <v>0</v>
      </c>
      <c r="Q85" s="249">
        <v>1</v>
      </c>
      <c r="R85" s="190">
        <f>SUMIFS(Budget!$E:$E,Budget!$A:$A,$A85,Budget!$C:$C,$C85,Budget!$D:$D,R$7)*Summary[[#This Row],[Budget %  Adjustment]]</f>
        <v>0</v>
      </c>
      <c r="S85" s="190">
        <f>SUMIFS(Budget!$E:$E,Budget!$A:$A,$A85,Budget!$C:$C,$C85,Budget!$D:$D,S$7)*Summary[[#This Row],[Budget %  Adjustment]]</f>
        <v>0</v>
      </c>
      <c r="T85" s="190">
        <f>SUMIFS(Budget!$E:$E,Budget!$A:$A,$A85,Budget!$C:$C,$C85,Budget!$D:$D,T$7)*Summary[[#This Row],[Budget %  Adjustment]]</f>
        <v>0</v>
      </c>
      <c r="U85" s="190">
        <f>SUMIFS(Budget!$E:$E,Budget!$A:$A,$A85,Budget!$C:$C,$C85,Budget!$D:$D,U$7)*Summary[[#This Row],[Budget %  Adjustment]]</f>
        <v>600148</v>
      </c>
      <c r="V85" s="190">
        <f>Summary[[#This Row],[Promo]]+Summary[[#This Row],[Delivery]]</f>
        <v>0</v>
      </c>
      <c r="W85" s="190">
        <f t="shared" si="4"/>
        <v>600148</v>
      </c>
      <c r="X85" s="190">
        <f t="shared" si="5"/>
        <v>600148</v>
      </c>
    </row>
    <row r="86" spans="1:24" x14ac:dyDescent="0.25">
      <c r="A86" s="156">
        <v>2028</v>
      </c>
      <c r="B86" s="247" t="s">
        <v>37</v>
      </c>
      <c r="C86" s="247" t="s">
        <v>38</v>
      </c>
      <c r="D86" s="247" t="s">
        <v>38</v>
      </c>
      <c r="E86" s="249">
        <v>1</v>
      </c>
      <c r="F86" s="250">
        <f>SUMIFS('All Measure &amp; TRC+ Calc'!F:F,'All Measure &amp; TRC+ Calc'!$D:$D,$C86,'All Measure &amp; TRC+ Calc'!$B:$B,$A86)*$E86</f>
        <v>0</v>
      </c>
      <c r="G86" s="250">
        <f>SUMIFS('All Measure &amp; TRC+ Calc'!AD:AD,'All Measure &amp; TRC+ Calc'!$D:$D,$C86,'All Measure &amp; TRC+ Calc'!$B:$B,$A86)*$E86</f>
        <v>0</v>
      </c>
      <c r="H86" s="250">
        <f>SUMIFS('All Measure &amp; TRC+ Calc'!AE:AE,'All Measure &amp; TRC+ Calc'!$D:$D,$C86,'All Measure &amp; TRC+ Calc'!$B:$B,$A86)*$E86</f>
        <v>0</v>
      </c>
      <c r="I86" s="250">
        <f>SUMIFS('All Measure &amp; TRC+ Calc'!AH:AH,'All Measure &amp; TRC+ Calc'!$D:$D,$C86,'All Measure &amp; TRC+ Calc'!$B:$B,$A86)*$E86</f>
        <v>0</v>
      </c>
      <c r="J86" s="250">
        <f>SUMIFS('All Measure &amp; TRC+ Calc'!AI:AI,'All Measure &amp; TRC+ Calc'!$D:$D,$C86,'All Measure &amp; TRC+ Calc'!$B:$B,$A86)*$E86</f>
        <v>0</v>
      </c>
      <c r="K86" s="250">
        <f>SUMIFS('All Measure &amp; TRC+ Calc'!AL:AL,'All Measure &amp; TRC+ Calc'!$D:$D,$C86,'All Measure &amp; TRC+ Calc'!$B:$B,$A86)*$E86</f>
        <v>0</v>
      </c>
      <c r="L86" s="250">
        <f>SUMIFS('All Measure &amp; TRC+ Calc'!AM:AM,'All Measure &amp; TRC+ Calc'!$D:$D,$C86,'All Measure &amp; TRC+ Calc'!$B:$B,$A86)*$E86</f>
        <v>0</v>
      </c>
      <c r="M86" s="250">
        <f>SUMIFS('All Measure &amp; TRC+ Calc'!AJ:AJ,'All Measure &amp; TRC+ Calc'!$D:$D,$C86,'All Measure &amp; TRC+ Calc'!$B:$B,$A86)*$E86</f>
        <v>0</v>
      </c>
      <c r="N86" s="250">
        <f>SUMIFS('All Measure &amp; TRC+ Calc'!AK:AK,'All Measure &amp; TRC+ Calc'!$D:$D,$C86,'All Measure &amp; TRC+ Calc'!$B:$B,$A86)*$E86</f>
        <v>0</v>
      </c>
      <c r="O86" s="250">
        <f>SUMIFS('All Measure &amp; TRC+ Calc'!AF:AF,'All Measure &amp; TRC+ Calc'!$D:$D,$C86,'All Measure &amp; TRC+ Calc'!$B:$B,$A86)*$E86</f>
        <v>0</v>
      </c>
      <c r="P86" s="250">
        <f>SUMIFS('All Measure &amp; TRC+ Calc'!AG:AG,'All Measure &amp; TRC+ Calc'!$D:$D,$C86,'All Measure &amp; TRC+ Calc'!$B:$B,$A86)*$E86</f>
        <v>0</v>
      </c>
      <c r="Q86" s="249">
        <v>1</v>
      </c>
      <c r="R86" s="190">
        <f>SUMIFS(Budget!$E:$E,Budget!$A:$A,$A86,Budget!$C:$C,$C86,Budget!$D:$D,R$7)*Summary[[#This Row],[Budget %  Adjustment]]</f>
        <v>0</v>
      </c>
      <c r="S86" s="190">
        <f>SUMIFS(Budget!$E:$E,Budget!$A:$A,$A86,Budget!$C:$C,$C86,Budget!$D:$D,S$7)*Summary[[#This Row],[Budget %  Adjustment]]</f>
        <v>0</v>
      </c>
      <c r="T86" s="190">
        <f>SUMIFS(Budget!$E:$E,Budget!$A:$A,$A86,Budget!$C:$C,$C86,Budget!$D:$D,T$7)*Summary[[#This Row],[Budget %  Adjustment]]</f>
        <v>0</v>
      </c>
      <c r="U86" s="190">
        <f>SUMIFS(Budget!$E:$E,Budget!$A:$A,$A86,Budget!$C:$C,$C86,Budget!$D:$D,U$7)*Summary[[#This Row],[Budget %  Adjustment]]</f>
        <v>3278639</v>
      </c>
      <c r="V86" s="190">
        <f>Summary[[#This Row],[Promo]]+Summary[[#This Row],[Delivery]]</f>
        <v>0</v>
      </c>
      <c r="W86" s="190">
        <f t="shared" si="4"/>
        <v>3278639</v>
      </c>
      <c r="X86" s="190">
        <f t="shared" si="5"/>
        <v>3278639</v>
      </c>
    </row>
    <row r="87" spans="1:24" x14ac:dyDescent="0.25">
      <c r="A87" s="156">
        <v>2028</v>
      </c>
      <c r="B87" s="247" t="s">
        <v>37</v>
      </c>
      <c r="C87" s="247" t="s">
        <v>178</v>
      </c>
      <c r="D87" s="247" t="s">
        <v>178</v>
      </c>
      <c r="E87" s="249">
        <v>1</v>
      </c>
      <c r="F87" s="250">
        <f>SUMIFS('All Measure &amp; TRC+ Calc'!F:F,'All Measure &amp; TRC+ Calc'!$D:$D,$C87,'All Measure &amp; TRC+ Calc'!$B:$B,$A87)*$E87</f>
        <v>0</v>
      </c>
      <c r="G87" s="250">
        <f>SUMIFS('All Measure &amp; TRC+ Calc'!AD:AD,'All Measure &amp; TRC+ Calc'!$D:$D,$C87,'All Measure &amp; TRC+ Calc'!$B:$B,$A87)*$E87</f>
        <v>0</v>
      </c>
      <c r="H87" s="250">
        <f>SUMIFS('All Measure &amp; TRC+ Calc'!AE:AE,'All Measure &amp; TRC+ Calc'!$D:$D,$C87,'All Measure &amp; TRC+ Calc'!$B:$B,$A87)*$E87</f>
        <v>0</v>
      </c>
      <c r="I87" s="250">
        <f>SUMIFS('All Measure &amp; TRC+ Calc'!AH:AH,'All Measure &amp; TRC+ Calc'!$D:$D,$C87,'All Measure &amp; TRC+ Calc'!$B:$B,$A87)*$E87</f>
        <v>0</v>
      </c>
      <c r="J87" s="250">
        <f>SUMIFS('All Measure &amp; TRC+ Calc'!AI:AI,'All Measure &amp; TRC+ Calc'!$D:$D,$C87,'All Measure &amp; TRC+ Calc'!$B:$B,$A87)*$E87</f>
        <v>0</v>
      </c>
      <c r="K87" s="250">
        <f>SUMIFS('All Measure &amp; TRC+ Calc'!AL:AL,'All Measure &amp; TRC+ Calc'!$D:$D,$C87,'All Measure &amp; TRC+ Calc'!$B:$B,$A87)*$E87</f>
        <v>0</v>
      </c>
      <c r="L87" s="250">
        <f>SUMIFS('All Measure &amp; TRC+ Calc'!AM:AM,'All Measure &amp; TRC+ Calc'!$D:$D,$C87,'All Measure &amp; TRC+ Calc'!$B:$B,$A87)*$E87</f>
        <v>0</v>
      </c>
      <c r="M87" s="250">
        <f>SUMIFS('All Measure &amp; TRC+ Calc'!AJ:AJ,'All Measure &amp; TRC+ Calc'!$D:$D,$C87,'All Measure &amp; TRC+ Calc'!$B:$B,$A87)*$E87</f>
        <v>0</v>
      </c>
      <c r="N87" s="250">
        <f>SUMIFS('All Measure &amp; TRC+ Calc'!AK:AK,'All Measure &amp; TRC+ Calc'!$D:$D,$C87,'All Measure &amp; TRC+ Calc'!$B:$B,$A87)*$E87</f>
        <v>0</v>
      </c>
      <c r="O87" s="250">
        <f>SUMIFS('All Measure &amp; TRC+ Calc'!AF:AF,'All Measure &amp; TRC+ Calc'!$D:$D,$C87,'All Measure &amp; TRC+ Calc'!$B:$B,$A87)*$E87</f>
        <v>0</v>
      </c>
      <c r="P87" s="250">
        <f>SUMIFS('All Measure &amp; TRC+ Calc'!AG:AG,'All Measure &amp; TRC+ Calc'!$D:$D,$C87,'All Measure &amp; TRC+ Calc'!$B:$B,$A87)*$E87</f>
        <v>0</v>
      </c>
      <c r="Q87" s="249">
        <v>1</v>
      </c>
      <c r="R87" s="190">
        <f>SUMIFS(Budget!$E:$E,Budget!$A:$A,$A87,Budget!$C:$C,$C87,Budget!$D:$D,R$7)*Summary[[#This Row],[Budget %  Adjustment]]</f>
        <v>0</v>
      </c>
      <c r="S87" s="190">
        <f>SUMIFS(Budget!$E:$E,Budget!$A:$A,$A87,Budget!$C:$C,$C87,Budget!$D:$D,S$7)*Summary[[#This Row],[Budget %  Adjustment]]</f>
        <v>0</v>
      </c>
      <c r="T87" s="190">
        <f>SUMIFS(Budget!$E:$E,Budget!$A:$A,$A87,Budget!$C:$C,$C87,Budget!$D:$D,T$7)*Summary[[#This Row],[Budget %  Adjustment]]</f>
        <v>0</v>
      </c>
      <c r="U87" s="190">
        <f>SUMIFS(Budget!$E:$E,Budget!$A:$A,$A87,Budget!$C:$C,$C87,Budget!$D:$D,U$7)*Summary[[#This Row],[Budget %  Adjustment]]</f>
        <v>0</v>
      </c>
      <c r="V87" s="190">
        <f>Summary[[#This Row],[Promo]]+Summary[[#This Row],[Delivery]]</f>
        <v>0</v>
      </c>
      <c r="W87" s="190">
        <f t="shared" si="4"/>
        <v>0</v>
      </c>
      <c r="X87" s="190">
        <f t="shared" si="5"/>
        <v>0</v>
      </c>
    </row>
    <row r="88" spans="1:24" x14ac:dyDescent="0.25">
      <c r="A88" s="156">
        <v>2029</v>
      </c>
      <c r="B88" s="247" t="s">
        <v>11</v>
      </c>
      <c r="C88" s="247" t="s">
        <v>159</v>
      </c>
      <c r="D88" s="247" t="s">
        <v>133</v>
      </c>
      <c r="E88" s="249">
        <v>1</v>
      </c>
      <c r="F88" s="250">
        <f>SUMIFS('All Measure &amp; TRC+ Calc'!F:F,'All Measure &amp; TRC+ Calc'!$D:$D,$C88,'All Measure &amp; TRC+ Calc'!$B:$B,$A88)*$E88</f>
        <v>8200</v>
      </c>
      <c r="G88" s="250">
        <f>SUMIFS('All Measure &amp; TRC+ Calc'!AD:AD,'All Measure &amp; TRC+ Calc'!$D:$D,$C88,'All Measure &amp; TRC+ Calc'!$B:$B,$A88)*$E88</f>
        <v>4169372</v>
      </c>
      <c r="H88" s="250">
        <f>SUMIFS('All Measure &amp; TRC+ Calc'!AE:AE,'All Measure &amp; TRC+ Calc'!$D:$D,$C88,'All Measure &amp; TRC+ Calc'!$B:$B,$A88)*$E88</f>
        <v>3752434.8000000003</v>
      </c>
      <c r="I88" s="250">
        <f>SUMIFS('All Measure &amp; TRC+ Calc'!AH:AH,'All Measure &amp; TRC+ Calc'!$D:$D,$C88,'All Measure &amp; TRC+ Calc'!$B:$B,$A88)*$E88</f>
        <v>263712</v>
      </c>
      <c r="J88" s="250">
        <f>SUMIFS('All Measure &amp; TRC+ Calc'!AI:AI,'All Measure &amp; TRC+ Calc'!$D:$D,$C88,'All Measure &amp; TRC+ Calc'!$B:$B,$A88)*$E88</f>
        <v>237340.80000000002</v>
      </c>
      <c r="K88" s="250">
        <f>SUMIFS('All Measure &amp; TRC+ Calc'!AL:AL,'All Measure &amp; TRC+ Calc'!$D:$D,$C88,'All Measure &amp; TRC+ Calc'!$B:$B,$A88)*$E88</f>
        <v>34.171657718583759</v>
      </c>
      <c r="L88" s="250">
        <f>SUMIFS('All Measure &amp; TRC+ Calc'!AM:AM,'All Measure &amp; TRC+ Calc'!$D:$D,$C88,'All Measure &amp; TRC+ Calc'!$B:$B,$A88)*$E88</f>
        <v>30.754491946725384</v>
      </c>
      <c r="M88" s="250">
        <f>SUMIFS('All Measure &amp; TRC+ Calc'!AJ:AJ,'All Measure &amp; TRC+ Calc'!$D:$D,$C88,'All Measure &amp; TRC+ Calc'!$B:$B,$A88)*$E88</f>
        <v>0</v>
      </c>
      <c r="N88" s="250">
        <f>SUMIFS('All Measure &amp; TRC+ Calc'!AK:AK,'All Measure &amp; TRC+ Calc'!$D:$D,$C88,'All Measure &amp; TRC+ Calc'!$B:$B,$A88)*$E88</f>
        <v>0</v>
      </c>
      <c r="O88" s="250">
        <f>SUMIFS('All Measure &amp; TRC+ Calc'!AF:AF,'All Measure &amp; TRC+ Calc'!$D:$D,$C88,'All Measure &amp; TRC+ Calc'!$B:$B,$A88)*$E88</f>
        <v>104234300</v>
      </c>
      <c r="P88" s="250">
        <f>SUMIFS('All Measure &amp; TRC+ Calc'!AG:AG,'All Measure &amp; TRC+ Calc'!$D:$D,$C88,'All Measure &amp; TRC+ Calc'!$B:$B,$A88)*$E88</f>
        <v>93810870</v>
      </c>
      <c r="Q88" s="249">
        <v>1</v>
      </c>
      <c r="R88" s="190">
        <f>SUMIFS(Budget!$E:$E,Budget!$A:$A,$A88,Budget!$C:$C,$C88,Budget!$D:$D,R$7)*Summary[[#This Row],[Budget %  Adjustment]]</f>
        <v>20047996</v>
      </c>
      <c r="S88" s="190">
        <f>SUMIFS(Budget!$E:$E,Budget!$A:$A,$A88,Budget!$C:$C,$C88,Budget!$D:$D,S$7)*Summary[[#This Row],[Budget %  Adjustment]]</f>
        <v>915706</v>
      </c>
      <c r="T88" s="190">
        <f>SUMIFS(Budget!$E:$E,Budget!$A:$A,$A88,Budget!$C:$C,$C88,Budget!$D:$D,T$7)*Summary[[#This Row],[Budget %  Adjustment]]</f>
        <v>1003655</v>
      </c>
      <c r="U88" s="190">
        <f>SUMIFS(Budget!$E:$E,Budget!$A:$A,$A88,Budget!$C:$C,$C88,Budget!$D:$D,U$7)*Summary[[#This Row],[Budget %  Adjustment]]</f>
        <v>0</v>
      </c>
      <c r="V88" s="190">
        <f>Summary[[#This Row],[Promo]]+Summary[[#This Row],[Delivery]]</f>
        <v>1919361</v>
      </c>
      <c r="W88" s="190">
        <f t="shared" si="4"/>
        <v>1919361</v>
      </c>
      <c r="X88" s="190">
        <f t="shared" si="5"/>
        <v>21967357</v>
      </c>
    </row>
    <row r="89" spans="1:24" x14ac:dyDescent="0.25">
      <c r="A89" s="156">
        <v>2029</v>
      </c>
      <c r="B89" s="247" t="s">
        <v>11</v>
      </c>
      <c r="C89" s="247" t="s">
        <v>130</v>
      </c>
      <c r="D89" s="247" t="s">
        <v>133</v>
      </c>
      <c r="E89" s="249">
        <v>1</v>
      </c>
      <c r="F89" s="250">
        <f>SUMIFS('All Measure &amp; TRC+ Calc'!F:F,'All Measure &amp; TRC+ Calc'!$D:$D,$C89,'All Measure &amp; TRC+ Calc'!$B:$B,$A89)*$E89</f>
        <v>16500</v>
      </c>
      <c r="G89" s="250">
        <f>SUMIFS('All Measure &amp; TRC+ Calc'!AD:AD,'All Measure &amp; TRC+ Calc'!$D:$D,$C89,'All Measure &amp; TRC+ Calc'!$B:$B,$A89)*$E89</f>
        <v>4702500</v>
      </c>
      <c r="H89" s="250">
        <f>SUMIFS('All Measure &amp; TRC+ Calc'!AE:AE,'All Measure &amp; TRC+ Calc'!$D:$D,$C89,'All Measure &amp; TRC+ Calc'!$B:$B,$A89)*$E89</f>
        <v>4185225</v>
      </c>
      <c r="I89" s="250">
        <f>SUMIFS('All Measure &amp; TRC+ Calc'!AH:AH,'All Measure &amp; TRC+ Calc'!$D:$D,$C89,'All Measure &amp; TRC+ Calc'!$B:$B,$A89)*$E89</f>
        <v>1291545.6000000001</v>
      </c>
      <c r="J89" s="250">
        <f>SUMIFS('All Measure &amp; TRC+ Calc'!AI:AI,'All Measure &amp; TRC+ Calc'!$D:$D,$C89,'All Measure &amp; TRC+ Calc'!$B:$B,$A89)*$E89</f>
        <v>1149475.584</v>
      </c>
      <c r="K89" s="250">
        <f>SUMIFS('All Measure &amp; TRC+ Calc'!AL:AL,'All Measure &amp; TRC+ Calc'!$D:$D,$C89,'All Measure &amp; TRC+ Calc'!$B:$B,$A89)*$E89</f>
        <v>823.50376948805092</v>
      </c>
      <c r="L89" s="250">
        <f>SUMIFS('All Measure &amp; TRC+ Calc'!AM:AM,'All Measure &amp; TRC+ Calc'!$D:$D,$C89,'All Measure &amp; TRC+ Calc'!$B:$B,$A89)*$E89</f>
        <v>732.91835484436524</v>
      </c>
      <c r="M89" s="250">
        <f>SUMIFS('All Measure &amp; TRC+ Calc'!AJ:AJ,'All Measure &amp; TRC+ Calc'!$D:$D,$C89,'All Measure &amp; TRC+ Calc'!$B:$B,$A89)*$E89</f>
        <v>0</v>
      </c>
      <c r="N89" s="250">
        <f>SUMIFS('All Measure &amp; TRC+ Calc'!AK:AK,'All Measure &amp; TRC+ Calc'!$D:$D,$C89,'All Measure &amp; TRC+ Calc'!$B:$B,$A89)*$E89</f>
        <v>0</v>
      </c>
      <c r="O89" s="250">
        <f>SUMIFS('All Measure &amp; TRC+ Calc'!AF:AF,'All Measure &amp; TRC+ Calc'!$D:$D,$C89,'All Measure &amp; TRC+ Calc'!$B:$B,$A89)*$E89</f>
        <v>141075000</v>
      </c>
      <c r="P89" s="250">
        <f>SUMIFS('All Measure &amp; TRC+ Calc'!AG:AG,'All Measure &amp; TRC+ Calc'!$D:$D,$C89,'All Measure &amp; TRC+ Calc'!$B:$B,$A89)*$E89</f>
        <v>125556750</v>
      </c>
      <c r="Q89" s="249">
        <v>1</v>
      </c>
      <c r="R89" s="190">
        <f>SUMIFS(Budget!$E:$E,Budget!$A:$A,$A89,Budget!$C:$C,$C89,Budget!$D:$D,R$7)*Summary[[#This Row],[Budget %  Adjustment]]</f>
        <v>18805230</v>
      </c>
      <c r="S89" s="190">
        <f>SUMIFS(Budget!$E:$E,Budget!$A:$A,$A89,Budget!$C:$C,$C89,Budget!$D:$D,S$7)*Summary[[#This Row],[Budget %  Adjustment]]</f>
        <v>1394822</v>
      </c>
      <c r="T89" s="190">
        <f>SUMIFS(Budget!$E:$E,Budget!$A:$A,$A89,Budget!$C:$C,$C89,Budget!$D:$D,T$7)*Summary[[#This Row],[Budget %  Adjustment]]</f>
        <v>717820</v>
      </c>
      <c r="U89" s="190">
        <f>SUMIFS(Budget!$E:$E,Budget!$A:$A,$A89,Budget!$C:$C,$C89,Budget!$D:$D,U$7)*Summary[[#This Row],[Budget %  Adjustment]]</f>
        <v>0</v>
      </c>
      <c r="V89" s="190">
        <f>Summary[[#This Row],[Promo]]+Summary[[#This Row],[Delivery]]</f>
        <v>2112642</v>
      </c>
      <c r="W89" s="190">
        <f t="shared" si="4"/>
        <v>2112642</v>
      </c>
      <c r="X89" s="190">
        <f t="shared" si="5"/>
        <v>20917872</v>
      </c>
    </row>
    <row r="90" spans="1:24" x14ac:dyDescent="0.25">
      <c r="A90" s="156">
        <v>2029</v>
      </c>
      <c r="B90" s="247" t="s">
        <v>11</v>
      </c>
      <c r="C90" s="247" t="s">
        <v>333</v>
      </c>
      <c r="D90" s="247" t="s">
        <v>133</v>
      </c>
      <c r="E90" s="249">
        <v>1</v>
      </c>
      <c r="F90" s="250">
        <f>SUMIFS('All Measure &amp; TRC+ Calc'!F:F,'All Measure &amp; TRC+ Calc'!$D:$D,$C90,'All Measure &amp; TRC+ Calc'!$B:$B,$A90)*$E90</f>
        <v>6175</v>
      </c>
      <c r="G90" s="250">
        <f>SUMIFS('All Measure &amp; TRC+ Calc'!AD:AD,'All Measure &amp; TRC+ Calc'!$D:$D,$C90,'All Measure &amp; TRC+ Calc'!$B:$B,$A90)*$E90</f>
        <v>5132660</v>
      </c>
      <c r="H90" s="250">
        <f>SUMIFS('All Measure &amp; TRC+ Calc'!AE:AE,'All Measure &amp; TRC+ Calc'!$D:$D,$C90,'All Measure &amp; TRC+ Calc'!$B:$B,$A90)*$E90</f>
        <v>4659247.5999999996</v>
      </c>
      <c r="I90" s="250">
        <f>SUMIFS('All Measure &amp; TRC+ Calc'!AH:AH,'All Measure &amp; TRC+ Calc'!$D:$D,$C90,'All Measure &amp; TRC+ Calc'!$B:$B,$A90)*$E90</f>
        <v>-17890468.640000001</v>
      </c>
      <c r="J90" s="250">
        <f>SUMIFS('All Measure &amp; TRC+ Calc'!AI:AI,'All Measure &amp; TRC+ Calc'!$D:$D,$C90,'All Measure &amp; TRC+ Calc'!$B:$B,$A90)*$E90</f>
        <v>-16252983.762400001</v>
      </c>
      <c r="K90" s="250">
        <f>SUMIFS('All Measure &amp; TRC+ Calc'!AL:AL,'All Measure &amp; TRC+ Calc'!$D:$D,$C90,'All Measure &amp; TRC+ Calc'!$B:$B,$A90)*$E90</f>
        <v>1405.0489600000001</v>
      </c>
      <c r="L90" s="250">
        <f>SUMIFS('All Measure &amp; TRC+ Calc'!AM:AM,'All Measure &amp; TRC+ Calc'!$D:$D,$C90,'All Measure &amp; TRC+ Calc'!$B:$B,$A90)*$E90</f>
        <v>1281.7312256</v>
      </c>
      <c r="M90" s="250">
        <f>SUMIFS('All Measure &amp; TRC+ Calc'!AJ:AJ,'All Measure &amp; TRC+ Calc'!$D:$D,$C90,'All Measure &amp; TRC+ Calc'!$B:$B,$A90)*$E90</f>
        <v>0</v>
      </c>
      <c r="N90" s="250">
        <f>SUMIFS('All Measure &amp; TRC+ Calc'!AK:AK,'All Measure &amp; TRC+ Calc'!$D:$D,$C90,'All Measure &amp; TRC+ Calc'!$B:$B,$A90)*$E90</f>
        <v>0</v>
      </c>
      <c r="O90" s="250">
        <f>SUMIFS('All Measure &amp; TRC+ Calc'!AF:AF,'All Measure &amp; TRC+ Calc'!$D:$D,$C90,'All Measure &amp; TRC+ Calc'!$B:$B,$A90)*$E90</f>
        <v>82018260</v>
      </c>
      <c r="P90" s="250">
        <f>SUMIFS('All Measure &amp; TRC+ Calc'!AG:AG,'All Measure &amp; TRC+ Calc'!$D:$D,$C90,'All Measure &amp; TRC+ Calc'!$B:$B,$A90)*$E90</f>
        <v>74464521.599999994</v>
      </c>
      <c r="Q90" s="249">
        <v>1</v>
      </c>
      <c r="R90" s="190">
        <f>SUMIFS(Budget!$E:$E,Budget!$A:$A,$A90,Budget!$C:$C,$C90,Budget!$D:$D,R$7)*Summary[[#This Row],[Budget %  Adjustment]]</f>
        <v>7985070</v>
      </c>
      <c r="S90" s="190">
        <f>SUMIFS(Budget!$E:$E,Budget!$A:$A,$A90,Budget!$C:$C,$C90,Budget!$D:$D,S$7)*Summary[[#This Row],[Budget %  Adjustment]]</f>
        <v>929881</v>
      </c>
      <c r="T90" s="190">
        <f>SUMIFS(Budget!$E:$E,Budget!$A:$A,$A90,Budget!$C:$C,$C90,Budget!$D:$D,T$7)*Summary[[#This Row],[Budget %  Adjustment]]</f>
        <v>310409</v>
      </c>
      <c r="U90" s="190">
        <f>SUMIFS(Budget!$E:$E,Budget!$A:$A,$A90,Budget!$C:$C,$C90,Budget!$D:$D,U$7)*Summary[[#This Row],[Budget %  Adjustment]]</f>
        <v>0</v>
      </c>
      <c r="V90" s="190">
        <f>Summary[[#This Row],[Promo]]+Summary[[#This Row],[Delivery]]</f>
        <v>1240290</v>
      </c>
      <c r="W90" s="190">
        <f t="shared" si="4"/>
        <v>1240290</v>
      </c>
      <c r="X90" s="190">
        <f t="shared" si="5"/>
        <v>9225360</v>
      </c>
    </row>
    <row r="91" spans="1:24" x14ac:dyDescent="0.25">
      <c r="A91" s="156">
        <v>2029</v>
      </c>
      <c r="B91" s="247" t="s">
        <v>11</v>
      </c>
      <c r="C91" s="247" t="s">
        <v>160</v>
      </c>
      <c r="D91" s="247" t="s">
        <v>133</v>
      </c>
      <c r="E91" s="249">
        <v>1</v>
      </c>
      <c r="F91" s="250">
        <f>SUMIFS('All Measure &amp; TRC+ Calc'!F:F,'All Measure &amp; TRC+ Calc'!$D:$D,$C91,'All Measure &amp; TRC+ Calc'!$B:$B,$A91)*$E91</f>
        <v>28160</v>
      </c>
      <c r="G91" s="250">
        <f>SUMIFS('All Measure &amp; TRC+ Calc'!AD:AD,'All Measure &amp; TRC+ Calc'!$D:$D,$C91,'All Measure &amp; TRC+ Calc'!$B:$B,$A91)*$E91</f>
        <v>3663200</v>
      </c>
      <c r="H91" s="250">
        <f>SUMIFS('All Measure &amp; TRC+ Calc'!AE:AE,'All Measure &amp; TRC+ Calc'!$D:$D,$C91,'All Measure &amp; TRC+ Calc'!$B:$B,$A91)*$E91</f>
        <v>3150352.0000000009</v>
      </c>
      <c r="I91" s="250">
        <f>SUMIFS('All Measure &amp; TRC+ Calc'!AH:AH,'All Measure &amp; TRC+ Calc'!$D:$D,$C91,'All Measure &amp; TRC+ Calc'!$B:$B,$A91)*$E91</f>
        <v>5500131.8400000008</v>
      </c>
      <c r="J91" s="250">
        <f>SUMIFS('All Measure &amp; TRC+ Calc'!AI:AI,'All Measure &amp; TRC+ Calc'!$D:$D,$C91,'All Measure &amp; TRC+ Calc'!$B:$B,$A91)*$E91</f>
        <v>4730113.3824000005</v>
      </c>
      <c r="K91" s="250">
        <f>SUMIFS('All Measure &amp; TRC+ Calc'!AL:AL,'All Measure &amp; TRC+ Calc'!$D:$D,$C91,'All Measure &amp; TRC+ Calc'!$B:$B,$A91)*$E91</f>
        <v>2516.8603299840006</v>
      </c>
      <c r="L91" s="250">
        <f>SUMIFS('All Measure &amp; TRC+ Calc'!AM:AM,'All Measure &amp; TRC+ Calc'!$D:$D,$C91,'All Measure &amp; TRC+ Calc'!$B:$B,$A91)*$E91</f>
        <v>2164.4998837862404</v>
      </c>
      <c r="M91" s="250">
        <f>SUMIFS('All Measure &amp; TRC+ Calc'!AJ:AJ,'All Measure &amp; TRC+ Calc'!$D:$D,$C91,'All Measure &amp; TRC+ Calc'!$B:$B,$A91)*$E91</f>
        <v>0</v>
      </c>
      <c r="N91" s="250">
        <f>SUMIFS('All Measure &amp; TRC+ Calc'!AK:AK,'All Measure &amp; TRC+ Calc'!$D:$D,$C91,'All Measure &amp; TRC+ Calc'!$B:$B,$A91)*$E91</f>
        <v>0</v>
      </c>
      <c r="O91" s="250">
        <f>SUMIFS('All Measure &amp; TRC+ Calc'!AF:AF,'All Measure &amp; TRC+ Calc'!$D:$D,$C91,'All Measure &amp; TRC+ Calc'!$B:$B,$A91)*$E91</f>
        <v>36632000</v>
      </c>
      <c r="P91" s="250">
        <f>SUMIFS('All Measure &amp; TRC+ Calc'!AG:AG,'All Measure &amp; TRC+ Calc'!$D:$D,$C91,'All Measure &amp; TRC+ Calc'!$B:$B,$A91)*$E91</f>
        <v>31503520.000000007</v>
      </c>
      <c r="Q91" s="249">
        <v>1</v>
      </c>
      <c r="R91" s="190">
        <f>SUMIFS(Budget!$E:$E,Budget!$A:$A,$A91,Budget!$C:$C,$C91,Budget!$D:$D,R$7)*Summary[[#This Row],[Budget %  Adjustment]]</f>
        <v>3266180</v>
      </c>
      <c r="S91" s="190">
        <f>SUMIFS(Budget!$E:$E,Budget!$A:$A,$A91,Budget!$C:$C,$C91,Budget!$D:$D,S$7)*Summary[[#This Row],[Budget %  Adjustment]]</f>
        <v>2355795</v>
      </c>
      <c r="T91" s="190">
        <f>SUMIFS(Budget!$E:$E,Budget!$A:$A,$A91,Budget!$C:$C,$C91,Budget!$D:$D,T$7)*Summary[[#This Row],[Budget %  Adjustment]]</f>
        <v>646272</v>
      </c>
      <c r="U91" s="190">
        <f>SUMIFS(Budget!$E:$E,Budget!$A:$A,$A91,Budget!$C:$C,$C91,Budget!$D:$D,U$7)*Summary[[#This Row],[Budget %  Adjustment]]</f>
        <v>0</v>
      </c>
      <c r="V91" s="190">
        <f>Summary[[#This Row],[Promo]]+Summary[[#This Row],[Delivery]]</f>
        <v>3002067</v>
      </c>
      <c r="W91" s="190">
        <f t="shared" si="4"/>
        <v>3002067</v>
      </c>
      <c r="X91" s="190">
        <f t="shared" si="5"/>
        <v>6268247</v>
      </c>
    </row>
    <row r="92" spans="1:24" x14ac:dyDescent="0.25">
      <c r="A92" s="156">
        <v>2029</v>
      </c>
      <c r="B92" s="247" t="s">
        <v>11</v>
      </c>
      <c r="C92" s="247" t="s">
        <v>161</v>
      </c>
      <c r="D92" s="247" t="s">
        <v>133</v>
      </c>
      <c r="E92" s="249">
        <v>1</v>
      </c>
      <c r="F92" s="250">
        <f>SUMIFS('All Measure &amp; TRC+ Calc'!F:F,'All Measure &amp; TRC+ Calc'!$D:$D,$C92,'All Measure &amp; TRC+ Calc'!$B:$B,$A92)*$E92</f>
        <v>10500</v>
      </c>
      <c r="G92" s="250">
        <f>SUMIFS('All Measure &amp; TRC+ Calc'!AD:AD,'All Measure &amp; TRC+ Calc'!$D:$D,$C92,'All Measure &amp; TRC+ Calc'!$B:$B,$A92)*$E92</f>
        <v>2665500</v>
      </c>
      <c r="H92" s="250">
        <f>SUMIFS('All Measure &amp; TRC+ Calc'!AE:AE,'All Measure &amp; TRC+ Calc'!$D:$D,$C92,'All Measure &amp; TRC+ Calc'!$B:$B,$A92)*$E92</f>
        <v>2342955</v>
      </c>
      <c r="I92" s="250">
        <f>SUMIFS('All Measure &amp; TRC+ Calc'!AH:AH,'All Measure &amp; TRC+ Calc'!$D:$D,$C92,'All Measure &amp; TRC+ Calc'!$B:$B,$A92)*$E92</f>
        <v>1883932.8</v>
      </c>
      <c r="J92" s="250">
        <f>SUMIFS('All Measure &amp; TRC+ Calc'!AI:AI,'All Measure &amp; TRC+ Calc'!$D:$D,$C92,'All Measure &amp; TRC+ Calc'!$B:$B,$A92)*$E92</f>
        <v>1634827.8720000004</v>
      </c>
      <c r="K92" s="250">
        <f>SUMIFS('All Measure &amp; TRC+ Calc'!AL:AL,'All Measure &amp; TRC+ Calc'!$D:$D,$C92,'All Measure &amp; TRC+ Calc'!$B:$B,$A92)*$E92</f>
        <v>949.96703659194759</v>
      </c>
      <c r="L92" s="250">
        <f>SUMIFS('All Measure &amp; TRC+ Calc'!AM:AM,'All Measure &amp; TRC+ Calc'!$D:$D,$C92,'All Measure &amp; TRC+ Calc'!$B:$B,$A92)*$E92</f>
        <v>826.30988893483345</v>
      </c>
      <c r="M92" s="250">
        <f>SUMIFS('All Measure &amp; TRC+ Calc'!AJ:AJ,'All Measure &amp; TRC+ Calc'!$D:$D,$C92,'All Measure &amp; TRC+ Calc'!$B:$B,$A92)*$E92</f>
        <v>0</v>
      </c>
      <c r="N92" s="250">
        <f>SUMIFS('All Measure &amp; TRC+ Calc'!AK:AK,'All Measure &amp; TRC+ Calc'!$D:$D,$C92,'All Measure &amp; TRC+ Calc'!$B:$B,$A92)*$E92</f>
        <v>0</v>
      </c>
      <c r="O92" s="250">
        <f>SUMIFS('All Measure &amp; TRC+ Calc'!AF:AF,'All Measure &amp; TRC+ Calc'!$D:$D,$C92,'All Measure &amp; TRC+ Calc'!$B:$B,$A92)*$E92</f>
        <v>60405000</v>
      </c>
      <c r="P92" s="250">
        <f>SUMIFS('All Measure &amp; TRC+ Calc'!AG:AG,'All Measure &amp; TRC+ Calc'!$D:$D,$C92,'All Measure &amp; TRC+ Calc'!$B:$B,$A92)*$E92</f>
        <v>53467050</v>
      </c>
      <c r="Q92" s="249">
        <v>1</v>
      </c>
      <c r="R92" s="190">
        <f>SUMIFS(Budget!$E:$E,Budget!$A:$A,$A92,Budget!$C:$C,$C92,Budget!$D:$D,R$7)*Summary[[#This Row],[Budget %  Adjustment]]</f>
        <v>13452372</v>
      </c>
      <c r="S92" s="190">
        <f>SUMIFS(Budget!$E:$E,Budget!$A:$A,$A92,Budget!$C:$C,$C92,Budget!$D:$D,S$7)*Summary[[#This Row],[Budget %  Adjustment]]</f>
        <v>517348</v>
      </c>
      <c r="T92" s="190">
        <f>SUMIFS(Budget!$E:$E,Budget!$A:$A,$A92,Budget!$C:$C,$C92,Budget!$D:$D,T$7)*Summary[[#This Row],[Budget %  Adjustment]]</f>
        <v>543215</v>
      </c>
      <c r="U92" s="190">
        <f>SUMIFS(Budget!$E:$E,Budget!$A:$A,$A92,Budget!$C:$C,$C92,Budget!$D:$D,U$7)*Summary[[#This Row],[Budget %  Adjustment]]</f>
        <v>0</v>
      </c>
      <c r="V92" s="190">
        <f>Summary[[#This Row],[Promo]]+Summary[[#This Row],[Delivery]]</f>
        <v>1060563</v>
      </c>
      <c r="W92" s="190">
        <f t="shared" si="4"/>
        <v>1060563</v>
      </c>
      <c r="X92" s="190">
        <f t="shared" si="5"/>
        <v>14512935</v>
      </c>
    </row>
    <row r="93" spans="1:24" x14ac:dyDescent="0.25">
      <c r="A93" s="156">
        <v>2029</v>
      </c>
      <c r="B93" s="247" t="s">
        <v>11</v>
      </c>
      <c r="C93" s="247" t="s">
        <v>162</v>
      </c>
      <c r="D93" s="247" t="s">
        <v>133</v>
      </c>
      <c r="E93" s="249">
        <v>1</v>
      </c>
      <c r="F93" s="250">
        <f>SUMIFS('All Measure &amp; TRC+ Calc'!F:F,'All Measure &amp; TRC+ Calc'!$D:$D,$C93,'All Measure &amp; TRC+ Calc'!$B:$B,$A93)*$E93</f>
        <v>226000</v>
      </c>
      <c r="G93" s="250">
        <f>SUMIFS('All Measure &amp; TRC+ Calc'!AD:AD,'All Measure &amp; TRC+ Calc'!$D:$D,$C93,'All Measure &amp; TRC+ Calc'!$B:$B,$A93)*$E93</f>
        <v>5738000</v>
      </c>
      <c r="H93" s="250">
        <f>SUMIFS('All Measure &amp; TRC+ Calc'!AE:AE,'All Measure &amp; TRC+ Calc'!$D:$D,$C93,'All Measure &amp; TRC+ Calc'!$B:$B,$A93)*$E93</f>
        <v>5738000</v>
      </c>
      <c r="I93" s="250">
        <f>SUMIFS('All Measure &amp; TRC+ Calc'!AH:AH,'All Measure &amp; TRC+ Calc'!$D:$D,$C93,'All Measure &amp; TRC+ Calc'!$B:$B,$A93)*$E93</f>
        <v>3092834.0425531915</v>
      </c>
      <c r="J93" s="250">
        <f>SUMIFS('All Measure &amp; TRC+ Calc'!AI:AI,'All Measure &amp; TRC+ Calc'!$D:$D,$C93,'All Measure &amp; TRC+ Calc'!$B:$B,$A93)*$E93</f>
        <v>3092834.0425531915</v>
      </c>
      <c r="K93" s="250">
        <f>SUMIFS('All Measure &amp; TRC+ Calc'!AL:AL,'All Measure &amp; TRC+ Calc'!$D:$D,$C93,'All Measure &amp; TRC+ Calc'!$B:$B,$A93)*$E93</f>
        <v>400.76775528800874</v>
      </c>
      <c r="L93" s="250">
        <f>SUMIFS('All Measure &amp; TRC+ Calc'!AM:AM,'All Measure &amp; TRC+ Calc'!$D:$D,$C93,'All Measure &amp; TRC+ Calc'!$B:$B,$A93)*$E93</f>
        <v>400.76775528800874</v>
      </c>
      <c r="M93" s="250">
        <f>SUMIFS('All Measure &amp; TRC+ Calc'!AJ:AJ,'All Measure &amp; TRC+ Calc'!$D:$D,$C93,'All Measure &amp; TRC+ Calc'!$B:$B,$A93)*$E93</f>
        <v>0</v>
      </c>
      <c r="N93" s="250">
        <f>SUMIFS('All Measure &amp; TRC+ Calc'!AK:AK,'All Measure &amp; TRC+ Calc'!$D:$D,$C93,'All Measure &amp; TRC+ Calc'!$B:$B,$A93)*$E93</f>
        <v>0</v>
      </c>
      <c r="O93" s="250">
        <f>SUMIFS('All Measure &amp; TRC+ Calc'!AF:AF,'All Measure &amp; TRC+ Calc'!$D:$D,$C93,'All Measure &amp; TRC+ Calc'!$B:$B,$A93)*$E93</f>
        <v>5738000</v>
      </c>
      <c r="P93" s="250">
        <f>SUMIFS('All Measure &amp; TRC+ Calc'!AG:AG,'All Measure &amp; TRC+ Calc'!$D:$D,$C93,'All Measure &amp; TRC+ Calc'!$B:$B,$A93)*$E93</f>
        <v>5738000</v>
      </c>
      <c r="Q93" s="249">
        <v>1</v>
      </c>
      <c r="R93" s="190">
        <f>SUMIFS(Budget!$E:$E,Budget!$A:$A,$A93,Budget!$C:$C,$C93,Budget!$D:$D,R$7)*Summary[[#This Row],[Budget %  Adjustment]]</f>
        <v>0</v>
      </c>
      <c r="S93" s="190">
        <f>SUMIFS(Budget!$E:$E,Budget!$A:$A,$A93,Budget!$C:$C,$C93,Budget!$D:$D,S$7)*Summary[[#This Row],[Budget %  Adjustment]]</f>
        <v>51735</v>
      </c>
      <c r="T93" s="190">
        <f>SUMIFS(Budget!$E:$E,Budget!$A:$A,$A93,Budget!$C:$C,$C93,Budget!$D:$D,T$7)*Summary[[#This Row],[Budget %  Adjustment]]</f>
        <v>2948883</v>
      </c>
      <c r="U93" s="190">
        <f>SUMIFS(Budget!$E:$E,Budget!$A:$A,$A93,Budget!$C:$C,$C93,Budget!$D:$D,U$7)*Summary[[#This Row],[Budget %  Adjustment]]</f>
        <v>0</v>
      </c>
      <c r="V93" s="190">
        <f>Summary[[#This Row],[Promo]]+Summary[[#This Row],[Delivery]]</f>
        <v>3000618</v>
      </c>
      <c r="W93" s="190">
        <f t="shared" si="4"/>
        <v>3000618</v>
      </c>
      <c r="X93" s="190">
        <f t="shared" si="5"/>
        <v>3000618</v>
      </c>
    </row>
    <row r="94" spans="1:24" x14ac:dyDescent="0.25">
      <c r="A94" s="156">
        <v>2029</v>
      </c>
      <c r="B94" s="247" t="s">
        <v>11</v>
      </c>
      <c r="C94" s="247" t="s">
        <v>17</v>
      </c>
      <c r="D94" s="247" t="s">
        <v>17</v>
      </c>
      <c r="E94" s="249">
        <v>1</v>
      </c>
      <c r="F94" s="250">
        <f>SUMIFS('All Measure &amp; TRC+ Calc'!F:F,'All Measure &amp; TRC+ Calc'!$D:$D,$C94,'All Measure &amp; TRC+ Calc'!$B:$B,$A94)*$E94</f>
        <v>0</v>
      </c>
      <c r="G94" s="250">
        <f>SUMIFS('All Measure &amp; TRC+ Calc'!AD:AD,'All Measure &amp; TRC+ Calc'!$D:$D,$C94,'All Measure &amp; TRC+ Calc'!$B:$B,$A94)*$E94</f>
        <v>0</v>
      </c>
      <c r="H94" s="250">
        <f>SUMIFS('All Measure &amp; TRC+ Calc'!AE:AE,'All Measure &amp; TRC+ Calc'!$D:$D,$C94,'All Measure &amp; TRC+ Calc'!$B:$B,$A94)*$E94</f>
        <v>0</v>
      </c>
      <c r="I94" s="250">
        <f>SUMIFS('All Measure &amp; TRC+ Calc'!AH:AH,'All Measure &amp; TRC+ Calc'!$D:$D,$C94,'All Measure &amp; TRC+ Calc'!$B:$B,$A94)*$E94</f>
        <v>0</v>
      </c>
      <c r="J94" s="250">
        <f>SUMIFS('All Measure &amp; TRC+ Calc'!AI:AI,'All Measure &amp; TRC+ Calc'!$D:$D,$C94,'All Measure &amp; TRC+ Calc'!$B:$B,$A94)*$E94</f>
        <v>0</v>
      </c>
      <c r="K94" s="250">
        <f>SUMIFS('All Measure &amp; TRC+ Calc'!AL:AL,'All Measure &amp; TRC+ Calc'!$D:$D,$C94,'All Measure &amp; TRC+ Calc'!$B:$B,$A94)*$E94</f>
        <v>0</v>
      </c>
      <c r="L94" s="250">
        <f>SUMIFS('All Measure &amp; TRC+ Calc'!AM:AM,'All Measure &amp; TRC+ Calc'!$D:$D,$C94,'All Measure &amp; TRC+ Calc'!$B:$B,$A94)*$E94</f>
        <v>0</v>
      </c>
      <c r="M94" s="250">
        <f>SUMIFS('All Measure &amp; TRC+ Calc'!AJ:AJ,'All Measure &amp; TRC+ Calc'!$D:$D,$C94,'All Measure &amp; TRC+ Calc'!$B:$B,$A94)*$E94</f>
        <v>0</v>
      </c>
      <c r="N94" s="250">
        <f>SUMIFS('All Measure &amp; TRC+ Calc'!AK:AK,'All Measure &amp; TRC+ Calc'!$D:$D,$C94,'All Measure &amp; TRC+ Calc'!$B:$B,$A94)*$E94</f>
        <v>0</v>
      </c>
      <c r="O94" s="250">
        <f>SUMIFS('All Measure &amp; TRC+ Calc'!AF:AF,'All Measure &amp; TRC+ Calc'!$D:$D,$C94,'All Measure &amp; TRC+ Calc'!$B:$B,$A94)*$E94</f>
        <v>0</v>
      </c>
      <c r="P94" s="250">
        <f>SUMIFS('All Measure &amp; TRC+ Calc'!AG:AG,'All Measure &amp; TRC+ Calc'!$D:$D,$C94,'All Measure &amp; TRC+ Calc'!$B:$B,$A94)*$E94</f>
        <v>0</v>
      </c>
      <c r="Q94" s="249">
        <v>1</v>
      </c>
      <c r="R94" s="190">
        <f>SUMIFS(Budget!$E:$E,Budget!$A:$A,$A94,Budget!$C:$C,$C94,Budget!$D:$D,R$7)*Summary[[#This Row],[Budget %  Adjustment]]</f>
        <v>0</v>
      </c>
      <c r="S94" s="190">
        <f>SUMIFS(Budget!$E:$E,Budget!$A:$A,$A94,Budget!$C:$C,$C94,Budget!$D:$D,S$7)*Summary[[#This Row],[Budget %  Adjustment]]</f>
        <v>0</v>
      </c>
      <c r="T94" s="190">
        <f>SUMIFS(Budget!$E:$E,Budget!$A:$A,$A94,Budget!$C:$C,$C94,Budget!$D:$D,T$7)*Summary[[#This Row],[Budget %  Adjustment]]</f>
        <v>0</v>
      </c>
      <c r="U94" s="190">
        <f>SUMIFS(Budget!$E:$E,Budget!$A:$A,$A94,Budget!$C:$C,$C94,Budget!$D:$D,U$7)*Summary[[#This Row],[Budget %  Adjustment]]</f>
        <v>2663036</v>
      </c>
      <c r="V94" s="190">
        <f>Summary[[#This Row],[Promo]]+Summary[[#This Row],[Delivery]]</f>
        <v>0</v>
      </c>
      <c r="W94" s="190">
        <f t="shared" si="4"/>
        <v>2663036</v>
      </c>
      <c r="X94" s="190">
        <f t="shared" si="5"/>
        <v>2663036</v>
      </c>
    </row>
    <row r="95" spans="1:24" x14ac:dyDescent="0.25">
      <c r="A95" s="156">
        <v>2029</v>
      </c>
      <c r="B95" s="247" t="s">
        <v>13</v>
      </c>
      <c r="C95" s="247" t="s">
        <v>9</v>
      </c>
      <c r="D95" s="247" t="s">
        <v>133</v>
      </c>
      <c r="E95" s="249">
        <v>1</v>
      </c>
      <c r="F95" s="250">
        <f>SUMIFS('All Measure &amp; TRC+ Calc'!F:F,'All Measure &amp; TRC+ Calc'!$D:$D,$C95,'All Measure &amp; TRC+ Calc'!$B:$B,$A95)*$E95</f>
        <v>1473</v>
      </c>
      <c r="G95" s="250">
        <f>SUMIFS('All Measure &amp; TRC+ Calc'!AD:AD,'All Measure &amp; TRC+ Calc'!$D:$D,$C95,'All Measure &amp; TRC+ Calc'!$B:$B,$A95)*$E95</f>
        <v>28742493.010691494</v>
      </c>
      <c r="H95" s="250">
        <f>SUMIFS('All Measure &amp; TRC+ Calc'!AE:AE,'All Measure &amp; TRC+ Calc'!$D:$D,$C95,'All Measure &amp; TRC+ Calc'!$B:$B,$A95)*$E95</f>
        <v>21570369.758018624</v>
      </c>
      <c r="I95" s="250">
        <f>SUMIFS('All Measure &amp; TRC+ Calc'!AH:AH,'All Measure &amp; TRC+ Calc'!$D:$D,$C95,'All Measure &amp; TRC+ Calc'!$B:$B,$A95)*$E95</f>
        <v>-7512606.592308348</v>
      </c>
      <c r="J95" s="250">
        <f>SUMIFS('All Measure &amp; TRC+ Calc'!AI:AI,'All Measure &amp; TRC+ Calc'!$D:$D,$C95,'All Measure &amp; TRC+ Calc'!$B:$B,$A95)*$E95</f>
        <v>-5634454.9442312596</v>
      </c>
      <c r="K95" s="250">
        <f>SUMIFS('All Measure &amp; TRC+ Calc'!AL:AL,'All Measure &amp; TRC+ Calc'!$D:$D,$C95,'All Measure &amp; TRC+ Calc'!$B:$B,$A95)*$E95</f>
        <v>768.22064028893419</v>
      </c>
      <c r="L95" s="250">
        <f>SUMIFS('All Measure &amp; TRC+ Calc'!AM:AM,'All Measure &amp; TRC+ Calc'!$D:$D,$C95,'All Measure &amp; TRC+ Calc'!$B:$B,$A95)*$E95</f>
        <v>576.16548021670076</v>
      </c>
      <c r="M95" s="250">
        <f>SUMIFS('All Measure &amp; TRC+ Calc'!AJ:AJ,'All Measure &amp; TRC+ Calc'!$D:$D,$C95,'All Measure &amp; TRC+ Calc'!$B:$B,$A95)*$E95</f>
        <v>27559.592666666667</v>
      </c>
      <c r="N95" s="250">
        <f>SUMIFS('All Measure &amp; TRC+ Calc'!AK:AK,'All Measure &amp; TRC+ Calc'!$D:$D,$C95,'All Measure &amp; TRC+ Calc'!$B:$B,$A95)*$E95</f>
        <v>20669.694499999998</v>
      </c>
      <c r="O95" s="250">
        <f>SUMIFS('All Measure &amp; TRC+ Calc'!AF:AF,'All Measure &amp; TRC+ Calc'!$D:$D,$C95,'All Measure &amp; TRC+ Calc'!$B:$B,$A95)*$E95</f>
        <v>442539467.43158895</v>
      </c>
      <c r="P95" s="250">
        <f>SUMIFS('All Measure &amp; TRC+ Calc'!AG:AG,'All Measure &amp; TRC+ Calc'!$D:$D,$C95,'All Measure &amp; TRC+ Calc'!$B:$B,$A95)*$E95</f>
        <v>332039600.57369167</v>
      </c>
      <c r="Q95" s="249">
        <v>1</v>
      </c>
      <c r="R95" s="190">
        <f>SUMIFS(Budget!$E:$E,Budget!$A:$A,$A95,Budget!$C:$C,$C95,Budget!$D:$D,R$7)*Summary[[#This Row],[Budget %  Adjustment]]</f>
        <v>18081220</v>
      </c>
      <c r="S95" s="190">
        <f>SUMIFS(Budget!$E:$E,Budget!$A:$A,$A95,Budget!$C:$C,$C95,Budget!$D:$D,S$7)*Summary[[#This Row],[Budget %  Adjustment]]</f>
        <v>661688</v>
      </c>
      <c r="T95" s="190">
        <f>SUMIFS(Budget!$E:$E,Budget!$A:$A,$A95,Budget!$C:$C,$C95,Budget!$D:$D,T$7)*Summary[[#This Row],[Budget %  Adjustment]]</f>
        <v>380768</v>
      </c>
      <c r="U95" s="190">
        <f>SUMIFS(Budget!$E:$E,Budget!$A:$A,$A95,Budget!$C:$C,$C95,Budget!$D:$D,U$7)*Summary[[#This Row],[Budget %  Adjustment]]</f>
        <v>0</v>
      </c>
      <c r="V95" s="190">
        <f>Summary[[#This Row],[Promo]]+Summary[[#This Row],[Delivery]]</f>
        <v>1042456</v>
      </c>
      <c r="W95" s="190">
        <f t="shared" si="4"/>
        <v>1042456</v>
      </c>
      <c r="X95" s="190">
        <f t="shared" si="5"/>
        <v>19123676</v>
      </c>
    </row>
    <row r="96" spans="1:24" x14ac:dyDescent="0.25">
      <c r="A96" s="156">
        <v>2029</v>
      </c>
      <c r="B96" s="247" t="s">
        <v>13</v>
      </c>
      <c r="C96" s="247" t="s">
        <v>163</v>
      </c>
      <c r="D96" s="247" t="s">
        <v>133</v>
      </c>
      <c r="E96" s="249">
        <v>1</v>
      </c>
      <c r="F96" s="250">
        <f>SUMIFS('All Measure &amp; TRC+ Calc'!F:F,'All Measure &amp; TRC+ Calc'!$D:$D,$C96,'All Measure &amp; TRC+ Calc'!$B:$B,$A96)*$E96</f>
        <v>2780</v>
      </c>
      <c r="G96" s="250">
        <f>SUMIFS('All Measure &amp; TRC+ Calc'!AD:AD,'All Measure &amp; TRC+ Calc'!$D:$D,$C96,'All Measure &amp; TRC+ Calc'!$B:$B,$A96)*$E96</f>
        <v>6729276.9629867077</v>
      </c>
      <c r="H96" s="250">
        <f>SUMIFS('All Measure &amp; TRC+ Calc'!AE:AE,'All Measure &amp; TRC+ Calc'!$D:$D,$C96,'All Measure &amp; TRC+ Calc'!$B:$B,$A96)*$E96</f>
        <v>3818289.6984629072</v>
      </c>
      <c r="I96" s="250">
        <f>SUMIFS('All Measure &amp; TRC+ Calc'!AH:AH,'All Measure &amp; TRC+ Calc'!$D:$D,$C96,'All Measure &amp; TRC+ Calc'!$B:$B,$A96)*$E96</f>
        <v>-257259.2476513068</v>
      </c>
      <c r="J96" s="250">
        <f>SUMIFS('All Measure &amp; TRC+ Calc'!AI:AI,'All Measure &amp; TRC+ Calc'!$D:$D,$C96,'All Measure &amp; TRC+ Calc'!$B:$B,$A96)*$E96</f>
        <v>539823.57081978268</v>
      </c>
      <c r="K96" s="250">
        <f>SUMIFS('All Measure &amp; TRC+ Calc'!AL:AL,'All Measure &amp; TRC+ Calc'!$D:$D,$C96,'All Measure &amp; TRC+ Calc'!$B:$B,$A96)*$E96</f>
        <v>-1161.3172448565476</v>
      </c>
      <c r="L96" s="250">
        <f>SUMIFS('All Measure &amp; TRC+ Calc'!AM:AM,'All Measure &amp; TRC+ Calc'!$D:$D,$C96,'All Measure &amp; TRC+ Calc'!$B:$B,$A96)*$E96</f>
        <v>-303.95844227048718</v>
      </c>
      <c r="M96" s="250">
        <f>SUMIFS('All Measure &amp; TRC+ Calc'!AJ:AJ,'All Measure &amp; TRC+ Calc'!$D:$D,$C96,'All Measure &amp; TRC+ Calc'!$B:$B,$A96)*$E96</f>
        <v>16033.350000000002</v>
      </c>
      <c r="N96" s="250">
        <f>SUMIFS('All Measure &amp; TRC+ Calc'!AK:AK,'All Measure &amp; TRC+ Calc'!$D:$D,$C96,'All Measure &amp; TRC+ Calc'!$B:$B,$A96)*$E96</f>
        <v>14750.682000000003</v>
      </c>
      <c r="O96" s="250">
        <f>SUMIFS('All Measure &amp; TRC+ Calc'!AF:AF,'All Measure &amp; TRC+ Calc'!$D:$D,$C96,'All Measure &amp; TRC+ Calc'!$B:$B,$A96)*$E96</f>
        <v>90395219.375349715</v>
      </c>
      <c r="P96" s="250">
        <f>SUMIFS('All Measure &amp; TRC+ Calc'!AG:AG,'All Measure &amp; TRC+ Calc'!$D:$D,$C96,'All Measure &amp; TRC+ Calc'!$B:$B,$A96)*$E96</f>
        <v>52765192.680396818</v>
      </c>
      <c r="Q96" s="249">
        <v>1</v>
      </c>
      <c r="R96" s="190">
        <f>SUMIFS(Budget!$E:$E,Budget!$A:$A,$A96,Budget!$C:$C,$C96,Budget!$D:$D,R$7)*Summary[[#This Row],[Budget %  Adjustment]]</f>
        <v>4969196</v>
      </c>
      <c r="S96" s="190">
        <f>SUMIFS(Budget!$E:$E,Budget!$A:$A,$A96,Budget!$C:$C,$C96,Budget!$D:$D,S$7)*Summary[[#This Row],[Budget %  Adjustment]]</f>
        <v>479582</v>
      </c>
      <c r="T96" s="190">
        <f>SUMIFS(Budget!$E:$E,Budget!$A:$A,$A96,Budget!$C:$C,$C96,Budget!$D:$D,T$7)*Summary[[#This Row],[Budget %  Adjustment]]</f>
        <v>575291</v>
      </c>
      <c r="U96" s="190">
        <f>SUMIFS(Budget!$E:$E,Budget!$A:$A,$A96,Budget!$C:$C,$C96,Budget!$D:$D,U$7)*Summary[[#This Row],[Budget %  Adjustment]]</f>
        <v>0</v>
      </c>
      <c r="V96" s="190">
        <f>Summary[[#This Row],[Promo]]+Summary[[#This Row],[Delivery]]</f>
        <v>1054873</v>
      </c>
      <c r="W96" s="190">
        <f t="shared" si="4"/>
        <v>1054873</v>
      </c>
      <c r="X96" s="190">
        <f t="shared" si="5"/>
        <v>6024069</v>
      </c>
    </row>
    <row r="97" spans="1:24" x14ac:dyDescent="0.25">
      <c r="A97" s="156">
        <v>2029</v>
      </c>
      <c r="B97" s="247" t="s">
        <v>13</v>
      </c>
      <c r="C97" s="247" t="s">
        <v>164</v>
      </c>
      <c r="D97" s="247" t="s">
        <v>133</v>
      </c>
      <c r="E97" s="249">
        <v>1</v>
      </c>
      <c r="F97" s="250">
        <f>SUMIFS('All Measure &amp; TRC+ Calc'!F:F,'All Measure &amp; TRC+ Calc'!$D:$D,$C97,'All Measure &amp; TRC+ Calc'!$B:$B,$A97)*$E97</f>
        <v>3164</v>
      </c>
      <c r="G97" s="250">
        <f>SUMIFS('All Measure &amp; TRC+ Calc'!AD:AD,'All Measure &amp; TRC+ Calc'!$D:$D,$C97,'All Measure &amp; TRC+ Calc'!$B:$B,$A97)*$E97</f>
        <v>7631699.5319267735</v>
      </c>
      <c r="H97" s="250">
        <f>SUMIFS('All Measure &amp; TRC+ Calc'!AE:AE,'All Measure &amp; TRC+ Calc'!$D:$D,$C97,'All Measure &amp; TRC+ Calc'!$B:$B,$A97)*$E97</f>
        <v>7263120.1553304363</v>
      </c>
      <c r="I97" s="250">
        <f>SUMIFS('All Measure &amp; TRC+ Calc'!AH:AH,'All Measure &amp; TRC+ Calc'!$D:$D,$C97,'All Measure &amp; TRC+ Calc'!$B:$B,$A97)*$E97</f>
        <v>4560944.6784981629</v>
      </c>
      <c r="J97" s="250">
        <f>SUMIFS('All Measure &amp; TRC+ Calc'!AI:AI,'All Measure &amp; TRC+ Calc'!$D:$D,$C97,'All Measure &amp; TRC+ Calc'!$B:$B,$A97)*$E97</f>
        <v>4357396.182173254</v>
      </c>
      <c r="K97" s="250">
        <f>SUMIFS('All Measure &amp; TRC+ Calc'!AL:AL,'All Measure &amp; TRC+ Calc'!$D:$D,$C97,'All Measure &amp; TRC+ Calc'!$B:$B,$A97)*$E97</f>
        <v>1729.5888143242923</v>
      </c>
      <c r="L97" s="250">
        <f>SUMIFS('All Measure &amp; TRC+ Calc'!AM:AM,'All Measure &amp; TRC+ Calc'!$D:$D,$C97,'All Measure &amp; TRC+ Calc'!$B:$B,$A97)*$E97</f>
        <v>1655.3977376273569</v>
      </c>
      <c r="M97" s="250">
        <f>SUMIFS('All Measure &amp; TRC+ Calc'!AJ:AJ,'All Measure &amp; TRC+ Calc'!$D:$D,$C97,'All Measure &amp; TRC+ Calc'!$B:$B,$A97)*$E97</f>
        <v>0</v>
      </c>
      <c r="N97" s="250">
        <f>SUMIFS('All Measure &amp; TRC+ Calc'!AK:AK,'All Measure &amp; TRC+ Calc'!$D:$D,$C97,'All Measure &amp; TRC+ Calc'!$B:$B,$A97)*$E97</f>
        <v>0</v>
      </c>
      <c r="O97" s="250">
        <f>SUMIFS('All Measure &amp; TRC+ Calc'!AF:AF,'All Measure &amp; TRC+ Calc'!$D:$D,$C97,'All Measure &amp; TRC+ Calc'!$B:$B,$A97)*$E97</f>
        <v>92272158.351675153</v>
      </c>
      <c r="P97" s="250">
        <f>SUMIFS('All Measure &amp; TRC+ Calc'!AG:AG,'All Measure &amp; TRC+ Calc'!$D:$D,$C97,'All Measure &amp; TRC+ Calc'!$B:$B,$A97)*$E97</f>
        <v>87825645.634091377</v>
      </c>
      <c r="Q97" s="249">
        <v>1</v>
      </c>
      <c r="R97" s="190">
        <f>SUMIFS(Budget!$E:$E,Budget!$A:$A,$A97,Budget!$C:$C,$C97,Budget!$D:$D,R$7)*Summary[[#This Row],[Budget %  Adjustment]]</f>
        <v>12166684</v>
      </c>
      <c r="S97" s="190">
        <f>SUMIFS(Budget!$E:$E,Budget!$A:$A,$A97,Budget!$C:$C,$C97,Budget!$D:$D,S$7)*Summary[[#This Row],[Budget %  Adjustment]]</f>
        <v>425778</v>
      </c>
      <c r="T97" s="190">
        <f>SUMIFS(Budget!$E:$E,Budget!$A:$A,$A97,Budget!$C:$C,$C97,Budget!$D:$D,T$7)*Summary[[#This Row],[Budget %  Adjustment]]</f>
        <v>654756</v>
      </c>
      <c r="U97" s="190">
        <f>SUMIFS(Budget!$E:$E,Budget!$A:$A,$A97,Budget!$C:$C,$C97,Budget!$D:$D,U$7)*Summary[[#This Row],[Budget %  Adjustment]]</f>
        <v>0</v>
      </c>
      <c r="V97" s="190">
        <f>Summary[[#This Row],[Promo]]+Summary[[#This Row],[Delivery]]</f>
        <v>1080534</v>
      </c>
      <c r="W97" s="190">
        <f t="shared" si="4"/>
        <v>1080534</v>
      </c>
      <c r="X97" s="190">
        <f t="shared" si="5"/>
        <v>13247218</v>
      </c>
    </row>
    <row r="98" spans="1:24" x14ac:dyDescent="0.25">
      <c r="A98" s="156">
        <v>2029</v>
      </c>
      <c r="B98" s="247" t="s">
        <v>13</v>
      </c>
      <c r="C98" s="247" t="s">
        <v>165</v>
      </c>
      <c r="D98" s="247" t="s">
        <v>133</v>
      </c>
      <c r="E98" s="249">
        <v>1</v>
      </c>
      <c r="F98" s="250">
        <f>SUMIFS('All Measure &amp; TRC+ Calc'!F:F,'All Measure &amp; TRC+ Calc'!$D:$D,$C98,'All Measure &amp; TRC+ Calc'!$B:$B,$A98)*$E98</f>
        <v>2172</v>
      </c>
      <c r="G98" s="250">
        <f>SUMIFS('All Measure &amp; TRC+ Calc'!AD:AD,'All Measure &amp; TRC+ Calc'!$D:$D,$C98,'All Measure &amp; TRC+ Calc'!$B:$B,$A98)*$E98</f>
        <v>3005740.4675240275</v>
      </c>
      <c r="H98" s="250">
        <f>SUMIFS('All Measure &amp; TRC+ Calc'!AE:AE,'All Measure &amp; TRC+ Calc'!$D:$D,$C98,'All Measure &amp; TRC+ Calc'!$B:$B,$A98)*$E98</f>
        <v>2404592.3740192219</v>
      </c>
      <c r="I98" s="250">
        <f>SUMIFS('All Measure &amp; TRC+ Calc'!AH:AH,'All Measure &amp; TRC+ Calc'!$D:$D,$C98,'All Measure &amp; TRC+ Calc'!$B:$B,$A98)*$E98</f>
        <v>3826468.136370732</v>
      </c>
      <c r="J98" s="250">
        <f>SUMIFS('All Measure &amp; TRC+ Calc'!AI:AI,'All Measure &amp; TRC+ Calc'!$D:$D,$C98,'All Measure &amp; TRC+ Calc'!$B:$B,$A98)*$E98</f>
        <v>3061174.5090965857</v>
      </c>
      <c r="K98" s="250">
        <f>SUMIFS('All Measure &amp; TRC+ Calc'!AL:AL,'All Measure &amp; TRC+ Calc'!$D:$D,$C98,'All Measure &amp; TRC+ Calc'!$B:$B,$A98)*$E98</f>
        <v>436.81143109254532</v>
      </c>
      <c r="L98" s="250">
        <f>SUMIFS('All Measure &amp; TRC+ Calc'!AM:AM,'All Measure &amp; TRC+ Calc'!$D:$D,$C98,'All Measure &amp; TRC+ Calc'!$B:$B,$A98)*$E98</f>
        <v>349.44914487403634</v>
      </c>
      <c r="M98" s="250">
        <f>SUMIFS('All Measure &amp; TRC+ Calc'!AJ:AJ,'All Measure &amp; TRC+ Calc'!$D:$D,$C98,'All Measure &amp; TRC+ Calc'!$B:$B,$A98)*$E98</f>
        <v>165914.54770138091</v>
      </c>
      <c r="N98" s="250">
        <f>SUMIFS('All Measure &amp; TRC+ Calc'!AK:AK,'All Measure &amp; TRC+ Calc'!$D:$D,$C98,'All Measure &amp; TRC+ Calc'!$B:$B,$A98)*$E98</f>
        <v>132731.63816110473</v>
      </c>
      <c r="O98" s="250">
        <f>SUMIFS('All Measure &amp; TRC+ Calc'!AF:AF,'All Measure &amp; TRC+ Calc'!$D:$D,$C98,'All Measure &amp; TRC+ Calc'!$B:$B,$A98)*$E98</f>
        <v>37727193.561507843</v>
      </c>
      <c r="P98" s="250">
        <f>SUMIFS('All Measure &amp; TRC+ Calc'!AG:AG,'All Measure &amp; TRC+ Calc'!$D:$D,$C98,'All Measure &amp; TRC+ Calc'!$B:$B,$A98)*$E98</f>
        <v>30181754.849206273</v>
      </c>
      <c r="Q98" s="249">
        <v>1</v>
      </c>
      <c r="R98" s="190">
        <f>SUMIFS(Budget!$E:$E,Budget!$A:$A,$A98,Budget!$C:$C,$C98,Budget!$D:$D,R$7)*Summary[[#This Row],[Budget %  Adjustment]]</f>
        <v>2783877</v>
      </c>
      <c r="S98" s="190">
        <f>SUMIFS(Budget!$E:$E,Budget!$A:$A,$A98,Budget!$C:$C,$C98,Budget!$D:$D,S$7)*Summary[[#This Row],[Budget %  Adjustment]]</f>
        <v>380250</v>
      </c>
      <c r="T98" s="190">
        <f>SUMIFS(Budget!$E:$E,Budget!$A:$A,$A98,Budget!$C:$C,$C98,Budget!$D:$D,T$7)*Summary[[#This Row],[Budget %  Adjustment]]</f>
        <v>1157824</v>
      </c>
      <c r="U98" s="190">
        <f>SUMIFS(Budget!$E:$E,Budget!$A:$A,$A98,Budget!$C:$C,$C98,Budget!$D:$D,U$7)*Summary[[#This Row],[Budget %  Adjustment]]</f>
        <v>0</v>
      </c>
      <c r="V98" s="190">
        <f>Summary[[#This Row],[Promo]]+Summary[[#This Row],[Delivery]]</f>
        <v>1538074</v>
      </c>
      <c r="W98" s="190">
        <f t="shared" si="4"/>
        <v>1538074</v>
      </c>
      <c r="X98" s="190">
        <f t="shared" si="5"/>
        <v>4321951</v>
      </c>
    </row>
    <row r="99" spans="1:24" x14ac:dyDescent="0.25">
      <c r="A99" s="156">
        <v>2029</v>
      </c>
      <c r="B99" s="247" t="s">
        <v>13</v>
      </c>
      <c r="C99" s="247" t="s">
        <v>166</v>
      </c>
      <c r="D99" s="247" t="s">
        <v>133</v>
      </c>
      <c r="E99" s="249">
        <v>1</v>
      </c>
      <c r="F99" s="250">
        <f>SUMIFS('All Measure &amp; TRC+ Calc'!F:F,'All Measure &amp; TRC+ Calc'!$D:$D,$C99,'All Measure &amp; TRC+ Calc'!$B:$B,$A99)*$E99</f>
        <v>110</v>
      </c>
      <c r="G99" s="250">
        <f>SUMIFS('All Measure &amp; TRC+ Calc'!AD:AD,'All Measure &amp; TRC+ Calc'!$D:$D,$C99,'All Measure &amp; TRC+ Calc'!$B:$B,$A99)*$E99</f>
        <v>414472.66014887032</v>
      </c>
      <c r="H99" s="250">
        <f>SUMIFS('All Measure &amp; TRC+ Calc'!AE:AE,'All Measure &amp; TRC+ Calc'!$D:$D,$C99,'All Measure &amp; TRC+ Calc'!$B:$B,$A99)*$E99</f>
        <v>310854.49511165277</v>
      </c>
      <c r="I99" s="250">
        <f>SUMIFS('All Measure &amp; TRC+ Calc'!AH:AH,'All Measure &amp; TRC+ Calc'!$D:$D,$C99,'All Measure &amp; TRC+ Calc'!$B:$B,$A99)*$E99</f>
        <v>0</v>
      </c>
      <c r="J99" s="250">
        <f>SUMIFS('All Measure &amp; TRC+ Calc'!AI:AI,'All Measure &amp; TRC+ Calc'!$D:$D,$C99,'All Measure &amp; TRC+ Calc'!$B:$B,$A99)*$E99</f>
        <v>0</v>
      </c>
      <c r="K99" s="250">
        <f>SUMIFS('All Measure &amp; TRC+ Calc'!AL:AL,'All Measure &amp; TRC+ Calc'!$D:$D,$C99,'All Measure &amp; TRC+ Calc'!$B:$B,$A99)*$E99</f>
        <v>0</v>
      </c>
      <c r="L99" s="250">
        <f>SUMIFS('All Measure &amp; TRC+ Calc'!AM:AM,'All Measure &amp; TRC+ Calc'!$D:$D,$C99,'All Measure &amp; TRC+ Calc'!$B:$B,$A99)*$E99</f>
        <v>0</v>
      </c>
      <c r="M99" s="250">
        <f>SUMIFS('All Measure &amp; TRC+ Calc'!AJ:AJ,'All Measure &amp; TRC+ Calc'!$D:$D,$C99,'All Measure &amp; TRC+ Calc'!$B:$B,$A99)*$E99</f>
        <v>0</v>
      </c>
      <c r="N99" s="250">
        <f>SUMIFS('All Measure &amp; TRC+ Calc'!AK:AK,'All Measure &amp; TRC+ Calc'!$D:$D,$C99,'All Measure &amp; TRC+ Calc'!$B:$B,$A99)*$E99</f>
        <v>0</v>
      </c>
      <c r="O99" s="250">
        <f>SUMIFS('All Measure &amp; TRC+ Calc'!AF:AF,'All Measure &amp; TRC+ Calc'!$D:$D,$C99,'All Measure &amp; TRC+ Calc'!$B:$B,$A99)*$E99</f>
        <v>2072363.3007443515</v>
      </c>
      <c r="P99" s="250">
        <f>SUMIFS('All Measure &amp; TRC+ Calc'!AG:AG,'All Measure &amp; TRC+ Calc'!$D:$D,$C99,'All Measure &amp; TRC+ Calc'!$B:$B,$A99)*$E99</f>
        <v>1554272.4755582639</v>
      </c>
      <c r="Q99" s="249">
        <v>1</v>
      </c>
      <c r="R99" s="190">
        <f>SUMIFS(Budget!$E:$E,Budget!$A:$A,$A99,Budget!$C:$C,$C99,Budget!$D:$D,R$7)*Summary[[#This Row],[Budget %  Adjustment]]</f>
        <v>403278</v>
      </c>
      <c r="S99" s="190">
        <f>SUMIFS(Budget!$E:$E,Budget!$A:$A,$A99,Budget!$C:$C,$C99,Budget!$D:$D,S$7)*Summary[[#This Row],[Budget %  Adjustment]]</f>
        <v>103470</v>
      </c>
      <c r="T99" s="190">
        <f>SUMIFS(Budget!$E:$E,Budget!$A:$A,$A99,Budget!$C:$C,$C99,Budget!$D:$D,T$7)*Summary[[#This Row],[Budget %  Adjustment]]</f>
        <v>239325</v>
      </c>
      <c r="U99" s="190">
        <f>SUMIFS(Budget!$E:$E,Budget!$A:$A,$A99,Budget!$C:$C,$C99,Budget!$D:$D,U$7)*Summary[[#This Row],[Budget %  Adjustment]]</f>
        <v>0</v>
      </c>
      <c r="V99" s="190">
        <f>Summary[[#This Row],[Promo]]+Summary[[#This Row],[Delivery]]</f>
        <v>342795</v>
      </c>
      <c r="W99" s="190">
        <f t="shared" si="4"/>
        <v>342795</v>
      </c>
      <c r="X99" s="190">
        <f t="shared" si="5"/>
        <v>746073</v>
      </c>
    </row>
    <row r="100" spans="1:24" x14ac:dyDescent="0.25">
      <c r="A100" s="156">
        <v>2029</v>
      </c>
      <c r="B100" s="247" t="s">
        <v>13</v>
      </c>
      <c r="C100" s="247" t="s">
        <v>167</v>
      </c>
      <c r="D100" s="247" t="s">
        <v>133</v>
      </c>
      <c r="E100" s="249">
        <v>1</v>
      </c>
      <c r="F100" s="250">
        <f>SUMIFS('All Measure &amp; TRC+ Calc'!F:F,'All Measure &amp; TRC+ Calc'!$D:$D,$C100,'All Measure &amp; TRC+ Calc'!$B:$B,$A100)*$E100</f>
        <v>200</v>
      </c>
      <c r="G100" s="250">
        <f>SUMIFS('All Measure &amp; TRC+ Calc'!AD:AD,'All Measure &amp; TRC+ Calc'!$D:$D,$C100,'All Measure &amp; TRC+ Calc'!$B:$B,$A100)*$E100</f>
        <v>127930</v>
      </c>
      <c r="H100" s="250">
        <f>SUMIFS('All Measure &amp; TRC+ Calc'!AE:AE,'All Measure &amp; TRC+ Calc'!$D:$D,$C100,'All Measure &amp; TRC+ Calc'!$B:$B,$A100)*$E100</f>
        <v>102344</v>
      </c>
      <c r="I100" s="250">
        <f>SUMIFS('All Measure &amp; TRC+ Calc'!AH:AH,'All Measure &amp; TRC+ Calc'!$D:$D,$C100,'All Measure &amp; TRC+ Calc'!$B:$B,$A100)*$E100</f>
        <v>-352291.36000000004</v>
      </c>
      <c r="J100" s="250">
        <f>SUMIFS('All Measure &amp; TRC+ Calc'!AI:AI,'All Measure &amp; TRC+ Calc'!$D:$D,$C100,'All Measure &amp; TRC+ Calc'!$B:$B,$A100)*$E100</f>
        <v>-281833.08800000005</v>
      </c>
      <c r="K100" s="250">
        <f>SUMIFS('All Measure &amp; TRC+ Calc'!AL:AL,'All Measure &amp; TRC+ Calc'!$D:$D,$C100,'All Measure &amp; TRC+ Calc'!$B:$B,$A100)*$E100</f>
        <v>5.813441241364826</v>
      </c>
      <c r="L100" s="250">
        <f>SUMIFS('All Measure &amp; TRC+ Calc'!AM:AM,'All Measure &amp; TRC+ Calc'!$D:$D,$C100,'All Measure &amp; TRC+ Calc'!$B:$B,$A100)*$E100</f>
        <v>4.650752993091861</v>
      </c>
      <c r="M100" s="250">
        <f>SUMIFS('All Measure &amp; TRC+ Calc'!AJ:AJ,'All Measure &amp; TRC+ Calc'!$D:$D,$C100,'All Measure &amp; TRC+ Calc'!$B:$B,$A100)*$E100</f>
        <v>0</v>
      </c>
      <c r="N100" s="250">
        <f>SUMIFS('All Measure &amp; TRC+ Calc'!AK:AK,'All Measure &amp; TRC+ Calc'!$D:$D,$C100,'All Measure &amp; TRC+ Calc'!$B:$B,$A100)*$E100</f>
        <v>0</v>
      </c>
      <c r="O100" s="250">
        <f>SUMIFS('All Measure &amp; TRC+ Calc'!AF:AF,'All Measure &amp; TRC+ Calc'!$D:$D,$C100,'All Measure &amp; TRC+ Calc'!$B:$B,$A100)*$E100</f>
        <v>2230340</v>
      </c>
      <c r="P100" s="250">
        <f>SUMIFS('All Measure &amp; TRC+ Calc'!AG:AG,'All Measure &amp; TRC+ Calc'!$D:$D,$C100,'All Measure &amp; TRC+ Calc'!$B:$B,$A100)*$E100</f>
        <v>1784272</v>
      </c>
      <c r="Q100" s="249">
        <v>1</v>
      </c>
      <c r="R100" s="190">
        <f>SUMIFS(Budget!$E:$E,Budget!$A:$A,$A100,Budget!$C:$C,$C100,Budget!$D:$D,R$7)*Summary[[#This Row],[Budget %  Adjustment]]</f>
        <v>238324</v>
      </c>
      <c r="S100" s="190">
        <f>SUMIFS(Budget!$E:$E,Budget!$A:$A,$A100,Budget!$C:$C,$C100,Budget!$D:$D,S$7)*Summary[[#This Row],[Budget %  Adjustment]]</f>
        <v>77602</v>
      </c>
      <c r="T100" s="190">
        <f>SUMIFS(Budget!$E:$E,Budget!$A:$A,$A100,Budget!$C:$C,$C100,Budget!$D:$D,T$7)*Summary[[#This Row],[Budget %  Adjustment]]</f>
        <v>66510</v>
      </c>
      <c r="U100" s="190">
        <f>SUMIFS(Budget!$E:$E,Budget!$A:$A,$A100,Budget!$C:$C,$C100,Budget!$D:$D,U$7)*Summary[[#This Row],[Budget %  Adjustment]]</f>
        <v>0</v>
      </c>
      <c r="V100" s="190">
        <f>Summary[[#This Row],[Promo]]+Summary[[#This Row],[Delivery]]</f>
        <v>144112</v>
      </c>
      <c r="W100" s="190">
        <f t="shared" si="4"/>
        <v>144112</v>
      </c>
      <c r="X100" s="190">
        <f t="shared" si="5"/>
        <v>382436</v>
      </c>
    </row>
    <row r="101" spans="1:24" x14ac:dyDescent="0.25">
      <c r="A101" s="156">
        <v>2029</v>
      </c>
      <c r="B101" s="247" t="s">
        <v>13</v>
      </c>
      <c r="C101" s="247" t="s">
        <v>168</v>
      </c>
      <c r="D101" s="247" t="s">
        <v>256</v>
      </c>
      <c r="E101" s="249">
        <v>1</v>
      </c>
      <c r="F101" s="250">
        <f>SUMIFS('All Measure &amp; TRC+ Calc'!F:F,'All Measure &amp; TRC+ Calc'!$D:$D,$C101,'All Measure &amp; TRC+ Calc'!$B:$B,$A101)*$E101</f>
        <v>0</v>
      </c>
      <c r="G101" s="250">
        <f>SUMIFS('All Measure &amp; TRC+ Calc'!AD:AD,'All Measure &amp; TRC+ Calc'!$D:$D,$C101,'All Measure &amp; TRC+ Calc'!$B:$B,$A101)*$E101</f>
        <v>0</v>
      </c>
      <c r="H101" s="250">
        <f>SUMIFS('All Measure &amp; TRC+ Calc'!AE:AE,'All Measure &amp; TRC+ Calc'!$D:$D,$C101,'All Measure &amp; TRC+ Calc'!$B:$B,$A101)*$E101</f>
        <v>0</v>
      </c>
      <c r="I101" s="250">
        <f>SUMIFS('All Measure &amp; TRC+ Calc'!AH:AH,'All Measure &amp; TRC+ Calc'!$D:$D,$C101,'All Measure &amp; TRC+ Calc'!$B:$B,$A101)*$E101</f>
        <v>0</v>
      </c>
      <c r="J101" s="250">
        <f>SUMIFS('All Measure &amp; TRC+ Calc'!AI:AI,'All Measure &amp; TRC+ Calc'!$D:$D,$C101,'All Measure &amp; TRC+ Calc'!$B:$B,$A101)*$E101</f>
        <v>0</v>
      </c>
      <c r="K101" s="250">
        <f>SUMIFS('All Measure &amp; TRC+ Calc'!AL:AL,'All Measure &amp; TRC+ Calc'!$D:$D,$C101,'All Measure &amp; TRC+ Calc'!$B:$B,$A101)*$E101</f>
        <v>0</v>
      </c>
      <c r="L101" s="250">
        <f>SUMIFS('All Measure &amp; TRC+ Calc'!AM:AM,'All Measure &amp; TRC+ Calc'!$D:$D,$C101,'All Measure &amp; TRC+ Calc'!$B:$B,$A101)*$E101</f>
        <v>0</v>
      </c>
      <c r="M101" s="250">
        <f>SUMIFS('All Measure &amp; TRC+ Calc'!AJ:AJ,'All Measure &amp; TRC+ Calc'!$D:$D,$C101,'All Measure &amp; TRC+ Calc'!$B:$B,$A101)*$E101</f>
        <v>0</v>
      </c>
      <c r="N101" s="250">
        <f>SUMIFS('All Measure &amp; TRC+ Calc'!AK:AK,'All Measure &amp; TRC+ Calc'!$D:$D,$C101,'All Measure &amp; TRC+ Calc'!$B:$B,$A101)*$E101</f>
        <v>0</v>
      </c>
      <c r="O101" s="250">
        <f>SUMIFS('All Measure &amp; TRC+ Calc'!AF:AF,'All Measure &amp; TRC+ Calc'!$D:$D,$C101,'All Measure &amp; TRC+ Calc'!$B:$B,$A101)*$E101</f>
        <v>0</v>
      </c>
      <c r="P101" s="250">
        <f>SUMIFS('All Measure &amp; TRC+ Calc'!AG:AG,'All Measure &amp; TRC+ Calc'!$D:$D,$C101,'All Measure &amp; TRC+ Calc'!$B:$B,$A101)*$E101</f>
        <v>0</v>
      </c>
      <c r="Q101" s="249">
        <v>1</v>
      </c>
      <c r="R101" s="190">
        <f>SUMIFS(Budget!$E:$E,Budget!$A:$A,$A101,Budget!$C:$C,$C101,Budget!$D:$D,R$7)*Summary[[#This Row],[Budget %  Adjustment]]</f>
        <v>520200</v>
      </c>
      <c r="S101" s="190">
        <f>SUMIFS(Budget!$E:$E,Budget!$A:$A,$A101,Budget!$C:$C,$C101,Budget!$D:$D,S$7)*Summary[[#This Row],[Budget %  Adjustment]]</f>
        <v>31041</v>
      </c>
      <c r="T101" s="190">
        <f>SUMIFS(Budget!$E:$E,Budget!$A:$A,$A101,Budget!$C:$C,$C101,Budget!$D:$D,T$7)*Summary[[#This Row],[Budget %  Adjustment]]</f>
        <v>258674</v>
      </c>
      <c r="U101" s="190">
        <f>SUMIFS(Budget!$E:$E,Budget!$A:$A,$A101,Budget!$C:$C,$C101,Budget!$D:$D,U$7)*Summary[[#This Row],[Budget %  Adjustment]]</f>
        <v>0</v>
      </c>
      <c r="V101" s="190">
        <f>Summary[[#This Row],[Promo]]+Summary[[#This Row],[Delivery]]</f>
        <v>289715</v>
      </c>
      <c r="W101" s="190">
        <f t="shared" si="4"/>
        <v>289715</v>
      </c>
      <c r="X101" s="190">
        <f t="shared" si="5"/>
        <v>809915</v>
      </c>
    </row>
    <row r="102" spans="1:24" x14ac:dyDescent="0.25">
      <c r="A102" s="156">
        <v>2029</v>
      </c>
      <c r="B102" s="247" t="s">
        <v>13</v>
      </c>
      <c r="C102" s="247" t="s">
        <v>18</v>
      </c>
      <c r="D102" s="247" t="s">
        <v>256</v>
      </c>
      <c r="E102" s="249">
        <v>1</v>
      </c>
      <c r="F102" s="250">
        <f>SUMIFS('All Measure &amp; TRC+ Calc'!F:F,'All Measure &amp; TRC+ Calc'!$D:$D,$C102,'All Measure &amp; TRC+ Calc'!$B:$B,$A102)*$E102</f>
        <v>0</v>
      </c>
      <c r="G102" s="250">
        <f>SUMIFS('All Measure &amp; TRC+ Calc'!AD:AD,'All Measure &amp; TRC+ Calc'!$D:$D,$C102,'All Measure &amp; TRC+ Calc'!$B:$B,$A102)*$E102</f>
        <v>0</v>
      </c>
      <c r="H102" s="250">
        <f>SUMIFS('All Measure &amp; TRC+ Calc'!AE:AE,'All Measure &amp; TRC+ Calc'!$D:$D,$C102,'All Measure &amp; TRC+ Calc'!$B:$B,$A102)*$E102</f>
        <v>0</v>
      </c>
      <c r="I102" s="250">
        <f>SUMIFS('All Measure &amp; TRC+ Calc'!AH:AH,'All Measure &amp; TRC+ Calc'!$D:$D,$C102,'All Measure &amp; TRC+ Calc'!$B:$B,$A102)*$E102</f>
        <v>0</v>
      </c>
      <c r="J102" s="250">
        <f>SUMIFS('All Measure &amp; TRC+ Calc'!AI:AI,'All Measure &amp; TRC+ Calc'!$D:$D,$C102,'All Measure &amp; TRC+ Calc'!$B:$B,$A102)*$E102</f>
        <v>0</v>
      </c>
      <c r="K102" s="250">
        <f>SUMIFS('All Measure &amp; TRC+ Calc'!AL:AL,'All Measure &amp; TRC+ Calc'!$D:$D,$C102,'All Measure &amp; TRC+ Calc'!$B:$B,$A102)*$E102</f>
        <v>0</v>
      </c>
      <c r="L102" s="250">
        <f>SUMIFS('All Measure &amp; TRC+ Calc'!AM:AM,'All Measure &amp; TRC+ Calc'!$D:$D,$C102,'All Measure &amp; TRC+ Calc'!$B:$B,$A102)*$E102</f>
        <v>0</v>
      </c>
      <c r="M102" s="250">
        <f>SUMIFS('All Measure &amp; TRC+ Calc'!AJ:AJ,'All Measure &amp; TRC+ Calc'!$D:$D,$C102,'All Measure &amp; TRC+ Calc'!$B:$B,$A102)*$E102</f>
        <v>0</v>
      </c>
      <c r="N102" s="250">
        <f>SUMIFS('All Measure &amp; TRC+ Calc'!AK:AK,'All Measure &amp; TRC+ Calc'!$D:$D,$C102,'All Measure &amp; TRC+ Calc'!$B:$B,$A102)*$E102</f>
        <v>0</v>
      </c>
      <c r="O102" s="250">
        <f>SUMIFS('All Measure &amp; TRC+ Calc'!AF:AF,'All Measure &amp; TRC+ Calc'!$D:$D,$C102,'All Measure &amp; TRC+ Calc'!$B:$B,$A102)*$E102</f>
        <v>0</v>
      </c>
      <c r="P102" s="250">
        <f>SUMIFS('All Measure &amp; TRC+ Calc'!AG:AG,'All Measure &amp; TRC+ Calc'!$D:$D,$C102,'All Measure &amp; TRC+ Calc'!$B:$B,$A102)*$E102</f>
        <v>0</v>
      </c>
      <c r="Q102" s="249">
        <v>1</v>
      </c>
      <c r="R102" s="190">
        <f>SUMIFS(Budget!$E:$E,Budget!$A:$A,$A102,Budget!$C:$C,$C102,Budget!$D:$D,R$7)*Summary[[#This Row],[Budget %  Adjustment]]</f>
        <v>1872720</v>
      </c>
      <c r="S102" s="190">
        <f>SUMIFS(Budget!$E:$E,Budget!$A:$A,$A102,Budget!$C:$C,$C102,Budget!$D:$D,S$7)*Summary[[#This Row],[Budget %  Adjustment]]</f>
        <v>41388</v>
      </c>
      <c r="T102" s="190">
        <f>SUMIFS(Budget!$E:$E,Budget!$A:$A,$A102,Budget!$C:$C,$C102,Budget!$D:$D,T$7)*Summary[[#This Row],[Budget %  Adjustment]]</f>
        <v>165551</v>
      </c>
      <c r="U102" s="190">
        <f>SUMIFS(Budget!$E:$E,Budget!$A:$A,$A102,Budget!$C:$C,$C102,Budget!$D:$D,U$7)*Summary[[#This Row],[Budget %  Adjustment]]</f>
        <v>0</v>
      </c>
      <c r="V102" s="190">
        <f>Summary[[#This Row],[Promo]]+Summary[[#This Row],[Delivery]]</f>
        <v>206939</v>
      </c>
      <c r="W102" s="190">
        <f t="shared" si="4"/>
        <v>206939</v>
      </c>
      <c r="X102" s="190">
        <f t="shared" si="5"/>
        <v>2079659</v>
      </c>
    </row>
    <row r="103" spans="1:24" x14ac:dyDescent="0.25">
      <c r="A103" s="156">
        <v>2029</v>
      </c>
      <c r="B103" s="247" t="s">
        <v>13</v>
      </c>
      <c r="C103" s="247" t="s">
        <v>19</v>
      </c>
      <c r="D103" s="247" t="s">
        <v>19</v>
      </c>
      <c r="E103" s="249">
        <v>1</v>
      </c>
      <c r="F103" s="250">
        <f>SUMIFS('All Measure &amp; TRC+ Calc'!F:F,'All Measure &amp; TRC+ Calc'!$D:$D,$C103,'All Measure &amp; TRC+ Calc'!$B:$B,$A103)*$E103</f>
        <v>0</v>
      </c>
      <c r="G103" s="250">
        <f>SUMIFS('All Measure &amp; TRC+ Calc'!AD:AD,'All Measure &amp; TRC+ Calc'!$D:$D,$C103,'All Measure &amp; TRC+ Calc'!$B:$B,$A103)*$E103</f>
        <v>0</v>
      </c>
      <c r="H103" s="250">
        <f>SUMIFS('All Measure &amp; TRC+ Calc'!AE:AE,'All Measure &amp; TRC+ Calc'!$D:$D,$C103,'All Measure &amp; TRC+ Calc'!$B:$B,$A103)*$E103</f>
        <v>0</v>
      </c>
      <c r="I103" s="250">
        <f>SUMIFS('All Measure &amp; TRC+ Calc'!AH:AH,'All Measure &amp; TRC+ Calc'!$D:$D,$C103,'All Measure &amp; TRC+ Calc'!$B:$B,$A103)*$E103</f>
        <v>0</v>
      </c>
      <c r="J103" s="250">
        <f>SUMIFS('All Measure &amp; TRC+ Calc'!AI:AI,'All Measure &amp; TRC+ Calc'!$D:$D,$C103,'All Measure &amp; TRC+ Calc'!$B:$B,$A103)*$E103</f>
        <v>0</v>
      </c>
      <c r="K103" s="250">
        <f>SUMIFS('All Measure &amp; TRC+ Calc'!AL:AL,'All Measure &amp; TRC+ Calc'!$D:$D,$C103,'All Measure &amp; TRC+ Calc'!$B:$B,$A103)*$E103</f>
        <v>0</v>
      </c>
      <c r="L103" s="250">
        <f>SUMIFS('All Measure &amp; TRC+ Calc'!AM:AM,'All Measure &amp; TRC+ Calc'!$D:$D,$C103,'All Measure &amp; TRC+ Calc'!$B:$B,$A103)*$E103</f>
        <v>0</v>
      </c>
      <c r="M103" s="250">
        <f>SUMIFS('All Measure &amp; TRC+ Calc'!AJ:AJ,'All Measure &amp; TRC+ Calc'!$D:$D,$C103,'All Measure &amp; TRC+ Calc'!$B:$B,$A103)*$E103</f>
        <v>0</v>
      </c>
      <c r="N103" s="250">
        <f>SUMIFS('All Measure &amp; TRC+ Calc'!AK:AK,'All Measure &amp; TRC+ Calc'!$D:$D,$C103,'All Measure &amp; TRC+ Calc'!$B:$B,$A103)*$E103</f>
        <v>0</v>
      </c>
      <c r="O103" s="250">
        <f>SUMIFS('All Measure &amp; TRC+ Calc'!AF:AF,'All Measure &amp; TRC+ Calc'!$D:$D,$C103,'All Measure &amp; TRC+ Calc'!$B:$B,$A103)*$E103</f>
        <v>0</v>
      </c>
      <c r="P103" s="250">
        <f>SUMIFS('All Measure &amp; TRC+ Calc'!AG:AG,'All Measure &amp; TRC+ Calc'!$D:$D,$C103,'All Measure &amp; TRC+ Calc'!$B:$B,$A103)*$E103</f>
        <v>0</v>
      </c>
      <c r="Q103" s="249">
        <v>1</v>
      </c>
      <c r="R103" s="190">
        <f>SUMIFS(Budget!$E:$E,Budget!$A:$A,$A103,Budget!$C:$C,$C103,Budget!$D:$D,R$7)*Summary[[#This Row],[Budget %  Adjustment]]</f>
        <v>0</v>
      </c>
      <c r="S103" s="190">
        <f>SUMIFS(Budget!$E:$E,Budget!$A:$A,$A103,Budget!$C:$C,$C103,Budget!$D:$D,S$7)*Summary[[#This Row],[Budget %  Adjustment]]</f>
        <v>0</v>
      </c>
      <c r="T103" s="190">
        <f>SUMIFS(Budget!$E:$E,Budget!$A:$A,$A103,Budget!$C:$C,$C103,Budget!$D:$D,T$7)*Summary[[#This Row],[Budget %  Adjustment]]</f>
        <v>0</v>
      </c>
      <c r="U103" s="190">
        <f>SUMIFS(Budget!$E:$E,Budget!$A:$A,$A103,Budget!$C:$C,$C103,Budget!$D:$D,U$7)*Summary[[#This Row],[Budget %  Adjustment]]</f>
        <v>5718918</v>
      </c>
      <c r="V103" s="190">
        <f>Summary[[#This Row],[Promo]]+Summary[[#This Row],[Delivery]]</f>
        <v>0</v>
      </c>
      <c r="W103" s="190">
        <f t="shared" si="4"/>
        <v>5718918</v>
      </c>
      <c r="X103" s="190">
        <f t="shared" si="5"/>
        <v>5718918</v>
      </c>
    </row>
    <row r="104" spans="1:24" x14ac:dyDescent="0.25">
      <c r="A104" s="156">
        <v>2029</v>
      </c>
      <c r="B104" s="247" t="s">
        <v>14</v>
      </c>
      <c r="C104" s="247" t="s">
        <v>8</v>
      </c>
      <c r="D104" s="247" t="s">
        <v>133</v>
      </c>
      <c r="E104" s="249">
        <v>1</v>
      </c>
      <c r="F104" s="250">
        <f>SUMIFS('All Measure &amp; TRC+ Calc'!F:F,'All Measure &amp; TRC+ Calc'!$D:$D,$C104,'All Measure &amp; TRC+ Calc'!$B:$B,$A104)*$E104</f>
        <v>320</v>
      </c>
      <c r="G104" s="250">
        <f>SUMIFS('All Measure &amp; TRC+ Calc'!AD:AD,'All Measure &amp; TRC+ Calc'!$D:$D,$C104,'All Measure &amp; TRC+ Calc'!$B:$B,$A104)*$E104</f>
        <v>86127322.592576712</v>
      </c>
      <c r="H104" s="250">
        <f>SUMIFS('All Measure &amp; TRC+ Calc'!AE:AE,'All Measure &amp; TRC+ Calc'!$D:$D,$C104,'All Measure &amp; TRC+ Calc'!$B:$B,$A104)*$E104</f>
        <v>60289125.814803705</v>
      </c>
      <c r="I104" s="250">
        <f>SUMIFS('All Measure &amp; TRC+ Calc'!AH:AH,'All Measure &amp; TRC+ Calc'!$D:$D,$C104,'All Measure &amp; TRC+ Calc'!$B:$B,$A104)*$E104</f>
        <v>201409.63649920002</v>
      </c>
      <c r="J104" s="250">
        <f>SUMIFS('All Measure &amp; TRC+ Calc'!AI:AI,'All Measure &amp; TRC+ Calc'!$D:$D,$C104,'All Measure &amp; TRC+ Calc'!$B:$B,$A104)*$E104</f>
        <v>140986.74554943998</v>
      </c>
      <c r="K104" s="250">
        <f>SUMIFS('All Measure &amp; TRC+ Calc'!AL:AL,'All Measure &amp; TRC+ Calc'!$D:$D,$C104,'All Measure &amp; TRC+ Calc'!$B:$B,$A104)*$E104</f>
        <v>39.642420625782712</v>
      </c>
      <c r="L104" s="250">
        <f>SUMIFS('All Measure &amp; TRC+ Calc'!AM:AM,'All Measure &amp; TRC+ Calc'!$D:$D,$C104,'All Measure &amp; TRC+ Calc'!$B:$B,$A104)*$E104</f>
        <v>27.749694438047893</v>
      </c>
      <c r="M104" s="250">
        <f>SUMIFS('All Measure &amp; TRC+ Calc'!AJ:AJ,'All Measure &amp; TRC+ Calc'!$D:$D,$C104,'All Measure &amp; TRC+ Calc'!$B:$B,$A104)*$E104</f>
        <v>3640.8482163839999</v>
      </c>
      <c r="N104" s="250">
        <f>SUMIFS('All Measure &amp; TRC+ Calc'!AK:AK,'All Measure &amp; TRC+ Calc'!$D:$D,$C104,'All Measure &amp; TRC+ Calc'!$B:$B,$A104)*$E104</f>
        <v>2548.5937514687998</v>
      </c>
      <c r="O104" s="250">
        <f>SUMIFS('All Measure &amp; TRC+ Calc'!AF:AF,'All Measure &amp; TRC+ Calc'!$D:$D,$C104,'All Measure &amp; TRC+ Calc'!$B:$B,$A104)*$E104</f>
        <v>1408348958.7902961</v>
      </c>
      <c r="P104" s="250">
        <f>SUMIFS('All Measure &amp; TRC+ Calc'!AG:AG,'All Measure &amp; TRC+ Calc'!$D:$D,$C104,'All Measure &amp; TRC+ Calc'!$B:$B,$A104)*$E104</f>
        <v>985844271.1532073</v>
      </c>
      <c r="Q104" s="249">
        <v>1</v>
      </c>
      <c r="R104" s="190">
        <f>SUMIFS(Budget!$E:$E,Budget!$A:$A,$A104,Budget!$C:$C,$C104,Budget!$D:$D,R$7)*Summary[[#This Row],[Budget %  Adjustment]]</f>
        <v>21096999</v>
      </c>
      <c r="S104" s="190">
        <f>SUMIFS(Budget!$E:$E,Budget!$A:$A,$A104,Budget!$C:$C,$C104,Budget!$D:$D,S$7)*Summary[[#This Row],[Budget %  Adjustment]]</f>
        <v>900185</v>
      </c>
      <c r="T104" s="190">
        <f>SUMIFS(Budget!$E:$E,Budget!$A:$A,$A104,Budget!$C:$C,$C104,Budget!$D:$D,T$7)*Summary[[#This Row],[Budget %  Adjustment]]</f>
        <v>103470</v>
      </c>
      <c r="U104" s="190">
        <f>SUMIFS(Budget!$E:$E,Budget!$A:$A,$A104,Budget!$C:$C,$C104,Budget!$D:$D,U$7)*Summary[[#This Row],[Budget %  Adjustment]]</f>
        <v>0</v>
      </c>
      <c r="V104" s="190">
        <f>Summary[[#This Row],[Promo]]+Summary[[#This Row],[Delivery]]</f>
        <v>1003655</v>
      </c>
      <c r="W104" s="190">
        <f t="shared" ref="W104:W135" si="6">SUM(S104:U104)</f>
        <v>1003655</v>
      </c>
      <c r="X104" s="190">
        <f t="shared" ref="X104:X135" si="7">SUM(R104:U104)</f>
        <v>22100654</v>
      </c>
    </row>
    <row r="105" spans="1:24" x14ac:dyDescent="0.25">
      <c r="A105" s="156">
        <v>2029</v>
      </c>
      <c r="B105" s="247" t="s">
        <v>14</v>
      </c>
      <c r="C105" s="247" t="s">
        <v>169</v>
      </c>
      <c r="D105" s="247" t="s">
        <v>133</v>
      </c>
      <c r="E105" s="249">
        <v>1</v>
      </c>
      <c r="F105" s="250">
        <f>SUMIFS('All Measure &amp; TRC+ Calc'!F:F,'All Measure &amp; TRC+ Calc'!$D:$D,$C105,'All Measure &amp; TRC+ Calc'!$B:$B,$A105)*$E105</f>
        <v>0</v>
      </c>
      <c r="G105" s="250">
        <f>SUMIFS('All Measure &amp; TRC+ Calc'!AD:AD,'All Measure &amp; TRC+ Calc'!$D:$D,$C105,'All Measure &amp; TRC+ Calc'!$B:$B,$A105)*$E105</f>
        <v>0</v>
      </c>
      <c r="H105" s="250">
        <f>SUMIFS('All Measure &amp; TRC+ Calc'!AE:AE,'All Measure &amp; TRC+ Calc'!$D:$D,$C105,'All Measure &amp; TRC+ Calc'!$B:$B,$A105)*$E105</f>
        <v>0</v>
      </c>
      <c r="I105" s="250">
        <f>SUMIFS('All Measure &amp; TRC+ Calc'!AH:AH,'All Measure &amp; TRC+ Calc'!$D:$D,$C105,'All Measure &amp; TRC+ Calc'!$B:$B,$A105)*$E105</f>
        <v>0</v>
      </c>
      <c r="J105" s="250">
        <f>SUMIFS('All Measure &amp; TRC+ Calc'!AI:AI,'All Measure &amp; TRC+ Calc'!$D:$D,$C105,'All Measure &amp; TRC+ Calc'!$B:$B,$A105)*$E105</f>
        <v>0</v>
      </c>
      <c r="K105" s="250">
        <f>SUMIFS('All Measure &amp; TRC+ Calc'!AL:AL,'All Measure &amp; TRC+ Calc'!$D:$D,$C105,'All Measure &amp; TRC+ Calc'!$B:$B,$A105)*$E105</f>
        <v>0</v>
      </c>
      <c r="L105" s="250">
        <f>SUMIFS('All Measure &amp; TRC+ Calc'!AM:AM,'All Measure &amp; TRC+ Calc'!$D:$D,$C105,'All Measure &amp; TRC+ Calc'!$B:$B,$A105)*$E105</f>
        <v>0</v>
      </c>
      <c r="M105" s="250">
        <f>SUMIFS('All Measure &amp; TRC+ Calc'!AJ:AJ,'All Measure &amp; TRC+ Calc'!$D:$D,$C105,'All Measure &amp; TRC+ Calc'!$B:$B,$A105)*$E105</f>
        <v>0</v>
      </c>
      <c r="N105" s="250">
        <f>SUMIFS('All Measure &amp; TRC+ Calc'!AK:AK,'All Measure &amp; TRC+ Calc'!$D:$D,$C105,'All Measure &amp; TRC+ Calc'!$B:$B,$A105)*$E105</f>
        <v>0</v>
      </c>
      <c r="O105" s="250">
        <f>SUMIFS('All Measure &amp; TRC+ Calc'!AF:AF,'All Measure &amp; TRC+ Calc'!$D:$D,$C105,'All Measure &amp; TRC+ Calc'!$B:$B,$A105)*$E105</f>
        <v>0</v>
      </c>
      <c r="P105" s="250">
        <f>SUMIFS('All Measure &amp; TRC+ Calc'!AG:AG,'All Measure &amp; TRC+ Calc'!$D:$D,$C105,'All Measure &amp; TRC+ Calc'!$B:$B,$A105)*$E105</f>
        <v>0</v>
      </c>
      <c r="Q105" s="249">
        <v>1</v>
      </c>
      <c r="R105" s="190">
        <f>SUMIFS(Budget!$E:$E,Budget!$A:$A,$A105,Budget!$C:$C,$C105,Budget!$D:$D,R$7)*Summary[[#This Row],[Budget %  Adjustment]]</f>
        <v>0</v>
      </c>
      <c r="S105" s="190">
        <f>SUMIFS(Budget!$E:$E,Budget!$A:$A,$A105,Budget!$C:$C,$C105,Budget!$D:$D,S$7)*Summary[[#This Row],[Budget %  Adjustment]]</f>
        <v>0</v>
      </c>
      <c r="T105" s="190">
        <f>SUMIFS(Budget!$E:$E,Budget!$A:$A,$A105,Budget!$C:$C,$C105,Budget!$D:$D,T$7)*Summary[[#This Row],[Budget %  Adjustment]]</f>
        <v>0</v>
      </c>
      <c r="U105" s="190">
        <f>SUMIFS(Budget!$E:$E,Budget!$A:$A,$A105,Budget!$C:$C,$C105,Budget!$D:$D,U$7)*Summary[[#This Row],[Budget %  Adjustment]]</f>
        <v>0</v>
      </c>
      <c r="V105" s="190">
        <f>Summary[[#This Row],[Promo]]+Summary[[#This Row],[Delivery]]</f>
        <v>0</v>
      </c>
      <c r="W105" s="190">
        <f t="shared" si="6"/>
        <v>0</v>
      </c>
      <c r="X105" s="190">
        <f t="shared" si="7"/>
        <v>0</v>
      </c>
    </row>
    <row r="106" spans="1:24" x14ac:dyDescent="0.25">
      <c r="A106" s="156">
        <v>2029</v>
      </c>
      <c r="B106" s="247" t="s">
        <v>14</v>
      </c>
      <c r="C106" s="247" t="s">
        <v>170</v>
      </c>
      <c r="D106" s="247" t="s">
        <v>133</v>
      </c>
      <c r="E106" s="249">
        <v>1</v>
      </c>
      <c r="F106" s="250">
        <f>SUMIFS('All Measure &amp; TRC+ Calc'!F:F,'All Measure &amp; TRC+ Calc'!$D:$D,$C106,'All Measure &amp; TRC+ Calc'!$B:$B,$A106)*$E106</f>
        <v>0</v>
      </c>
      <c r="G106" s="250">
        <f>SUMIFS('All Measure &amp; TRC+ Calc'!AD:AD,'All Measure &amp; TRC+ Calc'!$D:$D,$C106,'All Measure &amp; TRC+ Calc'!$B:$B,$A106)*$E106</f>
        <v>0</v>
      </c>
      <c r="H106" s="250">
        <f>SUMIFS('All Measure &amp; TRC+ Calc'!AE:AE,'All Measure &amp; TRC+ Calc'!$D:$D,$C106,'All Measure &amp; TRC+ Calc'!$B:$B,$A106)*$E106</f>
        <v>0</v>
      </c>
      <c r="I106" s="250">
        <f>SUMIFS('All Measure &amp; TRC+ Calc'!AH:AH,'All Measure &amp; TRC+ Calc'!$D:$D,$C106,'All Measure &amp; TRC+ Calc'!$B:$B,$A106)*$E106</f>
        <v>0</v>
      </c>
      <c r="J106" s="250">
        <f>SUMIFS('All Measure &amp; TRC+ Calc'!AI:AI,'All Measure &amp; TRC+ Calc'!$D:$D,$C106,'All Measure &amp; TRC+ Calc'!$B:$B,$A106)*$E106</f>
        <v>0</v>
      </c>
      <c r="K106" s="250">
        <f>SUMIFS('All Measure &amp; TRC+ Calc'!AL:AL,'All Measure &amp; TRC+ Calc'!$D:$D,$C106,'All Measure &amp; TRC+ Calc'!$B:$B,$A106)*$E106</f>
        <v>0</v>
      </c>
      <c r="L106" s="250">
        <f>SUMIFS('All Measure &amp; TRC+ Calc'!AM:AM,'All Measure &amp; TRC+ Calc'!$D:$D,$C106,'All Measure &amp; TRC+ Calc'!$B:$B,$A106)*$E106</f>
        <v>0</v>
      </c>
      <c r="M106" s="250">
        <f>SUMIFS('All Measure &amp; TRC+ Calc'!AJ:AJ,'All Measure &amp; TRC+ Calc'!$D:$D,$C106,'All Measure &amp; TRC+ Calc'!$B:$B,$A106)*$E106</f>
        <v>0</v>
      </c>
      <c r="N106" s="250">
        <f>SUMIFS('All Measure &amp; TRC+ Calc'!AK:AK,'All Measure &amp; TRC+ Calc'!$D:$D,$C106,'All Measure &amp; TRC+ Calc'!$B:$B,$A106)*$E106</f>
        <v>0</v>
      </c>
      <c r="O106" s="250">
        <f>SUMIFS('All Measure &amp; TRC+ Calc'!AF:AF,'All Measure &amp; TRC+ Calc'!$D:$D,$C106,'All Measure &amp; TRC+ Calc'!$B:$B,$A106)*$E106</f>
        <v>0</v>
      </c>
      <c r="P106" s="250">
        <f>SUMIFS('All Measure &amp; TRC+ Calc'!AG:AG,'All Measure &amp; TRC+ Calc'!$D:$D,$C106,'All Measure &amp; TRC+ Calc'!$B:$B,$A106)*$E106</f>
        <v>0</v>
      </c>
      <c r="Q106" s="249">
        <v>1</v>
      </c>
      <c r="R106" s="190">
        <f>SUMIFS(Budget!$E:$E,Budget!$A:$A,$A106,Budget!$C:$C,$C106,Budget!$D:$D,R$7)*Summary[[#This Row],[Budget %  Adjustment]]</f>
        <v>0</v>
      </c>
      <c r="S106" s="190">
        <f>SUMIFS(Budget!$E:$E,Budget!$A:$A,$A106,Budget!$C:$C,$C106,Budget!$D:$D,S$7)*Summary[[#This Row],[Budget %  Adjustment]]</f>
        <v>0</v>
      </c>
      <c r="T106" s="190">
        <f>SUMIFS(Budget!$E:$E,Budget!$A:$A,$A106,Budget!$C:$C,$C106,Budget!$D:$D,T$7)*Summary[[#This Row],[Budget %  Adjustment]]</f>
        <v>0</v>
      </c>
      <c r="U106" s="190">
        <f>SUMIFS(Budget!$E:$E,Budget!$A:$A,$A106,Budget!$C:$C,$C106,Budget!$D:$D,U$7)*Summary[[#This Row],[Budget %  Adjustment]]</f>
        <v>0</v>
      </c>
      <c r="V106" s="190">
        <f>Summary[[#This Row],[Promo]]+Summary[[#This Row],[Delivery]]</f>
        <v>0</v>
      </c>
      <c r="W106" s="190">
        <f t="shared" si="6"/>
        <v>0</v>
      </c>
      <c r="X106" s="190">
        <f t="shared" si="7"/>
        <v>0</v>
      </c>
    </row>
    <row r="107" spans="1:24" x14ac:dyDescent="0.25">
      <c r="A107" s="156">
        <v>2029</v>
      </c>
      <c r="B107" s="247" t="s">
        <v>14</v>
      </c>
      <c r="C107" s="247" t="s">
        <v>171</v>
      </c>
      <c r="D107" s="247" t="s">
        <v>256</v>
      </c>
      <c r="E107" s="249">
        <v>1</v>
      </c>
      <c r="F107" s="250">
        <f>SUMIFS('All Measure &amp; TRC+ Calc'!F:F,'All Measure &amp; TRC+ Calc'!$D:$D,$C107,'All Measure &amp; TRC+ Calc'!$B:$B,$A107)*$E107</f>
        <v>0</v>
      </c>
      <c r="G107" s="250">
        <f>SUMIFS('All Measure &amp; TRC+ Calc'!AD:AD,'All Measure &amp; TRC+ Calc'!$D:$D,$C107,'All Measure &amp; TRC+ Calc'!$B:$B,$A107)*$E107</f>
        <v>0</v>
      </c>
      <c r="H107" s="250">
        <f>SUMIFS('All Measure &amp; TRC+ Calc'!AE:AE,'All Measure &amp; TRC+ Calc'!$D:$D,$C107,'All Measure &amp; TRC+ Calc'!$B:$B,$A107)*$E107</f>
        <v>0</v>
      </c>
      <c r="I107" s="250">
        <f>SUMIFS('All Measure &amp; TRC+ Calc'!AH:AH,'All Measure &amp; TRC+ Calc'!$D:$D,$C107,'All Measure &amp; TRC+ Calc'!$B:$B,$A107)*$E107</f>
        <v>0</v>
      </c>
      <c r="J107" s="250">
        <f>SUMIFS('All Measure &amp; TRC+ Calc'!AI:AI,'All Measure &amp; TRC+ Calc'!$D:$D,$C107,'All Measure &amp; TRC+ Calc'!$B:$B,$A107)*$E107</f>
        <v>0</v>
      </c>
      <c r="K107" s="250">
        <f>SUMIFS('All Measure &amp; TRC+ Calc'!AL:AL,'All Measure &amp; TRC+ Calc'!$D:$D,$C107,'All Measure &amp; TRC+ Calc'!$B:$B,$A107)*$E107</f>
        <v>0</v>
      </c>
      <c r="L107" s="250">
        <f>SUMIFS('All Measure &amp; TRC+ Calc'!AM:AM,'All Measure &amp; TRC+ Calc'!$D:$D,$C107,'All Measure &amp; TRC+ Calc'!$B:$B,$A107)*$E107</f>
        <v>0</v>
      </c>
      <c r="M107" s="250">
        <f>SUMIFS('All Measure &amp; TRC+ Calc'!AJ:AJ,'All Measure &amp; TRC+ Calc'!$D:$D,$C107,'All Measure &amp; TRC+ Calc'!$B:$B,$A107)*$E107</f>
        <v>0</v>
      </c>
      <c r="N107" s="250">
        <f>SUMIFS('All Measure &amp; TRC+ Calc'!AK:AK,'All Measure &amp; TRC+ Calc'!$D:$D,$C107,'All Measure &amp; TRC+ Calc'!$B:$B,$A107)*$E107</f>
        <v>0</v>
      </c>
      <c r="O107" s="250">
        <f>SUMIFS('All Measure &amp; TRC+ Calc'!AF:AF,'All Measure &amp; TRC+ Calc'!$D:$D,$C107,'All Measure &amp; TRC+ Calc'!$B:$B,$A107)*$E107</f>
        <v>0</v>
      </c>
      <c r="P107" s="250">
        <f>SUMIFS('All Measure &amp; TRC+ Calc'!AG:AG,'All Measure &amp; TRC+ Calc'!$D:$D,$C107,'All Measure &amp; TRC+ Calc'!$B:$B,$A107)*$E107</f>
        <v>0</v>
      </c>
      <c r="Q107" s="249">
        <v>1</v>
      </c>
      <c r="R107" s="190">
        <f>SUMIFS(Budget!$E:$E,Budget!$A:$A,$A107,Budget!$C:$C,$C107,Budget!$D:$D,R$7)*Summary[[#This Row],[Budget %  Adjustment]]</f>
        <v>520200</v>
      </c>
      <c r="S107" s="190">
        <f>SUMIFS(Budget!$E:$E,Budget!$A:$A,$A107,Budget!$C:$C,$C107,Budget!$D:$D,S$7)*Summary[[#This Row],[Budget %  Adjustment]]</f>
        <v>31041</v>
      </c>
      <c r="T107" s="190">
        <f>SUMIFS(Budget!$E:$E,Budget!$A:$A,$A107,Budget!$C:$C,$C107,Budget!$D:$D,T$7)*Summary[[#This Row],[Budget %  Adjustment]]</f>
        <v>258674</v>
      </c>
      <c r="U107" s="190">
        <f>SUMIFS(Budget!$E:$E,Budget!$A:$A,$A107,Budget!$C:$C,$C107,Budget!$D:$D,U$7)*Summary[[#This Row],[Budget %  Adjustment]]</f>
        <v>0</v>
      </c>
      <c r="V107" s="190">
        <f>Summary[[#This Row],[Promo]]+Summary[[#This Row],[Delivery]]</f>
        <v>289715</v>
      </c>
      <c r="W107" s="190">
        <f t="shared" si="6"/>
        <v>289715</v>
      </c>
      <c r="X107" s="190">
        <f t="shared" si="7"/>
        <v>809915</v>
      </c>
    </row>
    <row r="108" spans="1:24" x14ac:dyDescent="0.25">
      <c r="A108" s="156">
        <v>2029</v>
      </c>
      <c r="B108" s="247" t="s">
        <v>14</v>
      </c>
      <c r="C108" s="247" t="s">
        <v>24</v>
      </c>
      <c r="D108" s="247" t="s">
        <v>256</v>
      </c>
      <c r="E108" s="249">
        <v>1</v>
      </c>
      <c r="F108" s="250">
        <f>SUMIFS('All Measure &amp; TRC+ Calc'!F:F,'All Measure &amp; TRC+ Calc'!$D:$D,$C108,'All Measure &amp; TRC+ Calc'!$B:$B,$A108)*$E108</f>
        <v>0</v>
      </c>
      <c r="G108" s="250">
        <f>SUMIFS('All Measure &amp; TRC+ Calc'!AD:AD,'All Measure &amp; TRC+ Calc'!$D:$D,$C108,'All Measure &amp; TRC+ Calc'!$B:$B,$A108)*$E108</f>
        <v>0</v>
      </c>
      <c r="H108" s="250">
        <f>SUMIFS('All Measure &amp; TRC+ Calc'!AE:AE,'All Measure &amp; TRC+ Calc'!$D:$D,$C108,'All Measure &amp; TRC+ Calc'!$B:$B,$A108)*$E108</f>
        <v>0</v>
      </c>
      <c r="I108" s="250">
        <f>SUMIFS('All Measure &amp; TRC+ Calc'!AH:AH,'All Measure &amp; TRC+ Calc'!$D:$D,$C108,'All Measure &amp; TRC+ Calc'!$B:$B,$A108)*$E108</f>
        <v>0</v>
      </c>
      <c r="J108" s="250">
        <f>SUMIFS('All Measure &amp; TRC+ Calc'!AI:AI,'All Measure &amp; TRC+ Calc'!$D:$D,$C108,'All Measure &amp; TRC+ Calc'!$B:$B,$A108)*$E108</f>
        <v>0</v>
      </c>
      <c r="K108" s="250">
        <f>SUMIFS('All Measure &amp; TRC+ Calc'!AL:AL,'All Measure &amp; TRC+ Calc'!$D:$D,$C108,'All Measure &amp; TRC+ Calc'!$B:$B,$A108)*$E108</f>
        <v>0</v>
      </c>
      <c r="L108" s="250">
        <f>SUMIFS('All Measure &amp; TRC+ Calc'!AM:AM,'All Measure &amp; TRC+ Calc'!$D:$D,$C108,'All Measure &amp; TRC+ Calc'!$B:$B,$A108)*$E108</f>
        <v>0</v>
      </c>
      <c r="M108" s="250">
        <f>SUMIFS('All Measure &amp; TRC+ Calc'!AJ:AJ,'All Measure &amp; TRC+ Calc'!$D:$D,$C108,'All Measure &amp; TRC+ Calc'!$B:$B,$A108)*$E108</f>
        <v>0</v>
      </c>
      <c r="N108" s="250">
        <f>SUMIFS('All Measure &amp; TRC+ Calc'!AK:AK,'All Measure &amp; TRC+ Calc'!$D:$D,$C108,'All Measure &amp; TRC+ Calc'!$B:$B,$A108)*$E108</f>
        <v>0</v>
      </c>
      <c r="O108" s="250">
        <f>SUMIFS('All Measure &amp; TRC+ Calc'!AF:AF,'All Measure &amp; TRC+ Calc'!$D:$D,$C108,'All Measure &amp; TRC+ Calc'!$B:$B,$A108)*$E108</f>
        <v>0</v>
      </c>
      <c r="P108" s="250">
        <f>SUMIFS('All Measure &amp; TRC+ Calc'!AG:AG,'All Measure &amp; TRC+ Calc'!$D:$D,$C108,'All Measure &amp; TRC+ Calc'!$B:$B,$A108)*$E108</f>
        <v>0</v>
      </c>
      <c r="Q108" s="249">
        <v>1</v>
      </c>
      <c r="R108" s="190">
        <f>SUMIFS(Budget!$E:$E,Budget!$A:$A,$A108,Budget!$C:$C,$C108,Budget!$D:$D,R$7)*Summary[[#This Row],[Budget %  Adjustment]]</f>
        <v>1872720</v>
      </c>
      <c r="S108" s="190">
        <f>SUMIFS(Budget!$E:$E,Budget!$A:$A,$A108,Budget!$C:$C,$C108,Budget!$D:$D,S$7)*Summary[[#This Row],[Budget %  Adjustment]]</f>
        <v>41388</v>
      </c>
      <c r="T108" s="190">
        <f>SUMIFS(Budget!$E:$E,Budget!$A:$A,$A108,Budget!$C:$C,$C108,Budget!$D:$D,T$7)*Summary[[#This Row],[Budget %  Adjustment]]</f>
        <v>165551</v>
      </c>
      <c r="U108" s="190">
        <f>SUMIFS(Budget!$E:$E,Budget!$A:$A,$A108,Budget!$C:$C,$C108,Budget!$D:$D,U$7)*Summary[[#This Row],[Budget %  Adjustment]]</f>
        <v>0</v>
      </c>
      <c r="V108" s="190">
        <f>Summary[[#This Row],[Promo]]+Summary[[#This Row],[Delivery]]</f>
        <v>206939</v>
      </c>
      <c r="W108" s="190">
        <f t="shared" si="6"/>
        <v>206939</v>
      </c>
      <c r="X108" s="190">
        <f t="shared" si="7"/>
        <v>2079659</v>
      </c>
    </row>
    <row r="109" spans="1:24" x14ac:dyDescent="0.25">
      <c r="A109" s="156">
        <v>2029</v>
      </c>
      <c r="B109" s="247" t="s">
        <v>14</v>
      </c>
      <c r="C109" s="247" t="s">
        <v>25</v>
      </c>
      <c r="D109" s="247" t="s">
        <v>25</v>
      </c>
      <c r="E109" s="249">
        <v>1</v>
      </c>
      <c r="F109" s="250">
        <f>SUMIFS('All Measure &amp; TRC+ Calc'!F:F,'All Measure &amp; TRC+ Calc'!$D:$D,$C109,'All Measure &amp; TRC+ Calc'!$B:$B,$A109)*$E109</f>
        <v>0</v>
      </c>
      <c r="G109" s="250">
        <f>SUMIFS('All Measure &amp; TRC+ Calc'!AD:AD,'All Measure &amp; TRC+ Calc'!$D:$D,$C109,'All Measure &amp; TRC+ Calc'!$B:$B,$A109)*$E109</f>
        <v>0</v>
      </c>
      <c r="H109" s="250">
        <f>SUMIFS('All Measure &amp; TRC+ Calc'!AE:AE,'All Measure &amp; TRC+ Calc'!$D:$D,$C109,'All Measure &amp; TRC+ Calc'!$B:$B,$A109)*$E109</f>
        <v>0</v>
      </c>
      <c r="I109" s="250">
        <f>SUMIFS('All Measure &amp; TRC+ Calc'!AH:AH,'All Measure &amp; TRC+ Calc'!$D:$D,$C109,'All Measure &amp; TRC+ Calc'!$B:$B,$A109)*$E109</f>
        <v>0</v>
      </c>
      <c r="J109" s="250">
        <f>SUMIFS('All Measure &amp; TRC+ Calc'!AI:AI,'All Measure &amp; TRC+ Calc'!$D:$D,$C109,'All Measure &amp; TRC+ Calc'!$B:$B,$A109)*$E109</f>
        <v>0</v>
      </c>
      <c r="K109" s="250">
        <f>SUMIFS('All Measure &amp; TRC+ Calc'!AL:AL,'All Measure &amp; TRC+ Calc'!$D:$D,$C109,'All Measure &amp; TRC+ Calc'!$B:$B,$A109)*$E109</f>
        <v>0</v>
      </c>
      <c r="L109" s="250">
        <f>SUMIFS('All Measure &amp; TRC+ Calc'!AM:AM,'All Measure &amp; TRC+ Calc'!$D:$D,$C109,'All Measure &amp; TRC+ Calc'!$B:$B,$A109)*$E109</f>
        <v>0</v>
      </c>
      <c r="M109" s="250">
        <f>SUMIFS('All Measure &amp; TRC+ Calc'!AJ:AJ,'All Measure &amp; TRC+ Calc'!$D:$D,$C109,'All Measure &amp; TRC+ Calc'!$B:$B,$A109)*$E109</f>
        <v>0</v>
      </c>
      <c r="N109" s="250">
        <f>SUMIFS('All Measure &amp; TRC+ Calc'!AK:AK,'All Measure &amp; TRC+ Calc'!$D:$D,$C109,'All Measure &amp; TRC+ Calc'!$B:$B,$A109)*$E109</f>
        <v>0</v>
      </c>
      <c r="O109" s="250">
        <f>SUMIFS('All Measure &amp; TRC+ Calc'!AF:AF,'All Measure &amp; TRC+ Calc'!$D:$D,$C109,'All Measure &amp; TRC+ Calc'!$B:$B,$A109)*$E109</f>
        <v>0</v>
      </c>
      <c r="P109" s="250">
        <f>SUMIFS('All Measure &amp; TRC+ Calc'!AG:AG,'All Measure &amp; TRC+ Calc'!$D:$D,$C109,'All Measure &amp; TRC+ Calc'!$B:$B,$A109)*$E109</f>
        <v>0</v>
      </c>
      <c r="Q109" s="249">
        <v>1</v>
      </c>
      <c r="R109" s="190">
        <f>SUMIFS(Budget!$E:$E,Budget!$A:$A,$A109,Budget!$C:$C,$C109,Budget!$D:$D,R$7)*Summary[[#This Row],[Budget %  Adjustment]]</f>
        <v>0</v>
      </c>
      <c r="S109" s="190">
        <f>SUMIFS(Budget!$E:$E,Budget!$A:$A,$A109,Budget!$C:$C,$C109,Budget!$D:$D,S$7)*Summary[[#This Row],[Budget %  Adjustment]]</f>
        <v>0</v>
      </c>
      <c r="T109" s="190">
        <f>SUMIFS(Budget!$E:$E,Budget!$A:$A,$A109,Budget!$C:$C,$C109,Budget!$D:$D,T$7)*Summary[[#This Row],[Budget %  Adjustment]]</f>
        <v>0</v>
      </c>
      <c r="U109" s="190">
        <f>SUMIFS(Budget!$E:$E,Budget!$A:$A,$A109,Budget!$C:$C,$C109,Budget!$D:$D,U$7)*Summary[[#This Row],[Budget %  Adjustment]]</f>
        <v>4981193</v>
      </c>
      <c r="V109" s="190">
        <f>Summary[[#This Row],[Promo]]+Summary[[#This Row],[Delivery]]</f>
        <v>0</v>
      </c>
      <c r="W109" s="190">
        <f t="shared" si="6"/>
        <v>4981193</v>
      </c>
      <c r="X109" s="190">
        <f t="shared" si="7"/>
        <v>4981193</v>
      </c>
    </row>
    <row r="110" spans="1:24" x14ac:dyDescent="0.25">
      <c r="A110" s="156">
        <v>2029</v>
      </c>
      <c r="B110" s="247" t="s">
        <v>12</v>
      </c>
      <c r="C110" s="247" t="s">
        <v>22</v>
      </c>
      <c r="D110" s="247" t="s">
        <v>206</v>
      </c>
      <c r="E110" s="249">
        <v>1</v>
      </c>
      <c r="F110" s="250">
        <f>SUMIFS('All Measure &amp; TRC+ Calc'!F:F,'All Measure &amp; TRC+ Calc'!$D:$D,$C110,'All Measure &amp; TRC+ Calc'!$B:$B,$A110)*$E110</f>
        <v>10010</v>
      </c>
      <c r="G110" s="250">
        <f>SUMIFS('All Measure &amp; TRC+ Calc'!AD:AD,'All Measure &amp; TRC+ Calc'!$D:$D,$C110,'All Measure &amp; TRC+ Calc'!$B:$B,$A110)*$E110</f>
        <v>2587295.2341231895</v>
      </c>
      <c r="H110" s="250">
        <f>SUMIFS('All Measure &amp; TRC+ Calc'!AE:AE,'All Measure &amp; TRC+ Calc'!$D:$D,$C110,'All Measure &amp; TRC+ Calc'!$B:$B,$A110)*$E110</f>
        <v>2587295.2341231895</v>
      </c>
      <c r="I110" s="250">
        <f>SUMIFS('All Measure &amp; TRC+ Calc'!AH:AH,'All Measure &amp; TRC+ Calc'!$D:$D,$C110,'All Measure &amp; TRC+ Calc'!$B:$B,$A110)*$E110</f>
        <v>716947.16800000006</v>
      </c>
      <c r="J110" s="250">
        <f>SUMIFS('All Measure &amp; TRC+ Calc'!AI:AI,'All Measure &amp; TRC+ Calc'!$D:$D,$C110,'All Measure &amp; TRC+ Calc'!$B:$B,$A110)*$E110</f>
        <v>716947.16800000006</v>
      </c>
      <c r="K110" s="250">
        <f>SUMIFS('All Measure &amp; TRC+ Calc'!AL:AL,'All Measure &amp; TRC+ Calc'!$D:$D,$C110,'All Measure &amp; TRC+ Calc'!$B:$B,$A110)*$E110</f>
        <v>328.07502407679999</v>
      </c>
      <c r="L110" s="250">
        <f>SUMIFS('All Measure &amp; TRC+ Calc'!AM:AM,'All Measure &amp; TRC+ Calc'!$D:$D,$C110,'All Measure &amp; TRC+ Calc'!$B:$B,$A110)*$E110</f>
        <v>328.07502407679999</v>
      </c>
      <c r="M110" s="250">
        <f>SUMIFS('All Measure &amp; TRC+ Calc'!AJ:AJ,'All Measure &amp; TRC+ Calc'!$D:$D,$C110,'All Measure &amp; TRC+ Calc'!$B:$B,$A110)*$E110</f>
        <v>11812.433388827658</v>
      </c>
      <c r="N110" s="250">
        <f>SUMIFS('All Measure &amp; TRC+ Calc'!AK:AK,'All Measure &amp; TRC+ Calc'!$D:$D,$C110,'All Measure &amp; TRC+ Calc'!$B:$B,$A110)*$E110</f>
        <v>11812.433388827658</v>
      </c>
      <c r="O110" s="250">
        <f>SUMIFS('All Measure &amp; TRC+ Calc'!AF:AF,'All Measure &amp; TRC+ Calc'!$D:$D,$C110,'All Measure &amp; TRC+ Calc'!$B:$B,$A110)*$E110</f>
        <v>56564890.809478275</v>
      </c>
      <c r="P110" s="250">
        <f>SUMIFS('All Measure &amp; TRC+ Calc'!AG:AG,'All Measure &amp; TRC+ Calc'!$D:$D,$C110,'All Measure &amp; TRC+ Calc'!$B:$B,$A110)*$E110</f>
        <v>56564890.809478275</v>
      </c>
      <c r="Q110" s="249">
        <v>1</v>
      </c>
      <c r="R110" s="190">
        <f>SUMIFS(Budget!$E:$E,Budget!$A:$A,$A110,Budget!$C:$C,$C110,Budget!$D:$D,R$7)*Summary[[#This Row],[Budget %  Adjustment]]</f>
        <v>16491888</v>
      </c>
      <c r="S110" s="190">
        <f>SUMIFS(Budget!$E:$E,Budget!$A:$A,$A110,Budget!$C:$C,$C110,Budget!$D:$D,S$7)*Summary[[#This Row],[Budget %  Adjustment]]</f>
        <v>1938399</v>
      </c>
      <c r="T110" s="190">
        <f>SUMIFS(Budget!$E:$E,Budget!$A:$A,$A110,Budget!$C:$C,$C110,Budget!$D:$D,T$7)*Summary[[#This Row],[Budget %  Adjustment]]</f>
        <v>2273082</v>
      </c>
      <c r="U110" s="190">
        <f>SUMIFS(Budget!$E:$E,Budget!$A:$A,$A110,Budget!$C:$C,$C110,Budget!$D:$D,U$7)*Summary[[#This Row],[Budget %  Adjustment]]</f>
        <v>0</v>
      </c>
      <c r="V110" s="190">
        <f>Summary[[#This Row],[Promo]]+Summary[[#This Row],[Delivery]]</f>
        <v>4211481</v>
      </c>
      <c r="W110" s="190">
        <f t="shared" si="6"/>
        <v>4211481</v>
      </c>
      <c r="X110" s="190">
        <f t="shared" si="7"/>
        <v>20703369</v>
      </c>
    </row>
    <row r="111" spans="1:24" x14ac:dyDescent="0.25">
      <c r="A111" s="156">
        <v>2029</v>
      </c>
      <c r="B111" s="247" t="s">
        <v>12</v>
      </c>
      <c r="C111" s="247" t="s">
        <v>172</v>
      </c>
      <c r="D111" s="247" t="s">
        <v>206</v>
      </c>
      <c r="E111" s="249">
        <v>1</v>
      </c>
      <c r="F111" s="250">
        <f>SUMIFS('All Measure &amp; TRC+ Calc'!F:F,'All Measure &amp; TRC+ Calc'!$D:$D,$C111,'All Measure &amp; TRC+ Calc'!$B:$B,$A111)*$E111</f>
        <v>0</v>
      </c>
      <c r="G111" s="250">
        <f>SUMIFS('All Measure &amp; TRC+ Calc'!AD:AD,'All Measure &amp; TRC+ Calc'!$D:$D,$C111,'All Measure &amp; TRC+ Calc'!$B:$B,$A111)*$E111</f>
        <v>0</v>
      </c>
      <c r="H111" s="250">
        <f>SUMIFS('All Measure &amp; TRC+ Calc'!AE:AE,'All Measure &amp; TRC+ Calc'!$D:$D,$C111,'All Measure &amp; TRC+ Calc'!$B:$B,$A111)*$E111</f>
        <v>0</v>
      </c>
      <c r="I111" s="250">
        <f>SUMIFS('All Measure &amp; TRC+ Calc'!AH:AH,'All Measure &amp; TRC+ Calc'!$D:$D,$C111,'All Measure &amp; TRC+ Calc'!$B:$B,$A111)*$E111</f>
        <v>0</v>
      </c>
      <c r="J111" s="250">
        <f>SUMIFS('All Measure &amp; TRC+ Calc'!AI:AI,'All Measure &amp; TRC+ Calc'!$D:$D,$C111,'All Measure &amp; TRC+ Calc'!$B:$B,$A111)*$E111</f>
        <v>0</v>
      </c>
      <c r="K111" s="250">
        <f>SUMIFS('All Measure &amp; TRC+ Calc'!AL:AL,'All Measure &amp; TRC+ Calc'!$D:$D,$C111,'All Measure &amp; TRC+ Calc'!$B:$B,$A111)*$E111</f>
        <v>0</v>
      </c>
      <c r="L111" s="250">
        <f>SUMIFS('All Measure &amp; TRC+ Calc'!AM:AM,'All Measure &amp; TRC+ Calc'!$D:$D,$C111,'All Measure &amp; TRC+ Calc'!$B:$B,$A111)*$E111</f>
        <v>0</v>
      </c>
      <c r="M111" s="250">
        <f>SUMIFS('All Measure &amp; TRC+ Calc'!AJ:AJ,'All Measure &amp; TRC+ Calc'!$D:$D,$C111,'All Measure &amp; TRC+ Calc'!$B:$B,$A111)*$E111</f>
        <v>0</v>
      </c>
      <c r="N111" s="250">
        <f>SUMIFS('All Measure &amp; TRC+ Calc'!AK:AK,'All Measure &amp; TRC+ Calc'!$D:$D,$C111,'All Measure &amp; TRC+ Calc'!$B:$B,$A111)*$E111</f>
        <v>0</v>
      </c>
      <c r="O111" s="250">
        <f>SUMIFS('All Measure &amp; TRC+ Calc'!AF:AF,'All Measure &amp; TRC+ Calc'!$D:$D,$C111,'All Measure &amp; TRC+ Calc'!$B:$B,$A111)*$E111</f>
        <v>0</v>
      </c>
      <c r="P111" s="250">
        <f>SUMIFS('All Measure &amp; TRC+ Calc'!AG:AG,'All Measure &amp; TRC+ Calc'!$D:$D,$C111,'All Measure &amp; TRC+ Calc'!$B:$B,$A111)*$E111</f>
        <v>0</v>
      </c>
      <c r="Q111" s="249">
        <v>1</v>
      </c>
      <c r="R111" s="190">
        <f>SUMIFS(Budget!$E:$E,Budget!$A:$A,$A111,Budget!$C:$C,$C111,Budget!$D:$D,R$7)*Summary[[#This Row],[Budget %  Adjustment]]</f>
        <v>0</v>
      </c>
      <c r="S111" s="190">
        <f>SUMIFS(Budget!$E:$E,Budget!$A:$A,$A111,Budget!$C:$C,$C111,Budget!$D:$D,S$7)*Summary[[#This Row],[Budget %  Adjustment]]</f>
        <v>0</v>
      </c>
      <c r="T111" s="190">
        <f>SUMIFS(Budget!$E:$E,Budget!$A:$A,$A111,Budget!$C:$C,$C111,Budget!$D:$D,T$7)*Summary[[#This Row],[Budget %  Adjustment]]</f>
        <v>0</v>
      </c>
      <c r="U111" s="190">
        <f>SUMIFS(Budget!$E:$E,Budget!$A:$A,$A111,Budget!$C:$C,$C111,Budget!$D:$D,U$7)*Summary[[#This Row],[Budget %  Adjustment]]</f>
        <v>0</v>
      </c>
      <c r="V111" s="190">
        <f>Summary[[#This Row],[Promo]]+Summary[[#This Row],[Delivery]]</f>
        <v>0</v>
      </c>
      <c r="W111" s="190">
        <f t="shared" si="6"/>
        <v>0</v>
      </c>
      <c r="X111" s="190">
        <f t="shared" si="7"/>
        <v>0</v>
      </c>
    </row>
    <row r="112" spans="1:24" x14ac:dyDescent="0.25">
      <c r="A112" s="156">
        <v>2029</v>
      </c>
      <c r="B112" s="247" t="s">
        <v>12</v>
      </c>
      <c r="C112" s="247" t="s">
        <v>21</v>
      </c>
      <c r="D112" s="247" t="s">
        <v>207</v>
      </c>
      <c r="E112" s="249">
        <v>1</v>
      </c>
      <c r="F112" s="250">
        <f>SUMIFS('All Measure &amp; TRC+ Calc'!F:F,'All Measure &amp; TRC+ Calc'!$D:$D,$C112,'All Measure &amp; TRC+ Calc'!$B:$B,$A112)*$E112</f>
        <v>243</v>
      </c>
      <c r="G112" s="250">
        <f>SUMIFS('All Measure &amp; TRC+ Calc'!AD:AD,'All Measure &amp; TRC+ Calc'!$D:$D,$C112,'All Measure &amp; TRC+ Calc'!$B:$B,$A112)*$E112</f>
        <v>2508341.6248999997</v>
      </c>
      <c r="H112" s="250">
        <f>SUMIFS('All Measure &amp; TRC+ Calc'!AE:AE,'All Measure &amp; TRC+ Calc'!$D:$D,$C112,'All Measure &amp; TRC+ Calc'!$B:$B,$A112)*$E112</f>
        <v>2508341.6248999997</v>
      </c>
      <c r="I112" s="250">
        <f>SUMIFS('All Measure &amp; TRC+ Calc'!AH:AH,'All Measure &amp; TRC+ Calc'!$D:$D,$C112,'All Measure &amp; TRC+ Calc'!$B:$B,$A112)*$E112</f>
        <v>73788.828492800007</v>
      </c>
      <c r="J112" s="250">
        <f>SUMIFS('All Measure &amp; TRC+ Calc'!AI:AI,'All Measure &amp; TRC+ Calc'!$D:$D,$C112,'All Measure &amp; TRC+ Calc'!$B:$B,$A112)*$E112</f>
        <v>73788.828492800007</v>
      </c>
      <c r="K112" s="250">
        <f>SUMIFS('All Measure &amp; TRC+ Calc'!AL:AL,'All Measure &amp; TRC+ Calc'!$D:$D,$C112,'All Measure &amp; TRC+ Calc'!$B:$B,$A112)*$E112</f>
        <v>485.19348359929381</v>
      </c>
      <c r="L112" s="250">
        <f>SUMIFS('All Measure &amp; TRC+ Calc'!AM:AM,'All Measure &amp; TRC+ Calc'!$D:$D,$C112,'All Measure &amp; TRC+ Calc'!$B:$B,$A112)*$E112</f>
        <v>485.19348359929381</v>
      </c>
      <c r="M112" s="250">
        <f>SUMIFS('All Measure &amp; TRC+ Calc'!AJ:AJ,'All Measure &amp; TRC+ Calc'!$D:$D,$C112,'All Measure &amp; TRC+ Calc'!$B:$B,$A112)*$E112</f>
        <v>0</v>
      </c>
      <c r="N112" s="250">
        <f>SUMIFS('All Measure &amp; TRC+ Calc'!AK:AK,'All Measure &amp; TRC+ Calc'!$D:$D,$C112,'All Measure &amp; TRC+ Calc'!$B:$B,$A112)*$E112</f>
        <v>0</v>
      </c>
      <c r="O112" s="250">
        <f>SUMIFS('All Measure &amp; TRC+ Calc'!AF:AF,'All Measure &amp; TRC+ Calc'!$D:$D,$C112,'All Measure &amp; TRC+ Calc'!$B:$B,$A112)*$E112</f>
        <v>42240007.454499997</v>
      </c>
      <c r="P112" s="250">
        <f>SUMIFS('All Measure &amp; TRC+ Calc'!AG:AG,'All Measure &amp; TRC+ Calc'!$D:$D,$C112,'All Measure &amp; TRC+ Calc'!$B:$B,$A112)*$E112</f>
        <v>42240007.454499997</v>
      </c>
      <c r="Q112" s="249">
        <v>1</v>
      </c>
      <c r="R112" s="190">
        <f>SUMIFS(Budget!$E:$E,Budget!$A:$A,$A112,Budget!$C:$C,$C112,Budget!$D:$D,R$7)*Summary[[#This Row],[Budget %  Adjustment]]</f>
        <v>8815092</v>
      </c>
      <c r="S112" s="190">
        <f>SUMIFS(Budget!$E:$E,Budget!$A:$A,$A112,Budget!$C:$C,$C112,Budget!$D:$D,S$7)*Summary[[#This Row],[Budget %  Adjustment]]</f>
        <v>1148512</v>
      </c>
      <c r="T112" s="190">
        <f>SUMIFS(Budget!$E:$E,Budget!$A:$A,$A112,Budget!$C:$C,$C112,Budget!$D:$D,T$7)*Summary[[#This Row],[Budget %  Adjustment]]</f>
        <v>310409</v>
      </c>
      <c r="U112" s="190">
        <f>SUMIFS(Budget!$E:$E,Budget!$A:$A,$A112,Budget!$C:$C,$C112,Budget!$D:$D,U$7)*Summary[[#This Row],[Budget %  Adjustment]]</f>
        <v>0</v>
      </c>
      <c r="V112" s="190">
        <f>Summary[[#This Row],[Promo]]+Summary[[#This Row],[Delivery]]</f>
        <v>1458921</v>
      </c>
      <c r="W112" s="190">
        <f t="shared" si="6"/>
        <v>1458921</v>
      </c>
      <c r="X112" s="190">
        <f t="shared" si="7"/>
        <v>10274013</v>
      </c>
    </row>
    <row r="113" spans="1:24" x14ac:dyDescent="0.25">
      <c r="A113" s="156">
        <v>2029</v>
      </c>
      <c r="B113" s="247" t="s">
        <v>12</v>
      </c>
      <c r="C113" s="247" t="s">
        <v>173</v>
      </c>
      <c r="D113" s="247" t="s">
        <v>256</v>
      </c>
      <c r="E113" s="249">
        <v>1</v>
      </c>
      <c r="F113" s="250">
        <f>SUMIFS('All Measure &amp; TRC+ Calc'!F:F,'All Measure &amp; TRC+ Calc'!$D:$D,$C113,'All Measure &amp; TRC+ Calc'!$B:$B,$A113)*$E113</f>
        <v>0</v>
      </c>
      <c r="G113" s="250">
        <f>SUMIFS('All Measure &amp; TRC+ Calc'!AD:AD,'All Measure &amp; TRC+ Calc'!$D:$D,$C113,'All Measure &amp; TRC+ Calc'!$B:$B,$A113)*$E113</f>
        <v>0</v>
      </c>
      <c r="H113" s="250">
        <f>SUMIFS('All Measure &amp; TRC+ Calc'!AE:AE,'All Measure &amp; TRC+ Calc'!$D:$D,$C113,'All Measure &amp; TRC+ Calc'!$B:$B,$A113)*$E113</f>
        <v>0</v>
      </c>
      <c r="I113" s="250">
        <f>SUMIFS('All Measure &amp; TRC+ Calc'!AH:AH,'All Measure &amp; TRC+ Calc'!$D:$D,$C113,'All Measure &amp; TRC+ Calc'!$B:$B,$A113)*$E113</f>
        <v>0</v>
      </c>
      <c r="J113" s="250">
        <f>SUMIFS('All Measure &amp; TRC+ Calc'!AI:AI,'All Measure &amp; TRC+ Calc'!$D:$D,$C113,'All Measure &amp; TRC+ Calc'!$B:$B,$A113)*$E113</f>
        <v>0</v>
      </c>
      <c r="K113" s="250">
        <f>SUMIFS('All Measure &amp; TRC+ Calc'!AL:AL,'All Measure &amp; TRC+ Calc'!$D:$D,$C113,'All Measure &amp; TRC+ Calc'!$B:$B,$A113)*$E113</f>
        <v>0</v>
      </c>
      <c r="L113" s="250">
        <f>SUMIFS('All Measure &amp; TRC+ Calc'!AM:AM,'All Measure &amp; TRC+ Calc'!$D:$D,$C113,'All Measure &amp; TRC+ Calc'!$B:$B,$A113)*$E113</f>
        <v>0</v>
      </c>
      <c r="M113" s="250">
        <f>SUMIFS('All Measure &amp; TRC+ Calc'!AJ:AJ,'All Measure &amp; TRC+ Calc'!$D:$D,$C113,'All Measure &amp; TRC+ Calc'!$B:$B,$A113)*$E113</f>
        <v>0</v>
      </c>
      <c r="N113" s="250">
        <f>SUMIFS('All Measure &amp; TRC+ Calc'!AK:AK,'All Measure &amp; TRC+ Calc'!$D:$D,$C113,'All Measure &amp; TRC+ Calc'!$B:$B,$A113)*$E113</f>
        <v>0</v>
      </c>
      <c r="O113" s="250">
        <f>SUMIFS('All Measure &amp; TRC+ Calc'!AF:AF,'All Measure &amp; TRC+ Calc'!$D:$D,$C113,'All Measure &amp; TRC+ Calc'!$B:$B,$A113)*$E113</f>
        <v>0</v>
      </c>
      <c r="P113" s="250">
        <f>SUMIFS('All Measure &amp; TRC+ Calc'!AG:AG,'All Measure &amp; TRC+ Calc'!$D:$D,$C113,'All Measure &amp; TRC+ Calc'!$B:$B,$A113)*$E113</f>
        <v>0</v>
      </c>
      <c r="Q113" s="249">
        <v>1</v>
      </c>
      <c r="R113" s="190">
        <f>SUMIFS(Budget!$E:$E,Budget!$A:$A,$A113,Budget!$C:$C,$C113,Budget!$D:$D,R$7)*Summary[[#This Row],[Budget %  Adjustment]]</f>
        <v>0</v>
      </c>
      <c r="S113" s="190">
        <f>SUMIFS(Budget!$E:$E,Budget!$A:$A,$A113,Budget!$C:$C,$C113,Budget!$D:$D,S$7)*Summary[[#This Row],[Budget %  Adjustment]]</f>
        <v>0</v>
      </c>
      <c r="T113" s="190">
        <f>SUMIFS(Budget!$E:$E,Budget!$A:$A,$A113,Budget!$C:$C,$C113,Budget!$D:$D,T$7)*Summary[[#This Row],[Budget %  Adjustment]]</f>
        <v>0</v>
      </c>
      <c r="U113" s="190">
        <f>SUMIFS(Budget!$E:$E,Budget!$A:$A,$A113,Budget!$C:$C,$C113,Budget!$D:$D,U$7)*Summary[[#This Row],[Budget %  Adjustment]]</f>
        <v>0</v>
      </c>
      <c r="V113" s="190">
        <f>Summary[[#This Row],[Promo]]+Summary[[#This Row],[Delivery]]</f>
        <v>0</v>
      </c>
      <c r="W113" s="190">
        <f t="shared" si="6"/>
        <v>0</v>
      </c>
      <c r="X113" s="190">
        <f t="shared" si="7"/>
        <v>0</v>
      </c>
    </row>
    <row r="114" spans="1:24" x14ac:dyDescent="0.25">
      <c r="A114" s="156">
        <v>2029</v>
      </c>
      <c r="B114" s="247" t="s">
        <v>12</v>
      </c>
      <c r="C114" s="247" t="s">
        <v>23</v>
      </c>
      <c r="D114" s="247" t="s">
        <v>23</v>
      </c>
      <c r="E114" s="249">
        <v>1</v>
      </c>
      <c r="F114" s="250">
        <f>SUMIFS('All Measure &amp; TRC+ Calc'!F:F,'All Measure &amp; TRC+ Calc'!$D:$D,$C114,'All Measure &amp; TRC+ Calc'!$B:$B,$A114)*$E114</f>
        <v>0</v>
      </c>
      <c r="G114" s="250">
        <f>SUMIFS('All Measure &amp; TRC+ Calc'!AD:AD,'All Measure &amp; TRC+ Calc'!$D:$D,$C114,'All Measure &amp; TRC+ Calc'!$B:$B,$A114)*$E114</f>
        <v>0</v>
      </c>
      <c r="H114" s="250">
        <f>SUMIFS('All Measure &amp; TRC+ Calc'!AE:AE,'All Measure &amp; TRC+ Calc'!$D:$D,$C114,'All Measure &amp; TRC+ Calc'!$B:$B,$A114)*$E114</f>
        <v>0</v>
      </c>
      <c r="I114" s="250">
        <f>SUMIFS('All Measure &amp; TRC+ Calc'!AH:AH,'All Measure &amp; TRC+ Calc'!$D:$D,$C114,'All Measure &amp; TRC+ Calc'!$B:$B,$A114)*$E114</f>
        <v>0</v>
      </c>
      <c r="J114" s="250">
        <f>SUMIFS('All Measure &amp; TRC+ Calc'!AI:AI,'All Measure &amp; TRC+ Calc'!$D:$D,$C114,'All Measure &amp; TRC+ Calc'!$B:$B,$A114)*$E114</f>
        <v>0</v>
      </c>
      <c r="K114" s="250">
        <f>SUMIFS('All Measure &amp; TRC+ Calc'!AL:AL,'All Measure &amp; TRC+ Calc'!$D:$D,$C114,'All Measure &amp; TRC+ Calc'!$B:$B,$A114)*$E114</f>
        <v>0</v>
      </c>
      <c r="L114" s="250">
        <f>SUMIFS('All Measure &amp; TRC+ Calc'!AM:AM,'All Measure &amp; TRC+ Calc'!$D:$D,$C114,'All Measure &amp; TRC+ Calc'!$B:$B,$A114)*$E114</f>
        <v>0</v>
      </c>
      <c r="M114" s="250">
        <f>SUMIFS('All Measure &amp; TRC+ Calc'!AJ:AJ,'All Measure &amp; TRC+ Calc'!$D:$D,$C114,'All Measure &amp; TRC+ Calc'!$B:$B,$A114)*$E114</f>
        <v>0</v>
      </c>
      <c r="N114" s="250">
        <f>SUMIFS('All Measure &amp; TRC+ Calc'!AK:AK,'All Measure &amp; TRC+ Calc'!$D:$D,$C114,'All Measure &amp; TRC+ Calc'!$B:$B,$A114)*$E114</f>
        <v>0</v>
      </c>
      <c r="O114" s="250">
        <f>SUMIFS('All Measure &amp; TRC+ Calc'!AF:AF,'All Measure &amp; TRC+ Calc'!$D:$D,$C114,'All Measure &amp; TRC+ Calc'!$B:$B,$A114)*$E114</f>
        <v>0</v>
      </c>
      <c r="P114" s="250">
        <f>SUMIFS('All Measure &amp; TRC+ Calc'!AG:AG,'All Measure &amp; TRC+ Calc'!$D:$D,$C114,'All Measure &amp; TRC+ Calc'!$B:$B,$A114)*$E114</f>
        <v>0</v>
      </c>
      <c r="Q114" s="249">
        <v>1</v>
      </c>
      <c r="R114" s="190">
        <f>SUMIFS(Budget!$E:$E,Budget!$A:$A,$A114,Budget!$C:$C,$C114,Budget!$D:$D,R$7)*Summary[[#This Row],[Budget %  Adjustment]]</f>
        <v>0</v>
      </c>
      <c r="S114" s="190">
        <f>SUMIFS(Budget!$E:$E,Budget!$A:$A,$A114,Budget!$C:$C,$C114,Budget!$D:$D,S$7)*Summary[[#This Row],[Budget %  Adjustment]]</f>
        <v>0</v>
      </c>
      <c r="T114" s="190">
        <f>SUMIFS(Budget!$E:$E,Budget!$A:$A,$A114,Budget!$C:$C,$C114,Budget!$D:$D,T$7)*Summary[[#This Row],[Budget %  Adjustment]]</f>
        <v>0</v>
      </c>
      <c r="U114" s="190">
        <f>SUMIFS(Budget!$E:$E,Budget!$A:$A,$A114,Budget!$C:$C,$C114,Budget!$D:$D,U$7)*Summary[[#This Row],[Budget %  Adjustment]]</f>
        <v>1902125</v>
      </c>
      <c r="V114" s="190">
        <f>Summary[[#This Row],[Promo]]+Summary[[#This Row],[Delivery]]</f>
        <v>0</v>
      </c>
      <c r="W114" s="190">
        <f t="shared" si="6"/>
        <v>1902125</v>
      </c>
      <c r="X114" s="190">
        <f t="shared" si="7"/>
        <v>1902125</v>
      </c>
    </row>
    <row r="115" spans="1:24" x14ac:dyDescent="0.25">
      <c r="A115" s="156">
        <v>2029</v>
      </c>
      <c r="B115" s="247" t="s">
        <v>15</v>
      </c>
      <c r="C115" s="247" t="s">
        <v>27</v>
      </c>
      <c r="D115" s="247" t="s">
        <v>133</v>
      </c>
      <c r="E115" s="249">
        <v>1</v>
      </c>
      <c r="F115" s="250">
        <f>SUMIFS('All Measure &amp; TRC+ Calc'!F:F,'All Measure &amp; TRC+ Calc'!$D:$D,$C115,'All Measure &amp; TRC+ Calc'!$B:$B,$A115)*$E115</f>
        <v>78</v>
      </c>
      <c r="G115" s="250">
        <f>SUMIFS('All Measure &amp; TRC+ Calc'!AD:AD,'All Measure &amp; TRC+ Calc'!$D:$D,$C115,'All Measure &amp; TRC+ Calc'!$B:$B,$A115)*$E115</f>
        <v>89456113.45050545</v>
      </c>
      <c r="H115" s="250">
        <f>SUMIFS('All Measure &amp; TRC+ Calc'!AE:AE,'All Measure &amp; TRC+ Calc'!$D:$D,$C115,'All Measure &amp; TRC+ Calc'!$B:$B,$A115)*$E115</f>
        <v>21245826.944495041</v>
      </c>
      <c r="I115" s="250">
        <f>SUMIFS('All Measure &amp; TRC+ Calc'!AH:AH,'All Measure &amp; TRC+ Calc'!$D:$D,$C115,'All Measure &amp; TRC+ Calc'!$B:$B,$A115)*$E115</f>
        <v>2412929.5355384443</v>
      </c>
      <c r="J115" s="250">
        <f>SUMIFS('All Measure &amp; TRC+ Calc'!AI:AI,'All Measure &amp; TRC+ Calc'!$D:$D,$C115,'All Measure &amp; TRC+ Calc'!$B:$B,$A115)*$E115</f>
        <v>573070.76469038054</v>
      </c>
      <c r="K115" s="250">
        <f>SUMIFS('All Measure &amp; TRC+ Calc'!AL:AL,'All Measure &amp; TRC+ Calc'!$D:$D,$C115,'All Measure &amp; TRC+ Calc'!$B:$B,$A115)*$E115</f>
        <v>275.44857711625826</v>
      </c>
      <c r="L115" s="250">
        <f>SUMIFS('All Measure &amp; TRC+ Calc'!AM:AM,'All Measure &amp; TRC+ Calc'!$D:$D,$C115,'All Measure &amp; TRC+ Calc'!$B:$B,$A115)*$E115</f>
        <v>65.419037065111326</v>
      </c>
      <c r="M115" s="250">
        <f>SUMIFS('All Measure &amp; TRC+ Calc'!AJ:AJ,'All Measure &amp; TRC+ Calc'!$D:$D,$C115,'All Measure &amp; TRC+ Calc'!$B:$B,$A115)*$E115</f>
        <v>131101.53382609607</v>
      </c>
      <c r="N115" s="250">
        <f>SUMIFS('All Measure &amp; TRC+ Calc'!AK:AK,'All Measure &amp; TRC+ Calc'!$D:$D,$C115,'All Measure &amp; TRC+ Calc'!$B:$B,$A115)*$E115</f>
        <v>31136.614283697814</v>
      </c>
      <c r="O115" s="250">
        <f>SUMIFS('All Measure &amp; TRC+ Calc'!AF:AF,'All Measure &amp; TRC+ Calc'!$D:$D,$C115,'All Measure &amp; TRC+ Calc'!$B:$B,$A115)*$E115</f>
        <v>984017247.95555997</v>
      </c>
      <c r="P115" s="250">
        <f>SUMIFS('All Measure &amp; TRC+ Calc'!AG:AG,'All Measure &amp; TRC+ Calc'!$D:$D,$C115,'All Measure &amp; TRC+ Calc'!$B:$B,$A115)*$E115</f>
        <v>233704096.38944545</v>
      </c>
      <c r="Q115" s="249">
        <v>1</v>
      </c>
      <c r="R115" s="190">
        <f>SUMIFS(Budget!$E:$E,Budget!$A:$A,$A115,Budget!$C:$C,$C115,Budget!$D:$D,R$7)*Summary[[#This Row],[Budget %  Adjustment]]</f>
        <v>3440737</v>
      </c>
      <c r="S115" s="190">
        <f>SUMIFS(Budget!$E:$E,Budget!$A:$A,$A115,Budget!$C:$C,$C115,Budget!$D:$D,S$7)*Summary[[#This Row],[Budget %  Adjustment]]</f>
        <v>25867</v>
      </c>
      <c r="T115" s="190">
        <f>SUMIFS(Budget!$E:$E,Budget!$A:$A,$A115,Budget!$C:$C,$C115,Budget!$D:$D,T$7)*Summary[[#This Row],[Budget %  Adjustment]]</f>
        <v>0</v>
      </c>
      <c r="U115" s="190">
        <f>SUMIFS(Budget!$E:$E,Budget!$A:$A,$A115,Budget!$C:$C,$C115,Budget!$D:$D,U$7)*Summary[[#This Row],[Budget %  Adjustment]]</f>
        <v>0</v>
      </c>
      <c r="V115" s="190">
        <f>Summary[[#This Row],[Promo]]+Summary[[#This Row],[Delivery]]</f>
        <v>25867</v>
      </c>
      <c r="W115" s="190">
        <f t="shared" si="6"/>
        <v>25867</v>
      </c>
      <c r="X115" s="190">
        <f t="shared" si="7"/>
        <v>3466604</v>
      </c>
    </row>
    <row r="116" spans="1:24" x14ac:dyDescent="0.25">
      <c r="A116" s="156">
        <v>2029</v>
      </c>
      <c r="B116" s="247" t="s">
        <v>15</v>
      </c>
      <c r="C116" s="247" t="s">
        <v>28</v>
      </c>
      <c r="D116" s="247" t="s">
        <v>28</v>
      </c>
      <c r="E116" s="249">
        <v>1</v>
      </c>
      <c r="F116" s="250">
        <f>SUMIFS('All Measure &amp; TRC+ Calc'!F:F,'All Measure &amp; TRC+ Calc'!$D:$D,$C116,'All Measure &amp; TRC+ Calc'!$B:$B,$A116)*$E116</f>
        <v>0</v>
      </c>
      <c r="G116" s="250">
        <f>SUMIFS('All Measure &amp; TRC+ Calc'!AD:AD,'All Measure &amp; TRC+ Calc'!$D:$D,$C116,'All Measure &amp; TRC+ Calc'!$B:$B,$A116)*$E116</f>
        <v>0</v>
      </c>
      <c r="H116" s="250">
        <f>SUMIFS('All Measure &amp; TRC+ Calc'!AE:AE,'All Measure &amp; TRC+ Calc'!$D:$D,$C116,'All Measure &amp; TRC+ Calc'!$B:$B,$A116)*$E116</f>
        <v>0</v>
      </c>
      <c r="I116" s="250">
        <f>SUMIFS('All Measure &amp; TRC+ Calc'!AH:AH,'All Measure &amp; TRC+ Calc'!$D:$D,$C116,'All Measure &amp; TRC+ Calc'!$B:$B,$A116)*$E116</f>
        <v>0</v>
      </c>
      <c r="J116" s="250">
        <f>SUMIFS('All Measure &amp; TRC+ Calc'!AI:AI,'All Measure &amp; TRC+ Calc'!$D:$D,$C116,'All Measure &amp; TRC+ Calc'!$B:$B,$A116)*$E116</f>
        <v>0</v>
      </c>
      <c r="K116" s="250">
        <f>SUMIFS('All Measure &amp; TRC+ Calc'!AL:AL,'All Measure &amp; TRC+ Calc'!$D:$D,$C116,'All Measure &amp; TRC+ Calc'!$B:$B,$A116)*$E116</f>
        <v>0</v>
      </c>
      <c r="L116" s="250">
        <f>SUMIFS('All Measure &amp; TRC+ Calc'!AM:AM,'All Measure &amp; TRC+ Calc'!$D:$D,$C116,'All Measure &amp; TRC+ Calc'!$B:$B,$A116)*$E116</f>
        <v>0</v>
      </c>
      <c r="M116" s="250">
        <f>SUMIFS('All Measure &amp; TRC+ Calc'!AJ:AJ,'All Measure &amp; TRC+ Calc'!$D:$D,$C116,'All Measure &amp; TRC+ Calc'!$B:$B,$A116)*$E116</f>
        <v>0</v>
      </c>
      <c r="N116" s="250">
        <f>SUMIFS('All Measure &amp; TRC+ Calc'!AK:AK,'All Measure &amp; TRC+ Calc'!$D:$D,$C116,'All Measure &amp; TRC+ Calc'!$B:$B,$A116)*$E116</f>
        <v>0</v>
      </c>
      <c r="O116" s="250">
        <f>SUMIFS('All Measure &amp; TRC+ Calc'!AF:AF,'All Measure &amp; TRC+ Calc'!$D:$D,$C116,'All Measure &amp; TRC+ Calc'!$B:$B,$A116)*$E116</f>
        <v>0</v>
      </c>
      <c r="P116" s="250">
        <f>SUMIFS('All Measure &amp; TRC+ Calc'!AG:AG,'All Measure &amp; TRC+ Calc'!$D:$D,$C116,'All Measure &amp; TRC+ Calc'!$B:$B,$A116)*$E116</f>
        <v>0</v>
      </c>
      <c r="Q116" s="249">
        <v>1</v>
      </c>
      <c r="R116" s="190">
        <f>SUMIFS(Budget!$E:$E,Budget!$A:$A,$A116,Budget!$C:$C,$C116,Budget!$D:$D,R$7)*Summary[[#This Row],[Budget %  Adjustment]]</f>
        <v>0</v>
      </c>
      <c r="S116" s="190">
        <f>SUMIFS(Budget!$E:$E,Budget!$A:$A,$A116,Budget!$C:$C,$C116,Budget!$D:$D,S$7)*Summary[[#This Row],[Budget %  Adjustment]]</f>
        <v>0</v>
      </c>
      <c r="T116" s="190">
        <f>SUMIFS(Budget!$E:$E,Budget!$A:$A,$A116,Budget!$C:$C,$C116,Budget!$D:$D,T$7)*Summary[[#This Row],[Budget %  Adjustment]]</f>
        <v>0</v>
      </c>
      <c r="U116" s="190">
        <f>SUMIFS(Budget!$E:$E,Budget!$A:$A,$A116,Budget!$C:$C,$C116,Budget!$D:$D,U$7)*Summary[[#This Row],[Budget %  Adjustment]]</f>
        <v>285519</v>
      </c>
      <c r="V116" s="190">
        <f>Summary[[#This Row],[Promo]]+Summary[[#This Row],[Delivery]]</f>
        <v>0</v>
      </c>
      <c r="W116" s="190">
        <f t="shared" si="6"/>
        <v>285519</v>
      </c>
      <c r="X116" s="190">
        <f t="shared" si="7"/>
        <v>285519</v>
      </c>
    </row>
    <row r="117" spans="1:24" x14ac:dyDescent="0.25">
      <c r="A117" s="156">
        <v>2029</v>
      </c>
      <c r="B117" s="247" t="s">
        <v>254</v>
      </c>
      <c r="C117" s="247" t="s">
        <v>174</v>
      </c>
      <c r="D117" s="247" t="s">
        <v>174</v>
      </c>
      <c r="E117" s="249">
        <v>1</v>
      </c>
      <c r="F117" s="250">
        <f>SUMIFS('All Measure &amp; TRC+ Calc'!F:F,'All Measure &amp; TRC+ Calc'!$D:$D,$C117,'All Measure &amp; TRC+ Calc'!$B:$B,$A117)*$E117</f>
        <v>0</v>
      </c>
      <c r="G117" s="250">
        <f>SUMIFS('All Measure &amp; TRC+ Calc'!AD:AD,'All Measure &amp; TRC+ Calc'!$D:$D,$C117,'All Measure &amp; TRC+ Calc'!$B:$B,$A117)*$E117</f>
        <v>0</v>
      </c>
      <c r="H117" s="250">
        <f>SUMIFS('All Measure &amp; TRC+ Calc'!AE:AE,'All Measure &amp; TRC+ Calc'!$D:$D,$C117,'All Measure &amp; TRC+ Calc'!$B:$B,$A117)*$E117</f>
        <v>0</v>
      </c>
      <c r="I117" s="250">
        <f>SUMIFS('All Measure &amp; TRC+ Calc'!AH:AH,'All Measure &amp; TRC+ Calc'!$D:$D,$C117,'All Measure &amp; TRC+ Calc'!$B:$B,$A117)*$E117</f>
        <v>0</v>
      </c>
      <c r="J117" s="250">
        <f>SUMIFS('All Measure &amp; TRC+ Calc'!AI:AI,'All Measure &amp; TRC+ Calc'!$D:$D,$C117,'All Measure &amp; TRC+ Calc'!$B:$B,$A117)*$E117</f>
        <v>0</v>
      </c>
      <c r="K117" s="250">
        <f>SUMIFS('All Measure &amp; TRC+ Calc'!AL:AL,'All Measure &amp; TRC+ Calc'!$D:$D,$C117,'All Measure &amp; TRC+ Calc'!$B:$B,$A117)*$E117</f>
        <v>0</v>
      </c>
      <c r="L117" s="250">
        <f>SUMIFS('All Measure &amp; TRC+ Calc'!AM:AM,'All Measure &amp; TRC+ Calc'!$D:$D,$C117,'All Measure &amp; TRC+ Calc'!$B:$B,$A117)*$E117</f>
        <v>0</v>
      </c>
      <c r="M117" s="250">
        <f>SUMIFS('All Measure &amp; TRC+ Calc'!AJ:AJ,'All Measure &amp; TRC+ Calc'!$D:$D,$C117,'All Measure &amp; TRC+ Calc'!$B:$B,$A117)*$E117</f>
        <v>0</v>
      </c>
      <c r="N117" s="250">
        <f>SUMIFS('All Measure &amp; TRC+ Calc'!AK:AK,'All Measure &amp; TRC+ Calc'!$D:$D,$C117,'All Measure &amp; TRC+ Calc'!$B:$B,$A117)*$E117</f>
        <v>0</v>
      </c>
      <c r="O117" s="250">
        <f>SUMIFS('All Measure &amp; TRC+ Calc'!AF:AF,'All Measure &amp; TRC+ Calc'!$D:$D,$C117,'All Measure &amp; TRC+ Calc'!$B:$B,$A117)*$E117</f>
        <v>0</v>
      </c>
      <c r="P117" s="250">
        <f>SUMIFS('All Measure &amp; TRC+ Calc'!AG:AG,'All Measure &amp; TRC+ Calc'!$D:$D,$C117,'All Measure &amp; TRC+ Calc'!$B:$B,$A117)*$E117</f>
        <v>0</v>
      </c>
      <c r="Q117" s="249">
        <v>1</v>
      </c>
      <c r="R117" s="190">
        <f>SUMIFS(Budget!$E:$E,Budget!$A:$A,$A117,Budget!$C:$C,$C117,Budget!$D:$D,R$7)*Summary[[#This Row],[Budget %  Adjustment]]</f>
        <v>0</v>
      </c>
      <c r="S117" s="190">
        <f>SUMIFS(Budget!$E:$E,Budget!$A:$A,$A117,Budget!$C:$C,$C117,Budget!$D:$D,S$7)*Summary[[#This Row],[Budget %  Adjustment]]</f>
        <v>0</v>
      </c>
      <c r="T117" s="190">
        <f>SUMIFS(Budget!$E:$E,Budget!$A:$A,$A117,Budget!$C:$C,$C117,Budget!$D:$D,T$7)*Summary[[#This Row],[Budget %  Adjustment]]</f>
        <v>0</v>
      </c>
      <c r="U117" s="190">
        <f>SUMIFS(Budget!$E:$E,Budget!$A:$A,$A117,Budget!$C:$C,$C117,Budget!$D:$D,U$7)*Summary[[#This Row],[Budget %  Adjustment]]</f>
        <v>0</v>
      </c>
      <c r="V117" s="190">
        <f>Summary[[#This Row],[Promo]]+Summary[[#This Row],[Delivery]]</f>
        <v>0</v>
      </c>
      <c r="W117" s="190">
        <f t="shared" si="6"/>
        <v>0</v>
      </c>
      <c r="X117" s="190">
        <f t="shared" si="7"/>
        <v>0</v>
      </c>
    </row>
    <row r="118" spans="1:24" x14ac:dyDescent="0.25">
      <c r="A118" s="156">
        <v>2029</v>
      </c>
      <c r="B118" s="247" t="s">
        <v>253</v>
      </c>
      <c r="C118" s="247" t="s">
        <v>175</v>
      </c>
      <c r="D118" s="247" t="s">
        <v>257</v>
      </c>
      <c r="E118" s="249">
        <v>1</v>
      </c>
      <c r="F118" s="250">
        <f>SUMIFS('All Measure &amp; TRC+ Calc'!F:F,'All Measure &amp; TRC+ Calc'!$D:$D,$C118,'All Measure &amp; TRC+ Calc'!$B:$B,$A118)*$E118</f>
        <v>0</v>
      </c>
      <c r="G118" s="250">
        <f>SUMIFS('All Measure &amp; TRC+ Calc'!AD:AD,'All Measure &amp; TRC+ Calc'!$D:$D,$C118,'All Measure &amp; TRC+ Calc'!$B:$B,$A118)*$E118</f>
        <v>0</v>
      </c>
      <c r="H118" s="250">
        <f>SUMIFS('All Measure &amp; TRC+ Calc'!AE:AE,'All Measure &amp; TRC+ Calc'!$D:$D,$C118,'All Measure &amp; TRC+ Calc'!$B:$B,$A118)*$E118</f>
        <v>0</v>
      </c>
      <c r="I118" s="250">
        <f>SUMIFS('All Measure &amp; TRC+ Calc'!AH:AH,'All Measure &amp; TRC+ Calc'!$D:$D,$C118,'All Measure &amp; TRC+ Calc'!$B:$B,$A118)*$E118</f>
        <v>0</v>
      </c>
      <c r="J118" s="250">
        <f>SUMIFS('All Measure &amp; TRC+ Calc'!AI:AI,'All Measure &amp; TRC+ Calc'!$D:$D,$C118,'All Measure &amp; TRC+ Calc'!$B:$B,$A118)*$E118</f>
        <v>0</v>
      </c>
      <c r="K118" s="250">
        <f>SUMIFS('All Measure &amp; TRC+ Calc'!AL:AL,'All Measure &amp; TRC+ Calc'!$D:$D,$C118,'All Measure &amp; TRC+ Calc'!$B:$B,$A118)*$E118</f>
        <v>0</v>
      </c>
      <c r="L118" s="250">
        <f>SUMIFS('All Measure &amp; TRC+ Calc'!AM:AM,'All Measure &amp; TRC+ Calc'!$D:$D,$C118,'All Measure &amp; TRC+ Calc'!$B:$B,$A118)*$E118</f>
        <v>0</v>
      </c>
      <c r="M118" s="250">
        <f>SUMIFS('All Measure &amp; TRC+ Calc'!AJ:AJ,'All Measure &amp; TRC+ Calc'!$D:$D,$C118,'All Measure &amp; TRC+ Calc'!$B:$B,$A118)*$E118</f>
        <v>0</v>
      </c>
      <c r="N118" s="250">
        <f>SUMIFS('All Measure &amp; TRC+ Calc'!AK:AK,'All Measure &amp; TRC+ Calc'!$D:$D,$C118,'All Measure &amp; TRC+ Calc'!$B:$B,$A118)*$E118</f>
        <v>0</v>
      </c>
      <c r="O118" s="250">
        <f>SUMIFS('All Measure &amp; TRC+ Calc'!AF:AF,'All Measure &amp; TRC+ Calc'!$D:$D,$C118,'All Measure &amp; TRC+ Calc'!$B:$B,$A118)*$E118</f>
        <v>0</v>
      </c>
      <c r="P118" s="250">
        <f>SUMIFS('All Measure &amp; TRC+ Calc'!AG:AG,'All Measure &amp; TRC+ Calc'!$D:$D,$C118,'All Measure &amp; TRC+ Calc'!$B:$B,$A118)*$E118</f>
        <v>0</v>
      </c>
      <c r="Q118" s="249">
        <v>1</v>
      </c>
      <c r="R118" s="190">
        <f>SUMIFS(Budget!$E:$E,Budget!$A:$A,$A118,Budget!$C:$C,$C118,Budget!$D:$D,R$7)*Summary[[#This Row],[Budget %  Adjustment]]</f>
        <v>0</v>
      </c>
      <c r="S118" s="190">
        <f>SUMIFS(Budget!$E:$E,Budget!$A:$A,$A118,Budget!$C:$C,$C118,Budget!$D:$D,S$7)*Summary[[#This Row],[Budget %  Adjustment]]</f>
        <v>0</v>
      </c>
      <c r="T118" s="190">
        <f>SUMIFS(Budget!$E:$E,Budget!$A:$A,$A118,Budget!$C:$C,$C118,Budget!$D:$D,T$7)*Summary[[#This Row],[Budget %  Adjustment]]</f>
        <v>0</v>
      </c>
      <c r="U118" s="190">
        <f>SUMIFS(Budget!$E:$E,Budget!$A:$A,$A118,Budget!$C:$C,$C118,Budget!$D:$D,U$7)*Summary[[#This Row],[Budget %  Adjustment]]</f>
        <v>0</v>
      </c>
      <c r="V118" s="190">
        <f>Summary[[#This Row],[Promo]]+Summary[[#This Row],[Delivery]]</f>
        <v>0</v>
      </c>
      <c r="W118" s="190">
        <f t="shared" si="6"/>
        <v>0</v>
      </c>
      <c r="X118" s="190">
        <f t="shared" si="7"/>
        <v>0</v>
      </c>
    </row>
    <row r="119" spans="1:24" x14ac:dyDescent="0.25">
      <c r="A119" s="156">
        <v>2029</v>
      </c>
      <c r="B119" s="247" t="s">
        <v>253</v>
      </c>
      <c r="C119" s="247" t="s">
        <v>176</v>
      </c>
      <c r="D119" s="247" t="s">
        <v>176</v>
      </c>
      <c r="E119" s="249">
        <v>1</v>
      </c>
      <c r="F119" s="250">
        <f>SUMIFS('All Measure &amp; TRC+ Calc'!F:F,'All Measure &amp; TRC+ Calc'!$D:$D,$C119,'All Measure &amp; TRC+ Calc'!$B:$B,$A119)*$E119</f>
        <v>0</v>
      </c>
      <c r="G119" s="250">
        <f>SUMIFS('All Measure &amp; TRC+ Calc'!AD:AD,'All Measure &amp; TRC+ Calc'!$D:$D,$C119,'All Measure &amp; TRC+ Calc'!$B:$B,$A119)*$E119</f>
        <v>0</v>
      </c>
      <c r="H119" s="250">
        <f>SUMIFS('All Measure &amp; TRC+ Calc'!AE:AE,'All Measure &amp; TRC+ Calc'!$D:$D,$C119,'All Measure &amp; TRC+ Calc'!$B:$B,$A119)*$E119</f>
        <v>0</v>
      </c>
      <c r="I119" s="250">
        <f>SUMIFS('All Measure &amp; TRC+ Calc'!AH:AH,'All Measure &amp; TRC+ Calc'!$D:$D,$C119,'All Measure &amp; TRC+ Calc'!$B:$B,$A119)*$E119</f>
        <v>0</v>
      </c>
      <c r="J119" s="250">
        <f>SUMIFS('All Measure &amp; TRC+ Calc'!AI:AI,'All Measure &amp; TRC+ Calc'!$D:$D,$C119,'All Measure &amp; TRC+ Calc'!$B:$B,$A119)*$E119</f>
        <v>0</v>
      </c>
      <c r="K119" s="250">
        <f>SUMIFS('All Measure &amp; TRC+ Calc'!AL:AL,'All Measure &amp; TRC+ Calc'!$D:$D,$C119,'All Measure &amp; TRC+ Calc'!$B:$B,$A119)*$E119</f>
        <v>0</v>
      </c>
      <c r="L119" s="250">
        <f>SUMIFS('All Measure &amp; TRC+ Calc'!AM:AM,'All Measure &amp; TRC+ Calc'!$D:$D,$C119,'All Measure &amp; TRC+ Calc'!$B:$B,$A119)*$E119</f>
        <v>0</v>
      </c>
      <c r="M119" s="250">
        <f>SUMIFS('All Measure &amp; TRC+ Calc'!AJ:AJ,'All Measure &amp; TRC+ Calc'!$D:$D,$C119,'All Measure &amp; TRC+ Calc'!$B:$B,$A119)*$E119</f>
        <v>0</v>
      </c>
      <c r="N119" s="250">
        <f>SUMIFS('All Measure &amp; TRC+ Calc'!AK:AK,'All Measure &amp; TRC+ Calc'!$D:$D,$C119,'All Measure &amp; TRC+ Calc'!$B:$B,$A119)*$E119</f>
        <v>0</v>
      </c>
      <c r="O119" s="250">
        <f>SUMIFS('All Measure &amp; TRC+ Calc'!AF:AF,'All Measure &amp; TRC+ Calc'!$D:$D,$C119,'All Measure &amp; TRC+ Calc'!$B:$B,$A119)*$E119</f>
        <v>0</v>
      </c>
      <c r="P119" s="250">
        <f>SUMIFS('All Measure &amp; TRC+ Calc'!AG:AG,'All Measure &amp; TRC+ Calc'!$D:$D,$C119,'All Measure &amp; TRC+ Calc'!$B:$B,$A119)*$E119</f>
        <v>0</v>
      </c>
      <c r="Q119" s="249">
        <v>1</v>
      </c>
      <c r="R119" s="190">
        <f>SUMIFS(Budget!$E:$E,Budget!$A:$A,$A119,Budget!$C:$C,$C119,Budget!$D:$D,R$7)*Summary[[#This Row],[Budget %  Adjustment]]</f>
        <v>0</v>
      </c>
      <c r="S119" s="190">
        <f>SUMIFS(Budget!$E:$E,Budget!$A:$A,$A119,Budget!$C:$C,$C119,Budget!$D:$D,S$7)*Summary[[#This Row],[Budget %  Adjustment]]</f>
        <v>0</v>
      </c>
      <c r="T119" s="190">
        <f>SUMIFS(Budget!$E:$E,Budget!$A:$A,$A119,Budget!$C:$C,$C119,Budget!$D:$D,T$7)*Summary[[#This Row],[Budget %  Adjustment]]</f>
        <v>0</v>
      </c>
      <c r="U119" s="190">
        <f>SUMIFS(Budget!$E:$E,Budget!$A:$A,$A119,Budget!$C:$C,$C119,Budget!$D:$D,U$7)*Summary[[#This Row],[Budget %  Adjustment]]</f>
        <v>0</v>
      </c>
      <c r="V119" s="190">
        <f>Summary[[#This Row],[Promo]]+Summary[[#This Row],[Delivery]]</f>
        <v>0</v>
      </c>
      <c r="W119" s="190">
        <f t="shared" si="6"/>
        <v>0</v>
      </c>
      <c r="X119" s="190">
        <f t="shared" si="7"/>
        <v>0</v>
      </c>
    </row>
    <row r="120" spans="1:24" x14ac:dyDescent="0.25">
      <c r="A120" s="156">
        <v>2029</v>
      </c>
      <c r="B120" s="247" t="s">
        <v>29</v>
      </c>
      <c r="C120" s="247" t="s">
        <v>30</v>
      </c>
      <c r="D120" s="247" t="s">
        <v>258</v>
      </c>
      <c r="E120" s="249">
        <v>1</v>
      </c>
      <c r="F120" s="250">
        <f>SUMIFS('All Measure &amp; TRC+ Calc'!F:F,'All Measure &amp; TRC+ Calc'!$D:$D,$C120,'All Measure &amp; TRC+ Calc'!$B:$B,$A120)*$E120</f>
        <v>0</v>
      </c>
      <c r="G120" s="250">
        <f>SUMIFS('All Measure &amp; TRC+ Calc'!AD:AD,'All Measure &amp; TRC+ Calc'!$D:$D,$C120,'All Measure &amp; TRC+ Calc'!$B:$B,$A120)*$E120</f>
        <v>0</v>
      </c>
      <c r="H120" s="250">
        <f>SUMIFS('All Measure &amp; TRC+ Calc'!AE:AE,'All Measure &amp; TRC+ Calc'!$D:$D,$C120,'All Measure &amp; TRC+ Calc'!$B:$B,$A120)*$E120</f>
        <v>0</v>
      </c>
      <c r="I120" s="250">
        <f>SUMIFS('All Measure &amp; TRC+ Calc'!AH:AH,'All Measure &amp; TRC+ Calc'!$D:$D,$C120,'All Measure &amp; TRC+ Calc'!$B:$B,$A120)*$E120</f>
        <v>0</v>
      </c>
      <c r="J120" s="250">
        <f>SUMIFS('All Measure &amp; TRC+ Calc'!AI:AI,'All Measure &amp; TRC+ Calc'!$D:$D,$C120,'All Measure &amp; TRC+ Calc'!$B:$B,$A120)*$E120</f>
        <v>0</v>
      </c>
      <c r="K120" s="250">
        <f>SUMIFS('All Measure &amp; TRC+ Calc'!AL:AL,'All Measure &amp; TRC+ Calc'!$D:$D,$C120,'All Measure &amp; TRC+ Calc'!$B:$B,$A120)*$E120</f>
        <v>0</v>
      </c>
      <c r="L120" s="250">
        <f>SUMIFS('All Measure &amp; TRC+ Calc'!AM:AM,'All Measure &amp; TRC+ Calc'!$D:$D,$C120,'All Measure &amp; TRC+ Calc'!$B:$B,$A120)*$E120</f>
        <v>0</v>
      </c>
      <c r="M120" s="250">
        <f>SUMIFS('All Measure &amp; TRC+ Calc'!AJ:AJ,'All Measure &amp; TRC+ Calc'!$D:$D,$C120,'All Measure &amp; TRC+ Calc'!$B:$B,$A120)*$E120</f>
        <v>0</v>
      </c>
      <c r="N120" s="250">
        <f>SUMIFS('All Measure &amp; TRC+ Calc'!AK:AK,'All Measure &amp; TRC+ Calc'!$D:$D,$C120,'All Measure &amp; TRC+ Calc'!$B:$B,$A120)*$E120</f>
        <v>0</v>
      </c>
      <c r="O120" s="250">
        <f>SUMIFS('All Measure &amp; TRC+ Calc'!AF:AF,'All Measure &amp; TRC+ Calc'!$D:$D,$C120,'All Measure &amp; TRC+ Calc'!$B:$B,$A120)*$E120</f>
        <v>0</v>
      </c>
      <c r="P120" s="250">
        <f>SUMIFS('All Measure &amp; TRC+ Calc'!AG:AG,'All Measure &amp; TRC+ Calc'!$D:$D,$C120,'All Measure &amp; TRC+ Calc'!$B:$B,$A120)*$E120</f>
        <v>0</v>
      </c>
      <c r="Q120" s="249">
        <v>1</v>
      </c>
      <c r="R120" s="190">
        <f>SUMIFS(Budget!$E:$E,Budget!$A:$A,$A120,Budget!$C:$C,$C120,Budget!$D:$D,R$7)*Summary[[#This Row],[Budget %  Adjustment]]</f>
        <v>0</v>
      </c>
      <c r="S120" s="190">
        <f>SUMIFS(Budget!$E:$E,Budget!$A:$A,$A120,Budget!$C:$C,$C120,Budget!$D:$D,S$7)*Summary[[#This Row],[Budget %  Adjustment]]</f>
        <v>0</v>
      </c>
      <c r="T120" s="190">
        <f>SUMIFS(Budget!$E:$E,Budget!$A:$A,$A120,Budget!$C:$C,$C120,Budget!$D:$D,T$7)*Summary[[#This Row],[Budget %  Adjustment]]</f>
        <v>0</v>
      </c>
      <c r="U120" s="190">
        <f>SUMIFS(Budget!$E:$E,Budget!$A:$A,$A120,Budget!$C:$C,$C120,Budget!$D:$D,U$7)*Summary[[#This Row],[Budget %  Adjustment]]</f>
        <v>7970936</v>
      </c>
      <c r="V120" s="190">
        <f>Summary[[#This Row],[Promo]]+Summary[[#This Row],[Delivery]]</f>
        <v>0</v>
      </c>
      <c r="W120" s="190">
        <f t="shared" si="6"/>
        <v>7970936</v>
      </c>
      <c r="X120" s="190">
        <f t="shared" si="7"/>
        <v>7970936</v>
      </c>
    </row>
    <row r="121" spans="1:24" x14ac:dyDescent="0.25">
      <c r="A121" s="156">
        <v>2029</v>
      </c>
      <c r="B121" s="247" t="s">
        <v>29</v>
      </c>
      <c r="C121" s="247" t="s">
        <v>32</v>
      </c>
      <c r="D121" s="247" t="s">
        <v>32</v>
      </c>
      <c r="E121" s="249">
        <v>1</v>
      </c>
      <c r="F121" s="250">
        <f>SUMIFS('All Measure &amp; TRC+ Calc'!F:F,'All Measure &amp; TRC+ Calc'!$D:$D,$C121,'All Measure &amp; TRC+ Calc'!$B:$B,$A121)*$E121</f>
        <v>0</v>
      </c>
      <c r="G121" s="250">
        <f>SUMIFS('All Measure &amp; TRC+ Calc'!AD:AD,'All Measure &amp; TRC+ Calc'!$D:$D,$C121,'All Measure &amp; TRC+ Calc'!$B:$B,$A121)*$E121</f>
        <v>0</v>
      </c>
      <c r="H121" s="250">
        <f>SUMIFS('All Measure &amp; TRC+ Calc'!AE:AE,'All Measure &amp; TRC+ Calc'!$D:$D,$C121,'All Measure &amp; TRC+ Calc'!$B:$B,$A121)*$E121</f>
        <v>0</v>
      </c>
      <c r="I121" s="250">
        <f>SUMIFS('All Measure &amp; TRC+ Calc'!AH:AH,'All Measure &amp; TRC+ Calc'!$D:$D,$C121,'All Measure &amp; TRC+ Calc'!$B:$B,$A121)*$E121</f>
        <v>0</v>
      </c>
      <c r="J121" s="250">
        <f>SUMIFS('All Measure &amp; TRC+ Calc'!AI:AI,'All Measure &amp; TRC+ Calc'!$D:$D,$C121,'All Measure &amp; TRC+ Calc'!$B:$B,$A121)*$E121</f>
        <v>0</v>
      </c>
      <c r="K121" s="250">
        <f>SUMIFS('All Measure &amp; TRC+ Calc'!AL:AL,'All Measure &amp; TRC+ Calc'!$D:$D,$C121,'All Measure &amp; TRC+ Calc'!$B:$B,$A121)*$E121</f>
        <v>0</v>
      </c>
      <c r="L121" s="250">
        <f>SUMIFS('All Measure &amp; TRC+ Calc'!AM:AM,'All Measure &amp; TRC+ Calc'!$D:$D,$C121,'All Measure &amp; TRC+ Calc'!$B:$B,$A121)*$E121</f>
        <v>0</v>
      </c>
      <c r="M121" s="250">
        <f>SUMIFS('All Measure &amp; TRC+ Calc'!AJ:AJ,'All Measure &amp; TRC+ Calc'!$D:$D,$C121,'All Measure &amp; TRC+ Calc'!$B:$B,$A121)*$E121</f>
        <v>0</v>
      </c>
      <c r="N121" s="250">
        <f>SUMIFS('All Measure &amp; TRC+ Calc'!AK:AK,'All Measure &amp; TRC+ Calc'!$D:$D,$C121,'All Measure &amp; TRC+ Calc'!$B:$B,$A121)*$E121</f>
        <v>0</v>
      </c>
      <c r="O121" s="250">
        <f>SUMIFS('All Measure &amp; TRC+ Calc'!AF:AF,'All Measure &amp; TRC+ Calc'!$D:$D,$C121,'All Measure &amp; TRC+ Calc'!$B:$B,$A121)*$E121</f>
        <v>0</v>
      </c>
      <c r="P121" s="250">
        <f>SUMIFS('All Measure &amp; TRC+ Calc'!AG:AG,'All Measure &amp; TRC+ Calc'!$D:$D,$C121,'All Measure &amp; TRC+ Calc'!$B:$B,$A121)*$E121</f>
        <v>0</v>
      </c>
      <c r="Q121" s="249">
        <v>1</v>
      </c>
      <c r="R121" s="190">
        <f>SUMIFS(Budget!$E:$E,Budget!$A:$A,$A121,Budget!$C:$C,$C121,Budget!$D:$D,R$7)*Summary[[#This Row],[Budget %  Adjustment]]</f>
        <v>0</v>
      </c>
      <c r="S121" s="190">
        <f>SUMIFS(Budget!$E:$E,Budget!$A:$A,$A121,Budget!$C:$C,$C121,Budget!$D:$D,S$7)*Summary[[#This Row],[Budget %  Adjustment]]</f>
        <v>0</v>
      </c>
      <c r="T121" s="190">
        <f>SUMIFS(Budget!$E:$E,Budget!$A:$A,$A121,Budget!$C:$C,$C121,Budget!$D:$D,T$7)*Summary[[#This Row],[Budget %  Adjustment]]</f>
        <v>0</v>
      </c>
      <c r="U121" s="190">
        <f>SUMIFS(Budget!$E:$E,Budget!$A:$A,$A121,Budget!$C:$C,$C121,Budget!$D:$D,U$7)*Summary[[#This Row],[Budget %  Adjustment]]</f>
        <v>1430985</v>
      </c>
      <c r="V121" s="190">
        <f>Summary[[#This Row],[Promo]]+Summary[[#This Row],[Delivery]]</f>
        <v>0</v>
      </c>
      <c r="W121" s="190">
        <f t="shared" si="6"/>
        <v>1430985</v>
      </c>
      <c r="X121" s="190">
        <f t="shared" si="7"/>
        <v>1430985</v>
      </c>
    </row>
    <row r="122" spans="1:24" x14ac:dyDescent="0.25">
      <c r="A122" s="156">
        <v>2029</v>
      </c>
      <c r="B122" s="247" t="s">
        <v>29</v>
      </c>
      <c r="C122" s="247" t="s">
        <v>177</v>
      </c>
      <c r="D122" s="247" t="s">
        <v>177</v>
      </c>
      <c r="E122" s="249">
        <v>1</v>
      </c>
      <c r="F122" s="250">
        <f>SUMIFS('All Measure &amp; TRC+ Calc'!F:F,'All Measure &amp; TRC+ Calc'!$D:$D,$C122,'All Measure &amp; TRC+ Calc'!$B:$B,$A122)*$E122</f>
        <v>0</v>
      </c>
      <c r="G122" s="250">
        <f>SUMIFS('All Measure &amp; TRC+ Calc'!AD:AD,'All Measure &amp; TRC+ Calc'!$D:$D,$C122,'All Measure &amp; TRC+ Calc'!$B:$B,$A122)*$E122</f>
        <v>0</v>
      </c>
      <c r="H122" s="250">
        <f>SUMIFS('All Measure &amp; TRC+ Calc'!AE:AE,'All Measure &amp; TRC+ Calc'!$D:$D,$C122,'All Measure &amp; TRC+ Calc'!$B:$B,$A122)*$E122</f>
        <v>0</v>
      </c>
      <c r="I122" s="250">
        <f>SUMIFS('All Measure &amp; TRC+ Calc'!AH:AH,'All Measure &amp; TRC+ Calc'!$D:$D,$C122,'All Measure &amp; TRC+ Calc'!$B:$B,$A122)*$E122</f>
        <v>0</v>
      </c>
      <c r="J122" s="250">
        <f>SUMIFS('All Measure &amp; TRC+ Calc'!AI:AI,'All Measure &amp; TRC+ Calc'!$D:$D,$C122,'All Measure &amp; TRC+ Calc'!$B:$B,$A122)*$E122</f>
        <v>0</v>
      </c>
      <c r="K122" s="250">
        <f>SUMIFS('All Measure &amp; TRC+ Calc'!AL:AL,'All Measure &amp; TRC+ Calc'!$D:$D,$C122,'All Measure &amp; TRC+ Calc'!$B:$B,$A122)*$E122</f>
        <v>0</v>
      </c>
      <c r="L122" s="250">
        <f>SUMIFS('All Measure &amp; TRC+ Calc'!AM:AM,'All Measure &amp; TRC+ Calc'!$D:$D,$C122,'All Measure &amp; TRC+ Calc'!$B:$B,$A122)*$E122</f>
        <v>0</v>
      </c>
      <c r="M122" s="250">
        <f>SUMIFS('All Measure &amp; TRC+ Calc'!AJ:AJ,'All Measure &amp; TRC+ Calc'!$D:$D,$C122,'All Measure &amp; TRC+ Calc'!$B:$B,$A122)*$E122</f>
        <v>0</v>
      </c>
      <c r="N122" s="250">
        <f>SUMIFS('All Measure &amp; TRC+ Calc'!AK:AK,'All Measure &amp; TRC+ Calc'!$D:$D,$C122,'All Measure &amp; TRC+ Calc'!$B:$B,$A122)*$E122</f>
        <v>0</v>
      </c>
      <c r="O122" s="250">
        <f>SUMIFS('All Measure &amp; TRC+ Calc'!AF:AF,'All Measure &amp; TRC+ Calc'!$D:$D,$C122,'All Measure &amp; TRC+ Calc'!$B:$B,$A122)*$E122</f>
        <v>0</v>
      </c>
      <c r="P122" s="250">
        <f>SUMIFS('All Measure &amp; TRC+ Calc'!AG:AG,'All Measure &amp; TRC+ Calc'!$D:$D,$C122,'All Measure &amp; TRC+ Calc'!$B:$B,$A122)*$E122</f>
        <v>0</v>
      </c>
      <c r="Q122" s="249">
        <v>1</v>
      </c>
      <c r="R122" s="190">
        <f>SUMIFS(Budget!$E:$E,Budget!$A:$A,$A122,Budget!$C:$C,$C122,Budget!$D:$D,R$7)*Summary[[#This Row],[Budget %  Adjustment]]</f>
        <v>0</v>
      </c>
      <c r="S122" s="190">
        <f>SUMIFS(Budget!$E:$E,Budget!$A:$A,$A122,Budget!$C:$C,$C122,Budget!$D:$D,S$7)*Summary[[#This Row],[Budget %  Adjustment]]</f>
        <v>0</v>
      </c>
      <c r="T122" s="190">
        <f>SUMIFS(Budget!$E:$E,Budget!$A:$A,$A122,Budget!$C:$C,$C122,Budget!$D:$D,T$7)*Summary[[#This Row],[Budget %  Adjustment]]</f>
        <v>0</v>
      </c>
      <c r="U122" s="190">
        <f>SUMIFS(Budget!$E:$E,Budget!$A:$A,$A122,Budget!$C:$C,$C122,Budget!$D:$D,U$7)*Summary[[#This Row],[Budget %  Adjustment]]</f>
        <v>631164</v>
      </c>
      <c r="V122" s="190">
        <f>Summary[[#This Row],[Promo]]+Summary[[#This Row],[Delivery]]</f>
        <v>0</v>
      </c>
      <c r="W122" s="190">
        <f t="shared" si="6"/>
        <v>631164</v>
      </c>
      <c r="X122" s="190">
        <f t="shared" si="7"/>
        <v>631164</v>
      </c>
    </row>
    <row r="123" spans="1:24" x14ac:dyDescent="0.25">
      <c r="A123" s="156">
        <v>2029</v>
      </c>
      <c r="B123" s="247" t="s">
        <v>33</v>
      </c>
      <c r="C123" s="247" t="s">
        <v>34</v>
      </c>
      <c r="D123" s="247" t="s">
        <v>34</v>
      </c>
      <c r="E123" s="249">
        <v>1</v>
      </c>
      <c r="F123" s="250">
        <f>SUMIFS('All Measure &amp; TRC+ Calc'!F:F,'All Measure &amp; TRC+ Calc'!$D:$D,$C123,'All Measure &amp; TRC+ Calc'!$B:$B,$A123)*$E123</f>
        <v>0</v>
      </c>
      <c r="G123" s="250">
        <f>SUMIFS('All Measure &amp; TRC+ Calc'!AD:AD,'All Measure &amp; TRC+ Calc'!$D:$D,$C123,'All Measure &amp; TRC+ Calc'!$B:$B,$A123)*$E123</f>
        <v>0</v>
      </c>
      <c r="H123" s="250">
        <f>SUMIFS('All Measure &amp; TRC+ Calc'!AE:AE,'All Measure &amp; TRC+ Calc'!$D:$D,$C123,'All Measure &amp; TRC+ Calc'!$B:$B,$A123)*$E123</f>
        <v>0</v>
      </c>
      <c r="I123" s="250">
        <f>SUMIFS('All Measure &amp; TRC+ Calc'!AH:AH,'All Measure &amp; TRC+ Calc'!$D:$D,$C123,'All Measure &amp; TRC+ Calc'!$B:$B,$A123)*$E123</f>
        <v>0</v>
      </c>
      <c r="J123" s="250">
        <f>SUMIFS('All Measure &amp; TRC+ Calc'!AI:AI,'All Measure &amp; TRC+ Calc'!$D:$D,$C123,'All Measure &amp; TRC+ Calc'!$B:$B,$A123)*$E123</f>
        <v>0</v>
      </c>
      <c r="K123" s="250">
        <f>SUMIFS('All Measure &amp; TRC+ Calc'!AL:AL,'All Measure &amp; TRC+ Calc'!$D:$D,$C123,'All Measure &amp; TRC+ Calc'!$B:$B,$A123)*$E123</f>
        <v>0</v>
      </c>
      <c r="L123" s="250">
        <f>SUMIFS('All Measure &amp; TRC+ Calc'!AM:AM,'All Measure &amp; TRC+ Calc'!$D:$D,$C123,'All Measure &amp; TRC+ Calc'!$B:$B,$A123)*$E123</f>
        <v>0</v>
      </c>
      <c r="M123" s="250">
        <f>SUMIFS('All Measure &amp; TRC+ Calc'!AJ:AJ,'All Measure &amp; TRC+ Calc'!$D:$D,$C123,'All Measure &amp; TRC+ Calc'!$B:$B,$A123)*$E123</f>
        <v>0</v>
      </c>
      <c r="N123" s="250">
        <f>SUMIFS('All Measure &amp; TRC+ Calc'!AK:AK,'All Measure &amp; TRC+ Calc'!$D:$D,$C123,'All Measure &amp; TRC+ Calc'!$B:$B,$A123)*$E123</f>
        <v>0</v>
      </c>
      <c r="O123" s="250">
        <f>SUMIFS('All Measure &amp; TRC+ Calc'!AF:AF,'All Measure &amp; TRC+ Calc'!$D:$D,$C123,'All Measure &amp; TRC+ Calc'!$B:$B,$A123)*$E123</f>
        <v>0</v>
      </c>
      <c r="P123" s="250">
        <f>SUMIFS('All Measure &amp; TRC+ Calc'!AG:AG,'All Measure &amp; TRC+ Calc'!$D:$D,$C123,'All Measure &amp; TRC+ Calc'!$B:$B,$A123)*$E123</f>
        <v>0</v>
      </c>
      <c r="Q123" s="249">
        <v>1</v>
      </c>
      <c r="R123" s="190">
        <f>SUMIFS(Budget!$E:$E,Budget!$A:$A,$A123,Budget!$C:$C,$C123,Budget!$D:$D,R$7)*Summary[[#This Row],[Budget %  Adjustment]]</f>
        <v>0</v>
      </c>
      <c r="S123" s="190">
        <f>SUMIFS(Budget!$E:$E,Budget!$A:$A,$A123,Budget!$C:$C,$C123,Budget!$D:$D,S$7)*Summary[[#This Row],[Budget %  Adjustment]]</f>
        <v>0</v>
      </c>
      <c r="T123" s="190">
        <f>SUMIFS(Budget!$E:$E,Budget!$A:$A,$A123,Budget!$C:$C,$C123,Budget!$D:$D,T$7)*Summary[[#This Row],[Budget %  Adjustment]]</f>
        <v>0</v>
      </c>
      <c r="U123" s="190">
        <f>SUMIFS(Budget!$E:$E,Budget!$A:$A,$A123,Budget!$C:$C,$C123,Budget!$D:$D,U$7)*Summary[[#This Row],[Budget %  Adjustment]]</f>
        <v>3207557</v>
      </c>
      <c r="V123" s="190">
        <f>Summary[[#This Row],[Promo]]+Summary[[#This Row],[Delivery]]</f>
        <v>0</v>
      </c>
      <c r="W123" s="190">
        <f t="shared" si="6"/>
        <v>3207557</v>
      </c>
      <c r="X123" s="190">
        <f t="shared" si="7"/>
        <v>3207557</v>
      </c>
    </row>
    <row r="124" spans="1:24" x14ac:dyDescent="0.25">
      <c r="A124" s="156">
        <v>2029</v>
      </c>
      <c r="B124" s="247" t="s">
        <v>33</v>
      </c>
      <c r="C124" s="247" t="s">
        <v>36</v>
      </c>
      <c r="D124" s="247" t="s">
        <v>36</v>
      </c>
      <c r="E124" s="249">
        <v>1</v>
      </c>
      <c r="F124" s="250">
        <f>SUMIFS('All Measure &amp; TRC+ Calc'!F:F,'All Measure &amp; TRC+ Calc'!$D:$D,$C124,'All Measure &amp; TRC+ Calc'!$B:$B,$A124)*$E124</f>
        <v>0</v>
      </c>
      <c r="G124" s="250">
        <f>SUMIFS('All Measure &amp; TRC+ Calc'!AD:AD,'All Measure &amp; TRC+ Calc'!$D:$D,$C124,'All Measure &amp; TRC+ Calc'!$B:$B,$A124)*$E124</f>
        <v>0</v>
      </c>
      <c r="H124" s="250">
        <f>SUMIFS('All Measure &amp; TRC+ Calc'!AE:AE,'All Measure &amp; TRC+ Calc'!$D:$D,$C124,'All Measure &amp; TRC+ Calc'!$B:$B,$A124)*$E124</f>
        <v>0</v>
      </c>
      <c r="I124" s="250">
        <f>SUMIFS('All Measure &amp; TRC+ Calc'!AH:AH,'All Measure &amp; TRC+ Calc'!$D:$D,$C124,'All Measure &amp; TRC+ Calc'!$B:$B,$A124)*$E124</f>
        <v>0</v>
      </c>
      <c r="J124" s="250">
        <f>SUMIFS('All Measure &amp; TRC+ Calc'!AI:AI,'All Measure &amp; TRC+ Calc'!$D:$D,$C124,'All Measure &amp; TRC+ Calc'!$B:$B,$A124)*$E124</f>
        <v>0</v>
      </c>
      <c r="K124" s="250">
        <f>SUMIFS('All Measure &amp; TRC+ Calc'!AL:AL,'All Measure &amp; TRC+ Calc'!$D:$D,$C124,'All Measure &amp; TRC+ Calc'!$B:$B,$A124)*$E124</f>
        <v>0</v>
      </c>
      <c r="L124" s="250">
        <f>SUMIFS('All Measure &amp; TRC+ Calc'!AM:AM,'All Measure &amp; TRC+ Calc'!$D:$D,$C124,'All Measure &amp; TRC+ Calc'!$B:$B,$A124)*$E124</f>
        <v>0</v>
      </c>
      <c r="M124" s="250">
        <f>SUMIFS('All Measure &amp; TRC+ Calc'!AJ:AJ,'All Measure &amp; TRC+ Calc'!$D:$D,$C124,'All Measure &amp; TRC+ Calc'!$B:$B,$A124)*$E124</f>
        <v>0</v>
      </c>
      <c r="N124" s="250">
        <f>SUMIFS('All Measure &amp; TRC+ Calc'!AK:AK,'All Measure &amp; TRC+ Calc'!$D:$D,$C124,'All Measure &amp; TRC+ Calc'!$B:$B,$A124)*$E124</f>
        <v>0</v>
      </c>
      <c r="O124" s="250">
        <f>SUMIFS('All Measure &amp; TRC+ Calc'!AF:AF,'All Measure &amp; TRC+ Calc'!$D:$D,$C124,'All Measure &amp; TRC+ Calc'!$B:$B,$A124)*$E124</f>
        <v>0</v>
      </c>
      <c r="P124" s="250">
        <f>SUMIFS('All Measure &amp; TRC+ Calc'!AG:AG,'All Measure &amp; TRC+ Calc'!$D:$D,$C124,'All Measure &amp; TRC+ Calc'!$B:$B,$A124)*$E124</f>
        <v>0</v>
      </c>
      <c r="Q124" s="249">
        <v>1</v>
      </c>
      <c r="R124" s="190">
        <f>SUMIFS(Budget!$E:$E,Budget!$A:$A,$A124,Budget!$C:$C,$C124,Budget!$D:$D,R$7)*Summary[[#This Row],[Budget %  Adjustment]]</f>
        <v>0</v>
      </c>
      <c r="S124" s="190">
        <f>SUMIFS(Budget!$E:$E,Budget!$A:$A,$A124,Budget!$C:$C,$C124,Budget!$D:$D,S$7)*Summary[[#This Row],[Budget %  Adjustment]]</f>
        <v>0</v>
      </c>
      <c r="T124" s="190">
        <f>SUMIFS(Budget!$E:$E,Budget!$A:$A,$A124,Budget!$C:$C,$C124,Budget!$D:$D,T$7)*Summary[[#This Row],[Budget %  Adjustment]]</f>
        <v>0</v>
      </c>
      <c r="U124" s="190">
        <f>SUMIFS(Budget!$E:$E,Budget!$A:$A,$A124,Budget!$C:$C,$C124,Budget!$D:$D,U$7)*Summary[[#This Row],[Budget %  Adjustment]]</f>
        <v>856728</v>
      </c>
      <c r="V124" s="190">
        <f>Summary[[#This Row],[Promo]]+Summary[[#This Row],[Delivery]]</f>
        <v>0</v>
      </c>
      <c r="W124" s="190">
        <f t="shared" si="6"/>
        <v>856728</v>
      </c>
      <c r="X124" s="190">
        <f t="shared" si="7"/>
        <v>856728</v>
      </c>
    </row>
    <row r="125" spans="1:24" x14ac:dyDescent="0.25">
      <c r="A125" s="156">
        <v>2029</v>
      </c>
      <c r="B125" s="247" t="s">
        <v>33</v>
      </c>
      <c r="C125" s="247" t="s">
        <v>35</v>
      </c>
      <c r="D125" s="247" t="s">
        <v>35</v>
      </c>
      <c r="E125" s="249">
        <v>1</v>
      </c>
      <c r="F125" s="250">
        <f>SUMIFS('All Measure &amp; TRC+ Calc'!F:F,'All Measure &amp; TRC+ Calc'!$D:$D,$C125,'All Measure &amp; TRC+ Calc'!$B:$B,$A125)*$E125</f>
        <v>0</v>
      </c>
      <c r="G125" s="250">
        <f>SUMIFS('All Measure &amp; TRC+ Calc'!AD:AD,'All Measure &amp; TRC+ Calc'!$D:$D,$C125,'All Measure &amp; TRC+ Calc'!$B:$B,$A125)*$E125</f>
        <v>0</v>
      </c>
      <c r="H125" s="250">
        <f>SUMIFS('All Measure &amp; TRC+ Calc'!AE:AE,'All Measure &amp; TRC+ Calc'!$D:$D,$C125,'All Measure &amp; TRC+ Calc'!$B:$B,$A125)*$E125</f>
        <v>0</v>
      </c>
      <c r="I125" s="250">
        <f>SUMIFS('All Measure &amp; TRC+ Calc'!AH:AH,'All Measure &amp; TRC+ Calc'!$D:$D,$C125,'All Measure &amp; TRC+ Calc'!$B:$B,$A125)*$E125</f>
        <v>0</v>
      </c>
      <c r="J125" s="250">
        <f>SUMIFS('All Measure &amp; TRC+ Calc'!AI:AI,'All Measure &amp; TRC+ Calc'!$D:$D,$C125,'All Measure &amp; TRC+ Calc'!$B:$B,$A125)*$E125</f>
        <v>0</v>
      </c>
      <c r="K125" s="250">
        <f>SUMIFS('All Measure &amp; TRC+ Calc'!AL:AL,'All Measure &amp; TRC+ Calc'!$D:$D,$C125,'All Measure &amp; TRC+ Calc'!$B:$B,$A125)*$E125</f>
        <v>0</v>
      </c>
      <c r="L125" s="250">
        <f>SUMIFS('All Measure &amp; TRC+ Calc'!AM:AM,'All Measure &amp; TRC+ Calc'!$D:$D,$C125,'All Measure &amp; TRC+ Calc'!$B:$B,$A125)*$E125</f>
        <v>0</v>
      </c>
      <c r="M125" s="250">
        <f>SUMIFS('All Measure &amp; TRC+ Calc'!AJ:AJ,'All Measure &amp; TRC+ Calc'!$D:$D,$C125,'All Measure &amp; TRC+ Calc'!$B:$B,$A125)*$E125</f>
        <v>0</v>
      </c>
      <c r="N125" s="250">
        <f>SUMIFS('All Measure &amp; TRC+ Calc'!AK:AK,'All Measure &amp; TRC+ Calc'!$D:$D,$C125,'All Measure &amp; TRC+ Calc'!$B:$B,$A125)*$E125</f>
        <v>0</v>
      </c>
      <c r="O125" s="250">
        <f>SUMIFS('All Measure &amp; TRC+ Calc'!AF:AF,'All Measure &amp; TRC+ Calc'!$D:$D,$C125,'All Measure &amp; TRC+ Calc'!$B:$B,$A125)*$E125</f>
        <v>0</v>
      </c>
      <c r="P125" s="250">
        <f>SUMIFS('All Measure &amp; TRC+ Calc'!AG:AG,'All Measure &amp; TRC+ Calc'!$D:$D,$C125,'All Measure &amp; TRC+ Calc'!$B:$B,$A125)*$E125</f>
        <v>0</v>
      </c>
      <c r="Q125" s="249">
        <v>1</v>
      </c>
      <c r="R125" s="190">
        <f>SUMIFS(Budget!$E:$E,Budget!$A:$A,$A125,Budget!$C:$C,$C125,Budget!$D:$D,R$7)*Summary[[#This Row],[Budget %  Adjustment]]</f>
        <v>0</v>
      </c>
      <c r="S125" s="190">
        <f>SUMIFS(Budget!$E:$E,Budget!$A:$A,$A125,Budget!$C:$C,$C125,Budget!$D:$D,S$7)*Summary[[#This Row],[Budget %  Adjustment]]</f>
        <v>0</v>
      </c>
      <c r="T125" s="190">
        <f>SUMIFS(Budget!$E:$E,Budget!$A:$A,$A125,Budget!$C:$C,$C125,Budget!$D:$D,T$7)*Summary[[#This Row],[Budget %  Adjustment]]</f>
        <v>0</v>
      </c>
      <c r="U125" s="190">
        <f>SUMIFS(Budget!$E:$E,Budget!$A:$A,$A125,Budget!$C:$C,$C125,Budget!$D:$D,U$7)*Summary[[#This Row],[Budget %  Adjustment]]</f>
        <v>610471</v>
      </c>
      <c r="V125" s="190">
        <f>Summary[[#This Row],[Promo]]+Summary[[#This Row],[Delivery]]</f>
        <v>0</v>
      </c>
      <c r="W125" s="190">
        <f t="shared" si="6"/>
        <v>610471</v>
      </c>
      <c r="X125" s="190">
        <f t="shared" si="7"/>
        <v>610471</v>
      </c>
    </row>
    <row r="126" spans="1:24" x14ac:dyDescent="0.25">
      <c r="A126" s="156">
        <v>2029</v>
      </c>
      <c r="B126" s="247" t="s">
        <v>37</v>
      </c>
      <c r="C126" s="247" t="s">
        <v>38</v>
      </c>
      <c r="D126" s="247" t="s">
        <v>38</v>
      </c>
      <c r="E126" s="249">
        <v>1</v>
      </c>
      <c r="F126" s="250">
        <f>SUMIFS('All Measure &amp; TRC+ Calc'!F:F,'All Measure &amp; TRC+ Calc'!$D:$D,$C126,'All Measure &amp; TRC+ Calc'!$B:$B,$A126)*$E126</f>
        <v>0</v>
      </c>
      <c r="G126" s="250">
        <f>SUMIFS('All Measure &amp; TRC+ Calc'!AD:AD,'All Measure &amp; TRC+ Calc'!$D:$D,$C126,'All Measure &amp; TRC+ Calc'!$B:$B,$A126)*$E126</f>
        <v>0</v>
      </c>
      <c r="H126" s="250">
        <f>SUMIFS('All Measure &amp; TRC+ Calc'!AE:AE,'All Measure &amp; TRC+ Calc'!$D:$D,$C126,'All Measure &amp; TRC+ Calc'!$B:$B,$A126)*$E126</f>
        <v>0</v>
      </c>
      <c r="I126" s="250">
        <f>SUMIFS('All Measure &amp; TRC+ Calc'!AH:AH,'All Measure &amp; TRC+ Calc'!$D:$D,$C126,'All Measure &amp; TRC+ Calc'!$B:$B,$A126)*$E126</f>
        <v>0</v>
      </c>
      <c r="J126" s="250">
        <f>SUMIFS('All Measure &amp; TRC+ Calc'!AI:AI,'All Measure &amp; TRC+ Calc'!$D:$D,$C126,'All Measure &amp; TRC+ Calc'!$B:$B,$A126)*$E126</f>
        <v>0</v>
      </c>
      <c r="K126" s="250">
        <f>SUMIFS('All Measure &amp; TRC+ Calc'!AL:AL,'All Measure &amp; TRC+ Calc'!$D:$D,$C126,'All Measure &amp; TRC+ Calc'!$B:$B,$A126)*$E126</f>
        <v>0</v>
      </c>
      <c r="L126" s="250">
        <f>SUMIFS('All Measure &amp; TRC+ Calc'!AM:AM,'All Measure &amp; TRC+ Calc'!$D:$D,$C126,'All Measure &amp; TRC+ Calc'!$B:$B,$A126)*$E126</f>
        <v>0</v>
      </c>
      <c r="M126" s="250">
        <f>SUMIFS('All Measure &amp; TRC+ Calc'!AJ:AJ,'All Measure &amp; TRC+ Calc'!$D:$D,$C126,'All Measure &amp; TRC+ Calc'!$B:$B,$A126)*$E126</f>
        <v>0</v>
      </c>
      <c r="N126" s="250">
        <f>SUMIFS('All Measure &amp; TRC+ Calc'!AK:AK,'All Measure &amp; TRC+ Calc'!$D:$D,$C126,'All Measure &amp; TRC+ Calc'!$B:$B,$A126)*$E126</f>
        <v>0</v>
      </c>
      <c r="O126" s="250">
        <f>SUMIFS('All Measure &amp; TRC+ Calc'!AF:AF,'All Measure &amp; TRC+ Calc'!$D:$D,$C126,'All Measure &amp; TRC+ Calc'!$B:$B,$A126)*$E126</f>
        <v>0</v>
      </c>
      <c r="P126" s="250">
        <f>SUMIFS('All Measure &amp; TRC+ Calc'!AG:AG,'All Measure &amp; TRC+ Calc'!$D:$D,$C126,'All Measure &amp; TRC+ Calc'!$B:$B,$A126)*$E126</f>
        <v>0</v>
      </c>
      <c r="Q126" s="249">
        <v>1</v>
      </c>
      <c r="R126" s="190">
        <f>SUMIFS(Budget!$E:$E,Budget!$A:$A,$A126,Budget!$C:$C,$C126,Budget!$D:$D,R$7)*Summary[[#This Row],[Budget %  Adjustment]]</f>
        <v>0</v>
      </c>
      <c r="S126" s="190">
        <f>SUMIFS(Budget!$E:$E,Budget!$A:$A,$A126,Budget!$C:$C,$C126,Budget!$D:$D,S$7)*Summary[[#This Row],[Budget %  Adjustment]]</f>
        <v>0</v>
      </c>
      <c r="T126" s="190">
        <f>SUMIFS(Budget!$E:$E,Budget!$A:$A,$A126,Budget!$C:$C,$C126,Budget!$D:$D,T$7)*Summary[[#This Row],[Budget %  Adjustment]]</f>
        <v>0</v>
      </c>
      <c r="U126" s="190">
        <f>SUMIFS(Budget!$E:$E,Budget!$A:$A,$A126,Budget!$C:$C,$C126,Budget!$D:$D,U$7)*Summary[[#This Row],[Budget %  Adjustment]]</f>
        <v>3335032</v>
      </c>
      <c r="V126" s="190">
        <f>Summary[[#This Row],[Promo]]+Summary[[#This Row],[Delivery]]</f>
        <v>0</v>
      </c>
      <c r="W126" s="190">
        <f t="shared" si="6"/>
        <v>3335032</v>
      </c>
      <c r="X126" s="190">
        <f t="shared" si="7"/>
        <v>3335032</v>
      </c>
    </row>
    <row r="127" spans="1:24" x14ac:dyDescent="0.25">
      <c r="A127" s="156">
        <v>2029</v>
      </c>
      <c r="B127" s="247" t="s">
        <v>37</v>
      </c>
      <c r="C127" s="247" t="s">
        <v>178</v>
      </c>
      <c r="D127" s="247" t="s">
        <v>178</v>
      </c>
      <c r="E127" s="249">
        <v>1</v>
      </c>
      <c r="F127" s="250">
        <f>SUMIFS('All Measure &amp; TRC+ Calc'!F:F,'All Measure &amp; TRC+ Calc'!$D:$D,$C127,'All Measure &amp; TRC+ Calc'!$B:$B,$A127)*$E127</f>
        <v>0</v>
      </c>
      <c r="G127" s="250">
        <f>SUMIFS('All Measure &amp; TRC+ Calc'!AD:AD,'All Measure &amp; TRC+ Calc'!$D:$D,$C127,'All Measure &amp; TRC+ Calc'!$B:$B,$A127)*$E127</f>
        <v>0</v>
      </c>
      <c r="H127" s="250">
        <f>SUMIFS('All Measure &amp; TRC+ Calc'!AE:AE,'All Measure &amp; TRC+ Calc'!$D:$D,$C127,'All Measure &amp; TRC+ Calc'!$B:$B,$A127)*$E127</f>
        <v>0</v>
      </c>
      <c r="I127" s="250">
        <f>SUMIFS('All Measure &amp; TRC+ Calc'!AH:AH,'All Measure &amp; TRC+ Calc'!$D:$D,$C127,'All Measure &amp; TRC+ Calc'!$B:$B,$A127)*$E127</f>
        <v>0</v>
      </c>
      <c r="J127" s="250">
        <f>SUMIFS('All Measure &amp; TRC+ Calc'!AI:AI,'All Measure &amp; TRC+ Calc'!$D:$D,$C127,'All Measure &amp; TRC+ Calc'!$B:$B,$A127)*$E127</f>
        <v>0</v>
      </c>
      <c r="K127" s="250">
        <f>SUMIFS('All Measure &amp; TRC+ Calc'!AL:AL,'All Measure &amp; TRC+ Calc'!$D:$D,$C127,'All Measure &amp; TRC+ Calc'!$B:$B,$A127)*$E127</f>
        <v>0</v>
      </c>
      <c r="L127" s="250">
        <f>SUMIFS('All Measure &amp; TRC+ Calc'!AM:AM,'All Measure &amp; TRC+ Calc'!$D:$D,$C127,'All Measure &amp; TRC+ Calc'!$B:$B,$A127)*$E127</f>
        <v>0</v>
      </c>
      <c r="M127" s="250">
        <f>SUMIFS('All Measure &amp; TRC+ Calc'!AJ:AJ,'All Measure &amp; TRC+ Calc'!$D:$D,$C127,'All Measure &amp; TRC+ Calc'!$B:$B,$A127)*$E127</f>
        <v>0</v>
      </c>
      <c r="N127" s="250">
        <f>SUMIFS('All Measure &amp; TRC+ Calc'!AK:AK,'All Measure &amp; TRC+ Calc'!$D:$D,$C127,'All Measure &amp; TRC+ Calc'!$B:$B,$A127)*$E127</f>
        <v>0</v>
      </c>
      <c r="O127" s="250">
        <f>SUMIFS('All Measure &amp; TRC+ Calc'!AF:AF,'All Measure &amp; TRC+ Calc'!$D:$D,$C127,'All Measure &amp; TRC+ Calc'!$B:$B,$A127)*$E127</f>
        <v>0</v>
      </c>
      <c r="P127" s="250">
        <f>SUMIFS('All Measure &amp; TRC+ Calc'!AG:AG,'All Measure &amp; TRC+ Calc'!$D:$D,$C127,'All Measure &amp; TRC+ Calc'!$B:$B,$A127)*$E127</f>
        <v>0</v>
      </c>
      <c r="Q127" s="249">
        <v>1</v>
      </c>
      <c r="R127" s="190">
        <f>SUMIFS(Budget!$E:$E,Budget!$A:$A,$A127,Budget!$C:$C,$C127,Budget!$D:$D,R$7)*Summary[[#This Row],[Budget %  Adjustment]]</f>
        <v>0</v>
      </c>
      <c r="S127" s="190">
        <f>SUMIFS(Budget!$E:$E,Budget!$A:$A,$A127,Budget!$C:$C,$C127,Budget!$D:$D,S$7)*Summary[[#This Row],[Budget %  Adjustment]]</f>
        <v>0</v>
      </c>
      <c r="T127" s="190">
        <f>SUMIFS(Budget!$E:$E,Budget!$A:$A,$A127,Budget!$C:$C,$C127,Budget!$D:$D,T$7)*Summary[[#This Row],[Budget %  Adjustment]]</f>
        <v>0</v>
      </c>
      <c r="U127" s="190">
        <f>SUMIFS(Budget!$E:$E,Budget!$A:$A,$A127,Budget!$C:$C,$C127,Budget!$D:$D,U$7)*Summary[[#This Row],[Budget %  Adjustment]]</f>
        <v>0</v>
      </c>
      <c r="V127" s="190">
        <f>Summary[[#This Row],[Promo]]+Summary[[#This Row],[Delivery]]</f>
        <v>0</v>
      </c>
      <c r="W127" s="190">
        <f t="shared" si="6"/>
        <v>0</v>
      </c>
      <c r="X127" s="190">
        <f t="shared" si="7"/>
        <v>0</v>
      </c>
    </row>
    <row r="128" spans="1:24" x14ac:dyDescent="0.25">
      <c r="A128" s="156">
        <v>2030</v>
      </c>
      <c r="B128" s="247" t="s">
        <v>11</v>
      </c>
      <c r="C128" s="247" t="s">
        <v>159</v>
      </c>
      <c r="D128" s="247" t="s">
        <v>133</v>
      </c>
      <c r="E128" s="249">
        <v>1</v>
      </c>
      <c r="F128" s="250">
        <f>SUMIFS('All Measure &amp; TRC+ Calc'!F:F,'All Measure &amp; TRC+ Calc'!$D:$D,$C128,'All Measure &amp; TRC+ Calc'!$B:$B,$A128)*$E128</f>
        <v>7625</v>
      </c>
      <c r="G128" s="250">
        <f>SUMIFS('All Measure &amp; TRC+ Calc'!AD:AD,'All Measure &amp; TRC+ Calc'!$D:$D,$C128,'All Measure &amp; TRC+ Calc'!$B:$B,$A128)*$E128</f>
        <v>3877007.5</v>
      </c>
      <c r="H128" s="250">
        <f>SUMIFS('All Measure &amp; TRC+ Calc'!AE:AE,'All Measure &amp; TRC+ Calc'!$D:$D,$C128,'All Measure &amp; TRC+ Calc'!$B:$B,$A128)*$E128</f>
        <v>3489306.75</v>
      </c>
      <c r="I128" s="250">
        <f>SUMIFS('All Measure &amp; TRC+ Calc'!AH:AH,'All Measure &amp; TRC+ Calc'!$D:$D,$C128,'All Measure &amp; TRC+ Calc'!$B:$B,$A128)*$E128</f>
        <v>245220.00000000003</v>
      </c>
      <c r="J128" s="250">
        <f>SUMIFS('All Measure &amp; TRC+ Calc'!AI:AI,'All Measure &amp; TRC+ Calc'!$D:$D,$C128,'All Measure &amp; TRC+ Calc'!$B:$B,$A128)*$E128</f>
        <v>220698</v>
      </c>
      <c r="K128" s="250">
        <f>SUMIFS('All Measure &amp; TRC+ Calc'!AL:AL,'All Measure &amp; TRC+ Calc'!$D:$D,$C128,'All Measure &amp; TRC+ Calc'!$B:$B,$A128)*$E128</f>
        <v>31.775474402951364</v>
      </c>
      <c r="L128" s="250">
        <f>SUMIFS('All Measure &amp; TRC+ Calc'!AM:AM,'All Measure &amp; TRC+ Calc'!$D:$D,$C128,'All Measure &amp; TRC+ Calc'!$B:$B,$A128)*$E128</f>
        <v>28.597926962656224</v>
      </c>
      <c r="M128" s="250">
        <f>SUMIFS('All Measure &amp; TRC+ Calc'!AJ:AJ,'All Measure &amp; TRC+ Calc'!$D:$D,$C128,'All Measure &amp; TRC+ Calc'!$B:$B,$A128)*$E128</f>
        <v>0</v>
      </c>
      <c r="N128" s="250">
        <f>SUMIFS('All Measure &amp; TRC+ Calc'!AK:AK,'All Measure &amp; TRC+ Calc'!$D:$D,$C128,'All Measure &amp; TRC+ Calc'!$B:$B,$A128)*$E128</f>
        <v>0</v>
      </c>
      <c r="O128" s="250">
        <f>SUMIFS('All Measure &amp; TRC+ Calc'!AF:AF,'All Measure &amp; TRC+ Calc'!$D:$D,$C128,'All Measure &amp; TRC+ Calc'!$B:$B,$A128)*$E128</f>
        <v>96925187.5</v>
      </c>
      <c r="P128" s="250">
        <f>SUMIFS('All Measure &amp; TRC+ Calc'!AG:AG,'All Measure &amp; TRC+ Calc'!$D:$D,$C128,'All Measure &amp; TRC+ Calc'!$B:$B,$A128)*$E128</f>
        <v>87232668.75</v>
      </c>
      <c r="Q128" s="249">
        <v>1</v>
      </c>
      <c r="R128" s="190">
        <f>SUMIFS(Budget!$E:$E,Budget!$A:$A,$A128,Budget!$C:$C,$C128,Budget!$D:$D,R$7)*Summary[[#This Row],[Budget %  Adjustment]]</f>
        <v>19015035</v>
      </c>
      <c r="S128" s="190">
        <f>SUMIFS(Budget!$E:$E,Budget!$A:$A,$A128,Budget!$C:$C,$C128,Budget!$D:$D,S$7)*Summary[[#This Row],[Budget %  Adjustment]]</f>
        <v>784107</v>
      </c>
      <c r="T128" s="190">
        <f>SUMIFS(Budget!$E:$E,Budget!$A:$A,$A128,Budget!$C:$C,$C128,Budget!$D:$D,T$7)*Summary[[#This Row],[Budget %  Adjustment]]</f>
        <v>960400</v>
      </c>
      <c r="U128" s="190">
        <f>SUMIFS(Budget!$E:$E,Budget!$A:$A,$A128,Budget!$C:$C,$C128,Budget!$D:$D,U$7)*Summary[[#This Row],[Budget %  Adjustment]]</f>
        <v>0</v>
      </c>
      <c r="V128" s="190">
        <f>Summary[[#This Row],[Promo]]+Summary[[#This Row],[Delivery]]</f>
        <v>1744507</v>
      </c>
      <c r="W128" s="190">
        <f t="shared" si="6"/>
        <v>1744507</v>
      </c>
      <c r="X128" s="190">
        <f t="shared" si="7"/>
        <v>20759542</v>
      </c>
    </row>
    <row r="129" spans="1:24" x14ac:dyDescent="0.25">
      <c r="A129" s="156">
        <v>2030</v>
      </c>
      <c r="B129" s="247" t="s">
        <v>11</v>
      </c>
      <c r="C129" s="247" t="s">
        <v>130</v>
      </c>
      <c r="D129" s="247" t="s">
        <v>133</v>
      </c>
      <c r="E129" s="249">
        <v>1</v>
      </c>
      <c r="F129" s="250">
        <f>SUMIFS('All Measure &amp; TRC+ Calc'!F:F,'All Measure &amp; TRC+ Calc'!$D:$D,$C129,'All Measure &amp; TRC+ Calc'!$B:$B,$A129)*$E129</f>
        <v>17500</v>
      </c>
      <c r="G129" s="250">
        <f>SUMIFS('All Measure &amp; TRC+ Calc'!AD:AD,'All Measure &amp; TRC+ Calc'!$D:$D,$C129,'All Measure &amp; TRC+ Calc'!$B:$B,$A129)*$E129</f>
        <v>4978500</v>
      </c>
      <c r="H129" s="250">
        <f>SUMIFS('All Measure &amp; TRC+ Calc'!AE:AE,'All Measure &amp; TRC+ Calc'!$D:$D,$C129,'All Measure &amp; TRC+ Calc'!$B:$B,$A129)*$E129</f>
        <v>4430865</v>
      </c>
      <c r="I129" s="250">
        <f>SUMIFS('All Measure &amp; TRC+ Calc'!AH:AH,'All Measure &amp; TRC+ Calc'!$D:$D,$C129,'All Measure &amp; TRC+ Calc'!$B:$B,$A129)*$E129</f>
        <v>1366800.0000000002</v>
      </c>
      <c r="J129" s="250">
        <f>SUMIFS('All Measure &amp; TRC+ Calc'!AI:AI,'All Measure &amp; TRC+ Calc'!$D:$D,$C129,'All Measure &amp; TRC+ Calc'!$B:$B,$A129)*$E129</f>
        <v>1216452</v>
      </c>
      <c r="K129" s="250">
        <f>SUMIFS('All Measure &amp; TRC+ Calc'!AL:AL,'All Measure &amp; TRC+ Calc'!$D:$D,$C129,'All Measure &amp; TRC+ Calc'!$B:$B,$A129)*$E129</f>
        <v>871.48680784965552</v>
      </c>
      <c r="L129" s="250">
        <f>SUMIFS('All Measure &amp; TRC+ Calc'!AM:AM,'All Measure &amp; TRC+ Calc'!$D:$D,$C129,'All Measure &amp; TRC+ Calc'!$B:$B,$A129)*$E129</f>
        <v>775.62325898619338</v>
      </c>
      <c r="M129" s="250">
        <f>SUMIFS('All Measure &amp; TRC+ Calc'!AJ:AJ,'All Measure &amp; TRC+ Calc'!$D:$D,$C129,'All Measure &amp; TRC+ Calc'!$B:$B,$A129)*$E129</f>
        <v>0</v>
      </c>
      <c r="N129" s="250">
        <f>SUMIFS('All Measure &amp; TRC+ Calc'!AK:AK,'All Measure &amp; TRC+ Calc'!$D:$D,$C129,'All Measure &amp; TRC+ Calc'!$B:$B,$A129)*$E129</f>
        <v>0</v>
      </c>
      <c r="O129" s="250">
        <f>SUMIFS('All Measure &amp; TRC+ Calc'!AF:AF,'All Measure &amp; TRC+ Calc'!$D:$D,$C129,'All Measure &amp; TRC+ Calc'!$B:$B,$A129)*$E129</f>
        <v>149355000</v>
      </c>
      <c r="P129" s="250">
        <f>SUMIFS('All Measure &amp; TRC+ Calc'!AG:AG,'All Measure &amp; TRC+ Calc'!$D:$D,$C129,'All Measure &amp; TRC+ Calc'!$B:$B,$A129)*$E129</f>
        <v>132925950</v>
      </c>
      <c r="Q129" s="249">
        <v>1</v>
      </c>
      <c r="R129" s="190">
        <f>SUMIFS(Budget!$E:$E,Budget!$A:$A,$A129,Budget!$C:$C,$C129,Budget!$D:$D,R$7)*Summary[[#This Row],[Budget %  Adjustment]]</f>
        <v>20300909</v>
      </c>
      <c r="S129" s="190">
        <f>SUMIFS(Budget!$E:$E,Budget!$A:$A,$A129,Budget!$C:$C,$C129,Budget!$D:$D,S$7)*Summary[[#This Row],[Budget %  Adjustment]]</f>
        <v>1481678</v>
      </c>
      <c r="T129" s="190">
        <f>SUMIFS(Budget!$E:$E,Budget!$A:$A,$A129,Budget!$C:$C,$C129,Budget!$D:$D,T$7)*Summary[[#This Row],[Budget %  Adjustment]]</f>
        <v>738061</v>
      </c>
      <c r="U129" s="190">
        <f>SUMIFS(Budget!$E:$E,Budget!$A:$A,$A129,Budget!$C:$C,$C129,Budget!$D:$D,U$7)*Summary[[#This Row],[Budget %  Adjustment]]</f>
        <v>0</v>
      </c>
      <c r="V129" s="190">
        <f>Summary[[#This Row],[Promo]]+Summary[[#This Row],[Delivery]]</f>
        <v>2219739</v>
      </c>
      <c r="W129" s="190">
        <f t="shared" si="6"/>
        <v>2219739</v>
      </c>
      <c r="X129" s="190">
        <f t="shared" si="7"/>
        <v>22520648</v>
      </c>
    </row>
    <row r="130" spans="1:24" x14ac:dyDescent="0.25">
      <c r="A130" s="156">
        <v>2030</v>
      </c>
      <c r="B130" s="247" t="s">
        <v>11</v>
      </c>
      <c r="C130" s="247" t="s">
        <v>333</v>
      </c>
      <c r="D130" s="247" t="s">
        <v>133</v>
      </c>
      <c r="E130" s="249">
        <v>1</v>
      </c>
      <c r="F130" s="250">
        <f>SUMIFS('All Measure &amp; TRC+ Calc'!F:F,'All Measure &amp; TRC+ Calc'!$D:$D,$C130,'All Measure &amp; TRC+ Calc'!$B:$B,$A130)*$E130</f>
        <v>6180</v>
      </c>
      <c r="G130" s="250">
        <f>SUMIFS('All Measure &amp; TRC+ Calc'!AD:AD,'All Measure &amp; TRC+ Calc'!$D:$D,$C130,'All Measure &amp; TRC+ Calc'!$B:$B,$A130)*$E130</f>
        <v>5135640</v>
      </c>
      <c r="H130" s="250">
        <f>SUMIFS('All Measure &amp; TRC+ Calc'!AE:AE,'All Measure &amp; TRC+ Calc'!$D:$D,$C130,'All Measure &amp; TRC+ Calc'!$B:$B,$A130)*$E130</f>
        <v>4661631.5999999996</v>
      </c>
      <c r="I130" s="250">
        <f>SUMIFS('All Measure &amp; TRC+ Calc'!AH:AH,'All Measure &amp; TRC+ Calc'!$D:$D,$C130,'All Measure &amp; TRC+ Calc'!$B:$B,$A130)*$E130</f>
        <v>-17897570.640000001</v>
      </c>
      <c r="J130" s="250">
        <f>SUMIFS('All Measure &amp; TRC+ Calc'!AI:AI,'All Measure &amp; TRC+ Calc'!$D:$D,$C130,'All Measure &amp; TRC+ Calc'!$B:$B,$A130)*$E130</f>
        <v>-16258665.362400003</v>
      </c>
      <c r="K130" s="250">
        <f>SUMIFS('All Measure &amp; TRC+ Calc'!AL:AL,'All Measure &amp; TRC+ Calc'!$D:$D,$C130,'All Measure &amp; TRC+ Calc'!$B:$B,$A130)*$E130</f>
        <v>1404.2342400000002</v>
      </c>
      <c r="L130" s="250">
        <f>SUMIFS('All Measure &amp; TRC+ Calc'!AM:AM,'All Measure &amp; TRC+ Calc'!$D:$D,$C130,'All Measure &amp; TRC+ Calc'!$B:$B,$A130)*$E130</f>
        <v>1281.0794495999999</v>
      </c>
      <c r="M130" s="250">
        <f>SUMIFS('All Measure &amp; TRC+ Calc'!AJ:AJ,'All Measure &amp; TRC+ Calc'!$D:$D,$C130,'All Measure &amp; TRC+ Calc'!$B:$B,$A130)*$E130</f>
        <v>0</v>
      </c>
      <c r="N130" s="250">
        <f>SUMIFS('All Measure &amp; TRC+ Calc'!AK:AK,'All Measure &amp; TRC+ Calc'!$D:$D,$C130,'All Measure &amp; TRC+ Calc'!$B:$B,$A130)*$E130</f>
        <v>0</v>
      </c>
      <c r="O130" s="250">
        <f>SUMIFS('All Measure &amp; TRC+ Calc'!AF:AF,'All Measure &amp; TRC+ Calc'!$D:$D,$C130,'All Measure &amp; TRC+ Calc'!$B:$B,$A130)*$E130</f>
        <v>82062960</v>
      </c>
      <c r="P130" s="250">
        <f>SUMIFS('All Measure &amp; TRC+ Calc'!AG:AG,'All Measure &amp; TRC+ Calc'!$D:$D,$C130,'All Measure &amp; TRC+ Calc'!$B:$B,$A130)*$E130</f>
        <v>74500281.599999994</v>
      </c>
      <c r="Q130" s="249">
        <v>1</v>
      </c>
      <c r="R130" s="190">
        <f>SUMIFS(Budget!$E:$E,Budget!$A:$A,$A130,Budget!$C:$C,$C130,Budget!$D:$D,R$7)*Summary[[#This Row],[Budget %  Adjustment]]</f>
        <v>8150077</v>
      </c>
      <c r="S130" s="190">
        <f>SUMIFS(Budget!$E:$E,Budget!$A:$A,$A130,Budget!$C:$C,$C130,Budget!$D:$D,S$7)*Summary[[#This Row],[Budget %  Adjustment]]</f>
        <v>987785</v>
      </c>
      <c r="T130" s="190">
        <f>SUMIFS(Budget!$E:$E,Budget!$A:$A,$A130,Budget!$C:$C,$C130,Budget!$D:$D,T$7)*Summary[[#This Row],[Budget %  Adjustment]]</f>
        <v>315748</v>
      </c>
      <c r="U130" s="190">
        <f>SUMIFS(Budget!$E:$E,Budget!$A:$A,$A130,Budget!$C:$C,$C130,Budget!$D:$D,U$7)*Summary[[#This Row],[Budget %  Adjustment]]</f>
        <v>0</v>
      </c>
      <c r="V130" s="190">
        <f>Summary[[#This Row],[Promo]]+Summary[[#This Row],[Delivery]]</f>
        <v>1303533</v>
      </c>
      <c r="W130" s="190">
        <f t="shared" si="6"/>
        <v>1303533</v>
      </c>
      <c r="X130" s="190">
        <f t="shared" si="7"/>
        <v>9453610</v>
      </c>
    </row>
    <row r="131" spans="1:24" x14ac:dyDescent="0.25">
      <c r="A131" s="156">
        <v>2030</v>
      </c>
      <c r="B131" s="247" t="s">
        <v>11</v>
      </c>
      <c r="C131" s="247" t="s">
        <v>160</v>
      </c>
      <c r="D131" s="247" t="s">
        <v>133</v>
      </c>
      <c r="E131" s="249">
        <v>1</v>
      </c>
      <c r="F131" s="250">
        <f>SUMIFS('All Measure &amp; TRC+ Calc'!F:F,'All Measure &amp; TRC+ Calc'!$D:$D,$C131,'All Measure &amp; TRC+ Calc'!$B:$B,$A131)*$E131</f>
        <v>28160</v>
      </c>
      <c r="G131" s="250">
        <f>SUMIFS('All Measure &amp; TRC+ Calc'!AD:AD,'All Measure &amp; TRC+ Calc'!$D:$D,$C131,'All Measure &amp; TRC+ Calc'!$B:$B,$A131)*$E131</f>
        <v>3663200</v>
      </c>
      <c r="H131" s="250">
        <f>SUMIFS('All Measure &amp; TRC+ Calc'!AE:AE,'All Measure &amp; TRC+ Calc'!$D:$D,$C131,'All Measure &amp; TRC+ Calc'!$B:$B,$A131)*$E131</f>
        <v>3150352.0000000005</v>
      </c>
      <c r="I131" s="250">
        <f>SUMIFS('All Measure &amp; TRC+ Calc'!AH:AH,'All Measure &amp; TRC+ Calc'!$D:$D,$C131,'All Measure &amp; TRC+ Calc'!$B:$B,$A131)*$E131</f>
        <v>5500131.8399999999</v>
      </c>
      <c r="J131" s="250">
        <f>SUMIFS('All Measure &amp; TRC+ Calc'!AI:AI,'All Measure &amp; TRC+ Calc'!$D:$D,$C131,'All Measure &amp; TRC+ Calc'!$B:$B,$A131)*$E131</f>
        <v>4730113.3824000005</v>
      </c>
      <c r="K131" s="250">
        <f>SUMIFS('All Measure &amp; TRC+ Calc'!AL:AL,'All Measure &amp; TRC+ Calc'!$D:$D,$C131,'All Measure &amp; TRC+ Calc'!$B:$B,$A131)*$E131</f>
        <v>2516.8603299840006</v>
      </c>
      <c r="L131" s="250">
        <f>SUMIFS('All Measure &amp; TRC+ Calc'!AM:AM,'All Measure &amp; TRC+ Calc'!$D:$D,$C131,'All Measure &amp; TRC+ Calc'!$B:$B,$A131)*$E131</f>
        <v>2164.4998837862404</v>
      </c>
      <c r="M131" s="250">
        <f>SUMIFS('All Measure &amp; TRC+ Calc'!AJ:AJ,'All Measure &amp; TRC+ Calc'!$D:$D,$C131,'All Measure &amp; TRC+ Calc'!$B:$B,$A131)*$E131</f>
        <v>0</v>
      </c>
      <c r="N131" s="250">
        <f>SUMIFS('All Measure &amp; TRC+ Calc'!AK:AK,'All Measure &amp; TRC+ Calc'!$D:$D,$C131,'All Measure &amp; TRC+ Calc'!$B:$B,$A131)*$E131</f>
        <v>0</v>
      </c>
      <c r="O131" s="250">
        <f>SUMIFS('All Measure &amp; TRC+ Calc'!AF:AF,'All Measure &amp; TRC+ Calc'!$D:$D,$C131,'All Measure &amp; TRC+ Calc'!$B:$B,$A131)*$E131</f>
        <v>36632000</v>
      </c>
      <c r="P131" s="250">
        <f>SUMIFS('All Measure &amp; TRC+ Calc'!AG:AG,'All Measure &amp; TRC+ Calc'!$D:$D,$C131,'All Measure &amp; TRC+ Calc'!$B:$B,$A131)*$E131</f>
        <v>31503520.000000004</v>
      </c>
      <c r="Q131" s="249">
        <v>1</v>
      </c>
      <c r="R131" s="190">
        <f>SUMIFS(Budget!$E:$E,Budget!$A:$A,$A131,Budget!$C:$C,$C131,Budget!$D:$D,R$7)*Summary[[#This Row],[Budget %  Adjustment]]</f>
        <v>3369229</v>
      </c>
      <c r="S131" s="190">
        <f>SUMIFS(Budget!$E:$E,Budget!$A:$A,$A131,Budget!$C:$C,$C131,Budget!$D:$D,S$7)*Summary[[#This Row],[Budget %  Adjustment]]</f>
        <v>2371055</v>
      </c>
      <c r="T131" s="190">
        <f>SUMIFS(Budget!$E:$E,Budget!$A:$A,$A131,Budget!$C:$C,$C131,Budget!$D:$D,T$7)*Summary[[#This Row],[Budget %  Adjustment]]</f>
        <v>657379</v>
      </c>
      <c r="U131" s="190">
        <f>SUMIFS(Budget!$E:$E,Budget!$A:$A,$A131,Budget!$C:$C,$C131,Budget!$D:$D,U$7)*Summary[[#This Row],[Budget %  Adjustment]]</f>
        <v>0</v>
      </c>
      <c r="V131" s="190">
        <f>Summary[[#This Row],[Promo]]+Summary[[#This Row],[Delivery]]</f>
        <v>3028434</v>
      </c>
      <c r="W131" s="190">
        <f t="shared" si="6"/>
        <v>3028434</v>
      </c>
      <c r="X131" s="190">
        <f t="shared" si="7"/>
        <v>6397663</v>
      </c>
    </row>
    <row r="132" spans="1:24" x14ac:dyDescent="0.25">
      <c r="A132" s="156">
        <v>2030</v>
      </c>
      <c r="B132" s="247" t="s">
        <v>11</v>
      </c>
      <c r="C132" s="247" t="s">
        <v>161</v>
      </c>
      <c r="D132" s="247" t="s">
        <v>133</v>
      </c>
      <c r="E132" s="249">
        <v>1</v>
      </c>
      <c r="F132" s="250">
        <f>SUMIFS('All Measure &amp; TRC+ Calc'!F:F,'All Measure &amp; TRC+ Calc'!$D:$D,$C132,'All Measure &amp; TRC+ Calc'!$B:$B,$A132)*$E132</f>
        <v>11500</v>
      </c>
      <c r="G132" s="250">
        <f>SUMIFS('All Measure &amp; TRC+ Calc'!AD:AD,'All Measure &amp; TRC+ Calc'!$D:$D,$C132,'All Measure &amp; TRC+ Calc'!$B:$B,$A132)*$E132</f>
        <v>2934500</v>
      </c>
      <c r="H132" s="250">
        <f>SUMIFS('All Measure &amp; TRC+ Calc'!AE:AE,'All Measure &amp; TRC+ Calc'!$D:$D,$C132,'All Measure &amp; TRC+ Calc'!$B:$B,$A132)*$E132</f>
        <v>2579920</v>
      </c>
      <c r="I132" s="250">
        <f>SUMIFS('All Measure &amp; TRC+ Calc'!AH:AH,'All Measure &amp; TRC+ Calc'!$D:$D,$C132,'All Measure &amp; TRC+ Calc'!$B:$B,$A132)*$E132</f>
        <v>2054488</v>
      </c>
      <c r="J132" s="250">
        <f>SUMIFS('All Measure &amp; TRC+ Calc'!AI:AI,'All Measure &amp; TRC+ Calc'!$D:$D,$C132,'All Measure &amp; TRC+ Calc'!$B:$B,$A132)*$E132</f>
        <v>1783132.6400000004</v>
      </c>
      <c r="K132" s="250">
        <f>SUMIFS('All Measure &amp; TRC+ Calc'!AL:AL,'All Measure &amp; TRC+ Calc'!$D:$D,$C132,'All Measure &amp; TRC+ Calc'!$B:$B,$A132)*$E132</f>
        <v>1037.7774724799417</v>
      </c>
      <c r="L132" s="250">
        <f>SUMIFS('All Measure &amp; TRC+ Calc'!AM:AM,'All Measure &amp; TRC+ Calc'!$D:$D,$C132,'All Measure &amp; TRC+ Calc'!$B:$B,$A132)*$E132</f>
        <v>902.86444573914832</v>
      </c>
      <c r="M132" s="250">
        <f>SUMIFS('All Measure &amp; TRC+ Calc'!AJ:AJ,'All Measure &amp; TRC+ Calc'!$D:$D,$C132,'All Measure &amp; TRC+ Calc'!$B:$B,$A132)*$E132</f>
        <v>0</v>
      </c>
      <c r="N132" s="250">
        <f>SUMIFS('All Measure &amp; TRC+ Calc'!AK:AK,'All Measure &amp; TRC+ Calc'!$D:$D,$C132,'All Measure &amp; TRC+ Calc'!$B:$B,$A132)*$E132</f>
        <v>0</v>
      </c>
      <c r="O132" s="250">
        <f>SUMIFS('All Measure &amp; TRC+ Calc'!AF:AF,'All Measure &amp; TRC+ Calc'!$D:$D,$C132,'All Measure &amp; TRC+ Calc'!$B:$B,$A132)*$E132</f>
        <v>66845000</v>
      </c>
      <c r="P132" s="250">
        <f>SUMIFS('All Measure &amp; TRC+ Calc'!AG:AG,'All Measure &amp; TRC+ Calc'!$D:$D,$C132,'All Measure &amp; TRC+ Calc'!$B:$B,$A132)*$E132</f>
        <v>59174200</v>
      </c>
      <c r="Q132" s="249">
        <v>1</v>
      </c>
      <c r="R132" s="190">
        <f>SUMIFS(Budget!$E:$E,Budget!$A:$A,$A132,Budget!$C:$C,$C132,Budget!$D:$D,R$7)*Summary[[#This Row],[Budget %  Adjustment]]</f>
        <v>15196499</v>
      </c>
      <c r="S132" s="190">
        <f>SUMIFS(Budget!$E:$E,Budget!$A:$A,$A132,Budget!$C:$C,$C132,Budget!$D:$D,S$7)*Summary[[#This Row],[Budget %  Adjustment]]</f>
        <v>526246</v>
      </c>
      <c r="T132" s="190">
        <f>SUMIFS(Budget!$E:$E,Budget!$A:$A,$A132,Budget!$C:$C,$C132,Budget!$D:$D,T$7)*Summary[[#This Row],[Budget %  Adjustment]]</f>
        <v>605183</v>
      </c>
      <c r="U132" s="190">
        <f>SUMIFS(Budget!$E:$E,Budget!$A:$A,$A132,Budget!$C:$C,$C132,Budget!$D:$D,U$7)*Summary[[#This Row],[Budget %  Adjustment]]</f>
        <v>0</v>
      </c>
      <c r="V132" s="190">
        <f>Summary[[#This Row],[Promo]]+Summary[[#This Row],[Delivery]]</f>
        <v>1131429</v>
      </c>
      <c r="W132" s="190">
        <f t="shared" si="6"/>
        <v>1131429</v>
      </c>
      <c r="X132" s="190">
        <f t="shared" si="7"/>
        <v>16327928</v>
      </c>
    </row>
    <row r="133" spans="1:24" x14ac:dyDescent="0.25">
      <c r="A133" s="156">
        <v>2030</v>
      </c>
      <c r="B133" s="247" t="s">
        <v>11</v>
      </c>
      <c r="C133" s="247" t="s">
        <v>162</v>
      </c>
      <c r="D133" s="247" t="s">
        <v>133</v>
      </c>
      <c r="E133" s="249">
        <v>1</v>
      </c>
      <c r="F133" s="250">
        <f>SUMIFS('All Measure &amp; TRC+ Calc'!F:F,'All Measure &amp; TRC+ Calc'!$D:$D,$C133,'All Measure &amp; TRC+ Calc'!$B:$B,$A133)*$E133</f>
        <v>263000</v>
      </c>
      <c r="G133" s="250">
        <f>SUMIFS('All Measure &amp; TRC+ Calc'!AD:AD,'All Measure &amp; TRC+ Calc'!$D:$D,$C133,'All Measure &amp; TRC+ Calc'!$B:$B,$A133)*$E133</f>
        <v>6741000</v>
      </c>
      <c r="H133" s="250">
        <f>SUMIFS('All Measure &amp; TRC+ Calc'!AE:AE,'All Measure &amp; TRC+ Calc'!$D:$D,$C133,'All Measure &amp; TRC+ Calc'!$B:$B,$A133)*$E133</f>
        <v>6741000</v>
      </c>
      <c r="I133" s="250">
        <f>SUMIFS('All Measure &amp; TRC+ Calc'!AH:AH,'All Measure &amp; TRC+ Calc'!$D:$D,$C133,'All Measure &amp; TRC+ Calc'!$B:$B,$A133)*$E133</f>
        <v>3665168</v>
      </c>
      <c r="J133" s="250">
        <f>SUMIFS('All Measure &amp; TRC+ Calc'!AI:AI,'All Measure &amp; TRC+ Calc'!$D:$D,$C133,'All Measure &amp; TRC+ Calc'!$B:$B,$A133)*$E133</f>
        <v>3665168</v>
      </c>
      <c r="K133" s="250">
        <f>SUMIFS('All Measure &amp; TRC+ Calc'!AL:AL,'All Measure &amp; TRC+ Calc'!$D:$D,$C133,'All Measure &amp; TRC+ Calc'!$B:$B,$A133)*$E133</f>
        <v>474.9304786172271</v>
      </c>
      <c r="L133" s="250">
        <f>SUMIFS('All Measure &amp; TRC+ Calc'!AM:AM,'All Measure &amp; TRC+ Calc'!$D:$D,$C133,'All Measure &amp; TRC+ Calc'!$B:$B,$A133)*$E133</f>
        <v>474.9304786172271</v>
      </c>
      <c r="M133" s="250">
        <f>SUMIFS('All Measure &amp; TRC+ Calc'!AJ:AJ,'All Measure &amp; TRC+ Calc'!$D:$D,$C133,'All Measure &amp; TRC+ Calc'!$B:$B,$A133)*$E133</f>
        <v>0</v>
      </c>
      <c r="N133" s="250">
        <f>SUMIFS('All Measure &amp; TRC+ Calc'!AK:AK,'All Measure &amp; TRC+ Calc'!$D:$D,$C133,'All Measure &amp; TRC+ Calc'!$B:$B,$A133)*$E133</f>
        <v>0</v>
      </c>
      <c r="O133" s="250">
        <f>SUMIFS('All Measure &amp; TRC+ Calc'!AF:AF,'All Measure &amp; TRC+ Calc'!$D:$D,$C133,'All Measure &amp; TRC+ Calc'!$B:$B,$A133)*$E133</f>
        <v>6741000</v>
      </c>
      <c r="P133" s="250">
        <f>SUMIFS('All Measure &amp; TRC+ Calc'!AG:AG,'All Measure &amp; TRC+ Calc'!$D:$D,$C133,'All Measure &amp; TRC+ Calc'!$B:$B,$A133)*$E133</f>
        <v>6741000</v>
      </c>
      <c r="Q133" s="249">
        <v>1</v>
      </c>
      <c r="R133" s="190">
        <f>SUMIFS(Budget!$E:$E,Budget!$A:$A,$A133,Budget!$C:$C,$C133,Budget!$D:$D,R$7)*Summary[[#This Row],[Budget %  Adjustment]]</f>
        <v>0</v>
      </c>
      <c r="S133" s="190">
        <f>SUMIFS(Budget!$E:$E,Budget!$A:$A,$A133,Budget!$C:$C,$C133,Budget!$D:$D,S$7)*Summary[[#This Row],[Budget %  Adjustment]]</f>
        <v>52625</v>
      </c>
      <c r="T133" s="190">
        <f>SUMIFS(Budget!$E:$E,Budget!$A:$A,$A133,Budget!$C:$C,$C133,Budget!$D:$D,T$7)*Summary[[#This Row],[Budget %  Adjustment]]</f>
        <v>3315352</v>
      </c>
      <c r="U133" s="190">
        <f>SUMIFS(Budget!$E:$E,Budget!$A:$A,$A133,Budget!$C:$C,$C133,Budget!$D:$D,U$7)*Summary[[#This Row],[Budget %  Adjustment]]</f>
        <v>0</v>
      </c>
      <c r="V133" s="190">
        <f>Summary[[#This Row],[Promo]]+Summary[[#This Row],[Delivery]]</f>
        <v>3367977</v>
      </c>
      <c r="W133" s="190">
        <f t="shared" si="6"/>
        <v>3367977</v>
      </c>
      <c r="X133" s="190">
        <f t="shared" si="7"/>
        <v>3367977</v>
      </c>
    </row>
    <row r="134" spans="1:24" x14ac:dyDescent="0.25">
      <c r="A134" s="156">
        <v>2030</v>
      </c>
      <c r="B134" s="247" t="s">
        <v>11</v>
      </c>
      <c r="C134" s="247" t="s">
        <v>17</v>
      </c>
      <c r="D134" s="247" t="s">
        <v>17</v>
      </c>
      <c r="E134" s="249">
        <v>1</v>
      </c>
      <c r="F134" s="250">
        <f>SUMIFS('All Measure &amp; TRC+ Calc'!F:F,'All Measure &amp; TRC+ Calc'!$D:$D,$C134,'All Measure &amp; TRC+ Calc'!$B:$B,$A134)*$E134</f>
        <v>0</v>
      </c>
      <c r="G134" s="250">
        <f>SUMIFS('All Measure &amp; TRC+ Calc'!AD:AD,'All Measure &amp; TRC+ Calc'!$D:$D,$C134,'All Measure &amp; TRC+ Calc'!$B:$B,$A134)*$E134</f>
        <v>0</v>
      </c>
      <c r="H134" s="250">
        <f>SUMIFS('All Measure &amp; TRC+ Calc'!AE:AE,'All Measure &amp; TRC+ Calc'!$D:$D,$C134,'All Measure &amp; TRC+ Calc'!$B:$B,$A134)*$E134</f>
        <v>0</v>
      </c>
      <c r="I134" s="250">
        <f>SUMIFS('All Measure &amp; TRC+ Calc'!AH:AH,'All Measure &amp; TRC+ Calc'!$D:$D,$C134,'All Measure &amp; TRC+ Calc'!$B:$B,$A134)*$E134</f>
        <v>0</v>
      </c>
      <c r="J134" s="250">
        <f>SUMIFS('All Measure &amp; TRC+ Calc'!AI:AI,'All Measure &amp; TRC+ Calc'!$D:$D,$C134,'All Measure &amp; TRC+ Calc'!$B:$B,$A134)*$E134</f>
        <v>0</v>
      </c>
      <c r="K134" s="250">
        <f>SUMIFS('All Measure &amp; TRC+ Calc'!AL:AL,'All Measure &amp; TRC+ Calc'!$D:$D,$C134,'All Measure &amp; TRC+ Calc'!$B:$B,$A134)*$E134</f>
        <v>0</v>
      </c>
      <c r="L134" s="250">
        <f>SUMIFS('All Measure &amp; TRC+ Calc'!AM:AM,'All Measure &amp; TRC+ Calc'!$D:$D,$C134,'All Measure &amp; TRC+ Calc'!$B:$B,$A134)*$E134</f>
        <v>0</v>
      </c>
      <c r="M134" s="250">
        <f>SUMIFS('All Measure &amp; TRC+ Calc'!AJ:AJ,'All Measure &amp; TRC+ Calc'!$D:$D,$C134,'All Measure &amp; TRC+ Calc'!$B:$B,$A134)*$E134</f>
        <v>0</v>
      </c>
      <c r="N134" s="250">
        <f>SUMIFS('All Measure &amp; TRC+ Calc'!AK:AK,'All Measure &amp; TRC+ Calc'!$D:$D,$C134,'All Measure &amp; TRC+ Calc'!$B:$B,$A134)*$E134</f>
        <v>0</v>
      </c>
      <c r="O134" s="250">
        <f>SUMIFS('All Measure &amp; TRC+ Calc'!AF:AF,'All Measure &amp; TRC+ Calc'!$D:$D,$C134,'All Measure &amp; TRC+ Calc'!$B:$B,$A134)*$E134</f>
        <v>0</v>
      </c>
      <c r="P134" s="250">
        <f>SUMIFS('All Measure &amp; TRC+ Calc'!AG:AG,'All Measure &amp; TRC+ Calc'!$D:$D,$C134,'All Measure &amp; TRC+ Calc'!$B:$B,$A134)*$E134</f>
        <v>0</v>
      </c>
      <c r="Q134" s="249">
        <v>1</v>
      </c>
      <c r="R134" s="190">
        <f>SUMIFS(Budget!$E:$E,Budget!$A:$A,$A134,Budget!$C:$C,$C134,Budget!$D:$D,R$7)*Summary[[#This Row],[Budget %  Adjustment]]</f>
        <v>0</v>
      </c>
      <c r="S134" s="190">
        <f>SUMIFS(Budget!$E:$E,Budget!$A:$A,$A134,Budget!$C:$C,$C134,Budget!$D:$D,S$7)*Summary[[#This Row],[Budget %  Adjustment]]</f>
        <v>0</v>
      </c>
      <c r="T134" s="190">
        <f>SUMIFS(Budget!$E:$E,Budget!$A:$A,$A134,Budget!$C:$C,$C134,Budget!$D:$D,T$7)*Summary[[#This Row],[Budget %  Adjustment]]</f>
        <v>0</v>
      </c>
      <c r="U134" s="190">
        <f>SUMIFS(Budget!$E:$E,Budget!$A:$A,$A134,Budget!$C:$C,$C134,Budget!$D:$D,U$7)*Summary[[#This Row],[Budget %  Adjustment]]</f>
        <v>2708841</v>
      </c>
      <c r="V134" s="190">
        <f>Summary[[#This Row],[Promo]]+Summary[[#This Row],[Delivery]]</f>
        <v>0</v>
      </c>
      <c r="W134" s="190">
        <f t="shared" si="6"/>
        <v>2708841</v>
      </c>
      <c r="X134" s="190">
        <f t="shared" si="7"/>
        <v>2708841</v>
      </c>
    </row>
    <row r="135" spans="1:24" x14ac:dyDescent="0.25">
      <c r="A135" s="156">
        <v>2030</v>
      </c>
      <c r="B135" s="247" t="s">
        <v>13</v>
      </c>
      <c r="C135" s="247" t="s">
        <v>9</v>
      </c>
      <c r="D135" s="247" t="s">
        <v>133</v>
      </c>
      <c r="E135" s="249">
        <v>1</v>
      </c>
      <c r="F135" s="250">
        <f>SUMIFS('All Measure &amp; TRC+ Calc'!F:F,'All Measure &amp; TRC+ Calc'!$D:$D,$C135,'All Measure &amp; TRC+ Calc'!$B:$B,$A135)*$E135</f>
        <v>1601</v>
      </c>
      <c r="G135" s="250">
        <f>SUMIFS('All Measure &amp; TRC+ Calc'!AD:AD,'All Measure &amp; TRC+ Calc'!$D:$D,$C135,'All Measure &amp; TRC+ Calc'!$B:$B,$A135)*$E135</f>
        <v>30398808.129085928</v>
      </c>
      <c r="H135" s="250">
        <f>SUMIFS('All Measure &amp; TRC+ Calc'!AE:AE,'All Measure &amp; TRC+ Calc'!$D:$D,$C135,'All Measure &amp; TRC+ Calc'!$B:$B,$A135)*$E135</f>
        <v>22799106.096814446</v>
      </c>
      <c r="I135" s="250">
        <f>SUMIFS('All Measure &amp; TRC+ Calc'!AH:AH,'All Measure &amp; TRC+ Calc'!$D:$D,$C135,'All Measure &amp; TRC+ Calc'!$B:$B,$A135)*$E135</f>
        <v>-8474786.8725969847</v>
      </c>
      <c r="J135" s="250">
        <f>SUMIFS('All Measure &amp; TRC+ Calc'!AI:AI,'All Measure &amp; TRC+ Calc'!$D:$D,$C135,'All Measure &amp; TRC+ Calc'!$B:$B,$A135)*$E135</f>
        <v>-6356090.1544477381</v>
      </c>
      <c r="K135" s="250">
        <f>SUMIFS('All Measure &amp; TRC+ Calc'!AL:AL,'All Measure &amp; TRC+ Calc'!$D:$D,$C135,'All Measure &amp; TRC+ Calc'!$B:$B,$A135)*$E135</f>
        <v>813.10452361863952</v>
      </c>
      <c r="L135" s="250">
        <f>SUMIFS('All Measure &amp; TRC+ Calc'!AM:AM,'All Measure &amp; TRC+ Calc'!$D:$D,$C135,'All Measure &amp; TRC+ Calc'!$B:$B,$A135)*$E135</f>
        <v>609.82839271397961</v>
      </c>
      <c r="M135" s="250">
        <f>SUMIFS('All Measure &amp; TRC+ Calc'!AJ:AJ,'All Measure &amp; TRC+ Calc'!$D:$D,$C135,'All Measure &amp; TRC+ Calc'!$B:$B,$A135)*$E135</f>
        <v>29788.677367647062</v>
      </c>
      <c r="N135" s="250">
        <f>SUMIFS('All Measure &amp; TRC+ Calc'!AK:AK,'All Measure &amp; TRC+ Calc'!$D:$D,$C135,'All Measure &amp; TRC+ Calc'!$B:$B,$A135)*$E135</f>
        <v>22341.508025735297</v>
      </c>
      <c r="O135" s="250">
        <f>SUMIFS('All Measure &amp; TRC+ Calc'!AF:AF,'All Measure &amp; TRC+ Calc'!$D:$D,$C135,'All Measure &amp; TRC+ Calc'!$B:$B,$A135)*$E135</f>
        <v>468065640.9457866</v>
      </c>
      <c r="P135" s="250">
        <f>SUMIFS('All Measure &amp; TRC+ Calc'!AG:AG,'All Measure &amp; TRC+ Calc'!$D:$D,$C135,'All Measure &amp; TRC+ Calc'!$B:$B,$A135)*$E135</f>
        <v>351049230.70933998</v>
      </c>
      <c r="Q135" s="249">
        <v>1</v>
      </c>
      <c r="R135" s="190">
        <f>SUMIFS(Budget!$E:$E,Budget!$A:$A,$A135,Budget!$C:$C,$C135,Budget!$D:$D,R$7)*Summary[[#This Row],[Budget %  Adjustment]]</f>
        <v>19689958</v>
      </c>
      <c r="S135" s="190">
        <f>SUMIFS(Budget!$E:$E,Budget!$A:$A,$A135,Budget!$C:$C,$C135,Budget!$D:$D,S$7)*Summary[[#This Row],[Budget %  Adjustment]]</f>
        <v>673069</v>
      </c>
      <c r="T135" s="190">
        <f>SUMIFS(Budget!$E:$E,Budget!$A:$A,$A135,Budget!$C:$C,$C135,Budget!$D:$D,T$7)*Summary[[#This Row],[Budget %  Adjustment]]</f>
        <v>421260</v>
      </c>
      <c r="U135" s="190">
        <f>SUMIFS(Budget!$E:$E,Budget!$A:$A,$A135,Budget!$C:$C,$C135,Budget!$D:$D,U$7)*Summary[[#This Row],[Budget %  Adjustment]]</f>
        <v>0</v>
      </c>
      <c r="V135" s="190">
        <f>Summary[[#This Row],[Promo]]+Summary[[#This Row],[Delivery]]</f>
        <v>1094329</v>
      </c>
      <c r="W135" s="190">
        <f t="shared" si="6"/>
        <v>1094329</v>
      </c>
      <c r="X135" s="190">
        <f t="shared" si="7"/>
        <v>20784287</v>
      </c>
    </row>
    <row r="136" spans="1:24" x14ac:dyDescent="0.25">
      <c r="A136" s="156">
        <v>2030</v>
      </c>
      <c r="B136" s="247" t="s">
        <v>13</v>
      </c>
      <c r="C136" s="247" t="s">
        <v>163</v>
      </c>
      <c r="D136" s="247" t="s">
        <v>133</v>
      </c>
      <c r="E136" s="249">
        <v>1</v>
      </c>
      <c r="F136" s="250">
        <f>SUMIFS('All Measure &amp; TRC+ Calc'!F:F,'All Measure &amp; TRC+ Calc'!$D:$D,$C136,'All Measure &amp; TRC+ Calc'!$B:$B,$A136)*$E136</f>
        <v>2919</v>
      </c>
      <c r="G136" s="250">
        <f>SUMIFS('All Measure &amp; TRC+ Calc'!AD:AD,'All Measure &amp; TRC+ Calc'!$D:$D,$C136,'All Measure &amp; TRC+ Calc'!$B:$B,$A136)*$E136</f>
        <v>7068748.9760906948</v>
      </c>
      <c r="H136" s="250">
        <f>SUMIFS('All Measure &amp; TRC+ Calc'!AE:AE,'All Measure &amp; TRC+ Calc'!$D:$D,$C136,'All Measure &amp; TRC+ Calc'!$B:$B,$A136)*$E136</f>
        <v>4011725.1362350872</v>
      </c>
      <c r="I136" s="250">
        <f>SUMIFS('All Measure &amp; TRC+ Calc'!AH:AH,'All Measure &amp; TRC+ Calc'!$D:$D,$C136,'All Measure &amp; TRC+ Calc'!$B:$B,$A136)*$E136</f>
        <v>-257789.18080512251</v>
      </c>
      <c r="J136" s="250">
        <f>SUMIFS('All Measure &amp; TRC+ Calc'!AI:AI,'All Measure &amp; TRC+ Calc'!$D:$D,$C136,'All Measure &amp; TRC+ Calc'!$B:$B,$A136)*$E136</f>
        <v>575973.51611810958</v>
      </c>
      <c r="K136" s="250">
        <f>SUMIFS('All Measure &amp; TRC+ Calc'!AL:AL,'All Measure &amp; TRC+ Calc'!$D:$D,$C136,'All Measure &amp; TRC+ Calc'!$B:$B,$A136)*$E136</f>
        <v>-1215.9045229835622</v>
      </c>
      <c r="L136" s="250">
        <f>SUMIFS('All Measure &amp; TRC+ Calc'!AM:AM,'All Measure &amp; TRC+ Calc'!$D:$D,$C136,'All Measure &amp; TRC+ Calc'!$B:$B,$A136)*$E136</f>
        <v>-316.56488928564016</v>
      </c>
      <c r="M136" s="250">
        <f>SUMIFS('All Measure &amp; TRC+ Calc'!AJ:AJ,'All Measure &amp; TRC+ Calc'!$D:$D,$C136,'All Measure &amp; TRC+ Calc'!$B:$B,$A136)*$E136</f>
        <v>16674.684000000001</v>
      </c>
      <c r="N136" s="250">
        <f>SUMIFS('All Measure &amp; TRC+ Calc'!AK:AK,'All Measure &amp; TRC+ Calc'!$D:$D,$C136,'All Measure &amp; TRC+ Calc'!$B:$B,$A136)*$E136</f>
        <v>15340.709280000003</v>
      </c>
      <c r="O136" s="250">
        <f>SUMIFS('All Measure &amp; TRC+ Calc'!AF:AF,'All Measure &amp; TRC+ Calc'!$D:$D,$C136,'All Measure &amp; TRC+ Calc'!$B:$B,$A136)*$E136</f>
        <v>94996484.547209591</v>
      </c>
      <c r="P136" s="250">
        <f>SUMIFS('All Measure &amp; TRC+ Calc'!AG:AG,'All Measure &amp; TRC+ Calc'!$D:$D,$C136,'All Measure &amp; TRC+ Calc'!$B:$B,$A136)*$E136</f>
        <v>55474690.790175922</v>
      </c>
      <c r="Q136" s="249">
        <v>1</v>
      </c>
      <c r="R136" s="190">
        <f>SUMIFS(Budget!$E:$E,Budget!$A:$A,$A136,Budget!$C:$C,$C136,Budget!$D:$D,R$7)*Summary[[#This Row],[Budget %  Adjustment]]</f>
        <v>5320426</v>
      </c>
      <c r="S136" s="190">
        <f>SUMIFS(Budget!$E:$E,Budget!$A:$A,$A136,Budget!$C:$C,$C136,Budget!$D:$D,S$7)*Summary[[#This Row],[Budget %  Adjustment]]</f>
        <v>487830</v>
      </c>
      <c r="T136" s="190">
        <f>SUMIFS(Budget!$E:$E,Budget!$A:$A,$A136,Budget!$C:$C,$C136,Budget!$D:$D,T$7)*Summary[[#This Row],[Budget %  Adjustment]]</f>
        <v>614445</v>
      </c>
      <c r="U136" s="190">
        <f>SUMIFS(Budget!$E:$E,Budget!$A:$A,$A136,Budget!$C:$C,$C136,Budget!$D:$D,U$7)*Summary[[#This Row],[Budget %  Adjustment]]</f>
        <v>0</v>
      </c>
      <c r="V136" s="190">
        <f>Summary[[#This Row],[Promo]]+Summary[[#This Row],[Delivery]]</f>
        <v>1102275</v>
      </c>
      <c r="W136" s="190">
        <f t="shared" ref="W136:W167" si="8">SUM(S136:U136)</f>
        <v>1102275</v>
      </c>
      <c r="X136" s="190">
        <f t="shared" ref="X136:X167" si="9">SUM(R136:U136)</f>
        <v>6422701</v>
      </c>
    </row>
    <row r="137" spans="1:24" x14ac:dyDescent="0.25">
      <c r="A137" s="156">
        <v>2030</v>
      </c>
      <c r="B137" s="247" t="s">
        <v>13</v>
      </c>
      <c r="C137" s="247" t="s">
        <v>164</v>
      </c>
      <c r="D137" s="247" t="s">
        <v>133</v>
      </c>
      <c r="E137" s="249">
        <v>1</v>
      </c>
      <c r="F137" s="250">
        <f>SUMIFS('All Measure &amp; TRC+ Calc'!F:F,'All Measure &amp; TRC+ Calc'!$D:$D,$C137,'All Measure &amp; TRC+ Calc'!$B:$B,$A137)*$E137</f>
        <v>3283</v>
      </c>
      <c r="G137" s="250">
        <f>SUMIFS('All Measure &amp; TRC+ Calc'!AD:AD,'All Measure &amp; TRC+ Calc'!$D:$D,$C137,'All Measure &amp; TRC+ Calc'!$B:$B,$A137)*$E137</f>
        <v>7824964.0877155792</v>
      </c>
      <c r="H137" s="250">
        <f>SUMIFS('All Measure &amp; TRC+ Calc'!AE:AE,'All Measure &amp; TRC+ Calc'!$D:$D,$C137,'All Measure &amp; TRC+ Calc'!$B:$B,$A137)*$E137</f>
        <v>7447854.4333298001</v>
      </c>
      <c r="I137" s="250">
        <f>SUMIFS('All Measure &amp; TRC+ Calc'!AH:AH,'All Measure &amp; TRC+ Calc'!$D:$D,$C137,'All Measure &amp; TRC+ Calc'!$B:$B,$A137)*$E137</f>
        <v>4724778.4862335324</v>
      </c>
      <c r="J137" s="250">
        <f>SUMIFS('All Measure &amp; TRC+ Calc'!AI:AI,'All Measure &amp; TRC+ Calc'!$D:$D,$C137,'All Measure &amp; TRC+ Calc'!$B:$B,$A137)*$E137</f>
        <v>4514990.4115218548</v>
      </c>
      <c r="K137" s="250">
        <f>SUMIFS('All Measure &amp; TRC+ Calc'!AL:AL,'All Measure &amp; TRC+ Calc'!$D:$D,$C137,'All Measure &amp; TRC+ Calc'!$B:$B,$A137)*$E137</f>
        <v>1798.3190476021009</v>
      </c>
      <c r="L137" s="250">
        <f>SUMIFS('All Measure &amp; TRC+ Calc'!AM:AM,'All Measure &amp; TRC+ Calc'!$D:$D,$C137,'All Measure &amp; TRC+ Calc'!$B:$B,$A137)*$E137</f>
        <v>1721.6109631870731</v>
      </c>
      <c r="M137" s="250">
        <f>SUMIFS('All Measure &amp; TRC+ Calc'!AJ:AJ,'All Measure &amp; TRC+ Calc'!$D:$D,$C137,'All Measure &amp; TRC+ Calc'!$B:$B,$A137)*$E137</f>
        <v>0</v>
      </c>
      <c r="N137" s="250">
        <f>SUMIFS('All Measure &amp; TRC+ Calc'!AK:AK,'All Measure &amp; TRC+ Calc'!$D:$D,$C137,'All Measure &amp; TRC+ Calc'!$B:$B,$A137)*$E137</f>
        <v>0</v>
      </c>
      <c r="O137" s="250">
        <f>SUMIFS('All Measure &amp; TRC+ Calc'!AF:AF,'All Measure &amp; TRC+ Calc'!$D:$D,$C137,'All Measure &amp; TRC+ Calc'!$B:$B,$A137)*$E137</f>
        <v>94652331.534563184</v>
      </c>
      <c r="P137" s="250">
        <f>SUMIFS('All Measure &amp; TRC+ Calc'!AG:AG,'All Measure &amp; TRC+ Calc'!$D:$D,$C137,'All Measure &amp; TRC+ Calc'!$B:$B,$A137)*$E137</f>
        <v>90101927.757835031</v>
      </c>
      <c r="Q137" s="249">
        <v>1</v>
      </c>
      <c r="R137" s="190">
        <f>SUMIFS(Budget!$E:$E,Budget!$A:$A,$A137,Budget!$C:$C,$C137,Budget!$D:$D,R$7)*Summary[[#This Row],[Budget %  Adjustment]]</f>
        <v>12756070</v>
      </c>
      <c r="S137" s="190">
        <f>SUMIFS(Budget!$E:$E,Budget!$A:$A,$A137,Budget!$C:$C,$C137,Budget!$D:$D,S$7)*Summary[[#This Row],[Budget %  Adjustment]]</f>
        <v>433101</v>
      </c>
      <c r="T137" s="190">
        <f>SUMIFS(Budget!$E:$E,Budget!$A:$A,$A137,Budget!$C:$C,$C137,Budget!$D:$D,T$7)*Summary[[#This Row],[Budget %  Adjustment]]</f>
        <v>691067</v>
      </c>
      <c r="U137" s="190">
        <f>SUMIFS(Budget!$E:$E,Budget!$A:$A,$A137,Budget!$C:$C,$C137,Budget!$D:$D,U$7)*Summary[[#This Row],[Budget %  Adjustment]]</f>
        <v>0</v>
      </c>
      <c r="V137" s="190">
        <f>Summary[[#This Row],[Promo]]+Summary[[#This Row],[Delivery]]</f>
        <v>1124168</v>
      </c>
      <c r="W137" s="190">
        <f t="shared" si="8"/>
        <v>1124168</v>
      </c>
      <c r="X137" s="190">
        <f t="shared" si="9"/>
        <v>13880238</v>
      </c>
    </row>
    <row r="138" spans="1:24" x14ac:dyDescent="0.25">
      <c r="A138" s="156">
        <v>2030</v>
      </c>
      <c r="B138" s="247" t="s">
        <v>13</v>
      </c>
      <c r="C138" s="247" t="s">
        <v>165</v>
      </c>
      <c r="D138" s="247" t="s">
        <v>133</v>
      </c>
      <c r="E138" s="249">
        <v>1</v>
      </c>
      <c r="F138" s="250">
        <f>SUMIFS('All Measure &amp; TRC+ Calc'!F:F,'All Measure &amp; TRC+ Calc'!$D:$D,$C138,'All Measure &amp; TRC+ Calc'!$B:$B,$A138)*$E138</f>
        <v>2280</v>
      </c>
      <c r="G138" s="250">
        <f>SUMIFS('All Measure &amp; TRC+ Calc'!AD:AD,'All Measure &amp; TRC+ Calc'!$D:$D,$C138,'All Measure &amp; TRC+ Calc'!$B:$B,$A138)*$E138</f>
        <v>3156997.038233825</v>
      </c>
      <c r="H138" s="250">
        <f>SUMIFS('All Measure &amp; TRC+ Calc'!AE:AE,'All Measure &amp; TRC+ Calc'!$D:$D,$C138,'All Measure &amp; TRC+ Calc'!$B:$B,$A138)*$E138</f>
        <v>2525597.63058706</v>
      </c>
      <c r="I138" s="250">
        <f>SUMIFS('All Measure &amp; TRC+ Calc'!AH:AH,'All Measure &amp; TRC+ Calc'!$D:$D,$C138,'All Measure &amp; TRC+ Calc'!$B:$B,$A138)*$E138</f>
        <v>4015145.2976585375</v>
      </c>
      <c r="J138" s="250">
        <f>SUMIFS('All Measure &amp; TRC+ Calc'!AI:AI,'All Measure &amp; TRC+ Calc'!$D:$D,$C138,'All Measure &amp; TRC+ Calc'!$B:$B,$A138)*$E138</f>
        <v>3212116.2381268297</v>
      </c>
      <c r="K138" s="250">
        <f>SUMIFS('All Measure &amp; TRC+ Calc'!AL:AL,'All Measure &amp; TRC+ Calc'!$D:$D,$C138,'All Measure &amp; TRC+ Calc'!$B:$B,$A138)*$E138</f>
        <v>458.34991982402966</v>
      </c>
      <c r="L138" s="250">
        <f>SUMIFS('All Measure &amp; TRC+ Calc'!AM:AM,'All Measure &amp; TRC+ Calc'!$D:$D,$C138,'All Measure &amp; TRC+ Calc'!$B:$B,$A138)*$E138</f>
        <v>366.6799358592238</v>
      </c>
      <c r="M138" s="250">
        <f>SUMIFS('All Measure &amp; TRC+ Calc'!AJ:AJ,'All Measure &amp; TRC+ Calc'!$D:$D,$C138,'All Measure &amp; TRC+ Calc'!$B:$B,$A138)*$E138</f>
        <v>174554.99183276467</v>
      </c>
      <c r="N138" s="250">
        <f>SUMIFS('All Measure &amp; TRC+ Calc'!AK:AK,'All Measure &amp; TRC+ Calc'!$D:$D,$C138,'All Measure &amp; TRC+ Calc'!$B:$B,$A138)*$E138</f>
        <v>139643.99346621174</v>
      </c>
      <c r="O138" s="250">
        <f>SUMIFS('All Measure &amp; TRC+ Calc'!AF:AF,'All Measure &amp; TRC+ Calc'!$D:$D,$C138,'All Measure &amp; TRC+ Calc'!$B:$B,$A138)*$E138</f>
        <v>39624502.556366876</v>
      </c>
      <c r="P138" s="250">
        <f>SUMIFS('All Measure &amp; TRC+ Calc'!AG:AG,'All Measure &amp; TRC+ Calc'!$D:$D,$C138,'All Measure &amp; TRC+ Calc'!$B:$B,$A138)*$E138</f>
        <v>31699602.045093495</v>
      </c>
      <c r="Q138" s="249">
        <v>1</v>
      </c>
      <c r="R138" s="190">
        <f>SUMIFS(Budget!$E:$E,Budget!$A:$A,$A138,Budget!$C:$C,$C138,Budget!$D:$D,R$7)*Summary[[#This Row],[Budget %  Adjustment]]</f>
        <v>2980583</v>
      </c>
      <c r="S138" s="190">
        <f>SUMIFS(Budget!$E:$E,Budget!$A:$A,$A138,Budget!$C:$C,$C138,Budget!$D:$D,S$7)*Summary[[#This Row],[Budget %  Adjustment]]</f>
        <v>386791</v>
      </c>
      <c r="T138" s="190">
        <f>SUMIFS(Budget!$E:$E,Budget!$A:$A,$A138,Budget!$C:$C,$C138,Budget!$D:$D,T$7)*Summary[[#This Row],[Budget %  Adjustment]]</f>
        <v>1241120</v>
      </c>
      <c r="U138" s="190">
        <f>SUMIFS(Budget!$E:$E,Budget!$A:$A,$A138,Budget!$C:$C,$C138,Budget!$D:$D,U$7)*Summary[[#This Row],[Budget %  Adjustment]]</f>
        <v>0</v>
      </c>
      <c r="V138" s="190">
        <f>Summary[[#This Row],[Promo]]+Summary[[#This Row],[Delivery]]</f>
        <v>1627911</v>
      </c>
      <c r="W138" s="190">
        <f t="shared" si="8"/>
        <v>1627911</v>
      </c>
      <c r="X138" s="190">
        <f t="shared" si="9"/>
        <v>4608494</v>
      </c>
    </row>
    <row r="139" spans="1:24" x14ac:dyDescent="0.25">
      <c r="A139" s="156">
        <v>2030</v>
      </c>
      <c r="B139" s="247" t="s">
        <v>13</v>
      </c>
      <c r="C139" s="247" t="s">
        <v>166</v>
      </c>
      <c r="D139" s="247" t="s">
        <v>133</v>
      </c>
      <c r="E139" s="249">
        <v>1</v>
      </c>
      <c r="F139" s="250">
        <f>SUMIFS('All Measure &amp; TRC+ Calc'!F:F,'All Measure &amp; TRC+ Calc'!$D:$D,$C139,'All Measure &amp; TRC+ Calc'!$B:$B,$A139)*$E139</f>
        <v>121</v>
      </c>
      <c r="G139" s="250">
        <f>SUMIFS('All Measure &amp; TRC+ Calc'!AD:AD,'All Measure &amp; TRC+ Calc'!$D:$D,$C139,'All Measure &amp; TRC+ Calc'!$B:$B,$A139)*$E139</f>
        <v>455919.92616375734</v>
      </c>
      <c r="H139" s="250">
        <f>SUMIFS('All Measure &amp; TRC+ Calc'!AE:AE,'All Measure &amp; TRC+ Calc'!$D:$D,$C139,'All Measure &amp; TRC+ Calc'!$B:$B,$A139)*$E139</f>
        <v>341939.94462281797</v>
      </c>
      <c r="I139" s="250">
        <f>SUMIFS('All Measure &amp; TRC+ Calc'!AH:AH,'All Measure &amp; TRC+ Calc'!$D:$D,$C139,'All Measure &amp; TRC+ Calc'!$B:$B,$A139)*$E139</f>
        <v>0</v>
      </c>
      <c r="J139" s="250">
        <f>SUMIFS('All Measure &amp; TRC+ Calc'!AI:AI,'All Measure &amp; TRC+ Calc'!$D:$D,$C139,'All Measure &amp; TRC+ Calc'!$B:$B,$A139)*$E139</f>
        <v>0</v>
      </c>
      <c r="K139" s="250">
        <f>SUMIFS('All Measure &amp; TRC+ Calc'!AL:AL,'All Measure &amp; TRC+ Calc'!$D:$D,$C139,'All Measure &amp; TRC+ Calc'!$B:$B,$A139)*$E139</f>
        <v>0</v>
      </c>
      <c r="L139" s="250">
        <f>SUMIFS('All Measure &amp; TRC+ Calc'!AM:AM,'All Measure &amp; TRC+ Calc'!$D:$D,$C139,'All Measure &amp; TRC+ Calc'!$B:$B,$A139)*$E139</f>
        <v>0</v>
      </c>
      <c r="M139" s="250">
        <f>SUMIFS('All Measure &amp; TRC+ Calc'!AJ:AJ,'All Measure &amp; TRC+ Calc'!$D:$D,$C139,'All Measure &amp; TRC+ Calc'!$B:$B,$A139)*$E139</f>
        <v>0</v>
      </c>
      <c r="N139" s="250">
        <f>SUMIFS('All Measure &amp; TRC+ Calc'!AK:AK,'All Measure &amp; TRC+ Calc'!$D:$D,$C139,'All Measure &amp; TRC+ Calc'!$B:$B,$A139)*$E139</f>
        <v>0</v>
      </c>
      <c r="O139" s="250">
        <f>SUMIFS('All Measure &amp; TRC+ Calc'!AF:AF,'All Measure &amp; TRC+ Calc'!$D:$D,$C139,'All Measure &amp; TRC+ Calc'!$B:$B,$A139)*$E139</f>
        <v>2279599.6308187866</v>
      </c>
      <c r="P139" s="250">
        <f>SUMIFS('All Measure &amp; TRC+ Calc'!AG:AG,'All Measure &amp; TRC+ Calc'!$D:$D,$C139,'All Measure &amp; TRC+ Calc'!$B:$B,$A139)*$E139</f>
        <v>1709699.7231140898</v>
      </c>
      <c r="Q139" s="249">
        <v>1</v>
      </c>
      <c r="R139" s="190">
        <f>SUMIFS(Budget!$E:$E,Budget!$A:$A,$A139,Budget!$C:$C,$C139,Budget!$D:$D,R$7)*Summary[[#This Row],[Budget %  Adjustment]]</f>
        <v>452477</v>
      </c>
      <c r="S139" s="190">
        <f>SUMIFS(Budget!$E:$E,Budget!$A:$A,$A139,Budget!$C:$C,$C139,Budget!$D:$D,S$7)*Summary[[#This Row],[Budget %  Adjustment]]</f>
        <v>105250</v>
      </c>
      <c r="T139" s="190">
        <f>SUMIFS(Budget!$E:$E,Budget!$A:$A,$A139,Budget!$C:$C,$C139,Budget!$D:$D,T$7)*Summary[[#This Row],[Budget %  Adjustment]]</f>
        <v>238564</v>
      </c>
      <c r="U139" s="190">
        <f>SUMIFS(Budget!$E:$E,Budget!$A:$A,$A139,Budget!$C:$C,$C139,Budget!$D:$D,U$7)*Summary[[#This Row],[Budget %  Adjustment]]</f>
        <v>0</v>
      </c>
      <c r="V139" s="190">
        <f>Summary[[#This Row],[Promo]]+Summary[[#This Row],[Delivery]]</f>
        <v>343814</v>
      </c>
      <c r="W139" s="190">
        <f t="shared" si="8"/>
        <v>343814</v>
      </c>
      <c r="X139" s="190">
        <f t="shared" si="9"/>
        <v>796291</v>
      </c>
    </row>
    <row r="140" spans="1:24" x14ac:dyDescent="0.25">
      <c r="A140" s="156">
        <v>2030</v>
      </c>
      <c r="B140" s="247" t="s">
        <v>13</v>
      </c>
      <c r="C140" s="247" t="s">
        <v>167</v>
      </c>
      <c r="D140" s="247" t="s">
        <v>133</v>
      </c>
      <c r="E140" s="249">
        <v>1</v>
      </c>
      <c r="F140" s="250">
        <f>SUMIFS('All Measure &amp; TRC+ Calc'!F:F,'All Measure &amp; TRC+ Calc'!$D:$D,$C140,'All Measure &amp; TRC+ Calc'!$B:$B,$A140)*$E140</f>
        <v>352</v>
      </c>
      <c r="G140" s="250">
        <f>SUMIFS('All Measure &amp; TRC+ Calc'!AD:AD,'All Measure &amp; TRC+ Calc'!$D:$D,$C140,'All Measure &amp; TRC+ Calc'!$B:$B,$A140)*$E140</f>
        <v>224606</v>
      </c>
      <c r="H140" s="250">
        <f>SUMIFS('All Measure &amp; TRC+ Calc'!AE:AE,'All Measure &amp; TRC+ Calc'!$D:$D,$C140,'All Measure &amp; TRC+ Calc'!$B:$B,$A140)*$E140</f>
        <v>179684.8</v>
      </c>
      <c r="I140" s="250">
        <f>SUMIFS('All Measure &amp; TRC+ Calc'!AH:AH,'All Measure &amp; TRC+ Calc'!$D:$D,$C140,'All Measure &amp; TRC+ Calc'!$B:$B,$A140)*$E140</f>
        <v>-617011.04</v>
      </c>
      <c r="J140" s="250">
        <f>SUMIFS('All Measure &amp; TRC+ Calc'!AI:AI,'All Measure &amp; TRC+ Calc'!$D:$D,$C140,'All Measure &amp; TRC+ Calc'!$B:$B,$A140)*$E140</f>
        <v>-493608.83199999999</v>
      </c>
      <c r="K140" s="250">
        <f>SUMIFS('All Measure &amp; TRC+ Calc'!AL:AL,'All Measure &amp; TRC+ Calc'!$D:$D,$C140,'All Measure &amp; TRC+ Calc'!$B:$B,$A140)*$E140</f>
        <v>10.119137462043421</v>
      </c>
      <c r="L140" s="250">
        <f>SUMIFS('All Measure &amp; TRC+ Calc'!AM:AM,'All Measure &amp; TRC+ Calc'!$D:$D,$C140,'All Measure &amp; TRC+ Calc'!$B:$B,$A140)*$E140</f>
        <v>8.0953099696347355</v>
      </c>
      <c r="M140" s="250">
        <f>SUMIFS('All Measure &amp; TRC+ Calc'!AJ:AJ,'All Measure &amp; TRC+ Calc'!$D:$D,$C140,'All Measure &amp; TRC+ Calc'!$B:$B,$A140)*$E140</f>
        <v>0</v>
      </c>
      <c r="N140" s="250">
        <f>SUMIFS('All Measure &amp; TRC+ Calc'!AK:AK,'All Measure &amp; TRC+ Calc'!$D:$D,$C140,'All Measure &amp; TRC+ Calc'!$B:$B,$A140)*$E140</f>
        <v>0</v>
      </c>
      <c r="O140" s="250">
        <f>SUMIFS('All Measure &amp; TRC+ Calc'!AF:AF,'All Measure &amp; TRC+ Calc'!$D:$D,$C140,'All Measure &amp; TRC+ Calc'!$B:$B,$A140)*$E140</f>
        <v>3917036</v>
      </c>
      <c r="P140" s="250">
        <f>SUMIFS('All Measure &amp; TRC+ Calc'!AG:AG,'All Measure &amp; TRC+ Calc'!$D:$D,$C140,'All Measure &amp; TRC+ Calc'!$B:$B,$A140)*$E140</f>
        <v>3133628.8</v>
      </c>
      <c r="Q140" s="249">
        <v>1</v>
      </c>
      <c r="R140" s="190">
        <f>SUMIFS(Budget!$E:$E,Budget!$A:$A,$A140,Budget!$C:$C,$C140,Budget!$D:$D,R$7)*Summary[[#This Row],[Budget %  Adjustment]]</f>
        <v>427856</v>
      </c>
      <c r="S140" s="190">
        <f>SUMIFS(Budget!$E:$E,Budget!$A:$A,$A140,Budget!$C:$C,$C140,Budget!$D:$D,S$7)*Summary[[#This Row],[Budget %  Adjustment]]</f>
        <v>78937</v>
      </c>
      <c r="T140" s="190">
        <f>SUMIFS(Budget!$E:$E,Budget!$A:$A,$A140,Budget!$C:$C,$C140,Budget!$D:$D,T$7)*Summary[[#This Row],[Budget %  Adjustment]]</f>
        <v>75352</v>
      </c>
      <c r="U140" s="190">
        <f>SUMIFS(Budget!$E:$E,Budget!$A:$A,$A140,Budget!$C:$C,$C140,Budget!$D:$D,U$7)*Summary[[#This Row],[Budget %  Adjustment]]</f>
        <v>0</v>
      </c>
      <c r="V140" s="190">
        <f>Summary[[#This Row],[Promo]]+Summary[[#This Row],[Delivery]]</f>
        <v>154289</v>
      </c>
      <c r="W140" s="190">
        <f t="shared" si="8"/>
        <v>154289</v>
      </c>
      <c r="X140" s="190">
        <f t="shared" si="9"/>
        <v>582145</v>
      </c>
    </row>
    <row r="141" spans="1:24" x14ac:dyDescent="0.25">
      <c r="A141" s="156">
        <v>2030</v>
      </c>
      <c r="B141" s="247" t="s">
        <v>13</v>
      </c>
      <c r="C141" s="247" t="s">
        <v>168</v>
      </c>
      <c r="D141" s="247" t="s">
        <v>256</v>
      </c>
      <c r="E141" s="249">
        <v>1</v>
      </c>
      <c r="F141" s="250">
        <f>SUMIFS('All Measure &amp; TRC+ Calc'!F:F,'All Measure &amp; TRC+ Calc'!$D:$D,$C141,'All Measure &amp; TRC+ Calc'!$B:$B,$A141)*$E141</f>
        <v>0</v>
      </c>
      <c r="G141" s="250">
        <f>SUMIFS('All Measure &amp; TRC+ Calc'!AD:AD,'All Measure &amp; TRC+ Calc'!$D:$D,$C141,'All Measure &amp; TRC+ Calc'!$B:$B,$A141)*$E141</f>
        <v>0</v>
      </c>
      <c r="H141" s="250">
        <f>SUMIFS('All Measure &amp; TRC+ Calc'!AE:AE,'All Measure &amp; TRC+ Calc'!$D:$D,$C141,'All Measure &amp; TRC+ Calc'!$B:$B,$A141)*$E141</f>
        <v>0</v>
      </c>
      <c r="I141" s="250">
        <f>SUMIFS('All Measure &amp; TRC+ Calc'!AH:AH,'All Measure &amp; TRC+ Calc'!$D:$D,$C141,'All Measure &amp; TRC+ Calc'!$B:$B,$A141)*$E141</f>
        <v>0</v>
      </c>
      <c r="J141" s="250">
        <f>SUMIFS('All Measure &amp; TRC+ Calc'!AI:AI,'All Measure &amp; TRC+ Calc'!$D:$D,$C141,'All Measure &amp; TRC+ Calc'!$B:$B,$A141)*$E141</f>
        <v>0</v>
      </c>
      <c r="K141" s="250">
        <f>SUMIFS('All Measure &amp; TRC+ Calc'!AL:AL,'All Measure &amp; TRC+ Calc'!$D:$D,$C141,'All Measure &amp; TRC+ Calc'!$B:$B,$A141)*$E141</f>
        <v>0</v>
      </c>
      <c r="L141" s="250">
        <f>SUMIFS('All Measure &amp; TRC+ Calc'!AM:AM,'All Measure &amp; TRC+ Calc'!$D:$D,$C141,'All Measure &amp; TRC+ Calc'!$B:$B,$A141)*$E141</f>
        <v>0</v>
      </c>
      <c r="M141" s="250">
        <f>SUMIFS('All Measure &amp; TRC+ Calc'!AJ:AJ,'All Measure &amp; TRC+ Calc'!$D:$D,$C141,'All Measure &amp; TRC+ Calc'!$B:$B,$A141)*$E141</f>
        <v>0</v>
      </c>
      <c r="N141" s="250">
        <f>SUMIFS('All Measure &amp; TRC+ Calc'!AK:AK,'All Measure &amp; TRC+ Calc'!$D:$D,$C141,'All Measure &amp; TRC+ Calc'!$B:$B,$A141)*$E141</f>
        <v>0</v>
      </c>
      <c r="O141" s="250">
        <f>SUMIFS('All Measure &amp; TRC+ Calc'!AF:AF,'All Measure &amp; TRC+ Calc'!$D:$D,$C141,'All Measure &amp; TRC+ Calc'!$B:$B,$A141)*$E141</f>
        <v>0</v>
      </c>
      <c r="P141" s="250">
        <f>SUMIFS('All Measure &amp; TRC+ Calc'!AG:AG,'All Measure &amp; TRC+ Calc'!$D:$D,$C141,'All Measure &amp; TRC+ Calc'!$B:$B,$A141)*$E141</f>
        <v>0</v>
      </c>
      <c r="Q141" s="249">
        <v>1</v>
      </c>
      <c r="R141" s="190">
        <f>SUMIFS(Budget!$E:$E,Budget!$A:$A,$A141,Budget!$C:$C,$C141,Budget!$D:$D,R$7)*Summary[[#This Row],[Budget %  Adjustment]]</f>
        <v>530604</v>
      </c>
      <c r="S141" s="190">
        <f>SUMIFS(Budget!$E:$E,Budget!$A:$A,$A141,Budget!$C:$C,$C141,Budget!$D:$D,S$7)*Summary[[#This Row],[Budget %  Adjustment]]</f>
        <v>31575</v>
      </c>
      <c r="T141" s="190">
        <f>SUMIFS(Budget!$E:$E,Budget!$A:$A,$A141,Budget!$C:$C,$C141,Budget!$D:$D,T$7)*Summary[[#This Row],[Budget %  Adjustment]]</f>
        <v>263123</v>
      </c>
      <c r="U141" s="190">
        <f>SUMIFS(Budget!$E:$E,Budget!$A:$A,$A141,Budget!$C:$C,$C141,Budget!$D:$D,U$7)*Summary[[#This Row],[Budget %  Adjustment]]</f>
        <v>0</v>
      </c>
      <c r="V141" s="190">
        <f>Summary[[#This Row],[Promo]]+Summary[[#This Row],[Delivery]]</f>
        <v>294698</v>
      </c>
      <c r="W141" s="190">
        <f t="shared" si="8"/>
        <v>294698</v>
      </c>
      <c r="X141" s="190">
        <f t="shared" si="9"/>
        <v>825302</v>
      </c>
    </row>
    <row r="142" spans="1:24" x14ac:dyDescent="0.25">
      <c r="A142" s="156">
        <v>2030</v>
      </c>
      <c r="B142" s="247" t="s">
        <v>13</v>
      </c>
      <c r="C142" s="247" t="s">
        <v>18</v>
      </c>
      <c r="D142" s="247" t="s">
        <v>256</v>
      </c>
      <c r="E142" s="249">
        <v>1</v>
      </c>
      <c r="F142" s="250">
        <f>SUMIFS('All Measure &amp; TRC+ Calc'!F:F,'All Measure &amp; TRC+ Calc'!$D:$D,$C142,'All Measure &amp; TRC+ Calc'!$B:$B,$A142)*$E142</f>
        <v>0</v>
      </c>
      <c r="G142" s="250">
        <f>SUMIFS('All Measure &amp; TRC+ Calc'!AD:AD,'All Measure &amp; TRC+ Calc'!$D:$D,$C142,'All Measure &amp; TRC+ Calc'!$B:$B,$A142)*$E142</f>
        <v>0</v>
      </c>
      <c r="H142" s="250">
        <f>SUMIFS('All Measure &amp; TRC+ Calc'!AE:AE,'All Measure &amp; TRC+ Calc'!$D:$D,$C142,'All Measure &amp; TRC+ Calc'!$B:$B,$A142)*$E142</f>
        <v>0</v>
      </c>
      <c r="I142" s="250">
        <f>SUMIFS('All Measure &amp; TRC+ Calc'!AH:AH,'All Measure &amp; TRC+ Calc'!$D:$D,$C142,'All Measure &amp; TRC+ Calc'!$B:$B,$A142)*$E142</f>
        <v>0</v>
      </c>
      <c r="J142" s="250">
        <f>SUMIFS('All Measure &amp; TRC+ Calc'!AI:AI,'All Measure &amp; TRC+ Calc'!$D:$D,$C142,'All Measure &amp; TRC+ Calc'!$B:$B,$A142)*$E142</f>
        <v>0</v>
      </c>
      <c r="K142" s="250">
        <f>SUMIFS('All Measure &amp; TRC+ Calc'!AL:AL,'All Measure &amp; TRC+ Calc'!$D:$D,$C142,'All Measure &amp; TRC+ Calc'!$B:$B,$A142)*$E142</f>
        <v>0</v>
      </c>
      <c r="L142" s="250">
        <f>SUMIFS('All Measure &amp; TRC+ Calc'!AM:AM,'All Measure &amp; TRC+ Calc'!$D:$D,$C142,'All Measure &amp; TRC+ Calc'!$B:$B,$A142)*$E142</f>
        <v>0</v>
      </c>
      <c r="M142" s="250">
        <f>SUMIFS('All Measure &amp; TRC+ Calc'!AJ:AJ,'All Measure &amp; TRC+ Calc'!$D:$D,$C142,'All Measure &amp; TRC+ Calc'!$B:$B,$A142)*$E142</f>
        <v>0</v>
      </c>
      <c r="N142" s="250">
        <f>SUMIFS('All Measure &amp; TRC+ Calc'!AK:AK,'All Measure &amp; TRC+ Calc'!$D:$D,$C142,'All Measure &amp; TRC+ Calc'!$B:$B,$A142)*$E142</f>
        <v>0</v>
      </c>
      <c r="O142" s="250">
        <f>SUMIFS('All Measure &amp; TRC+ Calc'!AF:AF,'All Measure &amp; TRC+ Calc'!$D:$D,$C142,'All Measure &amp; TRC+ Calc'!$B:$B,$A142)*$E142</f>
        <v>0</v>
      </c>
      <c r="P142" s="250">
        <f>SUMIFS('All Measure &amp; TRC+ Calc'!AG:AG,'All Measure &amp; TRC+ Calc'!$D:$D,$C142,'All Measure &amp; TRC+ Calc'!$B:$B,$A142)*$E142</f>
        <v>0</v>
      </c>
      <c r="Q142" s="249">
        <v>1</v>
      </c>
      <c r="R142" s="190">
        <f>SUMIFS(Budget!$E:$E,Budget!$A:$A,$A142,Budget!$C:$C,$C142,Budget!$D:$D,R$7)*Summary[[#This Row],[Budget %  Adjustment]]</f>
        <v>1910174</v>
      </c>
      <c r="S142" s="190">
        <f>SUMIFS(Budget!$E:$E,Budget!$A:$A,$A142,Budget!$C:$C,$C142,Budget!$D:$D,S$7)*Summary[[#This Row],[Budget %  Adjustment]]</f>
        <v>42100</v>
      </c>
      <c r="T142" s="190">
        <f>SUMIFS(Budget!$E:$E,Budget!$A:$A,$A142,Budget!$C:$C,$C142,Budget!$D:$D,T$7)*Summary[[#This Row],[Budget %  Adjustment]]</f>
        <v>168399</v>
      </c>
      <c r="U142" s="190">
        <f>SUMIFS(Budget!$E:$E,Budget!$A:$A,$A142,Budget!$C:$C,$C142,Budget!$D:$D,U$7)*Summary[[#This Row],[Budget %  Adjustment]]</f>
        <v>0</v>
      </c>
      <c r="V142" s="190">
        <f>Summary[[#This Row],[Promo]]+Summary[[#This Row],[Delivery]]</f>
        <v>210499</v>
      </c>
      <c r="W142" s="190">
        <f t="shared" si="8"/>
        <v>210499</v>
      </c>
      <c r="X142" s="190">
        <f t="shared" si="9"/>
        <v>2120673</v>
      </c>
    </row>
    <row r="143" spans="1:24" x14ac:dyDescent="0.25">
      <c r="A143" s="156">
        <v>2030</v>
      </c>
      <c r="B143" s="247" t="s">
        <v>13</v>
      </c>
      <c r="C143" s="247" t="s">
        <v>19</v>
      </c>
      <c r="D143" s="247" t="s">
        <v>19</v>
      </c>
      <c r="E143" s="249">
        <v>1</v>
      </c>
      <c r="F143" s="250">
        <f>SUMIFS('All Measure &amp; TRC+ Calc'!F:F,'All Measure &amp; TRC+ Calc'!$D:$D,$C143,'All Measure &amp; TRC+ Calc'!$B:$B,$A143)*$E143</f>
        <v>0</v>
      </c>
      <c r="G143" s="250">
        <f>SUMIFS('All Measure &amp; TRC+ Calc'!AD:AD,'All Measure &amp; TRC+ Calc'!$D:$D,$C143,'All Measure &amp; TRC+ Calc'!$B:$B,$A143)*$E143</f>
        <v>0</v>
      </c>
      <c r="H143" s="250">
        <f>SUMIFS('All Measure &amp; TRC+ Calc'!AE:AE,'All Measure &amp; TRC+ Calc'!$D:$D,$C143,'All Measure &amp; TRC+ Calc'!$B:$B,$A143)*$E143</f>
        <v>0</v>
      </c>
      <c r="I143" s="250">
        <f>SUMIFS('All Measure &amp; TRC+ Calc'!AH:AH,'All Measure &amp; TRC+ Calc'!$D:$D,$C143,'All Measure &amp; TRC+ Calc'!$B:$B,$A143)*$E143</f>
        <v>0</v>
      </c>
      <c r="J143" s="250">
        <f>SUMIFS('All Measure &amp; TRC+ Calc'!AI:AI,'All Measure &amp; TRC+ Calc'!$D:$D,$C143,'All Measure &amp; TRC+ Calc'!$B:$B,$A143)*$E143</f>
        <v>0</v>
      </c>
      <c r="K143" s="250">
        <f>SUMIFS('All Measure &amp; TRC+ Calc'!AL:AL,'All Measure &amp; TRC+ Calc'!$D:$D,$C143,'All Measure &amp; TRC+ Calc'!$B:$B,$A143)*$E143</f>
        <v>0</v>
      </c>
      <c r="L143" s="250">
        <f>SUMIFS('All Measure &amp; TRC+ Calc'!AM:AM,'All Measure &amp; TRC+ Calc'!$D:$D,$C143,'All Measure &amp; TRC+ Calc'!$B:$B,$A143)*$E143</f>
        <v>0</v>
      </c>
      <c r="M143" s="250">
        <f>SUMIFS('All Measure &amp; TRC+ Calc'!AJ:AJ,'All Measure &amp; TRC+ Calc'!$D:$D,$C143,'All Measure &amp; TRC+ Calc'!$B:$B,$A143)*$E143</f>
        <v>0</v>
      </c>
      <c r="N143" s="250">
        <f>SUMIFS('All Measure &amp; TRC+ Calc'!AK:AK,'All Measure &amp; TRC+ Calc'!$D:$D,$C143,'All Measure &amp; TRC+ Calc'!$B:$B,$A143)*$E143</f>
        <v>0</v>
      </c>
      <c r="O143" s="250">
        <f>SUMIFS('All Measure &amp; TRC+ Calc'!AF:AF,'All Measure &amp; TRC+ Calc'!$D:$D,$C143,'All Measure &amp; TRC+ Calc'!$B:$B,$A143)*$E143</f>
        <v>0</v>
      </c>
      <c r="P143" s="250">
        <f>SUMIFS('All Measure &amp; TRC+ Calc'!AG:AG,'All Measure &amp; TRC+ Calc'!$D:$D,$C143,'All Measure &amp; TRC+ Calc'!$B:$B,$A143)*$E143</f>
        <v>0</v>
      </c>
      <c r="Q143" s="249">
        <v>1</v>
      </c>
      <c r="R143" s="190">
        <f>SUMIFS(Budget!$E:$E,Budget!$A:$A,$A143,Budget!$C:$C,$C143,Budget!$D:$D,R$7)*Summary[[#This Row],[Budget %  Adjustment]]</f>
        <v>0</v>
      </c>
      <c r="S143" s="190">
        <f>SUMIFS(Budget!$E:$E,Budget!$A:$A,$A143,Budget!$C:$C,$C143,Budget!$D:$D,S$7)*Summary[[#This Row],[Budget %  Adjustment]]</f>
        <v>0</v>
      </c>
      <c r="T143" s="190">
        <f>SUMIFS(Budget!$E:$E,Budget!$A:$A,$A143,Budget!$C:$C,$C143,Budget!$D:$D,T$7)*Summary[[#This Row],[Budget %  Adjustment]]</f>
        <v>0</v>
      </c>
      <c r="U143" s="190">
        <f>SUMIFS(Budget!$E:$E,Budget!$A:$A,$A143,Budget!$C:$C,$C143,Budget!$D:$D,U$7)*Summary[[#This Row],[Budget %  Adjustment]]</f>
        <v>5817283</v>
      </c>
      <c r="V143" s="190">
        <f>Summary[[#This Row],[Promo]]+Summary[[#This Row],[Delivery]]</f>
        <v>0</v>
      </c>
      <c r="W143" s="190">
        <f t="shared" si="8"/>
        <v>5817283</v>
      </c>
      <c r="X143" s="190">
        <f t="shared" si="9"/>
        <v>5817283</v>
      </c>
    </row>
    <row r="144" spans="1:24" x14ac:dyDescent="0.25">
      <c r="A144" s="156">
        <v>2030</v>
      </c>
      <c r="B144" s="247" t="s">
        <v>14</v>
      </c>
      <c r="C144" s="247" t="s">
        <v>8</v>
      </c>
      <c r="D144" s="247" t="s">
        <v>133</v>
      </c>
      <c r="E144" s="249">
        <v>1</v>
      </c>
      <c r="F144" s="250">
        <f>SUMIFS('All Measure &amp; TRC+ Calc'!F:F,'All Measure &amp; TRC+ Calc'!$D:$D,$C144,'All Measure &amp; TRC+ Calc'!$B:$B,$A144)*$E144</f>
        <v>335</v>
      </c>
      <c r="G144" s="250">
        <f>SUMIFS('All Measure &amp; TRC+ Calc'!AD:AD,'All Measure &amp; TRC+ Calc'!$D:$D,$C144,'All Measure &amp; TRC+ Calc'!$B:$B,$A144)*$E144</f>
        <v>89678881.980595022</v>
      </c>
      <c r="H144" s="250">
        <f>SUMIFS('All Measure &amp; TRC+ Calc'!AE:AE,'All Measure &amp; TRC+ Calc'!$D:$D,$C144,'All Measure &amp; TRC+ Calc'!$B:$B,$A144)*$E144</f>
        <v>62775217.38641651</v>
      </c>
      <c r="I144" s="250">
        <f>SUMIFS('All Measure &amp; TRC+ Calc'!AH:AH,'All Measure &amp; TRC+ Calc'!$D:$D,$C144,'All Measure &amp; TRC+ Calc'!$B:$B,$A144)*$E144</f>
        <v>210444.92846720002</v>
      </c>
      <c r="J144" s="250">
        <f>SUMIFS('All Measure &amp; TRC+ Calc'!AI:AI,'All Measure &amp; TRC+ Calc'!$D:$D,$C144,'All Measure &amp; TRC+ Calc'!$B:$B,$A144)*$E144</f>
        <v>147311.44992704</v>
      </c>
      <c r="K144" s="250">
        <f>SUMIFS('All Measure &amp; TRC+ Calc'!AL:AL,'All Measure &amp; TRC+ Calc'!$D:$D,$C144,'All Measure &amp; TRC+ Calc'!$B:$B,$A144)*$E144</f>
        <v>41.357921147950584</v>
      </c>
      <c r="L144" s="250">
        <f>SUMIFS('All Measure &amp; TRC+ Calc'!AM:AM,'All Measure &amp; TRC+ Calc'!$D:$D,$C144,'All Measure &amp; TRC+ Calc'!$B:$B,$A144)*$E144</f>
        <v>28.950544803565414</v>
      </c>
      <c r="M144" s="250">
        <f>SUMIFS('All Measure &amp; TRC+ Calc'!AJ:AJ,'All Measure &amp; TRC+ Calc'!$D:$D,$C144,'All Measure &amp; TRC+ Calc'!$B:$B,$A144)*$E144</f>
        <v>3868.401229908</v>
      </c>
      <c r="N144" s="250">
        <f>SUMIFS('All Measure &amp; TRC+ Calc'!AK:AK,'All Measure &amp; TRC+ Calc'!$D:$D,$C144,'All Measure &amp; TRC+ Calc'!$B:$B,$A144)*$E144</f>
        <v>2707.8808609356001</v>
      </c>
      <c r="O144" s="250">
        <f>SUMIFS('All Measure &amp; TRC+ Calc'!AF:AF,'All Measure &amp; TRC+ Calc'!$D:$D,$C144,'All Measure &amp; TRC+ Calc'!$B:$B,$A144)*$E144</f>
        <v>1468566460.8181081</v>
      </c>
      <c r="P144" s="250">
        <f>SUMIFS('All Measure &amp; TRC+ Calc'!AG:AG,'All Measure &amp; TRC+ Calc'!$D:$D,$C144,'All Measure &amp; TRC+ Calc'!$B:$B,$A144)*$E144</f>
        <v>1027996522.5726756</v>
      </c>
      <c r="Q144" s="249">
        <v>1</v>
      </c>
      <c r="R144" s="190">
        <f>SUMIFS(Budget!$E:$E,Budget!$A:$A,$A144,Budget!$C:$C,$C144,Budget!$D:$D,R$7)*Summary[[#This Row],[Budget %  Adjustment]]</f>
        <v>22410897</v>
      </c>
      <c r="S144" s="190">
        <f>SUMIFS(Budget!$E:$E,Budget!$A:$A,$A144,Budget!$C:$C,$C144,Budget!$D:$D,S$7)*Summary[[#This Row],[Budget %  Adjustment]]</f>
        <v>915670</v>
      </c>
      <c r="T144" s="190">
        <f>SUMIFS(Budget!$E:$E,Budget!$A:$A,$A144,Budget!$C:$C,$C144,Budget!$D:$D,T$7)*Summary[[#This Row],[Budget %  Adjustment]]</f>
        <v>105249</v>
      </c>
      <c r="U144" s="190">
        <f>SUMIFS(Budget!$E:$E,Budget!$A:$A,$A144,Budget!$C:$C,$C144,Budget!$D:$D,U$7)*Summary[[#This Row],[Budget %  Adjustment]]</f>
        <v>0</v>
      </c>
      <c r="V144" s="190">
        <f>Summary[[#This Row],[Promo]]+Summary[[#This Row],[Delivery]]</f>
        <v>1020919</v>
      </c>
      <c r="W144" s="190">
        <f t="shared" si="8"/>
        <v>1020919</v>
      </c>
      <c r="X144" s="190">
        <f t="shared" si="9"/>
        <v>23431816</v>
      </c>
    </row>
    <row r="145" spans="1:24" x14ac:dyDescent="0.25">
      <c r="A145" s="156">
        <v>2030</v>
      </c>
      <c r="B145" s="247" t="s">
        <v>14</v>
      </c>
      <c r="C145" s="247" t="s">
        <v>169</v>
      </c>
      <c r="D145" s="247" t="s">
        <v>133</v>
      </c>
      <c r="E145" s="249">
        <v>1</v>
      </c>
      <c r="F145" s="250">
        <f>SUMIFS('All Measure &amp; TRC+ Calc'!F:F,'All Measure &amp; TRC+ Calc'!$D:$D,$C145,'All Measure &amp; TRC+ Calc'!$B:$B,$A145)*$E145</f>
        <v>0</v>
      </c>
      <c r="G145" s="250">
        <f>SUMIFS('All Measure &amp; TRC+ Calc'!AD:AD,'All Measure &amp; TRC+ Calc'!$D:$D,$C145,'All Measure &amp; TRC+ Calc'!$B:$B,$A145)*$E145</f>
        <v>0</v>
      </c>
      <c r="H145" s="250">
        <f>SUMIFS('All Measure &amp; TRC+ Calc'!AE:AE,'All Measure &amp; TRC+ Calc'!$D:$D,$C145,'All Measure &amp; TRC+ Calc'!$B:$B,$A145)*$E145</f>
        <v>0</v>
      </c>
      <c r="I145" s="250">
        <f>SUMIFS('All Measure &amp; TRC+ Calc'!AH:AH,'All Measure &amp; TRC+ Calc'!$D:$D,$C145,'All Measure &amp; TRC+ Calc'!$B:$B,$A145)*$E145</f>
        <v>0</v>
      </c>
      <c r="J145" s="250">
        <f>SUMIFS('All Measure &amp; TRC+ Calc'!AI:AI,'All Measure &amp; TRC+ Calc'!$D:$D,$C145,'All Measure &amp; TRC+ Calc'!$B:$B,$A145)*$E145</f>
        <v>0</v>
      </c>
      <c r="K145" s="250">
        <f>SUMIFS('All Measure &amp; TRC+ Calc'!AL:AL,'All Measure &amp; TRC+ Calc'!$D:$D,$C145,'All Measure &amp; TRC+ Calc'!$B:$B,$A145)*$E145</f>
        <v>0</v>
      </c>
      <c r="L145" s="250">
        <f>SUMIFS('All Measure &amp; TRC+ Calc'!AM:AM,'All Measure &amp; TRC+ Calc'!$D:$D,$C145,'All Measure &amp; TRC+ Calc'!$B:$B,$A145)*$E145</f>
        <v>0</v>
      </c>
      <c r="M145" s="250">
        <f>SUMIFS('All Measure &amp; TRC+ Calc'!AJ:AJ,'All Measure &amp; TRC+ Calc'!$D:$D,$C145,'All Measure &amp; TRC+ Calc'!$B:$B,$A145)*$E145</f>
        <v>0</v>
      </c>
      <c r="N145" s="250">
        <f>SUMIFS('All Measure &amp; TRC+ Calc'!AK:AK,'All Measure &amp; TRC+ Calc'!$D:$D,$C145,'All Measure &amp; TRC+ Calc'!$B:$B,$A145)*$E145</f>
        <v>0</v>
      </c>
      <c r="O145" s="250">
        <f>SUMIFS('All Measure &amp; TRC+ Calc'!AF:AF,'All Measure &amp; TRC+ Calc'!$D:$D,$C145,'All Measure &amp; TRC+ Calc'!$B:$B,$A145)*$E145</f>
        <v>0</v>
      </c>
      <c r="P145" s="250">
        <f>SUMIFS('All Measure &amp; TRC+ Calc'!AG:AG,'All Measure &amp; TRC+ Calc'!$D:$D,$C145,'All Measure &amp; TRC+ Calc'!$B:$B,$A145)*$E145</f>
        <v>0</v>
      </c>
      <c r="Q145" s="249">
        <v>1</v>
      </c>
      <c r="R145" s="190">
        <f>SUMIFS(Budget!$E:$E,Budget!$A:$A,$A145,Budget!$C:$C,$C145,Budget!$D:$D,R$7)*Summary[[#This Row],[Budget %  Adjustment]]</f>
        <v>0</v>
      </c>
      <c r="S145" s="190">
        <f>SUMIFS(Budget!$E:$E,Budget!$A:$A,$A145,Budget!$C:$C,$C145,Budget!$D:$D,S$7)*Summary[[#This Row],[Budget %  Adjustment]]</f>
        <v>0</v>
      </c>
      <c r="T145" s="190">
        <f>SUMIFS(Budget!$E:$E,Budget!$A:$A,$A145,Budget!$C:$C,$C145,Budget!$D:$D,T$7)*Summary[[#This Row],[Budget %  Adjustment]]</f>
        <v>0</v>
      </c>
      <c r="U145" s="190">
        <f>SUMIFS(Budget!$E:$E,Budget!$A:$A,$A145,Budget!$C:$C,$C145,Budget!$D:$D,U$7)*Summary[[#This Row],[Budget %  Adjustment]]</f>
        <v>0</v>
      </c>
      <c r="V145" s="190">
        <f>Summary[[#This Row],[Promo]]+Summary[[#This Row],[Delivery]]</f>
        <v>0</v>
      </c>
      <c r="W145" s="190">
        <f t="shared" si="8"/>
        <v>0</v>
      </c>
      <c r="X145" s="190">
        <f t="shared" si="9"/>
        <v>0</v>
      </c>
    </row>
    <row r="146" spans="1:24" x14ac:dyDescent="0.25">
      <c r="A146" s="156">
        <v>2030</v>
      </c>
      <c r="B146" s="247" t="s">
        <v>14</v>
      </c>
      <c r="C146" s="247" t="s">
        <v>170</v>
      </c>
      <c r="D146" s="247" t="s">
        <v>133</v>
      </c>
      <c r="E146" s="249">
        <v>1</v>
      </c>
      <c r="F146" s="250">
        <f>SUMIFS('All Measure &amp; TRC+ Calc'!F:F,'All Measure &amp; TRC+ Calc'!$D:$D,$C146,'All Measure &amp; TRC+ Calc'!$B:$B,$A146)*$E146</f>
        <v>0</v>
      </c>
      <c r="G146" s="250">
        <f>SUMIFS('All Measure &amp; TRC+ Calc'!AD:AD,'All Measure &amp; TRC+ Calc'!$D:$D,$C146,'All Measure &amp; TRC+ Calc'!$B:$B,$A146)*$E146</f>
        <v>0</v>
      </c>
      <c r="H146" s="250">
        <f>SUMIFS('All Measure &amp; TRC+ Calc'!AE:AE,'All Measure &amp; TRC+ Calc'!$D:$D,$C146,'All Measure &amp; TRC+ Calc'!$B:$B,$A146)*$E146</f>
        <v>0</v>
      </c>
      <c r="I146" s="250">
        <f>SUMIFS('All Measure &amp; TRC+ Calc'!AH:AH,'All Measure &amp; TRC+ Calc'!$D:$D,$C146,'All Measure &amp; TRC+ Calc'!$B:$B,$A146)*$E146</f>
        <v>0</v>
      </c>
      <c r="J146" s="250">
        <f>SUMIFS('All Measure &amp; TRC+ Calc'!AI:AI,'All Measure &amp; TRC+ Calc'!$D:$D,$C146,'All Measure &amp; TRC+ Calc'!$B:$B,$A146)*$E146</f>
        <v>0</v>
      </c>
      <c r="K146" s="250">
        <f>SUMIFS('All Measure &amp; TRC+ Calc'!AL:AL,'All Measure &amp; TRC+ Calc'!$D:$D,$C146,'All Measure &amp; TRC+ Calc'!$B:$B,$A146)*$E146</f>
        <v>0</v>
      </c>
      <c r="L146" s="250">
        <f>SUMIFS('All Measure &amp; TRC+ Calc'!AM:AM,'All Measure &amp; TRC+ Calc'!$D:$D,$C146,'All Measure &amp; TRC+ Calc'!$B:$B,$A146)*$E146</f>
        <v>0</v>
      </c>
      <c r="M146" s="250">
        <f>SUMIFS('All Measure &amp; TRC+ Calc'!AJ:AJ,'All Measure &amp; TRC+ Calc'!$D:$D,$C146,'All Measure &amp; TRC+ Calc'!$B:$B,$A146)*$E146</f>
        <v>0</v>
      </c>
      <c r="N146" s="250">
        <f>SUMIFS('All Measure &amp; TRC+ Calc'!AK:AK,'All Measure &amp; TRC+ Calc'!$D:$D,$C146,'All Measure &amp; TRC+ Calc'!$B:$B,$A146)*$E146</f>
        <v>0</v>
      </c>
      <c r="O146" s="250">
        <f>SUMIFS('All Measure &amp; TRC+ Calc'!AF:AF,'All Measure &amp; TRC+ Calc'!$D:$D,$C146,'All Measure &amp; TRC+ Calc'!$B:$B,$A146)*$E146</f>
        <v>0</v>
      </c>
      <c r="P146" s="250">
        <f>SUMIFS('All Measure &amp; TRC+ Calc'!AG:AG,'All Measure &amp; TRC+ Calc'!$D:$D,$C146,'All Measure &amp; TRC+ Calc'!$B:$B,$A146)*$E146</f>
        <v>0</v>
      </c>
      <c r="Q146" s="249">
        <v>1</v>
      </c>
      <c r="R146" s="190">
        <f>SUMIFS(Budget!$E:$E,Budget!$A:$A,$A146,Budget!$C:$C,$C146,Budget!$D:$D,R$7)*Summary[[#This Row],[Budget %  Adjustment]]</f>
        <v>0</v>
      </c>
      <c r="S146" s="190">
        <f>SUMIFS(Budget!$E:$E,Budget!$A:$A,$A146,Budget!$C:$C,$C146,Budget!$D:$D,S$7)*Summary[[#This Row],[Budget %  Adjustment]]</f>
        <v>0</v>
      </c>
      <c r="T146" s="190">
        <f>SUMIFS(Budget!$E:$E,Budget!$A:$A,$A146,Budget!$C:$C,$C146,Budget!$D:$D,T$7)*Summary[[#This Row],[Budget %  Adjustment]]</f>
        <v>0</v>
      </c>
      <c r="U146" s="190">
        <f>SUMIFS(Budget!$E:$E,Budget!$A:$A,$A146,Budget!$C:$C,$C146,Budget!$D:$D,U$7)*Summary[[#This Row],[Budget %  Adjustment]]</f>
        <v>0</v>
      </c>
      <c r="V146" s="190">
        <f>Summary[[#This Row],[Promo]]+Summary[[#This Row],[Delivery]]</f>
        <v>0</v>
      </c>
      <c r="W146" s="190">
        <f t="shared" si="8"/>
        <v>0</v>
      </c>
      <c r="X146" s="190">
        <f t="shared" si="9"/>
        <v>0</v>
      </c>
    </row>
    <row r="147" spans="1:24" x14ac:dyDescent="0.25">
      <c r="A147" s="156">
        <v>2030</v>
      </c>
      <c r="B147" s="247" t="s">
        <v>14</v>
      </c>
      <c r="C147" s="247" t="s">
        <v>171</v>
      </c>
      <c r="D147" s="247" t="s">
        <v>256</v>
      </c>
      <c r="E147" s="249">
        <v>1</v>
      </c>
      <c r="F147" s="250">
        <f>SUMIFS('All Measure &amp; TRC+ Calc'!F:F,'All Measure &amp; TRC+ Calc'!$D:$D,$C147,'All Measure &amp; TRC+ Calc'!$B:$B,$A147)*$E147</f>
        <v>0</v>
      </c>
      <c r="G147" s="250">
        <f>SUMIFS('All Measure &amp; TRC+ Calc'!AD:AD,'All Measure &amp; TRC+ Calc'!$D:$D,$C147,'All Measure &amp; TRC+ Calc'!$B:$B,$A147)*$E147</f>
        <v>0</v>
      </c>
      <c r="H147" s="250">
        <f>SUMIFS('All Measure &amp; TRC+ Calc'!AE:AE,'All Measure &amp; TRC+ Calc'!$D:$D,$C147,'All Measure &amp; TRC+ Calc'!$B:$B,$A147)*$E147</f>
        <v>0</v>
      </c>
      <c r="I147" s="250">
        <f>SUMIFS('All Measure &amp; TRC+ Calc'!AH:AH,'All Measure &amp; TRC+ Calc'!$D:$D,$C147,'All Measure &amp; TRC+ Calc'!$B:$B,$A147)*$E147</f>
        <v>0</v>
      </c>
      <c r="J147" s="250">
        <f>SUMIFS('All Measure &amp; TRC+ Calc'!AI:AI,'All Measure &amp; TRC+ Calc'!$D:$D,$C147,'All Measure &amp; TRC+ Calc'!$B:$B,$A147)*$E147</f>
        <v>0</v>
      </c>
      <c r="K147" s="250">
        <f>SUMIFS('All Measure &amp; TRC+ Calc'!AL:AL,'All Measure &amp; TRC+ Calc'!$D:$D,$C147,'All Measure &amp; TRC+ Calc'!$B:$B,$A147)*$E147</f>
        <v>0</v>
      </c>
      <c r="L147" s="250">
        <f>SUMIFS('All Measure &amp; TRC+ Calc'!AM:AM,'All Measure &amp; TRC+ Calc'!$D:$D,$C147,'All Measure &amp; TRC+ Calc'!$B:$B,$A147)*$E147</f>
        <v>0</v>
      </c>
      <c r="M147" s="250">
        <f>SUMIFS('All Measure &amp; TRC+ Calc'!AJ:AJ,'All Measure &amp; TRC+ Calc'!$D:$D,$C147,'All Measure &amp; TRC+ Calc'!$B:$B,$A147)*$E147</f>
        <v>0</v>
      </c>
      <c r="N147" s="250">
        <f>SUMIFS('All Measure &amp; TRC+ Calc'!AK:AK,'All Measure &amp; TRC+ Calc'!$D:$D,$C147,'All Measure &amp; TRC+ Calc'!$B:$B,$A147)*$E147</f>
        <v>0</v>
      </c>
      <c r="O147" s="250">
        <f>SUMIFS('All Measure &amp; TRC+ Calc'!AF:AF,'All Measure &amp; TRC+ Calc'!$D:$D,$C147,'All Measure &amp; TRC+ Calc'!$B:$B,$A147)*$E147</f>
        <v>0</v>
      </c>
      <c r="P147" s="250">
        <f>SUMIFS('All Measure &amp; TRC+ Calc'!AG:AG,'All Measure &amp; TRC+ Calc'!$D:$D,$C147,'All Measure &amp; TRC+ Calc'!$B:$B,$A147)*$E147</f>
        <v>0</v>
      </c>
      <c r="Q147" s="249">
        <v>1</v>
      </c>
      <c r="R147" s="190">
        <f>SUMIFS(Budget!$E:$E,Budget!$A:$A,$A147,Budget!$C:$C,$C147,Budget!$D:$D,R$7)*Summary[[#This Row],[Budget %  Adjustment]]</f>
        <v>530604</v>
      </c>
      <c r="S147" s="190">
        <f>SUMIFS(Budget!$E:$E,Budget!$A:$A,$A147,Budget!$C:$C,$C147,Budget!$D:$D,S$7)*Summary[[#This Row],[Budget %  Adjustment]]</f>
        <v>31575</v>
      </c>
      <c r="T147" s="190">
        <f>SUMIFS(Budget!$E:$E,Budget!$A:$A,$A147,Budget!$C:$C,$C147,Budget!$D:$D,T$7)*Summary[[#This Row],[Budget %  Adjustment]]</f>
        <v>263123</v>
      </c>
      <c r="U147" s="190">
        <f>SUMIFS(Budget!$E:$E,Budget!$A:$A,$A147,Budget!$C:$C,$C147,Budget!$D:$D,U$7)*Summary[[#This Row],[Budget %  Adjustment]]</f>
        <v>0</v>
      </c>
      <c r="V147" s="190">
        <f>Summary[[#This Row],[Promo]]+Summary[[#This Row],[Delivery]]</f>
        <v>294698</v>
      </c>
      <c r="W147" s="190">
        <f t="shared" si="8"/>
        <v>294698</v>
      </c>
      <c r="X147" s="190">
        <f t="shared" si="9"/>
        <v>825302</v>
      </c>
    </row>
    <row r="148" spans="1:24" x14ac:dyDescent="0.25">
      <c r="A148" s="156">
        <v>2030</v>
      </c>
      <c r="B148" s="247" t="s">
        <v>14</v>
      </c>
      <c r="C148" s="247" t="s">
        <v>24</v>
      </c>
      <c r="D148" s="247" t="s">
        <v>256</v>
      </c>
      <c r="E148" s="249">
        <v>1</v>
      </c>
      <c r="F148" s="250">
        <f>SUMIFS('All Measure &amp; TRC+ Calc'!F:F,'All Measure &amp; TRC+ Calc'!$D:$D,$C148,'All Measure &amp; TRC+ Calc'!$B:$B,$A148)*$E148</f>
        <v>0</v>
      </c>
      <c r="G148" s="250">
        <f>SUMIFS('All Measure &amp; TRC+ Calc'!AD:AD,'All Measure &amp; TRC+ Calc'!$D:$D,$C148,'All Measure &amp; TRC+ Calc'!$B:$B,$A148)*$E148</f>
        <v>0</v>
      </c>
      <c r="H148" s="250">
        <f>SUMIFS('All Measure &amp; TRC+ Calc'!AE:AE,'All Measure &amp; TRC+ Calc'!$D:$D,$C148,'All Measure &amp; TRC+ Calc'!$B:$B,$A148)*$E148</f>
        <v>0</v>
      </c>
      <c r="I148" s="250">
        <f>SUMIFS('All Measure &amp; TRC+ Calc'!AH:AH,'All Measure &amp; TRC+ Calc'!$D:$D,$C148,'All Measure &amp; TRC+ Calc'!$B:$B,$A148)*$E148</f>
        <v>0</v>
      </c>
      <c r="J148" s="250">
        <f>SUMIFS('All Measure &amp; TRC+ Calc'!AI:AI,'All Measure &amp; TRC+ Calc'!$D:$D,$C148,'All Measure &amp; TRC+ Calc'!$B:$B,$A148)*$E148</f>
        <v>0</v>
      </c>
      <c r="K148" s="250">
        <f>SUMIFS('All Measure &amp; TRC+ Calc'!AL:AL,'All Measure &amp; TRC+ Calc'!$D:$D,$C148,'All Measure &amp; TRC+ Calc'!$B:$B,$A148)*$E148</f>
        <v>0</v>
      </c>
      <c r="L148" s="250">
        <f>SUMIFS('All Measure &amp; TRC+ Calc'!AM:AM,'All Measure &amp; TRC+ Calc'!$D:$D,$C148,'All Measure &amp; TRC+ Calc'!$B:$B,$A148)*$E148</f>
        <v>0</v>
      </c>
      <c r="M148" s="250">
        <f>SUMIFS('All Measure &amp; TRC+ Calc'!AJ:AJ,'All Measure &amp; TRC+ Calc'!$D:$D,$C148,'All Measure &amp; TRC+ Calc'!$B:$B,$A148)*$E148</f>
        <v>0</v>
      </c>
      <c r="N148" s="250">
        <f>SUMIFS('All Measure &amp; TRC+ Calc'!AK:AK,'All Measure &amp; TRC+ Calc'!$D:$D,$C148,'All Measure &amp; TRC+ Calc'!$B:$B,$A148)*$E148</f>
        <v>0</v>
      </c>
      <c r="O148" s="250">
        <f>SUMIFS('All Measure &amp; TRC+ Calc'!AF:AF,'All Measure &amp; TRC+ Calc'!$D:$D,$C148,'All Measure &amp; TRC+ Calc'!$B:$B,$A148)*$E148</f>
        <v>0</v>
      </c>
      <c r="P148" s="250">
        <f>SUMIFS('All Measure &amp; TRC+ Calc'!AG:AG,'All Measure &amp; TRC+ Calc'!$D:$D,$C148,'All Measure &amp; TRC+ Calc'!$B:$B,$A148)*$E148</f>
        <v>0</v>
      </c>
      <c r="Q148" s="249">
        <v>1</v>
      </c>
      <c r="R148" s="190">
        <f>SUMIFS(Budget!$E:$E,Budget!$A:$A,$A148,Budget!$C:$C,$C148,Budget!$D:$D,R$7)*Summary[[#This Row],[Budget %  Adjustment]]</f>
        <v>1910174</v>
      </c>
      <c r="S148" s="190">
        <f>SUMIFS(Budget!$E:$E,Budget!$A:$A,$A148,Budget!$C:$C,$C148,Budget!$D:$D,S$7)*Summary[[#This Row],[Budget %  Adjustment]]</f>
        <v>42100</v>
      </c>
      <c r="T148" s="190">
        <f>SUMIFS(Budget!$E:$E,Budget!$A:$A,$A148,Budget!$C:$C,$C148,Budget!$D:$D,T$7)*Summary[[#This Row],[Budget %  Adjustment]]</f>
        <v>168399</v>
      </c>
      <c r="U148" s="190">
        <f>SUMIFS(Budget!$E:$E,Budget!$A:$A,$A148,Budget!$C:$C,$C148,Budget!$D:$D,U$7)*Summary[[#This Row],[Budget %  Adjustment]]</f>
        <v>0</v>
      </c>
      <c r="V148" s="190">
        <f>Summary[[#This Row],[Promo]]+Summary[[#This Row],[Delivery]]</f>
        <v>210499</v>
      </c>
      <c r="W148" s="190">
        <f t="shared" si="8"/>
        <v>210499</v>
      </c>
      <c r="X148" s="190">
        <f t="shared" si="9"/>
        <v>2120673</v>
      </c>
    </row>
    <row r="149" spans="1:24" x14ac:dyDescent="0.25">
      <c r="A149" s="156">
        <v>2030</v>
      </c>
      <c r="B149" s="247" t="s">
        <v>14</v>
      </c>
      <c r="C149" s="247" t="s">
        <v>25</v>
      </c>
      <c r="D149" s="247" t="s">
        <v>25</v>
      </c>
      <c r="E149" s="249">
        <v>1</v>
      </c>
      <c r="F149" s="250">
        <f>SUMIFS('All Measure &amp; TRC+ Calc'!F:F,'All Measure &amp; TRC+ Calc'!$D:$D,$C149,'All Measure &amp; TRC+ Calc'!$B:$B,$A149)*$E149</f>
        <v>0</v>
      </c>
      <c r="G149" s="250">
        <f>SUMIFS('All Measure &amp; TRC+ Calc'!AD:AD,'All Measure &amp; TRC+ Calc'!$D:$D,$C149,'All Measure &amp; TRC+ Calc'!$B:$B,$A149)*$E149</f>
        <v>0</v>
      </c>
      <c r="H149" s="250">
        <f>SUMIFS('All Measure &amp; TRC+ Calc'!AE:AE,'All Measure &amp; TRC+ Calc'!$D:$D,$C149,'All Measure &amp; TRC+ Calc'!$B:$B,$A149)*$E149</f>
        <v>0</v>
      </c>
      <c r="I149" s="250">
        <f>SUMIFS('All Measure &amp; TRC+ Calc'!AH:AH,'All Measure &amp; TRC+ Calc'!$D:$D,$C149,'All Measure &amp; TRC+ Calc'!$B:$B,$A149)*$E149</f>
        <v>0</v>
      </c>
      <c r="J149" s="250">
        <f>SUMIFS('All Measure &amp; TRC+ Calc'!AI:AI,'All Measure &amp; TRC+ Calc'!$D:$D,$C149,'All Measure &amp; TRC+ Calc'!$B:$B,$A149)*$E149</f>
        <v>0</v>
      </c>
      <c r="K149" s="250">
        <f>SUMIFS('All Measure &amp; TRC+ Calc'!AL:AL,'All Measure &amp; TRC+ Calc'!$D:$D,$C149,'All Measure &amp; TRC+ Calc'!$B:$B,$A149)*$E149</f>
        <v>0</v>
      </c>
      <c r="L149" s="250">
        <f>SUMIFS('All Measure &amp; TRC+ Calc'!AM:AM,'All Measure &amp; TRC+ Calc'!$D:$D,$C149,'All Measure &amp; TRC+ Calc'!$B:$B,$A149)*$E149</f>
        <v>0</v>
      </c>
      <c r="M149" s="250">
        <f>SUMIFS('All Measure &amp; TRC+ Calc'!AJ:AJ,'All Measure &amp; TRC+ Calc'!$D:$D,$C149,'All Measure &amp; TRC+ Calc'!$B:$B,$A149)*$E149</f>
        <v>0</v>
      </c>
      <c r="N149" s="250">
        <f>SUMIFS('All Measure &amp; TRC+ Calc'!AK:AK,'All Measure &amp; TRC+ Calc'!$D:$D,$C149,'All Measure &amp; TRC+ Calc'!$B:$B,$A149)*$E149</f>
        <v>0</v>
      </c>
      <c r="O149" s="250">
        <f>SUMIFS('All Measure &amp; TRC+ Calc'!AF:AF,'All Measure &amp; TRC+ Calc'!$D:$D,$C149,'All Measure &amp; TRC+ Calc'!$B:$B,$A149)*$E149</f>
        <v>0</v>
      </c>
      <c r="P149" s="250">
        <f>SUMIFS('All Measure &amp; TRC+ Calc'!AG:AG,'All Measure &amp; TRC+ Calc'!$D:$D,$C149,'All Measure &amp; TRC+ Calc'!$B:$B,$A149)*$E149</f>
        <v>0</v>
      </c>
      <c r="Q149" s="249">
        <v>1</v>
      </c>
      <c r="R149" s="190">
        <f>SUMIFS(Budget!$E:$E,Budget!$A:$A,$A149,Budget!$C:$C,$C149,Budget!$D:$D,R$7)*Summary[[#This Row],[Budget %  Adjustment]]</f>
        <v>0</v>
      </c>
      <c r="S149" s="190">
        <f>SUMIFS(Budget!$E:$E,Budget!$A:$A,$A149,Budget!$C:$C,$C149,Budget!$D:$D,S$7)*Summary[[#This Row],[Budget %  Adjustment]]</f>
        <v>0</v>
      </c>
      <c r="T149" s="190">
        <f>SUMIFS(Budget!$E:$E,Budget!$A:$A,$A149,Budget!$C:$C,$C149,Budget!$D:$D,T$7)*Summary[[#This Row],[Budget %  Adjustment]]</f>
        <v>0</v>
      </c>
      <c r="U149" s="190">
        <f>SUMIFS(Budget!$E:$E,Budget!$A:$A,$A149,Budget!$C:$C,$C149,Budget!$D:$D,U$7)*Summary[[#This Row],[Budget %  Adjustment]]</f>
        <v>5066870</v>
      </c>
      <c r="V149" s="190">
        <f>Summary[[#This Row],[Promo]]+Summary[[#This Row],[Delivery]]</f>
        <v>0</v>
      </c>
      <c r="W149" s="190">
        <f t="shared" si="8"/>
        <v>5066870</v>
      </c>
      <c r="X149" s="190">
        <f t="shared" si="9"/>
        <v>5066870</v>
      </c>
    </row>
    <row r="150" spans="1:24" x14ac:dyDescent="0.25">
      <c r="A150" s="156">
        <v>2030</v>
      </c>
      <c r="B150" s="247" t="s">
        <v>12</v>
      </c>
      <c r="C150" s="247" t="s">
        <v>22</v>
      </c>
      <c r="D150" s="247" t="s">
        <v>206</v>
      </c>
      <c r="E150" s="249">
        <v>1</v>
      </c>
      <c r="F150" s="250">
        <f>SUMIFS('All Measure &amp; TRC+ Calc'!F:F,'All Measure &amp; TRC+ Calc'!$D:$D,$C150,'All Measure &amp; TRC+ Calc'!$B:$B,$A150)*$E150</f>
        <v>11019</v>
      </c>
      <c r="G150" s="250">
        <f>SUMIFS('All Measure &amp; TRC+ Calc'!AD:AD,'All Measure &amp; TRC+ Calc'!$D:$D,$C150,'All Measure &amp; TRC+ Calc'!$B:$B,$A150)*$E150</f>
        <v>2802112.5096033574</v>
      </c>
      <c r="H150" s="250">
        <f>SUMIFS('All Measure &amp; TRC+ Calc'!AE:AE,'All Measure &amp; TRC+ Calc'!$D:$D,$C150,'All Measure &amp; TRC+ Calc'!$B:$B,$A150)*$E150</f>
        <v>2802112.5096033574</v>
      </c>
      <c r="I150" s="250">
        <f>SUMIFS('All Measure &amp; TRC+ Calc'!AH:AH,'All Measure &amp; TRC+ Calc'!$D:$D,$C150,'All Measure &amp; TRC+ Calc'!$B:$B,$A150)*$E150</f>
        <v>867454.89600000007</v>
      </c>
      <c r="J150" s="250">
        <f>SUMIFS('All Measure &amp; TRC+ Calc'!AI:AI,'All Measure &amp; TRC+ Calc'!$D:$D,$C150,'All Measure &amp; TRC+ Calc'!$B:$B,$A150)*$E150</f>
        <v>867454.89600000007</v>
      </c>
      <c r="K150" s="250">
        <f>SUMIFS('All Measure &amp; TRC+ Calc'!AL:AL,'All Measure &amp; TRC+ Calc'!$D:$D,$C150,'All Measure &amp; TRC+ Calc'!$B:$B,$A150)*$E150</f>
        <v>396.94736040960004</v>
      </c>
      <c r="L150" s="250">
        <f>SUMIFS('All Measure &amp; TRC+ Calc'!AM:AM,'All Measure &amp; TRC+ Calc'!$D:$D,$C150,'All Measure &amp; TRC+ Calc'!$B:$B,$A150)*$E150</f>
        <v>396.94736040960004</v>
      </c>
      <c r="M150" s="250">
        <f>SUMIFS('All Measure &amp; TRC+ Calc'!AJ:AJ,'All Measure &amp; TRC+ Calc'!$D:$D,$C150,'All Measure &amp; TRC+ Calc'!$B:$B,$A150)*$E150</f>
        <v>12434.140409292271</v>
      </c>
      <c r="N150" s="250">
        <f>SUMIFS('All Measure &amp; TRC+ Calc'!AK:AK,'All Measure &amp; TRC+ Calc'!$D:$D,$C150,'All Measure &amp; TRC+ Calc'!$B:$B,$A150)*$E150</f>
        <v>12434.140409292271</v>
      </c>
      <c r="O150" s="250">
        <f>SUMIFS('All Measure &amp; TRC+ Calc'!AF:AF,'All Measure &amp; TRC+ Calc'!$D:$D,$C150,'All Measure &amp; TRC+ Calc'!$B:$B,$A150)*$E150</f>
        <v>60322776.115240291</v>
      </c>
      <c r="P150" s="250">
        <f>SUMIFS('All Measure &amp; TRC+ Calc'!AG:AG,'All Measure &amp; TRC+ Calc'!$D:$D,$C150,'All Measure &amp; TRC+ Calc'!$B:$B,$A150)*$E150</f>
        <v>60322776.115240291</v>
      </c>
      <c r="Q150" s="249">
        <v>1</v>
      </c>
      <c r="R150" s="190">
        <f>SUMIFS(Budget!$E:$E,Budget!$A:$A,$A150,Budget!$C:$C,$C150,Budget!$D:$D,R$7)*Summary[[#This Row],[Budget %  Adjustment]]</f>
        <v>18400631</v>
      </c>
      <c r="S150" s="190">
        <f>SUMIFS(Budget!$E:$E,Budget!$A:$A,$A150,Budget!$C:$C,$C150,Budget!$D:$D,S$7)*Summary[[#This Row],[Budget %  Adjustment]]</f>
        <v>2112773</v>
      </c>
      <c r="T150" s="190">
        <f>SUMIFS(Budget!$E:$E,Budget!$A:$A,$A150,Budget!$C:$C,$C150,Budget!$D:$D,T$7)*Summary[[#This Row],[Budget %  Adjustment]]</f>
        <v>2390399</v>
      </c>
      <c r="U150" s="190">
        <f>SUMIFS(Budget!$E:$E,Budget!$A:$A,$A150,Budget!$C:$C,$C150,Budget!$D:$D,U$7)*Summary[[#This Row],[Budget %  Adjustment]]</f>
        <v>0</v>
      </c>
      <c r="V150" s="190">
        <f>Summary[[#This Row],[Promo]]+Summary[[#This Row],[Delivery]]</f>
        <v>4503172</v>
      </c>
      <c r="W150" s="190">
        <f t="shared" si="8"/>
        <v>4503172</v>
      </c>
      <c r="X150" s="190">
        <f t="shared" si="9"/>
        <v>22903803</v>
      </c>
    </row>
    <row r="151" spans="1:24" x14ac:dyDescent="0.25">
      <c r="A151" s="156">
        <v>2030</v>
      </c>
      <c r="B151" s="247" t="s">
        <v>12</v>
      </c>
      <c r="C151" s="247" t="s">
        <v>172</v>
      </c>
      <c r="D151" s="247" t="s">
        <v>206</v>
      </c>
      <c r="E151" s="249">
        <v>1</v>
      </c>
      <c r="F151" s="250">
        <f>SUMIFS('All Measure &amp; TRC+ Calc'!F:F,'All Measure &amp; TRC+ Calc'!$D:$D,$C151,'All Measure &amp; TRC+ Calc'!$B:$B,$A151)*$E151</f>
        <v>0</v>
      </c>
      <c r="G151" s="250">
        <f>SUMIFS('All Measure &amp; TRC+ Calc'!AD:AD,'All Measure &amp; TRC+ Calc'!$D:$D,$C151,'All Measure &amp; TRC+ Calc'!$B:$B,$A151)*$E151</f>
        <v>0</v>
      </c>
      <c r="H151" s="250">
        <f>SUMIFS('All Measure &amp; TRC+ Calc'!AE:AE,'All Measure &amp; TRC+ Calc'!$D:$D,$C151,'All Measure &amp; TRC+ Calc'!$B:$B,$A151)*$E151</f>
        <v>0</v>
      </c>
      <c r="I151" s="250">
        <f>SUMIFS('All Measure &amp; TRC+ Calc'!AH:AH,'All Measure &amp; TRC+ Calc'!$D:$D,$C151,'All Measure &amp; TRC+ Calc'!$B:$B,$A151)*$E151</f>
        <v>0</v>
      </c>
      <c r="J151" s="250">
        <f>SUMIFS('All Measure &amp; TRC+ Calc'!AI:AI,'All Measure &amp; TRC+ Calc'!$D:$D,$C151,'All Measure &amp; TRC+ Calc'!$B:$B,$A151)*$E151</f>
        <v>0</v>
      </c>
      <c r="K151" s="250">
        <f>SUMIFS('All Measure &amp; TRC+ Calc'!AL:AL,'All Measure &amp; TRC+ Calc'!$D:$D,$C151,'All Measure &amp; TRC+ Calc'!$B:$B,$A151)*$E151</f>
        <v>0</v>
      </c>
      <c r="L151" s="250">
        <f>SUMIFS('All Measure &amp; TRC+ Calc'!AM:AM,'All Measure &amp; TRC+ Calc'!$D:$D,$C151,'All Measure &amp; TRC+ Calc'!$B:$B,$A151)*$E151</f>
        <v>0</v>
      </c>
      <c r="M151" s="250">
        <f>SUMIFS('All Measure &amp; TRC+ Calc'!AJ:AJ,'All Measure &amp; TRC+ Calc'!$D:$D,$C151,'All Measure &amp; TRC+ Calc'!$B:$B,$A151)*$E151</f>
        <v>0</v>
      </c>
      <c r="N151" s="250">
        <f>SUMIFS('All Measure &amp; TRC+ Calc'!AK:AK,'All Measure &amp; TRC+ Calc'!$D:$D,$C151,'All Measure &amp; TRC+ Calc'!$B:$B,$A151)*$E151</f>
        <v>0</v>
      </c>
      <c r="O151" s="250">
        <f>SUMIFS('All Measure &amp; TRC+ Calc'!AF:AF,'All Measure &amp; TRC+ Calc'!$D:$D,$C151,'All Measure &amp; TRC+ Calc'!$B:$B,$A151)*$E151</f>
        <v>0</v>
      </c>
      <c r="P151" s="250">
        <f>SUMIFS('All Measure &amp; TRC+ Calc'!AG:AG,'All Measure &amp; TRC+ Calc'!$D:$D,$C151,'All Measure &amp; TRC+ Calc'!$B:$B,$A151)*$E151</f>
        <v>0</v>
      </c>
      <c r="Q151" s="249">
        <v>1</v>
      </c>
      <c r="R151" s="190">
        <f>SUMIFS(Budget!$E:$E,Budget!$A:$A,$A151,Budget!$C:$C,$C151,Budget!$D:$D,R$7)*Summary[[#This Row],[Budget %  Adjustment]]</f>
        <v>0</v>
      </c>
      <c r="S151" s="190">
        <f>SUMIFS(Budget!$E:$E,Budget!$A:$A,$A151,Budget!$C:$C,$C151,Budget!$D:$D,S$7)*Summary[[#This Row],[Budget %  Adjustment]]</f>
        <v>0</v>
      </c>
      <c r="T151" s="190">
        <f>SUMIFS(Budget!$E:$E,Budget!$A:$A,$A151,Budget!$C:$C,$C151,Budget!$D:$D,T$7)*Summary[[#This Row],[Budget %  Adjustment]]</f>
        <v>0</v>
      </c>
      <c r="U151" s="190">
        <f>SUMIFS(Budget!$E:$E,Budget!$A:$A,$A151,Budget!$C:$C,$C151,Budget!$D:$D,U$7)*Summary[[#This Row],[Budget %  Adjustment]]</f>
        <v>0</v>
      </c>
      <c r="V151" s="190">
        <f>Summary[[#This Row],[Promo]]+Summary[[#This Row],[Delivery]]</f>
        <v>0</v>
      </c>
      <c r="W151" s="190">
        <f t="shared" si="8"/>
        <v>0</v>
      </c>
      <c r="X151" s="190">
        <f t="shared" si="9"/>
        <v>0</v>
      </c>
    </row>
    <row r="152" spans="1:24" x14ac:dyDescent="0.25">
      <c r="A152" s="156">
        <v>2030</v>
      </c>
      <c r="B152" s="247" t="s">
        <v>12</v>
      </c>
      <c r="C152" s="247" t="s">
        <v>21</v>
      </c>
      <c r="D152" s="247" t="s">
        <v>207</v>
      </c>
      <c r="E152" s="249">
        <v>1</v>
      </c>
      <c r="F152" s="250">
        <f>SUMIFS('All Measure &amp; TRC+ Calc'!F:F,'All Measure &amp; TRC+ Calc'!$D:$D,$C152,'All Measure &amp; TRC+ Calc'!$B:$B,$A152)*$E152</f>
        <v>244</v>
      </c>
      <c r="G152" s="250">
        <f>SUMIFS('All Measure &amp; TRC+ Calc'!AD:AD,'All Measure &amp; TRC+ Calc'!$D:$D,$C152,'All Measure &amp; TRC+ Calc'!$B:$B,$A152)*$E152</f>
        <v>2511673.0541999997</v>
      </c>
      <c r="H152" s="250">
        <f>SUMIFS('All Measure &amp; TRC+ Calc'!AE:AE,'All Measure &amp; TRC+ Calc'!$D:$D,$C152,'All Measure &amp; TRC+ Calc'!$B:$B,$A152)*$E152</f>
        <v>2511673.0541999997</v>
      </c>
      <c r="I152" s="250">
        <f>SUMIFS('All Measure &amp; TRC+ Calc'!AH:AH,'All Measure &amp; TRC+ Calc'!$D:$D,$C152,'All Measure &amp; TRC+ Calc'!$B:$B,$A152)*$E152</f>
        <v>1360.5530271999305</v>
      </c>
      <c r="J152" s="250">
        <f>SUMIFS('All Measure &amp; TRC+ Calc'!AI:AI,'All Measure &amp; TRC+ Calc'!$D:$D,$C152,'All Measure &amp; TRC+ Calc'!$B:$B,$A152)*$E152</f>
        <v>1360.5530271999305</v>
      </c>
      <c r="K152" s="250">
        <f>SUMIFS('All Measure &amp; TRC+ Calc'!AL:AL,'All Measure &amp; TRC+ Calc'!$D:$D,$C152,'All Measure &amp; TRC+ Calc'!$B:$B,$A152)*$E152</f>
        <v>499.04838059902352</v>
      </c>
      <c r="L152" s="250">
        <f>SUMIFS('All Measure &amp; TRC+ Calc'!AM:AM,'All Measure &amp; TRC+ Calc'!$D:$D,$C152,'All Measure &amp; TRC+ Calc'!$B:$B,$A152)*$E152</f>
        <v>499.04838059902352</v>
      </c>
      <c r="M152" s="250">
        <f>SUMIFS('All Measure &amp; TRC+ Calc'!AJ:AJ,'All Measure &amp; TRC+ Calc'!$D:$D,$C152,'All Measure &amp; TRC+ Calc'!$B:$B,$A152)*$E152</f>
        <v>0</v>
      </c>
      <c r="N152" s="250">
        <f>SUMIFS('All Measure &amp; TRC+ Calc'!AK:AK,'All Measure &amp; TRC+ Calc'!$D:$D,$C152,'All Measure &amp; TRC+ Calc'!$B:$B,$A152)*$E152</f>
        <v>0</v>
      </c>
      <c r="O152" s="250">
        <f>SUMIFS('All Measure &amp; TRC+ Calc'!AF:AF,'All Measure &amp; TRC+ Calc'!$D:$D,$C152,'All Measure &amp; TRC+ Calc'!$B:$B,$A152)*$E152</f>
        <v>42331209.357999995</v>
      </c>
      <c r="P152" s="250">
        <f>SUMIFS('All Measure &amp; TRC+ Calc'!AG:AG,'All Measure &amp; TRC+ Calc'!$D:$D,$C152,'All Measure &amp; TRC+ Calc'!$B:$B,$A152)*$E152</f>
        <v>42331209.357999995</v>
      </c>
      <c r="Q152" s="249">
        <v>1</v>
      </c>
      <c r="R152" s="190">
        <f>SUMIFS(Budget!$E:$E,Budget!$A:$A,$A152,Budget!$C:$C,$C152,Budget!$D:$D,R$7)*Summary[[#This Row],[Budget %  Adjustment]]</f>
        <v>9302589</v>
      </c>
      <c r="S152" s="190">
        <f>SUMIFS(Budget!$E:$E,Budget!$A:$A,$A152,Budget!$C:$C,$C152,Budget!$D:$D,S$7)*Summary[[#This Row],[Budget %  Adjustment]]</f>
        <v>1199842</v>
      </c>
      <c r="T152" s="190">
        <f>SUMIFS(Budget!$E:$E,Budget!$A:$A,$A152,Budget!$C:$C,$C152,Budget!$D:$D,T$7)*Summary[[#This Row],[Budget %  Adjustment]]</f>
        <v>315748</v>
      </c>
      <c r="U152" s="190">
        <f>SUMIFS(Budget!$E:$E,Budget!$A:$A,$A152,Budget!$C:$C,$C152,Budget!$D:$D,U$7)*Summary[[#This Row],[Budget %  Adjustment]]</f>
        <v>0</v>
      </c>
      <c r="V152" s="190">
        <f>Summary[[#This Row],[Promo]]+Summary[[#This Row],[Delivery]]</f>
        <v>1515590</v>
      </c>
      <c r="W152" s="190">
        <f t="shared" si="8"/>
        <v>1515590</v>
      </c>
      <c r="X152" s="190">
        <f t="shared" si="9"/>
        <v>10818179</v>
      </c>
    </row>
    <row r="153" spans="1:24" x14ac:dyDescent="0.25">
      <c r="A153" s="156">
        <v>2030</v>
      </c>
      <c r="B153" s="247" t="s">
        <v>12</v>
      </c>
      <c r="C153" s="247" t="s">
        <v>173</v>
      </c>
      <c r="D153" s="247" t="s">
        <v>256</v>
      </c>
      <c r="E153" s="249">
        <v>1</v>
      </c>
      <c r="F153" s="250">
        <f>SUMIFS('All Measure &amp; TRC+ Calc'!F:F,'All Measure &amp; TRC+ Calc'!$D:$D,$C153,'All Measure &amp; TRC+ Calc'!$B:$B,$A153)*$E153</f>
        <v>0</v>
      </c>
      <c r="G153" s="250">
        <f>SUMIFS('All Measure &amp; TRC+ Calc'!AD:AD,'All Measure &amp; TRC+ Calc'!$D:$D,$C153,'All Measure &amp; TRC+ Calc'!$B:$B,$A153)*$E153</f>
        <v>0</v>
      </c>
      <c r="H153" s="250">
        <f>SUMIFS('All Measure &amp; TRC+ Calc'!AE:AE,'All Measure &amp; TRC+ Calc'!$D:$D,$C153,'All Measure &amp; TRC+ Calc'!$B:$B,$A153)*$E153</f>
        <v>0</v>
      </c>
      <c r="I153" s="250">
        <f>SUMIFS('All Measure &amp; TRC+ Calc'!AH:AH,'All Measure &amp; TRC+ Calc'!$D:$D,$C153,'All Measure &amp; TRC+ Calc'!$B:$B,$A153)*$E153</f>
        <v>0</v>
      </c>
      <c r="J153" s="250">
        <f>SUMIFS('All Measure &amp; TRC+ Calc'!AI:AI,'All Measure &amp; TRC+ Calc'!$D:$D,$C153,'All Measure &amp; TRC+ Calc'!$B:$B,$A153)*$E153</f>
        <v>0</v>
      </c>
      <c r="K153" s="250">
        <f>SUMIFS('All Measure &amp; TRC+ Calc'!AL:AL,'All Measure &amp; TRC+ Calc'!$D:$D,$C153,'All Measure &amp; TRC+ Calc'!$B:$B,$A153)*$E153</f>
        <v>0</v>
      </c>
      <c r="L153" s="250">
        <f>SUMIFS('All Measure &amp; TRC+ Calc'!AM:AM,'All Measure &amp; TRC+ Calc'!$D:$D,$C153,'All Measure &amp; TRC+ Calc'!$B:$B,$A153)*$E153</f>
        <v>0</v>
      </c>
      <c r="M153" s="250">
        <f>SUMIFS('All Measure &amp; TRC+ Calc'!AJ:AJ,'All Measure &amp; TRC+ Calc'!$D:$D,$C153,'All Measure &amp; TRC+ Calc'!$B:$B,$A153)*$E153</f>
        <v>0</v>
      </c>
      <c r="N153" s="250">
        <f>SUMIFS('All Measure &amp; TRC+ Calc'!AK:AK,'All Measure &amp; TRC+ Calc'!$D:$D,$C153,'All Measure &amp; TRC+ Calc'!$B:$B,$A153)*$E153</f>
        <v>0</v>
      </c>
      <c r="O153" s="250">
        <f>SUMIFS('All Measure &amp; TRC+ Calc'!AF:AF,'All Measure &amp; TRC+ Calc'!$D:$D,$C153,'All Measure &amp; TRC+ Calc'!$B:$B,$A153)*$E153</f>
        <v>0</v>
      </c>
      <c r="P153" s="250">
        <f>SUMIFS('All Measure &amp; TRC+ Calc'!AG:AG,'All Measure &amp; TRC+ Calc'!$D:$D,$C153,'All Measure &amp; TRC+ Calc'!$B:$B,$A153)*$E153</f>
        <v>0</v>
      </c>
      <c r="Q153" s="249">
        <v>1</v>
      </c>
      <c r="R153" s="190">
        <f>SUMIFS(Budget!$E:$E,Budget!$A:$A,$A153,Budget!$C:$C,$C153,Budget!$D:$D,R$7)*Summary[[#This Row],[Budget %  Adjustment]]</f>
        <v>0</v>
      </c>
      <c r="S153" s="190">
        <f>SUMIFS(Budget!$E:$E,Budget!$A:$A,$A153,Budget!$C:$C,$C153,Budget!$D:$D,S$7)*Summary[[#This Row],[Budget %  Adjustment]]</f>
        <v>0</v>
      </c>
      <c r="T153" s="190">
        <f>SUMIFS(Budget!$E:$E,Budget!$A:$A,$A153,Budget!$C:$C,$C153,Budget!$D:$D,T$7)*Summary[[#This Row],[Budget %  Adjustment]]</f>
        <v>0</v>
      </c>
      <c r="U153" s="190">
        <f>SUMIFS(Budget!$E:$E,Budget!$A:$A,$A153,Budget!$C:$C,$C153,Budget!$D:$D,U$7)*Summary[[#This Row],[Budget %  Adjustment]]</f>
        <v>0</v>
      </c>
      <c r="V153" s="190">
        <f>Summary[[#This Row],[Promo]]+Summary[[#This Row],[Delivery]]</f>
        <v>0</v>
      </c>
      <c r="W153" s="190">
        <f t="shared" si="8"/>
        <v>0</v>
      </c>
      <c r="X153" s="190">
        <f t="shared" si="9"/>
        <v>0</v>
      </c>
    </row>
    <row r="154" spans="1:24" x14ac:dyDescent="0.25">
      <c r="A154" s="156">
        <v>2030</v>
      </c>
      <c r="B154" s="247" t="s">
        <v>12</v>
      </c>
      <c r="C154" s="247" t="s">
        <v>23</v>
      </c>
      <c r="D154" s="247" t="s">
        <v>23</v>
      </c>
      <c r="E154" s="249">
        <v>1</v>
      </c>
      <c r="F154" s="250">
        <f>SUMIFS('All Measure &amp; TRC+ Calc'!F:F,'All Measure &amp; TRC+ Calc'!$D:$D,$C154,'All Measure &amp; TRC+ Calc'!$B:$B,$A154)*$E154</f>
        <v>0</v>
      </c>
      <c r="G154" s="250">
        <f>SUMIFS('All Measure &amp; TRC+ Calc'!AD:AD,'All Measure &amp; TRC+ Calc'!$D:$D,$C154,'All Measure &amp; TRC+ Calc'!$B:$B,$A154)*$E154</f>
        <v>0</v>
      </c>
      <c r="H154" s="250">
        <f>SUMIFS('All Measure &amp; TRC+ Calc'!AE:AE,'All Measure &amp; TRC+ Calc'!$D:$D,$C154,'All Measure &amp; TRC+ Calc'!$B:$B,$A154)*$E154</f>
        <v>0</v>
      </c>
      <c r="I154" s="250">
        <f>SUMIFS('All Measure &amp; TRC+ Calc'!AH:AH,'All Measure &amp; TRC+ Calc'!$D:$D,$C154,'All Measure &amp; TRC+ Calc'!$B:$B,$A154)*$E154</f>
        <v>0</v>
      </c>
      <c r="J154" s="250">
        <f>SUMIFS('All Measure &amp; TRC+ Calc'!AI:AI,'All Measure &amp; TRC+ Calc'!$D:$D,$C154,'All Measure &amp; TRC+ Calc'!$B:$B,$A154)*$E154</f>
        <v>0</v>
      </c>
      <c r="K154" s="250">
        <f>SUMIFS('All Measure &amp; TRC+ Calc'!AL:AL,'All Measure &amp; TRC+ Calc'!$D:$D,$C154,'All Measure &amp; TRC+ Calc'!$B:$B,$A154)*$E154</f>
        <v>0</v>
      </c>
      <c r="L154" s="250">
        <f>SUMIFS('All Measure &amp; TRC+ Calc'!AM:AM,'All Measure &amp; TRC+ Calc'!$D:$D,$C154,'All Measure &amp; TRC+ Calc'!$B:$B,$A154)*$E154</f>
        <v>0</v>
      </c>
      <c r="M154" s="250">
        <f>SUMIFS('All Measure &amp; TRC+ Calc'!AJ:AJ,'All Measure &amp; TRC+ Calc'!$D:$D,$C154,'All Measure &amp; TRC+ Calc'!$B:$B,$A154)*$E154</f>
        <v>0</v>
      </c>
      <c r="N154" s="250">
        <f>SUMIFS('All Measure &amp; TRC+ Calc'!AK:AK,'All Measure &amp; TRC+ Calc'!$D:$D,$C154,'All Measure &amp; TRC+ Calc'!$B:$B,$A154)*$E154</f>
        <v>0</v>
      </c>
      <c r="O154" s="250">
        <f>SUMIFS('All Measure &amp; TRC+ Calc'!AF:AF,'All Measure &amp; TRC+ Calc'!$D:$D,$C154,'All Measure &amp; TRC+ Calc'!$B:$B,$A154)*$E154</f>
        <v>0</v>
      </c>
      <c r="P154" s="250">
        <f>SUMIFS('All Measure &amp; TRC+ Calc'!AG:AG,'All Measure &amp; TRC+ Calc'!$D:$D,$C154,'All Measure &amp; TRC+ Calc'!$B:$B,$A154)*$E154</f>
        <v>0</v>
      </c>
      <c r="Q154" s="249">
        <v>1</v>
      </c>
      <c r="R154" s="190">
        <f>SUMIFS(Budget!$E:$E,Budget!$A:$A,$A154,Budget!$C:$C,$C154,Budget!$D:$D,R$7)*Summary[[#This Row],[Budget %  Adjustment]]</f>
        <v>0</v>
      </c>
      <c r="S154" s="190">
        <f>SUMIFS(Budget!$E:$E,Budget!$A:$A,$A154,Budget!$C:$C,$C154,Budget!$D:$D,S$7)*Summary[[#This Row],[Budget %  Adjustment]]</f>
        <v>0</v>
      </c>
      <c r="T154" s="190">
        <f>SUMIFS(Budget!$E:$E,Budget!$A:$A,$A154,Budget!$C:$C,$C154,Budget!$D:$D,T$7)*Summary[[#This Row],[Budget %  Adjustment]]</f>
        <v>0</v>
      </c>
      <c r="U154" s="190">
        <f>SUMIFS(Budget!$E:$E,Budget!$A:$A,$A154,Budget!$C:$C,$C154,Budget!$D:$D,U$7)*Summary[[#This Row],[Budget %  Adjustment]]</f>
        <v>1934841</v>
      </c>
      <c r="V154" s="190">
        <f>Summary[[#This Row],[Promo]]+Summary[[#This Row],[Delivery]]</f>
        <v>0</v>
      </c>
      <c r="W154" s="190">
        <f t="shared" si="8"/>
        <v>1934841</v>
      </c>
      <c r="X154" s="190">
        <f t="shared" si="9"/>
        <v>1934841</v>
      </c>
    </row>
    <row r="155" spans="1:24" x14ac:dyDescent="0.25">
      <c r="A155" s="156">
        <v>2030</v>
      </c>
      <c r="B155" s="247" t="s">
        <v>15</v>
      </c>
      <c r="C155" s="247" t="s">
        <v>27</v>
      </c>
      <c r="D155" s="247" t="s">
        <v>133</v>
      </c>
      <c r="E155" s="249">
        <v>1</v>
      </c>
      <c r="F155" s="250">
        <f>SUMIFS('All Measure &amp; TRC+ Calc'!F:F,'All Measure &amp; TRC+ Calc'!$D:$D,$C155,'All Measure &amp; TRC+ Calc'!$B:$B,$A155)*$E155</f>
        <v>79</v>
      </c>
      <c r="G155" s="250">
        <f>SUMIFS('All Measure &amp; TRC+ Calc'!AD:AD,'All Measure &amp; TRC+ Calc'!$D:$D,$C155,'All Measure &amp; TRC+ Calc'!$B:$B,$A155)*$E155</f>
        <v>90602986.699870914</v>
      </c>
      <c r="H155" s="250">
        <f>SUMIFS('All Measure &amp; TRC+ Calc'!AE:AE,'All Measure &amp; TRC+ Calc'!$D:$D,$C155,'All Measure &amp; TRC+ Calc'!$B:$B,$A155)*$E155</f>
        <v>21518209.34121934</v>
      </c>
      <c r="I155" s="250">
        <f>SUMIFS('All Measure &amp; TRC+ Calc'!AH:AH,'All Measure &amp; TRC+ Calc'!$D:$D,$C155,'All Measure &amp; TRC+ Calc'!$B:$B,$A155)*$E155</f>
        <v>2443864.5295838094</v>
      </c>
      <c r="J155" s="250">
        <f>SUMIFS('All Measure &amp; TRC+ Calc'!AI:AI,'All Measure &amp; TRC+ Calc'!$D:$D,$C155,'All Measure &amp; TRC+ Calc'!$B:$B,$A155)*$E155</f>
        <v>580417.82577615464</v>
      </c>
      <c r="K155" s="250">
        <f>SUMIFS('All Measure &amp; TRC+ Calc'!AL:AL,'All Measure &amp; TRC+ Calc'!$D:$D,$C155,'All Measure &amp; TRC+ Calc'!$B:$B,$A155)*$E155</f>
        <v>278.97996913056926</v>
      </c>
      <c r="L155" s="250">
        <f>SUMIFS('All Measure &amp; TRC+ Calc'!AM:AM,'All Measure &amp; TRC+ Calc'!$D:$D,$C155,'All Measure &amp; TRC+ Calc'!$B:$B,$A155)*$E155</f>
        <v>66.25774266851019</v>
      </c>
      <c r="M155" s="250">
        <f>SUMIFS('All Measure &amp; TRC+ Calc'!AJ:AJ,'All Measure &amp; TRC+ Calc'!$D:$D,$C155,'All Measure &amp; TRC+ Calc'!$B:$B,$A155)*$E155</f>
        <v>132782.32272130242</v>
      </c>
      <c r="N155" s="250">
        <f>SUMIFS('All Measure &amp; TRC+ Calc'!AK:AK,'All Measure &amp; TRC+ Calc'!$D:$D,$C155,'All Measure &amp; TRC+ Calc'!$B:$B,$A155)*$E155</f>
        <v>31535.801646309323</v>
      </c>
      <c r="O155" s="250">
        <f>SUMIFS('All Measure &amp; TRC+ Calc'!AF:AF,'All Measure &amp; TRC+ Calc'!$D:$D,$C155,'All Measure &amp; TRC+ Calc'!$B:$B,$A155)*$E155</f>
        <v>996632853.69858003</v>
      </c>
      <c r="P155" s="250">
        <f>SUMIFS('All Measure &amp; TRC+ Calc'!AG:AG,'All Measure &amp; TRC+ Calc'!$D:$D,$C155,'All Measure &amp; TRC+ Calc'!$B:$B,$A155)*$E155</f>
        <v>236700302.75341272</v>
      </c>
      <c r="Q155" s="249">
        <v>1</v>
      </c>
      <c r="R155" s="190">
        <f>SUMIFS(Budget!$E:$E,Budget!$A:$A,$A155,Budget!$C:$C,$C155,Budget!$D:$D,R$7)*Summary[[#This Row],[Budget %  Adjustment]]</f>
        <v>3579743</v>
      </c>
      <c r="S155" s="190">
        <f>SUMIFS(Budget!$E:$E,Budget!$A:$A,$A155,Budget!$C:$C,$C155,Budget!$D:$D,S$7)*Summary[[#This Row],[Budget %  Adjustment]]</f>
        <v>26312</v>
      </c>
      <c r="T155" s="190">
        <f>SUMIFS(Budget!$E:$E,Budget!$A:$A,$A155,Budget!$C:$C,$C155,Budget!$D:$D,T$7)*Summary[[#This Row],[Budget %  Adjustment]]</f>
        <v>0</v>
      </c>
      <c r="U155" s="190">
        <f>SUMIFS(Budget!$E:$E,Budget!$A:$A,$A155,Budget!$C:$C,$C155,Budget!$D:$D,U$7)*Summary[[#This Row],[Budget %  Adjustment]]</f>
        <v>0</v>
      </c>
      <c r="V155" s="190">
        <f>Summary[[#This Row],[Promo]]+Summary[[#This Row],[Delivery]]</f>
        <v>26312</v>
      </c>
      <c r="W155" s="190">
        <f t="shared" si="8"/>
        <v>26312</v>
      </c>
      <c r="X155" s="190">
        <f t="shared" si="9"/>
        <v>3606055</v>
      </c>
    </row>
    <row r="156" spans="1:24" x14ac:dyDescent="0.25">
      <c r="A156" s="156">
        <v>2030</v>
      </c>
      <c r="B156" s="247" t="s">
        <v>15</v>
      </c>
      <c r="C156" s="247" t="s">
        <v>28</v>
      </c>
      <c r="D156" s="247" t="s">
        <v>28</v>
      </c>
      <c r="E156" s="249">
        <v>1</v>
      </c>
      <c r="F156" s="250">
        <f>SUMIFS('All Measure &amp; TRC+ Calc'!F:F,'All Measure &amp; TRC+ Calc'!$D:$D,$C156,'All Measure &amp; TRC+ Calc'!$B:$B,$A156)*$E156</f>
        <v>0</v>
      </c>
      <c r="G156" s="250">
        <f>SUMIFS('All Measure &amp; TRC+ Calc'!AD:AD,'All Measure &amp; TRC+ Calc'!$D:$D,$C156,'All Measure &amp; TRC+ Calc'!$B:$B,$A156)*$E156</f>
        <v>0</v>
      </c>
      <c r="H156" s="250">
        <f>SUMIFS('All Measure &amp; TRC+ Calc'!AE:AE,'All Measure &amp; TRC+ Calc'!$D:$D,$C156,'All Measure &amp; TRC+ Calc'!$B:$B,$A156)*$E156</f>
        <v>0</v>
      </c>
      <c r="I156" s="250">
        <f>SUMIFS('All Measure &amp; TRC+ Calc'!AH:AH,'All Measure &amp; TRC+ Calc'!$D:$D,$C156,'All Measure &amp; TRC+ Calc'!$B:$B,$A156)*$E156</f>
        <v>0</v>
      </c>
      <c r="J156" s="250">
        <f>SUMIFS('All Measure &amp; TRC+ Calc'!AI:AI,'All Measure &amp; TRC+ Calc'!$D:$D,$C156,'All Measure &amp; TRC+ Calc'!$B:$B,$A156)*$E156</f>
        <v>0</v>
      </c>
      <c r="K156" s="250">
        <f>SUMIFS('All Measure &amp; TRC+ Calc'!AL:AL,'All Measure &amp; TRC+ Calc'!$D:$D,$C156,'All Measure &amp; TRC+ Calc'!$B:$B,$A156)*$E156</f>
        <v>0</v>
      </c>
      <c r="L156" s="250">
        <f>SUMIFS('All Measure &amp; TRC+ Calc'!AM:AM,'All Measure &amp; TRC+ Calc'!$D:$D,$C156,'All Measure &amp; TRC+ Calc'!$B:$B,$A156)*$E156</f>
        <v>0</v>
      </c>
      <c r="M156" s="250">
        <f>SUMIFS('All Measure &amp; TRC+ Calc'!AJ:AJ,'All Measure &amp; TRC+ Calc'!$D:$D,$C156,'All Measure &amp; TRC+ Calc'!$B:$B,$A156)*$E156</f>
        <v>0</v>
      </c>
      <c r="N156" s="250">
        <f>SUMIFS('All Measure &amp; TRC+ Calc'!AK:AK,'All Measure &amp; TRC+ Calc'!$D:$D,$C156,'All Measure &amp; TRC+ Calc'!$B:$B,$A156)*$E156</f>
        <v>0</v>
      </c>
      <c r="O156" s="250">
        <f>SUMIFS('All Measure &amp; TRC+ Calc'!AF:AF,'All Measure &amp; TRC+ Calc'!$D:$D,$C156,'All Measure &amp; TRC+ Calc'!$B:$B,$A156)*$E156</f>
        <v>0</v>
      </c>
      <c r="P156" s="250">
        <f>SUMIFS('All Measure &amp; TRC+ Calc'!AG:AG,'All Measure &amp; TRC+ Calc'!$D:$D,$C156,'All Measure &amp; TRC+ Calc'!$B:$B,$A156)*$E156</f>
        <v>0</v>
      </c>
      <c r="Q156" s="249">
        <v>1</v>
      </c>
      <c r="R156" s="190">
        <f>SUMIFS(Budget!$E:$E,Budget!$A:$A,$A156,Budget!$C:$C,$C156,Budget!$D:$D,R$7)*Summary[[#This Row],[Budget %  Adjustment]]</f>
        <v>0</v>
      </c>
      <c r="S156" s="190">
        <f>SUMIFS(Budget!$E:$E,Budget!$A:$A,$A156,Budget!$C:$C,$C156,Budget!$D:$D,S$7)*Summary[[#This Row],[Budget %  Adjustment]]</f>
        <v>0</v>
      </c>
      <c r="T156" s="190">
        <f>SUMIFS(Budget!$E:$E,Budget!$A:$A,$A156,Budget!$C:$C,$C156,Budget!$D:$D,T$7)*Summary[[#This Row],[Budget %  Adjustment]]</f>
        <v>0</v>
      </c>
      <c r="U156" s="190">
        <f>SUMIFS(Budget!$E:$E,Budget!$A:$A,$A156,Budget!$C:$C,$C156,Budget!$D:$D,U$7)*Summary[[#This Row],[Budget %  Adjustment]]</f>
        <v>290430</v>
      </c>
      <c r="V156" s="190">
        <f>Summary[[#This Row],[Promo]]+Summary[[#This Row],[Delivery]]</f>
        <v>0</v>
      </c>
      <c r="W156" s="190">
        <f t="shared" si="8"/>
        <v>290430</v>
      </c>
      <c r="X156" s="190">
        <f t="shared" si="9"/>
        <v>290430</v>
      </c>
    </row>
    <row r="157" spans="1:24" x14ac:dyDescent="0.25">
      <c r="A157" s="156">
        <v>2030</v>
      </c>
      <c r="B157" s="247" t="s">
        <v>254</v>
      </c>
      <c r="C157" s="247" t="s">
        <v>174</v>
      </c>
      <c r="D157" s="247" t="s">
        <v>174</v>
      </c>
      <c r="E157" s="249">
        <v>1</v>
      </c>
      <c r="F157" s="250">
        <f>SUMIFS('All Measure &amp; TRC+ Calc'!F:F,'All Measure &amp; TRC+ Calc'!$D:$D,$C157,'All Measure &amp; TRC+ Calc'!$B:$B,$A157)*$E157</f>
        <v>0</v>
      </c>
      <c r="G157" s="250">
        <f>SUMIFS('All Measure &amp; TRC+ Calc'!AD:AD,'All Measure &amp; TRC+ Calc'!$D:$D,$C157,'All Measure &amp; TRC+ Calc'!$B:$B,$A157)*$E157</f>
        <v>0</v>
      </c>
      <c r="H157" s="250">
        <f>SUMIFS('All Measure &amp; TRC+ Calc'!AE:AE,'All Measure &amp; TRC+ Calc'!$D:$D,$C157,'All Measure &amp; TRC+ Calc'!$B:$B,$A157)*$E157</f>
        <v>0</v>
      </c>
      <c r="I157" s="250">
        <f>SUMIFS('All Measure &amp; TRC+ Calc'!AH:AH,'All Measure &amp; TRC+ Calc'!$D:$D,$C157,'All Measure &amp; TRC+ Calc'!$B:$B,$A157)*$E157</f>
        <v>0</v>
      </c>
      <c r="J157" s="250">
        <f>SUMIFS('All Measure &amp; TRC+ Calc'!AI:AI,'All Measure &amp; TRC+ Calc'!$D:$D,$C157,'All Measure &amp; TRC+ Calc'!$B:$B,$A157)*$E157</f>
        <v>0</v>
      </c>
      <c r="K157" s="250">
        <f>SUMIFS('All Measure &amp; TRC+ Calc'!AL:AL,'All Measure &amp; TRC+ Calc'!$D:$D,$C157,'All Measure &amp; TRC+ Calc'!$B:$B,$A157)*$E157</f>
        <v>0</v>
      </c>
      <c r="L157" s="250">
        <f>SUMIFS('All Measure &amp; TRC+ Calc'!AM:AM,'All Measure &amp; TRC+ Calc'!$D:$D,$C157,'All Measure &amp; TRC+ Calc'!$B:$B,$A157)*$E157</f>
        <v>0</v>
      </c>
      <c r="M157" s="250">
        <f>SUMIFS('All Measure &amp; TRC+ Calc'!AJ:AJ,'All Measure &amp; TRC+ Calc'!$D:$D,$C157,'All Measure &amp; TRC+ Calc'!$B:$B,$A157)*$E157</f>
        <v>0</v>
      </c>
      <c r="N157" s="250">
        <f>SUMIFS('All Measure &amp; TRC+ Calc'!AK:AK,'All Measure &amp; TRC+ Calc'!$D:$D,$C157,'All Measure &amp; TRC+ Calc'!$B:$B,$A157)*$E157</f>
        <v>0</v>
      </c>
      <c r="O157" s="250">
        <f>SUMIFS('All Measure &amp; TRC+ Calc'!AF:AF,'All Measure &amp; TRC+ Calc'!$D:$D,$C157,'All Measure &amp; TRC+ Calc'!$B:$B,$A157)*$E157</f>
        <v>0</v>
      </c>
      <c r="P157" s="250">
        <f>SUMIFS('All Measure &amp; TRC+ Calc'!AG:AG,'All Measure &amp; TRC+ Calc'!$D:$D,$C157,'All Measure &amp; TRC+ Calc'!$B:$B,$A157)*$E157</f>
        <v>0</v>
      </c>
      <c r="Q157" s="249">
        <v>1</v>
      </c>
      <c r="R157" s="190">
        <f>SUMIFS(Budget!$E:$E,Budget!$A:$A,$A157,Budget!$C:$C,$C157,Budget!$D:$D,R$7)*Summary[[#This Row],[Budget %  Adjustment]]</f>
        <v>0</v>
      </c>
      <c r="S157" s="190">
        <f>SUMIFS(Budget!$E:$E,Budget!$A:$A,$A157,Budget!$C:$C,$C157,Budget!$D:$D,S$7)*Summary[[#This Row],[Budget %  Adjustment]]</f>
        <v>0</v>
      </c>
      <c r="T157" s="190">
        <f>SUMIFS(Budget!$E:$E,Budget!$A:$A,$A157,Budget!$C:$C,$C157,Budget!$D:$D,T$7)*Summary[[#This Row],[Budget %  Adjustment]]</f>
        <v>0</v>
      </c>
      <c r="U157" s="190">
        <f>SUMIFS(Budget!$E:$E,Budget!$A:$A,$A157,Budget!$C:$C,$C157,Budget!$D:$D,U$7)*Summary[[#This Row],[Budget %  Adjustment]]</f>
        <v>0</v>
      </c>
      <c r="V157" s="190">
        <f>Summary[[#This Row],[Promo]]+Summary[[#This Row],[Delivery]]</f>
        <v>0</v>
      </c>
      <c r="W157" s="190">
        <f t="shared" si="8"/>
        <v>0</v>
      </c>
      <c r="X157" s="190">
        <f t="shared" si="9"/>
        <v>0</v>
      </c>
    </row>
    <row r="158" spans="1:24" x14ac:dyDescent="0.25">
      <c r="A158" s="156">
        <v>2030</v>
      </c>
      <c r="B158" s="247" t="s">
        <v>253</v>
      </c>
      <c r="C158" s="247" t="s">
        <v>175</v>
      </c>
      <c r="D158" s="247" t="s">
        <v>257</v>
      </c>
      <c r="E158" s="249">
        <v>1</v>
      </c>
      <c r="F158" s="250">
        <f>SUMIFS('All Measure &amp; TRC+ Calc'!F:F,'All Measure &amp; TRC+ Calc'!$D:$D,$C158,'All Measure &amp; TRC+ Calc'!$B:$B,$A158)*$E158</f>
        <v>0</v>
      </c>
      <c r="G158" s="250">
        <f>SUMIFS('All Measure &amp; TRC+ Calc'!AD:AD,'All Measure &amp; TRC+ Calc'!$D:$D,$C158,'All Measure &amp; TRC+ Calc'!$B:$B,$A158)*$E158</f>
        <v>0</v>
      </c>
      <c r="H158" s="250">
        <f>SUMIFS('All Measure &amp; TRC+ Calc'!AE:AE,'All Measure &amp; TRC+ Calc'!$D:$D,$C158,'All Measure &amp; TRC+ Calc'!$B:$B,$A158)*$E158</f>
        <v>0</v>
      </c>
      <c r="I158" s="250">
        <f>SUMIFS('All Measure &amp; TRC+ Calc'!AH:AH,'All Measure &amp; TRC+ Calc'!$D:$D,$C158,'All Measure &amp; TRC+ Calc'!$B:$B,$A158)*$E158</f>
        <v>0</v>
      </c>
      <c r="J158" s="250">
        <f>SUMIFS('All Measure &amp; TRC+ Calc'!AI:AI,'All Measure &amp; TRC+ Calc'!$D:$D,$C158,'All Measure &amp; TRC+ Calc'!$B:$B,$A158)*$E158</f>
        <v>0</v>
      </c>
      <c r="K158" s="250">
        <f>SUMIFS('All Measure &amp; TRC+ Calc'!AL:AL,'All Measure &amp; TRC+ Calc'!$D:$D,$C158,'All Measure &amp; TRC+ Calc'!$B:$B,$A158)*$E158</f>
        <v>0</v>
      </c>
      <c r="L158" s="250">
        <f>SUMIFS('All Measure &amp; TRC+ Calc'!AM:AM,'All Measure &amp; TRC+ Calc'!$D:$D,$C158,'All Measure &amp; TRC+ Calc'!$B:$B,$A158)*$E158</f>
        <v>0</v>
      </c>
      <c r="M158" s="250">
        <f>SUMIFS('All Measure &amp; TRC+ Calc'!AJ:AJ,'All Measure &amp; TRC+ Calc'!$D:$D,$C158,'All Measure &amp; TRC+ Calc'!$B:$B,$A158)*$E158</f>
        <v>0</v>
      </c>
      <c r="N158" s="250">
        <f>SUMIFS('All Measure &amp; TRC+ Calc'!AK:AK,'All Measure &amp; TRC+ Calc'!$D:$D,$C158,'All Measure &amp; TRC+ Calc'!$B:$B,$A158)*$E158</f>
        <v>0</v>
      </c>
      <c r="O158" s="250">
        <f>SUMIFS('All Measure &amp; TRC+ Calc'!AF:AF,'All Measure &amp; TRC+ Calc'!$D:$D,$C158,'All Measure &amp; TRC+ Calc'!$B:$B,$A158)*$E158</f>
        <v>0</v>
      </c>
      <c r="P158" s="250">
        <f>SUMIFS('All Measure &amp; TRC+ Calc'!AG:AG,'All Measure &amp; TRC+ Calc'!$D:$D,$C158,'All Measure &amp; TRC+ Calc'!$B:$B,$A158)*$E158</f>
        <v>0</v>
      </c>
      <c r="Q158" s="249">
        <v>1</v>
      </c>
      <c r="R158" s="190">
        <f>SUMIFS(Budget!$E:$E,Budget!$A:$A,$A158,Budget!$C:$C,$C158,Budget!$D:$D,R$7)*Summary[[#This Row],[Budget %  Adjustment]]</f>
        <v>0</v>
      </c>
      <c r="S158" s="190">
        <f>SUMIFS(Budget!$E:$E,Budget!$A:$A,$A158,Budget!$C:$C,$C158,Budget!$D:$D,S$7)*Summary[[#This Row],[Budget %  Adjustment]]</f>
        <v>0</v>
      </c>
      <c r="T158" s="190">
        <f>SUMIFS(Budget!$E:$E,Budget!$A:$A,$A158,Budget!$C:$C,$C158,Budget!$D:$D,T$7)*Summary[[#This Row],[Budget %  Adjustment]]</f>
        <v>0</v>
      </c>
      <c r="U158" s="190">
        <f>SUMIFS(Budget!$E:$E,Budget!$A:$A,$A158,Budget!$C:$C,$C158,Budget!$D:$D,U$7)*Summary[[#This Row],[Budget %  Adjustment]]</f>
        <v>0</v>
      </c>
      <c r="V158" s="190">
        <f>Summary[[#This Row],[Promo]]+Summary[[#This Row],[Delivery]]</f>
        <v>0</v>
      </c>
      <c r="W158" s="190">
        <f t="shared" si="8"/>
        <v>0</v>
      </c>
      <c r="X158" s="190">
        <f t="shared" si="9"/>
        <v>0</v>
      </c>
    </row>
    <row r="159" spans="1:24" x14ac:dyDescent="0.25">
      <c r="A159" s="156">
        <v>2030</v>
      </c>
      <c r="B159" s="247" t="s">
        <v>253</v>
      </c>
      <c r="C159" s="247" t="s">
        <v>176</v>
      </c>
      <c r="D159" s="247" t="s">
        <v>176</v>
      </c>
      <c r="E159" s="249">
        <v>1</v>
      </c>
      <c r="F159" s="250">
        <f>SUMIFS('All Measure &amp; TRC+ Calc'!F:F,'All Measure &amp; TRC+ Calc'!$D:$D,$C159,'All Measure &amp; TRC+ Calc'!$B:$B,$A159)*$E159</f>
        <v>0</v>
      </c>
      <c r="G159" s="250">
        <f>SUMIFS('All Measure &amp; TRC+ Calc'!AD:AD,'All Measure &amp; TRC+ Calc'!$D:$D,$C159,'All Measure &amp; TRC+ Calc'!$B:$B,$A159)*$E159</f>
        <v>0</v>
      </c>
      <c r="H159" s="250">
        <f>SUMIFS('All Measure &amp; TRC+ Calc'!AE:AE,'All Measure &amp; TRC+ Calc'!$D:$D,$C159,'All Measure &amp; TRC+ Calc'!$B:$B,$A159)*$E159</f>
        <v>0</v>
      </c>
      <c r="I159" s="250">
        <f>SUMIFS('All Measure &amp; TRC+ Calc'!AH:AH,'All Measure &amp; TRC+ Calc'!$D:$D,$C159,'All Measure &amp; TRC+ Calc'!$B:$B,$A159)*$E159</f>
        <v>0</v>
      </c>
      <c r="J159" s="250">
        <f>SUMIFS('All Measure &amp; TRC+ Calc'!AI:AI,'All Measure &amp; TRC+ Calc'!$D:$D,$C159,'All Measure &amp; TRC+ Calc'!$B:$B,$A159)*$E159</f>
        <v>0</v>
      </c>
      <c r="K159" s="250">
        <f>SUMIFS('All Measure &amp; TRC+ Calc'!AL:AL,'All Measure &amp; TRC+ Calc'!$D:$D,$C159,'All Measure &amp; TRC+ Calc'!$B:$B,$A159)*$E159</f>
        <v>0</v>
      </c>
      <c r="L159" s="250">
        <f>SUMIFS('All Measure &amp; TRC+ Calc'!AM:AM,'All Measure &amp; TRC+ Calc'!$D:$D,$C159,'All Measure &amp; TRC+ Calc'!$B:$B,$A159)*$E159</f>
        <v>0</v>
      </c>
      <c r="M159" s="250">
        <f>SUMIFS('All Measure &amp; TRC+ Calc'!AJ:AJ,'All Measure &amp; TRC+ Calc'!$D:$D,$C159,'All Measure &amp; TRC+ Calc'!$B:$B,$A159)*$E159</f>
        <v>0</v>
      </c>
      <c r="N159" s="250">
        <f>SUMIFS('All Measure &amp; TRC+ Calc'!AK:AK,'All Measure &amp; TRC+ Calc'!$D:$D,$C159,'All Measure &amp; TRC+ Calc'!$B:$B,$A159)*$E159</f>
        <v>0</v>
      </c>
      <c r="O159" s="250">
        <f>SUMIFS('All Measure &amp; TRC+ Calc'!AF:AF,'All Measure &amp; TRC+ Calc'!$D:$D,$C159,'All Measure &amp; TRC+ Calc'!$B:$B,$A159)*$E159</f>
        <v>0</v>
      </c>
      <c r="P159" s="250">
        <f>SUMIFS('All Measure &amp; TRC+ Calc'!AG:AG,'All Measure &amp; TRC+ Calc'!$D:$D,$C159,'All Measure &amp; TRC+ Calc'!$B:$B,$A159)*$E159</f>
        <v>0</v>
      </c>
      <c r="Q159" s="249">
        <v>1</v>
      </c>
      <c r="R159" s="190">
        <f>SUMIFS(Budget!$E:$E,Budget!$A:$A,$A159,Budget!$C:$C,$C159,Budget!$D:$D,R$7)*Summary[[#This Row],[Budget %  Adjustment]]</f>
        <v>0</v>
      </c>
      <c r="S159" s="190">
        <f>SUMIFS(Budget!$E:$E,Budget!$A:$A,$A159,Budget!$C:$C,$C159,Budget!$D:$D,S$7)*Summary[[#This Row],[Budget %  Adjustment]]</f>
        <v>0</v>
      </c>
      <c r="T159" s="190">
        <f>SUMIFS(Budget!$E:$E,Budget!$A:$A,$A159,Budget!$C:$C,$C159,Budget!$D:$D,T$7)*Summary[[#This Row],[Budget %  Adjustment]]</f>
        <v>0</v>
      </c>
      <c r="U159" s="190">
        <f>SUMIFS(Budget!$E:$E,Budget!$A:$A,$A159,Budget!$C:$C,$C159,Budget!$D:$D,U$7)*Summary[[#This Row],[Budget %  Adjustment]]</f>
        <v>0</v>
      </c>
      <c r="V159" s="190">
        <f>Summary[[#This Row],[Promo]]+Summary[[#This Row],[Delivery]]</f>
        <v>0</v>
      </c>
      <c r="W159" s="190">
        <f t="shared" si="8"/>
        <v>0</v>
      </c>
      <c r="X159" s="190">
        <f t="shared" si="9"/>
        <v>0</v>
      </c>
    </row>
    <row r="160" spans="1:24" x14ac:dyDescent="0.25">
      <c r="A160" s="156">
        <v>2030</v>
      </c>
      <c r="B160" s="247" t="s">
        <v>29</v>
      </c>
      <c r="C160" s="247" t="s">
        <v>30</v>
      </c>
      <c r="D160" s="247" t="s">
        <v>258</v>
      </c>
      <c r="E160" s="249">
        <v>1</v>
      </c>
      <c r="F160" s="250">
        <f>SUMIFS('All Measure &amp; TRC+ Calc'!F:F,'All Measure &amp; TRC+ Calc'!$D:$D,$C160,'All Measure &amp; TRC+ Calc'!$B:$B,$A160)*$E160</f>
        <v>0</v>
      </c>
      <c r="G160" s="250">
        <f>SUMIFS('All Measure &amp; TRC+ Calc'!AD:AD,'All Measure &amp; TRC+ Calc'!$D:$D,$C160,'All Measure &amp; TRC+ Calc'!$B:$B,$A160)*$E160</f>
        <v>0</v>
      </c>
      <c r="H160" s="250">
        <f>SUMIFS('All Measure &amp; TRC+ Calc'!AE:AE,'All Measure &amp; TRC+ Calc'!$D:$D,$C160,'All Measure &amp; TRC+ Calc'!$B:$B,$A160)*$E160</f>
        <v>0</v>
      </c>
      <c r="I160" s="250">
        <f>SUMIFS('All Measure &amp; TRC+ Calc'!AH:AH,'All Measure &amp; TRC+ Calc'!$D:$D,$C160,'All Measure &amp; TRC+ Calc'!$B:$B,$A160)*$E160</f>
        <v>0</v>
      </c>
      <c r="J160" s="250">
        <f>SUMIFS('All Measure &amp; TRC+ Calc'!AI:AI,'All Measure &amp; TRC+ Calc'!$D:$D,$C160,'All Measure &amp; TRC+ Calc'!$B:$B,$A160)*$E160</f>
        <v>0</v>
      </c>
      <c r="K160" s="250">
        <f>SUMIFS('All Measure &amp; TRC+ Calc'!AL:AL,'All Measure &amp; TRC+ Calc'!$D:$D,$C160,'All Measure &amp; TRC+ Calc'!$B:$B,$A160)*$E160</f>
        <v>0</v>
      </c>
      <c r="L160" s="250">
        <f>SUMIFS('All Measure &amp; TRC+ Calc'!AM:AM,'All Measure &amp; TRC+ Calc'!$D:$D,$C160,'All Measure &amp; TRC+ Calc'!$B:$B,$A160)*$E160</f>
        <v>0</v>
      </c>
      <c r="M160" s="250">
        <f>SUMIFS('All Measure &amp; TRC+ Calc'!AJ:AJ,'All Measure &amp; TRC+ Calc'!$D:$D,$C160,'All Measure &amp; TRC+ Calc'!$B:$B,$A160)*$E160</f>
        <v>0</v>
      </c>
      <c r="N160" s="250">
        <f>SUMIFS('All Measure &amp; TRC+ Calc'!AK:AK,'All Measure &amp; TRC+ Calc'!$D:$D,$C160,'All Measure &amp; TRC+ Calc'!$B:$B,$A160)*$E160</f>
        <v>0</v>
      </c>
      <c r="O160" s="250">
        <f>SUMIFS('All Measure &amp; TRC+ Calc'!AF:AF,'All Measure &amp; TRC+ Calc'!$D:$D,$C160,'All Measure &amp; TRC+ Calc'!$B:$B,$A160)*$E160</f>
        <v>0</v>
      </c>
      <c r="P160" s="250">
        <f>SUMIFS('All Measure &amp; TRC+ Calc'!AG:AG,'All Measure &amp; TRC+ Calc'!$D:$D,$C160,'All Measure &amp; TRC+ Calc'!$B:$B,$A160)*$E160</f>
        <v>0</v>
      </c>
      <c r="Q160" s="249">
        <v>1</v>
      </c>
      <c r="R160" s="190">
        <f>SUMIFS(Budget!$E:$E,Budget!$A:$A,$A160,Budget!$C:$C,$C160,Budget!$D:$D,R$7)*Summary[[#This Row],[Budget %  Adjustment]]</f>
        <v>0</v>
      </c>
      <c r="S160" s="190">
        <f>SUMIFS(Budget!$E:$E,Budget!$A:$A,$A160,Budget!$C:$C,$C160,Budget!$D:$D,S$7)*Summary[[#This Row],[Budget %  Adjustment]]</f>
        <v>0</v>
      </c>
      <c r="T160" s="190">
        <f>SUMIFS(Budget!$E:$E,Budget!$A:$A,$A160,Budget!$C:$C,$C160,Budget!$D:$D,T$7)*Summary[[#This Row],[Budget %  Adjustment]]</f>
        <v>0</v>
      </c>
      <c r="U160" s="190">
        <f>SUMIFS(Budget!$E:$E,Budget!$A:$A,$A160,Budget!$C:$C,$C160,Budget!$D:$D,U$7)*Summary[[#This Row],[Budget %  Adjustment]]</f>
        <v>8108038</v>
      </c>
      <c r="V160" s="190">
        <f>Summary[[#This Row],[Promo]]+Summary[[#This Row],[Delivery]]</f>
        <v>0</v>
      </c>
      <c r="W160" s="190">
        <f t="shared" si="8"/>
        <v>8108038</v>
      </c>
      <c r="X160" s="190">
        <f t="shared" si="9"/>
        <v>8108038</v>
      </c>
    </row>
    <row r="161" spans="1:24" x14ac:dyDescent="0.25">
      <c r="A161" s="156">
        <v>2030</v>
      </c>
      <c r="B161" s="247" t="s">
        <v>29</v>
      </c>
      <c r="C161" s="247" t="s">
        <v>32</v>
      </c>
      <c r="D161" s="247" t="s">
        <v>32</v>
      </c>
      <c r="E161" s="249">
        <v>1</v>
      </c>
      <c r="F161" s="250">
        <f>SUMIFS('All Measure &amp; TRC+ Calc'!F:F,'All Measure &amp; TRC+ Calc'!$D:$D,$C161,'All Measure &amp; TRC+ Calc'!$B:$B,$A161)*$E161</f>
        <v>0</v>
      </c>
      <c r="G161" s="250">
        <f>SUMIFS('All Measure &amp; TRC+ Calc'!AD:AD,'All Measure &amp; TRC+ Calc'!$D:$D,$C161,'All Measure &amp; TRC+ Calc'!$B:$B,$A161)*$E161</f>
        <v>0</v>
      </c>
      <c r="H161" s="250">
        <f>SUMIFS('All Measure &amp; TRC+ Calc'!AE:AE,'All Measure &amp; TRC+ Calc'!$D:$D,$C161,'All Measure &amp; TRC+ Calc'!$B:$B,$A161)*$E161</f>
        <v>0</v>
      </c>
      <c r="I161" s="250">
        <f>SUMIFS('All Measure &amp; TRC+ Calc'!AH:AH,'All Measure &amp; TRC+ Calc'!$D:$D,$C161,'All Measure &amp; TRC+ Calc'!$B:$B,$A161)*$E161</f>
        <v>0</v>
      </c>
      <c r="J161" s="250">
        <f>SUMIFS('All Measure &amp; TRC+ Calc'!AI:AI,'All Measure &amp; TRC+ Calc'!$D:$D,$C161,'All Measure &amp; TRC+ Calc'!$B:$B,$A161)*$E161</f>
        <v>0</v>
      </c>
      <c r="K161" s="250">
        <f>SUMIFS('All Measure &amp; TRC+ Calc'!AL:AL,'All Measure &amp; TRC+ Calc'!$D:$D,$C161,'All Measure &amp; TRC+ Calc'!$B:$B,$A161)*$E161</f>
        <v>0</v>
      </c>
      <c r="L161" s="250">
        <f>SUMIFS('All Measure &amp; TRC+ Calc'!AM:AM,'All Measure &amp; TRC+ Calc'!$D:$D,$C161,'All Measure &amp; TRC+ Calc'!$B:$B,$A161)*$E161</f>
        <v>0</v>
      </c>
      <c r="M161" s="250">
        <f>SUMIFS('All Measure &amp; TRC+ Calc'!AJ:AJ,'All Measure &amp; TRC+ Calc'!$D:$D,$C161,'All Measure &amp; TRC+ Calc'!$B:$B,$A161)*$E161</f>
        <v>0</v>
      </c>
      <c r="N161" s="250">
        <f>SUMIFS('All Measure &amp; TRC+ Calc'!AK:AK,'All Measure &amp; TRC+ Calc'!$D:$D,$C161,'All Measure &amp; TRC+ Calc'!$B:$B,$A161)*$E161</f>
        <v>0</v>
      </c>
      <c r="O161" s="250">
        <f>SUMIFS('All Measure &amp; TRC+ Calc'!AF:AF,'All Measure &amp; TRC+ Calc'!$D:$D,$C161,'All Measure &amp; TRC+ Calc'!$B:$B,$A161)*$E161</f>
        <v>0</v>
      </c>
      <c r="P161" s="250">
        <f>SUMIFS('All Measure &amp; TRC+ Calc'!AG:AG,'All Measure &amp; TRC+ Calc'!$D:$D,$C161,'All Measure &amp; TRC+ Calc'!$B:$B,$A161)*$E161</f>
        <v>0</v>
      </c>
      <c r="Q161" s="249">
        <v>1</v>
      </c>
      <c r="R161" s="190">
        <f>SUMIFS(Budget!$E:$E,Budget!$A:$A,$A161,Budget!$C:$C,$C161,Budget!$D:$D,R$7)*Summary[[#This Row],[Budget %  Adjustment]]</f>
        <v>0</v>
      </c>
      <c r="S161" s="190">
        <f>SUMIFS(Budget!$E:$E,Budget!$A:$A,$A161,Budget!$C:$C,$C161,Budget!$D:$D,S$7)*Summary[[#This Row],[Budget %  Adjustment]]</f>
        <v>0</v>
      </c>
      <c r="T161" s="190">
        <f>SUMIFS(Budget!$E:$E,Budget!$A:$A,$A161,Budget!$C:$C,$C161,Budget!$D:$D,T$7)*Summary[[#This Row],[Budget %  Adjustment]]</f>
        <v>0</v>
      </c>
      <c r="U161" s="190">
        <f>SUMIFS(Budget!$E:$E,Budget!$A:$A,$A161,Budget!$C:$C,$C161,Budget!$D:$D,U$7)*Summary[[#This Row],[Budget %  Adjustment]]</f>
        <v>1455596</v>
      </c>
      <c r="V161" s="190">
        <f>Summary[[#This Row],[Promo]]+Summary[[#This Row],[Delivery]]</f>
        <v>0</v>
      </c>
      <c r="W161" s="190">
        <f t="shared" si="8"/>
        <v>1455596</v>
      </c>
      <c r="X161" s="190">
        <f t="shared" si="9"/>
        <v>1455596</v>
      </c>
    </row>
    <row r="162" spans="1:24" x14ac:dyDescent="0.25">
      <c r="A162" s="156">
        <v>2030</v>
      </c>
      <c r="B162" s="247" t="s">
        <v>29</v>
      </c>
      <c r="C162" s="247" t="s">
        <v>177</v>
      </c>
      <c r="D162" s="247" t="s">
        <v>177</v>
      </c>
      <c r="E162" s="249">
        <v>1</v>
      </c>
      <c r="F162" s="250">
        <f>SUMIFS('All Measure &amp; TRC+ Calc'!F:F,'All Measure &amp; TRC+ Calc'!$D:$D,$C162,'All Measure &amp; TRC+ Calc'!$B:$B,$A162)*$E162</f>
        <v>0</v>
      </c>
      <c r="G162" s="250">
        <f>SUMIFS('All Measure &amp; TRC+ Calc'!AD:AD,'All Measure &amp; TRC+ Calc'!$D:$D,$C162,'All Measure &amp; TRC+ Calc'!$B:$B,$A162)*$E162</f>
        <v>0</v>
      </c>
      <c r="H162" s="250">
        <f>SUMIFS('All Measure &amp; TRC+ Calc'!AE:AE,'All Measure &amp; TRC+ Calc'!$D:$D,$C162,'All Measure &amp; TRC+ Calc'!$B:$B,$A162)*$E162</f>
        <v>0</v>
      </c>
      <c r="I162" s="250">
        <f>SUMIFS('All Measure &amp; TRC+ Calc'!AH:AH,'All Measure &amp; TRC+ Calc'!$D:$D,$C162,'All Measure &amp; TRC+ Calc'!$B:$B,$A162)*$E162</f>
        <v>0</v>
      </c>
      <c r="J162" s="250">
        <f>SUMIFS('All Measure &amp; TRC+ Calc'!AI:AI,'All Measure &amp; TRC+ Calc'!$D:$D,$C162,'All Measure &amp; TRC+ Calc'!$B:$B,$A162)*$E162</f>
        <v>0</v>
      </c>
      <c r="K162" s="250">
        <f>SUMIFS('All Measure &amp; TRC+ Calc'!AL:AL,'All Measure &amp; TRC+ Calc'!$D:$D,$C162,'All Measure &amp; TRC+ Calc'!$B:$B,$A162)*$E162</f>
        <v>0</v>
      </c>
      <c r="L162" s="250">
        <f>SUMIFS('All Measure &amp; TRC+ Calc'!AM:AM,'All Measure &amp; TRC+ Calc'!$D:$D,$C162,'All Measure &amp; TRC+ Calc'!$B:$B,$A162)*$E162</f>
        <v>0</v>
      </c>
      <c r="M162" s="250">
        <f>SUMIFS('All Measure &amp; TRC+ Calc'!AJ:AJ,'All Measure &amp; TRC+ Calc'!$D:$D,$C162,'All Measure &amp; TRC+ Calc'!$B:$B,$A162)*$E162</f>
        <v>0</v>
      </c>
      <c r="N162" s="250">
        <f>SUMIFS('All Measure &amp; TRC+ Calc'!AK:AK,'All Measure &amp; TRC+ Calc'!$D:$D,$C162,'All Measure &amp; TRC+ Calc'!$B:$B,$A162)*$E162</f>
        <v>0</v>
      </c>
      <c r="O162" s="250">
        <f>SUMIFS('All Measure &amp; TRC+ Calc'!AF:AF,'All Measure &amp; TRC+ Calc'!$D:$D,$C162,'All Measure &amp; TRC+ Calc'!$B:$B,$A162)*$E162</f>
        <v>0</v>
      </c>
      <c r="P162" s="250">
        <f>SUMIFS('All Measure &amp; TRC+ Calc'!AG:AG,'All Measure &amp; TRC+ Calc'!$D:$D,$C162,'All Measure &amp; TRC+ Calc'!$B:$B,$A162)*$E162</f>
        <v>0</v>
      </c>
      <c r="Q162" s="249">
        <v>1</v>
      </c>
      <c r="R162" s="190">
        <f>SUMIFS(Budget!$E:$E,Budget!$A:$A,$A162,Budget!$C:$C,$C162,Budget!$D:$D,R$7)*Summary[[#This Row],[Budget %  Adjustment]]</f>
        <v>0</v>
      </c>
      <c r="S162" s="190">
        <f>SUMIFS(Budget!$E:$E,Budget!$A:$A,$A162,Budget!$C:$C,$C162,Budget!$D:$D,S$7)*Summary[[#This Row],[Budget %  Adjustment]]</f>
        <v>0</v>
      </c>
      <c r="T162" s="190">
        <f>SUMIFS(Budget!$E:$E,Budget!$A:$A,$A162,Budget!$C:$C,$C162,Budget!$D:$D,T$7)*Summary[[#This Row],[Budget %  Adjustment]]</f>
        <v>0</v>
      </c>
      <c r="U162" s="190">
        <f>SUMIFS(Budget!$E:$E,Budget!$A:$A,$A162,Budget!$C:$C,$C162,Budget!$D:$D,U$7)*Summary[[#This Row],[Budget %  Adjustment]]</f>
        <v>642020</v>
      </c>
      <c r="V162" s="190">
        <f>Summary[[#This Row],[Promo]]+Summary[[#This Row],[Delivery]]</f>
        <v>0</v>
      </c>
      <c r="W162" s="190">
        <f t="shared" si="8"/>
        <v>642020</v>
      </c>
      <c r="X162" s="190">
        <f t="shared" si="9"/>
        <v>642020</v>
      </c>
    </row>
    <row r="163" spans="1:24" x14ac:dyDescent="0.25">
      <c r="A163" s="156">
        <v>2030</v>
      </c>
      <c r="B163" s="247" t="s">
        <v>33</v>
      </c>
      <c r="C163" s="247" t="s">
        <v>34</v>
      </c>
      <c r="D163" s="247" t="s">
        <v>34</v>
      </c>
      <c r="E163" s="249">
        <v>1</v>
      </c>
      <c r="F163" s="250">
        <f>SUMIFS('All Measure &amp; TRC+ Calc'!F:F,'All Measure &amp; TRC+ Calc'!$D:$D,$C163,'All Measure &amp; TRC+ Calc'!$B:$B,$A163)*$E163</f>
        <v>0</v>
      </c>
      <c r="G163" s="250">
        <f>SUMIFS('All Measure &amp; TRC+ Calc'!AD:AD,'All Measure &amp; TRC+ Calc'!$D:$D,$C163,'All Measure &amp; TRC+ Calc'!$B:$B,$A163)*$E163</f>
        <v>0</v>
      </c>
      <c r="H163" s="250">
        <f>SUMIFS('All Measure &amp; TRC+ Calc'!AE:AE,'All Measure &amp; TRC+ Calc'!$D:$D,$C163,'All Measure &amp; TRC+ Calc'!$B:$B,$A163)*$E163</f>
        <v>0</v>
      </c>
      <c r="I163" s="250">
        <f>SUMIFS('All Measure &amp; TRC+ Calc'!AH:AH,'All Measure &amp; TRC+ Calc'!$D:$D,$C163,'All Measure &amp; TRC+ Calc'!$B:$B,$A163)*$E163</f>
        <v>0</v>
      </c>
      <c r="J163" s="250">
        <f>SUMIFS('All Measure &amp; TRC+ Calc'!AI:AI,'All Measure &amp; TRC+ Calc'!$D:$D,$C163,'All Measure &amp; TRC+ Calc'!$B:$B,$A163)*$E163</f>
        <v>0</v>
      </c>
      <c r="K163" s="250">
        <f>SUMIFS('All Measure &amp; TRC+ Calc'!AL:AL,'All Measure &amp; TRC+ Calc'!$D:$D,$C163,'All Measure &amp; TRC+ Calc'!$B:$B,$A163)*$E163</f>
        <v>0</v>
      </c>
      <c r="L163" s="250">
        <f>SUMIFS('All Measure &amp; TRC+ Calc'!AM:AM,'All Measure &amp; TRC+ Calc'!$D:$D,$C163,'All Measure &amp; TRC+ Calc'!$B:$B,$A163)*$E163</f>
        <v>0</v>
      </c>
      <c r="M163" s="250">
        <f>SUMIFS('All Measure &amp; TRC+ Calc'!AJ:AJ,'All Measure &amp; TRC+ Calc'!$D:$D,$C163,'All Measure &amp; TRC+ Calc'!$B:$B,$A163)*$E163</f>
        <v>0</v>
      </c>
      <c r="N163" s="250">
        <f>SUMIFS('All Measure &amp; TRC+ Calc'!AK:AK,'All Measure &amp; TRC+ Calc'!$D:$D,$C163,'All Measure &amp; TRC+ Calc'!$B:$B,$A163)*$E163</f>
        <v>0</v>
      </c>
      <c r="O163" s="250">
        <f>SUMIFS('All Measure &amp; TRC+ Calc'!AF:AF,'All Measure &amp; TRC+ Calc'!$D:$D,$C163,'All Measure &amp; TRC+ Calc'!$B:$B,$A163)*$E163</f>
        <v>0</v>
      </c>
      <c r="P163" s="250">
        <f>SUMIFS('All Measure &amp; TRC+ Calc'!AG:AG,'All Measure &amp; TRC+ Calc'!$D:$D,$C163,'All Measure &amp; TRC+ Calc'!$B:$B,$A163)*$E163</f>
        <v>0</v>
      </c>
      <c r="Q163" s="249">
        <v>1</v>
      </c>
      <c r="R163" s="190">
        <f>SUMIFS(Budget!$E:$E,Budget!$A:$A,$A163,Budget!$C:$C,$C163,Budget!$D:$D,R$7)*Summary[[#This Row],[Budget %  Adjustment]]</f>
        <v>0</v>
      </c>
      <c r="S163" s="190">
        <f>SUMIFS(Budget!$E:$E,Budget!$A:$A,$A163,Budget!$C:$C,$C163,Budget!$D:$D,S$7)*Summary[[#This Row],[Budget %  Adjustment]]</f>
        <v>0</v>
      </c>
      <c r="T163" s="190">
        <f>SUMIFS(Budget!$E:$E,Budget!$A:$A,$A163,Budget!$C:$C,$C163,Budget!$D:$D,T$7)*Summary[[#This Row],[Budget %  Adjustment]]</f>
        <v>0</v>
      </c>
      <c r="U163" s="190">
        <f>SUMIFS(Budget!$E:$E,Budget!$A:$A,$A163,Budget!$C:$C,$C163,Budget!$D:$D,U$7)*Summary[[#This Row],[Budget %  Adjustment]]</f>
        <v>3262727</v>
      </c>
      <c r="V163" s="190">
        <f>Summary[[#This Row],[Promo]]+Summary[[#This Row],[Delivery]]</f>
        <v>0</v>
      </c>
      <c r="W163" s="190">
        <f t="shared" si="8"/>
        <v>3262727</v>
      </c>
      <c r="X163" s="190">
        <f t="shared" si="9"/>
        <v>3262727</v>
      </c>
    </row>
    <row r="164" spans="1:24" x14ac:dyDescent="0.25">
      <c r="A164" s="156">
        <v>2030</v>
      </c>
      <c r="B164" s="247" t="s">
        <v>33</v>
      </c>
      <c r="C164" s="247" t="s">
        <v>36</v>
      </c>
      <c r="D164" s="247" t="s">
        <v>36</v>
      </c>
      <c r="E164" s="249">
        <v>1</v>
      </c>
      <c r="F164" s="250">
        <f>SUMIFS('All Measure &amp; TRC+ Calc'!F:F,'All Measure &amp; TRC+ Calc'!$D:$D,$C164,'All Measure &amp; TRC+ Calc'!$B:$B,$A164)*$E164</f>
        <v>0</v>
      </c>
      <c r="G164" s="250">
        <f>SUMIFS('All Measure &amp; TRC+ Calc'!AD:AD,'All Measure &amp; TRC+ Calc'!$D:$D,$C164,'All Measure &amp; TRC+ Calc'!$B:$B,$A164)*$E164</f>
        <v>0</v>
      </c>
      <c r="H164" s="250">
        <f>SUMIFS('All Measure &amp; TRC+ Calc'!AE:AE,'All Measure &amp; TRC+ Calc'!$D:$D,$C164,'All Measure &amp; TRC+ Calc'!$B:$B,$A164)*$E164</f>
        <v>0</v>
      </c>
      <c r="I164" s="250">
        <f>SUMIFS('All Measure &amp; TRC+ Calc'!AH:AH,'All Measure &amp; TRC+ Calc'!$D:$D,$C164,'All Measure &amp; TRC+ Calc'!$B:$B,$A164)*$E164</f>
        <v>0</v>
      </c>
      <c r="J164" s="250">
        <f>SUMIFS('All Measure &amp; TRC+ Calc'!AI:AI,'All Measure &amp; TRC+ Calc'!$D:$D,$C164,'All Measure &amp; TRC+ Calc'!$B:$B,$A164)*$E164</f>
        <v>0</v>
      </c>
      <c r="K164" s="250">
        <f>SUMIFS('All Measure &amp; TRC+ Calc'!AL:AL,'All Measure &amp; TRC+ Calc'!$D:$D,$C164,'All Measure &amp; TRC+ Calc'!$B:$B,$A164)*$E164</f>
        <v>0</v>
      </c>
      <c r="L164" s="250">
        <f>SUMIFS('All Measure &amp; TRC+ Calc'!AM:AM,'All Measure &amp; TRC+ Calc'!$D:$D,$C164,'All Measure &amp; TRC+ Calc'!$B:$B,$A164)*$E164</f>
        <v>0</v>
      </c>
      <c r="M164" s="250">
        <f>SUMIFS('All Measure &amp; TRC+ Calc'!AJ:AJ,'All Measure &amp; TRC+ Calc'!$D:$D,$C164,'All Measure &amp; TRC+ Calc'!$B:$B,$A164)*$E164</f>
        <v>0</v>
      </c>
      <c r="N164" s="250">
        <f>SUMIFS('All Measure &amp; TRC+ Calc'!AK:AK,'All Measure &amp; TRC+ Calc'!$D:$D,$C164,'All Measure &amp; TRC+ Calc'!$B:$B,$A164)*$E164</f>
        <v>0</v>
      </c>
      <c r="O164" s="250">
        <f>SUMIFS('All Measure &amp; TRC+ Calc'!AF:AF,'All Measure &amp; TRC+ Calc'!$D:$D,$C164,'All Measure &amp; TRC+ Calc'!$B:$B,$A164)*$E164</f>
        <v>0</v>
      </c>
      <c r="P164" s="250">
        <f>SUMIFS('All Measure &amp; TRC+ Calc'!AG:AG,'All Measure &amp; TRC+ Calc'!$D:$D,$C164,'All Measure &amp; TRC+ Calc'!$B:$B,$A164)*$E164</f>
        <v>0</v>
      </c>
      <c r="Q164" s="249">
        <v>1</v>
      </c>
      <c r="R164" s="190">
        <f>SUMIFS(Budget!$E:$E,Budget!$A:$A,$A164,Budget!$C:$C,$C164,Budget!$D:$D,R$7)*Summary[[#This Row],[Budget %  Adjustment]]</f>
        <v>0</v>
      </c>
      <c r="S164" s="190">
        <f>SUMIFS(Budget!$E:$E,Budget!$A:$A,$A164,Budget!$C:$C,$C164,Budget!$D:$D,S$7)*Summary[[#This Row],[Budget %  Adjustment]]</f>
        <v>0</v>
      </c>
      <c r="T164" s="190">
        <f>SUMIFS(Budget!$E:$E,Budget!$A:$A,$A164,Budget!$C:$C,$C164,Budget!$D:$D,T$7)*Summary[[#This Row],[Budget %  Adjustment]]</f>
        <v>0</v>
      </c>
      <c r="U164" s="190">
        <f>SUMIFS(Budget!$E:$E,Budget!$A:$A,$A164,Budget!$C:$C,$C164,Budget!$D:$D,U$7)*Summary[[#This Row],[Budget %  Adjustment]]</f>
        <v>871464</v>
      </c>
      <c r="V164" s="190">
        <f>Summary[[#This Row],[Promo]]+Summary[[#This Row],[Delivery]]</f>
        <v>0</v>
      </c>
      <c r="W164" s="190">
        <f t="shared" si="8"/>
        <v>871464</v>
      </c>
      <c r="X164" s="190">
        <f t="shared" si="9"/>
        <v>871464</v>
      </c>
    </row>
    <row r="165" spans="1:24" x14ac:dyDescent="0.25">
      <c r="A165" s="156">
        <v>2030</v>
      </c>
      <c r="B165" s="247" t="s">
        <v>33</v>
      </c>
      <c r="C165" s="247" t="s">
        <v>35</v>
      </c>
      <c r="D165" s="247" t="s">
        <v>35</v>
      </c>
      <c r="E165" s="249">
        <v>1</v>
      </c>
      <c r="F165" s="250">
        <f>SUMIFS('All Measure &amp; TRC+ Calc'!F:F,'All Measure &amp; TRC+ Calc'!$D:$D,$C165,'All Measure &amp; TRC+ Calc'!$B:$B,$A165)*$E165</f>
        <v>0</v>
      </c>
      <c r="G165" s="250">
        <f>SUMIFS('All Measure &amp; TRC+ Calc'!AD:AD,'All Measure &amp; TRC+ Calc'!$D:$D,$C165,'All Measure &amp; TRC+ Calc'!$B:$B,$A165)*$E165</f>
        <v>0</v>
      </c>
      <c r="H165" s="250">
        <f>SUMIFS('All Measure &amp; TRC+ Calc'!AE:AE,'All Measure &amp; TRC+ Calc'!$D:$D,$C165,'All Measure &amp; TRC+ Calc'!$B:$B,$A165)*$E165</f>
        <v>0</v>
      </c>
      <c r="I165" s="250">
        <f>SUMIFS('All Measure &amp; TRC+ Calc'!AH:AH,'All Measure &amp; TRC+ Calc'!$D:$D,$C165,'All Measure &amp; TRC+ Calc'!$B:$B,$A165)*$E165</f>
        <v>0</v>
      </c>
      <c r="J165" s="250">
        <f>SUMIFS('All Measure &amp; TRC+ Calc'!AI:AI,'All Measure &amp; TRC+ Calc'!$D:$D,$C165,'All Measure &amp; TRC+ Calc'!$B:$B,$A165)*$E165</f>
        <v>0</v>
      </c>
      <c r="K165" s="250">
        <f>SUMIFS('All Measure &amp; TRC+ Calc'!AL:AL,'All Measure &amp; TRC+ Calc'!$D:$D,$C165,'All Measure &amp; TRC+ Calc'!$B:$B,$A165)*$E165</f>
        <v>0</v>
      </c>
      <c r="L165" s="250">
        <f>SUMIFS('All Measure &amp; TRC+ Calc'!AM:AM,'All Measure &amp; TRC+ Calc'!$D:$D,$C165,'All Measure &amp; TRC+ Calc'!$B:$B,$A165)*$E165</f>
        <v>0</v>
      </c>
      <c r="M165" s="250">
        <f>SUMIFS('All Measure &amp; TRC+ Calc'!AJ:AJ,'All Measure &amp; TRC+ Calc'!$D:$D,$C165,'All Measure &amp; TRC+ Calc'!$B:$B,$A165)*$E165</f>
        <v>0</v>
      </c>
      <c r="N165" s="250">
        <f>SUMIFS('All Measure &amp; TRC+ Calc'!AK:AK,'All Measure &amp; TRC+ Calc'!$D:$D,$C165,'All Measure &amp; TRC+ Calc'!$B:$B,$A165)*$E165</f>
        <v>0</v>
      </c>
      <c r="O165" s="250">
        <f>SUMIFS('All Measure &amp; TRC+ Calc'!AF:AF,'All Measure &amp; TRC+ Calc'!$D:$D,$C165,'All Measure &amp; TRC+ Calc'!$B:$B,$A165)*$E165</f>
        <v>0</v>
      </c>
      <c r="P165" s="250">
        <f>SUMIFS('All Measure &amp; TRC+ Calc'!AG:AG,'All Measure &amp; TRC+ Calc'!$D:$D,$C165,'All Measure &amp; TRC+ Calc'!$B:$B,$A165)*$E165</f>
        <v>0</v>
      </c>
      <c r="Q165" s="249">
        <v>1</v>
      </c>
      <c r="R165" s="190">
        <f>SUMIFS(Budget!$E:$E,Budget!$A:$A,$A165,Budget!$C:$C,$C165,Budget!$D:$D,R$7)*Summary[[#This Row],[Budget %  Adjustment]]</f>
        <v>0</v>
      </c>
      <c r="S165" s="190">
        <f>SUMIFS(Budget!$E:$E,Budget!$A:$A,$A165,Budget!$C:$C,$C165,Budget!$D:$D,S$7)*Summary[[#This Row],[Budget %  Adjustment]]</f>
        <v>0</v>
      </c>
      <c r="T165" s="190">
        <f>SUMIFS(Budget!$E:$E,Budget!$A:$A,$A165,Budget!$C:$C,$C165,Budget!$D:$D,T$7)*Summary[[#This Row],[Budget %  Adjustment]]</f>
        <v>0</v>
      </c>
      <c r="U165" s="190">
        <f>SUMIFS(Budget!$E:$E,Budget!$A:$A,$A165,Budget!$C:$C,$C165,Budget!$D:$D,U$7)*Summary[[#This Row],[Budget %  Adjustment]]</f>
        <v>620971</v>
      </c>
      <c r="V165" s="190">
        <f>Summary[[#This Row],[Promo]]+Summary[[#This Row],[Delivery]]</f>
        <v>0</v>
      </c>
      <c r="W165" s="190">
        <f t="shared" si="8"/>
        <v>620971</v>
      </c>
      <c r="X165" s="190">
        <f t="shared" si="9"/>
        <v>620971</v>
      </c>
    </row>
    <row r="166" spans="1:24" x14ac:dyDescent="0.25">
      <c r="A166" s="156">
        <v>2030</v>
      </c>
      <c r="B166" s="247" t="s">
        <v>37</v>
      </c>
      <c r="C166" s="247" t="s">
        <v>38</v>
      </c>
      <c r="D166" s="247" t="s">
        <v>38</v>
      </c>
      <c r="E166" s="249">
        <v>1</v>
      </c>
      <c r="F166" s="250">
        <f>SUMIFS('All Measure &amp; TRC+ Calc'!F:F,'All Measure &amp; TRC+ Calc'!$D:$D,$C166,'All Measure &amp; TRC+ Calc'!$B:$B,$A166)*$E166</f>
        <v>0</v>
      </c>
      <c r="G166" s="250">
        <f>SUMIFS('All Measure &amp; TRC+ Calc'!AD:AD,'All Measure &amp; TRC+ Calc'!$D:$D,$C166,'All Measure &amp; TRC+ Calc'!$B:$B,$A166)*$E166</f>
        <v>0</v>
      </c>
      <c r="H166" s="250">
        <f>SUMIFS('All Measure &amp; TRC+ Calc'!AE:AE,'All Measure &amp; TRC+ Calc'!$D:$D,$C166,'All Measure &amp; TRC+ Calc'!$B:$B,$A166)*$E166</f>
        <v>0</v>
      </c>
      <c r="I166" s="250">
        <f>SUMIFS('All Measure &amp; TRC+ Calc'!AH:AH,'All Measure &amp; TRC+ Calc'!$D:$D,$C166,'All Measure &amp; TRC+ Calc'!$B:$B,$A166)*$E166</f>
        <v>0</v>
      </c>
      <c r="J166" s="250">
        <f>SUMIFS('All Measure &amp; TRC+ Calc'!AI:AI,'All Measure &amp; TRC+ Calc'!$D:$D,$C166,'All Measure &amp; TRC+ Calc'!$B:$B,$A166)*$E166</f>
        <v>0</v>
      </c>
      <c r="K166" s="250">
        <f>SUMIFS('All Measure &amp; TRC+ Calc'!AL:AL,'All Measure &amp; TRC+ Calc'!$D:$D,$C166,'All Measure &amp; TRC+ Calc'!$B:$B,$A166)*$E166</f>
        <v>0</v>
      </c>
      <c r="L166" s="250">
        <f>SUMIFS('All Measure &amp; TRC+ Calc'!AM:AM,'All Measure &amp; TRC+ Calc'!$D:$D,$C166,'All Measure &amp; TRC+ Calc'!$B:$B,$A166)*$E166</f>
        <v>0</v>
      </c>
      <c r="M166" s="250">
        <f>SUMIFS('All Measure &amp; TRC+ Calc'!AJ:AJ,'All Measure &amp; TRC+ Calc'!$D:$D,$C166,'All Measure &amp; TRC+ Calc'!$B:$B,$A166)*$E166</f>
        <v>0</v>
      </c>
      <c r="N166" s="250">
        <f>SUMIFS('All Measure &amp; TRC+ Calc'!AK:AK,'All Measure &amp; TRC+ Calc'!$D:$D,$C166,'All Measure &amp; TRC+ Calc'!$B:$B,$A166)*$E166</f>
        <v>0</v>
      </c>
      <c r="O166" s="250">
        <f>SUMIFS('All Measure &amp; TRC+ Calc'!AF:AF,'All Measure &amp; TRC+ Calc'!$D:$D,$C166,'All Measure &amp; TRC+ Calc'!$B:$B,$A166)*$E166</f>
        <v>0</v>
      </c>
      <c r="P166" s="250">
        <f>SUMIFS('All Measure &amp; TRC+ Calc'!AG:AG,'All Measure &amp; TRC+ Calc'!$D:$D,$C166,'All Measure &amp; TRC+ Calc'!$B:$B,$A166)*$E166</f>
        <v>0</v>
      </c>
      <c r="Q166" s="249">
        <v>1</v>
      </c>
      <c r="R166" s="190">
        <f>SUMIFS(Budget!$E:$E,Budget!$A:$A,$A166,Budget!$C:$C,$C166,Budget!$D:$D,R$7)*Summary[[#This Row],[Budget %  Adjustment]]</f>
        <v>0</v>
      </c>
      <c r="S166" s="190">
        <f>SUMIFS(Budget!$E:$E,Budget!$A:$A,$A166,Budget!$C:$C,$C166,Budget!$D:$D,S$7)*Summary[[#This Row],[Budget %  Adjustment]]</f>
        <v>0</v>
      </c>
      <c r="T166" s="190">
        <f>SUMIFS(Budget!$E:$E,Budget!$A:$A,$A166,Budget!$C:$C,$C166,Budget!$D:$D,T$7)*Summary[[#This Row],[Budget %  Adjustment]]</f>
        <v>0</v>
      </c>
      <c r="U166" s="190">
        <f>SUMIFS(Budget!$E:$E,Budget!$A:$A,$A166,Budget!$C:$C,$C166,Budget!$D:$D,U$7)*Summary[[#This Row],[Budget %  Adjustment]]</f>
        <v>3392393</v>
      </c>
      <c r="V166" s="190">
        <f>Summary[[#This Row],[Promo]]+Summary[[#This Row],[Delivery]]</f>
        <v>0</v>
      </c>
      <c r="W166" s="190">
        <f t="shared" si="8"/>
        <v>3392393</v>
      </c>
      <c r="X166" s="190">
        <f t="shared" si="9"/>
        <v>3392393</v>
      </c>
    </row>
    <row r="167" spans="1:24" x14ac:dyDescent="0.25">
      <c r="A167" s="156">
        <v>2030</v>
      </c>
      <c r="B167" s="247" t="s">
        <v>37</v>
      </c>
      <c r="C167" s="247" t="s">
        <v>178</v>
      </c>
      <c r="D167" s="247" t="s">
        <v>178</v>
      </c>
      <c r="E167" s="249">
        <v>1</v>
      </c>
      <c r="F167" s="250">
        <f>SUMIFS('All Measure &amp; TRC+ Calc'!F:F,'All Measure &amp; TRC+ Calc'!$D:$D,$C167,'All Measure &amp; TRC+ Calc'!$B:$B,$A167)*$E167</f>
        <v>0</v>
      </c>
      <c r="G167" s="250">
        <f>SUMIFS('All Measure &amp; TRC+ Calc'!AD:AD,'All Measure &amp; TRC+ Calc'!$D:$D,$C167,'All Measure &amp; TRC+ Calc'!$B:$B,$A167)*$E167</f>
        <v>0</v>
      </c>
      <c r="H167" s="250">
        <f>SUMIFS('All Measure &amp; TRC+ Calc'!AE:AE,'All Measure &amp; TRC+ Calc'!$D:$D,$C167,'All Measure &amp; TRC+ Calc'!$B:$B,$A167)*$E167</f>
        <v>0</v>
      </c>
      <c r="I167" s="250">
        <f>SUMIFS('All Measure &amp; TRC+ Calc'!AH:AH,'All Measure &amp; TRC+ Calc'!$D:$D,$C167,'All Measure &amp; TRC+ Calc'!$B:$B,$A167)*$E167</f>
        <v>0</v>
      </c>
      <c r="J167" s="250">
        <f>SUMIFS('All Measure &amp; TRC+ Calc'!AI:AI,'All Measure &amp; TRC+ Calc'!$D:$D,$C167,'All Measure &amp; TRC+ Calc'!$B:$B,$A167)*$E167</f>
        <v>0</v>
      </c>
      <c r="K167" s="250">
        <f>SUMIFS('All Measure &amp; TRC+ Calc'!AL:AL,'All Measure &amp; TRC+ Calc'!$D:$D,$C167,'All Measure &amp; TRC+ Calc'!$B:$B,$A167)*$E167</f>
        <v>0</v>
      </c>
      <c r="L167" s="250">
        <f>SUMIFS('All Measure &amp; TRC+ Calc'!AM:AM,'All Measure &amp; TRC+ Calc'!$D:$D,$C167,'All Measure &amp; TRC+ Calc'!$B:$B,$A167)*$E167</f>
        <v>0</v>
      </c>
      <c r="M167" s="250">
        <f>SUMIFS('All Measure &amp; TRC+ Calc'!AJ:AJ,'All Measure &amp; TRC+ Calc'!$D:$D,$C167,'All Measure &amp; TRC+ Calc'!$B:$B,$A167)*$E167</f>
        <v>0</v>
      </c>
      <c r="N167" s="250">
        <f>SUMIFS('All Measure &amp; TRC+ Calc'!AK:AK,'All Measure &amp; TRC+ Calc'!$D:$D,$C167,'All Measure &amp; TRC+ Calc'!$B:$B,$A167)*$E167</f>
        <v>0</v>
      </c>
      <c r="O167" s="250">
        <f>SUMIFS('All Measure &amp; TRC+ Calc'!AF:AF,'All Measure &amp; TRC+ Calc'!$D:$D,$C167,'All Measure &amp; TRC+ Calc'!$B:$B,$A167)*$E167</f>
        <v>0</v>
      </c>
      <c r="P167" s="250">
        <f>SUMIFS('All Measure &amp; TRC+ Calc'!AG:AG,'All Measure &amp; TRC+ Calc'!$D:$D,$C167,'All Measure &amp; TRC+ Calc'!$B:$B,$A167)*$E167</f>
        <v>0</v>
      </c>
      <c r="Q167" s="249">
        <v>1</v>
      </c>
      <c r="R167" s="190">
        <f>SUMIFS(Budget!$E:$E,Budget!$A:$A,$A167,Budget!$C:$C,$C167,Budget!$D:$D,R$7)*Summary[[#This Row],[Budget %  Adjustment]]</f>
        <v>0</v>
      </c>
      <c r="S167" s="190">
        <f>SUMIFS(Budget!$E:$E,Budget!$A:$A,$A167,Budget!$C:$C,$C167,Budget!$D:$D,S$7)*Summary[[#This Row],[Budget %  Adjustment]]</f>
        <v>0</v>
      </c>
      <c r="T167" s="190">
        <f>SUMIFS(Budget!$E:$E,Budget!$A:$A,$A167,Budget!$C:$C,$C167,Budget!$D:$D,T$7)*Summary[[#This Row],[Budget %  Adjustment]]</f>
        <v>0</v>
      </c>
      <c r="U167" s="190">
        <f>SUMIFS(Budget!$E:$E,Budget!$A:$A,$A167,Budget!$C:$C,$C167,Budget!$D:$D,U$7)*Summary[[#This Row],[Budget %  Adjustment]]</f>
        <v>0</v>
      </c>
      <c r="V167" s="190">
        <f>Summary[[#This Row],[Promo]]+Summary[[#This Row],[Delivery]]</f>
        <v>0</v>
      </c>
      <c r="W167" s="190">
        <f t="shared" si="8"/>
        <v>0</v>
      </c>
      <c r="X167" s="190">
        <f t="shared" si="9"/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ttachment xmlns="d8658c64-b61e-47ac-bf9f-77b63b2ba9de" xsi:nil="true"/>
    <Issue xmlns="d8658c64-b61e-47ac-bf9f-77b63b2ba9de" xsi:nil="true"/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  <Topic xmlns="d8658c64-b61e-47ac-bf9f-77b63b2ba9de" xsi:nil="true"/>
    <Intervenor xmlns="d8658c64-b61e-47ac-bf9f-77b63b2ba9de" xsi:nil="true"/>
  </documentManagement>
</p:properties>
</file>

<file path=customXml/itemProps1.xml><?xml version="1.0" encoding="utf-8"?>
<ds:datastoreItem xmlns:ds="http://schemas.openxmlformats.org/officeDocument/2006/customXml" ds:itemID="{F350644F-DEC3-4188-9EAF-FB57748491C2}"/>
</file>

<file path=customXml/itemProps2.xml><?xml version="1.0" encoding="utf-8"?>
<ds:datastoreItem xmlns:ds="http://schemas.openxmlformats.org/officeDocument/2006/customXml" ds:itemID="{86A4A713-6B33-414A-B60E-1FF09C78FA64}"/>
</file>

<file path=customXml/itemProps3.xml><?xml version="1.0" encoding="utf-8"?>
<ds:datastoreItem xmlns:ds="http://schemas.openxmlformats.org/officeDocument/2006/customXml" ds:itemID="{6DA477F8-7AF7-4723-87BA-4C67A1FF90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D-2-1 Scorecard Targets</vt:lpstr>
      <vt:lpstr>D-2-2 4 Yr Budgets</vt:lpstr>
      <vt:lpstr>D-2-2 Budget</vt:lpstr>
      <vt:lpstr>D-3-1 TRC &amp; PAC</vt:lpstr>
      <vt:lpstr>D-3-1 $ m3</vt:lpstr>
      <vt:lpstr>PAC Table</vt:lpstr>
      <vt:lpstr>All Measure &amp; TRC+ Calc</vt:lpstr>
      <vt:lpstr>Budget</vt:lpstr>
      <vt:lpstr>Summary - $ &amp; m3</vt:lpstr>
      <vt:lpstr>Summary - TRC</vt:lpstr>
      <vt:lpstr>Summary - PAC</vt:lpstr>
      <vt:lpstr>Summary - CI LargeSmall</vt:lpstr>
      <vt:lpstr>2027 Avoided Costs</vt:lpstr>
      <vt:lpstr>EGIcarbonAC</vt:lpstr>
      <vt:lpstr>EGIcarbonRates</vt:lpstr>
      <vt:lpstr>EGIelecAC</vt:lpstr>
      <vt:lpstr>EGIgasAC</vt:lpstr>
      <vt:lpstr>EGIsummerkwAC</vt:lpstr>
      <vt:lpstr>EGIwaterAC</vt:lpstr>
      <vt:lpstr>EGIwinterkwAC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2026-06-18T14:48:00Z</dcterms:created>
  <dcterms:modified xsi:type="dcterms:W3CDTF">2026-06-18T14:48:19Z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-185262852</vt:i4>
  </property>
  <property fmtid="{D5CDD505-2E9C-101B-9397-08002B2CF9AE}" pid="3" name="_NewReviewCycle">
    <vt:lpwstr/>
  </property>
  <property fmtid="{D5CDD505-2E9C-101B-9397-08002B2CF9AE}" pid="4" name="ContentTypeId">
    <vt:lpwstr>0x010100F81276DF02A4AB4F850C8FDE71AFD584</vt:lpwstr>
  </property>
  <property fmtid="{D5CDD505-2E9C-101B-9397-08002B2CF9AE}" pid="5" name="MediaServiceImageTags">
    <vt:lpwstr/>
  </property>
</Properties>
</file>